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Odisha\TPSODL\ARR FY 24\Final Revised Petition to OERC\"/>
    </mc:Choice>
  </mc:AlternateContent>
  <xr:revisionPtr revIDLastSave="0" documentId="13_ncr:1_{86E322A8-69FF-433E-B89B-32C45DF6988C}" xr6:coauthVersionLast="47" xr6:coauthVersionMax="47" xr10:uidLastSave="{00000000-0000-0000-0000-000000000000}"/>
  <bookViews>
    <workbookView xWindow="-110" yWindow="-110" windowWidth="19420" windowHeight="10420" tabRatio="927" firstSheet="23" activeTab="71" xr2:uid="{00000000-000D-0000-FFFF-FFFF00000000}"/>
  </bookViews>
  <sheets>
    <sheet name="REV.RELIEF 08-09-10" sheetId="241" state="hidden" r:id="rId1"/>
    <sheet name="REV.REL&amp;PEN -10-11 Six" sheetId="240" state="hidden" r:id="rId2"/>
    <sheet name="REV.REL&amp; PEN -09-10 " sheetId="239" state="hidden" r:id="rId3"/>
    <sheet name="EHT SALES" sheetId="238" state="hidden" r:id="rId4"/>
    <sheet name="HT SALES " sheetId="237" state="hidden" r:id="rId5"/>
    <sheet name="Sheet6" sheetId="363" state="hidden" r:id="rId6"/>
    <sheet name="Final" sheetId="357" state="hidden" r:id="rId7"/>
    <sheet name="BS" sheetId="309" state="hidden" r:id="rId8"/>
    <sheet name="PL" sheetId="310" state="hidden" r:id="rId9"/>
    <sheet name="OERC 1 &amp; 2" sheetId="381" state="hidden" r:id="rId10"/>
    <sheet name="OERC 3" sheetId="382" state="hidden" r:id="rId11"/>
    <sheet name="OERC 4,5,7,8" sheetId="383" state="hidden" r:id="rId12"/>
    <sheet name="OERC 6" sheetId="384" state="hidden" r:id="rId13"/>
    <sheet name="OERC 09 ,10 &amp; 11" sheetId="385" state="hidden" r:id="rId14"/>
    <sheet name="OERC 12 &amp; 13" sheetId="386" state="hidden" r:id="rId15"/>
    <sheet name="OERC 14,15 &amp; 16" sheetId="387" state="hidden" r:id="rId16"/>
    <sheet name="OERC 17 &amp; 18" sheetId="388" state="hidden" r:id="rId17"/>
    <sheet name="TB FY-2021-22" sheetId="380" state="hidden" r:id="rId18"/>
    <sheet name="TB FY23 (H1)" sheetId="364" state="hidden" r:id="rId19"/>
    <sheet name="Index-F Formats" sheetId="365" state="hidden" r:id="rId20"/>
    <sheet name="WFD F-17" sheetId="389" state="hidden" r:id="rId21"/>
    <sheet name="WDF-12" sheetId="390" state="hidden" r:id="rId22"/>
    <sheet name="Additional Working" sheetId="367" state="hidden" r:id="rId23"/>
    <sheet name=" F-1-A" sheetId="7" r:id="rId24"/>
    <sheet name="F-1-B" sheetId="392" r:id="rId25"/>
    <sheet name="F-2" sheetId="149" r:id="rId26"/>
    <sheet name="F-3" sheetId="9" r:id="rId27"/>
    <sheet name="F-4" sheetId="10" r:id="rId28"/>
    <sheet name="F-5" sheetId="133" r:id="rId29"/>
    <sheet name="F-6" sheetId="185" r:id="rId30"/>
    <sheet name="F-7" sheetId="157" r:id="rId31"/>
    <sheet name="F-8" sheetId="139" r:id="rId32"/>
    <sheet name="F-9B" sheetId="391" r:id="rId33"/>
    <sheet name="F-9" sheetId="23" r:id="rId34"/>
    <sheet name="F-10 " sheetId="141" r:id="rId35"/>
    <sheet name="F-11" sheetId="143" r:id="rId36"/>
    <sheet name="F-12-A " sheetId="142" r:id="rId37"/>
    <sheet name="F-12-B" sheetId="393" r:id="rId38"/>
    <sheet name="F-12-C" sheetId="394" r:id="rId39"/>
    <sheet name="F-13-C" sheetId="398" r:id="rId40"/>
    <sheet name="F-23 " sheetId="138" state="hidden" r:id="rId41"/>
    <sheet name="F-12-D" sheetId="395" r:id="rId42"/>
    <sheet name="F-12-E" sheetId="396" r:id="rId43"/>
    <sheet name="F-13-A" sheetId="397" r:id="rId44"/>
    <sheet name="F-13-B" sheetId="82" r:id="rId45"/>
    <sheet name="F-14  " sheetId="83" r:id="rId46"/>
    <sheet name="F-15" sheetId="144" r:id="rId47"/>
    <sheet name="F-16" sheetId="162" r:id="rId48"/>
    <sheet name="F-17" sheetId="148" r:id="rId49"/>
    <sheet name="F-18" sheetId="282" r:id="rId50"/>
    <sheet name="F-19-A" sheetId="95" r:id="rId51"/>
    <sheet name="F-19-B" sheetId="399" r:id="rId52"/>
    <sheet name="F-20 " sheetId="147" r:id="rId53"/>
    <sheet name="F-21" sheetId="137" r:id="rId54"/>
    <sheet name="F-22" sheetId="136" r:id="rId55"/>
    <sheet name="F- 24" sheetId="283" r:id="rId56"/>
    <sheet name="F 25" sheetId="284" r:id="rId57"/>
    <sheet name="F 26 " sheetId="285" r:id="rId58"/>
    <sheet name="F 27" sheetId="286" r:id="rId59"/>
    <sheet name="T-1" sheetId="319" r:id="rId60"/>
    <sheet name="T-2" sheetId="320" r:id="rId61"/>
    <sheet name="T-2 (A-S)" sheetId="321" r:id="rId62"/>
    <sheet name="T-3" sheetId="322" r:id="rId63"/>
    <sheet name="T-3 (A-S)" sheetId="323" r:id="rId64"/>
    <sheet name="T-4" sheetId="324" r:id="rId65"/>
    <sheet name="T-5" sheetId="325" r:id="rId66"/>
    <sheet name="T-6 (21-22)" sheetId="326" r:id="rId67"/>
    <sheet name="T-6 (22-23)" sheetId="327" r:id="rId68"/>
    <sheet name="T-7(CUR)" sheetId="328" r:id="rId69"/>
    <sheet name="T-7(ENS)" sheetId="329" r:id="rId70"/>
    <sheet name="T-8" sheetId="330" r:id="rId71"/>
    <sheet name="T-9" sheetId="370" r:id="rId72"/>
    <sheet name="Sheet8" sheetId="400" state="hidden" r:id="rId73"/>
    <sheet name="Sheet7" sheetId="369" state="hidden" r:id="rId74"/>
    <sheet name="Sheet1" sheetId="225" state="hidden" r:id="rId75"/>
    <sheet name="Sheet2" sheetId="212" state="hidden" r:id="rId76"/>
    <sheet name="Sheet5" sheetId="366" state="hidden" r:id="rId77"/>
    <sheet name="Sheet3" sheetId="242" state="hidden" r:id="rId78"/>
    <sheet name="Terminal" sheetId="221" state="hidden" r:id="rId79"/>
    <sheet name="LOSS" sheetId="197" state="hidden" r:id="rId80"/>
    <sheet name="PP" sheetId="198" state="hidden" r:id="rId81"/>
    <sheet name="WF29" sheetId="160" state="hidden" r:id="rId82"/>
    <sheet name="Depreciation working TPSODL" sheetId="368" state="hidden" r:id="rId83"/>
    <sheet name="Allocation of Cost" sheetId="358" state="hidden" r:id="rId84"/>
    <sheet name="WF-INTEREST" sheetId="169" state="hidden" r:id="rId85"/>
    <sheet name="WF-10(Rev RQ-Cur)" sheetId="132" state="hidden" r:id="rId86"/>
    <sheet name="WF-12(RevRQEns)" sheetId="17" state="hidden" r:id="rId87"/>
    <sheet name="Summary" sheetId="349" state="hidden" r:id="rId88"/>
    <sheet name="WF-13clear profit" sheetId="19" state="hidden" r:id="rId89"/>
    <sheet name="WF-14(Capitalbase)" sheetId="20" state="hidden" r:id="rId90"/>
    <sheet name="WF28" sheetId="161" state="hidden" r:id="rId91"/>
    <sheet name="WF33" sheetId="159" state="hidden" r:id="rId92"/>
    <sheet name="WF-39(WC)" sheetId="135" state="hidden" r:id="rId93"/>
    <sheet name="RoE(AF-40)" sheetId="192" state="hidden" r:id="rId94"/>
    <sheet name="Basis of Allocation(AF-42)" sheetId="194" state="hidden" r:id="rId95"/>
    <sheet name="Supplier-Contractor-wise Claim" sheetId="332" state="hidden" r:id="rId96"/>
    <sheet name="Sheet4" sheetId="350" state="hidden" r:id="rId97"/>
  </sheets>
  <externalReferences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\A" localSheetId="22">#REF!</definedName>
    <definedName name="\A" localSheetId="6">#REF!</definedName>
    <definedName name="\A">#REF!</definedName>
    <definedName name="\B" localSheetId="6">#REF!</definedName>
    <definedName name="\B">#REF!</definedName>
    <definedName name="\C" localSheetId="6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SCH5">#REF!</definedName>
    <definedName name="____SCH1">#REF!</definedName>
    <definedName name="____SCH10">#REF!</definedName>
    <definedName name="____SCH11">#REF!</definedName>
    <definedName name="____SCH2">#REF!</definedName>
    <definedName name="____SCH3">#REF!</definedName>
    <definedName name="____SCH4">#REF!</definedName>
    <definedName name="____SCH5">#REF!</definedName>
    <definedName name="____SCH6">#REF!</definedName>
    <definedName name="____SCH7">#REF!</definedName>
    <definedName name="____SCH8">#REF!</definedName>
    <definedName name="____SCH9">#REF!</definedName>
    <definedName name="___ji950">#REF!</definedName>
    <definedName name="___SCH1">#REF!</definedName>
    <definedName name="___SCH10">#REF!</definedName>
    <definedName name="___SCH11">#REF!</definedName>
    <definedName name="___SCH2">#REF!</definedName>
    <definedName name="___SCH3">#REF!</definedName>
    <definedName name="___SCH4">#REF!</definedName>
    <definedName name="___SCH6">#REF!</definedName>
    <definedName name="___SCH7">#REF!</definedName>
    <definedName name="___SCH8">#REF!</definedName>
    <definedName name="___SCH9">#REF!</definedName>
    <definedName name="__10GOTO_I_A1">#REF!</definedName>
    <definedName name="__11GOTO_J_A1">#REF!</definedName>
    <definedName name="__12GOTO_K_A30">#REF!</definedName>
    <definedName name="__1GOTO_A_A207">#REF!</definedName>
    <definedName name="__2GOTO_A_A501">#REF!</definedName>
    <definedName name="__3GOTO_A_A952">#REF!</definedName>
    <definedName name="__4GOTO_B_A1">#REF!</definedName>
    <definedName name="__5GOTO_B_A189">#REF!</definedName>
    <definedName name="__6GOTO_B_A536">#REF!</definedName>
    <definedName name="__7GOTO_C_A1">#REF!</definedName>
    <definedName name="__8GOTO_E_A1">#REF!</definedName>
    <definedName name="__9GOTO_G_A1">#REF!</definedName>
    <definedName name="__ji950">#REF!</definedName>
    <definedName name="__SCH1">#REF!</definedName>
    <definedName name="__SCH10">#REF!</definedName>
    <definedName name="__SCH11">#REF!</definedName>
    <definedName name="__SCH2">#REF!</definedName>
    <definedName name="__SCH3">#REF!</definedName>
    <definedName name="__SCH4">#REF!</definedName>
    <definedName name="__SCH5">#REF!</definedName>
    <definedName name="__SCH6">#REF!</definedName>
    <definedName name="__SCH7">#REF!</definedName>
    <definedName name="__SCH8">#REF!</definedName>
    <definedName name="__SCH9">#REF!</definedName>
    <definedName name="_10GOTO_I_A1">#REF!</definedName>
    <definedName name="_11GOTO_J_A1">#REF!</definedName>
    <definedName name="_12GOTO_K_A30">#REF!</definedName>
    <definedName name="_1GOTO_A_A207">#REF!</definedName>
    <definedName name="_2GOTO_A_A501">#REF!</definedName>
    <definedName name="_3GOTO_A_A952">#REF!</definedName>
    <definedName name="_4GOTO_B_A1">#REF!</definedName>
    <definedName name="_5GOTO_B_A189">#REF!</definedName>
    <definedName name="_6GOTO_B_A536">#REF!</definedName>
    <definedName name="_7GOTO_C_A1">#REF!</definedName>
    <definedName name="_8GOTO_E_A1">#REF!</definedName>
    <definedName name="_9GOTO_G_A1">#REF!</definedName>
    <definedName name="_Fill" hidden="1">#REF!</definedName>
    <definedName name="_xlnm._FilterDatabase" localSheetId="6" hidden="1">Final!$A$7:$CO$7</definedName>
    <definedName name="_xlnm._FilterDatabase" localSheetId="95" hidden="1">'Supplier-Contractor-wise Claim'!$A$3:$G$52</definedName>
    <definedName name="_xlnm._FilterDatabase" localSheetId="71" hidden="1">'T-9'!$A$5:$WWA$24</definedName>
    <definedName name="_xlnm._FilterDatabase" localSheetId="17" hidden="1">'TB FY-2021-22'!$A$1:$W$1376</definedName>
    <definedName name="_xlnm._FilterDatabase" localSheetId="18" hidden="1">'TB FY23 (H1)'!$A$1:$S$1482</definedName>
    <definedName name="_ji950" localSheetId="71">'[1]Notes Wise'!$I$23</definedName>
    <definedName name="_ji950">'[2]Notes Wise'!$I$23</definedName>
    <definedName name="_SCH1" localSheetId="6">#REF!</definedName>
    <definedName name="_SCH1">#REF!</definedName>
    <definedName name="_SCH10" localSheetId="6">#REF!</definedName>
    <definedName name="_SCH10">#REF!</definedName>
    <definedName name="_SCH11" localSheetId="6">#REF!</definedName>
    <definedName name="_SCH11">#REF!</definedName>
    <definedName name="_SCH2">#REF!</definedName>
    <definedName name="_SCH3">#REF!</definedName>
    <definedName name="_SCH4">#REF!</definedName>
    <definedName name="_SCH5">#REF!</definedName>
    <definedName name="_SCH6">#REF!</definedName>
    <definedName name="_SCH7">#REF!</definedName>
    <definedName name="_SCH8">#REF!</definedName>
    <definedName name="_SCH9">#REF!</definedName>
    <definedName name="A">#REF!</definedName>
    <definedName name="Admn_and_General_Expenses" localSheetId="94">'[3]A&amp;G Expenses'!#REF!</definedName>
    <definedName name="Admn_and_General_Expenses" localSheetId="3">'[4]A&amp;G Expenses'!#REF!</definedName>
    <definedName name="Admn_and_General_Expenses" localSheetId="29">'[3]A&amp;G Expenses'!#REF!</definedName>
    <definedName name="Admn_and_General_Expenses" localSheetId="4">'[4]A&amp;G Expenses'!#REF!</definedName>
    <definedName name="Admn_and_General_Expenses" localSheetId="2">'[5]A&amp;G Expenses'!#REF!</definedName>
    <definedName name="Admn_and_General_Expenses" localSheetId="1">'[5]A&amp;G Expenses'!#REF!</definedName>
    <definedName name="Admn_and_General_Expenses" localSheetId="0">'[5]A&amp;G Expenses'!#REF!</definedName>
    <definedName name="Admn_and_General_Expenses" localSheetId="93">'[3]A&amp;G Expenses'!#REF!</definedName>
    <definedName name="Admn_and_General_Expenses" localSheetId="75">'[4]A&amp;G Expenses'!#REF!</definedName>
    <definedName name="Admn_and_General_Expenses" localSheetId="71">'[6]A&amp;G Expenses'!#REF!</definedName>
    <definedName name="Admn_and_General_Expenses">'[7]A&amp;G Expenses'!#REF!</definedName>
    <definedName name="Allocation_of_expenses" localSheetId="94">'Basis of Allocation(AF-42)'!#REF!</definedName>
    <definedName name="Allocation_of_expenses" localSheetId="3">'[4]Allocation LT HT EHT'!#REF!</definedName>
    <definedName name="Allocation_of_expenses" localSheetId="29">'[3]Allocation LT HT EHT'!#REF!</definedName>
    <definedName name="Allocation_of_expenses" localSheetId="4">'[4]Allocation LT HT EHT'!#REF!</definedName>
    <definedName name="Allocation_of_expenses" localSheetId="2">'[5]Allocation LT HT EHT'!#REF!</definedName>
    <definedName name="Allocation_of_expenses" localSheetId="1">'[5]Allocation LT HT EHT'!#REF!</definedName>
    <definedName name="Allocation_of_expenses" localSheetId="0">'[5]Allocation LT HT EHT'!#REF!</definedName>
    <definedName name="Allocation_of_expenses" localSheetId="93">'[3]Allocation LT HT EHT'!#REF!</definedName>
    <definedName name="Allocation_of_expenses" localSheetId="75">'[4]Allocation LT HT EHT'!#REF!</definedName>
    <definedName name="Allocation_of_expenses" localSheetId="71">'[6]Allocation LT HT EHT'!#REF!</definedName>
    <definedName name="Allocation_of_expenses">'[7]Allocation LT HT EHT'!#REF!</definedName>
    <definedName name="Allocation_of_revenues__expenses" localSheetId="94">'Basis of Allocation(AF-42)'!#REF!</definedName>
    <definedName name="Allocation_of_revenues__expenses" localSheetId="3">'[4]Allocation LT HT EHT'!#REF!</definedName>
    <definedName name="Allocation_of_revenues__expenses" localSheetId="29">'[3]Allocation LT HT EHT'!#REF!</definedName>
    <definedName name="Allocation_of_revenues__expenses" localSheetId="4">'[4]Allocation LT HT EHT'!#REF!</definedName>
    <definedName name="Allocation_of_revenues__expenses" localSheetId="2">'[5]Allocation LT HT EHT'!#REF!</definedName>
    <definedName name="Allocation_of_revenues__expenses" localSheetId="1">'[5]Allocation LT HT EHT'!#REF!</definedName>
    <definedName name="Allocation_of_revenues__expenses" localSheetId="0">'[5]Allocation LT HT EHT'!#REF!</definedName>
    <definedName name="Allocation_of_revenues__expenses" localSheetId="93">'[3]Allocation LT HT EHT'!#REF!</definedName>
    <definedName name="Allocation_of_revenues__expenses" localSheetId="75">'[4]Allocation LT HT EHT'!#REF!</definedName>
    <definedName name="Allocation_of_revenues__expenses" localSheetId="71">'[6]Allocation LT HT EHT'!#REF!</definedName>
    <definedName name="Allocation_of_revenues__expenses">'[7]Allocation LT HT EHT'!#REF!</definedName>
    <definedName name="ARR" localSheetId="2">#REF!</definedName>
    <definedName name="ARR" localSheetId="1">#REF!</definedName>
    <definedName name="ARR" localSheetId="0">#REF!</definedName>
    <definedName name="ARR">#REF!</definedName>
    <definedName name="av">#REF!</definedName>
    <definedName name="B">#REF!</definedName>
    <definedName name="Bad_Debts" localSheetId="3">#REF!</definedName>
    <definedName name="Bad_Debts" localSheetId="4">#REF!</definedName>
    <definedName name="Bad_Debts" localSheetId="2">#REF!</definedName>
    <definedName name="Bad_Debts" localSheetId="1">#REF!</definedName>
    <definedName name="Bad_Debts" localSheetId="0">#REF!</definedName>
    <definedName name="Bad_Debts" localSheetId="75">#REF!</definedName>
    <definedName name="Bad_Debts">#REF!</definedName>
    <definedName name="Balancesheet">#REF!</definedName>
    <definedName name="BS">#REF!</definedName>
    <definedName name="Capital__Revenue_subsidies_and_Grants" localSheetId="3">#REF!</definedName>
    <definedName name="Capital__Revenue_subsidies_and_Grants" localSheetId="4">#REF!</definedName>
    <definedName name="Capital__Revenue_subsidies_and_Grants" localSheetId="2">#REF!</definedName>
    <definedName name="Capital__Revenue_subsidies_and_Grants" localSheetId="1">#REF!</definedName>
    <definedName name="Capital__Revenue_subsidies_and_Grants" localSheetId="0">#REF!</definedName>
    <definedName name="Capital__Revenue_subsidies_and_Grants" localSheetId="75">#REF!</definedName>
    <definedName name="Capital__Revenue_subsidies_and_Grants">#REF!</definedName>
    <definedName name="Capital_work_in_progress" localSheetId="94">[3]CWIP!#REF!</definedName>
    <definedName name="Capital_work_in_progress" localSheetId="3">[4]CWIP!#REF!</definedName>
    <definedName name="Capital_work_in_progress" localSheetId="29">[3]CWIP!#REF!</definedName>
    <definedName name="Capital_work_in_progress" localSheetId="4">[4]CWIP!#REF!</definedName>
    <definedName name="Capital_work_in_progress" localSheetId="2">[5]CWIP!#REF!</definedName>
    <definedName name="Capital_work_in_progress" localSheetId="1">[5]CWIP!#REF!</definedName>
    <definedName name="Capital_work_in_progress" localSheetId="0">[5]CWIP!#REF!</definedName>
    <definedName name="Capital_work_in_progress" localSheetId="93">[3]CWIP!#REF!</definedName>
    <definedName name="Capital_work_in_progress" localSheetId="75">[4]CWIP!#REF!</definedName>
    <definedName name="Capital_work_in_progress" localSheetId="71">[6]CWIP!#REF!</definedName>
    <definedName name="Capital_work_in_progress">[7]CWIP!#REF!</definedName>
    <definedName name="Consumption_Details" localSheetId="94">'[3]Consumption Data '!#REF!</definedName>
    <definedName name="Consumption_Details" localSheetId="3">'[4]Consumption Data '!#REF!</definedName>
    <definedName name="Consumption_Details" localSheetId="29">'[3]Consumption Data '!#REF!</definedName>
    <definedName name="Consumption_Details" localSheetId="4">'[4]Consumption Data '!#REF!</definedName>
    <definedName name="Consumption_Details" localSheetId="2">'[5]Consumption Data '!#REF!</definedName>
    <definedName name="Consumption_Details" localSheetId="1">'[5]Consumption Data '!#REF!</definedName>
    <definedName name="Consumption_Details" localSheetId="0">'[5]Consumption Data '!#REF!</definedName>
    <definedName name="Consumption_Details" localSheetId="93">'[3]Consumption Data '!#REF!</definedName>
    <definedName name="Consumption_Details" localSheetId="75">'[4]Consumption Data '!#REF!</definedName>
    <definedName name="Consumption_Details" localSheetId="71">'[6]Consumption Data '!#REF!</definedName>
    <definedName name="Consumption_Details">'[7]Consumption Data '!#REF!</definedName>
    <definedName name="Cost_Parameters" localSheetId="94">#REF!</definedName>
    <definedName name="Cost_Parameters" localSheetId="3">'[4]Verification of inputs'!#REF!</definedName>
    <definedName name="Cost_Parameters" localSheetId="29">#REF!</definedName>
    <definedName name="Cost_Parameters" localSheetId="4">'[4]Verification of inputs'!#REF!</definedName>
    <definedName name="Cost_Parameters" localSheetId="2">'[5]Verification of inputs'!#REF!</definedName>
    <definedName name="Cost_Parameters" localSheetId="1">'[5]Verification of inputs'!#REF!</definedName>
    <definedName name="Cost_Parameters" localSheetId="0">'[5]Verification of inputs'!#REF!</definedName>
    <definedName name="Cost_Parameters" localSheetId="93">#REF!</definedName>
    <definedName name="Cost_Parameters" localSheetId="75">'[4]Verification of inputs'!#REF!</definedName>
    <definedName name="Cost_Parameters" localSheetId="71">'[6]Verification of inputs'!#REF!</definedName>
    <definedName name="Cost_Parameters">'[7]Verification of inputs'!#REF!</definedName>
    <definedName name="Current_Year_Details" localSheetId="94">'[3]Current Year'!#REF!</definedName>
    <definedName name="Current_Year_Details" localSheetId="3">'[4]Current Year'!#REF!</definedName>
    <definedName name="Current_Year_Details" localSheetId="29">'[3]Current Year'!#REF!</definedName>
    <definedName name="Current_Year_Details" localSheetId="4">'[4]Current Year'!#REF!</definedName>
    <definedName name="Current_Year_Details" localSheetId="2">'[5]Current Year'!#REF!</definedName>
    <definedName name="Current_Year_Details" localSheetId="1">'[5]Current Year'!#REF!</definedName>
    <definedName name="Current_Year_Details" localSheetId="0">'[5]Current Year'!#REF!</definedName>
    <definedName name="Current_Year_Details" localSheetId="93">'[3]Current Year'!#REF!</definedName>
    <definedName name="Current_Year_Details" localSheetId="75">'[4]Current Year'!#REF!</definedName>
    <definedName name="Current_Year_Details" localSheetId="71">'[6]Current Year'!#REF!</definedName>
    <definedName name="Current_Year_Details">'[7]Current Year'!#REF!</definedName>
    <definedName name="CWIP" localSheetId="2">#REF!</definedName>
    <definedName name="CWIP" localSheetId="1">#REF!</definedName>
    <definedName name="CWIP" localSheetId="0">#REF!</definedName>
    <definedName name="CWIP">#REF!</definedName>
    <definedName name="D">#REF!</definedName>
    <definedName name="_xlnm.Database">#REF!</definedName>
    <definedName name="ddd">#REF!</definedName>
    <definedName name="Debtors" localSheetId="94">#REF!</definedName>
    <definedName name="Debtors" localSheetId="3">#REF!</definedName>
    <definedName name="Debtors" localSheetId="29">#REF!</definedName>
    <definedName name="Debtors" localSheetId="4">#REF!</definedName>
    <definedName name="Debtors" localSheetId="93">#REF!</definedName>
    <definedName name="Debtors" localSheetId="75">#REF!</definedName>
    <definedName name="Debtors">#REF!</definedName>
    <definedName name="Demand_data_for_consumers_with_Connected_Load___100_kVA" localSheetId="3">'[8]Consumer Data &gt;100kVA'!#REF!</definedName>
    <definedName name="Demand_data_for_consumers_with_Connected_Load___100_kVA" localSheetId="4">'[8]Consumer Data &gt;100kVA'!#REF!</definedName>
    <definedName name="Demand_data_for_consumers_with_Connected_Load___100_kVA" localSheetId="2">'[9]Consumer Data &gt;100kVA'!#REF!</definedName>
    <definedName name="Demand_data_for_consumers_with_Connected_Load___100_kVA" localSheetId="1">'[9]Consumer Data &gt;100kVA'!#REF!</definedName>
    <definedName name="Demand_data_for_consumers_with_Connected_Load___100_kVA" localSheetId="0">'[9]Consumer Data &gt;100kVA'!#REF!</definedName>
    <definedName name="Demand_data_for_consumers_with_Connected_Load___100_kVA" localSheetId="75">'[8]Consumer Data &gt;100kVA'!#REF!</definedName>
    <definedName name="Demand_data_for_consumers_with_Connected_Load___100_kVA" localSheetId="71">'[10]Consumer Data &gt;100kVA'!#REF!</definedName>
    <definedName name="Demand_data_for_consumers_with_Connected_Load___100_kVA">'[11]Consumer Data &gt;100kVA'!#REF!</definedName>
    <definedName name="E" localSheetId="6">#REF!</definedName>
    <definedName name="E">#REF!</definedName>
    <definedName name="Employees_Cost" localSheetId="94">'[3]Employee Costs'!#REF!</definedName>
    <definedName name="Employees_Cost" localSheetId="3">'[4]Employee Costs'!#REF!</definedName>
    <definedName name="Employees_Cost" localSheetId="29">'[3]Employee Costs'!#REF!</definedName>
    <definedName name="Employees_Cost" localSheetId="4">'[4]Employee Costs'!#REF!</definedName>
    <definedName name="Employees_Cost" localSheetId="2">'[5]Employee Costs'!#REF!</definedName>
    <definedName name="Employees_Cost" localSheetId="1">'[5]Employee Costs'!#REF!</definedName>
    <definedName name="Employees_Cost" localSheetId="0">'[5]Employee Costs'!#REF!</definedName>
    <definedName name="Employees_Cost" localSheetId="93">'[3]Employee Costs'!#REF!</definedName>
    <definedName name="Employees_Cost" localSheetId="75">'[4]Employee Costs'!#REF!</definedName>
    <definedName name="Employees_Cost" localSheetId="71">'[6]Employee Costs'!#REF!</definedName>
    <definedName name="Employees_Cost">'[7]Employee Costs'!#REF!</definedName>
    <definedName name="Existing_Tariff_Structure" localSheetId="3">#REF!</definedName>
    <definedName name="Existing_Tariff_Structure" localSheetId="4">#REF!</definedName>
    <definedName name="Existing_Tariff_Structure" localSheetId="2">#REF!</definedName>
    <definedName name="Existing_Tariff_Structure" localSheetId="1">#REF!</definedName>
    <definedName name="Existing_Tariff_Structure" localSheetId="0">#REF!</definedName>
    <definedName name="Existing_Tariff_Structure" localSheetId="75">#REF!</definedName>
    <definedName name="Existing_Tariff_Structure">#REF!</definedName>
    <definedName name="F">#REF!</definedName>
    <definedName name="G">#REF!</definedName>
    <definedName name="H">#REF!</definedName>
    <definedName name="I">#REF!</definedName>
    <definedName name="Information_on_Inventory" localSheetId="3">#REF!</definedName>
    <definedName name="Information_on_Inventory" localSheetId="4">#REF!</definedName>
    <definedName name="Information_on_Inventory" localSheetId="2">#REF!</definedName>
    <definedName name="Information_on_Inventory" localSheetId="1">#REF!</definedName>
    <definedName name="Information_on_Inventory" localSheetId="0">#REF!</definedName>
    <definedName name="Information_on_Inventory" localSheetId="75">#REF!</definedName>
    <definedName name="Information_on_Inventory">#REF!</definedName>
    <definedName name="Interest" localSheetId="2">#REF!</definedName>
    <definedName name="Interest" localSheetId="1">#REF!</definedName>
    <definedName name="Interest" localSheetId="0">#REF!</definedName>
    <definedName name="Interest">#REF!</definedName>
    <definedName name="Interest_and_Finance_Charges" localSheetId="3">#REF!</definedName>
    <definedName name="Interest_and_Finance_Charges" localSheetId="4">#REF!</definedName>
    <definedName name="Interest_and_Finance_Charges" localSheetId="2">#REF!</definedName>
    <definedName name="Interest_and_Finance_Charges" localSheetId="1">#REF!</definedName>
    <definedName name="Interest_and_Finance_Charges" localSheetId="0">#REF!</definedName>
    <definedName name="Interest_and_Finance_Charges" localSheetId="75">#REF!</definedName>
    <definedName name="Interest_and_Finance_Charges">#REF!</definedName>
    <definedName name="INV">#REF!</definedName>
    <definedName name="J">#REF!</definedName>
    <definedName name="K">#REF!</definedName>
    <definedName name="KKK">#REF!</definedName>
    <definedName name="L">#REF!</definedName>
    <definedName name="Loan" localSheetId="2">#REF!</definedName>
    <definedName name="Loan" localSheetId="1">#REF!</definedName>
    <definedName name="Loan" localSheetId="0">#REF!</definedName>
    <definedName name="Loan">#REF!</definedName>
    <definedName name="Loss" localSheetId="94">#REF!</definedName>
    <definedName name="Loss" localSheetId="3">#REF!</definedName>
    <definedName name="Loss" localSheetId="29">#REF!</definedName>
    <definedName name="Loss" localSheetId="4">#REF!</definedName>
    <definedName name="Loss" localSheetId="93">#REF!</definedName>
    <definedName name="Loss" localSheetId="75">#REF!</definedName>
    <definedName name="Loss">#REF!</definedName>
    <definedName name="Loss_Details" localSheetId="94">'[3]Loss Details'!#REF!</definedName>
    <definedName name="Loss_Details" localSheetId="3">'[4]Loss Details'!#REF!</definedName>
    <definedName name="Loss_Details" localSheetId="29">'[3]Loss Details'!#REF!</definedName>
    <definedName name="Loss_Details" localSheetId="4">'[4]Loss Details'!#REF!</definedName>
    <definedName name="Loss_Details" localSheetId="2">'[5]Loss Details'!#REF!</definedName>
    <definedName name="Loss_Details" localSheetId="1">'[5]Loss Details'!#REF!</definedName>
    <definedName name="Loss_Details" localSheetId="0">'[5]Loss Details'!#REF!</definedName>
    <definedName name="Loss_Details" localSheetId="93">'[3]Loss Details'!#REF!</definedName>
    <definedName name="Loss_Details" localSheetId="75">'[4]Loss Details'!#REF!</definedName>
    <definedName name="Loss_Details" localSheetId="71">'[6]Loss Details'!#REF!</definedName>
    <definedName name="Loss_Details">'[7]Loss Details'!#REF!</definedName>
    <definedName name="M" localSheetId="6">#REF!</definedName>
    <definedName name="M">#REF!</definedName>
    <definedName name="N" localSheetId="6">#REF!</definedName>
    <definedName name="N">#REF!</definedName>
    <definedName name="OSCH1" localSheetId="6">#REF!</definedName>
    <definedName name="OSCH1">#REF!</definedName>
    <definedName name="OSCH2">#REF!</definedName>
    <definedName name="OSCH3">#REF!</definedName>
    <definedName name="OSCH4">#REF!</definedName>
    <definedName name="OSCH5">#REF!</definedName>
    <definedName name="OSCH6">#REF!</definedName>
    <definedName name="OSCH7">#REF!</definedName>
    <definedName name="OSCH8">#REF!</definedName>
    <definedName name="Other_Cost_parameters" localSheetId="94">'[3]Special Appropriations'!#REF!</definedName>
    <definedName name="Other_Cost_parameters" localSheetId="3">'[4]Special Appropriations'!#REF!</definedName>
    <definedName name="Other_Cost_parameters" localSheetId="29">'[3]Special Appropriations'!#REF!</definedName>
    <definedName name="Other_Cost_parameters" localSheetId="4">'[4]Special Appropriations'!#REF!</definedName>
    <definedName name="Other_Cost_parameters" localSheetId="2">'[5]Special Appropriations'!#REF!</definedName>
    <definedName name="Other_Cost_parameters" localSheetId="1">'[5]Special Appropriations'!#REF!</definedName>
    <definedName name="Other_Cost_parameters" localSheetId="0">'[5]Special Appropriations'!#REF!</definedName>
    <definedName name="Other_Cost_parameters" localSheetId="93">'[3]Special Appropriations'!#REF!</definedName>
    <definedName name="Other_Cost_parameters" localSheetId="75">'[4]Special Appropriations'!#REF!</definedName>
    <definedName name="Other_Cost_parameters" localSheetId="71">'[6]Special Appropriations'!#REF!</definedName>
    <definedName name="Other_Cost_parameters">'[7]Special Appropriations'!#REF!</definedName>
    <definedName name="Output_Sheet" localSheetId="94">#REF!</definedName>
    <definedName name="Output_Sheet" localSheetId="3">#REF!</definedName>
    <definedName name="Output_Sheet" localSheetId="29">#REF!</definedName>
    <definedName name="Output_Sheet" localSheetId="4">#REF!</definedName>
    <definedName name="Output_Sheet" localSheetId="2">#REF!</definedName>
    <definedName name="Output_Sheet" localSheetId="1">#REF!</definedName>
    <definedName name="Output_Sheet" localSheetId="0">#REF!</definedName>
    <definedName name="Output_Sheet" localSheetId="93">#REF!</definedName>
    <definedName name="Output_Sheet" localSheetId="75">#REF!</definedName>
    <definedName name="Output_Sheet">#REF!</definedName>
    <definedName name="PL">#REF!</definedName>
    <definedName name="Power_Factor" localSheetId="3">#REF!</definedName>
    <definedName name="Power_Factor" localSheetId="4">#REF!</definedName>
    <definedName name="Power_Factor" localSheetId="2">#REF!</definedName>
    <definedName name="Power_Factor" localSheetId="1">#REF!</definedName>
    <definedName name="Power_Factor" localSheetId="0">#REF!</definedName>
    <definedName name="Power_Factor" localSheetId="75">#REF!</definedName>
    <definedName name="Power_Factor">#REF!</definedName>
    <definedName name="Power_Purchase_Details" localSheetId="94">'[3]Power Purchase Cost'!#REF!</definedName>
    <definedName name="Power_Purchase_Details" localSheetId="3">'[4]Power Purchase Cost'!#REF!</definedName>
    <definedName name="Power_Purchase_Details" localSheetId="29">'[3]Power Purchase Cost'!#REF!</definedName>
    <definedName name="Power_Purchase_Details" localSheetId="4">'[4]Power Purchase Cost'!#REF!</definedName>
    <definedName name="Power_Purchase_Details" localSheetId="2">'[5]Power Purchase Cost'!#REF!</definedName>
    <definedName name="Power_Purchase_Details" localSheetId="1">'[5]Power Purchase Cost'!#REF!</definedName>
    <definedName name="Power_Purchase_Details" localSheetId="0">'[5]Power Purchase Cost'!#REF!</definedName>
    <definedName name="Power_Purchase_Details" localSheetId="93">'[3]Power Purchase Cost'!#REF!</definedName>
    <definedName name="Power_Purchase_Details" localSheetId="75">'[4]Power Purchase Cost'!#REF!</definedName>
    <definedName name="Power_Purchase_Details" localSheetId="71">'[6]Power Purchase Cost'!#REF!</definedName>
    <definedName name="Power_Purchase_Details">'[7]Power Purchase Cost'!#REF!</definedName>
    <definedName name="PPP" localSheetId="6">#REF!</definedName>
    <definedName name="PPP">#REF!</definedName>
    <definedName name="Previous_Year_revenue_details" localSheetId="94">'[3]Revenue-Current and Past Year'!#REF!</definedName>
    <definedName name="Previous_Year_revenue_details" localSheetId="3">'[4]Revenue-Current and Past Year'!#REF!</definedName>
    <definedName name="Previous_Year_revenue_details" localSheetId="29">'[3]Revenue-Current and Past Year'!#REF!</definedName>
    <definedName name="Previous_Year_revenue_details" localSheetId="4">'[4]Revenue-Current and Past Year'!#REF!</definedName>
    <definedName name="Previous_Year_revenue_details" localSheetId="2">'[5]Revenue-Current and Past Year'!#REF!</definedName>
    <definedName name="Previous_Year_revenue_details" localSheetId="1">'[5]Revenue-Current and Past Year'!#REF!</definedName>
    <definedName name="Previous_Year_revenue_details" localSheetId="0">'[5]Revenue-Current and Past Year'!#REF!</definedName>
    <definedName name="Previous_Year_revenue_details" localSheetId="93">'[3]Revenue-Current and Past Year'!#REF!</definedName>
    <definedName name="Previous_Year_revenue_details" localSheetId="75">'[4]Revenue-Current and Past Year'!#REF!</definedName>
    <definedName name="Previous_Year_revenue_details" localSheetId="71">'[6]Revenue-Current and Past Year'!#REF!</definedName>
    <definedName name="Previous_Year_revenue_details">'[7]Revenue-Current and Past Year'!#REF!</definedName>
    <definedName name="_xlnm.Print_Area" localSheetId="23">' F-1-A'!$A$1:$E$38</definedName>
    <definedName name="_xlnm.Print_Area" localSheetId="83">'Allocation of Cost'!$A$1:$G$29</definedName>
    <definedName name="_xlnm.Print_Area" localSheetId="7">BS!$A$1:$E$68</definedName>
    <definedName name="_xlnm.Print_Area" localSheetId="3">'EHT SALES'!$A$1:$T$26</definedName>
    <definedName name="_xlnm.Print_Area" localSheetId="55">'F- 24'!$A$1:$I$13</definedName>
    <definedName name="_xlnm.Print_Area" localSheetId="56">'F 25'!$A$1:$F$34</definedName>
    <definedName name="_xlnm.Print_Area" localSheetId="57">'F 26 '!$A$1:$F$19</definedName>
    <definedName name="_xlnm.Print_Area" localSheetId="58">'F 27'!$A$1:$P$23</definedName>
    <definedName name="_xlnm.Print_Area" localSheetId="34">'F-10 '!$A$1:$P$66</definedName>
    <definedName name="_xlnm.Print_Area" localSheetId="35">'F-11'!$A$1:$G$118</definedName>
    <definedName name="_xlnm.Print_Area" localSheetId="36">'F-12-A '!$A$1:$Q$42</definedName>
    <definedName name="_xlnm.Print_Area" localSheetId="37">'F-12-B'!$A$1:$Q$17</definedName>
    <definedName name="_xlnm.Print_Area" localSheetId="38">'F-12-C'!$A$1:$Q$21</definedName>
    <definedName name="_xlnm.Print_Area" localSheetId="41">'F-12-D'!$A$1:$C$37</definedName>
    <definedName name="_xlnm.Print_Area" localSheetId="42">'F-12-E'!$A$1:$B$29</definedName>
    <definedName name="_xlnm.Print_Area" localSheetId="43">'F-13-A'!$A$1:$C$15</definedName>
    <definedName name="_xlnm.Print_Area" localSheetId="44">'F-13-B'!$A$1:$F$16</definedName>
    <definedName name="_xlnm.Print_Area" localSheetId="45">'F-14  '!$A$1:$F$95</definedName>
    <definedName name="_xlnm.Print_Area" localSheetId="46">'F-15'!$A$1:$M$23</definedName>
    <definedName name="_xlnm.Print_Area" localSheetId="47">'F-16'!$A$1:$E$28</definedName>
    <definedName name="_xlnm.Print_Area" localSheetId="48">'F-17'!$A$1:$Y$73</definedName>
    <definedName name="_xlnm.Print_Area" localSheetId="49">'F-18'!$A$1:$F$10</definedName>
    <definedName name="_xlnm.Print_Area" localSheetId="50">'F-19-A'!$A$1:$O$47</definedName>
    <definedName name="_xlnm.Print_Area" localSheetId="51">'F-19-B'!$A$1:$D$12</definedName>
    <definedName name="_xlnm.Print_Area" localSheetId="24">'F-1-B'!$A$1:$E$39</definedName>
    <definedName name="_xlnm.Print_Area" localSheetId="25">'F-2'!$A$1:$R$89</definedName>
    <definedName name="_xlnm.Print_Area" localSheetId="52">'F-20 '!$A$1:$E$22</definedName>
    <definedName name="_xlnm.Print_Area" localSheetId="53">'F-21'!$A$1:$E$39</definedName>
    <definedName name="_xlnm.Print_Area" localSheetId="54">'F-22'!$A$1:$D$36</definedName>
    <definedName name="_xlnm.Print_Area" localSheetId="40">'F-23 '!$A$1:$D$78</definedName>
    <definedName name="_xlnm.Print_Area" localSheetId="26">'F-3'!$A$1:$L$24</definedName>
    <definedName name="_xlnm.Print_Area" localSheetId="27">'F-4'!$A$1:$J$39</definedName>
    <definedName name="_xlnm.Print_Area" localSheetId="28">'F-5'!$A$1:$O$36</definedName>
    <definedName name="_xlnm.Print_Area" localSheetId="29">'F-6'!$B$1:$P$45</definedName>
    <definedName name="_xlnm.Print_Area" localSheetId="30">'F-7'!$A$1:$M$38</definedName>
    <definedName name="_xlnm.Print_Area" localSheetId="31">'F-8'!$A$1:$D$41</definedName>
    <definedName name="_xlnm.Print_Area" localSheetId="33">'F-9'!$A$1:$E$39</definedName>
    <definedName name="_xlnm.Print_Area" localSheetId="32">'F-9B'!$A$1:$O$31</definedName>
    <definedName name="_xlnm.Print_Area" localSheetId="6">Final!$A$1:$J$3509</definedName>
    <definedName name="_xlnm.Print_Area" localSheetId="4">'HT SALES '!$A$1:$T$23</definedName>
    <definedName name="_xlnm.Print_Area" localSheetId="13">'OERC 09 ,10 &amp; 11'!$A$1:$E$67</definedName>
    <definedName name="_xlnm.Print_Area" localSheetId="9">'OERC 1 &amp; 2'!$A$1:$E$81</definedName>
    <definedName name="_xlnm.Print_Area" localSheetId="14">'OERC 12 &amp; 13'!$A$1:$E$81</definedName>
    <definedName name="_xlnm.Print_Area" localSheetId="15">'OERC 14,15 &amp; 16'!$A$1:$F$87</definedName>
    <definedName name="_xlnm.Print_Area" localSheetId="16">'OERC 17 &amp; 18'!$A$1:$E$33</definedName>
    <definedName name="_xlnm.Print_Area" localSheetId="10">'OERC 3'!$A$1:$E$66</definedName>
    <definedName name="_xlnm.Print_Area" localSheetId="11">'OERC 4,5,7,8'!$A$1:$E$63</definedName>
    <definedName name="_xlnm.Print_Area" localSheetId="12">'OERC 6'!$A$1:$T$107</definedName>
    <definedName name="_xlnm.Print_Area" localSheetId="8">PL!$A$1:$G$60</definedName>
    <definedName name="_xlnm.Print_Area" localSheetId="80">PP!$A$1:$H$19</definedName>
    <definedName name="_xlnm.Print_Area" localSheetId="2">'REV.REL&amp; PEN -09-10 '!$A$1:$H$64</definedName>
    <definedName name="_xlnm.Print_Area" localSheetId="1">'REV.REL&amp;PEN -10-11 Six'!$A$1:$H$64</definedName>
    <definedName name="_xlnm.Print_Area" localSheetId="0">'REV.RELIEF 08-09-10'!$B$4:$L$66</definedName>
    <definedName name="_xlnm.Print_Area" localSheetId="93">'RoE(AF-40)'!$A$1:$F$11</definedName>
    <definedName name="_xlnm.Print_Area" localSheetId="77">Sheet3!$A$1:$H$60</definedName>
    <definedName name="_xlnm.Print_Area" localSheetId="87">Summary!$A$1:$J$17</definedName>
    <definedName name="_xlnm.Print_Area" localSheetId="95">'Supplier-Contractor-wise Claim'!$A$1:$H$70</definedName>
    <definedName name="_xlnm.Print_Area" localSheetId="59">'T-1'!$A$1:$P$67</definedName>
    <definedName name="_xlnm.Print_Area" localSheetId="60">'T-2'!$A$1:$L$55</definedName>
    <definedName name="_xlnm.Print_Area" localSheetId="61">'T-2 (A-S)'!$A$1:$L$55</definedName>
    <definedName name="_xlnm.Print_Area" localSheetId="62">'T-3'!$A$1:$J$46</definedName>
    <definedName name="_xlnm.Print_Area" localSheetId="63">'T-3 (A-S)'!$A$1:$J$46</definedName>
    <definedName name="_xlnm.Print_Area" localSheetId="64">'T-4'!$A$1:$M$66</definedName>
    <definedName name="_xlnm.Print_Area" localSheetId="65">'T-5'!$A$1:$K$30</definedName>
    <definedName name="_xlnm.Print_Area" localSheetId="66">'T-6 (21-22)'!$A$1:$K$73</definedName>
    <definedName name="_xlnm.Print_Area" localSheetId="67">'T-6 (22-23)'!$A$1:$K$75</definedName>
    <definedName name="_xlnm.Print_Area" localSheetId="68">'T-7(CUR)'!$A$1:$AF$65</definedName>
    <definedName name="_xlnm.Print_Area" localSheetId="69">'T-7(ENS)'!$A$1:$AF$71</definedName>
    <definedName name="_xlnm.Print_Area" localSheetId="70">'T-8'!$A$1:$BH$71</definedName>
    <definedName name="_xlnm.Print_Area" localSheetId="71">'T-9'!$A$1:$T$55</definedName>
    <definedName name="_xlnm.Print_Area" localSheetId="78">Terminal!$A$1:$D$61</definedName>
    <definedName name="_xlnm.Print_Area" localSheetId="85">'WF-10(Rev RQ-Cur)'!$A$1:$G$98</definedName>
    <definedName name="_xlnm.Print_Area" localSheetId="86">'WF-12(RevRQEns)'!$A$1:$G$99</definedName>
    <definedName name="_xlnm.Print_Area" localSheetId="88">'WF-13clear profit'!$A$1:$G$82</definedName>
    <definedName name="_xlnm.Print_Area" localSheetId="89">'WF-14(Capitalbase)'!$A$1:$D$44</definedName>
    <definedName name="_xlnm.Print_Area" localSheetId="90">'WF28'!$A$1:$M$30</definedName>
    <definedName name="_xlnm.Print_Area" localSheetId="81">'WF29'!$A$1:$N$35</definedName>
    <definedName name="_xlnm.Print_Area" localSheetId="91">'WF33'!$A$1:$F$27</definedName>
    <definedName name="_xlnm.Print_Area" localSheetId="92">'WF-39(WC)'!$A$1:$G$25</definedName>
    <definedName name="_xlnm.Print_Area" localSheetId="84">'WF-INTEREST'!$A$1:$X$45</definedName>
    <definedName name="_xlnm.Print_Titles" localSheetId="45">'F-14  '!$1:$4</definedName>
    <definedName name="_xlnm.Print_Titles" localSheetId="48">'F-17'!$1:$5</definedName>
    <definedName name="_xlnm.Print_Titles" localSheetId="6">Final!$3:$4</definedName>
    <definedName name="_xlnm.Print_Titles" localSheetId="59">'T-1'!$1:$6</definedName>
    <definedName name="_xlnm.Print_Titles" localSheetId="64">'T-4'!$1:$5</definedName>
    <definedName name="_xlnm.Print_Titles" localSheetId="66">'T-6 (21-22)'!$1:$5</definedName>
    <definedName name="_xlnm.Print_Titles" localSheetId="67">'T-6 (22-23)'!$1:$5</definedName>
    <definedName name="_xlnm.Print_Titles" localSheetId="69">'T-7(ENS)'!$A:$C,'T-7(ENS)'!$4:$10</definedName>
    <definedName name="_xlnm.Print_Titles" localSheetId="70">'T-8'!$A:$C</definedName>
    <definedName name="_xlnm.Print_Titles" localSheetId="85">'WF-10(Rev RQ-Cur)'!$1:$1</definedName>
    <definedName name="_xlnm.Print_Titles" localSheetId="88">'WF-13clear profit'!$1:$6</definedName>
    <definedName name="_xlnm.Print_Titles" localSheetId="89">'WF-14(Capitalbase)'!$1:$7</definedName>
    <definedName name="RE" localSheetId="6">#REF!</definedName>
    <definedName name="RE">#REF!</definedName>
    <definedName name="Reasonable_Rate_of_Return_on_Equity" localSheetId="94">[3]RoE!#REF!</definedName>
    <definedName name="Reasonable_Rate_of_Return_on_Equity" localSheetId="3">[4]RoE!#REF!</definedName>
    <definedName name="Reasonable_Rate_of_Return_on_Equity" localSheetId="29">[3]RoE!#REF!</definedName>
    <definedName name="Reasonable_Rate_of_Return_on_Equity" localSheetId="4">[4]RoE!#REF!</definedName>
    <definedName name="Reasonable_Rate_of_Return_on_Equity" localSheetId="2">[5]RoE!#REF!</definedName>
    <definedName name="Reasonable_Rate_of_Return_on_Equity" localSheetId="1">[5]RoE!#REF!</definedName>
    <definedName name="Reasonable_Rate_of_Return_on_Equity" localSheetId="0">[5]RoE!#REF!</definedName>
    <definedName name="Reasonable_Rate_of_Return_on_Equity" localSheetId="93">'RoE(AF-40)'!#REF!</definedName>
    <definedName name="Reasonable_Rate_of_Return_on_Equity" localSheetId="75">[4]RoE!#REF!</definedName>
    <definedName name="Reasonable_Rate_of_Return_on_Equity" localSheetId="71">[6]RoE!#REF!</definedName>
    <definedName name="Reasonable_Rate_of_Return_on_Equity">[7]RoE!#REF!</definedName>
    <definedName name="Repair_and_Maintenance" localSheetId="94">'[3]R&amp;M'!#REF!</definedName>
    <definedName name="Repair_and_Maintenance" localSheetId="3">'[4]R&amp;M'!#REF!</definedName>
    <definedName name="Repair_and_Maintenance" localSheetId="29">'[3]R&amp;M'!#REF!</definedName>
    <definedName name="Repair_and_Maintenance" localSheetId="4">'[4]R&amp;M'!#REF!</definedName>
    <definedName name="Repair_and_Maintenance" localSheetId="2">'[5]R&amp;M'!#REF!</definedName>
    <definedName name="Repair_and_Maintenance" localSheetId="1">'[5]R&amp;M'!#REF!</definedName>
    <definedName name="Repair_and_Maintenance" localSheetId="0">'[5]R&amp;M'!#REF!</definedName>
    <definedName name="Repair_and_Maintenance" localSheetId="93">'[3]R&amp;M'!#REF!</definedName>
    <definedName name="Repair_and_Maintenance" localSheetId="75">'[4]R&amp;M'!#REF!</definedName>
    <definedName name="Repair_and_Maintenance" localSheetId="71">'[6]R&amp;M'!#REF!</definedName>
    <definedName name="Repair_and_Maintenance">'[7]R&amp;M'!#REF!</definedName>
    <definedName name="Sources_of_revenues__other_than_sale_of_energy" localSheetId="94">'[3]Other revenue sources'!#REF!</definedName>
    <definedName name="Sources_of_revenues__other_than_sale_of_energy" localSheetId="3">'[4]Other revenue sources'!#REF!</definedName>
    <definedName name="Sources_of_revenues__other_than_sale_of_energy" localSheetId="29">'[3]Other revenue sources'!#REF!</definedName>
    <definedName name="Sources_of_revenues__other_than_sale_of_energy" localSheetId="4">'[4]Other revenue sources'!#REF!</definedName>
    <definedName name="Sources_of_revenues__other_than_sale_of_energy" localSheetId="2">'[5]Other revenue sources'!#REF!</definedName>
    <definedName name="Sources_of_revenues__other_than_sale_of_energy" localSheetId="1">'[5]Other revenue sources'!#REF!</definedName>
    <definedName name="Sources_of_revenues__other_than_sale_of_energy" localSheetId="0">'[5]Other revenue sources'!#REF!</definedName>
    <definedName name="Sources_of_revenues__other_than_sale_of_energy" localSheetId="93">'[3]Other revenue sources'!#REF!</definedName>
    <definedName name="Sources_of_revenues__other_than_sale_of_energy" localSheetId="75">'[4]Other revenue sources'!#REF!</definedName>
    <definedName name="Sources_of_revenues__other_than_sale_of_energy" localSheetId="71">'[6]Other revenue sources'!#REF!</definedName>
    <definedName name="Sources_of_revenues__other_than_sale_of_energy">'[7]Other revenue sources'!#REF!</definedName>
    <definedName name="Statement_of_Fixed_Assets_and_Depreciation" localSheetId="94">'[3]Depreciation Schedule'!#REF!</definedName>
    <definedName name="Statement_of_Fixed_Assets_and_Depreciation" localSheetId="3">'[4]Depreciation Schedule'!#REF!</definedName>
    <definedName name="Statement_of_Fixed_Assets_and_Depreciation" localSheetId="29">'[3]Depreciation Schedule'!#REF!</definedName>
    <definedName name="Statement_of_Fixed_Assets_and_Depreciation" localSheetId="4">'[4]Depreciation Schedule'!#REF!</definedName>
    <definedName name="Statement_of_Fixed_Assets_and_Depreciation" localSheetId="2">'[5]Depreciation Schedule'!#REF!</definedName>
    <definedName name="Statement_of_Fixed_Assets_and_Depreciation" localSheetId="1">'[5]Depreciation Schedule'!#REF!</definedName>
    <definedName name="Statement_of_Fixed_Assets_and_Depreciation" localSheetId="0">'[5]Depreciation Schedule'!#REF!</definedName>
    <definedName name="Statement_of_Fixed_Assets_and_Depreciation" localSheetId="93">'[3]Depreciation Schedule'!#REF!</definedName>
    <definedName name="Statement_of_Fixed_Assets_and_Depreciation" localSheetId="75">'[4]Depreciation Schedule'!#REF!</definedName>
    <definedName name="Statement_of_Fixed_Assets_and_Depreciation" localSheetId="71">'[6]Depreciation Schedule'!#REF!</definedName>
    <definedName name="Statement_of_Fixed_Assets_and_Depreciation">'[7]Depreciation Schedule'!#REF!</definedName>
    <definedName name="Tariff" localSheetId="94">#REF!</definedName>
    <definedName name="Tariff" localSheetId="3">#REF!</definedName>
    <definedName name="Tariff" localSheetId="29">#REF!</definedName>
    <definedName name="Tariff" localSheetId="4">#REF!</definedName>
    <definedName name="Tariff" localSheetId="93">#REF!</definedName>
    <definedName name="Tariff" localSheetId="75">#REF!</definedName>
    <definedName name="Tariff">#REF!</definedName>
    <definedName name="TarrGrowth" localSheetId="94">#REF!</definedName>
    <definedName name="TarrGrowth" localSheetId="3">#REF!</definedName>
    <definedName name="TarrGrowth" localSheetId="29">#REF!</definedName>
    <definedName name="TarrGrowth" localSheetId="4">#REF!</definedName>
    <definedName name="TarrGrowth" localSheetId="93">#REF!</definedName>
    <definedName name="TarrGrowth" localSheetId="75">#REF!</definedName>
    <definedName name="TarrGrowth">#REF!</definedName>
    <definedName name="TOTAL" localSheetId="6">#REF!</definedName>
    <definedName name="TOTAL">#REF!</definedName>
    <definedName name="xx" localSheetId="94">#REF!</definedName>
    <definedName name="xx" localSheetId="29">#REF!</definedName>
    <definedName name="xx" localSheetId="93">#REF!</definedName>
    <definedName name="xx">#REF!</definedName>
    <definedName name="xxx" localSheetId="6" hidden="1">#REF!</definedName>
    <definedName name="xxx" hidden="1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0" i="319" l="1"/>
  <c r="H53" i="319"/>
  <c r="H10" i="319"/>
  <c r="J16" i="325"/>
  <c r="J11" i="325"/>
  <c r="I16" i="325"/>
  <c r="I11" i="325"/>
  <c r="M14" i="325"/>
  <c r="E12" i="325"/>
  <c r="E11" i="325"/>
  <c r="E16" i="325"/>
  <c r="M11" i="325"/>
  <c r="D11" i="325"/>
  <c r="D16" i="325"/>
  <c r="M53" i="324"/>
  <c r="M54" i="324"/>
  <c r="M55" i="324"/>
  <c r="M56" i="324"/>
  <c r="M57" i="324"/>
  <c r="M58" i="324"/>
  <c r="M52" i="324"/>
  <c r="M35" i="324"/>
  <c r="M36" i="324"/>
  <c r="M37" i="324"/>
  <c r="M38" i="324"/>
  <c r="M39" i="324"/>
  <c r="M40" i="324"/>
  <c r="M41" i="324"/>
  <c r="M42" i="324"/>
  <c r="M43" i="324"/>
  <c r="M44" i="324"/>
  <c r="M45" i="324"/>
  <c r="M46" i="324"/>
  <c r="M47" i="324"/>
  <c r="M48" i="324"/>
  <c r="M34" i="324"/>
  <c r="M22" i="324"/>
  <c r="M23" i="324"/>
  <c r="M24" i="324"/>
  <c r="M25" i="324"/>
  <c r="M27" i="324"/>
  <c r="M28" i="324"/>
  <c r="M29" i="324"/>
  <c r="M30" i="324"/>
  <c r="M31" i="324"/>
  <c r="M17" i="324"/>
  <c r="M11" i="324"/>
  <c r="M10" i="324"/>
  <c r="L53" i="324"/>
  <c r="L54" i="324"/>
  <c r="L55" i="324"/>
  <c r="L56" i="324"/>
  <c r="L57" i="324"/>
  <c r="L58" i="324"/>
  <c r="L52" i="324"/>
  <c r="L44" i="324"/>
  <c r="L45" i="324"/>
  <c r="L46" i="324"/>
  <c r="L47" i="324"/>
  <c r="L48" i="324"/>
  <c r="L35" i="324"/>
  <c r="L36" i="324"/>
  <c r="L37" i="324"/>
  <c r="L38" i="324"/>
  <c r="L39" i="324"/>
  <c r="L40" i="324"/>
  <c r="L41" i="324"/>
  <c r="L42" i="324"/>
  <c r="L43" i="324"/>
  <c r="L34" i="324"/>
  <c r="L23" i="324"/>
  <c r="L22" i="324"/>
  <c r="L31" i="324"/>
  <c r="L30" i="324"/>
  <c r="L29" i="324"/>
  <c r="L28" i="324"/>
  <c r="L27" i="324"/>
  <c r="L26" i="324"/>
  <c r="L25" i="324"/>
  <c r="L24" i="324"/>
  <c r="L21" i="324"/>
  <c r="L11" i="324"/>
  <c r="L10" i="324"/>
  <c r="M6" i="324"/>
  <c r="L6" i="324"/>
  <c r="I31" i="323" l="1"/>
  <c r="I16" i="323"/>
  <c r="N12" i="323"/>
  <c r="I29" i="323"/>
  <c r="I14" i="323"/>
  <c r="N11" i="323"/>
  <c r="G29" i="323"/>
  <c r="G14" i="323"/>
  <c r="G31" i="323"/>
  <c r="G16" i="323"/>
  <c r="I14" i="322"/>
  <c r="I11" i="322"/>
  <c r="N13" i="322"/>
  <c r="I16" i="322"/>
  <c r="M12" i="322" s="1"/>
  <c r="O12" i="322" s="1"/>
  <c r="N12" i="322"/>
  <c r="G14" i="322"/>
  <c r="G17" i="322"/>
  <c r="G29" i="322"/>
  <c r="G31" i="322"/>
  <c r="K11" i="321"/>
  <c r="K10" i="321"/>
  <c r="K37" i="321"/>
  <c r="O10" i="321" s="1"/>
  <c r="L35" i="321"/>
  <c r="K35" i="321"/>
  <c r="O9" i="321" s="1"/>
  <c r="P11" i="321"/>
  <c r="P10" i="321"/>
  <c r="P9" i="321"/>
  <c r="F10" i="321"/>
  <c r="G29" i="321"/>
  <c r="F29" i="321"/>
  <c r="P14" i="321"/>
  <c r="E37" i="321"/>
  <c r="F30" i="320"/>
  <c r="K29" i="320"/>
  <c r="K11" i="320"/>
  <c r="K18" i="320"/>
  <c r="K37" i="320"/>
  <c r="K16" i="320"/>
  <c r="I16" i="320"/>
  <c r="G11" i="320"/>
  <c r="G29" i="320"/>
  <c r="F29" i="320"/>
  <c r="G12" i="320"/>
  <c r="E37" i="320"/>
  <c r="F12" i="320"/>
  <c r="F11" i="320"/>
  <c r="Q9" i="321" l="1"/>
  <c r="Q10" i="321"/>
  <c r="M12" i="323"/>
  <c r="O12" i="323" s="1"/>
  <c r="J15" i="326" l="1"/>
  <c r="H15" i="326"/>
  <c r="G15" i="326"/>
  <c r="F15" i="326"/>
  <c r="E15" i="326"/>
  <c r="D15" i="326"/>
  <c r="C15" i="326"/>
  <c r="C45" i="10"/>
  <c r="E13" i="392"/>
  <c r="H9" i="392" l="1"/>
  <c r="I9" i="392" s="1"/>
  <c r="G13" i="392"/>
  <c r="E26" i="392"/>
  <c r="B26" i="392" s="1"/>
  <c r="C26" i="392" s="1"/>
  <c r="C73" i="327"/>
  <c r="L73" i="327"/>
  <c r="K60" i="327"/>
  <c r="I62" i="327"/>
  <c r="I61" i="327"/>
  <c r="K61" i="327" s="1"/>
  <c r="I60" i="327"/>
  <c r="I57" i="319" s="1"/>
  <c r="I59" i="327"/>
  <c r="I56" i="319" s="1"/>
  <c r="I58" i="327"/>
  <c r="I55" i="319" s="1"/>
  <c r="I57" i="327"/>
  <c r="I54" i="319" s="1"/>
  <c r="I56" i="327"/>
  <c r="K56" i="327" s="1"/>
  <c r="I55" i="327"/>
  <c r="I54" i="327"/>
  <c r="I51" i="327"/>
  <c r="I50" i="327"/>
  <c r="I49" i="327"/>
  <c r="I48" i="327"/>
  <c r="I47" i="327"/>
  <c r="I46" i="327"/>
  <c r="K46" i="327" s="1"/>
  <c r="I45" i="327"/>
  <c r="K45" i="327"/>
  <c r="I32" i="327"/>
  <c r="K32" i="327" s="1"/>
  <c r="C61" i="326"/>
  <c r="D61" i="326"/>
  <c r="E61" i="326"/>
  <c r="F61" i="326"/>
  <c r="G61" i="326"/>
  <c r="H61" i="326"/>
  <c r="J51" i="326"/>
  <c r="H51" i="326"/>
  <c r="G51" i="326"/>
  <c r="F51" i="326"/>
  <c r="E51" i="326"/>
  <c r="D51" i="326"/>
  <c r="C51" i="326"/>
  <c r="G33" i="326"/>
  <c r="I9" i="326"/>
  <c r="I43" i="319" l="1"/>
  <c r="I52" i="319"/>
  <c r="K55" i="327"/>
  <c r="K58" i="327"/>
  <c r="K9" i="326"/>
  <c r="J33" i="326"/>
  <c r="F33" i="326"/>
  <c r="D33" i="326"/>
  <c r="E33" i="326"/>
  <c r="H33" i="326"/>
  <c r="C33" i="326"/>
  <c r="K16" i="319"/>
  <c r="L17" i="324" s="1"/>
  <c r="J10" i="319"/>
  <c r="E57" i="328"/>
  <c r="D57" i="328"/>
  <c r="D49" i="328"/>
  <c r="D50" i="328"/>
  <c r="D51" i="328"/>
  <c r="D52" i="328"/>
  <c r="D53" i="328"/>
  <c r="D40" i="328"/>
  <c r="D41" i="328"/>
  <c r="D42" i="328"/>
  <c r="D43" i="328"/>
  <c r="D44" i="328"/>
  <c r="D45" i="328"/>
  <c r="D46" i="328"/>
  <c r="D47" i="328"/>
  <c r="D48" i="328"/>
  <c r="D39" i="328"/>
  <c r="O26" i="319"/>
  <c r="M26" i="324" s="1"/>
  <c r="O21" i="319"/>
  <c r="M21" i="324" s="1"/>
  <c r="N16" i="319"/>
  <c r="D40" i="329"/>
  <c r="D41" i="329"/>
  <c r="D42" i="329"/>
  <c r="D43" i="329"/>
  <c r="D44" i="329"/>
  <c r="D45" i="329"/>
  <c r="D46" i="329"/>
  <c r="D47" i="329"/>
  <c r="D48" i="329"/>
  <c r="D49" i="329"/>
  <c r="D50" i="329"/>
  <c r="D51" i="329"/>
  <c r="D52" i="329"/>
  <c r="D53" i="329"/>
  <c r="D39" i="329"/>
  <c r="R57" i="329"/>
  <c r="F8" i="283" l="1"/>
  <c r="F7" i="283"/>
  <c r="C25" i="136" l="1"/>
  <c r="C17" i="136"/>
  <c r="D58" i="328"/>
  <c r="D59" i="328"/>
  <c r="D60" i="328"/>
  <c r="D61" i="328"/>
  <c r="D62" i="328"/>
  <c r="D63" i="328"/>
  <c r="D56" i="328"/>
  <c r="D60" i="329"/>
  <c r="D61" i="329"/>
  <c r="D62" i="329"/>
  <c r="D63" i="329"/>
  <c r="D58" i="329"/>
  <c r="D59" i="329"/>
  <c r="K41" i="95" l="1"/>
  <c r="K40" i="95"/>
  <c r="K38" i="95"/>
  <c r="O21" i="95"/>
  <c r="B14" i="95"/>
  <c r="K45" i="95"/>
  <c r="K44" i="95"/>
  <c r="K43" i="95"/>
  <c r="K42" i="95"/>
  <c r="K37" i="95"/>
  <c r="J22" i="95" l="1"/>
  <c r="F20" i="95"/>
  <c r="F18" i="95"/>
  <c r="F12" i="95"/>
  <c r="G28" i="319"/>
  <c r="G26" i="319"/>
  <c r="G23" i="319"/>
  <c r="G16" i="319"/>
  <c r="E22" i="95" l="1"/>
  <c r="F17" i="95"/>
  <c r="G37" i="142"/>
  <c r="G12" i="142" l="1"/>
  <c r="T15" i="136"/>
  <c r="T14" i="136"/>
  <c r="N16" i="136"/>
  <c r="J18" i="320" l="1"/>
  <c r="I48" i="321"/>
  <c r="I50" i="321"/>
  <c r="I51" i="321"/>
  <c r="I52" i="321"/>
  <c r="I53" i="321"/>
  <c r="I54" i="321"/>
  <c r="C44" i="324"/>
  <c r="C45" i="324"/>
  <c r="C46" i="324"/>
  <c r="C47" i="324"/>
  <c r="C12" i="324"/>
  <c r="C13" i="324"/>
  <c r="C14" i="324"/>
  <c r="C15" i="324"/>
  <c r="C16" i="324"/>
  <c r="C18" i="324"/>
  <c r="C19" i="324"/>
  <c r="C20" i="324"/>
  <c r="D17" i="325"/>
  <c r="L10" i="325" s="1"/>
  <c r="E17" i="325"/>
  <c r="L11" i="325" s="1"/>
  <c r="N11" i="325" s="1"/>
  <c r="B17" i="325"/>
  <c r="C17" i="325"/>
  <c r="F17" i="325"/>
  <c r="G17" i="325"/>
  <c r="H17" i="325"/>
  <c r="I17" i="325"/>
  <c r="L13" i="325" s="1"/>
  <c r="J17" i="325"/>
  <c r="L14" i="325" s="1"/>
  <c r="N14" i="325" s="1"/>
  <c r="K17" i="325"/>
  <c r="B30" i="325"/>
  <c r="C30" i="325"/>
  <c r="D30" i="325"/>
  <c r="E30" i="325"/>
  <c r="F30" i="325"/>
  <c r="G30" i="325"/>
  <c r="I54" i="326"/>
  <c r="I55" i="326"/>
  <c r="I56" i="326"/>
  <c r="F54" i="319" s="1"/>
  <c r="I57" i="326"/>
  <c r="I58" i="326"/>
  <c r="F56" i="319" s="1"/>
  <c r="I59" i="326"/>
  <c r="I60" i="326"/>
  <c r="F58" i="319" s="1"/>
  <c r="P54" i="370"/>
  <c r="O54" i="370"/>
  <c r="N54" i="370"/>
  <c r="M54" i="370"/>
  <c r="L54" i="370"/>
  <c r="K54" i="370"/>
  <c r="J54" i="370"/>
  <c r="I54" i="370"/>
  <c r="T52" i="370"/>
  <c r="Q52" i="370"/>
  <c r="R52" i="370" s="1"/>
  <c r="S52" i="370" s="1"/>
  <c r="H52" i="370"/>
  <c r="T51" i="370"/>
  <c r="Q51" i="370"/>
  <c r="R51" i="370" s="1"/>
  <c r="S51" i="370" s="1"/>
  <c r="H51" i="370"/>
  <c r="T50" i="370"/>
  <c r="Q50" i="370"/>
  <c r="R50" i="370" s="1"/>
  <c r="S50" i="370" s="1"/>
  <c r="H50" i="370"/>
  <c r="T49" i="370"/>
  <c r="R49" i="370"/>
  <c r="S49" i="370" s="1"/>
  <c r="Q49" i="370"/>
  <c r="H49" i="370"/>
  <c r="T48" i="370"/>
  <c r="Q48" i="370"/>
  <c r="R48" i="370" s="1"/>
  <c r="S48" i="370" s="1"/>
  <c r="H48" i="370"/>
  <c r="T47" i="370"/>
  <c r="Q47" i="370"/>
  <c r="R47" i="370" s="1"/>
  <c r="S47" i="370" s="1"/>
  <c r="H47" i="370"/>
  <c r="T46" i="370"/>
  <c r="Q46" i="370"/>
  <c r="R46" i="370" s="1"/>
  <c r="S46" i="370" s="1"/>
  <c r="H46" i="370"/>
  <c r="T45" i="370"/>
  <c r="R45" i="370"/>
  <c r="S45" i="370" s="1"/>
  <c r="Q45" i="370"/>
  <c r="H45" i="370"/>
  <c r="T44" i="370"/>
  <c r="Q44" i="370"/>
  <c r="R44" i="370" s="1"/>
  <c r="S44" i="370" s="1"/>
  <c r="H44" i="370"/>
  <c r="T43" i="370"/>
  <c r="Q43" i="370"/>
  <c r="R43" i="370" s="1"/>
  <c r="S43" i="370" s="1"/>
  <c r="H43" i="370"/>
  <c r="T42" i="370"/>
  <c r="Q42" i="370"/>
  <c r="R42" i="370" s="1"/>
  <c r="S42" i="370" s="1"/>
  <c r="H42" i="370"/>
  <c r="T41" i="370"/>
  <c r="Q41" i="370"/>
  <c r="R41" i="370" s="1"/>
  <c r="S41" i="370" s="1"/>
  <c r="H41" i="370"/>
  <c r="T40" i="370"/>
  <c r="Q40" i="370"/>
  <c r="R40" i="370" s="1"/>
  <c r="S40" i="370" s="1"/>
  <c r="H40" i="370"/>
  <c r="T39" i="370"/>
  <c r="R39" i="370"/>
  <c r="S39" i="370" s="1"/>
  <c r="Q39" i="370"/>
  <c r="H39" i="370"/>
  <c r="T38" i="370"/>
  <c r="Q38" i="370"/>
  <c r="R38" i="370" s="1"/>
  <c r="S38" i="370" s="1"/>
  <c r="H38" i="370"/>
  <c r="Q37" i="370"/>
  <c r="R37" i="370" s="1"/>
  <c r="S37" i="370" s="1"/>
  <c r="H37" i="370"/>
  <c r="T36" i="370"/>
  <c r="Q36" i="370"/>
  <c r="R36" i="370" s="1"/>
  <c r="S36" i="370" s="1"/>
  <c r="H36" i="370"/>
  <c r="T35" i="370"/>
  <c r="Q35" i="370"/>
  <c r="R35" i="370" s="1"/>
  <c r="S35" i="370" s="1"/>
  <c r="H35" i="370"/>
  <c r="T34" i="370"/>
  <c r="R34" i="370"/>
  <c r="S34" i="370" s="1"/>
  <c r="Q34" i="370"/>
  <c r="H34" i="370"/>
  <c r="T33" i="370"/>
  <c r="Q33" i="370"/>
  <c r="R33" i="370" s="1"/>
  <c r="S33" i="370" s="1"/>
  <c r="H33" i="370"/>
  <c r="T32" i="370"/>
  <c r="Q32" i="370"/>
  <c r="R32" i="370" s="1"/>
  <c r="S32" i="370" s="1"/>
  <c r="H32" i="370"/>
  <c r="T31" i="370"/>
  <c r="Q31" i="370"/>
  <c r="R31" i="370" s="1"/>
  <c r="S31" i="370" s="1"/>
  <c r="H31" i="370"/>
  <c r="T30" i="370"/>
  <c r="R30" i="370"/>
  <c r="S30" i="370" s="1"/>
  <c r="Q30" i="370"/>
  <c r="H30" i="370"/>
  <c r="V29" i="370"/>
  <c r="T29" i="370"/>
  <c r="R29" i="370"/>
  <c r="S29" i="370" s="1"/>
  <c r="Q29" i="370"/>
  <c r="H29" i="370"/>
  <c r="P27" i="370"/>
  <c r="P55" i="370" s="1"/>
  <c r="O27" i="370"/>
  <c r="O55" i="370" s="1"/>
  <c r="N27" i="370"/>
  <c r="M27" i="370"/>
  <c r="L27" i="370"/>
  <c r="L55" i="370" s="1"/>
  <c r="K27" i="370"/>
  <c r="K55" i="370" s="1"/>
  <c r="J27" i="370"/>
  <c r="J55" i="370" s="1"/>
  <c r="I27" i="370"/>
  <c r="I55" i="370" s="1"/>
  <c r="Q24" i="370"/>
  <c r="R24" i="370" s="1"/>
  <c r="T24" i="370" s="1"/>
  <c r="T23" i="370"/>
  <c r="Q23" i="370"/>
  <c r="R23" i="370" s="1"/>
  <c r="F27" i="370" s="1"/>
  <c r="Q22" i="370"/>
  <c r="R22" i="370" s="1"/>
  <c r="H22" i="370"/>
  <c r="Q21" i="370"/>
  <c r="R21" i="370" s="1"/>
  <c r="H21" i="370"/>
  <c r="Q20" i="370"/>
  <c r="R20" i="370" s="1"/>
  <c r="H20" i="370"/>
  <c r="Q19" i="370"/>
  <c r="R19" i="370" s="1"/>
  <c r="T19" i="370" s="1"/>
  <c r="H19" i="370"/>
  <c r="Q18" i="370"/>
  <c r="R18" i="370" s="1"/>
  <c r="H18" i="370"/>
  <c r="Q17" i="370"/>
  <c r="R17" i="370" s="1"/>
  <c r="T17" i="370" s="1"/>
  <c r="H17" i="370"/>
  <c r="Q16" i="370"/>
  <c r="R16" i="370" s="1"/>
  <c r="H16" i="370"/>
  <c r="Q15" i="370"/>
  <c r="R15" i="370" s="1"/>
  <c r="H15" i="370"/>
  <c r="Q14" i="370"/>
  <c r="R14" i="370" s="1"/>
  <c r="H14" i="370"/>
  <c r="Q13" i="370"/>
  <c r="R13" i="370" s="1"/>
  <c r="H13" i="370"/>
  <c r="Q12" i="370"/>
  <c r="R12" i="370" s="1"/>
  <c r="H12" i="370"/>
  <c r="Q11" i="370"/>
  <c r="R11" i="370" s="1"/>
  <c r="T11" i="370" s="1"/>
  <c r="H11" i="370"/>
  <c r="Q10" i="370"/>
  <c r="R10" i="370" s="1"/>
  <c r="H10" i="370"/>
  <c r="Q9" i="370"/>
  <c r="R9" i="370" s="1"/>
  <c r="T9" i="370" s="1"/>
  <c r="H9" i="370"/>
  <c r="Q8" i="370"/>
  <c r="R8" i="370" s="1"/>
  <c r="H8" i="370"/>
  <c r="Q7" i="370"/>
  <c r="H7" i="370"/>
  <c r="F53" i="319" l="1"/>
  <c r="K55" i="326"/>
  <c r="N55" i="370"/>
  <c r="F55" i="319"/>
  <c r="K57" i="326"/>
  <c r="F52" i="319"/>
  <c r="K54" i="326"/>
  <c r="T54" i="370"/>
  <c r="M55" i="370"/>
  <c r="F57" i="319"/>
  <c r="K59" i="326"/>
  <c r="C52" i="324"/>
  <c r="C58" i="324"/>
  <c r="C57" i="324"/>
  <c r="C56" i="324"/>
  <c r="C55" i="324"/>
  <c r="C54" i="324"/>
  <c r="C53" i="324"/>
  <c r="S21" i="370"/>
  <c r="T21" i="370"/>
  <c r="S15" i="370"/>
  <c r="T15" i="370"/>
  <c r="S13" i="370"/>
  <c r="T13" i="370"/>
  <c r="Q27" i="370"/>
  <c r="R7" i="370"/>
  <c r="R27" i="370" s="1"/>
  <c r="T10" i="370"/>
  <c r="S10" i="370"/>
  <c r="T16" i="370"/>
  <c r="S16" i="370"/>
  <c r="S22" i="370"/>
  <c r="T22" i="370"/>
  <c r="T8" i="370"/>
  <c r="S8" i="370"/>
  <c r="T20" i="370"/>
  <c r="S20" i="370"/>
  <c r="S12" i="370"/>
  <c r="T12" i="370"/>
  <c r="S14" i="370"/>
  <c r="T14" i="370"/>
  <c r="T18" i="370"/>
  <c r="S18" i="370"/>
  <c r="Q54" i="370"/>
  <c r="S9" i="370"/>
  <c r="S17" i="370"/>
  <c r="S24" i="370"/>
  <c r="R54" i="370"/>
  <c r="S54" i="370" s="1"/>
  <c r="S11" i="370"/>
  <c r="S19" i="370"/>
  <c r="S7" i="370" l="1"/>
  <c r="T7" i="370"/>
  <c r="T27" i="370" s="1"/>
  <c r="T55" i="370" s="1"/>
  <c r="Q55" i="370"/>
  <c r="S27" i="370"/>
  <c r="R55" i="370"/>
  <c r="S55" i="370" s="1"/>
  <c r="F75" i="148" l="1"/>
  <c r="G75" i="148" s="1"/>
  <c r="G76" i="148" s="1"/>
  <c r="B22" i="392"/>
  <c r="C22" i="392" s="1"/>
  <c r="B35" i="392"/>
  <c r="C35" i="392" s="1"/>
  <c r="J15" i="399"/>
  <c r="J17" i="399" s="1"/>
  <c r="B17" i="399" s="1"/>
  <c r="B18" i="399" s="1"/>
  <c r="B9" i="392"/>
  <c r="C9" i="392" s="1"/>
  <c r="B7" i="392"/>
  <c r="C7" i="392" s="1"/>
  <c r="N8" i="391"/>
  <c r="M8" i="391"/>
  <c r="L8" i="391"/>
  <c r="S6" i="391"/>
  <c r="B10" i="397"/>
  <c r="B12" i="397" s="1"/>
  <c r="H22" i="391"/>
  <c r="G22" i="391"/>
  <c r="F22" i="391"/>
  <c r="E22" i="391"/>
  <c r="D22" i="391"/>
  <c r="C22" i="391"/>
  <c r="O22" i="391" l="1"/>
  <c r="G21" i="392"/>
  <c r="B19" i="399"/>
  <c r="C17" i="399" s="1"/>
  <c r="C18" i="399" s="1"/>
  <c r="B10" i="399"/>
  <c r="B20" i="392"/>
  <c r="C20" i="392" s="1"/>
  <c r="O8" i="391"/>
  <c r="B12" i="396"/>
  <c r="B15" i="396" s="1"/>
  <c r="B16" i="396" s="1"/>
  <c r="T10" i="396"/>
  <c r="T9" i="396"/>
  <c r="T8" i="396"/>
  <c r="T7" i="396"/>
  <c r="T6" i="396"/>
  <c r="T5" i="396"/>
  <c r="T4" i="396"/>
  <c r="C19" i="399" l="1"/>
  <c r="D17" i="399" s="1"/>
  <c r="C10" i="399"/>
  <c r="C19" i="395"/>
  <c r="C18" i="395"/>
  <c r="C17" i="395" l="1"/>
  <c r="C10" i="395"/>
  <c r="C20" i="395" s="1"/>
  <c r="D18" i="399"/>
  <c r="D10" i="399" s="1"/>
  <c r="C24" i="395" l="1"/>
  <c r="D19" i="399"/>
  <c r="C13" i="395"/>
  <c r="C22" i="395"/>
  <c r="C23" i="395" s="1"/>
  <c r="C25" i="395" s="1"/>
  <c r="D18" i="398" l="1"/>
  <c r="F18" i="398"/>
  <c r="E18" i="398"/>
  <c r="N15" i="391"/>
  <c r="M15" i="391"/>
  <c r="L15" i="391"/>
  <c r="K15" i="391"/>
  <c r="J15" i="391"/>
  <c r="I15" i="391"/>
  <c r="H15" i="391"/>
  <c r="G15" i="391"/>
  <c r="F15" i="391"/>
  <c r="E15" i="391"/>
  <c r="D15" i="391"/>
  <c r="C15" i="391"/>
  <c r="S13" i="391"/>
  <c r="F74" i="83"/>
  <c r="F73" i="83"/>
  <c r="F71" i="83"/>
  <c r="F70" i="83"/>
  <c r="F69" i="83"/>
  <c r="F68" i="83"/>
  <c r="F67" i="83"/>
  <c r="F66" i="83"/>
  <c r="F65" i="83"/>
  <c r="F58" i="83"/>
  <c r="F45" i="83"/>
  <c r="F32" i="83"/>
  <c r="E49" i="83"/>
  <c r="F49" i="83" s="1"/>
  <c r="E72" i="83"/>
  <c r="E60" i="83"/>
  <c r="F60" i="83" s="1"/>
  <c r="E75" i="83"/>
  <c r="F75" i="83" s="1"/>
  <c r="E32" i="83"/>
  <c r="E17" i="83"/>
  <c r="E8" i="82"/>
  <c r="E10" i="82"/>
  <c r="E11" i="82"/>
  <c r="E94" i="143"/>
  <c r="C104" i="143" s="1"/>
  <c r="E104" i="143" s="1"/>
  <c r="C114" i="143" s="1"/>
  <c r="E114" i="143" s="1"/>
  <c r="F98" i="143"/>
  <c r="D98" i="143"/>
  <c r="F25" i="393"/>
  <c r="E23" i="394"/>
  <c r="E20" i="394" s="1"/>
  <c r="D23" i="394"/>
  <c r="D20" i="394" s="1"/>
  <c r="C23" i="394"/>
  <c r="C20" i="394" s="1"/>
  <c r="O15" i="391" l="1"/>
  <c r="F72" i="83"/>
  <c r="E97" i="143"/>
  <c r="E98" i="143" s="1"/>
  <c r="C18" i="398"/>
  <c r="E117" i="143"/>
  <c r="C98" i="143"/>
  <c r="C107" i="143" l="1"/>
  <c r="E107" i="143" s="1"/>
  <c r="J64" i="142" l="1"/>
  <c r="G17" i="142" l="1"/>
  <c r="R13" i="136"/>
  <c r="R16" i="136" s="1"/>
  <c r="T13" i="136" s="1"/>
  <c r="T16" i="136" s="1"/>
  <c r="F22" i="142" l="1"/>
  <c r="E22" i="142"/>
  <c r="D22" i="142"/>
  <c r="C22" i="142"/>
  <c r="D10" i="393" l="1"/>
  <c r="C14" i="394"/>
  <c r="C17" i="394" s="1"/>
  <c r="I10" i="393"/>
  <c r="D14" i="394"/>
  <c r="D17" i="394" s="1"/>
  <c r="N10" i="393" l="1"/>
  <c r="E14" i="394"/>
  <c r="E17" i="394" s="1"/>
  <c r="D21" i="394"/>
  <c r="C21" i="394"/>
  <c r="C19" i="394"/>
  <c r="E21" i="394" l="1"/>
  <c r="C14" i="393" l="1"/>
  <c r="D14" i="393"/>
  <c r="I14" i="393"/>
  <c r="H14" i="393"/>
  <c r="G15" i="393" l="1"/>
  <c r="G17" i="393" s="1"/>
  <c r="C13" i="393"/>
  <c r="C15" i="393" s="1"/>
  <c r="C17" i="393" s="1"/>
  <c r="D13" i="393"/>
  <c r="D15" i="393" s="1"/>
  <c r="D17" i="393" s="1"/>
  <c r="E22" i="387"/>
  <c r="M22" i="149" l="1"/>
  <c r="M23" i="149"/>
  <c r="M24" i="149"/>
  <c r="M25" i="149"/>
  <c r="M26" i="149"/>
  <c r="M27" i="149"/>
  <c r="M28" i="149"/>
  <c r="M29" i="149"/>
  <c r="M30" i="149"/>
  <c r="M31" i="149"/>
  <c r="M32" i="149"/>
  <c r="M33" i="149"/>
  <c r="M34" i="149"/>
  <c r="M35" i="149"/>
  <c r="M36" i="149"/>
  <c r="M37" i="149"/>
  <c r="M38" i="149"/>
  <c r="M39" i="149"/>
  <c r="M40" i="149"/>
  <c r="M41" i="149"/>
  <c r="M42" i="149"/>
  <c r="M43" i="149"/>
  <c r="M44" i="149"/>
  <c r="M45" i="149"/>
  <c r="M46" i="149"/>
  <c r="M47" i="149"/>
  <c r="M48" i="149"/>
  <c r="M49" i="149"/>
  <c r="M50" i="149"/>
  <c r="M51" i="149"/>
  <c r="M52" i="149"/>
  <c r="M53" i="149"/>
  <c r="M54" i="149"/>
  <c r="M55" i="149"/>
  <c r="M56" i="149"/>
  <c r="M57" i="149"/>
  <c r="M58" i="149"/>
  <c r="M59" i="149"/>
  <c r="M60" i="149"/>
  <c r="M61" i="149"/>
  <c r="M62" i="149"/>
  <c r="M63" i="149"/>
  <c r="M64" i="149"/>
  <c r="M65" i="149"/>
  <c r="M66" i="149"/>
  <c r="M67" i="149"/>
  <c r="M68" i="149"/>
  <c r="M69" i="149"/>
  <c r="G17" i="149" l="1"/>
  <c r="H15" i="149"/>
  <c r="H13" i="149"/>
  <c r="H12" i="149"/>
  <c r="U20" i="390"/>
  <c r="T20" i="390"/>
  <c r="S20" i="390"/>
  <c r="R20" i="390"/>
  <c r="Q20" i="390"/>
  <c r="P20" i="390"/>
  <c r="H20" i="390"/>
  <c r="G20" i="390"/>
  <c r="F20" i="390"/>
  <c r="E20" i="390"/>
  <c r="D20" i="390"/>
  <c r="C20" i="390"/>
  <c r="U19" i="390"/>
  <c r="T19" i="390"/>
  <c r="S19" i="390"/>
  <c r="R19" i="390"/>
  <c r="Q19" i="390"/>
  <c r="P19" i="390"/>
  <c r="V19" i="390" s="1"/>
  <c r="H19" i="390"/>
  <c r="G19" i="390"/>
  <c r="F19" i="390"/>
  <c r="E19" i="390"/>
  <c r="D19" i="390"/>
  <c r="C19" i="390"/>
  <c r="O19" i="390" s="1"/>
  <c r="U18" i="390"/>
  <c r="U22" i="390" s="1"/>
  <c r="T18" i="390"/>
  <c r="T22" i="390" s="1"/>
  <c r="S18" i="390"/>
  <c r="S22" i="390" s="1"/>
  <c r="R18" i="390"/>
  <c r="Q18" i="390"/>
  <c r="Q22" i="390" s="1"/>
  <c r="P18" i="390"/>
  <c r="N18" i="390"/>
  <c r="N22" i="390" s="1"/>
  <c r="M18" i="390"/>
  <c r="M22" i="390" s="1"/>
  <c r="L18" i="390"/>
  <c r="L22" i="390" s="1"/>
  <c r="K18" i="390"/>
  <c r="K22" i="390" s="1"/>
  <c r="J18" i="390"/>
  <c r="J22" i="390" s="1"/>
  <c r="I18" i="390"/>
  <c r="I22" i="390" s="1"/>
  <c r="H18" i="390"/>
  <c r="H22" i="390" s="1"/>
  <c r="G18" i="390"/>
  <c r="F18" i="390"/>
  <c r="F22" i="390" s="1"/>
  <c r="E18" i="390"/>
  <c r="D18" i="390"/>
  <c r="D22" i="390" s="1"/>
  <c r="C18" i="390"/>
  <c r="C22" i="390" s="1"/>
  <c r="V17" i="390"/>
  <c r="O17" i="390"/>
  <c r="V16" i="390"/>
  <c r="O16" i="390"/>
  <c r="V15" i="390"/>
  <c r="O15" i="390"/>
  <c r="V14" i="390"/>
  <c r="O14" i="390"/>
  <c r="V13" i="390"/>
  <c r="O13" i="390"/>
  <c r="V12" i="390"/>
  <c r="O12" i="390"/>
  <c r="V11" i="390"/>
  <c r="O11" i="390"/>
  <c r="V10" i="390"/>
  <c r="O10" i="390"/>
  <c r="V9" i="390"/>
  <c r="O9" i="390"/>
  <c r="V8" i="390"/>
  <c r="O8" i="390"/>
  <c r="V7" i="390"/>
  <c r="O7" i="390"/>
  <c r="V6" i="390"/>
  <c r="O6" i="390"/>
  <c r="V5" i="390"/>
  <c r="O5" i="390"/>
  <c r="X4" i="390"/>
  <c r="V4" i="390"/>
  <c r="O4" i="390"/>
  <c r="X17" i="390"/>
  <c r="V3" i="390"/>
  <c r="O3" i="390"/>
  <c r="O18" i="390" l="1"/>
  <c r="O22" i="390" s="1"/>
  <c r="G22" i="390"/>
  <c r="P22" i="390"/>
  <c r="V20" i="390"/>
  <c r="E22" i="390"/>
  <c r="V18" i="390"/>
  <c r="V22" i="390" s="1"/>
  <c r="R22" i="390"/>
  <c r="O20" i="390"/>
  <c r="D64" i="83" l="1"/>
  <c r="E64" i="83" s="1"/>
  <c r="F64" i="83" s="1"/>
  <c r="D48" i="83"/>
  <c r="E48" i="83" s="1"/>
  <c r="F48" i="83" s="1"/>
  <c r="D47" i="83"/>
  <c r="E47" i="83" s="1"/>
  <c r="F47" i="83" s="1"/>
  <c r="D46" i="83"/>
  <c r="E46" i="83" s="1"/>
  <c r="F46" i="83" s="1"/>
  <c r="D43" i="83"/>
  <c r="E43" i="83" s="1"/>
  <c r="F43" i="83" s="1"/>
  <c r="D42" i="83"/>
  <c r="D41" i="83"/>
  <c r="E41" i="83" s="1"/>
  <c r="F41" i="83" s="1"/>
  <c r="D40" i="83"/>
  <c r="E40" i="83" s="1"/>
  <c r="F40" i="83" s="1"/>
  <c r="D39" i="83"/>
  <c r="E39" i="83" s="1"/>
  <c r="F39" i="83" s="1"/>
  <c r="D38" i="83"/>
  <c r="E38" i="83" s="1"/>
  <c r="F38" i="83" s="1"/>
  <c r="D37" i="83"/>
  <c r="E37" i="83" s="1"/>
  <c r="F37" i="83" s="1"/>
  <c r="D35" i="83"/>
  <c r="E35" i="83" s="1"/>
  <c r="F35" i="83" s="1"/>
  <c r="D31" i="83"/>
  <c r="E31" i="83" s="1"/>
  <c r="F31" i="83" s="1"/>
  <c r="D30" i="83"/>
  <c r="E30" i="83" s="1"/>
  <c r="F30" i="83" s="1"/>
  <c r="D29" i="83"/>
  <c r="E29" i="83" s="1"/>
  <c r="F29" i="83" s="1"/>
  <c r="D25" i="83"/>
  <c r="E25" i="83" s="1"/>
  <c r="F25" i="83" s="1"/>
  <c r="D24" i="83"/>
  <c r="E24" i="83" s="1"/>
  <c r="F24" i="83" s="1"/>
  <c r="D22" i="83"/>
  <c r="E22" i="83" s="1"/>
  <c r="F22" i="83" s="1"/>
  <c r="D21" i="83"/>
  <c r="E21" i="83" s="1"/>
  <c r="F21" i="83" s="1"/>
  <c r="D15" i="83"/>
  <c r="E15" i="83" s="1"/>
  <c r="F15" i="83" s="1"/>
  <c r="D14" i="83"/>
  <c r="E14" i="83" s="1"/>
  <c r="F14" i="83" s="1"/>
  <c r="D10" i="83"/>
  <c r="E10" i="83" s="1"/>
  <c r="F10" i="83" s="1"/>
  <c r="D8" i="83"/>
  <c r="E8" i="83" s="1"/>
  <c r="F8" i="83" s="1"/>
  <c r="D7" i="83" l="1"/>
  <c r="E7" i="83" s="1"/>
  <c r="F7" i="83" s="1"/>
  <c r="D11" i="82" l="1"/>
  <c r="D10" i="82"/>
  <c r="D8" i="82"/>
  <c r="D11" i="283" l="1"/>
  <c r="C11" i="283"/>
  <c r="E21" i="147" l="1"/>
  <c r="E18" i="147"/>
  <c r="E17" i="147"/>
  <c r="E16" i="147"/>
  <c r="D17" i="147"/>
  <c r="D18" i="147"/>
  <c r="D21" i="147"/>
  <c r="D16" i="147"/>
  <c r="C18" i="147"/>
  <c r="C21" i="147"/>
  <c r="C30" i="147"/>
  <c r="C16" i="147" s="1"/>
  <c r="C31" i="147"/>
  <c r="C17" i="147" s="1"/>
  <c r="G270" i="149" l="1"/>
  <c r="B95" i="138"/>
  <c r="C10" i="83"/>
  <c r="C25" i="83"/>
  <c r="C22" i="83"/>
  <c r="C64" i="83"/>
  <c r="C47" i="83"/>
  <c r="C46" i="83"/>
  <c r="C21" i="83"/>
  <c r="C43" i="83"/>
  <c r="C48" i="83"/>
  <c r="C42" i="83"/>
  <c r="C41" i="83"/>
  <c r="C40" i="83"/>
  <c r="C37" i="83"/>
  <c r="C39" i="83"/>
  <c r="C38" i="83"/>
  <c r="C35" i="83"/>
  <c r="C31" i="83"/>
  <c r="C30" i="83"/>
  <c r="C29" i="83"/>
  <c r="C24" i="83"/>
  <c r="C15" i="83"/>
  <c r="C14" i="83"/>
  <c r="C8" i="83"/>
  <c r="C7" i="83"/>
  <c r="R23" i="83"/>
  <c r="T23" i="83"/>
  <c r="T30" i="83" s="1"/>
  <c r="U23" i="83"/>
  <c r="R24" i="83"/>
  <c r="R25" i="83"/>
  <c r="R26" i="83"/>
  <c r="R30" i="83" s="1"/>
  <c r="R27" i="83"/>
  <c r="R28" i="83"/>
  <c r="R29" i="83"/>
  <c r="Q30" i="83"/>
  <c r="U30" i="83"/>
  <c r="R10" i="83"/>
  <c r="R11" i="83"/>
  <c r="U11" i="83"/>
  <c r="R12" i="83"/>
  <c r="U12" i="83"/>
  <c r="R13" i="83"/>
  <c r="U13" i="83"/>
  <c r="R14" i="83"/>
  <c r="U14" i="83"/>
  <c r="R15" i="83"/>
  <c r="R16" i="83"/>
  <c r="U16" i="83"/>
  <c r="Q17" i="83"/>
  <c r="U17" i="83"/>
  <c r="U18" i="83"/>
  <c r="U19" i="83"/>
  <c r="V20" i="141"/>
  <c r="N18" i="141" s="1"/>
  <c r="U20" i="141"/>
  <c r="N14" i="141" s="1"/>
  <c r="V19" i="141"/>
  <c r="M18" i="141" s="1"/>
  <c r="U19" i="141"/>
  <c r="M14" i="141" s="1"/>
  <c r="V18" i="141"/>
  <c r="L18" i="141" s="1"/>
  <c r="U18" i="141"/>
  <c r="L14" i="141" s="1"/>
  <c r="V17" i="141"/>
  <c r="K18" i="141" s="1"/>
  <c r="U17" i="141"/>
  <c r="K14" i="141" s="1"/>
  <c r="V14" i="141"/>
  <c r="J18" i="141" s="1"/>
  <c r="U14" i="141"/>
  <c r="J14" i="141" s="1"/>
  <c r="V13" i="141"/>
  <c r="I18" i="141" s="1"/>
  <c r="U13" i="141"/>
  <c r="I14" i="141" s="1"/>
  <c r="V12" i="141"/>
  <c r="H18" i="141" s="1"/>
  <c r="U12" i="141"/>
  <c r="H14" i="141" s="1"/>
  <c r="V11" i="141"/>
  <c r="G18" i="141" s="1"/>
  <c r="U11" i="141"/>
  <c r="G14" i="141" s="1"/>
  <c r="V10" i="141"/>
  <c r="F18" i="141" s="1"/>
  <c r="U10" i="141"/>
  <c r="F14" i="141" s="1"/>
  <c r="V9" i="141"/>
  <c r="E18" i="141" s="1"/>
  <c r="U9" i="141"/>
  <c r="E14" i="141" s="1"/>
  <c r="V8" i="141"/>
  <c r="D18" i="141" s="1"/>
  <c r="U8" i="141"/>
  <c r="D14" i="141" s="1"/>
  <c r="X6" i="141"/>
  <c r="R17" i="83" l="1"/>
  <c r="U20" i="83"/>
  <c r="V30" i="83"/>
  <c r="F64" i="95"/>
  <c r="I18" i="95"/>
  <c r="I20" i="95"/>
  <c r="M20" i="95" s="1"/>
  <c r="I45" i="95" s="1"/>
  <c r="I19" i="95"/>
  <c r="I17" i="95"/>
  <c r="F70" i="95"/>
  <c r="B20" i="95"/>
  <c r="D20" i="95" s="1"/>
  <c r="O20" i="95" s="1"/>
  <c r="C22" i="95"/>
  <c r="G22" i="95"/>
  <c r="L22" i="95"/>
  <c r="B21" i="95"/>
  <c r="B19" i="95"/>
  <c r="B18" i="95"/>
  <c r="B17" i="95"/>
  <c r="O15" i="384"/>
  <c r="H20" i="95" l="1"/>
  <c r="B13" i="95"/>
  <c r="B12" i="95"/>
  <c r="E45" i="384"/>
  <c r="Q45" i="384"/>
  <c r="S45" i="384" s="1"/>
  <c r="E46" i="384"/>
  <c r="Q46" i="384"/>
  <c r="S46" i="384" s="1"/>
  <c r="E48" i="384"/>
  <c r="Q48" i="384"/>
  <c r="O48" i="384" s="1"/>
  <c r="T48" i="384"/>
  <c r="B51" i="384"/>
  <c r="T51" i="384" s="1"/>
  <c r="E51" i="384"/>
  <c r="Q51" i="384"/>
  <c r="O51" i="384" s="1"/>
  <c r="E53" i="384"/>
  <c r="C53" i="384" s="1"/>
  <c r="Q53" i="384"/>
  <c r="O53" i="384" s="1"/>
  <c r="T53" i="384"/>
  <c r="E55" i="384"/>
  <c r="Q55" i="384"/>
  <c r="O55" i="384" s="1"/>
  <c r="E57" i="384"/>
  <c r="Q57" i="384"/>
  <c r="O57" i="384" s="1"/>
  <c r="P33" i="384"/>
  <c r="D33" i="384"/>
  <c r="B33" i="384"/>
  <c r="O31" i="384"/>
  <c r="O33" i="384" s="1"/>
  <c r="M31" i="384"/>
  <c r="T31" i="384" s="1"/>
  <c r="T33" i="384" s="1"/>
  <c r="C31" i="384"/>
  <c r="C33" i="384" s="1"/>
  <c r="B45" i="95" l="1"/>
  <c r="N20" i="95"/>
  <c r="B22" i="95"/>
  <c r="S51" i="384"/>
  <c r="S48" i="384"/>
  <c r="S55" i="384"/>
  <c r="C48" i="384"/>
  <c r="S57" i="384"/>
  <c r="S53" i="384"/>
  <c r="C51" i="384"/>
  <c r="M33" i="384"/>
  <c r="Q31" i="384"/>
  <c r="E31" i="384"/>
  <c r="E21" i="384" s="1"/>
  <c r="Q33" i="384" l="1"/>
  <c r="Q21" i="384"/>
  <c r="S31" i="384"/>
  <c r="S33" i="384" s="1"/>
  <c r="E33" i="384"/>
  <c r="G16" i="149" s="1"/>
  <c r="D16" i="149" s="1"/>
  <c r="E49" i="383" l="1"/>
  <c r="E13" i="386"/>
  <c r="E37" i="386"/>
  <c r="D83" i="387"/>
  <c r="C13" i="386"/>
  <c r="D29" i="386"/>
  <c r="D37" i="386"/>
  <c r="I10" i="389" l="1"/>
  <c r="K19" i="9" l="1"/>
  <c r="J19" i="9"/>
  <c r="K6" i="9"/>
  <c r="J6" i="9"/>
  <c r="G6" i="9"/>
  <c r="B6" i="9"/>
  <c r="G15" i="9"/>
  <c r="O44" i="148"/>
  <c r="H17" i="9" s="1"/>
  <c r="O43" i="148"/>
  <c r="P43" i="148" s="1"/>
  <c r="N44" i="148" s="1"/>
  <c r="P46" i="148"/>
  <c r="F44" i="148"/>
  <c r="G17" i="9" s="1"/>
  <c r="F43" i="148"/>
  <c r="D44" i="148"/>
  <c r="D45" i="148" s="1"/>
  <c r="D43" i="148"/>
  <c r="O39" i="148"/>
  <c r="H6" i="9" s="1"/>
  <c r="O38" i="148"/>
  <c r="F39" i="148"/>
  <c r="F38" i="148"/>
  <c r="C6" i="9" s="1"/>
  <c r="D39" i="148"/>
  <c r="D40" i="148" s="1"/>
  <c r="D38" i="148"/>
  <c r="P44" i="148" l="1"/>
  <c r="N45" i="148" s="1"/>
  <c r="P45" i="148" s="1"/>
  <c r="R38" i="148"/>
  <c r="Q39" i="148" s="1"/>
  <c r="R39" i="148" s="1"/>
  <c r="O71" i="148"/>
  <c r="H20" i="9" s="1"/>
  <c r="O70" i="148"/>
  <c r="D72" i="148"/>
  <c r="F70" i="148"/>
  <c r="E71" i="148"/>
  <c r="E72" i="148" s="1"/>
  <c r="E70" i="148"/>
  <c r="D71" i="148"/>
  <c r="D70" i="148"/>
  <c r="O33" i="148"/>
  <c r="P34" i="148"/>
  <c r="O32" i="148"/>
  <c r="F32" i="148"/>
  <c r="O31" i="148"/>
  <c r="F31" i="148"/>
  <c r="P68" i="148"/>
  <c r="Q65" i="148"/>
  <c r="F66" i="148"/>
  <c r="G19" i="9" s="1"/>
  <c r="E66" i="148"/>
  <c r="E65" i="148"/>
  <c r="D68" i="148"/>
  <c r="D66" i="148"/>
  <c r="D65" i="148"/>
  <c r="P62" i="148"/>
  <c r="T60" i="148"/>
  <c r="O60" i="148"/>
  <c r="F60" i="148"/>
  <c r="Q60" i="148"/>
  <c r="B18" i="9" s="1"/>
  <c r="E61" i="148"/>
  <c r="D61" i="148"/>
  <c r="E60" i="148"/>
  <c r="D60" i="148"/>
  <c r="L23" i="389"/>
  <c r="L24" i="389" s="1"/>
  <c r="L22" i="389"/>
  <c r="K22" i="389"/>
  <c r="H23" i="389" s="1"/>
  <c r="E20" i="389"/>
  <c r="L19" i="389"/>
  <c r="E19" i="389"/>
  <c r="L18" i="389"/>
  <c r="T43" i="148" s="1"/>
  <c r="H18" i="389"/>
  <c r="E18" i="389"/>
  <c r="L12" i="389"/>
  <c r="T71" i="148"/>
  <c r="I15" i="389"/>
  <c r="F71" i="148" s="1"/>
  <c r="H15" i="389"/>
  <c r="K15" i="389" s="1"/>
  <c r="H16" i="389" s="1"/>
  <c r="K16" i="389" s="1"/>
  <c r="H17" i="389" s="1"/>
  <c r="K17" i="389" s="1"/>
  <c r="L14" i="389"/>
  <c r="K14" i="389"/>
  <c r="J8" i="389"/>
  <c r="O66" i="148" s="1"/>
  <c r="H19" i="9" s="1"/>
  <c r="I8" i="389"/>
  <c r="L7" i="389"/>
  <c r="L8" i="389" s="1"/>
  <c r="L6" i="389"/>
  <c r="T65" i="148" s="1"/>
  <c r="J6" i="389"/>
  <c r="L4" i="389"/>
  <c r="L3" i="389"/>
  <c r="L2" i="389"/>
  <c r="T38" i="148" s="1"/>
  <c r="V38" i="148" s="1"/>
  <c r="K2" i="389"/>
  <c r="H3" i="389" s="1"/>
  <c r="K3" i="389" s="1"/>
  <c r="H4" i="389" s="1"/>
  <c r="K4" i="389" s="1"/>
  <c r="H5" i="389" s="1"/>
  <c r="K5" i="389" s="1"/>
  <c r="K18" i="389" l="1"/>
  <c r="H19" i="389" s="1"/>
  <c r="K19" i="389" s="1"/>
  <c r="H20" i="389" s="1"/>
  <c r="K20" i="389" s="1"/>
  <c r="H21" i="389" s="1"/>
  <c r="K21" i="389" s="1"/>
  <c r="Q43" i="148"/>
  <c r="R43" i="148" s="1"/>
  <c r="O61" i="148"/>
  <c r="H18" i="9" s="1"/>
  <c r="T66" i="148"/>
  <c r="T39" i="148"/>
  <c r="L10" i="389"/>
  <c r="T31" i="148" s="1"/>
  <c r="T70" i="148"/>
  <c r="T44" i="148"/>
  <c r="L20" i="389"/>
  <c r="R70" i="148"/>
  <c r="Q71" i="148" s="1"/>
  <c r="T61" i="148"/>
  <c r="H15" i="9"/>
  <c r="K23" i="389"/>
  <c r="H24" i="389" s="1"/>
  <c r="K24" i="389" s="1"/>
  <c r="H25" i="389" s="1"/>
  <c r="K25" i="389" s="1"/>
  <c r="F61" i="148"/>
  <c r="G18" i="9" s="1"/>
  <c r="K6" i="389"/>
  <c r="H7" i="389" s="1"/>
  <c r="K7" i="389" s="1"/>
  <c r="H8" i="389" s="1"/>
  <c r="K8" i="389" s="1"/>
  <c r="H9" i="389" s="1"/>
  <c r="K9" i="389" s="1"/>
  <c r="O65" i="148"/>
  <c r="F65" i="148"/>
  <c r="L11" i="389"/>
  <c r="T32" i="148" s="1"/>
  <c r="Q45" i="148"/>
  <c r="R45" i="148" s="1"/>
  <c r="Q46" i="148" s="1"/>
  <c r="R46" i="148" s="1"/>
  <c r="T46" i="148" s="1"/>
  <c r="Q44" i="148"/>
  <c r="R44" i="148" s="1"/>
  <c r="R71" i="148"/>
  <c r="Q72" i="148" s="1"/>
  <c r="T45" i="148" l="1"/>
  <c r="K30" i="389"/>
  <c r="H31" i="389" s="1"/>
  <c r="K31" i="389" s="1"/>
  <c r="H32" i="389" s="1"/>
  <c r="K32" i="389" s="1"/>
  <c r="H33" i="389" s="1"/>
  <c r="K33" i="389" s="1"/>
  <c r="C12" i="82" l="1"/>
  <c r="G16" i="142" l="1"/>
  <c r="G33" i="142"/>
  <c r="G40" i="142"/>
  <c r="G31" i="142"/>
  <c r="G30" i="142"/>
  <c r="G36" i="142"/>
  <c r="G21" i="142"/>
  <c r="G15" i="142"/>
  <c r="G27" i="142"/>
  <c r="G26" i="142"/>
  <c r="G14" i="142" l="1"/>
  <c r="F57" i="185"/>
  <c r="F56" i="185"/>
  <c r="F55" i="185"/>
  <c r="G11" i="149"/>
  <c r="G20" i="310" l="1"/>
  <c r="G33" i="310"/>
  <c r="G32" i="310"/>
  <c r="F33" i="310"/>
  <c r="F32" i="310"/>
  <c r="F30" i="310"/>
  <c r="B23" i="136" s="1"/>
  <c r="F26" i="185" s="1"/>
  <c r="G30" i="310"/>
  <c r="E21" i="310"/>
  <c r="E20" i="310"/>
  <c r="E30" i="388"/>
  <c r="E32" i="388" s="1"/>
  <c r="D30" i="388"/>
  <c r="D32" i="388" s="1"/>
  <c r="E20" i="388"/>
  <c r="D20" i="388"/>
  <c r="E19" i="388"/>
  <c r="D19" i="388"/>
  <c r="F22" i="185" s="1"/>
  <c r="E15" i="388"/>
  <c r="C15" i="388"/>
  <c r="E14" i="388"/>
  <c r="C14" i="388"/>
  <c r="E13" i="388"/>
  <c r="C13" i="388"/>
  <c r="E12" i="388"/>
  <c r="C12" i="388"/>
  <c r="E11" i="388"/>
  <c r="C11" i="388"/>
  <c r="E10" i="388"/>
  <c r="C10" i="388"/>
  <c r="F82" i="387"/>
  <c r="F79" i="387"/>
  <c r="D79" i="387"/>
  <c r="B17" i="136" s="1"/>
  <c r="F16" i="185" s="1"/>
  <c r="F78" i="387"/>
  <c r="D78" i="387"/>
  <c r="F72" i="387"/>
  <c r="D72" i="387"/>
  <c r="E70" i="387"/>
  <c r="C70" i="387"/>
  <c r="E69" i="387"/>
  <c r="C69" i="387"/>
  <c r="E66" i="387"/>
  <c r="C66" i="387"/>
  <c r="E65" i="387"/>
  <c r="C65" i="387"/>
  <c r="E64" i="387"/>
  <c r="C64" i="387"/>
  <c r="E63" i="387"/>
  <c r="C63" i="387"/>
  <c r="E62" i="387"/>
  <c r="C62" i="387"/>
  <c r="E61" i="387"/>
  <c r="C61" i="387"/>
  <c r="J56" i="387"/>
  <c r="E56" i="387"/>
  <c r="C56" i="387"/>
  <c r="J54" i="387"/>
  <c r="E54" i="387"/>
  <c r="C54" i="387"/>
  <c r="E53" i="387"/>
  <c r="C53" i="387"/>
  <c r="C50" i="387"/>
  <c r="F19" i="185" s="1"/>
  <c r="E47" i="387"/>
  <c r="C47" i="387"/>
  <c r="E46" i="387"/>
  <c r="C46" i="387"/>
  <c r="E45" i="387"/>
  <c r="C45" i="387"/>
  <c r="E36" i="387"/>
  <c r="C36" i="387"/>
  <c r="F32" i="387"/>
  <c r="F36" i="387" s="1"/>
  <c r="G17" i="310" s="1"/>
  <c r="D32" i="387"/>
  <c r="D36" i="387" s="1"/>
  <c r="F17" i="310" s="1"/>
  <c r="F20" i="387"/>
  <c r="D20" i="387"/>
  <c r="F19" i="387"/>
  <c r="D19" i="387"/>
  <c r="F18" i="387"/>
  <c r="D18" i="387"/>
  <c r="F17" i="387"/>
  <c r="D17" i="387"/>
  <c r="F16" i="387"/>
  <c r="D16" i="387"/>
  <c r="B93" i="138" s="1"/>
  <c r="F15" i="387"/>
  <c r="D15" i="387"/>
  <c r="F14" i="387"/>
  <c r="D14" i="387"/>
  <c r="B94" i="138" s="1"/>
  <c r="F13" i="387"/>
  <c r="D13" i="387"/>
  <c r="F12" i="387"/>
  <c r="D12" i="387"/>
  <c r="F11" i="387"/>
  <c r="D11" i="387"/>
  <c r="B92" i="138" s="1"/>
  <c r="F10" i="387"/>
  <c r="D10" i="387"/>
  <c r="D80" i="386"/>
  <c r="B80" i="386"/>
  <c r="E79" i="386"/>
  <c r="C79" i="386"/>
  <c r="E78" i="386"/>
  <c r="C78" i="386"/>
  <c r="E77" i="386"/>
  <c r="C77" i="386"/>
  <c r="E76" i="386"/>
  <c r="C76" i="386"/>
  <c r="E75" i="386"/>
  <c r="C75" i="386"/>
  <c r="E74" i="386"/>
  <c r="C74" i="386"/>
  <c r="E73" i="386"/>
  <c r="C73" i="386"/>
  <c r="E72" i="386"/>
  <c r="C72" i="386"/>
  <c r="E71" i="386"/>
  <c r="C71" i="386"/>
  <c r="E70" i="386"/>
  <c r="C70" i="386"/>
  <c r="E69" i="386"/>
  <c r="C69" i="386"/>
  <c r="E68" i="386"/>
  <c r="C68" i="386"/>
  <c r="E67" i="386"/>
  <c r="C67" i="386"/>
  <c r="E66" i="386"/>
  <c r="C66" i="386"/>
  <c r="E65" i="386"/>
  <c r="C65" i="386"/>
  <c r="E64" i="386"/>
  <c r="C64" i="386"/>
  <c r="E63" i="386"/>
  <c r="C63" i="386"/>
  <c r="E49" i="386"/>
  <c r="D49" i="386"/>
  <c r="E44" i="386"/>
  <c r="C44" i="386"/>
  <c r="E43" i="386"/>
  <c r="C43" i="386"/>
  <c r="E35" i="386"/>
  <c r="D35" i="386"/>
  <c r="E34" i="386"/>
  <c r="D34" i="386"/>
  <c r="E33" i="386"/>
  <c r="D33" i="386"/>
  <c r="E32" i="386"/>
  <c r="D32" i="386"/>
  <c r="E31" i="386"/>
  <c r="D31" i="386"/>
  <c r="E30" i="386"/>
  <c r="D30" i="386"/>
  <c r="E29" i="386"/>
  <c r="E27" i="386"/>
  <c r="D27" i="386"/>
  <c r="E25" i="386"/>
  <c r="C25" i="386"/>
  <c r="E24" i="386"/>
  <c r="E23" i="386"/>
  <c r="C23" i="386"/>
  <c r="E18" i="386"/>
  <c r="C18" i="386"/>
  <c r="E10" i="386"/>
  <c r="C10" i="386"/>
  <c r="E64" i="385"/>
  <c r="D64" i="385"/>
  <c r="E62" i="385"/>
  <c r="D62" i="385"/>
  <c r="E61" i="385"/>
  <c r="D61" i="385"/>
  <c r="E60" i="385"/>
  <c r="D60" i="385"/>
  <c r="E59" i="385"/>
  <c r="D59" i="385"/>
  <c r="E58" i="385"/>
  <c r="D58" i="385"/>
  <c r="E57" i="385"/>
  <c r="D57" i="385"/>
  <c r="E56" i="385"/>
  <c r="D56" i="385"/>
  <c r="E55" i="385"/>
  <c r="D55" i="385"/>
  <c r="E54" i="385"/>
  <c r="D54" i="385"/>
  <c r="E53" i="385"/>
  <c r="D53" i="385"/>
  <c r="E51" i="385"/>
  <c r="D51" i="385"/>
  <c r="E50" i="385"/>
  <c r="D50" i="385"/>
  <c r="E48" i="385"/>
  <c r="E36" i="385"/>
  <c r="D36" i="385"/>
  <c r="E25" i="385"/>
  <c r="C25" i="385"/>
  <c r="E22" i="385"/>
  <c r="C22" i="385"/>
  <c r="E20" i="385"/>
  <c r="D20" i="385"/>
  <c r="E19" i="385"/>
  <c r="D19" i="385"/>
  <c r="E8" i="385"/>
  <c r="E11" i="385" s="1"/>
  <c r="D8" i="385"/>
  <c r="D11" i="385" s="1"/>
  <c r="C36" i="309" s="1"/>
  <c r="E68" i="384"/>
  <c r="P59" i="384"/>
  <c r="M59" i="384"/>
  <c r="D59" i="384"/>
  <c r="M21" i="384"/>
  <c r="B21" i="384"/>
  <c r="M17" i="384"/>
  <c r="B17" i="384"/>
  <c r="B10" i="384"/>
  <c r="M9" i="384"/>
  <c r="Q9" i="384" s="1"/>
  <c r="B9" i="384"/>
  <c r="E9" i="384" s="1"/>
  <c r="P23" i="384"/>
  <c r="D23" i="384"/>
  <c r="Q19" i="384"/>
  <c r="E19" i="384"/>
  <c r="Q17" i="384"/>
  <c r="E17" i="384"/>
  <c r="Q12" i="384"/>
  <c r="E12" i="384"/>
  <c r="E59" i="383"/>
  <c r="D59" i="383"/>
  <c r="C55" i="383"/>
  <c r="E50" i="383"/>
  <c r="E51" i="383" s="1"/>
  <c r="C50" i="383"/>
  <c r="C27" i="23" s="1"/>
  <c r="C49" i="383"/>
  <c r="E48" i="383"/>
  <c r="C48" i="383"/>
  <c r="E32" i="383"/>
  <c r="C32" i="383"/>
  <c r="E31" i="383"/>
  <c r="C31" i="383"/>
  <c r="E30" i="383"/>
  <c r="C30" i="383"/>
  <c r="E22" i="383"/>
  <c r="E20" i="309" s="1"/>
  <c r="D22" i="383"/>
  <c r="D20" i="309" s="1"/>
  <c r="F20" i="383"/>
  <c r="E18" i="383"/>
  <c r="E12" i="383"/>
  <c r="C8" i="383" s="1"/>
  <c r="D12" i="383"/>
  <c r="D19" i="309" s="1"/>
  <c r="E11" i="382"/>
  <c r="H26" i="389" s="1"/>
  <c r="D11" i="382"/>
  <c r="E37" i="382"/>
  <c r="D37" i="382"/>
  <c r="E21" i="382"/>
  <c r="D21" i="382"/>
  <c r="C12" i="137" s="1"/>
  <c r="E33" i="382"/>
  <c r="D33" i="382"/>
  <c r="E16" i="382"/>
  <c r="D16" i="382"/>
  <c r="E15" i="382"/>
  <c r="D15" i="382"/>
  <c r="E10" i="382"/>
  <c r="D10" i="382"/>
  <c r="E25" i="382"/>
  <c r="D25" i="382"/>
  <c r="E14" i="382"/>
  <c r="D14" i="382"/>
  <c r="E77" i="381"/>
  <c r="D75" i="381" s="1"/>
  <c r="C77" i="381"/>
  <c r="E72" i="381"/>
  <c r="D68" i="381" s="1"/>
  <c r="C72" i="381"/>
  <c r="E65" i="381"/>
  <c r="C65" i="381"/>
  <c r="E59" i="381"/>
  <c r="C59" i="381"/>
  <c r="E49" i="381"/>
  <c r="E32" i="381"/>
  <c r="E34" i="381" s="1"/>
  <c r="E12" i="309" s="1"/>
  <c r="C32" i="381"/>
  <c r="C34" i="381" s="1"/>
  <c r="C12" i="309" s="1"/>
  <c r="E17" i="381"/>
  <c r="E16" i="381"/>
  <c r="C16" i="381"/>
  <c r="E11" i="381"/>
  <c r="E13" i="381" s="1"/>
  <c r="C10" i="143" s="1"/>
  <c r="C11" i="381"/>
  <c r="C13" i="381" s="1"/>
  <c r="I12" i="381" s="1"/>
  <c r="G1350" i="380"/>
  <c r="G1348" i="380"/>
  <c r="G1346" i="380"/>
  <c r="G1349" i="380" s="1"/>
  <c r="G1345" i="380"/>
  <c r="G1344" i="380"/>
  <c r="G1343" i="380"/>
  <c r="G1340" i="380"/>
  <c r="G1339" i="380"/>
  <c r="G1338" i="380"/>
  <c r="G1337" i="380"/>
  <c r="G1336" i="380"/>
  <c r="G1335" i="380"/>
  <c r="H1334" i="380"/>
  <c r="G1334" i="380"/>
  <c r="L1333" i="380"/>
  <c r="H1333" i="380"/>
  <c r="G1333" i="380"/>
  <c r="L1332" i="380"/>
  <c r="L1331" i="380"/>
  <c r="L1330" i="380"/>
  <c r="L1329" i="380"/>
  <c r="L1328" i="380"/>
  <c r="L1327" i="380"/>
  <c r="L1326" i="380"/>
  <c r="L1325" i="380"/>
  <c r="L1324" i="380"/>
  <c r="L1323" i="380"/>
  <c r="L1322" i="380"/>
  <c r="L1321" i="380"/>
  <c r="L1320" i="380"/>
  <c r="L1319" i="380"/>
  <c r="L1318" i="380"/>
  <c r="L1317" i="380"/>
  <c r="L1316" i="380"/>
  <c r="L1315" i="380"/>
  <c r="L1314" i="380"/>
  <c r="L1313" i="380"/>
  <c r="L1312" i="380"/>
  <c r="L1311" i="380"/>
  <c r="L1310" i="380"/>
  <c r="L1309" i="380"/>
  <c r="L1308" i="380"/>
  <c r="L1307" i="380"/>
  <c r="L1306" i="380"/>
  <c r="L1305" i="380"/>
  <c r="L1304" i="380"/>
  <c r="L1303" i="380"/>
  <c r="L1302" i="380"/>
  <c r="L1301" i="380"/>
  <c r="L1300" i="380"/>
  <c r="L1299" i="380"/>
  <c r="L1298" i="380"/>
  <c r="L1297" i="380"/>
  <c r="L1296" i="380"/>
  <c r="L1295" i="380"/>
  <c r="L1294" i="380"/>
  <c r="L1293" i="380"/>
  <c r="L1292" i="380"/>
  <c r="L1291" i="380"/>
  <c r="L1290" i="380"/>
  <c r="L1289" i="380"/>
  <c r="L1288" i="380"/>
  <c r="L1287" i="380"/>
  <c r="L1286" i="380"/>
  <c r="L1285" i="380"/>
  <c r="L1284" i="380"/>
  <c r="L1283" i="380"/>
  <c r="L1282" i="380"/>
  <c r="L1281" i="380"/>
  <c r="L1280" i="380"/>
  <c r="L1279" i="380"/>
  <c r="L1278" i="380"/>
  <c r="L1277" i="380"/>
  <c r="L1276" i="380"/>
  <c r="L1275" i="380"/>
  <c r="L1274" i="380"/>
  <c r="L1273" i="380"/>
  <c r="L1272" i="380"/>
  <c r="L1271" i="380"/>
  <c r="L1270" i="380"/>
  <c r="L1269" i="380"/>
  <c r="L1268" i="380"/>
  <c r="L1267" i="380"/>
  <c r="L1266" i="380"/>
  <c r="L1265" i="380"/>
  <c r="L1264" i="380"/>
  <c r="L1263" i="380"/>
  <c r="L1262" i="380"/>
  <c r="L1261" i="380"/>
  <c r="L1260" i="380"/>
  <c r="L1259" i="380"/>
  <c r="L1258" i="380"/>
  <c r="L1257" i="380"/>
  <c r="L1256" i="380"/>
  <c r="L1255" i="380"/>
  <c r="L1254" i="380"/>
  <c r="L1253" i="380"/>
  <c r="L1252" i="380"/>
  <c r="L1251" i="380"/>
  <c r="L1250" i="380"/>
  <c r="L1249" i="380"/>
  <c r="L1248" i="380"/>
  <c r="L1247" i="380"/>
  <c r="L1246" i="380"/>
  <c r="L1245" i="380"/>
  <c r="L1244" i="380"/>
  <c r="L1243" i="380"/>
  <c r="L1242" i="380"/>
  <c r="L1241" i="380"/>
  <c r="L1240" i="380"/>
  <c r="L1239" i="380"/>
  <c r="L1238" i="380"/>
  <c r="L1237" i="380"/>
  <c r="L1236" i="380"/>
  <c r="L1235" i="380"/>
  <c r="L1234" i="380"/>
  <c r="L1233" i="380"/>
  <c r="L1232" i="380"/>
  <c r="L1231" i="380"/>
  <c r="L1230" i="380"/>
  <c r="L1229" i="380"/>
  <c r="L1228" i="380"/>
  <c r="L1227" i="380"/>
  <c r="L1226" i="380"/>
  <c r="L1225" i="380"/>
  <c r="L1224" i="380"/>
  <c r="L1223" i="380"/>
  <c r="L1222" i="380"/>
  <c r="L1221" i="380"/>
  <c r="L1220" i="380"/>
  <c r="L1219" i="380"/>
  <c r="L1218" i="380"/>
  <c r="L1217" i="380"/>
  <c r="L1216" i="380"/>
  <c r="L1215" i="380"/>
  <c r="L1214" i="380"/>
  <c r="L1213" i="380"/>
  <c r="L1212" i="380"/>
  <c r="L1211" i="380"/>
  <c r="L1210" i="380"/>
  <c r="L1209" i="380"/>
  <c r="L1208" i="380"/>
  <c r="L1207" i="380"/>
  <c r="L1206" i="380"/>
  <c r="L1205" i="380"/>
  <c r="L1204" i="380"/>
  <c r="L1203" i="380"/>
  <c r="L1202" i="380"/>
  <c r="L1201" i="380"/>
  <c r="L1200" i="380"/>
  <c r="L1199" i="380"/>
  <c r="L1198" i="380"/>
  <c r="L1197" i="380"/>
  <c r="L1196" i="380"/>
  <c r="L1195" i="380"/>
  <c r="L1194" i="380"/>
  <c r="L1193" i="380"/>
  <c r="L1192" i="380"/>
  <c r="L1191" i="380"/>
  <c r="L1190" i="380"/>
  <c r="L1189" i="380"/>
  <c r="L1188" i="380"/>
  <c r="L1187" i="380"/>
  <c r="L1186" i="380"/>
  <c r="L1185" i="380"/>
  <c r="L1184" i="380"/>
  <c r="L1183" i="380"/>
  <c r="L1182" i="380"/>
  <c r="L1181" i="380"/>
  <c r="L1180" i="380"/>
  <c r="L1179" i="380"/>
  <c r="L1178" i="380"/>
  <c r="L1177" i="380"/>
  <c r="L1176" i="380"/>
  <c r="L1175" i="380"/>
  <c r="L1174" i="380"/>
  <c r="L1173" i="380"/>
  <c r="L1172" i="380"/>
  <c r="L1171" i="380"/>
  <c r="L1170" i="380"/>
  <c r="L1169" i="380"/>
  <c r="L1168" i="380"/>
  <c r="L1167" i="380"/>
  <c r="L1166" i="380"/>
  <c r="L1165" i="380"/>
  <c r="L1164" i="380"/>
  <c r="L1163" i="380"/>
  <c r="L1162" i="380"/>
  <c r="L1161" i="380"/>
  <c r="L1160" i="380"/>
  <c r="L1159" i="380"/>
  <c r="L1158" i="380"/>
  <c r="L1157" i="380"/>
  <c r="L1156" i="380"/>
  <c r="L1155" i="380"/>
  <c r="L1154" i="380"/>
  <c r="L1153" i="380"/>
  <c r="L1152" i="380"/>
  <c r="L1151" i="380"/>
  <c r="L1150" i="380"/>
  <c r="L1149" i="380"/>
  <c r="L1148" i="380"/>
  <c r="L1147" i="380"/>
  <c r="L1146" i="380"/>
  <c r="L1145" i="380"/>
  <c r="L1144" i="380"/>
  <c r="L1143" i="380"/>
  <c r="L1142" i="380"/>
  <c r="L1141" i="380"/>
  <c r="L1140" i="380"/>
  <c r="L1139" i="380"/>
  <c r="L1138" i="380"/>
  <c r="L1137" i="380"/>
  <c r="L1136" i="380"/>
  <c r="L1135" i="380"/>
  <c r="L1134" i="380"/>
  <c r="L1133" i="380"/>
  <c r="L1132" i="380"/>
  <c r="L1131" i="380"/>
  <c r="L1130" i="380"/>
  <c r="L1129" i="380"/>
  <c r="L1128" i="380"/>
  <c r="L1127" i="380"/>
  <c r="L1126" i="380"/>
  <c r="L1125" i="380"/>
  <c r="L1124" i="380"/>
  <c r="L1123" i="380"/>
  <c r="L1122" i="380"/>
  <c r="L1121" i="380"/>
  <c r="L1120" i="380"/>
  <c r="L1119" i="380"/>
  <c r="L1118" i="380"/>
  <c r="L1117" i="380"/>
  <c r="L1116" i="380"/>
  <c r="L1115" i="380"/>
  <c r="L1114" i="380"/>
  <c r="L1113" i="380"/>
  <c r="L1112" i="380"/>
  <c r="L1111" i="380"/>
  <c r="L1110" i="380"/>
  <c r="L1109" i="380"/>
  <c r="L1108" i="380"/>
  <c r="L1107" i="380"/>
  <c r="L1106" i="380"/>
  <c r="L1105" i="380"/>
  <c r="L1104" i="380"/>
  <c r="L1103" i="380"/>
  <c r="L1102" i="380"/>
  <c r="L1101" i="380"/>
  <c r="L1100" i="380"/>
  <c r="L1099" i="380"/>
  <c r="L1098" i="380"/>
  <c r="L1096" i="380"/>
  <c r="L1095" i="380"/>
  <c r="L1094" i="380"/>
  <c r="L1093" i="380"/>
  <c r="L1092" i="380"/>
  <c r="L1091" i="380"/>
  <c r="L1090" i="380"/>
  <c r="L1089" i="380"/>
  <c r="L1088" i="380"/>
  <c r="L1087" i="380"/>
  <c r="L1086" i="380"/>
  <c r="L1085" i="380"/>
  <c r="L1084" i="380"/>
  <c r="L1083" i="380"/>
  <c r="L1082" i="380"/>
  <c r="L1081" i="380"/>
  <c r="L1080" i="380"/>
  <c r="L1079" i="380"/>
  <c r="L1078" i="380"/>
  <c r="L1077" i="380"/>
  <c r="L1076" i="380"/>
  <c r="L1075" i="380"/>
  <c r="L1074" i="380"/>
  <c r="L1073" i="380"/>
  <c r="L1072" i="380"/>
  <c r="L1071" i="380"/>
  <c r="L1070" i="380"/>
  <c r="L1069" i="380"/>
  <c r="L1068" i="380"/>
  <c r="L1067" i="380"/>
  <c r="L1066" i="380"/>
  <c r="L1065" i="380"/>
  <c r="L1064" i="380"/>
  <c r="L1063" i="380"/>
  <c r="L1062" i="380"/>
  <c r="L1061" i="380"/>
  <c r="L1060" i="380"/>
  <c r="L1059" i="380"/>
  <c r="L1058" i="380"/>
  <c r="L1057" i="380"/>
  <c r="L1056" i="380"/>
  <c r="L1055" i="380"/>
  <c r="L1054" i="380"/>
  <c r="L1053" i="380"/>
  <c r="L1052" i="380"/>
  <c r="L1051" i="380"/>
  <c r="L1050" i="380"/>
  <c r="L1049" i="380"/>
  <c r="L1048" i="380"/>
  <c r="L1047" i="380"/>
  <c r="L1046" i="380"/>
  <c r="L1045" i="380"/>
  <c r="L1044" i="380"/>
  <c r="L1043" i="380"/>
  <c r="L1042" i="380"/>
  <c r="L1041" i="380"/>
  <c r="L1040" i="380"/>
  <c r="L1039" i="380"/>
  <c r="L1038" i="380"/>
  <c r="L1037" i="380"/>
  <c r="L1036" i="380"/>
  <c r="L1035" i="380"/>
  <c r="L1034" i="380"/>
  <c r="L1033" i="380"/>
  <c r="L1032" i="380"/>
  <c r="L1031" i="380"/>
  <c r="L1030" i="380"/>
  <c r="L1029" i="380"/>
  <c r="L1028" i="380"/>
  <c r="L1027" i="380"/>
  <c r="L1026" i="380"/>
  <c r="L1025" i="380"/>
  <c r="L1024" i="380"/>
  <c r="L1023" i="380"/>
  <c r="L1022" i="380"/>
  <c r="L1021" i="380"/>
  <c r="L1020" i="380"/>
  <c r="L1019" i="380"/>
  <c r="L1018" i="380"/>
  <c r="L1017" i="380"/>
  <c r="L1016" i="380"/>
  <c r="L1015" i="380"/>
  <c r="L1014" i="380"/>
  <c r="L1013" i="380"/>
  <c r="L1012" i="380"/>
  <c r="L1011" i="380"/>
  <c r="L1010" i="380"/>
  <c r="L1009" i="380"/>
  <c r="L1008" i="380"/>
  <c r="L1007" i="380"/>
  <c r="L1006" i="380"/>
  <c r="L1005" i="380"/>
  <c r="L1004" i="380"/>
  <c r="L1003" i="380"/>
  <c r="L1002" i="380"/>
  <c r="L1001" i="380"/>
  <c r="L1000" i="380"/>
  <c r="L999" i="380"/>
  <c r="L998" i="380"/>
  <c r="L997" i="380"/>
  <c r="L996" i="380"/>
  <c r="L995" i="380"/>
  <c r="L994" i="380"/>
  <c r="L993" i="380"/>
  <c r="L992" i="380"/>
  <c r="L991" i="380"/>
  <c r="L990" i="380"/>
  <c r="L989" i="380"/>
  <c r="L988" i="380"/>
  <c r="L987" i="380"/>
  <c r="L986" i="380"/>
  <c r="L985" i="380"/>
  <c r="L984" i="380"/>
  <c r="L983" i="380"/>
  <c r="L982" i="380"/>
  <c r="L981" i="380"/>
  <c r="L980" i="380"/>
  <c r="L979" i="380"/>
  <c r="L978" i="380"/>
  <c r="L977" i="380"/>
  <c r="L976" i="380"/>
  <c r="L975" i="380"/>
  <c r="L974" i="380"/>
  <c r="L973" i="380"/>
  <c r="L972" i="380"/>
  <c r="L971" i="380"/>
  <c r="L970" i="380"/>
  <c r="L969" i="380"/>
  <c r="L968" i="380"/>
  <c r="L967" i="380"/>
  <c r="L966" i="380"/>
  <c r="L965" i="380"/>
  <c r="L964" i="380"/>
  <c r="L963" i="380"/>
  <c r="L962" i="380"/>
  <c r="L961" i="380"/>
  <c r="L960" i="380"/>
  <c r="L959" i="380"/>
  <c r="L958" i="380"/>
  <c r="L957" i="380"/>
  <c r="L956" i="380"/>
  <c r="L955" i="380"/>
  <c r="L954" i="380"/>
  <c r="L953" i="380"/>
  <c r="L952" i="380"/>
  <c r="L951" i="380"/>
  <c r="L950" i="380"/>
  <c r="L949" i="380"/>
  <c r="L948" i="380"/>
  <c r="L947" i="380"/>
  <c r="L946" i="380"/>
  <c r="L945" i="380"/>
  <c r="L944" i="380"/>
  <c r="L943" i="380"/>
  <c r="L942" i="380"/>
  <c r="L941" i="380"/>
  <c r="L940" i="380"/>
  <c r="L939" i="380"/>
  <c r="L938" i="380"/>
  <c r="L937" i="380"/>
  <c r="L936" i="380"/>
  <c r="L935" i="380"/>
  <c r="L934" i="380"/>
  <c r="L933" i="380"/>
  <c r="L932" i="380"/>
  <c r="L931" i="380"/>
  <c r="L930" i="380"/>
  <c r="L929" i="380"/>
  <c r="L928" i="380"/>
  <c r="L927" i="380"/>
  <c r="L926" i="380"/>
  <c r="L925" i="380"/>
  <c r="L924" i="380"/>
  <c r="L923" i="380"/>
  <c r="L922" i="380"/>
  <c r="L921" i="380"/>
  <c r="L920" i="380"/>
  <c r="L919" i="380"/>
  <c r="L918" i="380"/>
  <c r="L917" i="380"/>
  <c r="L916" i="380"/>
  <c r="L915" i="380"/>
  <c r="L914" i="380"/>
  <c r="L913" i="380"/>
  <c r="L912" i="380"/>
  <c r="L911" i="380"/>
  <c r="L910" i="380"/>
  <c r="L909" i="380"/>
  <c r="L908" i="380"/>
  <c r="L907" i="380"/>
  <c r="L906" i="380"/>
  <c r="L905" i="380"/>
  <c r="L904" i="380"/>
  <c r="L903" i="380"/>
  <c r="L902" i="380"/>
  <c r="L901" i="380"/>
  <c r="L900" i="380"/>
  <c r="L899" i="380"/>
  <c r="L898" i="380"/>
  <c r="L897" i="380"/>
  <c r="L896" i="380"/>
  <c r="L895" i="380"/>
  <c r="L894" i="380"/>
  <c r="L893" i="380"/>
  <c r="L892" i="380"/>
  <c r="L891" i="380"/>
  <c r="L890" i="380"/>
  <c r="L889" i="380"/>
  <c r="L888" i="380"/>
  <c r="L887" i="380"/>
  <c r="L886" i="380"/>
  <c r="L885" i="380"/>
  <c r="L884" i="380"/>
  <c r="L883" i="380"/>
  <c r="L882" i="380"/>
  <c r="L881" i="380"/>
  <c r="L880" i="380"/>
  <c r="L879" i="380"/>
  <c r="L878" i="380"/>
  <c r="L877" i="380"/>
  <c r="L876" i="380"/>
  <c r="L875" i="380"/>
  <c r="L874" i="380"/>
  <c r="L873" i="380"/>
  <c r="L872" i="380"/>
  <c r="L871" i="380"/>
  <c r="L870" i="380"/>
  <c r="L869" i="380"/>
  <c r="L868" i="380"/>
  <c r="L867" i="380"/>
  <c r="L866" i="380"/>
  <c r="L865" i="380"/>
  <c r="L864" i="380"/>
  <c r="L863" i="380"/>
  <c r="L862" i="380"/>
  <c r="L861" i="380"/>
  <c r="L860" i="380"/>
  <c r="L859" i="380"/>
  <c r="L858" i="380"/>
  <c r="L857" i="380"/>
  <c r="L856" i="380"/>
  <c r="L855" i="380"/>
  <c r="L854" i="380"/>
  <c r="L853" i="380"/>
  <c r="L852" i="380"/>
  <c r="L851" i="380"/>
  <c r="L850" i="380"/>
  <c r="L849" i="380"/>
  <c r="L848" i="380"/>
  <c r="L847" i="380"/>
  <c r="L846" i="380"/>
  <c r="L845" i="380"/>
  <c r="L844" i="380"/>
  <c r="L843" i="380"/>
  <c r="L842" i="380"/>
  <c r="L841" i="380"/>
  <c r="L840" i="380"/>
  <c r="L839" i="380"/>
  <c r="L838" i="380"/>
  <c r="L837" i="380"/>
  <c r="L836" i="380"/>
  <c r="L835" i="380"/>
  <c r="L834" i="380"/>
  <c r="L833" i="380"/>
  <c r="L832" i="380"/>
  <c r="L831" i="380"/>
  <c r="L830" i="380"/>
  <c r="L829" i="380"/>
  <c r="L828" i="380"/>
  <c r="L827" i="380"/>
  <c r="L826" i="380"/>
  <c r="L825" i="380"/>
  <c r="L824" i="380"/>
  <c r="L823" i="380"/>
  <c r="L822" i="380"/>
  <c r="H822" i="380"/>
  <c r="G822" i="380"/>
  <c r="C19" i="386" s="1"/>
  <c r="D20" i="386" s="1"/>
  <c r="L821" i="380"/>
  <c r="L820" i="380"/>
  <c r="L819" i="380"/>
  <c r="L818" i="380"/>
  <c r="H818" i="380"/>
  <c r="L817" i="380"/>
  <c r="L816" i="380"/>
  <c r="L815" i="380"/>
  <c r="L814" i="380"/>
  <c r="L813" i="380"/>
  <c r="L812" i="380"/>
  <c r="L811" i="380"/>
  <c r="L810" i="380"/>
  <c r="L809" i="380"/>
  <c r="L808" i="380"/>
  <c r="L807" i="380"/>
  <c r="L806" i="380"/>
  <c r="L805" i="380"/>
  <c r="L804" i="380"/>
  <c r="L803" i="380"/>
  <c r="L802" i="380"/>
  <c r="L801" i="380"/>
  <c r="L800" i="380"/>
  <c r="L799" i="380"/>
  <c r="L798" i="380"/>
  <c r="L797" i="380"/>
  <c r="L796" i="380"/>
  <c r="L795" i="380"/>
  <c r="L794" i="380"/>
  <c r="L793" i="380"/>
  <c r="L792" i="380"/>
  <c r="L791" i="380"/>
  <c r="L790" i="380"/>
  <c r="L789" i="380"/>
  <c r="L788" i="380"/>
  <c r="L787" i="380"/>
  <c r="L786" i="380"/>
  <c r="L785" i="380"/>
  <c r="L784" i="380"/>
  <c r="L783" i="380"/>
  <c r="L782" i="380"/>
  <c r="L781" i="380"/>
  <c r="L780" i="380"/>
  <c r="L779" i="380"/>
  <c r="L778" i="380"/>
  <c r="L777" i="380"/>
  <c r="L776" i="380"/>
  <c r="L775" i="380"/>
  <c r="L774" i="380"/>
  <c r="L773" i="380"/>
  <c r="L772" i="380"/>
  <c r="L771" i="380"/>
  <c r="L770" i="380"/>
  <c r="L769" i="380"/>
  <c r="L768" i="380"/>
  <c r="L767" i="380"/>
  <c r="L766" i="380"/>
  <c r="L765" i="380"/>
  <c r="L764" i="380"/>
  <c r="L763" i="380"/>
  <c r="L762" i="380"/>
  <c r="L761" i="380"/>
  <c r="L760" i="380"/>
  <c r="L759" i="380"/>
  <c r="L758" i="380"/>
  <c r="L757" i="380"/>
  <c r="L756" i="380"/>
  <c r="L755" i="380"/>
  <c r="L754" i="380"/>
  <c r="L753" i="380"/>
  <c r="L752" i="380"/>
  <c r="L751" i="380"/>
  <c r="L750" i="380"/>
  <c r="L749" i="380"/>
  <c r="L748" i="380"/>
  <c r="L747" i="380"/>
  <c r="L746" i="380"/>
  <c r="L745" i="380"/>
  <c r="L744" i="380"/>
  <c r="H744" i="380"/>
  <c r="E23" i="385" s="1"/>
  <c r="G744" i="380"/>
  <c r="C23" i="385" s="1"/>
  <c r="L743" i="380"/>
  <c r="L742" i="380"/>
  <c r="L741" i="380"/>
  <c r="L740" i="380"/>
  <c r="L739" i="380"/>
  <c r="L738" i="380"/>
  <c r="L737" i="380"/>
  <c r="L736" i="380"/>
  <c r="L735" i="380"/>
  <c r="L734" i="380"/>
  <c r="L733" i="380"/>
  <c r="L732" i="380"/>
  <c r="L731" i="380"/>
  <c r="L730" i="380"/>
  <c r="L729" i="380"/>
  <c r="L728" i="380"/>
  <c r="L727" i="380"/>
  <c r="L726" i="380"/>
  <c r="L725" i="380"/>
  <c r="L724" i="380"/>
  <c r="L723" i="380"/>
  <c r="L722" i="380"/>
  <c r="L721" i="380"/>
  <c r="L720" i="380"/>
  <c r="L719" i="380"/>
  <c r="L718" i="380"/>
  <c r="L717" i="380"/>
  <c r="L716" i="380"/>
  <c r="L715" i="380"/>
  <c r="L714" i="380"/>
  <c r="L713" i="380"/>
  <c r="L712" i="380"/>
  <c r="L711" i="380"/>
  <c r="L710" i="380"/>
  <c r="L709" i="380"/>
  <c r="L708" i="380"/>
  <c r="L707" i="380"/>
  <c r="L706" i="380"/>
  <c r="L705" i="380"/>
  <c r="L704" i="380"/>
  <c r="L703" i="380"/>
  <c r="L702" i="380"/>
  <c r="L701" i="380"/>
  <c r="L700" i="380"/>
  <c r="L699" i="380"/>
  <c r="L698" i="380"/>
  <c r="L697" i="380"/>
  <c r="L696" i="380"/>
  <c r="L695" i="380"/>
  <c r="L694" i="380"/>
  <c r="L693" i="380"/>
  <c r="L692" i="380"/>
  <c r="L691" i="380"/>
  <c r="L690" i="380"/>
  <c r="L689" i="380"/>
  <c r="L688" i="380"/>
  <c r="L687" i="380"/>
  <c r="L686" i="380"/>
  <c r="L685" i="380"/>
  <c r="L684" i="380"/>
  <c r="L683" i="380"/>
  <c r="L682" i="380"/>
  <c r="L681" i="380"/>
  <c r="L680" i="380"/>
  <c r="L679" i="380"/>
  <c r="L678" i="380"/>
  <c r="L677" i="380"/>
  <c r="L676" i="380"/>
  <c r="L675" i="380"/>
  <c r="L674" i="380"/>
  <c r="L673" i="380"/>
  <c r="L672" i="380"/>
  <c r="L671" i="380"/>
  <c r="L670" i="380"/>
  <c r="L669" i="380"/>
  <c r="L668" i="380"/>
  <c r="L667" i="380"/>
  <c r="L666" i="380"/>
  <c r="L665" i="380"/>
  <c r="L664" i="380"/>
  <c r="L663" i="380"/>
  <c r="L662" i="380"/>
  <c r="L661" i="380"/>
  <c r="L660" i="380"/>
  <c r="L659" i="380"/>
  <c r="L658" i="380"/>
  <c r="L657" i="380"/>
  <c r="L656" i="380"/>
  <c r="L655" i="380"/>
  <c r="L654" i="380"/>
  <c r="L653" i="380"/>
  <c r="L652" i="380"/>
  <c r="L651" i="380"/>
  <c r="L650" i="380"/>
  <c r="L649" i="380"/>
  <c r="L648" i="380"/>
  <c r="L647" i="380"/>
  <c r="L646" i="380"/>
  <c r="L645" i="380"/>
  <c r="L644" i="380"/>
  <c r="L643" i="380"/>
  <c r="L642" i="380"/>
  <c r="L641" i="380"/>
  <c r="L640" i="380"/>
  <c r="L639" i="380"/>
  <c r="L638" i="380"/>
  <c r="L637" i="380"/>
  <c r="L636" i="380"/>
  <c r="L635" i="380"/>
  <c r="L634" i="380"/>
  <c r="L633" i="380"/>
  <c r="L632" i="380"/>
  <c r="L631" i="380"/>
  <c r="L630" i="380"/>
  <c r="L629" i="380"/>
  <c r="L628" i="380"/>
  <c r="L627" i="380"/>
  <c r="L626" i="380"/>
  <c r="L625" i="380"/>
  <c r="L624" i="380"/>
  <c r="L623" i="380"/>
  <c r="L622" i="380"/>
  <c r="L621" i="380"/>
  <c r="L620" i="380"/>
  <c r="L619" i="380"/>
  <c r="L618" i="380"/>
  <c r="L617" i="380"/>
  <c r="L616" i="380"/>
  <c r="L615" i="380"/>
  <c r="L614" i="380"/>
  <c r="L613" i="380"/>
  <c r="L612" i="380"/>
  <c r="L611" i="380"/>
  <c r="L610" i="380"/>
  <c r="L609" i="380"/>
  <c r="L608" i="380"/>
  <c r="L607" i="380"/>
  <c r="L606" i="380"/>
  <c r="L605" i="380"/>
  <c r="L604" i="380"/>
  <c r="L603" i="380"/>
  <c r="L602" i="380"/>
  <c r="L601" i="380"/>
  <c r="L600" i="380"/>
  <c r="L599" i="380"/>
  <c r="L598" i="380"/>
  <c r="L597" i="380"/>
  <c r="L596" i="380"/>
  <c r="L595" i="380"/>
  <c r="L594" i="380"/>
  <c r="L593" i="380"/>
  <c r="L592" i="380"/>
  <c r="L591" i="380"/>
  <c r="L590" i="380"/>
  <c r="L589" i="380"/>
  <c r="L588" i="380"/>
  <c r="L587" i="380"/>
  <c r="L586" i="380"/>
  <c r="L585" i="380"/>
  <c r="L584" i="380"/>
  <c r="L583" i="380"/>
  <c r="L582" i="380"/>
  <c r="L581" i="380"/>
  <c r="L580" i="380"/>
  <c r="L579" i="380"/>
  <c r="L578" i="380"/>
  <c r="L577" i="380"/>
  <c r="L576" i="380"/>
  <c r="L575" i="380"/>
  <c r="L574" i="380"/>
  <c r="L573" i="380"/>
  <c r="L572" i="380"/>
  <c r="L571" i="380"/>
  <c r="L570" i="380"/>
  <c r="L569" i="380"/>
  <c r="L568" i="380"/>
  <c r="L567" i="380"/>
  <c r="L566" i="380"/>
  <c r="L565" i="380"/>
  <c r="L564" i="380"/>
  <c r="L563" i="380"/>
  <c r="L562" i="380"/>
  <c r="L561" i="380"/>
  <c r="L560" i="380"/>
  <c r="L559" i="380"/>
  <c r="L558" i="380"/>
  <c r="L557" i="380"/>
  <c r="L556" i="380"/>
  <c r="L555" i="380"/>
  <c r="L554" i="380"/>
  <c r="L553" i="380"/>
  <c r="L552" i="380"/>
  <c r="L551" i="380"/>
  <c r="L550" i="380"/>
  <c r="L549" i="380"/>
  <c r="L548" i="380"/>
  <c r="L547" i="380"/>
  <c r="L546" i="380"/>
  <c r="L545" i="380"/>
  <c r="L544" i="380"/>
  <c r="L543" i="380"/>
  <c r="L542" i="380"/>
  <c r="L541" i="380"/>
  <c r="L540" i="380"/>
  <c r="L539" i="380"/>
  <c r="L538" i="380"/>
  <c r="L537" i="380"/>
  <c r="L536" i="380"/>
  <c r="L535" i="380"/>
  <c r="L534" i="380"/>
  <c r="L533" i="380"/>
  <c r="L532" i="380"/>
  <c r="L531" i="380"/>
  <c r="L530" i="380"/>
  <c r="L529" i="380"/>
  <c r="L528" i="380"/>
  <c r="L527" i="380"/>
  <c r="L526" i="380"/>
  <c r="L525" i="380"/>
  <c r="L524" i="380"/>
  <c r="L523" i="380"/>
  <c r="L522" i="380"/>
  <c r="L521" i="380"/>
  <c r="L520" i="380"/>
  <c r="L519" i="380"/>
  <c r="L518" i="380"/>
  <c r="L517" i="380"/>
  <c r="L516" i="380"/>
  <c r="L515" i="380"/>
  <c r="L514" i="380"/>
  <c r="L513" i="380"/>
  <c r="L512" i="380"/>
  <c r="L511" i="380"/>
  <c r="L510" i="380"/>
  <c r="L509" i="380"/>
  <c r="L508" i="380"/>
  <c r="L507" i="380"/>
  <c r="L506" i="380"/>
  <c r="L505" i="380"/>
  <c r="L504" i="380"/>
  <c r="L503" i="380"/>
  <c r="L502" i="380"/>
  <c r="L501" i="380"/>
  <c r="L500" i="380"/>
  <c r="L499" i="380"/>
  <c r="L498" i="380"/>
  <c r="L497" i="380"/>
  <c r="L496" i="380"/>
  <c r="L495" i="380"/>
  <c r="L494" i="380"/>
  <c r="L493" i="380"/>
  <c r="L492" i="380"/>
  <c r="L491" i="380"/>
  <c r="L490" i="380"/>
  <c r="L489" i="380"/>
  <c r="L488" i="380"/>
  <c r="L487" i="380"/>
  <c r="L486" i="380"/>
  <c r="L485" i="380"/>
  <c r="L484" i="380"/>
  <c r="L483" i="380"/>
  <c r="L482" i="380"/>
  <c r="L481" i="380"/>
  <c r="L480" i="380"/>
  <c r="L479" i="380"/>
  <c r="L478" i="380"/>
  <c r="L477" i="380"/>
  <c r="L476" i="380"/>
  <c r="L475" i="380"/>
  <c r="L474" i="380"/>
  <c r="L473" i="380"/>
  <c r="L472" i="380"/>
  <c r="L471" i="380"/>
  <c r="L470" i="380"/>
  <c r="L469" i="380"/>
  <c r="L468" i="380"/>
  <c r="L467" i="380"/>
  <c r="L466" i="380"/>
  <c r="L465" i="380"/>
  <c r="L464" i="380"/>
  <c r="L463" i="380"/>
  <c r="L462" i="380"/>
  <c r="L461" i="380"/>
  <c r="L460" i="380"/>
  <c r="L459" i="380"/>
  <c r="L458" i="380"/>
  <c r="L457" i="380"/>
  <c r="L456" i="380"/>
  <c r="L455" i="380"/>
  <c r="L454" i="380"/>
  <c r="L453" i="380"/>
  <c r="L452" i="380"/>
  <c r="L451" i="380"/>
  <c r="L450" i="380"/>
  <c r="L449" i="380"/>
  <c r="L448" i="380"/>
  <c r="L447" i="380"/>
  <c r="L446" i="380"/>
  <c r="L445" i="380"/>
  <c r="L444" i="380"/>
  <c r="L443" i="380"/>
  <c r="L442" i="380"/>
  <c r="L441" i="380"/>
  <c r="L440" i="380"/>
  <c r="L439" i="380"/>
  <c r="L438" i="380"/>
  <c r="L437" i="380"/>
  <c r="L436" i="380"/>
  <c r="L435" i="380"/>
  <c r="L434" i="380"/>
  <c r="L433" i="380"/>
  <c r="L432" i="380"/>
  <c r="L431" i="380"/>
  <c r="L430" i="380"/>
  <c r="L429" i="380"/>
  <c r="L428" i="380"/>
  <c r="L427" i="380"/>
  <c r="L426" i="380"/>
  <c r="L425" i="380"/>
  <c r="L424" i="380"/>
  <c r="L423" i="380"/>
  <c r="L422" i="380"/>
  <c r="L421" i="380"/>
  <c r="L420" i="380"/>
  <c r="L419" i="380"/>
  <c r="L418" i="380"/>
  <c r="L417" i="380"/>
  <c r="L416" i="380"/>
  <c r="L415" i="380"/>
  <c r="L414" i="380"/>
  <c r="L413" i="380"/>
  <c r="L412" i="380"/>
  <c r="L411" i="380"/>
  <c r="L410" i="380"/>
  <c r="L409" i="380"/>
  <c r="L408" i="380"/>
  <c r="L407" i="380"/>
  <c r="L406" i="380"/>
  <c r="L405" i="380"/>
  <c r="L404" i="380"/>
  <c r="L403" i="380"/>
  <c r="L402" i="380"/>
  <c r="L401" i="380"/>
  <c r="L400" i="380"/>
  <c r="L399" i="380"/>
  <c r="L398" i="380"/>
  <c r="L397" i="380"/>
  <c r="L396" i="380"/>
  <c r="L395" i="380"/>
  <c r="L394" i="380"/>
  <c r="L393" i="380"/>
  <c r="L392" i="380"/>
  <c r="L391" i="380"/>
  <c r="L390" i="380"/>
  <c r="L389" i="380"/>
  <c r="L388" i="380"/>
  <c r="L387" i="380"/>
  <c r="L386" i="380"/>
  <c r="L385" i="380"/>
  <c r="L384" i="380"/>
  <c r="L383" i="380"/>
  <c r="L382" i="380"/>
  <c r="L381" i="380"/>
  <c r="L380" i="380"/>
  <c r="L379" i="380"/>
  <c r="L378" i="380"/>
  <c r="L377" i="380"/>
  <c r="L376" i="380"/>
  <c r="L375" i="380"/>
  <c r="L374" i="380"/>
  <c r="L373" i="380"/>
  <c r="L372" i="380"/>
  <c r="L371" i="380"/>
  <c r="L370" i="380"/>
  <c r="L369" i="380"/>
  <c r="L368" i="380"/>
  <c r="L367" i="380"/>
  <c r="L366" i="380"/>
  <c r="L365" i="380"/>
  <c r="L364" i="380"/>
  <c r="L363" i="380"/>
  <c r="L362" i="380"/>
  <c r="L361" i="380"/>
  <c r="L360" i="380"/>
  <c r="L359" i="380"/>
  <c r="L358" i="380"/>
  <c r="L357" i="380"/>
  <c r="L356" i="380"/>
  <c r="L355" i="380"/>
  <c r="L354" i="380"/>
  <c r="L353" i="380"/>
  <c r="L352" i="380"/>
  <c r="L351" i="380"/>
  <c r="L350" i="380"/>
  <c r="L349" i="380"/>
  <c r="L348" i="380"/>
  <c r="L347" i="380"/>
  <c r="L346" i="380"/>
  <c r="L345" i="380"/>
  <c r="L344" i="380"/>
  <c r="L343" i="380"/>
  <c r="L342" i="380"/>
  <c r="L341" i="380"/>
  <c r="L340" i="380"/>
  <c r="L339" i="380"/>
  <c r="L338" i="380"/>
  <c r="L337" i="380"/>
  <c r="L336" i="380"/>
  <c r="L335" i="380"/>
  <c r="L334" i="380"/>
  <c r="L333" i="380"/>
  <c r="L332" i="380"/>
  <c r="L331" i="380"/>
  <c r="L330" i="380"/>
  <c r="L329" i="380"/>
  <c r="L328" i="380"/>
  <c r="L327" i="380"/>
  <c r="L326" i="380"/>
  <c r="L325" i="380"/>
  <c r="L324" i="380"/>
  <c r="L323" i="380"/>
  <c r="L322" i="380"/>
  <c r="L321" i="380"/>
  <c r="L320" i="380"/>
  <c r="L319" i="380"/>
  <c r="L318" i="380"/>
  <c r="L317" i="380"/>
  <c r="L316" i="380"/>
  <c r="L315" i="380"/>
  <c r="L314" i="380"/>
  <c r="L313" i="380"/>
  <c r="L312" i="380"/>
  <c r="L311" i="380"/>
  <c r="L310" i="380"/>
  <c r="L309" i="380"/>
  <c r="L308" i="380"/>
  <c r="L307" i="380"/>
  <c r="L306" i="380"/>
  <c r="L305" i="380"/>
  <c r="L304" i="380"/>
  <c r="L303" i="380"/>
  <c r="L302" i="380"/>
  <c r="L301" i="380"/>
  <c r="L300" i="380"/>
  <c r="L299" i="380"/>
  <c r="L298" i="380"/>
  <c r="L297" i="380"/>
  <c r="L296" i="380"/>
  <c r="L295" i="380"/>
  <c r="L294" i="380"/>
  <c r="L293" i="380"/>
  <c r="L292" i="380"/>
  <c r="L291" i="380"/>
  <c r="L290" i="380"/>
  <c r="L289" i="380"/>
  <c r="L288" i="380"/>
  <c r="L287" i="380"/>
  <c r="L286" i="380"/>
  <c r="L285" i="380"/>
  <c r="L284" i="380"/>
  <c r="L283" i="380"/>
  <c r="L282" i="380"/>
  <c r="L281" i="380"/>
  <c r="L280" i="380"/>
  <c r="L279" i="380"/>
  <c r="L278" i="380"/>
  <c r="L277" i="380"/>
  <c r="L276" i="380"/>
  <c r="L275" i="380"/>
  <c r="L274" i="380"/>
  <c r="L273" i="380"/>
  <c r="L272" i="380"/>
  <c r="L271" i="380"/>
  <c r="L270" i="380"/>
  <c r="L269" i="380"/>
  <c r="L268" i="380"/>
  <c r="L267" i="380"/>
  <c r="L266" i="380"/>
  <c r="L265" i="380"/>
  <c r="L264" i="380"/>
  <c r="L263" i="380"/>
  <c r="L262" i="380"/>
  <c r="L261" i="380"/>
  <c r="L260" i="380"/>
  <c r="L259" i="380"/>
  <c r="L258" i="380"/>
  <c r="L257" i="380"/>
  <c r="L256" i="380"/>
  <c r="L255" i="380"/>
  <c r="L254" i="380"/>
  <c r="L253" i="380"/>
  <c r="L252" i="380"/>
  <c r="L251" i="380"/>
  <c r="L250" i="380"/>
  <c r="L249" i="380"/>
  <c r="L248" i="380"/>
  <c r="L247" i="380"/>
  <c r="L246" i="380"/>
  <c r="L245" i="380"/>
  <c r="L244" i="380"/>
  <c r="L243" i="380"/>
  <c r="L242" i="380"/>
  <c r="L241" i="380"/>
  <c r="L240" i="380"/>
  <c r="L239" i="380"/>
  <c r="L238" i="380"/>
  <c r="L237" i="380"/>
  <c r="L236" i="380"/>
  <c r="L235" i="380"/>
  <c r="L234" i="380"/>
  <c r="L233" i="380"/>
  <c r="L232" i="380"/>
  <c r="L231" i="380"/>
  <c r="L230" i="380"/>
  <c r="L229" i="380"/>
  <c r="L228" i="380"/>
  <c r="L227" i="380"/>
  <c r="L226" i="380"/>
  <c r="L225" i="380"/>
  <c r="L224" i="380"/>
  <c r="L223" i="380"/>
  <c r="L222" i="380"/>
  <c r="L221" i="380"/>
  <c r="L220" i="380"/>
  <c r="L219" i="380"/>
  <c r="L218" i="380"/>
  <c r="L217" i="380"/>
  <c r="L216" i="380"/>
  <c r="L215" i="380"/>
  <c r="L214" i="380"/>
  <c r="L213" i="380"/>
  <c r="L212" i="380"/>
  <c r="L211" i="380"/>
  <c r="L210" i="380"/>
  <c r="L209" i="380"/>
  <c r="L208" i="380"/>
  <c r="L207" i="380"/>
  <c r="L206" i="380"/>
  <c r="L205" i="380"/>
  <c r="L204" i="380"/>
  <c r="L203" i="380"/>
  <c r="L202" i="380"/>
  <c r="L201" i="380"/>
  <c r="L200" i="380"/>
  <c r="L199" i="380"/>
  <c r="L198" i="380"/>
  <c r="L197" i="380"/>
  <c r="L196" i="380"/>
  <c r="L195" i="380"/>
  <c r="L194" i="380"/>
  <c r="L193" i="380"/>
  <c r="L192" i="380"/>
  <c r="L191" i="380"/>
  <c r="L190" i="380"/>
  <c r="L189" i="380"/>
  <c r="L188" i="380"/>
  <c r="L187" i="380"/>
  <c r="L186" i="380"/>
  <c r="L185" i="380"/>
  <c r="L184" i="380"/>
  <c r="L183" i="380"/>
  <c r="L182" i="380"/>
  <c r="L181" i="380"/>
  <c r="L180" i="380"/>
  <c r="L179" i="380"/>
  <c r="L178" i="380"/>
  <c r="L177" i="380"/>
  <c r="L176" i="380"/>
  <c r="L175" i="380"/>
  <c r="L174" i="380"/>
  <c r="L173" i="380"/>
  <c r="L172" i="380"/>
  <c r="L171" i="380"/>
  <c r="L170" i="380"/>
  <c r="L169" i="380"/>
  <c r="L168" i="380"/>
  <c r="L167" i="380"/>
  <c r="L166" i="380"/>
  <c r="L165" i="380"/>
  <c r="L164" i="380"/>
  <c r="L163" i="380"/>
  <c r="L162" i="380"/>
  <c r="L161" i="380"/>
  <c r="L160" i="380"/>
  <c r="L159" i="380"/>
  <c r="L158" i="380"/>
  <c r="L157" i="380"/>
  <c r="L156" i="380"/>
  <c r="L155" i="380"/>
  <c r="L154" i="380"/>
  <c r="L153" i="380"/>
  <c r="L152" i="380"/>
  <c r="L151" i="380"/>
  <c r="L150" i="380"/>
  <c r="L149" i="380"/>
  <c r="L148" i="380"/>
  <c r="L147" i="380"/>
  <c r="L146" i="380"/>
  <c r="L145" i="380"/>
  <c r="L144" i="380"/>
  <c r="L143" i="380"/>
  <c r="L142" i="380"/>
  <c r="L141" i="380"/>
  <c r="L140" i="380"/>
  <c r="L139" i="380"/>
  <c r="L138" i="380"/>
  <c r="L137" i="380"/>
  <c r="L136" i="380"/>
  <c r="L135" i="380"/>
  <c r="L134" i="380"/>
  <c r="L133" i="380"/>
  <c r="L132" i="380"/>
  <c r="L131" i="380"/>
  <c r="L130" i="380"/>
  <c r="L129" i="380"/>
  <c r="L128" i="380"/>
  <c r="L127" i="380"/>
  <c r="L126" i="380"/>
  <c r="L125" i="380"/>
  <c r="L124" i="380"/>
  <c r="L123" i="380"/>
  <c r="L122" i="380"/>
  <c r="L121" i="380"/>
  <c r="L120" i="380"/>
  <c r="L119" i="380"/>
  <c r="L118" i="380"/>
  <c r="L117" i="380"/>
  <c r="L116" i="380"/>
  <c r="L115" i="380"/>
  <c r="L114" i="380"/>
  <c r="L113" i="380"/>
  <c r="L112" i="380"/>
  <c r="L111" i="380"/>
  <c r="L110" i="380"/>
  <c r="L109" i="380"/>
  <c r="L108" i="380"/>
  <c r="L107" i="380"/>
  <c r="L106" i="380"/>
  <c r="L105" i="380"/>
  <c r="L104" i="380"/>
  <c r="L103" i="380"/>
  <c r="L102" i="380"/>
  <c r="L101" i="380"/>
  <c r="L100" i="380"/>
  <c r="L99" i="380"/>
  <c r="L98" i="380"/>
  <c r="L97" i="380"/>
  <c r="L96" i="380"/>
  <c r="L95" i="380"/>
  <c r="L94" i="380"/>
  <c r="L93" i="380"/>
  <c r="L92" i="380"/>
  <c r="L91" i="380"/>
  <c r="L90" i="380"/>
  <c r="L89" i="380"/>
  <c r="L88" i="380"/>
  <c r="L87" i="380"/>
  <c r="L86" i="380"/>
  <c r="L85" i="380"/>
  <c r="L84" i="380"/>
  <c r="L83" i="380"/>
  <c r="L82" i="380"/>
  <c r="L81" i="380"/>
  <c r="L80" i="380"/>
  <c r="L79" i="380"/>
  <c r="L78" i="380"/>
  <c r="L77" i="380"/>
  <c r="L76" i="380"/>
  <c r="L75" i="380"/>
  <c r="L74" i="380"/>
  <c r="L73" i="380"/>
  <c r="L72" i="380"/>
  <c r="L71" i="380"/>
  <c r="L70" i="380"/>
  <c r="L69" i="380"/>
  <c r="L68" i="380"/>
  <c r="L67" i="380"/>
  <c r="L66" i="380"/>
  <c r="L65" i="380"/>
  <c r="L64" i="380"/>
  <c r="L63" i="380"/>
  <c r="L62" i="380"/>
  <c r="L61" i="380"/>
  <c r="L60" i="380"/>
  <c r="L59" i="380"/>
  <c r="L58" i="380"/>
  <c r="L57" i="380"/>
  <c r="L56" i="380"/>
  <c r="L55" i="380"/>
  <c r="L54" i="380"/>
  <c r="L53" i="380"/>
  <c r="L52" i="380"/>
  <c r="L51" i="380"/>
  <c r="L50" i="380"/>
  <c r="L49" i="380"/>
  <c r="L48" i="380"/>
  <c r="L47" i="380"/>
  <c r="L46" i="380"/>
  <c r="L45" i="380"/>
  <c r="L44" i="380"/>
  <c r="L43" i="380"/>
  <c r="L42" i="380"/>
  <c r="L41" i="380"/>
  <c r="L40" i="380"/>
  <c r="L39" i="380"/>
  <c r="L38" i="380"/>
  <c r="L37" i="380"/>
  <c r="L36" i="380"/>
  <c r="L35" i="380"/>
  <c r="L34" i="380"/>
  <c r="L33" i="380"/>
  <c r="L32" i="380"/>
  <c r="L31" i="380"/>
  <c r="L30" i="380"/>
  <c r="L29" i="380"/>
  <c r="L28" i="380"/>
  <c r="L27" i="380"/>
  <c r="L26" i="380"/>
  <c r="L25" i="380"/>
  <c r="L24" i="380"/>
  <c r="L23" i="380"/>
  <c r="L22" i="380"/>
  <c r="L21" i="380"/>
  <c r="L20" i="380"/>
  <c r="L19" i="380"/>
  <c r="L18" i="380"/>
  <c r="L17" i="380"/>
  <c r="L16" i="380"/>
  <c r="L15" i="380"/>
  <c r="L14" i="380"/>
  <c r="L13" i="380"/>
  <c r="L12" i="380"/>
  <c r="L11" i="380"/>
  <c r="L10" i="380"/>
  <c r="L9" i="380"/>
  <c r="L8" i="380"/>
  <c r="L7" i="380"/>
  <c r="L6" i="380"/>
  <c r="L5" i="380"/>
  <c r="L4" i="380"/>
  <c r="L3" i="380"/>
  <c r="C54" i="383" l="1"/>
  <c r="D57" i="383" s="1"/>
  <c r="C16" i="23" s="1"/>
  <c r="E54" i="383"/>
  <c r="E57" i="383" s="1"/>
  <c r="E62" i="383" s="1"/>
  <c r="C49" i="381"/>
  <c r="E19" i="386"/>
  <c r="E20" i="386" s="1"/>
  <c r="D22" i="387"/>
  <c r="F14" i="310" s="1"/>
  <c r="C11" i="137"/>
  <c r="J28" i="387"/>
  <c r="B91" i="138"/>
  <c r="B96" i="138" s="1"/>
  <c r="F35" i="310"/>
  <c r="F28" i="185"/>
  <c r="E36" i="309"/>
  <c r="S32" i="141"/>
  <c r="E48" i="382"/>
  <c r="B57" i="384"/>
  <c r="B55" i="384"/>
  <c r="M10" i="384"/>
  <c r="Q10" i="384" s="1"/>
  <c r="S10" i="384" s="1"/>
  <c r="D48" i="382"/>
  <c r="D16" i="309" s="1"/>
  <c r="J47" i="387"/>
  <c r="H10" i="389"/>
  <c r="K10" i="389" s="1"/>
  <c r="H11" i="389" s="1"/>
  <c r="K11" i="389" s="1"/>
  <c r="H12" i="389" s="1"/>
  <c r="K12" i="389" s="1"/>
  <c r="H13" i="389" s="1"/>
  <c r="K13" i="389" s="1"/>
  <c r="I26" i="389"/>
  <c r="F27" i="148" s="1"/>
  <c r="Q27" i="148"/>
  <c r="F14" i="382"/>
  <c r="C23" i="381"/>
  <c r="C11" i="309" s="1"/>
  <c r="D16" i="143"/>
  <c r="E23" i="381"/>
  <c r="E11" i="309" s="1"/>
  <c r="C16" i="143"/>
  <c r="C26" i="143" s="1"/>
  <c r="H1" i="380"/>
  <c r="E47" i="386"/>
  <c r="E43" i="309" s="1"/>
  <c r="J69" i="387"/>
  <c r="D26" i="386"/>
  <c r="J53" i="387"/>
  <c r="J15" i="387"/>
  <c r="B74" i="381"/>
  <c r="E39" i="383"/>
  <c r="E31" i="309" s="1"/>
  <c r="J10" i="387"/>
  <c r="J14" i="387"/>
  <c r="J72" i="387"/>
  <c r="J16" i="387"/>
  <c r="J20" i="387"/>
  <c r="J46" i="387"/>
  <c r="E26" i="386"/>
  <c r="F58" i="387"/>
  <c r="D14" i="386"/>
  <c r="G1" i="380"/>
  <c r="M12" i="384"/>
  <c r="O12" i="384" s="1"/>
  <c r="J63" i="387"/>
  <c r="E9" i="383"/>
  <c r="B19" i="384"/>
  <c r="C19" i="384" s="1"/>
  <c r="G13" i="149" s="1"/>
  <c r="D13" i="149" s="1"/>
  <c r="D58" i="387"/>
  <c r="J70" i="387"/>
  <c r="E80" i="381"/>
  <c r="E13" i="309" s="1"/>
  <c r="J30" i="383"/>
  <c r="B15" i="384"/>
  <c r="E15" i="384" s="1"/>
  <c r="C80" i="386"/>
  <c r="F10" i="310" s="1"/>
  <c r="B7" i="136" s="1"/>
  <c r="J65" i="387"/>
  <c r="F71" i="387"/>
  <c r="C18" i="383"/>
  <c r="C20" i="383" s="1"/>
  <c r="D20" i="383" s="1"/>
  <c r="J62" i="387"/>
  <c r="J66" i="387"/>
  <c r="E16" i="388"/>
  <c r="E18" i="388" s="1"/>
  <c r="E22" i="388" s="1"/>
  <c r="G25" i="310" s="1"/>
  <c r="M15" i="384"/>
  <c r="Q15" i="384" s="1"/>
  <c r="S21" i="384"/>
  <c r="C17" i="384"/>
  <c r="G14" i="149" s="1"/>
  <c r="S17" i="384"/>
  <c r="D71" i="387"/>
  <c r="J64" i="387"/>
  <c r="E19" i="309"/>
  <c r="C80" i="381"/>
  <c r="C13" i="309" s="1"/>
  <c r="S12" i="384"/>
  <c r="D47" i="386"/>
  <c r="C43" i="309" s="1"/>
  <c r="E80" i="386"/>
  <c r="G10" i="310" s="1"/>
  <c r="J61" i="387"/>
  <c r="F22" i="387"/>
  <c r="G14" i="310" s="1"/>
  <c r="C9" i="383"/>
  <c r="S19" i="384"/>
  <c r="E66" i="385"/>
  <c r="E38" i="309" s="1"/>
  <c r="E14" i="386"/>
  <c r="J18" i="387"/>
  <c r="G83" i="387"/>
  <c r="Q59" i="384"/>
  <c r="E28" i="309" s="1"/>
  <c r="O21" i="384"/>
  <c r="G72" i="387"/>
  <c r="C16" i="388"/>
  <c r="D18" i="388" s="1"/>
  <c r="D22" i="388" s="1"/>
  <c r="E25" i="310" s="1"/>
  <c r="D66" i="385"/>
  <c r="C38" i="309" s="1"/>
  <c r="J13" i="387"/>
  <c r="J45" i="387"/>
  <c r="E49" i="387"/>
  <c r="F51" i="387" s="1"/>
  <c r="D26" i="385"/>
  <c r="D28" i="385" s="1"/>
  <c r="C37" i="309" s="1"/>
  <c r="T17" i="384"/>
  <c r="O17" i="384"/>
  <c r="T21" i="384"/>
  <c r="C21" i="384"/>
  <c r="G15" i="149" s="1"/>
  <c r="D15" i="149" s="1"/>
  <c r="E10" i="384"/>
  <c r="B59" i="384"/>
  <c r="E28" i="385"/>
  <c r="E37" i="309" s="1"/>
  <c r="S9" i="384"/>
  <c r="J17" i="387"/>
  <c r="D39" i="383"/>
  <c r="D51" i="383"/>
  <c r="M19" i="384"/>
  <c r="E59" i="384"/>
  <c r="E26" i="309" s="1"/>
  <c r="B67" i="381"/>
  <c r="C49" i="387"/>
  <c r="B53" i="381"/>
  <c r="K59" i="381" s="1"/>
  <c r="K66" i="381" s="1"/>
  <c r="B12" i="384"/>
  <c r="D62" i="383" l="1"/>
  <c r="C35" i="309" s="1"/>
  <c r="Q23" i="384"/>
  <c r="C28" i="309" s="1"/>
  <c r="C31" i="309"/>
  <c r="C32" i="7"/>
  <c r="E35" i="309"/>
  <c r="C8" i="23"/>
  <c r="K79" i="387"/>
  <c r="D14" i="309"/>
  <c r="T55" i="384"/>
  <c r="C55" i="384"/>
  <c r="T57" i="384"/>
  <c r="C57" i="384"/>
  <c r="Q31" i="148"/>
  <c r="Q85" i="148" s="1"/>
  <c r="B27" i="9" s="1"/>
  <c r="K26" i="389"/>
  <c r="H27" i="389" s="1"/>
  <c r="K27" i="389" s="1"/>
  <c r="H28" i="389" s="1"/>
  <c r="K28" i="389" s="1"/>
  <c r="H29" i="389" s="1"/>
  <c r="K29" i="389" s="1"/>
  <c r="E16" i="309"/>
  <c r="B29" i="9"/>
  <c r="M23" i="384"/>
  <c r="D38" i="386"/>
  <c r="D52" i="386" s="1"/>
  <c r="F86" i="387"/>
  <c r="G18" i="310" s="1"/>
  <c r="O59" i="384"/>
  <c r="T15" i="384"/>
  <c r="S59" i="384"/>
  <c r="E38" i="386"/>
  <c r="T12" i="384"/>
  <c r="C12" i="384"/>
  <c r="T19" i="384"/>
  <c r="O19" i="384"/>
  <c r="O23" i="384" s="1"/>
  <c r="B23" i="384"/>
  <c r="D51" i="387"/>
  <c r="D92" i="387"/>
  <c r="G46" i="142" l="1"/>
  <c r="C59" i="384"/>
  <c r="T59" i="384"/>
  <c r="C42" i="309"/>
  <c r="T23" i="384"/>
  <c r="G12" i="149"/>
  <c r="D12" i="149" s="1"/>
  <c r="E52" i="386"/>
  <c r="E42" i="309"/>
  <c r="D86" i="387"/>
  <c r="D95" i="387" s="1"/>
  <c r="F18" i="310" l="1"/>
  <c r="J29" i="221" l="1"/>
  <c r="I29" i="221" s="1"/>
  <c r="L24" i="221"/>
  <c r="CK19" i="142" l="1"/>
  <c r="L34" i="322" l="1"/>
  <c r="C28" i="162"/>
  <c r="C30" i="162" s="1"/>
  <c r="D28" i="162"/>
  <c r="D30" i="162" s="1"/>
  <c r="R183" i="142"/>
  <c r="J18" i="9"/>
  <c r="D33" i="138"/>
  <c r="C33" i="138"/>
  <c r="L86" i="149"/>
  <c r="CE18" i="142"/>
  <c r="B28" i="136"/>
  <c r="D12" i="137"/>
  <c r="D38" i="138" l="1"/>
  <c r="R31" i="148" l="1"/>
  <c r="D15" i="9"/>
  <c r="C69" i="138"/>
  <c r="C44" i="138"/>
  <c r="D94" i="138"/>
  <c r="V70" i="148"/>
  <c r="S71" i="148" s="1"/>
  <c r="V71" i="148" s="1"/>
  <c r="V65" i="148"/>
  <c r="S66" i="148" s="1"/>
  <c r="V66" i="148" s="1"/>
  <c r="V60" i="148"/>
  <c r="V58" i="148"/>
  <c r="V56" i="148"/>
  <c r="V52" i="148"/>
  <c r="V54" i="148"/>
  <c r="D36" i="143"/>
  <c r="I76" i="95"/>
  <c r="K52" i="95"/>
  <c r="K51" i="95"/>
  <c r="D70" i="367"/>
  <c r="C70" i="367"/>
  <c r="D72" i="367"/>
  <c r="C72" i="367"/>
  <c r="I42" i="10"/>
  <c r="N10" i="185" s="1"/>
  <c r="P62" i="319"/>
  <c r="L62" i="319"/>
  <c r="D33" i="137"/>
  <c r="S72" i="148" l="1"/>
  <c r="S73" i="148"/>
  <c r="Q32" i="148"/>
  <c r="R32" i="148" s="1"/>
  <c r="S67" i="148"/>
  <c r="S68" i="148"/>
  <c r="C70" i="138"/>
  <c r="L46" i="95"/>
  <c r="K76" i="95" s="1"/>
  <c r="G46" i="95"/>
  <c r="C46" i="95"/>
  <c r="D46" i="368"/>
  <c r="C46" i="368"/>
  <c r="H44" i="368"/>
  <c r="G44" i="368"/>
  <c r="H43" i="368"/>
  <c r="G43" i="368"/>
  <c r="H42" i="368"/>
  <c r="G42" i="368"/>
  <c r="H41" i="368"/>
  <c r="G41" i="368"/>
  <c r="H40" i="368"/>
  <c r="G40" i="368"/>
  <c r="H39" i="368"/>
  <c r="G39" i="368"/>
  <c r="H38" i="368"/>
  <c r="G38" i="368"/>
  <c r="H37" i="368"/>
  <c r="G37" i="368"/>
  <c r="H36" i="368"/>
  <c r="G36" i="368"/>
  <c r="H35" i="368"/>
  <c r="G35" i="368"/>
  <c r="H34" i="368"/>
  <c r="G34" i="368"/>
  <c r="H33" i="368"/>
  <c r="G33" i="368"/>
  <c r="D32" i="368"/>
  <c r="C32" i="368"/>
  <c r="H30" i="368"/>
  <c r="H32" i="368" s="1"/>
  <c r="G30" i="368"/>
  <c r="G32" i="368" s="1"/>
  <c r="D29" i="368"/>
  <c r="C29" i="368"/>
  <c r="H27" i="368"/>
  <c r="H26" i="368"/>
  <c r="G26" i="368"/>
  <c r="H25" i="368"/>
  <c r="G25" i="368"/>
  <c r="H24" i="368"/>
  <c r="G24" i="368"/>
  <c r="H23" i="368"/>
  <c r="G23" i="368"/>
  <c r="H22" i="368"/>
  <c r="G22" i="368"/>
  <c r="H21" i="368"/>
  <c r="G21" i="368"/>
  <c r="H20" i="368"/>
  <c r="G20" i="368"/>
  <c r="H19" i="368"/>
  <c r="G19" i="368"/>
  <c r="H18" i="368"/>
  <c r="G18" i="368"/>
  <c r="H17" i="368"/>
  <c r="G17" i="368"/>
  <c r="D16" i="368"/>
  <c r="C16" i="368"/>
  <c r="H12" i="368"/>
  <c r="G12" i="368"/>
  <c r="H11" i="368"/>
  <c r="G11" i="368"/>
  <c r="D9" i="368"/>
  <c r="C9" i="368"/>
  <c r="H8" i="368"/>
  <c r="G8" i="368"/>
  <c r="H7" i="368"/>
  <c r="G7" i="368"/>
  <c r="H6" i="368"/>
  <c r="G6" i="368"/>
  <c r="H5" i="368"/>
  <c r="G5" i="368"/>
  <c r="H4" i="368"/>
  <c r="G4" i="368"/>
  <c r="B21" i="138"/>
  <c r="K20" i="9"/>
  <c r="D20" i="9"/>
  <c r="C20" i="9"/>
  <c r="D121" i="367"/>
  <c r="C121" i="367"/>
  <c r="C48" i="367" s="1"/>
  <c r="H119" i="367"/>
  <c r="G119" i="367"/>
  <c r="H118" i="367"/>
  <c r="G118" i="367"/>
  <c r="H117" i="367"/>
  <c r="G117" i="367"/>
  <c r="H116" i="367"/>
  <c r="G116" i="367"/>
  <c r="H115" i="367"/>
  <c r="G115" i="367"/>
  <c r="H114" i="367"/>
  <c r="G114" i="367"/>
  <c r="H113" i="367"/>
  <c r="G113" i="367"/>
  <c r="H112" i="367"/>
  <c r="G112" i="367"/>
  <c r="H111" i="367"/>
  <c r="G111" i="367"/>
  <c r="H110" i="367"/>
  <c r="G110" i="367"/>
  <c r="H109" i="367"/>
  <c r="G109" i="367"/>
  <c r="H108" i="367"/>
  <c r="G108" i="367"/>
  <c r="D107" i="367"/>
  <c r="D47" i="367" s="1"/>
  <c r="C107" i="367"/>
  <c r="C47" i="367" s="1"/>
  <c r="H105" i="367"/>
  <c r="H107" i="367" s="1"/>
  <c r="G105" i="367"/>
  <c r="G107" i="367" s="1"/>
  <c r="D104" i="367"/>
  <c r="D46" i="367" s="1"/>
  <c r="C104" i="367"/>
  <c r="C46" i="367" s="1"/>
  <c r="H102" i="367"/>
  <c r="H101" i="367"/>
  <c r="G101" i="367"/>
  <c r="H100" i="367"/>
  <c r="G100" i="367"/>
  <c r="H99" i="367"/>
  <c r="G99" i="367"/>
  <c r="H98" i="367"/>
  <c r="G98" i="367"/>
  <c r="H97" i="367"/>
  <c r="G97" i="367"/>
  <c r="H96" i="367"/>
  <c r="G96" i="367"/>
  <c r="H95" i="367"/>
  <c r="G95" i="367"/>
  <c r="H94" i="367"/>
  <c r="G94" i="367"/>
  <c r="H93" i="367"/>
  <c r="G93" i="367"/>
  <c r="H92" i="367"/>
  <c r="G92" i="367"/>
  <c r="D91" i="367"/>
  <c r="D45" i="367" s="1"/>
  <c r="C91" i="367"/>
  <c r="H87" i="367"/>
  <c r="G87" i="367"/>
  <c r="H86" i="367"/>
  <c r="H91" i="367" s="1"/>
  <c r="G86" i="367"/>
  <c r="D84" i="367"/>
  <c r="D44" i="367" s="1"/>
  <c r="C84" i="367"/>
  <c r="C44" i="367" s="1"/>
  <c r="H83" i="367"/>
  <c r="G83" i="367"/>
  <c r="H82" i="367"/>
  <c r="G82" i="367"/>
  <c r="H81" i="367"/>
  <c r="G81" i="367"/>
  <c r="H80" i="367"/>
  <c r="G80" i="367"/>
  <c r="H79" i="367"/>
  <c r="G79" i="367"/>
  <c r="D58" i="367"/>
  <c r="C58" i="367"/>
  <c r="D48" i="367"/>
  <c r="C45" i="367"/>
  <c r="C22" i="367"/>
  <c r="C24" i="367" s="1"/>
  <c r="C23" i="367" s="1"/>
  <c r="C50" i="367" s="1"/>
  <c r="C123" i="367" s="1"/>
  <c r="G123" i="367" s="1"/>
  <c r="D21" i="367"/>
  <c r="D22" i="367" s="1"/>
  <c r="D24" i="367" s="1"/>
  <c r="D15" i="367"/>
  <c r="C13" i="367"/>
  <c r="C15" i="367" s="1"/>
  <c r="H9" i="368" l="1"/>
  <c r="H16" i="368"/>
  <c r="H47" i="368" s="1"/>
  <c r="Q33" i="148"/>
  <c r="R33" i="148" s="1"/>
  <c r="G29" i="368"/>
  <c r="H104" i="367"/>
  <c r="G16" i="368"/>
  <c r="C52" i="367"/>
  <c r="C42" i="367"/>
  <c r="D42" i="367"/>
  <c r="G104" i="367"/>
  <c r="G46" i="368"/>
  <c r="G91" i="367"/>
  <c r="G9" i="368"/>
  <c r="H46" i="368"/>
  <c r="D47" i="368"/>
  <c r="H84" i="367"/>
  <c r="G121" i="367"/>
  <c r="G84" i="367"/>
  <c r="D122" i="367"/>
  <c r="H29" i="368"/>
  <c r="C48" i="368"/>
  <c r="C47" i="368"/>
  <c r="H121" i="367"/>
  <c r="G48" i="368"/>
  <c r="D23" i="367"/>
  <c r="D50" i="367" s="1"/>
  <c r="D123" i="367" s="1"/>
  <c r="C122" i="367"/>
  <c r="C124" i="367" s="1"/>
  <c r="G122" i="367" l="1"/>
  <c r="G124" i="367" s="1"/>
  <c r="C49" i="368"/>
  <c r="T33" i="148"/>
  <c r="Q34" i="148"/>
  <c r="R34" i="148" s="1"/>
  <c r="G47" i="368"/>
  <c r="G49" i="368" s="1"/>
  <c r="I74" i="95" s="1"/>
  <c r="H122" i="367"/>
  <c r="H124" i="367"/>
  <c r="L87" i="149"/>
  <c r="C55" i="367"/>
  <c r="H123" i="367"/>
  <c r="D48" i="368"/>
  <c r="H48" i="368" s="1"/>
  <c r="H49" i="368" s="1"/>
  <c r="D124" i="367"/>
  <c r="D52" i="367"/>
  <c r="T34" i="148" l="1"/>
  <c r="D49" i="368"/>
  <c r="C43" i="20"/>
  <c r="C14" i="138"/>
  <c r="D41" i="143" s="1"/>
  <c r="C59" i="367"/>
  <c r="C61" i="367" s="1"/>
  <c r="D59" i="367"/>
  <c r="D55" i="367"/>
  <c r="Q87" i="149"/>
  <c r="D68" i="138"/>
  <c r="D19" i="9"/>
  <c r="C19" i="9"/>
  <c r="K18" i="9"/>
  <c r="D67" i="138" s="1"/>
  <c r="C67" i="138"/>
  <c r="D18" i="9"/>
  <c r="C18" i="9"/>
  <c r="N37" i="169"/>
  <c r="J37" i="169"/>
  <c r="G37" i="169"/>
  <c r="D37" i="169"/>
  <c r="C37" i="169"/>
  <c r="A37" i="169"/>
  <c r="N35" i="169"/>
  <c r="J35" i="169"/>
  <c r="I35" i="169"/>
  <c r="F35" i="169"/>
  <c r="D35" i="169"/>
  <c r="C35" i="169"/>
  <c r="A35" i="169"/>
  <c r="N33" i="169"/>
  <c r="J33" i="169"/>
  <c r="I33" i="169"/>
  <c r="G33" i="169"/>
  <c r="F33" i="169"/>
  <c r="D33" i="169"/>
  <c r="C33" i="169"/>
  <c r="A33" i="169"/>
  <c r="H14" i="284"/>
  <c r="B66" i="138"/>
  <c r="C68" i="138"/>
  <c r="P70" i="148"/>
  <c r="V7" i="148"/>
  <c r="P65" i="148"/>
  <c r="N66" i="148" s="1"/>
  <c r="P66" i="148" s="1"/>
  <c r="N67" i="148" s="1"/>
  <c r="P67" i="148" s="1"/>
  <c r="P60" i="148"/>
  <c r="N61" i="148" s="1"/>
  <c r="E89" i="149"/>
  <c r="F89" i="149"/>
  <c r="K89" i="149"/>
  <c r="P89" i="149"/>
  <c r="H87" i="149"/>
  <c r="R65" i="148"/>
  <c r="Q66" i="148" s="1"/>
  <c r="R66" i="148" s="1"/>
  <c r="S61" i="148"/>
  <c r="R60" i="148"/>
  <c r="Q61" i="148" s="1"/>
  <c r="F10" i="82"/>
  <c r="G42" i="10"/>
  <c r="J10" i="185" s="1"/>
  <c r="D56" i="329"/>
  <c r="C92" i="138"/>
  <c r="D92" i="138"/>
  <c r="N71" i="148" l="1"/>
  <c r="P71" i="148" s="1"/>
  <c r="N72" i="148" s="1"/>
  <c r="P72" i="148" s="1"/>
  <c r="N73" i="148" s="1"/>
  <c r="P73" i="148" s="1"/>
  <c r="Q67" i="148"/>
  <c r="R67" i="148" s="1"/>
  <c r="C38" i="138"/>
  <c r="B20" i="9"/>
  <c r="E20" i="9" s="1"/>
  <c r="G35" i="169"/>
  <c r="E67" i="138"/>
  <c r="D60" i="367"/>
  <c r="D61" i="367" s="1"/>
  <c r="D14" i="138"/>
  <c r="D67" i="143" s="1"/>
  <c r="E14" i="284"/>
  <c r="B33" i="169"/>
  <c r="E33" i="169" s="1"/>
  <c r="H33" i="169" s="1"/>
  <c r="K33" i="169" s="1"/>
  <c r="B19" i="9"/>
  <c r="E19" i="9" s="1"/>
  <c r="F19" i="9" s="1"/>
  <c r="C63" i="367"/>
  <c r="C75" i="138" s="1"/>
  <c r="B35" i="169"/>
  <c r="E35" i="169" s="1"/>
  <c r="E18" i="9"/>
  <c r="I18" i="9" s="1"/>
  <c r="D51" i="143"/>
  <c r="D42" i="143"/>
  <c r="B37" i="169"/>
  <c r="E37" i="169" s="1"/>
  <c r="O37" i="169"/>
  <c r="P37" i="169" s="1"/>
  <c r="O35" i="169"/>
  <c r="P35" i="169" s="1"/>
  <c r="O33" i="169"/>
  <c r="P33" i="169" s="1"/>
  <c r="P61" i="148"/>
  <c r="P63" i="148" s="1"/>
  <c r="R61" i="148"/>
  <c r="Q62" i="148" s="1"/>
  <c r="T67" i="148" l="1"/>
  <c r="V67" i="148" s="1"/>
  <c r="Q68" i="148"/>
  <c r="R68" i="148" s="1"/>
  <c r="E38" i="138"/>
  <c r="H35" i="169"/>
  <c r="K35" i="169" s="1"/>
  <c r="R62" i="148"/>
  <c r="T62" i="148" s="1"/>
  <c r="I19" i="9"/>
  <c r="D77" i="143"/>
  <c r="D68" i="143"/>
  <c r="F20" i="9"/>
  <c r="D63" i="367"/>
  <c r="D25" i="136" s="1"/>
  <c r="D75" i="138" s="1"/>
  <c r="Q63" i="148"/>
  <c r="L18" i="9"/>
  <c r="F18" i="9"/>
  <c r="L69" i="327"/>
  <c r="R35" i="169" l="1"/>
  <c r="T35" i="169" s="1"/>
  <c r="G29" i="132" s="1"/>
  <c r="E29" i="132" s="1"/>
  <c r="F29" i="132" s="1"/>
  <c r="T68" i="148"/>
  <c r="V35" i="169" s="1"/>
  <c r="X35" i="169" s="1"/>
  <c r="G31" i="17" s="1"/>
  <c r="C264" i="212" s="1"/>
  <c r="M19" i="9"/>
  <c r="R63" i="148"/>
  <c r="M18" i="9" s="1"/>
  <c r="N18" i="9" s="1"/>
  <c r="L19" i="9"/>
  <c r="N19" i="9" s="1"/>
  <c r="H26" i="136"/>
  <c r="I56" i="17"/>
  <c r="R33" i="169"/>
  <c r="T33" i="169" s="1"/>
  <c r="G28" i="132" s="1"/>
  <c r="E28" i="132" s="1"/>
  <c r="F28" i="132" s="1"/>
  <c r="V61" i="148"/>
  <c r="R53" i="328"/>
  <c r="R52" i="328"/>
  <c r="R51" i="328"/>
  <c r="R50" i="328"/>
  <c r="R49" i="328"/>
  <c r="R46" i="328"/>
  <c r="R45" i="328"/>
  <c r="R44" i="328"/>
  <c r="R43" i="328"/>
  <c r="R42" i="328"/>
  <c r="R41" i="328"/>
  <c r="R40" i="328"/>
  <c r="R47" i="328"/>
  <c r="R39" i="328"/>
  <c r="R21" i="328"/>
  <c r="R21" i="329"/>
  <c r="F9" i="285"/>
  <c r="E24" i="284"/>
  <c r="V68" i="148" l="1"/>
  <c r="T63" i="148"/>
  <c r="V33" i="169" s="1"/>
  <c r="X33" i="169" s="1"/>
  <c r="G30" i="17" s="1"/>
  <c r="C263" i="212" s="1"/>
  <c r="S63" i="148"/>
  <c r="V63" i="148" s="1"/>
  <c r="S62" i="148"/>
  <c r="V62" i="148" s="1"/>
  <c r="E26" i="284"/>
  <c r="G67" i="169"/>
  <c r="T13" i="148"/>
  <c r="T12" i="148"/>
  <c r="V12" i="148" s="1"/>
  <c r="O29" i="148"/>
  <c r="O28" i="148"/>
  <c r="N85" i="149"/>
  <c r="N83" i="149"/>
  <c r="F17" i="83"/>
  <c r="L21" i="82"/>
  <c r="F15" i="82"/>
  <c r="L22" i="82"/>
  <c r="K22" i="82"/>
  <c r="K21" i="82"/>
  <c r="AD34" i="142"/>
  <c r="AD24" i="142"/>
  <c r="AD12" i="142"/>
  <c r="CH25" i="142"/>
  <c r="CI25" i="142" s="1"/>
  <c r="BM30" i="142" s="1"/>
  <c r="BZ25" i="142"/>
  <c r="CC25" i="142" s="1"/>
  <c r="CG22" i="142"/>
  <c r="BZ22" i="142"/>
  <c r="BT22" i="142"/>
  <c r="BM22" i="142"/>
  <c r="BN22" i="142" s="1"/>
  <c r="CG21" i="142"/>
  <c r="BZ21" i="142"/>
  <c r="BT21" i="142"/>
  <c r="BN21" i="142"/>
  <c r="BP21" i="142" s="1"/>
  <c r="CG20" i="142"/>
  <c r="BZ20" i="142"/>
  <c r="BT20" i="142"/>
  <c r="BM20" i="142"/>
  <c r="BN20" i="142" s="1"/>
  <c r="CH20" i="142" s="1"/>
  <c r="CE19" i="142"/>
  <c r="AD105" i="142" s="1"/>
  <c r="CH18" i="142"/>
  <c r="CA18" i="142"/>
  <c r="BU18" i="142"/>
  <c r="BQ18" i="142"/>
  <c r="BT18" i="142" s="1"/>
  <c r="BP18" i="142"/>
  <c r="CH17" i="142"/>
  <c r="CA17" i="142"/>
  <c r="BU17" i="142"/>
  <c r="BQ17" i="142"/>
  <c r="BT17" i="142" s="1"/>
  <c r="BP17" i="142"/>
  <c r="CH16" i="142"/>
  <c r="CA16" i="142"/>
  <c r="BU16" i="142"/>
  <c r="BQ16" i="142"/>
  <c r="BP16" i="142"/>
  <c r="L25" i="82" l="1"/>
  <c r="BV21" i="142"/>
  <c r="CC21" i="142"/>
  <c r="CI21" i="142"/>
  <c r="BM28" i="142" s="1"/>
  <c r="BQ19" i="142"/>
  <c r="CA19" i="142"/>
  <c r="CH19" i="142"/>
  <c r="BP19" i="142"/>
  <c r="CB20" i="142"/>
  <c r="CC22" i="142"/>
  <c r="BT16" i="142"/>
  <c r="BT19" i="142" s="1"/>
  <c r="CI20" i="142"/>
  <c r="BM27" i="142" s="1"/>
  <c r="CI22" i="142"/>
  <c r="BV20" i="142"/>
  <c r="BU19" i="142"/>
  <c r="BP20" i="142"/>
  <c r="BV18" i="142"/>
  <c r="BW18" i="142"/>
  <c r="BZ18" i="142" s="1"/>
  <c r="BV22" i="142"/>
  <c r="BP22" i="142"/>
  <c r="CH22" i="142"/>
  <c r="BV17" i="142"/>
  <c r="BW17" i="142"/>
  <c r="BZ17" i="142" s="1"/>
  <c r="CH21" i="142"/>
  <c r="CC20" i="142"/>
  <c r="CB21" i="142"/>
  <c r="CB22" i="142"/>
  <c r="BP23" i="142" l="1"/>
  <c r="CB23" i="142"/>
  <c r="CC23" i="142"/>
  <c r="BV23" i="142"/>
  <c r="CH23" i="142"/>
  <c r="CI23" i="142"/>
  <c r="BM29" i="142"/>
  <c r="BM38" i="142" s="1"/>
  <c r="BV16" i="142"/>
  <c r="BV19" i="142" s="1"/>
  <c r="BW16" i="142"/>
  <c r="BZ16" i="142" s="1"/>
  <c r="BZ19" i="142" s="1"/>
  <c r="CD19" i="142" s="1"/>
  <c r="CG19" i="142" s="1"/>
  <c r="CD17" i="142"/>
  <c r="CI17" i="142" s="1"/>
  <c r="CB17" i="142"/>
  <c r="CC17" i="142" s="1"/>
  <c r="CD18" i="142"/>
  <c r="CI18" i="142" s="1"/>
  <c r="CB18" i="142"/>
  <c r="CC18" i="142" s="1"/>
  <c r="BW19" i="142" l="1"/>
  <c r="CB16" i="142"/>
  <c r="CB19" i="142" s="1"/>
  <c r="CD16" i="142"/>
  <c r="CI16" i="142" s="1"/>
  <c r="CG18" i="142"/>
  <c r="CG17" i="142"/>
  <c r="AD113" i="142"/>
  <c r="AD83" i="142"/>
  <c r="AD65" i="142"/>
  <c r="AD73" i="142" s="1"/>
  <c r="AD123" i="142"/>
  <c r="AD93" i="142"/>
  <c r="AD32" i="142"/>
  <c r="AD42" i="142"/>
  <c r="AD22" i="142"/>
  <c r="C68" i="142" s="1"/>
  <c r="G68" i="142" s="1"/>
  <c r="CC16" i="142" l="1"/>
  <c r="CC19" i="142" s="1"/>
  <c r="CG16" i="142"/>
  <c r="AD95" i="142"/>
  <c r="AD103" i="142" s="1"/>
  <c r="CI19" i="142"/>
  <c r="H68" i="142" l="1"/>
  <c r="L68" i="142" s="1"/>
  <c r="AD125" i="142"/>
  <c r="AD135" i="142" s="1"/>
  <c r="M68" i="142" s="1"/>
  <c r="Q68" i="142" s="1"/>
  <c r="S922" i="364"/>
  <c r="R922" i="364"/>
  <c r="R63" i="328" l="1"/>
  <c r="R62" i="328"/>
  <c r="R61" i="328"/>
  <c r="R60" i="328"/>
  <c r="R59" i="328"/>
  <c r="R58" i="328"/>
  <c r="R57" i="328"/>
  <c r="R56" i="328"/>
  <c r="R48" i="328"/>
  <c r="I62" i="319"/>
  <c r="J63" i="327"/>
  <c r="H63" i="327"/>
  <c r="G63" i="327"/>
  <c r="F63" i="327"/>
  <c r="E63" i="327"/>
  <c r="D63" i="327"/>
  <c r="C63" i="327"/>
  <c r="J52" i="327"/>
  <c r="H52" i="327"/>
  <c r="G52" i="327"/>
  <c r="F52" i="327"/>
  <c r="E52" i="327"/>
  <c r="D52" i="327"/>
  <c r="C52" i="327"/>
  <c r="I44" i="327"/>
  <c r="I43" i="327"/>
  <c r="I42" i="327"/>
  <c r="I41" i="327"/>
  <c r="I40" i="327"/>
  <c r="I39" i="327"/>
  <c r="I38" i="327"/>
  <c r="I37" i="327"/>
  <c r="I36" i="327"/>
  <c r="P12" i="321" s="1"/>
  <c r="I33" i="327"/>
  <c r="I31" i="327"/>
  <c r="K31" i="327" s="1"/>
  <c r="I30" i="327"/>
  <c r="K30" i="327" s="1"/>
  <c r="I29" i="327"/>
  <c r="K29" i="327" s="1"/>
  <c r="I28" i="327"/>
  <c r="K28" i="327" s="1"/>
  <c r="I27" i="327"/>
  <c r="K27" i="327" s="1"/>
  <c r="I26" i="327"/>
  <c r="K26" i="327" s="1"/>
  <c r="I25" i="327"/>
  <c r="K25" i="327" s="1"/>
  <c r="I24" i="327"/>
  <c r="K24" i="327" s="1"/>
  <c r="I23" i="327"/>
  <c r="K23" i="327" s="1"/>
  <c r="I22" i="327"/>
  <c r="I21" i="327"/>
  <c r="N9" i="323" s="1"/>
  <c r="J15" i="327"/>
  <c r="J34" i="327" s="1"/>
  <c r="H15" i="327"/>
  <c r="H34" i="327" s="1"/>
  <c r="G15" i="327"/>
  <c r="G34" i="327" s="1"/>
  <c r="F15" i="327"/>
  <c r="F34" i="327" s="1"/>
  <c r="E15" i="327"/>
  <c r="E34" i="327" s="1"/>
  <c r="D15" i="327"/>
  <c r="D34" i="327" s="1"/>
  <c r="C15" i="327"/>
  <c r="C34" i="327" s="1"/>
  <c r="K9" i="327"/>
  <c r="I8" i="327"/>
  <c r="I71" i="326"/>
  <c r="J61" i="326"/>
  <c r="I50" i="326"/>
  <c r="I44" i="326"/>
  <c r="K44" i="326" s="1"/>
  <c r="I43" i="326"/>
  <c r="K43" i="326" s="1"/>
  <c r="I42" i="326"/>
  <c r="K42" i="326" s="1"/>
  <c r="I41" i="326"/>
  <c r="K41" i="326" s="1"/>
  <c r="I40" i="326"/>
  <c r="I39" i="326"/>
  <c r="K39" i="326" s="1"/>
  <c r="I38" i="326"/>
  <c r="K38" i="326" s="1"/>
  <c r="I37" i="326"/>
  <c r="K37" i="326" s="1"/>
  <c r="I36" i="326"/>
  <c r="K36" i="326" s="1"/>
  <c r="I35" i="326"/>
  <c r="I32" i="326"/>
  <c r="K32" i="326" s="1"/>
  <c r="I31" i="326"/>
  <c r="K31" i="326" s="1"/>
  <c r="I30" i="326"/>
  <c r="K30" i="326" s="1"/>
  <c r="I29" i="326"/>
  <c r="K29" i="326" s="1"/>
  <c r="I28" i="326"/>
  <c r="K28" i="326" s="1"/>
  <c r="I27" i="326"/>
  <c r="K27" i="326" s="1"/>
  <c r="I26" i="326"/>
  <c r="K26" i="326" s="1"/>
  <c r="I25" i="326"/>
  <c r="K25" i="326" s="1"/>
  <c r="I24" i="326"/>
  <c r="K24" i="326" s="1"/>
  <c r="I23" i="326"/>
  <c r="K23" i="326" s="1"/>
  <c r="I22" i="326"/>
  <c r="I21" i="326"/>
  <c r="N10" i="322" s="1"/>
  <c r="H70" i="326"/>
  <c r="H72" i="326" s="1"/>
  <c r="H73" i="326" s="1"/>
  <c r="D70" i="326"/>
  <c r="D72" i="326" s="1"/>
  <c r="D73" i="326" s="1"/>
  <c r="I8" i="326"/>
  <c r="K66" i="324"/>
  <c r="I59" i="324"/>
  <c r="H59" i="324"/>
  <c r="G59" i="324"/>
  <c r="F59" i="324"/>
  <c r="E59" i="324"/>
  <c r="D59" i="324"/>
  <c r="J58" i="324"/>
  <c r="K58" i="324" s="1"/>
  <c r="J57" i="324"/>
  <c r="K57" i="324" s="1"/>
  <c r="J56" i="324"/>
  <c r="K56" i="324" s="1"/>
  <c r="J55" i="324"/>
  <c r="K55" i="324" s="1"/>
  <c r="J54" i="324"/>
  <c r="K54" i="324" s="1"/>
  <c r="J53" i="324"/>
  <c r="K53" i="324" s="1"/>
  <c r="J52" i="324"/>
  <c r="K52" i="324" s="1"/>
  <c r="K51" i="324"/>
  <c r="I49" i="324"/>
  <c r="H49" i="324"/>
  <c r="G49" i="324"/>
  <c r="F49" i="324"/>
  <c r="E49" i="324"/>
  <c r="D49" i="324"/>
  <c r="J48" i="324"/>
  <c r="K48" i="324" s="1"/>
  <c r="K47" i="324"/>
  <c r="K46" i="324"/>
  <c r="K45" i="324"/>
  <c r="K44" i="324"/>
  <c r="J43" i="324"/>
  <c r="K43" i="324" s="1"/>
  <c r="J42" i="324"/>
  <c r="K42" i="324" s="1"/>
  <c r="J41" i="324"/>
  <c r="K41" i="324" s="1"/>
  <c r="J40" i="324"/>
  <c r="K40" i="324" s="1"/>
  <c r="J39" i="324"/>
  <c r="K39" i="324" s="1"/>
  <c r="J38" i="324"/>
  <c r="K38" i="324" s="1"/>
  <c r="J37" i="324"/>
  <c r="K37" i="324" s="1"/>
  <c r="J36" i="324"/>
  <c r="K36" i="324" s="1"/>
  <c r="J35" i="324"/>
  <c r="K35" i="324" s="1"/>
  <c r="K34" i="324"/>
  <c r="J34" i="324"/>
  <c r="I32" i="324"/>
  <c r="H32" i="324"/>
  <c r="H60" i="324" s="1"/>
  <c r="H8" i="324" s="1"/>
  <c r="G32" i="324"/>
  <c r="F32" i="324"/>
  <c r="E32" i="324"/>
  <c r="D32" i="324"/>
  <c r="J31" i="324"/>
  <c r="K31" i="324" s="1"/>
  <c r="J30" i="324"/>
  <c r="K30" i="324" s="1"/>
  <c r="J29" i="324"/>
  <c r="K29" i="324" s="1"/>
  <c r="J28" i="324"/>
  <c r="K28" i="324" s="1"/>
  <c r="J27" i="324"/>
  <c r="K27" i="324" s="1"/>
  <c r="J26" i="324"/>
  <c r="K26" i="324" s="1"/>
  <c r="J25" i="324"/>
  <c r="K25" i="324" s="1"/>
  <c r="J24" i="324"/>
  <c r="K24" i="324" s="1"/>
  <c r="J23" i="324"/>
  <c r="K23" i="324" s="1"/>
  <c r="J22" i="324"/>
  <c r="K22" i="324" s="1"/>
  <c r="J21" i="324"/>
  <c r="K21" i="324" s="1"/>
  <c r="J17" i="324"/>
  <c r="K17" i="324" s="1"/>
  <c r="J16" i="324"/>
  <c r="K16" i="324" s="1"/>
  <c r="J11" i="324"/>
  <c r="K11" i="324" s="1"/>
  <c r="J10" i="324"/>
  <c r="J6" i="324"/>
  <c r="K6" i="324" s="1"/>
  <c r="H46" i="323"/>
  <c r="G46" i="323"/>
  <c r="F46" i="323"/>
  <c r="E46" i="323"/>
  <c r="D46" i="323"/>
  <c r="C46" i="323"/>
  <c r="H31" i="323"/>
  <c r="H32" i="323" s="1"/>
  <c r="J30" i="323"/>
  <c r="I30" i="323"/>
  <c r="G30" i="323"/>
  <c r="H28" i="323"/>
  <c r="H27" i="323"/>
  <c r="H25" i="323"/>
  <c r="D30" i="323"/>
  <c r="C30" i="323"/>
  <c r="J17" i="323"/>
  <c r="I17" i="323"/>
  <c r="G17" i="323"/>
  <c r="F17" i="323"/>
  <c r="E17" i="323"/>
  <c r="D17" i="323"/>
  <c r="C17" i="323"/>
  <c r="H16" i="323"/>
  <c r="J15" i="323"/>
  <c r="G15" i="323"/>
  <c r="E15" i="323"/>
  <c r="H13" i="323"/>
  <c r="H11" i="323"/>
  <c r="I15" i="323"/>
  <c r="H10" i="323"/>
  <c r="C15" i="323"/>
  <c r="H46" i="322"/>
  <c r="G46" i="322"/>
  <c r="F46" i="322"/>
  <c r="E46" i="322"/>
  <c r="D46" i="322"/>
  <c r="C46" i="322"/>
  <c r="J32" i="322"/>
  <c r="I32" i="322"/>
  <c r="G32" i="322"/>
  <c r="F32" i="322"/>
  <c r="E32" i="322"/>
  <c r="H31" i="322"/>
  <c r="J30" i="322"/>
  <c r="I30" i="322"/>
  <c r="F30" i="322"/>
  <c r="C30" i="322"/>
  <c r="C34" i="322" s="1"/>
  <c r="G30" i="322"/>
  <c r="D30" i="322"/>
  <c r="D34" i="322" s="1"/>
  <c r="H28" i="322"/>
  <c r="H27" i="322"/>
  <c r="H26" i="322"/>
  <c r="E30" i="322"/>
  <c r="J17" i="322"/>
  <c r="I17" i="322"/>
  <c r="F17" i="322"/>
  <c r="E17" i="322"/>
  <c r="D17" i="322"/>
  <c r="C17" i="322"/>
  <c r="H16" i="322"/>
  <c r="H17" i="322" s="1"/>
  <c r="J15" i="322"/>
  <c r="I15" i="322"/>
  <c r="M13" i="322" s="1"/>
  <c r="O13" i="322" s="1"/>
  <c r="G15" i="322"/>
  <c r="D15" i="322"/>
  <c r="H13" i="322"/>
  <c r="H12" i="322"/>
  <c r="E15" i="322"/>
  <c r="E18" i="322" s="1"/>
  <c r="C15" i="322"/>
  <c r="H10" i="322"/>
  <c r="H55" i="321"/>
  <c r="G55" i="321"/>
  <c r="F55" i="321"/>
  <c r="E55" i="321"/>
  <c r="C55" i="321"/>
  <c r="E41" i="321"/>
  <c r="J37" i="321"/>
  <c r="L34" i="321"/>
  <c r="L41" i="321" s="1"/>
  <c r="K34" i="321"/>
  <c r="C34" i="321"/>
  <c r="C41" i="321" s="1"/>
  <c r="J33" i="321"/>
  <c r="J32" i="321"/>
  <c r="J31" i="321"/>
  <c r="J30" i="321"/>
  <c r="I34" i="321"/>
  <c r="H34" i="321"/>
  <c r="H41" i="321" s="1"/>
  <c r="F34" i="321"/>
  <c r="D34" i="321"/>
  <c r="D41" i="321" s="1"/>
  <c r="E22" i="321"/>
  <c r="L20" i="321"/>
  <c r="J18" i="321"/>
  <c r="J20" i="321" s="1"/>
  <c r="J16" i="321"/>
  <c r="O12" i="321" s="1"/>
  <c r="Q12" i="321" s="1"/>
  <c r="L15" i="321"/>
  <c r="K15" i="321"/>
  <c r="O11" i="321" s="1"/>
  <c r="Q11" i="321" s="1"/>
  <c r="I15" i="321"/>
  <c r="C15" i="321"/>
  <c r="J14" i="321"/>
  <c r="J13" i="321"/>
  <c r="F15" i="321"/>
  <c r="D15" i="321"/>
  <c r="H55" i="320"/>
  <c r="G55" i="320"/>
  <c r="F55" i="320"/>
  <c r="E55" i="320"/>
  <c r="D55" i="320"/>
  <c r="C55" i="320"/>
  <c r="I54" i="320"/>
  <c r="I53" i="320"/>
  <c r="I52" i="320"/>
  <c r="I51" i="320"/>
  <c r="I50" i="320"/>
  <c r="I49" i="320"/>
  <c r="I48" i="320"/>
  <c r="L39" i="320"/>
  <c r="K39" i="320"/>
  <c r="I39" i="320"/>
  <c r="H39" i="320"/>
  <c r="G39" i="320"/>
  <c r="F39" i="320"/>
  <c r="E39" i="320"/>
  <c r="E41" i="320" s="1"/>
  <c r="D39" i="320"/>
  <c r="C39" i="320"/>
  <c r="J37" i="320"/>
  <c r="J39" i="320" s="1"/>
  <c r="L36" i="320"/>
  <c r="K36" i="320"/>
  <c r="N35" i="326" s="1"/>
  <c r="I36" i="320"/>
  <c r="H36" i="320"/>
  <c r="G36" i="320"/>
  <c r="F36" i="320"/>
  <c r="E36" i="320"/>
  <c r="D36" i="320"/>
  <c r="C36" i="320"/>
  <c r="J35" i="320"/>
  <c r="J36" i="320" s="1"/>
  <c r="L34" i="320"/>
  <c r="K34" i="320"/>
  <c r="D34" i="320"/>
  <c r="D41" i="320" s="1"/>
  <c r="C34" i="320"/>
  <c r="J33" i="320"/>
  <c r="J32" i="320"/>
  <c r="J31" i="320"/>
  <c r="I34" i="320"/>
  <c r="H34" i="320"/>
  <c r="L20" i="320"/>
  <c r="K20" i="320"/>
  <c r="J20" i="320"/>
  <c r="I20" i="320"/>
  <c r="H20" i="320"/>
  <c r="G20" i="320"/>
  <c r="F20" i="320"/>
  <c r="E20" i="320"/>
  <c r="E22" i="320" s="1"/>
  <c r="D20" i="320"/>
  <c r="C20" i="320"/>
  <c r="L17" i="320"/>
  <c r="K17" i="320"/>
  <c r="I17" i="320"/>
  <c r="H17" i="320"/>
  <c r="G17" i="320"/>
  <c r="F17" i="320"/>
  <c r="E17" i="320"/>
  <c r="D17" i="320"/>
  <c r="C17" i="320"/>
  <c r="J16" i="320"/>
  <c r="J17" i="320" s="1"/>
  <c r="L15" i="320"/>
  <c r="K15" i="320"/>
  <c r="I15" i="320"/>
  <c r="D15" i="320"/>
  <c r="C15" i="320"/>
  <c r="J14" i="320"/>
  <c r="J13" i="320"/>
  <c r="J12" i="320"/>
  <c r="H15" i="320"/>
  <c r="J10" i="320"/>
  <c r="I22" i="321" l="1"/>
  <c r="R17" i="321"/>
  <c r="K38" i="327"/>
  <c r="I36" i="319"/>
  <c r="K37" i="327"/>
  <c r="I35" i="319"/>
  <c r="K22" i="326"/>
  <c r="M10" i="325"/>
  <c r="N10" i="325" s="1"/>
  <c r="N9" i="322"/>
  <c r="K40" i="326"/>
  <c r="K8" i="327"/>
  <c r="P13" i="321"/>
  <c r="K39" i="327"/>
  <c r="I37" i="319"/>
  <c r="C18" i="322"/>
  <c r="K40" i="327"/>
  <c r="I38" i="319"/>
  <c r="K22" i="327"/>
  <c r="M13" i="325"/>
  <c r="N13" i="325" s="1"/>
  <c r="K41" i="327"/>
  <c r="I39" i="319"/>
  <c r="N10" i="323"/>
  <c r="F22" i="321"/>
  <c r="F43" i="321" s="1"/>
  <c r="O18" i="321" s="1"/>
  <c r="O17" i="321"/>
  <c r="I11" i="319"/>
  <c r="K8" i="326"/>
  <c r="I15" i="326"/>
  <c r="K15" i="326" s="1"/>
  <c r="I51" i="326"/>
  <c r="K51" i="326" s="1"/>
  <c r="K35" i="326"/>
  <c r="K42" i="327"/>
  <c r="I40" i="319"/>
  <c r="K43" i="327"/>
  <c r="I41" i="319"/>
  <c r="C41" i="320"/>
  <c r="K44" i="327"/>
  <c r="I42" i="319"/>
  <c r="M11" i="323"/>
  <c r="O11" i="323" s="1"/>
  <c r="I19" i="319"/>
  <c r="H17" i="323"/>
  <c r="M10" i="323"/>
  <c r="H32" i="322"/>
  <c r="M9" i="322"/>
  <c r="O9" i="322" s="1"/>
  <c r="F41" i="321"/>
  <c r="J39" i="321"/>
  <c r="O13" i="321"/>
  <c r="Q13" i="321" s="1"/>
  <c r="I34" i="319"/>
  <c r="K36" i="327"/>
  <c r="K21" i="327"/>
  <c r="J72" i="327"/>
  <c r="I53" i="319"/>
  <c r="I24" i="319"/>
  <c r="I25" i="319"/>
  <c r="I26" i="319"/>
  <c r="I16" i="319"/>
  <c r="I28" i="319"/>
  <c r="I27" i="319"/>
  <c r="I21" i="319"/>
  <c r="I29" i="319"/>
  <c r="I22" i="319"/>
  <c r="I30" i="319"/>
  <c r="I23" i="319"/>
  <c r="I31" i="319"/>
  <c r="I9" i="319"/>
  <c r="I10" i="319"/>
  <c r="F62" i="319"/>
  <c r="C6" i="324"/>
  <c r="I33" i="326"/>
  <c r="K33" i="326" s="1"/>
  <c r="K21" i="326"/>
  <c r="F39" i="319"/>
  <c r="C39" i="324"/>
  <c r="F41" i="319"/>
  <c r="C41" i="324"/>
  <c r="F40" i="319"/>
  <c r="C40" i="324"/>
  <c r="F34" i="319"/>
  <c r="C34" i="324"/>
  <c r="F42" i="319"/>
  <c r="C42" i="324"/>
  <c r="F35" i="319"/>
  <c r="C35" i="324"/>
  <c r="F43" i="319"/>
  <c r="C43" i="324"/>
  <c r="F36" i="319"/>
  <c r="C36" i="324"/>
  <c r="F48" i="319"/>
  <c r="C48" i="324"/>
  <c r="F37" i="319"/>
  <c r="C37" i="324"/>
  <c r="F38" i="319"/>
  <c r="C38" i="324"/>
  <c r="F27" i="319"/>
  <c r="C27" i="324"/>
  <c r="F16" i="319"/>
  <c r="C17" i="324"/>
  <c r="F28" i="319"/>
  <c r="C28" i="324"/>
  <c r="F21" i="319"/>
  <c r="C21" i="324"/>
  <c r="F29" i="319"/>
  <c r="C29" i="324"/>
  <c r="F22" i="319"/>
  <c r="C22" i="324"/>
  <c r="F30" i="319"/>
  <c r="C30" i="324"/>
  <c r="F23" i="319"/>
  <c r="C23" i="324"/>
  <c r="F31" i="319"/>
  <c r="C31" i="324"/>
  <c r="F24" i="319"/>
  <c r="C24" i="324"/>
  <c r="F25" i="319"/>
  <c r="C25" i="324"/>
  <c r="F26" i="319"/>
  <c r="C26" i="324"/>
  <c r="F9" i="319"/>
  <c r="C10" i="324"/>
  <c r="F10" i="319"/>
  <c r="C11" i="324"/>
  <c r="L41" i="320"/>
  <c r="L22" i="320"/>
  <c r="D22" i="320"/>
  <c r="J34" i="322"/>
  <c r="E34" i="322"/>
  <c r="F34" i="322"/>
  <c r="G18" i="322"/>
  <c r="L16" i="323"/>
  <c r="J11" i="321"/>
  <c r="L33" i="322"/>
  <c r="L35" i="322" s="1"/>
  <c r="J11" i="320"/>
  <c r="J15" i="320" s="1"/>
  <c r="J22" i="320" s="1"/>
  <c r="E70" i="326"/>
  <c r="E72" i="326" s="1"/>
  <c r="E73" i="326" s="1"/>
  <c r="E72" i="327"/>
  <c r="E74" i="327" s="1"/>
  <c r="E75" i="327" s="1"/>
  <c r="G34" i="320"/>
  <c r="G41" i="320" s="1"/>
  <c r="G72" i="327"/>
  <c r="G74" i="327" s="1"/>
  <c r="G75" i="327" s="1"/>
  <c r="H72" i="327"/>
  <c r="H74" i="327" s="1"/>
  <c r="H75" i="327" s="1"/>
  <c r="I22" i="320"/>
  <c r="C22" i="321"/>
  <c r="C43" i="321" s="1"/>
  <c r="H25" i="322"/>
  <c r="D15" i="323"/>
  <c r="D18" i="323" s="1"/>
  <c r="D35" i="323" s="1"/>
  <c r="E18" i="323"/>
  <c r="G70" i="326"/>
  <c r="G72" i="326" s="1"/>
  <c r="G73" i="326" s="1"/>
  <c r="G15" i="321"/>
  <c r="I15" i="327"/>
  <c r="I34" i="327" s="1"/>
  <c r="K34" i="327" s="1"/>
  <c r="F72" i="327"/>
  <c r="F74" i="327" s="1"/>
  <c r="F75" i="327" s="1"/>
  <c r="I52" i="327"/>
  <c r="K52" i="327" s="1"/>
  <c r="H41" i="320"/>
  <c r="D43" i="320"/>
  <c r="E43" i="321"/>
  <c r="H14" i="322"/>
  <c r="I41" i="320"/>
  <c r="I61" i="326"/>
  <c r="K61" i="326" s="1"/>
  <c r="F70" i="326"/>
  <c r="F72" i="326" s="1"/>
  <c r="F73" i="326" s="1"/>
  <c r="I18" i="322"/>
  <c r="K41" i="321"/>
  <c r="K22" i="321"/>
  <c r="K22" i="320"/>
  <c r="K41" i="320"/>
  <c r="M59" i="324"/>
  <c r="L49" i="324"/>
  <c r="C59" i="324"/>
  <c r="C35" i="322"/>
  <c r="H15" i="321"/>
  <c r="I34" i="322"/>
  <c r="I18" i="323"/>
  <c r="M49" i="324"/>
  <c r="D60" i="324"/>
  <c r="D8" i="324" s="1"/>
  <c r="H22" i="320"/>
  <c r="F34" i="320"/>
  <c r="J18" i="323"/>
  <c r="J59" i="324"/>
  <c r="D22" i="321"/>
  <c r="D43" i="321" s="1"/>
  <c r="L22" i="321"/>
  <c r="L43" i="321" s="1"/>
  <c r="I41" i="321"/>
  <c r="I43" i="321" s="1"/>
  <c r="F15" i="322"/>
  <c r="F18" i="322" s="1"/>
  <c r="C18" i="323"/>
  <c r="E60" i="324"/>
  <c r="E8" i="324" s="1"/>
  <c r="F60" i="324"/>
  <c r="F8" i="324" s="1"/>
  <c r="I46" i="322"/>
  <c r="H14" i="323"/>
  <c r="J32" i="324"/>
  <c r="L59" i="324"/>
  <c r="G60" i="324"/>
  <c r="G8" i="324" s="1"/>
  <c r="D72" i="327"/>
  <c r="D74" i="327" s="1"/>
  <c r="D75" i="327" s="1"/>
  <c r="G15" i="320"/>
  <c r="G22" i="320" s="1"/>
  <c r="G34" i="322"/>
  <c r="C22" i="320"/>
  <c r="C43" i="320" s="1"/>
  <c r="J29" i="320"/>
  <c r="I55" i="320"/>
  <c r="J18" i="322"/>
  <c r="J35" i="322" s="1"/>
  <c r="H29" i="322"/>
  <c r="H26" i="323"/>
  <c r="I60" i="324"/>
  <c r="I8" i="324" s="1"/>
  <c r="D55" i="321"/>
  <c r="D18" i="322"/>
  <c r="D35" i="322" s="1"/>
  <c r="F15" i="323"/>
  <c r="F18" i="323" s="1"/>
  <c r="F30" i="323"/>
  <c r="H29" i="323"/>
  <c r="K59" i="324"/>
  <c r="C72" i="327"/>
  <c r="C74" i="327" s="1"/>
  <c r="C75" i="327" s="1"/>
  <c r="I63" i="327"/>
  <c r="K63" i="327" s="1"/>
  <c r="C70" i="326"/>
  <c r="C72" i="326" s="1"/>
  <c r="C73" i="326" s="1"/>
  <c r="K49" i="324"/>
  <c r="M16" i="324"/>
  <c r="M32" i="324" s="1"/>
  <c r="L32" i="324"/>
  <c r="J49" i="324"/>
  <c r="K10" i="324"/>
  <c r="K32" i="324" s="1"/>
  <c r="G18" i="323"/>
  <c r="G35" i="323" s="1"/>
  <c r="I46" i="323"/>
  <c r="E30" i="323"/>
  <c r="H12" i="323"/>
  <c r="E35" i="322"/>
  <c r="H11" i="322"/>
  <c r="J12" i="321"/>
  <c r="J29" i="321"/>
  <c r="J34" i="321" s="1"/>
  <c r="I55" i="321"/>
  <c r="G34" i="321"/>
  <c r="G41" i="321" s="1"/>
  <c r="J10" i="321"/>
  <c r="E43" i="320"/>
  <c r="J30" i="320"/>
  <c r="F15" i="320"/>
  <c r="F22" i="320" s="1"/>
  <c r="G22" i="321" l="1"/>
  <c r="P17" i="321"/>
  <c r="R18" i="321"/>
  <c r="I14" i="319"/>
  <c r="F35" i="322"/>
  <c r="H22" i="321"/>
  <c r="H43" i="321" s="1"/>
  <c r="Q17" i="321"/>
  <c r="R19" i="321"/>
  <c r="G43" i="321"/>
  <c r="L43" i="320"/>
  <c r="O10" i="323"/>
  <c r="O19" i="321"/>
  <c r="H15" i="323"/>
  <c r="G35" i="322"/>
  <c r="J41" i="321"/>
  <c r="J34" i="320"/>
  <c r="F41" i="320"/>
  <c r="K15" i="327"/>
  <c r="K19" i="319"/>
  <c r="Q19" i="319" s="1"/>
  <c r="K14" i="319"/>
  <c r="O14" i="319" s="1"/>
  <c r="K11" i="319"/>
  <c r="O11" i="319" s="1"/>
  <c r="C49" i="324"/>
  <c r="C32" i="324"/>
  <c r="G43" i="320"/>
  <c r="I43" i="320"/>
  <c r="I35" i="323"/>
  <c r="E35" i="323"/>
  <c r="I17" i="319" s="1"/>
  <c r="K17" i="319" s="1"/>
  <c r="J60" i="324"/>
  <c r="J35" i="323"/>
  <c r="H43" i="320"/>
  <c r="I70" i="326"/>
  <c r="F35" i="323"/>
  <c r="I18" i="319" s="1"/>
  <c r="C35" i="323"/>
  <c r="H30" i="323"/>
  <c r="H34" i="323" s="1"/>
  <c r="H30" i="322"/>
  <c r="K43" i="321"/>
  <c r="H15" i="322"/>
  <c r="H18" i="322" s="1"/>
  <c r="K43" i="320"/>
  <c r="I35" i="322"/>
  <c r="M60" i="324"/>
  <c r="M8" i="324" s="1"/>
  <c r="L60" i="324"/>
  <c r="L8" i="324" s="1"/>
  <c r="K60" i="324"/>
  <c r="J8" i="324"/>
  <c r="J15" i="321"/>
  <c r="I72" i="327"/>
  <c r="I74" i="327" s="1"/>
  <c r="I75" i="327" s="1"/>
  <c r="Q17" i="319" l="1"/>
  <c r="O17" i="319" s="1"/>
  <c r="Q18" i="321"/>
  <c r="Q19" i="321" s="1"/>
  <c r="I13" i="319"/>
  <c r="J22" i="321"/>
  <c r="J43" i="321" s="1"/>
  <c r="S18" i="321" s="1"/>
  <c r="S17" i="321"/>
  <c r="P19" i="321"/>
  <c r="C60" i="324"/>
  <c r="I12" i="319"/>
  <c r="K12" i="319" s="1"/>
  <c r="O12" i="319" s="1"/>
  <c r="P18" i="321"/>
  <c r="K8" i="324"/>
  <c r="H18" i="323"/>
  <c r="H35" i="323" s="1"/>
  <c r="M9" i="323"/>
  <c r="O9" i="323" s="1"/>
  <c r="H34" i="322"/>
  <c r="H35" i="322" s="1"/>
  <c r="M10" i="322"/>
  <c r="O10" i="322" s="1"/>
  <c r="O14" i="321"/>
  <c r="Q14" i="321" s="1"/>
  <c r="K72" i="327"/>
  <c r="J41" i="320"/>
  <c r="J43" i="320" s="1"/>
  <c r="F43" i="320"/>
  <c r="I72" i="326"/>
  <c r="I73" i="326" s="1"/>
  <c r="C8" i="324"/>
  <c r="J70" i="326"/>
  <c r="K70" i="326" s="1"/>
  <c r="S19" i="321" l="1"/>
  <c r="M59" i="319"/>
  <c r="H59" i="319"/>
  <c r="G59" i="319"/>
  <c r="E59" i="319"/>
  <c r="D59" i="319"/>
  <c r="P58" i="319"/>
  <c r="L58" i="319"/>
  <c r="P57" i="319"/>
  <c r="P55" i="319"/>
  <c r="L55" i="319"/>
  <c r="P53" i="319"/>
  <c r="N59" i="319"/>
  <c r="L53" i="319"/>
  <c r="O59" i="319"/>
  <c r="K59" i="319"/>
  <c r="J59" i="319"/>
  <c r="O49" i="319"/>
  <c r="M49" i="319"/>
  <c r="K49" i="319"/>
  <c r="J49" i="319"/>
  <c r="H49" i="319"/>
  <c r="G49" i="319"/>
  <c r="E49" i="319"/>
  <c r="D49" i="319"/>
  <c r="P48" i="319"/>
  <c r="L48" i="319"/>
  <c r="P43" i="319"/>
  <c r="L43" i="319"/>
  <c r="P42" i="319"/>
  <c r="L42" i="319"/>
  <c r="P41" i="319"/>
  <c r="L41" i="319"/>
  <c r="P40" i="319"/>
  <c r="L40" i="319"/>
  <c r="P39" i="319"/>
  <c r="L39" i="319"/>
  <c r="P38" i="319"/>
  <c r="L38" i="319"/>
  <c r="P37" i="319"/>
  <c r="L37" i="319"/>
  <c r="P36" i="319"/>
  <c r="L36" i="319"/>
  <c r="P35" i="319"/>
  <c r="L35" i="319"/>
  <c r="P34" i="319"/>
  <c r="L34" i="319"/>
  <c r="P31" i="319"/>
  <c r="L31" i="319"/>
  <c r="P30" i="319"/>
  <c r="L30" i="319"/>
  <c r="P29" i="319"/>
  <c r="L29" i="319"/>
  <c r="P28" i="319"/>
  <c r="L28" i="319"/>
  <c r="P27" i="319"/>
  <c r="L27" i="319"/>
  <c r="P26" i="319"/>
  <c r="L26" i="319"/>
  <c r="P25" i="319"/>
  <c r="L25" i="319"/>
  <c r="P24" i="319"/>
  <c r="L24" i="319"/>
  <c r="P23" i="319"/>
  <c r="L23" i="319"/>
  <c r="P22" i="319"/>
  <c r="L22" i="319"/>
  <c r="P21" i="319"/>
  <c r="L21" i="319"/>
  <c r="O20" i="319"/>
  <c r="N20" i="319"/>
  <c r="M20" i="319"/>
  <c r="K20" i="319"/>
  <c r="J20" i="319"/>
  <c r="H20" i="319"/>
  <c r="G20" i="319"/>
  <c r="E20" i="319"/>
  <c r="D20" i="319"/>
  <c r="P16" i="319"/>
  <c r="I20" i="319"/>
  <c r="F20" i="319"/>
  <c r="O15" i="319"/>
  <c r="N15" i="319"/>
  <c r="M15" i="319"/>
  <c r="K15" i="319"/>
  <c r="J15" i="319"/>
  <c r="H15" i="319"/>
  <c r="G15" i="319"/>
  <c r="E15" i="319"/>
  <c r="D15" i="319"/>
  <c r="P10" i="319"/>
  <c r="L10" i="319"/>
  <c r="P9" i="319"/>
  <c r="P52" i="319" l="1"/>
  <c r="H32" i="319"/>
  <c r="H61" i="319" s="1"/>
  <c r="N32" i="319"/>
  <c r="P20" i="319"/>
  <c r="O32" i="319"/>
  <c r="M32" i="319"/>
  <c r="M61" i="319" s="1"/>
  <c r="K13" i="319"/>
  <c r="O13" i="319" s="1"/>
  <c r="K18" i="319"/>
  <c r="O19" i="319"/>
  <c r="J32" i="319"/>
  <c r="J61" i="319" s="1"/>
  <c r="G32" i="319"/>
  <c r="G61" i="319" s="1"/>
  <c r="D32" i="319"/>
  <c r="D61" i="319" s="1"/>
  <c r="P49" i="319"/>
  <c r="F15" i="319"/>
  <c r="E32" i="319"/>
  <c r="E61" i="319" s="1"/>
  <c r="N49" i="319"/>
  <c r="F59" i="319"/>
  <c r="L59" i="319" s="1"/>
  <c r="I49" i="319"/>
  <c r="L9" i="319"/>
  <c r="I59" i="319"/>
  <c r="I15" i="319"/>
  <c r="I32" i="319" s="1"/>
  <c r="P59" i="319"/>
  <c r="L52" i="319"/>
  <c r="P15" i="319"/>
  <c r="F49" i="319"/>
  <c r="L49" i="319" s="1"/>
  <c r="L20" i="319"/>
  <c r="K32" i="319"/>
  <c r="L16" i="319"/>
  <c r="O18" i="319" l="1"/>
  <c r="Q18" i="319"/>
  <c r="F32" i="319"/>
  <c r="N43" i="320"/>
  <c r="O61" i="319"/>
  <c r="N61" i="319"/>
  <c r="O66" i="319"/>
  <c r="P63" i="319"/>
  <c r="L32" i="319"/>
  <c r="I61" i="319"/>
  <c r="I63" i="319" s="1"/>
  <c r="I64" i="319" s="1"/>
  <c r="K61" i="319"/>
  <c r="P32" i="319"/>
  <c r="L15" i="319"/>
  <c r="Q62" i="319"/>
  <c r="O63" i="319"/>
  <c r="O64" i="319" s="1"/>
  <c r="F61" i="319"/>
  <c r="K66" i="319" l="1"/>
  <c r="P66" i="319" s="1"/>
  <c r="L63" i="319"/>
  <c r="L61" i="319"/>
  <c r="K63" i="319"/>
  <c r="K64" i="319" s="1"/>
  <c r="P64" i="319" s="1"/>
  <c r="P61" i="319"/>
  <c r="F63" i="319"/>
  <c r="F64" i="319" s="1"/>
  <c r="L64" i="319" l="1"/>
  <c r="L66" i="319"/>
  <c r="C60" i="221"/>
  <c r="I51" i="221"/>
  <c r="C51" i="221"/>
  <c r="I50" i="221"/>
  <c r="I49" i="221"/>
  <c r="P47" i="221"/>
  <c r="R46" i="221"/>
  <c r="R38" i="221"/>
  <c r="U40" i="221" s="1"/>
  <c r="U41" i="221" s="1"/>
  <c r="U37" i="221"/>
  <c r="T37" i="221"/>
  <c r="U36" i="221"/>
  <c r="T36" i="221"/>
  <c r="U35" i="221"/>
  <c r="T35" i="221"/>
  <c r="U34" i="221"/>
  <c r="T34" i="221"/>
  <c r="U33" i="221"/>
  <c r="T33" i="221"/>
  <c r="P33" i="221"/>
  <c r="U32" i="221"/>
  <c r="T32" i="221"/>
  <c r="N32" i="221"/>
  <c r="U31" i="221"/>
  <c r="T31" i="221"/>
  <c r="O54" i="221"/>
  <c r="P54" i="221" s="1"/>
  <c r="N31" i="221"/>
  <c r="U30" i="221"/>
  <c r="T30" i="221"/>
  <c r="U29" i="221"/>
  <c r="T29" i="221"/>
  <c r="U28" i="221"/>
  <c r="T28" i="221"/>
  <c r="U27" i="221"/>
  <c r="T27" i="221"/>
  <c r="P27" i="221"/>
  <c r="T26" i="221"/>
  <c r="C36" i="221"/>
  <c r="N26" i="221"/>
  <c r="U25" i="221"/>
  <c r="T25" i="221"/>
  <c r="N25" i="221"/>
  <c r="P19" i="221"/>
  <c r="B18" i="221"/>
  <c r="B19" i="221" s="1"/>
  <c r="B22" i="221" s="1"/>
  <c r="C45" i="221" s="1"/>
  <c r="L17" i="221"/>
  <c r="K17" i="221"/>
  <c r="I24" i="221" s="1"/>
  <c r="J17" i="221"/>
  <c r="I53" i="221" s="1"/>
  <c r="I17" i="221"/>
  <c r="J25" i="221" s="1"/>
  <c r="B17" i="221"/>
  <c r="M15" i="221"/>
  <c r="M8" i="221" s="1"/>
  <c r="M14" i="221"/>
  <c r="D6" i="221"/>
  <c r="D13" i="221" s="1"/>
  <c r="C6" i="221"/>
  <c r="B6" i="221"/>
  <c r="D5" i="221"/>
  <c r="C5" i="221"/>
  <c r="C12" i="221" s="1"/>
  <c r="B5" i="221"/>
  <c r="D4" i="221"/>
  <c r="C4" i="221"/>
  <c r="B4" i="221"/>
  <c r="C11" i="221" s="1"/>
  <c r="F354" i="142"/>
  <c r="G353" i="142"/>
  <c r="G352" i="142"/>
  <c r="G351" i="142"/>
  <c r="G350" i="142"/>
  <c r="G349" i="142"/>
  <c r="G348" i="142"/>
  <c r="G347" i="142"/>
  <c r="G346" i="142"/>
  <c r="G345" i="142"/>
  <c r="G344" i="142"/>
  <c r="G343" i="142"/>
  <c r="G342" i="142"/>
  <c r="G341" i="142"/>
  <c r="G340" i="142"/>
  <c r="G339" i="142"/>
  <c r="G338" i="142"/>
  <c r="G337" i="142"/>
  <c r="G336" i="142"/>
  <c r="G335" i="142"/>
  <c r="G334" i="142"/>
  <c r="G333" i="142"/>
  <c r="G332" i="142"/>
  <c r="G331" i="142"/>
  <c r="G330" i="142"/>
  <c r="G329" i="142"/>
  <c r="G328" i="142"/>
  <c r="F323" i="142"/>
  <c r="G322" i="142"/>
  <c r="G321" i="142"/>
  <c r="G320" i="142"/>
  <c r="G319" i="142"/>
  <c r="G318" i="142"/>
  <c r="G317" i="142"/>
  <c r="G316" i="142"/>
  <c r="G315" i="142"/>
  <c r="G314" i="142"/>
  <c r="G313" i="142"/>
  <c r="G312" i="142"/>
  <c r="G311" i="142"/>
  <c r="G310" i="142"/>
  <c r="G309" i="142"/>
  <c r="G308" i="142"/>
  <c r="G307" i="142"/>
  <c r="G306" i="142"/>
  <c r="G305" i="142"/>
  <c r="H302" i="142"/>
  <c r="G302" i="142"/>
  <c r="D302" i="142"/>
  <c r="I300" i="142"/>
  <c r="I302" i="142" s="1"/>
  <c r="E300" i="142"/>
  <c r="F302" i="142" s="1"/>
  <c r="D295" i="142"/>
  <c r="F295" i="142" s="1"/>
  <c r="D294" i="142"/>
  <c r="V132" i="142"/>
  <c r="X124" i="142"/>
  <c r="W123" i="142"/>
  <c r="V123" i="142"/>
  <c r="U123" i="142"/>
  <c r="T123" i="142"/>
  <c r="X122" i="142"/>
  <c r="X121" i="142"/>
  <c r="X120" i="142"/>
  <c r="X119" i="142"/>
  <c r="X118" i="142"/>
  <c r="X117" i="142"/>
  <c r="X116" i="142"/>
  <c r="X115" i="142"/>
  <c r="W113" i="142"/>
  <c r="V113" i="142"/>
  <c r="U113" i="142"/>
  <c r="T113" i="142"/>
  <c r="X112" i="142"/>
  <c r="X111" i="142"/>
  <c r="X110" i="142"/>
  <c r="X109" i="142"/>
  <c r="X108" i="142"/>
  <c r="X107" i="142"/>
  <c r="X106" i="142"/>
  <c r="X105" i="142"/>
  <c r="X94" i="142"/>
  <c r="W93" i="142"/>
  <c r="V93" i="142"/>
  <c r="U93" i="142"/>
  <c r="T93" i="142"/>
  <c r="X92" i="142"/>
  <c r="X91" i="142"/>
  <c r="X90" i="142"/>
  <c r="X89" i="142"/>
  <c r="X88" i="142"/>
  <c r="X87" i="142"/>
  <c r="X86" i="142"/>
  <c r="X85" i="142"/>
  <c r="W83" i="142"/>
  <c r="V83" i="142"/>
  <c r="U83" i="142"/>
  <c r="T83" i="142"/>
  <c r="X82" i="142"/>
  <c r="X81" i="142"/>
  <c r="X80" i="142"/>
  <c r="X79" i="142"/>
  <c r="X78" i="142"/>
  <c r="X77" i="142"/>
  <c r="X76" i="142"/>
  <c r="W72" i="142"/>
  <c r="W102" i="142" s="1"/>
  <c r="W132" i="142" s="1"/>
  <c r="V72" i="142"/>
  <c r="U72" i="142"/>
  <c r="U102" i="142" s="1"/>
  <c r="U132" i="142" s="1"/>
  <c r="T72" i="142"/>
  <c r="W71" i="142"/>
  <c r="W101" i="142" s="1"/>
  <c r="W131" i="142" s="1"/>
  <c r="V71" i="142"/>
  <c r="U71" i="142"/>
  <c r="U101" i="142" s="1"/>
  <c r="U131" i="142" s="1"/>
  <c r="T71" i="142"/>
  <c r="T101" i="142" s="1"/>
  <c r="W70" i="142"/>
  <c r="W100" i="142" s="1"/>
  <c r="W130" i="142" s="1"/>
  <c r="V70" i="142"/>
  <c r="V100" i="142" s="1"/>
  <c r="V130" i="142" s="1"/>
  <c r="U70" i="142"/>
  <c r="U100" i="142" s="1"/>
  <c r="U130" i="142" s="1"/>
  <c r="T70" i="142"/>
  <c r="T100" i="142" s="1"/>
  <c r="W69" i="142"/>
  <c r="W99" i="142" s="1"/>
  <c r="W129" i="142" s="1"/>
  <c r="V69" i="142"/>
  <c r="V99" i="142" s="1"/>
  <c r="V129" i="142" s="1"/>
  <c r="U69" i="142"/>
  <c r="U99" i="142" s="1"/>
  <c r="T69" i="142"/>
  <c r="W68" i="142"/>
  <c r="W98" i="142" s="1"/>
  <c r="W128" i="142" s="1"/>
  <c r="V68" i="142"/>
  <c r="V98" i="142" s="1"/>
  <c r="V128" i="142" s="1"/>
  <c r="U68" i="142"/>
  <c r="U98" i="142" s="1"/>
  <c r="U128" i="142" s="1"/>
  <c r="T68" i="142"/>
  <c r="T98" i="142" s="1"/>
  <c r="W67" i="142"/>
  <c r="W97" i="142" s="1"/>
  <c r="W127" i="142" s="1"/>
  <c r="V67" i="142"/>
  <c r="V97" i="142" s="1"/>
  <c r="V127" i="142" s="1"/>
  <c r="U67" i="142"/>
  <c r="U97" i="142" s="1"/>
  <c r="U127" i="142" s="1"/>
  <c r="T67" i="142"/>
  <c r="T97" i="142" s="1"/>
  <c r="W66" i="142"/>
  <c r="W96" i="142" s="1"/>
  <c r="W126" i="142" s="1"/>
  <c r="V66" i="142"/>
  <c r="V96" i="142" s="1"/>
  <c r="V126" i="142" s="1"/>
  <c r="U66" i="142"/>
  <c r="U96" i="142" s="1"/>
  <c r="U126" i="142" s="1"/>
  <c r="T66" i="142"/>
  <c r="W65" i="142"/>
  <c r="V65" i="142"/>
  <c r="V95" i="142" s="1"/>
  <c r="U65" i="142"/>
  <c r="T65" i="142"/>
  <c r="T95" i="142" s="1"/>
  <c r="T125" i="142" s="1"/>
  <c r="X64" i="142"/>
  <c r="W42" i="142"/>
  <c r="V42" i="142"/>
  <c r="U42" i="142"/>
  <c r="T42" i="142"/>
  <c r="X41" i="142"/>
  <c r="X40" i="142"/>
  <c r="X39" i="142"/>
  <c r="X38" i="142"/>
  <c r="X37" i="142"/>
  <c r="X36" i="142"/>
  <c r="X35" i="142"/>
  <c r="X34" i="142"/>
  <c r="W32" i="142"/>
  <c r="V32" i="142"/>
  <c r="U32" i="142"/>
  <c r="T32" i="142"/>
  <c r="X31" i="142"/>
  <c r="X30" i="142"/>
  <c r="X29" i="142"/>
  <c r="X28" i="142"/>
  <c r="X27" i="142"/>
  <c r="X26" i="142"/>
  <c r="X25" i="142"/>
  <c r="X24" i="142"/>
  <c r="W22" i="142"/>
  <c r="V22" i="142"/>
  <c r="U22" i="142"/>
  <c r="T22" i="142"/>
  <c r="X21" i="142"/>
  <c r="X20" i="142"/>
  <c r="X19" i="142"/>
  <c r="X18" i="142"/>
  <c r="X17" i="142"/>
  <c r="X16" i="142"/>
  <c r="X14" i="142"/>
  <c r="X12" i="142"/>
  <c r="M17" i="221" l="1"/>
  <c r="P17" i="221" s="1"/>
  <c r="Q17" i="221" s="1"/>
  <c r="D296" i="142"/>
  <c r="W73" i="142"/>
  <c r="X71" i="142"/>
  <c r="D12" i="221"/>
  <c r="D14" i="221" s="1"/>
  <c r="D11" i="221"/>
  <c r="X66" i="142"/>
  <c r="X72" i="142"/>
  <c r="X123" i="142"/>
  <c r="P25" i="221"/>
  <c r="I52" i="221"/>
  <c r="I54" i="221" s="1"/>
  <c r="X83" i="142"/>
  <c r="T38" i="221"/>
  <c r="T39" i="221" s="1"/>
  <c r="D7" i="221"/>
  <c r="C58" i="221" s="1"/>
  <c r="U38" i="221"/>
  <c r="U39" i="221" s="1"/>
  <c r="C13" i="221"/>
  <c r="C14" i="221" s="1"/>
  <c r="B7" i="221"/>
  <c r="C7" i="221"/>
  <c r="C49" i="221" s="1"/>
  <c r="M9" i="221"/>
  <c r="C25" i="221"/>
  <c r="D37" i="221"/>
  <c r="O39" i="221"/>
  <c r="P39" i="221" s="1"/>
  <c r="V101" i="142"/>
  <c r="V131" i="142" s="1"/>
  <c r="T102" i="142"/>
  <c r="T132" i="142" s="1"/>
  <c r="X132" i="142" s="1"/>
  <c r="C26" i="221"/>
  <c r="C27" i="221" s="1"/>
  <c r="C46" i="221" s="1"/>
  <c r="X22" i="142"/>
  <c r="X93" i="142"/>
  <c r="X113" i="142"/>
  <c r="F294" i="142"/>
  <c r="F296" i="142" s="1"/>
  <c r="G323" i="142"/>
  <c r="H323" i="142" s="1"/>
  <c r="X42" i="142"/>
  <c r="I25" i="221"/>
  <c r="J24" i="221" s="1"/>
  <c r="P32" i="221"/>
  <c r="O51" i="221"/>
  <c r="P51" i="221" s="1"/>
  <c r="X32" i="142"/>
  <c r="C35" i="221"/>
  <c r="C37" i="221" s="1"/>
  <c r="T73" i="142"/>
  <c r="X69" i="142"/>
  <c r="T99" i="142"/>
  <c r="T129" i="142" s="1"/>
  <c r="G354" i="142"/>
  <c r="H354" i="142" s="1"/>
  <c r="W95" i="142"/>
  <c r="W125" i="142" s="1"/>
  <c r="W135" i="142" s="1"/>
  <c r="U73" i="142"/>
  <c r="P31" i="221"/>
  <c r="O38" i="221"/>
  <c r="P38" i="221" s="1"/>
  <c r="P26" i="221"/>
  <c r="O45" i="221"/>
  <c r="P45" i="221" s="1"/>
  <c r="O50" i="221"/>
  <c r="P50" i="221" s="1"/>
  <c r="O46" i="221"/>
  <c r="P46" i="221" s="1"/>
  <c r="O55" i="221"/>
  <c r="P55" i="221" s="1"/>
  <c r="P56" i="221" s="1"/>
  <c r="R16" i="221" s="1"/>
  <c r="T130" i="142"/>
  <c r="X130" i="142" s="1"/>
  <c r="X100" i="142"/>
  <c r="X98" i="142"/>
  <c r="T128" i="142"/>
  <c r="X128" i="142" s="1"/>
  <c r="T131" i="142"/>
  <c r="U129" i="142"/>
  <c r="T127" i="142"/>
  <c r="X127" i="142" s="1"/>
  <c r="X97" i="142"/>
  <c r="V125" i="142"/>
  <c r="V103" i="142"/>
  <c r="X65" i="142"/>
  <c r="T96" i="142"/>
  <c r="V73" i="142"/>
  <c r="X70" i="142"/>
  <c r="X68" i="142"/>
  <c r="X67" i="142"/>
  <c r="U95" i="142"/>
  <c r="P20" i="221" l="1"/>
  <c r="C54" i="221" s="1"/>
  <c r="J26" i="221"/>
  <c r="V135" i="142"/>
  <c r="T103" i="142"/>
  <c r="X101" i="142"/>
  <c r="X102" i="142"/>
  <c r="X131" i="142"/>
  <c r="X95" i="142"/>
  <c r="P28" i="221"/>
  <c r="N14" i="221" s="1"/>
  <c r="C31" i="221" s="1"/>
  <c r="X129" i="142"/>
  <c r="P41" i="221"/>
  <c r="N15" i="221" s="1"/>
  <c r="C40" i="221" s="1"/>
  <c r="P52" i="221"/>
  <c r="N16" i="221" s="1"/>
  <c r="X73" i="142"/>
  <c r="G355" i="142"/>
  <c r="X99" i="142"/>
  <c r="W103" i="142"/>
  <c r="P34" i="221"/>
  <c r="P6" i="221"/>
  <c r="P48" i="221"/>
  <c r="R15" i="221" s="1"/>
  <c r="D25" i="221"/>
  <c r="D27" i="221" s="1"/>
  <c r="C55" i="221"/>
  <c r="I26" i="221"/>
  <c r="U125" i="142"/>
  <c r="U103" i="142"/>
  <c r="X96" i="142"/>
  <c r="T126" i="142"/>
  <c r="X103" i="142" l="1"/>
  <c r="R14" i="221"/>
  <c r="D31" i="221" s="1"/>
  <c r="C42" i="221"/>
  <c r="C47" i="221" s="1"/>
  <c r="C48" i="221" s="1"/>
  <c r="C50" i="221" s="1"/>
  <c r="E50" i="221" s="1"/>
  <c r="N17" i="221"/>
  <c r="P7" i="221"/>
  <c r="P8" i="221" s="1"/>
  <c r="D40" i="221"/>
  <c r="R17" i="221"/>
  <c r="X126" i="142"/>
  <c r="T135" i="142"/>
  <c r="U135" i="142"/>
  <c r="X125" i="142"/>
  <c r="C52" i="221" l="1"/>
  <c r="D42" i="221"/>
  <c r="J27" i="221"/>
  <c r="C56" i="221"/>
  <c r="C57" i="221" s="1"/>
  <c r="C59" i="221" s="1"/>
  <c r="I27" i="221"/>
  <c r="X135" i="142"/>
  <c r="J28" i="221" l="1"/>
  <c r="K25" i="221"/>
  <c r="I28" i="221"/>
  <c r="I58" i="221" s="1"/>
  <c r="C62" i="221"/>
  <c r="E59" i="221"/>
  <c r="E44" i="83" l="1"/>
  <c r="F44" i="83" s="1"/>
  <c r="E42" i="83"/>
  <c r="F42" i="83" s="1"/>
  <c r="E9" i="285"/>
  <c r="A1" i="132" l="1"/>
  <c r="C2722" i="357" l="1"/>
  <c r="D2722" i="357"/>
  <c r="C2723" i="357"/>
  <c r="D2723" i="357"/>
  <c r="C3090" i="357"/>
  <c r="D3090" i="357"/>
  <c r="E3090" i="357"/>
  <c r="F3090" i="357"/>
  <c r="C3091" i="357"/>
  <c r="D3091" i="357"/>
  <c r="E3091" i="357"/>
  <c r="F3091" i="357"/>
  <c r="C1864" i="357"/>
  <c r="D1864" i="357"/>
  <c r="C1865" i="357"/>
  <c r="D1865" i="357"/>
  <c r="C1961" i="357"/>
  <c r="D1961" i="357"/>
  <c r="C1962" i="357"/>
  <c r="D1962" i="357"/>
  <c r="C1963" i="357"/>
  <c r="D1963" i="357"/>
  <c r="C1964" i="357"/>
  <c r="D1964" i="357"/>
  <c r="C1965" i="357"/>
  <c r="D1965" i="357"/>
  <c r="C1966" i="357"/>
  <c r="D1966" i="357"/>
  <c r="C1967" i="357"/>
  <c r="D1967" i="357"/>
  <c r="C1968" i="357"/>
  <c r="D1968" i="357"/>
  <c r="C1969" i="357"/>
  <c r="D1969" i="357"/>
  <c r="C1970" i="357"/>
  <c r="D1970" i="357"/>
  <c r="C1974" i="357"/>
  <c r="D1974" i="357"/>
  <c r="C2062" i="357"/>
  <c r="D2062" i="357"/>
  <c r="C2695" i="357"/>
  <c r="D2695" i="357"/>
  <c r="C2696" i="357"/>
  <c r="D2696" i="357"/>
  <c r="C2999" i="357"/>
  <c r="D2999" i="357"/>
  <c r="C3081" i="357"/>
  <c r="D3081" i="357"/>
  <c r="C3082" i="357"/>
  <c r="D3082" i="357"/>
  <c r="C3083" i="357"/>
  <c r="D3083" i="357"/>
  <c r="C3084" i="357"/>
  <c r="D3084" i="357"/>
  <c r="C3085" i="357"/>
  <c r="D3085" i="357"/>
  <c r="C3086" i="357"/>
  <c r="D3086" i="357"/>
  <c r="C3087" i="357"/>
  <c r="D3087" i="357"/>
  <c r="C3088" i="357"/>
  <c r="D3088" i="357"/>
  <c r="C3089" i="357"/>
  <c r="D3089" i="357"/>
  <c r="C3472" i="357"/>
  <c r="D3472" i="357"/>
  <c r="C3480" i="357"/>
  <c r="D3480" i="357"/>
  <c r="H3091" i="357" l="1"/>
  <c r="G3091" i="357"/>
  <c r="H3090" i="357"/>
  <c r="G3090" i="357"/>
  <c r="I3091" i="357" l="1"/>
  <c r="J3090" i="357"/>
  <c r="J3091" i="357"/>
  <c r="I3090" i="357"/>
  <c r="C14" i="7" l="1"/>
  <c r="B9" i="397" l="1"/>
  <c r="B14" i="397" s="1"/>
  <c r="D9" i="192"/>
  <c r="N24" i="363"/>
  <c r="Q19" i="363"/>
  <c r="L20" i="363"/>
  <c r="L23" i="363" s="1"/>
  <c r="L25" i="363" s="1"/>
  <c r="Q12" i="363"/>
  <c r="L11" i="363"/>
  <c r="L30" i="363" l="1"/>
  <c r="C1549" i="357"/>
  <c r="D1549" i="357"/>
  <c r="C1550" i="357"/>
  <c r="D1550" i="357"/>
  <c r="C1551" i="357"/>
  <c r="D1551" i="357"/>
  <c r="C1552" i="357"/>
  <c r="D1552" i="357"/>
  <c r="C1553" i="357"/>
  <c r="D1553" i="357"/>
  <c r="C1449" i="357"/>
  <c r="D1449" i="357"/>
  <c r="F2722" i="357"/>
  <c r="F1550" i="357"/>
  <c r="E1963" i="357"/>
  <c r="E1967" i="357"/>
  <c r="E2722" i="357" l="1"/>
  <c r="E1961" i="357"/>
  <c r="G1961" i="357" s="1"/>
  <c r="E1549" i="357"/>
  <c r="H2722" i="357"/>
  <c r="G1967" i="357"/>
  <c r="G1963" i="357"/>
  <c r="E1550" i="357"/>
  <c r="E1864" i="357"/>
  <c r="E1974" i="357"/>
  <c r="F1552" i="357"/>
  <c r="E1449" i="357"/>
  <c r="F2062" i="357"/>
  <c r="H2062" i="357" s="1"/>
  <c r="E3089" i="357"/>
  <c r="E3081" i="357"/>
  <c r="E1968" i="357"/>
  <c r="E1964" i="357"/>
  <c r="E2696" i="357"/>
  <c r="G2696" i="357" s="1"/>
  <c r="E3472" i="357"/>
  <c r="E1969" i="357"/>
  <c r="E1965" i="357"/>
  <c r="E1865" i="357"/>
  <c r="E1970" i="357"/>
  <c r="E1966" i="357"/>
  <c r="E1962" i="357"/>
  <c r="E2695" i="357"/>
  <c r="G2695" i="357" s="1"/>
  <c r="F2696" i="357"/>
  <c r="H2696" i="357" s="1"/>
  <c r="E2062" i="357"/>
  <c r="G2062" i="357" s="1"/>
  <c r="F3087" i="357"/>
  <c r="F3083" i="357"/>
  <c r="F1970" i="357"/>
  <c r="F1966" i="357"/>
  <c r="F1962" i="357"/>
  <c r="F3480" i="357"/>
  <c r="F3084" i="357"/>
  <c r="F2999" i="357"/>
  <c r="F1967" i="357"/>
  <c r="F1963" i="357"/>
  <c r="F1865" i="357"/>
  <c r="F1551" i="357"/>
  <c r="F3086" i="357"/>
  <c r="F1969" i="357"/>
  <c r="F1965" i="357"/>
  <c r="F1553" i="357"/>
  <c r="F3089" i="357"/>
  <c r="F3085" i="357"/>
  <c r="F3081" i="357"/>
  <c r="F1968" i="357"/>
  <c r="F1964" i="357"/>
  <c r="F1974" i="357"/>
  <c r="F1449" i="357"/>
  <c r="H1550" i="357"/>
  <c r="G1549" i="357"/>
  <c r="F1549" i="357"/>
  <c r="E1553" i="357"/>
  <c r="E1551" i="357"/>
  <c r="E1552" i="357"/>
  <c r="F1961" i="357"/>
  <c r="F1864" i="357"/>
  <c r="F2723" i="357"/>
  <c r="E2723" i="357"/>
  <c r="F2695" i="357"/>
  <c r="H2695" i="357" s="1"/>
  <c r="J2695" i="357" s="1"/>
  <c r="E3088" i="357"/>
  <c r="F3088" i="357"/>
  <c r="E3082" i="357"/>
  <c r="F3082" i="357"/>
  <c r="E3085" i="357"/>
  <c r="E2999" i="357"/>
  <c r="E3087" i="357"/>
  <c r="E3083" i="357"/>
  <c r="E3086" i="357"/>
  <c r="E3084" i="357"/>
  <c r="F3472" i="357"/>
  <c r="E3480" i="357"/>
  <c r="I2062" i="357" l="1"/>
  <c r="G2722" i="357"/>
  <c r="J2722" i="357" s="1"/>
  <c r="H1864" i="357"/>
  <c r="H1961" i="357"/>
  <c r="J1961" i="357" s="1"/>
  <c r="H1974" i="357"/>
  <c r="G3472" i="357"/>
  <c r="G1974" i="357"/>
  <c r="H1964" i="357"/>
  <c r="H1967" i="357"/>
  <c r="J1967" i="357" s="1"/>
  <c r="H1966" i="357"/>
  <c r="G3089" i="357"/>
  <c r="G1864" i="357"/>
  <c r="G2999" i="357"/>
  <c r="H1963" i="357"/>
  <c r="J1963" i="357" s="1"/>
  <c r="G3081" i="357"/>
  <c r="H3472" i="357"/>
  <c r="I3472" i="357" s="1"/>
  <c r="G3085" i="357"/>
  <c r="H1968" i="357"/>
  <c r="H2999" i="357"/>
  <c r="H1970" i="357"/>
  <c r="G1550" i="357"/>
  <c r="I1550" i="357" s="1"/>
  <c r="G3088" i="357"/>
  <c r="G3083" i="357"/>
  <c r="G2723" i="357"/>
  <c r="H3081" i="357"/>
  <c r="H1553" i="357"/>
  <c r="H3084" i="357"/>
  <c r="H3083" i="357"/>
  <c r="G3084" i="357"/>
  <c r="H1962" i="357"/>
  <c r="G3087" i="357"/>
  <c r="H2723" i="357"/>
  <c r="J2723" i="357" s="1"/>
  <c r="H3085" i="357"/>
  <c r="J3085" i="357" s="1"/>
  <c r="H1965" i="357"/>
  <c r="H3480" i="357"/>
  <c r="H3087" i="357"/>
  <c r="G1551" i="357"/>
  <c r="G1970" i="357"/>
  <c r="G1552" i="357"/>
  <c r="H3082" i="357"/>
  <c r="G3082" i="357"/>
  <c r="H3089" i="357"/>
  <c r="H1969" i="357"/>
  <c r="G1553" i="357"/>
  <c r="J1553" i="357" s="1"/>
  <c r="H1549" i="357"/>
  <c r="J1549" i="357" s="1"/>
  <c r="H3086" i="357"/>
  <c r="H1551" i="357"/>
  <c r="G1962" i="357"/>
  <c r="I1962" i="357" s="1"/>
  <c r="G1965" i="357"/>
  <c r="G1964" i="357"/>
  <c r="G1449" i="357"/>
  <c r="G3480" i="357"/>
  <c r="G3086" i="357"/>
  <c r="H3088" i="357"/>
  <c r="J3088" i="357" s="1"/>
  <c r="H1449" i="357"/>
  <c r="J1449" i="357" s="1"/>
  <c r="H1865" i="357"/>
  <c r="G1966" i="357"/>
  <c r="I1966" i="357" s="1"/>
  <c r="G1865" i="357"/>
  <c r="G1969" i="357"/>
  <c r="G1968" i="357"/>
  <c r="H1552" i="357"/>
  <c r="I2722" i="357"/>
  <c r="J1864" i="357"/>
  <c r="I2696" i="357"/>
  <c r="I2695" i="357"/>
  <c r="J2696" i="357"/>
  <c r="J2062" i="357"/>
  <c r="I1961" i="357"/>
  <c r="I3089" i="357" l="1"/>
  <c r="J3083" i="357"/>
  <c r="I3086" i="357"/>
  <c r="J1552" i="357"/>
  <c r="I1964" i="357"/>
  <c r="J3087" i="357"/>
  <c r="J1962" i="357"/>
  <c r="J3084" i="357"/>
  <c r="J3472" i="357"/>
  <c r="I1963" i="357"/>
  <c r="I3088" i="357"/>
  <c r="I1968" i="357"/>
  <c r="J1965" i="357"/>
  <c r="I1974" i="357"/>
  <c r="J1970" i="357"/>
  <c r="I1967" i="357"/>
  <c r="I1449" i="357"/>
  <c r="J1969" i="357"/>
  <c r="J3089" i="357"/>
  <c r="I1549" i="357"/>
  <c r="I1965" i="357"/>
  <c r="I3082" i="357"/>
  <c r="I1865" i="357"/>
  <c r="J1551" i="357"/>
  <c r="I1552" i="357"/>
  <c r="J1966" i="357"/>
  <c r="J3480" i="357"/>
  <c r="I1864" i="357"/>
  <c r="J3086" i="357"/>
  <c r="I1969" i="357"/>
  <c r="I3084" i="357"/>
  <c r="J3081" i="357"/>
  <c r="I3085" i="357"/>
  <c r="I2999" i="357"/>
  <c r="J1974" i="357"/>
  <c r="I1970" i="357"/>
  <c r="J1550" i="357"/>
  <c r="I2723" i="357"/>
  <c r="J2999" i="357"/>
  <c r="I3081" i="357"/>
  <c r="J1964" i="357"/>
  <c r="I1551" i="357"/>
  <c r="J3082" i="357"/>
  <c r="I3087" i="357"/>
  <c r="I3083" i="357"/>
  <c r="I1553" i="357"/>
  <c r="J1865" i="357"/>
  <c r="I3480" i="357"/>
  <c r="J1968" i="357"/>
  <c r="C2635" i="357"/>
  <c r="D2635" i="357"/>
  <c r="C2614" i="357"/>
  <c r="D2614" i="357"/>
  <c r="C2173" i="357"/>
  <c r="D2173" i="357"/>
  <c r="C2174" i="357"/>
  <c r="D2174" i="357"/>
  <c r="C2175" i="357"/>
  <c r="D2175" i="357"/>
  <c r="C1180" i="357"/>
  <c r="D1180" i="357"/>
  <c r="C1545" i="357"/>
  <c r="D1545" i="357"/>
  <c r="E1545" i="357"/>
  <c r="F1545" i="357"/>
  <c r="C1546" i="357"/>
  <c r="D1546" i="357"/>
  <c r="C1446" i="357"/>
  <c r="D1446" i="357"/>
  <c r="C1447" i="357"/>
  <c r="D1447" i="357"/>
  <c r="C1448" i="357"/>
  <c r="D1448" i="357"/>
  <c r="C1413" i="357"/>
  <c r="D1413" i="357"/>
  <c r="F24" i="363"/>
  <c r="H24" i="363" s="1"/>
  <c r="G30" i="363"/>
  <c r="G29" i="363"/>
  <c r="G28" i="363"/>
  <c r="G25" i="363"/>
  <c r="G23" i="363"/>
  <c r="G22" i="363"/>
  <c r="G21" i="363"/>
  <c r="G20" i="363"/>
  <c r="G19" i="363"/>
  <c r="G18" i="363"/>
  <c r="G17" i="363"/>
  <c r="G16" i="363"/>
  <c r="G15" i="363"/>
  <c r="G14" i="363"/>
  <c r="G13" i="363"/>
  <c r="G12" i="363"/>
  <c r="G11" i="363"/>
  <c r="G10" i="363"/>
  <c r="G9" i="363"/>
  <c r="G8" i="363"/>
  <c r="G7" i="363"/>
  <c r="G6" i="363"/>
  <c r="P29" i="363"/>
  <c r="P14" i="363"/>
  <c r="R14" i="363"/>
  <c r="P17" i="363"/>
  <c r="P12" i="363"/>
  <c r="P15" i="363"/>
  <c r="P13" i="363"/>
  <c r="P16" i="363"/>
  <c r="R15" i="363" l="1"/>
  <c r="P20" i="363"/>
  <c r="P23" i="363" s="1"/>
  <c r="P25" i="363" s="1"/>
  <c r="H1545" i="357"/>
  <c r="G1545" i="357"/>
  <c r="B25" i="136" l="1"/>
  <c r="F29" i="185" s="1"/>
  <c r="I1545" i="357"/>
  <c r="J1545" i="357"/>
  <c r="P11" i="363" l="1"/>
  <c r="P30" i="363" s="1"/>
  <c r="F30" i="363" l="1"/>
  <c r="H30" i="363" s="1"/>
  <c r="F29" i="363"/>
  <c r="H29" i="363" s="1"/>
  <c r="F28" i="363"/>
  <c r="H28" i="363" s="1"/>
  <c r="F25" i="363"/>
  <c r="H25" i="363" s="1"/>
  <c r="F23" i="363"/>
  <c r="H23" i="363" s="1"/>
  <c r="F22" i="363"/>
  <c r="H22" i="363" s="1"/>
  <c r="F21" i="363"/>
  <c r="H21" i="363" s="1"/>
  <c r="F20" i="363"/>
  <c r="H20" i="363" s="1"/>
  <c r="F19" i="363"/>
  <c r="H19" i="363" s="1"/>
  <c r="F18" i="363"/>
  <c r="H18" i="363" s="1"/>
  <c r="F17" i="363"/>
  <c r="H17" i="363" s="1"/>
  <c r="F16" i="363"/>
  <c r="H16" i="363" s="1"/>
  <c r="F15" i="363"/>
  <c r="H15" i="363" s="1"/>
  <c r="F14" i="363"/>
  <c r="H14" i="363" s="1"/>
  <c r="F13" i="363"/>
  <c r="H13" i="363" s="1"/>
  <c r="F12" i="363"/>
  <c r="H12" i="363" s="1"/>
  <c r="F11" i="363"/>
  <c r="H11" i="363" s="1"/>
  <c r="F10" i="363"/>
  <c r="H10" i="363" s="1"/>
  <c r="F9" i="363"/>
  <c r="H9" i="363" s="1"/>
  <c r="F8" i="363"/>
  <c r="H8" i="363" s="1"/>
  <c r="F7" i="363"/>
  <c r="H7" i="363" s="1"/>
  <c r="F6" i="363"/>
  <c r="H6" i="363" s="1"/>
  <c r="O20" i="363"/>
  <c r="O23" i="363" s="1"/>
  <c r="O29" i="363"/>
  <c r="O6" i="363"/>
  <c r="O2" i="363"/>
  <c r="O8" i="363"/>
  <c r="O7" i="363"/>
  <c r="E1446" i="357"/>
  <c r="F2175" i="357"/>
  <c r="E1413" i="357" l="1"/>
  <c r="E1448" i="357"/>
  <c r="G1448" i="357" s="1"/>
  <c r="E1447" i="357"/>
  <c r="H2175" i="357"/>
  <c r="G1446" i="357"/>
  <c r="O11" i="363"/>
  <c r="O25" i="363"/>
  <c r="F1413" i="357"/>
  <c r="E2614" i="357"/>
  <c r="E2175" i="357"/>
  <c r="E2173" i="357"/>
  <c r="E2174" i="357"/>
  <c r="F1447" i="357"/>
  <c r="F1448" i="357"/>
  <c r="F1446" i="357"/>
  <c r="G1413" i="357" l="1"/>
  <c r="E1546" i="357"/>
  <c r="G1546" i="357" s="1"/>
  <c r="G1447" i="357"/>
  <c r="H1447" i="357"/>
  <c r="H1448" i="357"/>
  <c r="J1448" i="357" s="1"/>
  <c r="G2174" i="357"/>
  <c r="H1413" i="357"/>
  <c r="E1180" i="357"/>
  <c r="G2614" i="357"/>
  <c r="H1446" i="357"/>
  <c r="J1446" i="357" s="1"/>
  <c r="G2173" i="357"/>
  <c r="G2175" i="357"/>
  <c r="I2175" i="357" s="1"/>
  <c r="O30" i="363"/>
  <c r="E2635" i="357"/>
  <c r="F2614" i="357"/>
  <c r="F1180" i="357"/>
  <c r="F2174" i="357"/>
  <c r="F2173" i="357"/>
  <c r="F2635" i="357"/>
  <c r="F1546" i="357"/>
  <c r="J1447" i="357" l="1"/>
  <c r="J1413" i="357"/>
  <c r="I1447" i="357"/>
  <c r="I1413" i="357"/>
  <c r="I1446" i="357"/>
  <c r="I1448" i="357"/>
  <c r="H2173" i="357"/>
  <c r="J2173" i="357" s="1"/>
  <c r="G2635" i="357"/>
  <c r="H1546" i="357"/>
  <c r="J1546" i="357" s="1"/>
  <c r="H2614" i="357"/>
  <c r="J2614" i="357" s="1"/>
  <c r="H2635" i="357"/>
  <c r="J2175" i="357"/>
  <c r="G1180" i="357"/>
  <c r="H2174" i="357"/>
  <c r="H1180" i="357"/>
  <c r="J1180" i="357" l="1"/>
  <c r="J2635" i="357"/>
  <c r="I2614" i="357"/>
  <c r="I2174" i="357"/>
  <c r="J2174" i="357"/>
  <c r="I2173" i="357"/>
  <c r="I2635" i="357"/>
  <c r="I1546" i="357"/>
  <c r="I1180" i="357"/>
  <c r="Q31" i="319" l="1"/>
  <c r="N31" i="327"/>
  <c r="AF24" i="142"/>
  <c r="AF20" i="142"/>
  <c r="AG20" i="142"/>
  <c r="AH17" i="142"/>
  <c r="AH18" i="142"/>
  <c r="AH19" i="142"/>
  <c r="AH16" i="142"/>
  <c r="AH20" i="142" l="1"/>
  <c r="AF25" i="142"/>
  <c r="F24" i="82" l="1"/>
  <c r="E24" i="82"/>
  <c r="I113" i="149"/>
  <c r="H21" i="144"/>
  <c r="B21" i="144" l="1"/>
  <c r="F11" i="144"/>
  <c r="E11" i="144"/>
  <c r="F6" i="144"/>
  <c r="K21" i="144"/>
  <c r="K15" i="144"/>
  <c r="K14" i="144"/>
  <c r="K13" i="144"/>
  <c r="K12" i="144"/>
  <c r="K11" i="144"/>
  <c r="K10" i="144"/>
  <c r="K9" i="144"/>
  <c r="K8" i="144"/>
  <c r="K7" i="144"/>
  <c r="K6" i="144"/>
  <c r="D21" i="144"/>
  <c r="E21" i="144"/>
  <c r="F21" i="144"/>
  <c r="C21" i="144"/>
  <c r="C15" i="144"/>
  <c r="C14" i="144"/>
  <c r="C13" i="144"/>
  <c r="C12" i="144"/>
  <c r="C11" i="144"/>
  <c r="C10" i="144"/>
  <c r="C9" i="144"/>
  <c r="C8" i="144"/>
  <c r="C6" i="144"/>
  <c r="E6" i="144"/>
  <c r="C7" i="144"/>
  <c r="D7" i="144"/>
  <c r="E7" i="144"/>
  <c r="F7" i="144"/>
  <c r="D8" i="144"/>
  <c r="E8" i="144"/>
  <c r="F8" i="144"/>
  <c r="D9" i="144"/>
  <c r="E9" i="144"/>
  <c r="F9" i="144"/>
  <c r="D10" i="144"/>
  <c r="E10" i="144"/>
  <c r="F10" i="144"/>
  <c r="D11" i="144"/>
  <c r="D12" i="144"/>
  <c r="E12" i="144"/>
  <c r="F12" i="144"/>
  <c r="D13" i="144"/>
  <c r="E13" i="144"/>
  <c r="F13" i="144"/>
  <c r="D14" i="144"/>
  <c r="E14" i="144"/>
  <c r="F14" i="144"/>
  <c r="D15" i="144"/>
  <c r="E15" i="144"/>
  <c r="F15" i="144"/>
  <c r="B11" i="144"/>
  <c r="B9" i="144"/>
  <c r="B8" i="144"/>
  <c r="B6" i="144"/>
  <c r="B7" i="144"/>
  <c r="G9" i="198" l="1"/>
  <c r="G6" i="198"/>
  <c r="D6" i="198"/>
  <c r="C19" i="212"/>
  <c r="C18" i="212"/>
  <c r="C17" i="212"/>
  <c r="C6" i="212"/>
  <c r="E6" i="198" s="1"/>
  <c r="V32" i="144"/>
  <c r="V31" i="144"/>
  <c r="G15" i="144" s="1"/>
  <c r="I15" i="144" s="1"/>
  <c r="V30" i="144"/>
  <c r="V29" i="144"/>
  <c r="V28" i="144"/>
  <c r="G10" i="144" s="1"/>
  <c r="I10" i="144" s="1"/>
  <c r="V27" i="144"/>
  <c r="V26" i="144"/>
  <c r="V25" i="144"/>
  <c r="V24" i="144"/>
  <c r="V23" i="144"/>
  <c r="V8" i="144"/>
  <c r="V20" i="144"/>
  <c r="V19" i="144"/>
  <c r="G11" i="144" s="1"/>
  <c r="I11" i="144" s="1"/>
  <c r="V18" i="144"/>
  <c r="G9" i="144" s="1"/>
  <c r="I9" i="144" s="1"/>
  <c r="V17" i="144"/>
  <c r="G14" i="144" s="1"/>
  <c r="I14" i="144" s="1"/>
  <c r="V16" i="144"/>
  <c r="V15" i="144"/>
  <c r="V14" i="144"/>
  <c r="V13" i="144"/>
  <c r="V12" i="144"/>
  <c r="G12" i="144" s="1"/>
  <c r="I12" i="144" s="1"/>
  <c r="V11" i="144"/>
  <c r="V10" i="144"/>
  <c r="V9" i="144"/>
  <c r="V7" i="144"/>
  <c r="G21" i="144" l="1"/>
  <c r="I21" i="144" s="1"/>
  <c r="G8" i="144"/>
  <c r="I8" i="144" s="1"/>
  <c r="D6" i="212"/>
  <c r="G13" i="144"/>
  <c r="I13" i="144" s="1"/>
  <c r="G6" i="144"/>
  <c r="I6" i="144" s="1"/>
  <c r="G7" i="144"/>
  <c r="I7" i="144" s="1"/>
  <c r="D5" i="285"/>
  <c r="L83" i="149" l="1"/>
  <c r="C173" i="149"/>
  <c r="D290" i="142" l="1"/>
  <c r="F289" i="142"/>
  <c r="F288" i="142"/>
  <c r="F287" i="142"/>
  <c r="D283" i="142"/>
  <c r="G282" i="142"/>
  <c r="H282" i="142" s="1"/>
  <c r="G281" i="142"/>
  <c r="H281" i="142" s="1"/>
  <c r="F281" i="142"/>
  <c r="G280" i="142"/>
  <c r="H280" i="142" s="1"/>
  <c r="F280" i="142"/>
  <c r="G279" i="142"/>
  <c r="H279" i="142" s="1"/>
  <c r="F279" i="142"/>
  <c r="G278" i="142"/>
  <c r="H278" i="142" s="1"/>
  <c r="F278" i="142"/>
  <c r="F283" i="142" l="1"/>
  <c r="F290" i="142"/>
  <c r="L38" i="142"/>
  <c r="E23" i="284" l="1"/>
  <c r="C1932" i="357" l="1"/>
  <c r="D1932" i="357"/>
  <c r="C1933" i="357"/>
  <c r="D1933" i="357"/>
  <c r="C1934" i="357"/>
  <c r="D1934" i="357"/>
  <c r="C2761" i="357"/>
  <c r="D2761" i="357"/>
  <c r="C2762" i="357"/>
  <c r="D2762" i="357"/>
  <c r="C2763" i="357"/>
  <c r="D2763" i="357"/>
  <c r="C2764" i="357"/>
  <c r="D2764" i="357"/>
  <c r="C2765" i="357"/>
  <c r="D2765" i="357"/>
  <c r="C2766" i="357"/>
  <c r="D2766" i="357"/>
  <c r="C1450" i="357"/>
  <c r="D1450" i="357"/>
  <c r="F2764" i="357" l="1"/>
  <c r="H2764" i="357" s="1"/>
  <c r="F2766" i="357"/>
  <c r="H2766" i="357" s="1"/>
  <c r="E2763" i="357"/>
  <c r="G2763" i="357" s="1"/>
  <c r="F2763" i="357"/>
  <c r="H2763" i="357" s="1"/>
  <c r="F2762" i="357"/>
  <c r="H2762" i="357" s="1"/>
  <c r="F2765" i="357"/>
  <c r="H2765" i="357" s="1"/>
  <c r="E2764" i="357"/>
  <c r="G2764" i="357" s="1"/>
  <c r="E2765" i="357"/>
  <c r="E1450" i="357"/>
  <c r="E2766" i="357"/>
  <c r="E2762" i="357"/>
  <c r="F1450" i="357"/>
  <c r="J2763" i="357" l="1"/>
  <c r="I2763" i="357"/>
  <c r="I2764" i="357"/>
  <c r="G1450" i="357"/>
  <c r="J2764" i="357"/>
  <c r="G2762" i="357"/>
  <c r="I2762" i="357" s="1"/>
  <c r="G2765" i="357"/>
  <c r="I2765" i="357" s="1"/>
  <c r="G2766" i="357"/>
  <c r="H1450" i="357"/>
  <c r="J1450" i="357" l="1"/>
  <c r="J2762" i="357"/>
  <c r="J2765" i="357"/>
  <c r="J2766" i="357"/>
  <c r="I2766" i="357"/>
  <c r="I1450" i="357"/>
  <c r="F2761" i="357" l="1"/>
  <c r="E2761" i="357"/>
  <c r="H2761" i="357" l="1"/>
  <c r="G2761" i="357"/>
  <c r="C3191" i="357"/>
  <c r="D3191" i="357"/>
  <c r="C3192" i="357"/>
  <c r="D3192" i="357"/>
  <c r="C3193" i="357"/>
  <c r="D3193" i="357"/>
  <c r="C3194" i="357"/>
  <c r="D3194" i="357"/>
  <c r="C3195" i="357"/>
  <c r="D3195" i="357"/>
  <c r="C2984" i="357"/>
  <c r="D2984" i="357"/>
  <c r="C2985" i="357"/>
  <c r="D2985" i="357"/>
  <c r="C2963" i="357"/>
  <c r="D2963" i="357"/>
  <c r="C2964" i="357"/>
  <c r="D2964" i="357"/>
  <c r="C2965" i="357"/>
  <c r="D2965" i="357"/>
  <c r="C2966" i="357"/>
  <c r="D2966" i="357"/>
  <c r="C2930" i="357"/>
  <c r="D2930" i="357"/>
  <c r="C2931" i="357"/>
  <c r="D2931" i="357"/>
  <c r="C2932" i="357"/>
  <c r="D2932" i="357"/>
  <c r="C2933" i="357"/>
  <c r="D2933" i="357"/>
  <c r="C2900" i="357"/>
  <c r="D2900" i="357"/>
  <c r="C2901" i="357"/>
  <c r="D2901" i="357"/>
  <c r="C2902" i="357"/>
  <c r="D2902" i="357"/>
  <c r="C2903" i="357"/>
  <c r="D2903" i="357"/>
  <c r="C2904" i="357"/>
  <c r="D2904" i="357"/>
  <c r="C2905" i="357"/>
  <c r="D2905" i="357"/>
  <c r="C2854" i="357"/>
  <c r="D2854" i="357"/>
  <c r="C2855" i="357"/>
  <c r="D2855" i="357"/>
  <c r="C2856" i="357"/>
  <c r="D2856" i="357"/>
  <c r="C2857" i="357"/>
  <c r="D2857" i="357"/>
  <c r="C2858" i="357"/>
  <c r="D2858" i="357"/>
  <c r="C2822" i="357"/>
  <c r="D2822" i="357"/>
  <c r="C2823" i="357"/>
  <c r="D2823" i="357"/>
  <c r="C2824" i="357"/>
  <c r="D2824" i="357"/>
  <c r="C2825" i="357"/>
  <c r="D2825" i="357"/>
  <c r="C2826" i="357"/>
  <c r="D2826" i="357"/>
  <c r="C2827" i="357"/>
  <c r="D2827" i="357"/>
  <c r="C2828" i="357"/>
  <c r="D2828" i="357"/>
  <c r="C2829" i="357"/>
  <c r="D2829" i="357"/>
  <c r="C2790" i="357"/>
  <c r="D2790" i="357"/>
  <c r="C2791" i="357"/>
  <c r="D2791" i="357"/>
  <c r="J2761" i="357" l="1"/>
  <c r="I2761" i="357"/>
  <c r="C2208" i="357" l="1"/>
  <c r="D2208" i="357"/>
  <c r="C2209" i="357"/>
  <c r="D2209" i="357"/>
  <c r="C2210" i="357"/>
  <c r="D2210" i="357"/>
  <c r="C2211" i="357"/>
  <c r="D2211" i="357"/>
  <c r="C2212" i="357"/>
  <c r="D2212" i="357"/>
  <c r="C2213" i="357"/>
  <c r="D2213" i="357"/>
  <c r="C2214" i="357"/>
  <c r="D2214" i="357"/>
  <c r="C1377" i="357"/>
  <c r="D1377" i="357"/>
  <c r="C1378" i="357"/>
  <c r="D1378" i="357"/>
  <c r="C1379" i="357"/>
  <c r="D1379" i="357"/>
  <c r="C1294" i="357"/>
  <c r="D1294" i="357"/>
  <c r="C1251" i="357"/>
  <c r="D1251" i="357"/>
  <c r="C1224" i="357"/>
  <c r="D1224" i="357"/>
  <c r="C917" i="357"/>
  <c r="D917" i="357"/>
  <c r="C910" i="357"/>
  <c r="D910" i="357"/>
  <c r="C897" i="357"/>
  <c r="D897" i="357"/>
  <c r="C898" i="357"/>
  <c r="D898" i="357"/>
  <c r="C899" i="357"/>
  <c r="D899" i="357"/>
  <c r="C900" i="357"/>
  <c r="D900" i="357"/>
  <c r="C901" i="357"/>
  <c r="D901" i="357"/>
  <c r="C902" i="357"/>
  <c r="D902" i="357"/>
  <c r="C903" i="357"/>
  <c r="D903" i="357"/>
  <c r="C904" i="357"/>
  <c r="D904" i="357"/>
  <c r="C905" i="357"/>
  <c r="D905" i="357"/>
  <c r="C906" i="357"/>
  <c r="D906" i="357"/>
  <c r="C861" i="357"/>
  <c r="D861" i="357"/>
  <c r="C862" i="357"/>
  <c r="D862" i="357"/>
  <c r="C863" i="357"/>
  <c r="D863" i="357"/>
  <c r="C864" i="357"/>
  <c r="D864" i="357"/>
  <c r="C865" i="357"/>
  <c r="D865" i="357"/>
  <c r="C866" i="357"/>
  <c r="D866" i="357"/>
  <c r="C867" i="357"/>
  <c r="D867" i="357"/>
  <c r="C868" i="357"/>
  <c r="D868" i="357"/>
  <c r="C869" i="357"/>
  <c r="D869" i="357"/>
  <c r="C870" i="357"/>
  <c r="D870" i="357"/>
  <c r="C871" i="357"/>
  <c r="D871" i="357"/>
  <c r="C872" i="357"/>
  <c r="D872" i="357"/>
  <c r="E872" i="357"/>
  <c r="F872" i="357"/>
  <c r="C783" i="357"/>
  <c r="D783" i="357"/>
  <c r="C784" i="357"/>
  <c r="D784" i="357"/>
  <c r="C785" i="357"/>
  <c r="D785" i="357"/>
  <c r="C786" i="357"/>
  <c r="D786" i="357"/>
  <c r="C787" i="357"/>
  <c r="D787" i="357"/>
  <c r="C788" i="357"/>
  <c r="D788" i="357"/>
  <c r="C789" i="357"/>
  <c r="D789" i="357"/>
  <c r="C790" i="357"/>
  <c r="D790" i="357"/>
  <c r="C791" i="357"/>
  <c r="D791" i="357"/>
  <c r="C792" i="357"/>
  <c r="D792" i="357"/>
  <c r="C793" i="357"/>
  <c r="D793" i="357"/>
  <c r="E793" i="357"/>
  <c r="F793" i="357"/>
  <c r="C747" i="357"/>
  <c r="D747" i="357"/>
  <c r="C748" i="357"/>
  <c r="D748" i="357"/>
  <c r="C749" i="357"/>
  <c r="D749" i="357"/>
  <c r="C750" i="357"/>
  <c r="D750" i="357"/>
  <c r="C751" i="357"/>
  <c r="D751" i="357"/>
  <c r="C752" i="357"/>
  <c r="D752" i="357"/>
  <c r="C753" i="357"/>
  <c r="D753" i="357"/>
  <c r="C754" i="357"/>
  <c r="D754" i="357"/>
  <c r="C755" i="357"/>
  <c r="D755" i="357"/>
  <c r="C756" i="357"/>
  <c r="D756" i="357"/>
  <c r="C757" i="357"/>
  <c r="D757" i="357"/>
  <c r="C706" i="357"/>
  <c r="D706" i="357"/>
  <c r="C707" i="357"/>
  <c r="D707" i="357"/>
  <c r="C708" i="357"/>
  <c r="D708" i="357"/>
  <c r="C709" i="357"/>
  <c r="D709" i="357"/>
  <c r="C710" i="357"/>
  <c r="D710" i="357"/>
  <c r="C711" i="357"/>
  <c r="D711" i="357"/>
  <c r="C712" i="357"/>
  <c r="D712" i="357"/>
  <c r="C713" i="357"/>
  <c r="D713" i="357"/>
  <c r="C714" i="357"/>
  <c r="D714" i="357"/>
  <c r="C715" i="357"/>
  <c r="D715" i="357"/>
  <c r="C672" i="357"/>
  <c r="D672" i="357"/>
  <c r="C673" i="357"/>
  <c r="D673" i="357"/>
  <c r="C674" i="357"/>
  <c r="D674" i="357"/>
  <c r="C675" i="357"/>
  <c r="D675" i="357"/>
  <c r="C676" i="357"/>
  <c r="D676" i="357"/>
  <c r="C677" i="357"/>
  <c r="D677" i="357"/>
  <c r="C678" i="357"/>
  <c r="D678" i="357"/>
  <c r="C679" i="357"/>
  <c r="D679" i="357"/>
  <c r="C680" i="357"/>
  <c r="D680" i="357"/>
  <c r="C681" i="357"/>
  <c r="D681" i="357"/>
  <c r="C682" i="357"/>
  <c r="D682" i="357"/>
  <c r="C607" i="357"/>
  <c r="D607" i="357"/>
  <c r="C608" i="357"/>
  <c r="D608" i="357"/>
  <c r="C609" i="357"/>
  <c r="D609" i="357"/>
  <c r="C610" i="357"/>
  <c r="D610" i="357"/>
  <c r="C611" i="357"/>
  <c r="D611" i="357"/>
  <c r="C612" i="357"/>
  <c r="D612" i="357"/>
  <c r="C613" i="357"/>
  <c r="D613" i="357"/>
  <c r="C614" i="357"/>
  <c r="D614" i="357"/>
  <c r="C615" i="357"/>
  <c r="D615" i="357"/>
  <c r="C616" i="357"/>
  <c r="D616" i="357"/>
  <c r="C617" i="357"/>
  <c r="D617" i="357"/>
  <c r="C618" i="357"/>
  <c r="D618" i="357"/>
  <c r="C619" i="357"/>
  <c r="D619" i="357"/>
  <c r="C620" i="357"/>
  <c r="D620" i="357"/>
  <c r="G793" i="357" l="1"/>
  <c r="G872" i="357"/>
  <c r="H872" i="357"/>
  <c r="H793" i="357"/>
  <c r="E610" i="357" l="1"/>
  <c r="E614" i="357"/>
  <c r="E618" i="357"/>
  <c r="E674" i="357"/>
  <c r="E678" i="357"/>
  <c r="G678" i="357" s="1"/>
  <c r="E682" i="357"/>
  <c r="E706" i="357"/>
  <c r="E710" i="357"/>
  <c r="G710" i="357" s="1"/>
  <c r="E714" i="357"/>
  <c r="E748" i="357"/>
  <c r="G748" i="357" s="1"/>
  <c r="E752" i="357"/>
  <c r="E756" i="357"/>
  <c r="E786" i="357"/>
  <c r="E790" i="357"/>
  <c r="G790" i="357" s="1"/>
  <c r="E862" i="357"/>
  <c r="E866" i="357"/>
  <c r="G866" i="357" s="1"/>
  <c r="E870" i="357"/>
  <c r="E900" i="357"/>
  <c r="E904" i="357"/>
  <c r="E608" i="357"/>
  <c r="E612" i="357"/>
  <c r="E616" i="357"/>
  <c r="E620" i="357"/>
  <c r="E672" i="357"/>
  <c r="E676" i="357"/>
  <c r="G676" i="357" s="1"/>
  <c r="E680" i="357"/>
  <c r="E1377" i="357"/>
  <c r="E708" i="357"/>
  <c r="E712" i="357"/>
  <c r="E750" i="357"/>
  <c r="G750" i="357" s="1"/>
  <c r="E754" i="357"/>
  <c r="E784" i="357"/>
  <c r="G784" i="357" s="1"/>
  <c r="E788" i="357"/>
  <c r="E792" i="357"/>
  <c r="E860" i="357"/>
  <c r="E864" i="357"/>
  <c r="E868" i="357"/>
  <c r="E898" i="357"/>
  <c r="E902" i="357"/>
  <c r="E906" i="357"/>
  <c r="E910" i="357"/>
  <c r="E1379" i="357"/>
  <c r="G1379" i="357" s="1"/>
  <c r="E1932" i="357"/>
  <c r="G1932" i="357" s="1"/>
  <c r="E2791" i="357"/>
  <c r="E2823" i="357"/>
  <c r="E2827" i="357"/>
  <c r="E2857" i="357"/>
  <c r="G2857" i="357" s="1"/>
  <c r="E2903" i="357"/>
  <c r="G2903" i="357" s="1"/>
  <c r="E2933" i="357"/>
  <c r="G2933" i="357" s="1"/>
  <c r="E1934" i="357"/>
  <c r="E2963" i="357"/>
  <c r="G2963" i="357" s="1"/>
  <c r="E2985" i="357"/>
  <c r="G2985" i="357" s="1"/>
  <c r="E3191" i="357"/>
  <c r="E3195" i="357"/>
  <c r="G3195" i="357" s="1"/>
  <c r="E2825" i="357"/>
  <c r="E2829" i="357"/>
  <c r="E2901" i="357"/>
  <c r="G2901" i="357" s="1"/>
  <c r="E2905" i="357"/>
  <c r="G2905" i="357" s="1"/>
  <c r="E2931" i="357"/>
  <c r="E2965" i="357"/>
  <c r="G2965" i="357" s="1"/>
  <c r="E3193" i="357"/>
  <c r="G3193" i="357" s="1"/>
  <c r="D860" i="357"/>
  <c r="C860" i="357"/>
  <c r="E607" i="357"/>
  <c r="G607" i="357" s="1"/>
  <c r="E609" i="357"/>
  <c r="E611" i="357"/>
  <c r="E615" i="357"/>
  <c r="E619" i="357"/>
  <c r="G619" i="357" s="1"/>
  <c r="E673" i="357"/>
  <c r="E675" i="357"/>
  <c r="E677" i="357"/>
  <c r="E679" i="357"/>
  <c r="E681" i="357"/>
  <c r="E707" i="357"/>
  <c r="G707" i="357" s="1"/>
  <c r="E709" i="357"/>
  <c r="E711" i="357"/>
  <c r="E713" i="357"/>
  <c r="G713" i="357" s="1"/>
  <c r="E715" i="357"/>
  <c r="G715" i="357" s="1"/>
  <c r="E747" i="357"/>
  <c r="E749" i="357"/>
  <c r="E751" i="357"/>
  <c r="E753" i="357"/>
  <c r="E755" i="357"/>
  <c r="G755" i="357" s="1"/>
  <c r="E757" i="357"/>
  <c r="G757" i="357" s="1"/>
  <c r="E783" i="357"/>
  <c r="G783" i="357" s="1"/>
  <c r="E785" i="357"/>
  <c r="E787" i="357"/>
  <c r="G787" i="357" s="1"/>
  <c r="E789" i="357"/>
  <c r="E791" i="357"/>
  <c r="G791" i="357" s="1"/>
  <c r="E861" i="357"/>
  <c r="E863" i="357"/>
  <c r="E865" i="357"/>
  <c r="E867" i="357"/>
  <c r="E869" i="357"/>
  <c r="E871" i="357"/>
  <c r="G871" i="357" s="1"/>
  <c r="E897" i="357"/>
  <c r="G897" i="357" s="1"/>
  <c r="E899" i="357"/>
  <c r="E901" i="357"/>
  <c r="G901" i="357" s="1"/>
  <c r="E903" i="357"/>
  <c r="E905" i="357"/>
  <c r="G905" i="357" s="1"/>
  <c r="E917" i="357"/>
  <c r="E1378" i="357"/>
  <c r="G1378" i="357" s="1"/>
  <c r="E1933" i="357"/>
  <c r="E2208" i="357"/>
  <c r="G2208" i="357" s="1"/>
  <c r="E2210" i="357"/>
  <c r="G2210" i="357" s="1"/>
  <c r="E2212" i="357"/>
  <c r="E2214" i="357"/>
  <c r="E2790" i="357"/>
  <c r="G2790" i="357" s="1"/>
  <c r="E2822" i="357"/>
  <c r="E2824" i="357"/>
  <c r="G2824" i="357" s="1"/>
  <c r="E2826" i="357"/>
  <c r="G2826" i="357" s="1"/>
  <c r="E2828" i="357"/>
  <c r="E2856" i="357"/>
  <c r="G2856" i="357" s="1"/>
  <c r="E2858" i="357"/>
  <c r="G2858" i="357" s="1"/>
  <c r="E2900" i="357"/>
  <c r="G2900" i="357" s="1"/>
  <c r="E2902" i="357"/>
  <c r="E2904" i="357"/>
  <c r="G2904" i="357" s="1"/>
  <c r="E2930" i="357"/>
  <c r="E2932" i="357"/>
  <c r="E2964" i="357"/>
  <c r="E2966" i="357"/>
  <c r="E2984" i="357"/>
  <c r="E3192" i="357"/>
  <c r="G3192" i="357" s="1"/>
  <c r="E3194" i="357"/>
  <c r="G3194" i="357" s="1"/>
  <c r="I872" i="357"/>
  <c r="J793" i="357"/>
  <c r="F747" i="357"/>
  <c r="F749" i="357"/>
  <c r="F751" i="357"/>
  <c r="F753" i="357"/>
  <c r="F755" i="357"/>
  <c r="F791" i="357"/>
  <c r="F861" i="357"/>
  <c r="F863" i="357"/>
  <c r="F865" i="357"/>
  <c r="F867" i="357"/>
  <c r="F869" i="357"/>
  <c r="F871" i="357"/>
  <c r="F897" i="357"/>
  <c r="F899" i="357"/>
  <c r="F901" i="357"/>
  <c r="F903" i="357"/>
  <c r="F905" i="357"/>
  <c r="F917" i="357"/>
  <c r="F748" i="357"/>
  <c r="F750" i="357"/>
  <c r="F756" i="357"/>
  <c r="F792" i="357"/>
  <c r="F860" i="357"/>
  <c r="F862" i="357"/>
  <c r="F864" i="357"/>
  <c r="F866" i="357"/>
  <c r="F868" i="357"/>
  <c r="F870" i="357"/>
  <c r="F898" i="357"/>
  <c r="F900" i="357"/>
  <c r="F902" i="357"/>
  <c r="F904" i="357"/>
  <c r="F906" i="357"/>
  <c r="F910" i="357"/>
  <c r="F1251" i="357"/>
  <c r="F1377" i="357"/>
  <c r="F1379" i="357"/>
  <c r="F1932" i="357"/>
  <c r="F1934" i="357"/>
  <c r="F1224" i="357"/>
  <c r="F1294" i="357"/>
  <c r="F1378" i="357"/>
  <c r="F1933" i="357"/>
  <c r="F2209" i="357"/>
  <c r="F2211" i="357"/>
  <c r="F2213" i="357"/>
  <c r="J872" i="357"/>
  <c r="I793" i="357"/>
  <c r="F608" i="357"/>
  <c r="F610" i="357"/>
  <c r="F612" i="357"/>
  <c r="F614" i="357"/>
  <c r="F616" i="357"/>
  <c r="F618" i="357"/>
  <c r="F620" i="357"/>
  <c r="F672" i="357"/>
  <c r="F674" i="357"/>
  <c r="F676" i="357"/>
  <c r="F678" i="357"/>
  <c r="F680" i="357"/>
  <c r="F682" i="357"/>
  <c r="F706" i="357"/>
  <c r="F708" i="357"/>
  <c r="F710" i="357"/>
  <c r="F712" i="357"/>
  <c r="F714" i="357"/>
  <c r="F752" i="357"/>
  <c r="F754" i="357"/>
  <c r="F784" i="357"/>
  <c r="F786" i="357"/>
  <c r="F788" i="357"/>
  <c r="F790" i="357"/>
  <c r="F607" i="357"/>
  <c r="H607" i="357" s="1"/>
  <c r="F609" i="357"/>
  <c r="F611" i="357"/>
  <c r="F615" i="357"/>
  <c r="F619" i="357"/>
  <c r="F673" i="357"/>
  <c r="F675" i="357"/>
  <c r="F677" i="357"/>
  <c r="F679" i="357"/>
  <c r="F681" i="357"/>
  <c r="F707" i="357"/>
  <c r="F709" i="357"/>
  <c r="F711" i="357"/>
  <c r="F713" i="357"/>
  <c r="F715" i="357"/>
  <c r="F757" i="357"/>
  <c r="F783" i="357"/>
  <c r="F785" i="357"/>
  <c r="F787" i="357"/>
  <c r="F789" i="357"/>
  <c r="E1251" i="357"/>
  <c r="E1224" i="357"/>
  <c r="E1294" i="357"/>
  <c r="E2211" i="357"/>
  <c r="F2210" i="357"/>
  <c r="F2214" i="357"/>
  <c r="E2209" i="357"/>
  <c r="E2213" i="357"/>
  <c r="F2208" i="357"/>
  <c r="F2212" i="357"/>
  <c r="F2790" i="357"/>
  <c r="F2822" i="357"/>
  <c r="F2824" i="357"/>
  <c r="F2826" i="357"/>
  <c r="F2828" i="357"/>
  <c r="F2856" i="357"/>
  <c r="H2856" i="357" s="1"/>
  <c r="F2858" i="357"/>
  <c r="H2858" i="357" s="1"/>
  <c r="F2900" i="357"/>
  <c r="F2902" i="357"/>
  <c r="F2904" i="357"/>
  <c r="F2930" i="357"/>
  <c r="F2932" i="357"/>
  <c r="F2964" i="357"/>
  <c r="F2966" i="357"/>
  <c r="F2984" i="357"/>
  <c r="F2791" i="357"/>
  <c r="F2823" i="357"/>
  <c r="F2825" i="357"/>
  <c r="F2827" i="357"/>
  <c r="F2829" i="357"/>
  <c r="F2857" i="357"/>
  <c r="H2857" i="357" s="1"/>
  <c r="F2901" i="357"/>
  <c r="F2903" i="357"/>
  <c r="F2905" i="357"/>
  <c r="F2931" i="357"/>
  <c r="F2933" i="357"/>
  <c r="H2933" i="357" s="1"/>
  <c r="F2963" i="357"/>
  <c r="F2965" i="357"/>
  <c r="F2985" i="357"/>
  <c r="F3192" i="357"/>
  <c r="F3194" i="357"/>
  <c r="F3191" i="357"/>
  <c r="F3193" i="357"/>
  <c r="F3195" i="357"/>
  <c r="H139" i="83"/>
  <c r="G139" i="83"/>
  <c r="H138" i="83"/>
  <c r="G138" i="83"/>
  <c r="I140" i="83" s="1"/>
  <c r="H137" i="83"/>
  <c r="I137" i="83" s="1"/>
  <c r="G674" i="357" l="1"/>
  <c r="J2856" i="357"/>
  <c r="G863" i="357"/>
  <c r="G675" i="357"/>
  <c r="G862" i="357"/>
  <c r="G709" i="357"/>
  <c r="G672" i="357"/>
  <c r="G867" i="357"/>
  <c r="G677" i="357"/>
  <c r="G900" i="357"/>
  <c r="E2855" i="357"/>
  <c r="G2855" i="357" s="1"/>
  <c r="G865" i="357"/>
  <c r="G864" i="357"/>
  <c r="G679" i="357"/>
  <c r="G682" i="357"/>
  <c r="G870" i="357"/>
  <c r="G2825" i="357"/>
  <c r="G610" i="357"/>
  <c r="G711" i="357"/>
  <c r="G714" i="357"/>
  <c r="G904" i="357"/>
  <c r="G898" i="357"/>
  <c r="G673" i="357"/>
  <c r="E613" i="357"/>
  <c r="G613" i="357" s="1"/>
  <c r="G902" i="357"/>
  <c r="G2829" i="357"/>
  <c r="G786" i="357"/>
  <c r="G614" i="357"/>
  <c r="G752" i="357"/>
  <c r="G680" i="357"/>
  <c r="G2931" i="357"/>
  <c r="G868" i="357"/>
  <c r="G1377" i="357"/>
  <c r="G608" i="357"/>
  <c r="G609" i="357"/>
  <c r="G618" i="357"/>
  <c r="J2857" i="357"/>
  <c r="G612" i="357"/>
  <c r="G2791" i="357"/>
  <c r="G756" i="357"/>
  <c r="G906" i="357"/>
  <c r="G2823" i="357"/>
  <c r="G708" i="357"/>
  <c r="G611" i="357"/>
  <c r="G681" i="357"/>
  <c r="G899" i="357"/>
  <c r="G3191" i="357"/>
  <c r="G2214" i="357"/>
  <c r="G754" i="357"/>
  <c r="G789" i="357"/>
  <c r="G2822" i="357"/>
  <c r="G788" i="357"/>
  <c r="G749" i="357"/>
  <c r="G2964" i="357"/>
  <c r="G747" i="357"/>
  <c r="G2930" i="357"/>
  <c r="G910" i="357"/>
  <c r="E617" i="357"/>
  <c r="G617" i="357" s="1"/>
  <c r="G2966" i="357"/>
  <c r="G917" i="357"/>
  <c r="G712" i="357"/>
  <c r="G903" i="357"/>
  <c r="G616" i="357"/>
  <c r="G2827" i="357"/>
  <c r="G2828" i="357"/>
  <c r="G615" i="357"/>
  <c r="G860" i="357"/>
  <c r="G2902" i="357"/>
  <c r="G785" i="357"/>
  <c r="G869" i="357"/>
  <c r="G751" i="357"/>
  <c r="G620" i="357"/>
  <c r="G1934" i="357"/>
  <c r="J2858" i="357"/>
  <c r="I607" i="357"/>
  <c r="J2933" i="357"/>
  <c r="H860" i="357"/>
  <c r="G753" i="357"/>
  <c r="G2212" i="357"/>
  <c r="G861" i="357"/>
  <c r="G792" i="357"/>
  <c r="G706" i="357"/>
  <c r="G2984" i="357"/>
  <c r="H1934" i="357"/>
  <c r="I139" i="83"/>
  <c r="H1933" i="357"/>
  <c r="G1933" i="357"/>
  <c r="H1932" i="357"/>
  <c r="J1932" i="357" s="1"/>
  <c r="E2854" i="357"/>
  <c r="G2854" i="357" s="1"/>
  <c r="F2854" i="357"/>
  <c r="H2854" i="357" s="1"/>
  <c r="G2932" i="357"/>
  <c r="F2855" i="357"/>
  <c r="H2855" i="357" s="1"/>
  <c r="H2963" i="357"/>
  <c r="J2963" i="357" s="1"/>
  <c r="H2902" i="357"/>
  <c r="H2826" i="357"/>
  <c r="J2826" i="357" s="1"/>
  <c r="H2210" i="357"/>
  <c r="H783" i="357"/>
  <c r="H711" i="357"/>
  <c r="H752" i="357"/>
  <c r="H706" i="357"/>
  <c r="H3193" i="357"/>
  <c r="J3193" i="357" s="1"/>
  <c r="H3192" i="357"/>
  <c r="J3192" i="357" s="1"/>
  <c r="H2965" i="357"/>
  <c r="J2965" i="357" s="1"/>
  <c r="H2931" i="357"/>
  <c r="H2905" i="357"/>
  <c r="J2905" i="357" s="1"/>
  <c r="H2829" i="357"/>
  <c r="H2964" i="357"/>
  <c r="H2930" i="357"/>
  <c r="H2904" i="357"/>
  <c r="H2828" i="357"/>
  <c r="H2208" i="357"/>
  <c r="J2208" i="357" s="1"/>
  <c r="G2213" i="357"/>
  <c r="H2214" i="357"/>
  <c r="G1294" i="357"/>
  <c r="G1224" i="357"/>
  <c r="H785" i="357"/>
  <c r="H713" i="357"/>
  <c r="H681" i="357"/>
  <c r="H673" i="357"/>
  <c r="H609" i="357"/>
  <c r="H790" i="357"/>
  <c r="H754" i="357"/>
  <c r="H708" i="357"/>
  <c r="H676" i="357"/>
  <c r="J676" i="357" s="1"/>
  <c r="H620" i="357"/>
  <c r="H612" i="357"/>
  <c r="H1379" i="357"/>
  <c r="H906" i="357"/>
  <c r="H898" i="357"/>
  <c r="H864" i="357"/>
  <c r="H792" i="357"/>
  <c r="H905" i="357"/>
  <c r="H897" i="357"/>
  <c r="H871" i="357"/>
  <c r="H863" i="357"/>
  <c r="H791" i="357"/>
  <c r="J791" i="357" s="1"/>
  <c r="H749" i="357"/>
  <c r="I2933" i="357"/>
  <c r="I2858" i="357"/>
  <c r="I2856" i="357"/>
  <c r="H2790" i="357"/>
  <c r="J2790" i="357" s="1"/>
  <c r="H787" i="357"/>
  <c r="H675" i="357"/>
  <c r="H619" i="357"/>
  <c r="H710" i="357"/>
  <c r="H678" i="357"/>
  <c r="H2209" i="357"/>
  <c r="H900" i="357"/>
  <c r="H748" i="357"/>
  <c r="J748" i="357" s="1"/>
  <c r="H917" i="357"/>
  <c r="H865" i="357"/>
  <c r="H3195" i="357"/>
  <c r="J3195" i="357" s="1"/>
  <c r="H3194" i="357"/>
  <c r="J3194" i="357" s="1"/>
  <c r="H2985" i="357"/>
  <c r="J2985" i="357" s="1"/>
  <c r="H2823" i="357"/>
  <c r="H2791" i="357"/>
  <c r="H2984" i="357"/>
  <c r="H2966" i="357"/>
  <c r="H2932" i="357"/>
  <c r="H2822" i="357"/>
  <c r="H2212" i="357"/>
  <c r="H715" i="357"/>
  <c r="J715" i="357" s="1"/>
  <c r="H707" i="357"/>
  <c r="H611" i="357"/>
  <c r="H784" i="357"/>
  <c r="H614" i="357"/>
  <c r="H1378" i="357"/>
  <c r="H866" i="357"/>
  <c r="H899" i="357"/>
  <c r="H751" i="357"/>
  <c r="H2901" i="357"/>
  <c r="J2901" i="357" s="1"/>
  <c r="H2825" i="357"/>
  <c r="H2900" i="357"/>
  <c r="J2900" i="357" s="1"/>
  <c r="H2824" i="357"/>
  <c r="J2824" i="357" s="1"/>
  <c r="G2211" i="357"/>
  <c r="H789" i="357"/>
  <c r="H709" i="357"/>
  <c r="H677" i="357"/>
  <c r="F613" i="357"/>
  <c r="F617" i="357"/>
  <c r="H617" i="357" s="1"/>
  <c r="H786" i="357"/>
  <c r="H712" i="357"/>
  <c r="H680" i="357"/>
  <c r="H672" i="357"/>
  <c r="H616" i="357"/>
  <c r="H608" i="357"/>
  <c r="H2211" i="357"/>
  <c r="H910" i="357"/>
  <c r="H902" i="357"/>
  <c r="H868" i="357"/>
  <c r="H750" i="357"/>
  <c r="H901" i="357"/>
  <c r="H867" i="357"/>
  <c r="H753" i="357"/>
  <c r="J607" i="357"/>
  <c r="H3191" i="357"/>
  <c r="H2903" i="357"/>
  <c r="J2903" i="357" s="1"/>
  <c r="H2827" i="357"/>
  <c r="G2209" i="357"/>
  <c r="G1251" i="357"/>
  <c r="H757" i="357"/>
  <c r="H679" i="357"/>
  <c r="H615" i="357"/>
  <c r="H788" i="357"/>
  <c r="H714" i="357"/>
  <c r="H682" i="357"/>
  <c r="H674" i="357"/>
  <c r="J674" i="357" s="1"/>
  <c r="H618" i="357"/>
  <c r="H610" i="357"/>
  <c r="H2213" i="357"/>
  <c r="H1294" i="357"/>
  <c r="H1224" i="357"/>
  <c r="H1377" i="357"/>
  <c r="H1251" i="357"/>
  <c r="H904" i="357"/>
  <c r="H870" i="357"/>
  <c r="H862" i="357"/>
  <c r="H756" i="357"/>
  <c r="H903" i="357"/>
  <c r="H869" i="357"/>
  <c r="H861" i="357"/>
  <c r="H755" i="357"/>
  <c r="H747" i="357"/>
  <c r="I2857" i="357"/>
  <c r="I138" i="83"/>
  <c r="I141" i="83" l="1"/>
  <c r="J679" i="357"/>
  <c r="I681" i="357"/>
  <c r="I2822" i="357"/>
  <c r="J714" i="357"/>
  <c r="J2791" i="357"/>
  <c r="J2964" i="357"/>
  <c r="J2829" i="357"/>
  <c r="I677" i="357"/>
  <c r="J2825" i="357"/>
  <c r="J2855" i="357"/>
  <c r="J2931" i="357"/>
  <c r="J3191" i="357"/>
  <c r="I2823" i="357"/>
  <c r="J2930" i="357"/>
  <c r="J2827" i="357"/>
  <c r="I2828" i="357"/>
  <c r="J2828" i="357"/>
  <c r="J2966" i="357"/>
  <c r="I712" i="357"/>
  <c r="I2829" i="357"/>
  <c r="I860" i="357"/>
  <c r="J2902" i="357"/>
  <c r="J1934" i="357"/>
  <c r="I2902" i="357"/>
  <c r="J860" i="357"/>
  <c r="I3192" i="357"/>
  <c r="J2984" i="357"/>
  <c r="J2213" i="357"/>
  <c r="I2966" i="357"/>
  <c r="I2855" i="357"/>
  <c r="I2931" i="357"/>
  <c r="I2930" i="357"/>
  <c r="I676" i="357"/>
  <c r="I2791" i="357"/>
  <c r="I2854" i="357"/>
  <c r="I1934" i="357"/>
  <c r="J2822" i="357"/>
  <c r="J681" i="357"/>
  <c r="J1224" i="357"/>
  <c r="I3194" i="357"/>
  <c r="I3193" i="357"/>
  <c r="I2905" i="357"/>
  <c r="I2963" i="357"/>
  <c r="J1933" i="357"/>
  <c r="J2932" i="357"/>
  <c r="I2964" i="357"/>
  <c r="I2901" i="357"/>
  <c r="I2965" i="357"/>
  <c r="J1294" i="357"/>
  <c r="I2932" i="357"/>
  <c r="J1251" i="357"/>
  <c r="I2826" i="357"/>
  <c r="I1932" i="357"/>
  <c r="I1933" i="357"/>
  <c r="J2854" i="357"/>
  <c r="I2985" i="357"/>
  <c r="I715" i="357"/>
  <c r="I748" i="357"/>
  <c r="I2827" i="357"/>
  <c r="I674" i="357"/>
  <c r="I2825" i="357"/>
  <c r="I2790" i="357"/>
  <c r="I2984" i="357"/>
  <c r="J2823" i="357"/>
  <c r="I3195" i="357"/>
  <c r="J867" i="357"/>
  <c r="I867" i="357"/>
  <c r="I750" i="357"/>
  <c r="J750" i="357"/>
  <c r="J902" i="357"/>
  <c r="I902" i="357"/>
  <c r="I2211" i="357"/>
  <c r="J2211" i="357"/>
  <c r="I616" i="357"/>
  <c r="J616" i="357"/>
  <c r="J680" i="357"/>
  <c r="I680" i="357"/>
  <c r="J786" i="357"/>
  <c r="I786" i="357"/>
  <c r="J789" i="357"/>
  <c r="I789" i="357"/>
  <c r="J751" i="357"/>
  <c r="I751" i="357"/>
  <c r="J866" i="357"/>
  <c r="I866" i="357"/>
  <c r="I614" i="357"/>
  <c r="J614" i="357"/>
  <c r="I611" i="357"/>
  <c r="J611" i="357"/>
  <c r="I2208" i="357"/>
  <c r="J755" i="357"/>
  <c r="I755" i="357"/>
  <c r="I869" i="357"/>
  <c r="J869" i="357"/>
  <c r="J756" i="357"/>
  <c r="I756" i="357"/>
  <c r="I870" i="357"/>
  <c r="J870" i="357"/>
  <c r="I618" i="357"/>
  <c r="J618" i="357"/>
  <c r="I682" i="357"/>
  <c r="J682" i="357"/>
  <c r="J788" i="357"/>
  <c r="I788" i="357"/>
  <c r="H613" i="357"/>
  <c r="J613" i="357" s="1"/>
  <c r="I917" i="357"/>
  <c r="J917" i="357"/>
  <c r="J900" i="357"/>
  <c r="I900" i="357"/>
  <c r="I678" i="357"/>
  <c r="J678" i="357"/>
  <c r="J619" i="357"/>
  <c r="I619" i="357"/>
  <c r="I787" i="357"/>
  <c r="J787" i="357"/>
  <c r="J871" i="357"/>
  <c r="I871" i="357"/>
  <c r="I905" i="357"/>
  <c r="J905" i="357"/>
  <c r="J864" i="357"/>
  <c r="I864" i="357"/>
  <c r="J906" i="357"/>
  <c r="I906" i="357"/>
  <c r="J612" i="357"/>
  <c r="I612" i="357"/>
  <c r="J754" i="357"/>
  <c r="I754" i="357"/>
  <c r="I609" i="357"/>
  <c r="J609" i="357"/>
  <c r="J785" i="357"/>
  <c r="I785" i="357"/>
  <c r="I706" i="357"/>
  <c r="J706" i="357"/>
  <c r="J711" i="357"/>
  <c r="I711" i="357"/>
  <c r="I2210" i="357"/>
  <c r="J2210" i="357"/>
  <c r="I1251" i="357"/>
  <c r="I2824" i="357"/>
  <c r="I2900" i="357"/>
  <c r="I1294" i="357"/>
  <c r="I2213" i="357"/>
  <c r="I791" i="357"/>
  <c r="J753" i="357"/>
  <c r="I753" i="357"/>
  <c r="J901" i="357"/>
  <c r="I901" i="357"/>
  <c r="J868" i="357"/>
  <c r="I868" i="357"/>
  <c r="J910" i="357"/>
  <c r="I910" i="357"/>
  <c r="I608" i="357"/>
  <c r="J608" i="357"/>
  <c r="I672" i="357"/>
  <c r="J672" i="357"/>
  <c r="I714" i="357"/>
  <c r="J677" i="357"/>
  <c r="I617" i="357"/>
  <c r="J617" i="357"/>
  <c r="I709" i="357"/>
  <c r="J709" i="357"/>
  <c r="I899" i="357"/>
  <c r="J899" i="357"/>
  <c r="I1378" i="357"/>
  <c r="J1378" i="357"/>
  <c r="J784" i="357"/>
  <c r="I784" i="357"/>
  <c r="J707" i="357"/>
  <c r="I707" i="357"/>
  <c r="J2212" i="357"/>
  <c r="I2212" i="357"/>
  <c r="J747" i="357"/>
  <c r="I747" i="357"/>
  <c r="I861" i="357"/>
  <c r="J861" i="357"/>
  <c r="I903" i="357"/>
  <c r="J903" i="357"/>
  <c r="I862" i="357"/>
  <c r="J862" i="357"/>
  <c r="J904" i="357"/>
  <c r="I904" i="357"/>
  <c r="J1377" i="357"/>
  <c r="I1377" i="357"/>
  <c r="J610" i="357"/>
  <c r="I610" i="357"/>
  <c r="I615" i="357"/>
  <c r="J615" i="357"/>
  <c r="I757" i="357"/>
  <c r="J757" i="357"/>
  <c r="J2209" i="357"/>
  <c r="I2209" i="357"/>
  <c r="I865" i="357"/>
  <c r="J865" i="357"/>
  <c r="J710" i="357"/>
  <c r="I710" i="357"/>
  <c r="J675" i="357"/>
  <c r="I675" i="357"/>
  <c r="I749" i="357"/>
  <c r="J749" i="357"/>
  <c r="J863" i="357"/>
  <c r="I863" i="357"/>
  <c r="I897" i="357"/>
  <c r="J897" i="357"/>
  <c r="I792" i="357"/>
  <c r="J792" i="357"/>
  <c r="I898" i="357"/>
  <c r="J898" i="357"/>
  <c r="J1379" i="357"/>
  <c r="I1379" i="357"/>
  <c r="I620" i="357"/>
  <c r="J620" i="357"/>
  <c r="I708" i="357"/>
  <c r="J708" i="357"/>
  <c r="J790" i="357"/>
  <c r="I790" i="357"/>
  <c r="I673" i="357"/>
  <c r="J673" i="357"/>
  <c r="I713" i="357"/>
  <c r="J713" i="357"/>
  <c r="I2214" i="357"/>
  <c r="J2214" i="357"/>
  <c r="I2904" i="357"/>
  <c r="J2904" i="357"/>
  <c r="J752" i="357"/>
  <c r="I752" i="357"/>
  <c r="J783" i="357"/>
  <c r="I783" i="357"/>
  <c r="J712" i="357"/>
  <c r="I679" i="357"/>
  <c r="I2903" i="357"/>
  <c r="I3191" i="357"/>
  <c r="I1224" i="357"/>
  <c r="I111" i="149"/>
  <c r="G111" i="149"/>
  <c r="H111" i="149" s="1"/>
  <c r="L111" i="149" s="1"/>
  <c r="G113" i="149"/>
  <c r="H113" i="149" s="1"/>
  <c r="H67" i="169"/>
  <c r="G195" i="149"/>
  <c r="H195" i="149" s="1"/>
  <c r="G194" i="149"/>
  <c r="H194" i="149" s="1"/>
  <c r="G193" i="149"/>
  <c r="H193" i="149" s="1"/>
  <c r="G192" i="149"/>
  <c r="H192" i="149" s="1"/>
  <c r="G190" i="149"/>
  <c r="H190" i="149" s="1"/>
  <c r="G189" i="149"/>
  <c r="H189" i="149" s="1"/>
  <c r="G188" i="149"/>
  <c r="J32" i="83"/>
  <c r="L113" i="149" l="1"/>
  <c r="G191" i="149"/>
  <c r="H191" i="149" s="1"/>
  <c r="H188" i="149"/>
  <c r="I613" i="357"/>
  <c r="G196" i="149" l="1"/>
  <c r="H196" i="149" s="1"/>
  <c r="A35" i="324" l="1"/>
  <c r="A36" i="324" s="1"/>
  <c r="A37" i="324" s="1"/>
  <c r="A38" i="324" s="1"/>
  <c r="A39" i="324" s="1"/>
  <c r="A40" i="324" s="1"/>
  <c r="A41" i="324" s="1"/>
  <c r="A42" i="324" s="1"/>
  <c r="A43" i="324" s="1"/>
  <c r="A44" i="324" s="1"/>
  <c r="A45" i="324" s="1"/>
  <c r="A46" i="324" s="1"/>
  <c r="A47" i="324" s="1"/>
  <c r="A48" i="324" s="1"/>
  <c r="A51" i="324" s="1"/>
  <c r="A52" i="324" s="1"/>
  <c r="A53" i="324" s="1"/>
  <c r="A54" i="324" s="1"/>
  <c r="A55" i="324" s="1"/>
  <c r="A56" i="324" s="1"/>
  <c r="A57" i="324" s="1"/>
  <c r="A58" i="324" s="1"/>
  <c r="A22" i="324"/>
  <c r="A23" i="324" s="1"/>
  <c r="A24" i="324" s="1"/>
  <c r="A25" i="324" s="1"/>
  <c r="A26" i="324" s="1"/>
  <c r="A27" i="324" s="1"/>
  <c r="A28" i="324" s="1"/>
  <c r="A29" i="324" s="1"/>
  <c r="A30" i="324" s="1"/>
  <c r="A31" i="324" s="1"/>
  <c r="N33" i="327" l="1"/>
  <c r="N34" i="327" s="1"/>
  <c r="P18" i="142" l="1"/>
  <c r="O18" i="142"/>
  <c r="F230" i="142" l="1"/>
  <c r="F229" i="142"/>
  <c r="F227" i="142"/>
  <c r="F228" i="142"/>
  <c r="F231" i="142"/>
  <c r="F184" i="142" l="1"/>
  <c r="K89" i="142" l="1"/>
  <c r="P89" i="142" s="1"/>
  <c r="K90" i="142"/>
  <c r="D100" i="142" l="1"/>
  <c r="F100" i="142" s="1"/>
  <c r="G100" i="142" s="1"/>
  <c r="R48" i="148"/>
  <c r="B71" i="138" l="1"/>
  <c r="B43" i="138"/>
  <c r="B44" i="138" l="1"/>
  <c r="F3502" i="357" l="1"/>
  <c r="E3502" i="357"/>
  <c r="F3501" i="357"/>
  <c r="E3501" i="357"/>
  <c r="F3498" i="357"/>
  <c r="E3498" i="357"/>
  <c r="F3497" i="357"/>
  <c r="E3497" i="357"/>
  <c r="F3492" i="357"/>
  <c r="E3492" i="357"/>
  <c r="F3491" i="357"/>
  <c r="E3491" i="357"/>
  <c r="F3487" i="357"/>
  <c r="E3487" i="357"/>
  <c r="F3486" i="357"/>
  <c r="E3486" i="357"/>
  <c r="F3485" i="357"/>
  <c r="E3485" i="357"/>
  <c r="F3482" i="357"/>
  <c r="E3482" i="357"/>
  <c r="F3481" i="357"/>
  <c r="E3481" i="357"/>
  <c r="F3479" i="357"/>
  <c r="E3479" i="357"/>
  <c r="F3476" i="357"/>
  <c r="E3476" i="357"/>
  <c r="F3475" i="357"/>
  <c r="E3475" i="357"/>
  <c r="F3471" i="357"/>
  <c r="E3471" i="357"/>
  <c r="F3470" i="357"/>
  <c r="E3470" i="357"/>
  <c r="F3461" i="357"/>
  <c r="E3461" i="357"/>
  <c r="F3460" i="357"/>
  <c r="E3460" i="357"/>
  <c r="F3455" i="357"/>
  <c r="E3455" i="357"/>
  <c r="F3454" i="357"/>
  <c r="E3454" i="357"/>
  <c r="F3450" i="357"/>
  <c r="E3450" i="357"/>
  <c r="F3449" i="357"/>
  <c r="E3449" i="357"/>
  <c r="F3444" i="357"/>
  <c r="E3444" i="357"/>
  <c r="F3443" i="357"/>
  <c r="E3443" i="357"/>
  <c r="F3440" i="357"/>
  <c r="E3440" i="357"/>
  <c r="F3439" i="357"/>
  <c r="E3439" i="357"/>
  <c r="F3435" i="357"/>
  <c r="E3435" i="357"/>
  <c r="F3434" i="357"/>
  <c r="E3434" i="357"/>
  <c r="F3430" i="357"/>
  <c r="E3430" i="357"/>
  <c r="F3429" i="357"/>
  <c r="E3429" i="357"/>
  <c r="F3428" i="357"/>
  <c r="E3428" i="357"/>
  <c r="F3424" i="357"/>
  <c r="E3424" i="357"/>
  <c r="F3423" i="357"/>
  <c r="E3423" i="357"/>
  <c r="F3413" i="357"/>
  <c r="E3413" i="357"/>
  <c r="F3412" i="357"/>
  <c r="E3412" i="357"/>
  <c r="F3395" i="357"/>
  <c r="E3395" i="357"/>
  <c r="F3394" i="357"/>
  <c r="E3394" i="357"/>
  <c r="F3387" i="357"/>
  <c r="E3387" i="357"/>
  <c r="F3386" i="357"/>
  <c r="E3386" i="357"/>
  <c r="F3369" i="357"/>
  <c r="E3369" i="357"/>
  <c r="F3368" i="357"/>
  <c r="E3368" i="357"/>
  <c r="F3365" i="357"/>
  <c r="E3365" i="357"/>
  <c r="F3364" i="357"/>
  <c r="E3364" i="357"/>
  <c r="F3359" i="357"/>
  <c r="E3359" i="357"/>
  <c r="F3358" i="357"/>
  <c r="E3358" i="357"/>
  <c r="F3355" i="357"/>
  <c r="E3355" i="357"/>
  <c r="F3354" i="357"/>
  <c r="E3354" i="357"/>
  <c r="F3351" i="357"/>
  <c r="E3351" i="357"/>
  <c r="F3350" i="357"/>
  <c r="E3350" i="357"/>
  <c r="F3347" i="357"/>
  <c r="E3347" i="357"/>
  <c r="F3346" i="357"/>
  <c r="E3346" i="357"/>
  <c r="F3343" i="357"/>
  <c r="E3343" i="357"/>
  <c r="F3342" i="357"/>
  <c r="E3342" i="357"/>
  <c r="F3339" i="357"/>
  <c r="E3339" i="357"/>
  <c r="F3338" i="357"/>
  <c r="E3338" i="357"/>
  <c r="F3334" i="357"/>
  <c r="E3334" i="357"/>
  <c r="F3333" i="357"/>
  <c r="E3333" i="357"/>
  <c r="F3332" i="357"/>
  <c r="E3332" i="357"/>
  <c r="F3328" i="357"/>
  <c r="E3328" i="357"/>
  <c r="F3327" i="357"/>
  <c r="E3327" i="357"/>
  <c r="F3320" i="357"/>
  <c r="E3320" i="357"/>
  <c r="F3319" i="357"/>
  <c r="E3319" i="357"/>
  <c r="F3318" i="357"/>
  <c r="E3318" i="357"/>
  <c r="F3315" i="357"/>
  <c r="E3315" i="357"/>
  <c r="F3314" i="357"/>
  <c r="E3314" i="357"/>
  <c r="F3308" i="357"/>
  <c r="E3308" i="357"/>
  <c r="F3307" i="357"/>
  <c r="E3307" i="357"/>
  <c r="F3302" i="357"/>
  <c r="E3302" i="357"/>
  <c r="F3301" i="357"/>
  <c r="E3301" i="357"/>
  <c r="F3296" i="357"/>
  <c r="E3296" i="357"/>
  <c r="F3295" i="357"/>
  <c r="E3295" i="357"/>
  <c r="F3287" i="357"/>
  <c r="E3287" i="357"/>
  <c r="F3286" i="357"/>
  <c r="E3286" i="357"/>
  <c r="F3283" i="357"/>
  <c r="E3283" i="357"/>
  <c r="F3282" i="357"/>
  <c r="E3282" i="357"/>
  <c r="F3277" i="357"/>
  <c r="E3277" i="357"/>
  <c r="F3276" i="357"/>
  <c r="E3276" i="357"/>
  <c r="F3254" i="357"/>
  <c r="E3254" i="357"/>
  <c r="F3253" i="357"/>
  <c r="E3253" i="357"/>
  <c r="F3249" i="357"/>
  <c r="E3249" i="357"/>
  <c r="F3248" i="357"/>
  <c r="E3248" i="357"/>
  <c r="F3245" i="357"/>
  <c r="E3245" i="357"/>
  <c r="F3244" i="357"/>
  <c r="E3244" i="357"/>
  <c r="F3241" i="357"/>
  <c r="E3241" i="357"/>
  <c r="F3240" i="357"/>
  <c r="E3240" i="357"/>
  <c r="F3230" i="357"/>
  <c r="E3230" i="357"/>
  <c r="F3229" i="357"/>
  <c r="E3229" i="357"/>
  <c r="F3226" i="357"/>
  <c r="E3226" i="357"/>
  <c r="F3225" i="357"/>
  <c r="E3225" i="357"/>
  <c r="F3220" i="357"/>
  <c r="E3220" i="357"/>
  <c r="F3219" i="357"/>
  <c r="E3219" i="357"/>
  <c r="F3215" i="357"/>
  <c r="E3215" i="357"/>
  <c r="F3214" i="357"/>
  <c r="E3214" i="357"/>
  <c r="F3210" i="357"/>
  <c r="E3210" i="357"/>
  <c r="F3209" i="357"/>
  <c r="E3209" i="357"/>
  <c r="F3206" i="357"/>
  <c r="E3206" i="357"/>
  <c r="F3205" i="357"/>
  <c r="E3205" i="357"/>
  <c r="F3201" i="357"/>
  <c r="E3201" i="357"/>
  <c r="F3200" i="357"/>
  <c r="E3200" i="357"/>
  <c r="F3176" i="357"/>
  <c r="E3176" i="357"/>
  <c r="F3175" i="357"/>
  <c r="E3175" i="357"/>
  <c r="F3174" i="357"/>
  <c r="E3174" i="357"/>
  <c r="F3169" i="357"/>
  <c r="E3169" i="357"/>
  <c r="F3168" i="357"/>
  <c r="E3168" i="357"/>
  <c r="F3164" i="357"/>
  <c r="E3164" i="357"/>
  <c r="F3163" i="357"/>
  <c r="E3163" i="357"/>
  <c r="F3160" i="357"/>
  <c r="E3160" i="357"/>
  <c r="F3159" i="357"/>
  <c r="E3159" i="357"/>
  <c r="F3149" i="357"/>
  <c r="E3149" i="357"/>
  <c r="F3148" i="357"/>
  <c r="E3148" i="357"/>
  <c r="F3144" i="357"/>
  <c r="E3144" i="357"/>
  <c r="F3143" i="357"/>
  <c r="E3143" i="357"/>
  <c r="F3140" i="357"/>
  <c r="E3140" i="357"/>
  <c r="F3139" i="357"/>
  <c r="E3139" i="357"/>
  <c r="F3136" i="357"/>
  <c r="E3136" i="357"/>
  <c r="F3135" i="357"/>
  <c r="E3135" i="357"/>
  <c r="F3131" i="357"/>
  <c r="E3131" i="357"/>
  <c r="F3130" i="357"/>
  <c r="E3130" i="357"/>
  <c r="F3122" i="357"/>
  <c r="E3122" i="357"/>
  <c r="F3121" i="357"/>
  <c r="E3121" i="357"/>
  <c r="F3112" i="357"/>
  <c r="E3112" i="357"/>
  <c r="F3111" i="357"/>
  <c r="E3111" i="357"/>
  <c r="F3105" i="357"/>
  <c r="E3105" i="357"/>
  <c r="F3104" i="357"/>
  <c r="E3104" i="357"/>
  <c r="F3101" i="357"/>
  <c r="E3101" i="357"/>
  <c r="F3100" i="357"/>
  <c r="E3100" i="357"/>
  <c r="F3096" i="357"/>
  <c r="E3096" i="357"/>
  <c r="F3095" i="357"/>
  <c r="E3095" i="357"/>
  <c r="F3094" i="357"/>
  <c r="E3094" i="357"/>
  <c r="F3080" i="357"/>
  <c r="E3080" i="357"/>
  <c r="F3079" i="357"/>
  <c r="E3079" i="357"/>
  <c r="F3071" i="357"/>
  <c r="E3071" i="357"/>
  <c r="F3070" i="357"/>
  <c r="E3070" i="357"/>
  <c r="F3056" i="357"/>
  <c r="E3056" i="357"/>
  <c r="F3055" i="357"/>
  <c r="E3055" i="357"/>
  <c r="F3042" i="357"/>
  <c r="E3042" i="357"/>
  <c r="F3041" i="357"/>
  <c r="E3041" i="357"/>
  <c r="F3036" i="357"/>
  <c r="E3036" i="357"/>
  <c r="F3035" i="357"/>
  <c r="E3035" i="357"/>
  <c r="F3028" i="357"/>
  <c r="E3028" i="357"/>
  <c r="F3027" i="357"/>
  <c r="E3027" i="357"/>
  <c r="F3020" i="357"/>
  <c r="E3020" i="357"/>
  <c r="F3019" i="357"/>
  <c r="E3019" i="357"/>
  <c r="F3008" i="357"/>
  <c r="E3008" i="357"/>
  <c r="F3007" i="357"/>
  <c r="E3007" i="357"/>
  <c r="F2998" i="357"/>
  <c r="E2998" i="357"/>
  <c r="F2997" i="357"/>
  <c r="E2997" i="357"/>
  <c r="F2989" i="357"/>
  <c r="E2989" i="357"/>
  <c r="F2988" i="357"/>
  <c r="E2988" i="357"/>
  <c r="F2987" i="357"/>
  <c r="E2987" i="357"/>
  <c r="F2969" i="357"/>
  <c r="E2969" i="357"/>
  <c r="F2968" i="357"/>
  <c r="E2968" i="357"/>
  <c r="F2935" i="357"/>
  <c r="E2935" i="357"/>
  <c r="F2934" i="357"/>
  <c r="E2934" i="357"/>
  <c r="F2913" i="357"/>
  <c r="E2913" i="357"/>
  <c r="F2912" i="357"/>
  <c r="E2912" i="357"/>
  <c r="F2860" i="357"/>
  <c r="E2860" i="357"/>
  <c r="F2859" i="357"/>
  <c r="E2859" i="357"/>
  <c r="F2840" i="357"/>
  <c r="E2840" i="357"/>
  <c r="F2839" i="357"/>
  <c r="E2839" i="357"/>
  <c r="F2812" i="357"/>
  <c r="E2812" i="357"/>
  <c r="F2757" i="357"/>
  <c r="E2757" i="357"/>
  <c r="F2756" i="357"/>
  <c r="E2756" i="357"/>
  <c r="F2755" i="357"/>
  <c r="E2755" i="357"/>
  <c r="F2752" i="357"/>
  <c r="E2752" i="357"/>
  <c r="F2751" i="357"/>
  <c r="E2751" i="357"/>
  <c r="F2745" i="357"/>
  <c r="E2745" i="357"/>
  <c r="F2744" i="357"/>
  <c r="E2744" i="357"/>
  <c r="F2743" i="357"/>
  <c r="E2743" i="357"/>
  <c r="F2742" i="357"/>
  <c r="E2742" i="357"/>
  <c r="F2737" i="357"/>
  <c r="E2737" i="357"/>
  <c r="F2736" i="357"/>
  <c r="E2736" i="357"/>
  <c r="F2733" i="357"/>
  <c r="E2733" i="357"/>
  <c r="F2732" i="357"/>
  <c r="E2732" i="357"/>
  <c r="F2727" i="357"/>
  <c r="E2727" i="357"/>
  <c r="F2724" i="357"/>
  <c r="E2724" i="357"/>
  <c r="F2721" i="357"/>
  <c r="E2721" i="357"/>
  <c r="F2720" i="357"/>
  <c r="E2720" i="357"/>
  <c r="F2694" i="357"/>
  <c r="E2694" i="357"/>
  <c r="F2693" i="357"/>
  <c r="E2693" i="357"/>
  <c r="F2686" i="357"/>
  <c r="E2686" i="357"/>
  <c r="F2685" i="357"/>
  <c r="E2685" i="357"/>
  <c r="F2681" i="357"/>
  <c r="E2681" i="357"/>
  <c r="F2680" i="357"/>
  <c r="E2680" i="357"/>
  <c r="F2675" i="357"/>
  <c r="E2675" i="357"/>
  <c r="F2674" i="357"/>
  <c r="E2674" i="357"/>
  <c r="F2672" i="357"/>
  <c r="E2672" i="357"/>
  <c r="F2671" i="357"/>
  <c r="E2671" i="357"/>
  <c r="F2670" i="357"/>
  <c r="E2670" i="357"/>
  <c r="F2665" i="357"/>
  <c r="E2665" i="357"/>
  <c r="F2664" i="357"/>
  <c r="E2664" i="357"/>
  <c r="F2656" i="357"/>
  <c r="E2656" i="357"/>
  <c r="F2655" i="357"/>
  <c r="E2655" i="357"/>
  <c r="F2654" i="357"/>
  <c r="E2654" i="357"/>
  <c r="F2653" i="357"/>
  <c r="E2653" i="357"/>
  <c r="F2644" i="357"/>
  <c r="E2644" i="357"/>
  <c r="F2643" i="357"/>
  <c r="E2643" i="357"/>
  <c r="F2638" i="357"/>
  <c r="E2638" i="357"/>
  <c r="F2637" i="357"/>
  <c r="E2637" i="357"/>
  <c r="F2617" i="357"/>
  <c r="E2617" i="357"/>
  <c r="F2616" i="357"/>
  <c r="E2616" i="357"/>
  <c r="F2596" i="357"/>
  <c r="E2596" i="357"/>
  <c r="F2595" i="357"/>
  <c r="E2595" i="357"/>
  <c r="F2593" i="357"/>
  <c r="E2593" i="357"/>
  <c r="F2592" i="357"/>
  <c r="E2592" i="357"/>
  <c r="F2591" i="357"/>
  <c r="E2591" i="357"/>
  <c r="F2584" i="357"/>
  <c r="E2584" i="357"/>
  <c r="F2583" i="357"/>
  <c r="E2583" i="357"/>
  <c r="F2576" i="357"/>
  <c r="E2576" i="357"/>
  <c r="F2575" i="357"/>
  <c r="E2575" i="357"/>
  <c r="F2568" i="357"/>
  <c r="E2568" i="357"/>
  <c r="F2567" i="357"/>
  <c r="E2567" i="357"/>
  <c r="F2561" i="357"/>
  <c r="E2561" i="357"/>
  <c r="F2560" i="357"/>
  <c r="E2560" i="357"/>
  <c r="F2553" i="357"/>
  <c r="E2553" i="357"/>
  <c r="F2552" i="357"/>
  <c r="E2552" i="357"/>
  <c r="F2545" i="357"/>
  <c r="E2545" i="357"/>
  <c r="F2544" i="357"/>
  <c r="E2544" i="357"/>
  <c r="F2537" i="357"/>
  <c r="E2537" i="357"/>
  <c r="F2536" i="357"/>
  <c r="E2536" i="357"/>
  <c r="F2531" i="357"/>
  <c r="E2531" i="357"/>
  <c r="F2530" i="357"/>
  <c r="E2530" i="357"/>
  <c r="F2523" i="357"/>
  <c r="E2523" i="357"/>
  <c r="F2522" i="357"/>
  <c r="E2522" i="357"/>
  <c r="F2519" i="357"/>
  <c r="E2519" i="357"/>
  <c r="F2518" i="357"/>
  <c r="E2518" i="357"/>
  <c r="F2511" i="357"/>
  <c r="E2511" i="357"/>
  <c r="F2510" i="357"/>
  <c r="E2510" i="357"/>
  <c r="F2503" i="357"/>
  <c r="E2503" i="357"/>
  <c r="F2502" i="357"/>
  <c r="E2502" i="357"/>
  <c r="F2495" i="357"/>
  <c r="E2495" i="357"/>
  <c r="F2494" i="357"/>
  <c r="E2494" i="357"/>
  <c r="F2489" i="357"/>
  <c r="E2489" i="357"/>
  <c r="F2488" i="357"/>
  <c r="E2488" i="357"/>
  <c r="F2482" i="357"/>
  <c r="E2482" i="357"/>
  <c r="F2481" i="357"/>
  <c r="E2481" i="357"/>
  <c r="F2480" i="357"/>
  <c r="E2480" i="357"/>
  <c r="F2476" i="357"/>
  <c r="E2476" i="357"/>
  <c r="F2475" i="357"/>
  <c r="E2475" i="357"/>
  <c r="F2471" i="357"/>
  <c r="E2471" i="357"/>
  <c r="F2470" i="357"/>
  <c r="E2470" i="357"/>
  <c r="F2469" i="357"/>
  <c r="E2469" i="357"/>
  <c r="F2467" i="357"/>
  <c r="E2467" i="357"/>
  <c r="F2466" i="357"/>
  <c r="E2466" i="357"/>
  <c r="F2457" i="357"/>
  <c r="E2457" i="357"/>
  <c r="F2456" i="357"/>
  <c r="E2456" i="357"/>
  <c r="F2452" i="357"/>
  <c r="E2452" i="357"/>
  <c r="F2451" i="357"/>
  <c r="E2451" i="357"/>
  <c r="F2450" i="357"/>
  <c r="E2450" i="357"/>
  <c r="F2449" i="357"/>
  <c r="E2449" i="357"/>
  <c r="F2442" i="357"/>
  <c r="E2442" i="357"/>
  <c r="F2441" i="357"/>
  <c r="E2441" i="357"/>
  <c r="F2436" i="357"/>
  <c r="E2436" i="357"/>
  <c r="F2435" i="357"/>
  <c r="E2435" i="357"/>
  <c r="F2430" i="357"/>
  <c r="E2430" i="357"/>
  <c r="F2429" i="357"/>
  <c r="E2429" i="357"/>
  <c r="F2425" i="357"/>
  <c r="E2425" i="357"/>
  <c r="F2424" i="357"/>
  <c r="E2424" i="357"/>
  <c r="F2423" i="357"/>
  <c r="E2423" i="357"/>
  <c r="F2418" i="357"/>
  <c r="E2418" i="357"/>
  <c r="F2417" i="357"/>
  <c r="E2417" i="357"/>
  <c r="F2416" i="357"/>
  <c r="E2416" i="357"/>
  <c r="F2412" i="357"/>
  <c r="E2412" i="357"/>
  <c r="F2411" i="357"/>
  <c r="E2411" i="357"/>
  <c r="F2407" i="357"/>
  <c r="E2407" i="357"/>
  <c r="F2406" i="357"/>
  <c r="E2406" i="357"/>
  <c r="F2402" i="357"/>
  <c r="E2402" i="357"/>
  <c r="F2401" i="357"/>
  <c r="E2401" i="357"/>
  <c r="F2397" i="357"/>
  <c r="E2397" i="357"/>
  <c r="F2396" i="357"/>
  <c r="E2396" i="357"/>
  <c r="F2392" i="357"/>
  <c r="E2392" i="357"/>
  <c r="F2391" i="357"/>
  <c r="E2391" i="357"/>
  <c r="F2387" i="357"/>
  <c r="E2387" i="357"/>
  <c r="F2386" i="357"/>
  <c r="E2386" i="357"/>
  <c r="F2382" i="357"/>
  <c r="E2382" i="357"/>
  <c r="F2381" i="357"/>
  <c r="E2381" i="357"/>
  <c r="F2378" i="357"/>
  <c r="E2378" i="357"/>
  <c r="F2377" i="357"/>
  <c r="E2377" i="357"/>
  <c r="F2373" i="357"/>
  <c r="E2373" i="357"/>
  <c r="F2372" i="357"/>
  <c r="E2372" i="357"/>
  <c r="F2368" i="357"/>
  <c r="E2368" i="357"/>
  <c r="F2367" i="357"/>
  <c r="E2367" i="357"/>
  <c r="F2362" i="357"/>
  <c r="E2362" i="357"/>
  <c r="F2361" i="357"/>
  <c r="E2361" i="357"/>
  <c r="F2356" i="357"/>
  <c r="E2356" i="357"/>
  <c r="F2355" i="357"/>
  <c r="E2355" i="357"/>
  <c r="F2351" i="357"/>
  <c r="E2351" i="357"/>
  <c r="F2350" i="357"/>
  <c r="E2350" i="357"/>
  <c r="F2346" i="357"/>
  <c r="E2346" i="357"/>
  <c r="F2345" i="357"/>
  <c r="E2345" i="357"/>
  <c r="F2341" i="357"/>
  <c r="E2341" i="357"/>
  <c r="F2340" i="357"/>
  <c r="E2340" i="357"/>
  <c r="F2336" i="357"/>
  <c r="E2336" i="357"/>
  <c r="F2335" i="357"/>
  <c r="E2335" i="357"/>
  <c r="F2331" i="357"/>
  <c r="E2331" i="357"/>
  <c r="F2330" i="357"/>
  <c r="E2330" i="357"/>
  <c r="F2326" i="357"/>
  <c r="E2326" i="357"/>
  <c r="F2321" i="357"/>
  <c r="E2321" i="357"/>
  <c r="F2320" i="357"/>
  <c r="E2320" i="357"/>
  <c r="F2319" i="357"/>
  <c r="E2319" i="357"/>
  <c r="F2304" i="357"/>
  <c r="E2304" i="357"/>
  <c r="F2303" i="357"/>
  <c r="E2303" i="357"/>
  <c r="F2302" i="357"/>
  <c r="E2302" i="357"/>
  <c r="F2271" i="357"/>
  <c r="E2271" i="357"/>
  <c r="F2270" i="357"/>
  <c r="E2270" i="357"/>
  <c r="F2269" i="357"/>
  <c r="E2269" i="357"/>
  <c r="F2264" i="357"/>
  <c r="E2264" i="357"/>
  <c r="F2263" i="357"/>
  <c r="E2263" i="357"/>
  <c r="F2254" i="357"/>
  <c r="E2254" i="357"/>
  <c r="F2253" i="357"/>
  <c r="E2253" i="357"/>
  <c r="F2219" i="357"/>
  <c r="E2219" i="357"/>
  <c r="F2218" i="357"/>
  <c r="E2218" i="357"/>
  <c r="F2217" i="357"/>
  <c r="E2217" i="357"/>
  <c r="F2169" i="357"/>
  <c r="E2169" i="357"/>
  <c r="F2168" i="357"/>
  <c r="E2168" i="357"/>
  <c r="F2162" i="357"/>
  <c r="E2162" i="357"/>
  <c r="F2161" i="357"/>
  <c r="E2161" i="357"/>
  <c r="F2156" i="357"/>
  <c r="E2156" i="357"/>
  <c r="F2155" i="357"/>
  <c r="E2155" i="357"/>
  <c r="F2144" i="357"/>
  <c r="E2144" i="357"/>
  <c r="F2143" i="357"/>
  <c r="E2143" i="357"/>
  <c r="F2140" i="357"/>
  <c r="E2140" i="357"/>
  <c r="F2139" i="357"/>
  <c r="E2139" i="357"/>
  <c r="F2136" i="357"/>
  <c r="E2136" i="357"/>
  <c r="F2135" i="357"/>
  <c r="E2135" i="357"/>
  <c r="F2130" i="357"/>
  <c r="E2130" i="357"/>
  <c r="F2129" i="357"/>
  <c r="E2129" i="357"/>
  <c r="F2120" i="357"/>
  <c r="E2120" i="357"/>
  <c r="F2119" i="357"/>
  <c r="E2119" i="357"/>
  <c r="F2118" i="357"/>
  <c r="E2118" i="357"/>
  <c r="F2104" i="357"/>
  <c r="E2104" i="357"/>
  <c r="F2103" i="357"/>
  <c r="E2103" i="357"/>
  <c r="F2094" i="357"/>
  <c r="E2094" i="357"/>
  <c r="F2093" i="357"/>
  <c r="E2093" i="357"/>
  <c r="F2088" i="357"/>
  <c r="E2088" i="357"/>
  <c r="F2087" i="357"/>
  <c r="E2087" i="357"/>
  <c r="F2081" i="357"/>
  <c r="E2081" i="357"/>
  <c r="F2080" i="357"/>
  <c r="E2080" i="357"/>
  <c r="F2072" i="357"/>
  <c r="E2072" i="357"/>
  <c r="F2071" i="357"/>
  <c r="E2071" i="357"/>
  <c r="F2065" i="357"/>
  <c r="E2065" i="357"/>
  <c r="F2064" i="357"/>
  <c r="E2064" i="357"/>
  <c r="F2018" i="357"/>
  <c r="E2018" i="357"/>
  <c r="F2017" i="357"/>
  <c r="E2017" i="357"/>
  <c r="F2010" i="357"/>
  <c r="E2010" i="357"/>
  <c r="F2009" i="357"/>
  <c r="E2009" i="357"/>
  <c r="F2004" i="357"/>
  <c r="E2004" i="357"/>
  <c r="F2003" i="357"/>
  <c r="E2003" i="357"/>
  <c r="F1999" i="357"/>
  <c r="E1999" i="357"/>
  <c r="F1998" i="357"/>
  <c r="E1998" i="357"/>
  <c r="F1997" i="357"/>
  <c r="E1997" i="357"/>
  <c r="F1993" i="357"/>
  <c r="E1993" i="357"/>
  <c r="F1992" i="357"/>
  <c r="E1992" i="357"/>
  <c r="F1989" i="357"/>
  <c r="E1989" i="357"/>
  <c r="F1988" i="357"/>
  <c r="E1988" i="357"/>
  <c r="F1987" i="357"/>
  <c r="E1987" i="357"/>
  <c r="F1984" i="357"/>
  <c r="E1984" i="357"/>
  <c r="F1983" i="357"/>
  <c r="E1983" i="357"/>
  <c r="F1980" i="357"/>
  <c r="E1980" i="357"/>
  <c r="F1979" i="357"/>
  <c r="E1979" i="357"/>
  <c r="F1975" i="357"/>
  <c r="E1975" i="357"/>
  <c r="F1973" i="357"/>
  <c r="E1973" i="357"/>
  <c r="F1960" i="357"/>
  <c r="E1960" i="357"/>
  <c r="F1959" i="357"/>
  <c r="E1959" i="357"/>
  <c r="F1954" i="357"/>
  <c r="E1954" i="357"/>
  <c r="F1953" i="357"/>
  <c r="E1953" i="357"/>
  <c r="F1950" i="357"/>
  <c r="E1950" i="357"/>
  <c r="F1949" i="357"/>
  <c r="E1949" i="357"/>
  <c r="F1946" i="357"/>
  <c r="E1946" i="357"/>
  <c r="F1945" i="357"/>
  <c r="E1945" i="357"/>
  <c r="F1941" i="357"/>
  <c r="E1941" i="357"/>
  <c r="F1940" i="357"/>
  <c r="E1940" i="357"/>
  <c r="F1937" i="357"/>
  <c r="E1937" i="357"/>
  <c r="F1936" i="357"/>
  <c r="E1936" i="357"/>
  <c r="F1920" i="357"/>
  <c r="E1920" i="357"/>
  <c r="F1919" i="357"/>
  <c r="E1919" i="357"/>
  <c r="F1916" i="357"/>
  <c r="E1916" i="357"/>
  <c r="F1915" i="357"/>
  <c r="E1915" i="357"/>
  <c r="F1912" i="357"/>
  <c r="E1912" i="357"/>
  <c r="F1911" i="357"/>
  <c r="E1911" i="357"/>
  <c r="F1906" i="357"/>
  <c r="E1906" i="357"/>
  <c r="F1905" i="357"/>
  <c r="E1905" i="357"/>
  <c r="F1888" i="357"/>
  <c r="E1888" i="357"/>
  <c r="F1887" i="357"/>
  <c r="E1887" i="357"/>
  <c r="F1870" i="357"/>
  <c r="E1870" i="357"/>
  <c r="F1869" i="357"/>
  <c r="E1869" i="357"/>
  <c r="F1863" i="357"/>
  <c r="E1863" i="357"/>
  <c r="F1862" i="357"/>
  <c r="E1862" i="357"/>
  <c r="F1857" i="357"/>
  <c r="E1857" i="357"/>
  <c r="F1855" i="357"/>
  <c r="E1855" i="357"/>
  <c r="F1826" i="357"/>
  <c r="E1826" i="357"/>
  <c r="F1795" i="357"/>
  <c r="E1795" i="357"/>
  <c r="F1794" i="357"/>
  <c r="E1794" i="357"/>
  <c r="F1763" i="357"/>
  <c r="E1763" i="357"/>
  <c r="F1762" i="357"/>
  <c r="E1762" i="357"/>
  <c r="F1731" i="357"/>
  <c r="E1731" i="357"/>
  <c r="F1730" i="357"/>
  <c r="E1730" i="357"/>
  <c r="F1699" i="357"/>
  <c r="E1699" i="357"/>
  <c r="F1698" i="357"/>
  <c r="E1698" i="357"/>
  <c r="F1567" i="357"/>
  <c r="E1567" i="357"/>
  <c r="F1564" i="357"/>
  <c r="E1564" i="357"/>
  <c r="F1563" i="357"/>
  <c r="E1563" i="357"/>
  <c r="F1562" i="357"/>
  <c r="E1562" i="357"/>
  <c r="F1555" i="357"/>
  <c r="E1555" i="357"/>
  <c r="F1554" i="357"/>
  <c r="E1554" i="357"/>
  <c r="F1542" i="357"/>
  <c r="E1542" i="357"/>
  <c r="F1541" i="357"/>
  <c r="E1541" i="357"/>
  <c r="F1537" i="357"/>
  <c r="E1537" i="357"/>
  <c r="F1536" i="357"/>
  <c r="E1536" i="357"/>
  <c r="F1533" i="357"/>
  <c r="E1533" i="357"/>
  <c r="F1532" i="357"/>
  <c r="E1532" i="357"/>
  <c r="F1528" i="357"/>
  <c r="E1528" i="357"/>
  <c r="F1527" i="357"/>
  <c r="E1527" i="357"/>
  <c r="F1523" i="357"/>
  <c r="E1523" i="357"/>
  <c r="F1522" i="357"/>
  <c r="E1522" i="357"/>
  <c r="F1518" i="357"/>
  <c r="E1518" i="357"/>
  <c r="F1517" i="357"/>
  <c r="E1517" i="357"/>
  <c r="F1513" i="357"/>
  <c r="E1513" i="357"/>
  <c r="F1512" i="357"/>
  <c r="E1512" i="357"/>
  <c r="F1504" i="357"/>
  <c r="E1504" i="357"/>
  <c r="F1503" i="357"/>
  <c r="E1503" i="357"/>
  <c r="F1500" i="357"/>
  <c r="E1500" i="357"/>
  <c r="F1498" i="357"/>
  <c r="E1498" i="357"/>
  <c r="F1497" i="357"/>
  <c r="E1497" i="357"/>
  <c r="F1492" i="357"/>
  <c r="E1492" i="357"/>
  <c r="F1491" i="357"/>
  <c r="E1491" i="357"/>
  <c r="F1484" i="357"/>
  <c r="E1484" i="357"/>
  <c r="F1483" i="357"/>
  <c r="E1483" i="357"/>
  <c r="F1480" i="357"/>
  <c r="E1480" i="357"/>
  <c r="F1479" i="357"/>
  <c r="E1479" i="357"/>
  <c r="F1474" i="357"/>
  <c r="E1474" i="357"/>
  <c r="F1473" i="357"/>
  <c r="E1473" i="357"/>
  <c r="F1469" i="357"/>
  <c r="E1469" i="357"/>
  <c r="F1468" i="357"/>
  <c r="E1468" i="357"/>
  <c r="F1465" i="357"/>
  <c r="E1465" i="357"/>
  <c r="F1464" i="357"/>
  <c r="E1464" i="357"/>
  <c r="F1457" i="357"/>
  <c r="E1457" i="357"/>
  <c r="F1456" i="357"/>
  <c r="E1456" i="357"/>
  <c r="F1452" i="357"/>
  <c r="E1452" i="357"/>
  <c r="F1451" i="357"/>
  <c r="E1451" i="357"/>
  <c r="F1430" i="357"/>
  <c r="E1430" i="357"/>
  <c r="F1429" i="357"/>
  <c r="E1429" i="357"/>
  <c r="F1422" i="357"/>
  <c r="E1422" i="357"/>
  <c r="F1421" i="357"/>
  <c r="E1421" i="357"/>
  <c r="F1420" i="357"/>
  <c r="E1420" i="357"/>
  <c r="F1418" i="357"/>
  <c r="E1418" i="357"/>
  <c r="F1417" i="357"/>
  <c r="E1417" i="357"/>
  <c r="F1416" i="357"/>
  <c r="E1416" i="357"/>
  <c r="F1415" i="357"/>
  <c r="E1415" i="357"/>
  <c r="F1406" i="357"/>
  <c r="E1406" i="357"/>
  <c r="F1405" i="357"/>
  <c r="E1405" i="357"/>
  <c r="F1391" i="357"/>
  <c r="E1391" i="357"/>
  <c r="F1390" i="357"/>
  <c r="E1390" i="357"/>
  <c r="F1383" i="357"/>
  <c r="E1383" i="357"/>
  <c r="F1382" i="357"/>
  <c r="E1382" i="357"/>
  <c r="F1361" i="357"/>
  <c r="E1361" i="357"/>
  <c r="F1360" i="357"/>
  <c r="E1360" i="357"/>
  <c r="F1359" i="357"/>
  <c r="E1359" i="357"/>
  <c r="F1337" i="357"/>
  <c r="E1337" i="357"/>
  <c r="F1336" i="357"/>
  <c r="E1336" i="357"/>
  <c r="F1331" i="357"/>
  <c r="E1331" i="357"/>
  <c r="F1330" i="357"/>
  <c r="E1330" i="357"/>
  <c r="F1329" i="357"/>
  <c r="E1329" i="357"/>
  <c r="F1311" i="357"/>
  <c r="E1311" i="357"/>
  <c r="F1310" i="357"/>
  <c r="E1310" i="357"/>
  <c r="F1309" i="357"/>
  <c r="E1309" i="357"/>
  <c r="F1306" i="357"/>
  <c r="E1306" i="357"/>
  <c r="F1305" i="357"/>
  <c r="E1305" i="357"/>
  <c r="F1301" i="357"/>
  <c r="E1301" i="357"/>
  <c r="F1300" i="357"/>
  <c r="E1300" i="357"/>
  <c r="F1299" i="357"/>
  <c r="E1299" i="357"/>
  <c r="F1274" i="357"/>
  <c r="E1274" i="357"/>
  <c r="F1273" i="357"/>
  <c r="E1273" i="357"/>
  <c r="F1256" i="357"/>
  <c r="E1256" i="357"/>
  <c r="F1255" i="357"/>
  <c r="E1255" i="357"/>
  <c r="F1254" i="357"/>
  <c r="E1254" i="357"/>
  <c r="F1253" i="357"/>
  <c r="E1253" i="357"/>
  <c r="F1242" i="357"/>
  <c r="E1242" i="357"/>
  <c r="F1241" i="357"/>
  <c r="E1241" i="357"/>
  <c r="F1238" i="357"/>
  <c r="E1238" i="357"/>
  <c r="F1237" i="357"/>
  <c r="E1237" i="357"/>
  <c r="F1233" i="357"/>
  <c r="E1233" i="357"/>
  <c r="F1232" i="357"/>
  <c r="E1232" i="357"/>
  <c r="F1227" i="357"/>
  <c r="E1227" i="357"/>
  <c r="F1226" i="357"/>
  <c r="E1226" i="357"/>
  <c r="F1215" i="357"/>
  <c r="E1215" i="357"/>
  <c r="F1214" i="357"/>
  <c r="E1214" i="357"/>
  <c r="F1213" i="357"/>
  <c r="E1213" i="357"/>
  <c r="F1212" i="357"/>
  <c r="E1212" i="357"/>
  <c r="F1193" i="357"/>
  <c r="E1193" i="357"/>
  <c r="F1192" i="357"/>
  <c r="E1192" i="357"/>
  <c r="F1187" i="357"/>
  <c r="E1187" i="357"/>
  <c r="F1186" i="357"/>
  <c r="E1186" i="357"/>
  <c r="F1176" i="357"/>
  <c r="E1176" i="357"/>
  <c r="F1175" i="357"/>
  <c r="E1175" i="357"/>
  <c r="F1155" i="357"/>
  <c r="E1155" i="357"/>
  <c r="F1154" i="357"/>
  <c r="E1154" i="357"/>
  <c r="F1134" i="357"/>
  <c r="E1134" i="357"/>
  <c r="F1133" i="357"/>
  <c r="E1133" i="357"/>
  <c r="F1127" i="357"/>
  <c r="E1127" i="357"/>
  <c r="F1126" i="357"/>
  <c r="E1126" i="357"/>
  <c r="F1120" i="357"/>
  <c r="E1120" i="357"/>
  <c r="F1119" i="357"/>
  <c r="E1119" i="357"/>
  <c r="F1099" i="357"/>
  <c r="E1099" i="357"/>
  <c r="F1098" i="357"/>
  <c r="E1098" i="357"/>
  <c r="F1090" i="357"/>
  <c r="E1090" i="357"/>
  <c r="F1089" i="357"/>
  <c r="E1089" i="357"/>
  <c r="F1069" i="357"/>
  <c r="E1069" i="357"/>
  <c r="F1068" i="357"/>
  <c r="E1068" i="357"/>
  <c r="F1048" i="357"/>
  <c r="E1048" i="357"/>
  <c r="F1047" i="357"/>
  <c r="E1047" i="357"/>
  <c r="F1043" i="357"/>
  <c r="E1043" i="357"/>
  <c r="F1042" i="357"/>
  <c r="E1042" i="357"/>
  <c r="F1034" i="357"/>
  <c r="E1034" i="357"/>
  <c r="F1033" i="357"/>
  <c r="E1033" i="357"/>
  <c r="F1013" i="357"/>
  <c r="E1013" i="357"/>
  <c r="F1012" i="357"/>
  <c r="E1012" i="357"/>
  <c r="F992" i="357"/>
  <c r="E992" i="357"/>
  <c r="F991" i="357"/>
  <c r="E991" i="357"/>
  <c r="F971" i="357"/>
  <c r="E971" i="357"/>
  <c r="F970" i="357"/>
  <c r="E970" i="357"/>
  <c r="F949" i="357"/>
  <c r="E949" i="357"/>
  <c r="F948" i="357"/>
  <c r="E948" i="357"/>
  <c r="F947" i="357"/>
  <c r="E947" i="357"/>
  <c r="F946" i="357"/>
  <c r="E946" i="357"/>
  <c r="F943" i="357"/>
  <c r="E943" i="357"/>
  <c r="F942" i="357"/>
  <c r="E942" i="357"/>
  <c r="F939" i="357"/>
  <c r="E939" i="357"/>
  <c r="F938" i="357"/>
  <c r="E938" i="357"/>
  <c r="F932" i="357"/>
  <c r="E932" i="357"/>
  <c r="F931" i="357"/>
  <c r="E931" i="357"/>
  <c r="F928" i="357"/>
  <c r="E928" i="357"/>
  <c r="F927" i="357"/>
  <c r="E927" i="357"/>
  <c r="F924" i="357"/>
  <c r="E924" i="357"/>
  <c r="F923" i="357"/>
  <c r="E923" i="357"/>
  <c r="F919" i="357"/>
  <c r="E919" i="357"/>
  <c r="F918" i="357"/>
  <c r="E918" i="357"/>
  <c r="F913" i="357"/>
  <c r="E913" i="357"/>
  <c r="F912" i="357"/>
  <c r="E912" i="357"/>
  <c r="F873" i="357"/>
  <c r="E873" i="357"/>
  <c r="F831" i="357"/>
  <c r="E831" i="357"/>
  <c r="F830" i="357"/>
  <c r="E830" i="357"/>
  <c r="F824" i="357"/>
  <c r="E824" i="357"/>
  <c r="F823" i="357"/>
  <c r="E823" i="357"/>
  <c r="F809" i="357"/>
  <c r="E809" i="357"/>
  <c r="F808" i="357"/>
  <c r="E808" i="357"/>
  <c r="F794" i="357"/>
  <c r="E794" i="357"/>
  <c r="F759" i="357"/>
  <c r="E759" i="357"/>
  <c r="F758" i="357"/>
  <c r="E758" i="357"/>
  <c r="F717" i="357"/>
  <c r="E717" i="357"/>
  <c r="F716" i="357"/>
  <c r="E716" i="357"/>
  <c r="F641" i="357"/>
  <c r="E641" i="357"/>
  <c r="F640" i="357"/>
  <c r="E640" i="357"/>
  <c r="F633" i="357"/>
  <c r="E633" i="357"/>
  <c r="F632" i="357"/>
  <c r="E632" i="357"/>
  <c r="F631" i="357"/>
  <c r="E631" i="357"/>
  <c r="F627" i="357"/>
  <c r="E627" i="357"/>
  <c r="F626" i="357"/>
  <c r="E626" i="357"/>
  <c r="F625" i="357"/>
  <c r="E625" i="357"/>
  <c r="F592" i="357"/>
  <c r="E592" i="357"/>
  <c r="F591" i="357"/>
  <c r="E591" i="357"/>
  <c r="F577" i="357"/>
  <c r="E577" i="357"/>
  <c r="F576" i="357"/>
  <c r="E576" i="357"/>
  <c r="F514" i="357"/>
  <c r="E514" i="357"/>
  <c r="F513" i="357"/>
  <c r="E513" i="357"/>
  <c r="F485" i="357"/>
  <c r="E485" i="357"/>
  <c r="F484" i="357"/>
  <c r="E484" i="357"/>
  <c r="F404" i="357"/>
  <c r="E404" i="357"/>
  <c r="F403" i="357"/>
  <c r="E403" i="357"/>
  <c r="F373" i="357"/>
  <c r="E373" i="357"/>
  <c r="F372" i="357"/>
  <c r="E372" i="357"/>
  <c r="F342" i="357"/>
  <c r="E342" i="357"/>
  <c r="F341" i="357"/>
  <c r="E341" i="357"/>
  <c r="F329" i="357"/>
  <c r="E329" i="357"/>
  <c r="F328" i="357"/>
  <c r="E328" i="357"/>
  <c r="F310" i="357"/>
  <c r="E310" i="357"/>
  <c r="F309" i="357"/>
  <c r="E309" i="357"/>
  <c r="F295" i="357"/>
  <c r="E295" i="357"/>
  <c r="F294" i="357"/>
  <c r="E294" i="357"/>
  <c r="F279" i="357"/>
  <c r="E279" i="357"/>
  <c r="F278" i="357"/>
  <c r="E278" i="357"/>
  <c r="F233" i="357"/>
  <c r="E233" i="357"/>
  <c r="F232" i="357"/>
  <c r="E232" i="357"/>
  <c r="F185" i="357"/>
  <c r="E185" i="357"/>
  <c r="F184" i="357"/>
  <c r="E184" i="357"/>
  <c r="F156" i="357"/>
  <c r="E156" i="357"/>
  <c r="F155" i="357"/>
  <c r="E155" i="357"/>
  <c r="F154" i="357"/>
  <c r="E154" i="357"/>
  <c r="F151" i="357"/>
  <c r="E151" i="357"/>
  <c r="F148" i="357"/>
  <c r="E148" i="357"/>
  <c r="F145" i="357"/>
  <c r="E145" i="357"/>
  <c r="F142" i="357"/>
  <c r="E142" i="357"/>
  <c r="F138" i="357"/>
  <c r="E138" i="357"/>
  <c r="F137" i="357"/>
  <c r="E137" i="357"/>
  <c r="F136" i="357"/>
  <c r="E136" i="357"/>
  <c r="F135" i="357"/>
  <c r="E135" i="357"/>
  <c r="F120" i="357"/>
  <c r="E120" i="357"/>
  <c r="F119" i="357"/>
  <c r="E119" i="357"/>
  <c r="F118" i="357"/>
  <c r="E118" i="357"/>
  <c r="F102" i="357"/>
  <c r="E102" i="357"/>
  <c r="F101" i="357"/>
  <c r="E101" i="357"/>
  <c r="F100" i="357"/>
  <c r="E100" i="357"/>
  <c r="F91" i="357"/>
  <c r="E91" i="357"/>
  <c r="F90" i="357"/>
  <c r="E90" i="357"/>
  <c r="F89" i="357"/>
  <c r="E89" i="357"/>
  <c r="F71" i="357"/>
  <c r="E71" i="357"/>
  <c r="F70" i="357"/>
  <c r="E70" i="357"/>
  <c r="F35" i="357"/>
  <c r="E35" i="357"/>
  <c r="F34" i="357"/>
  <c r="E34" i="357"/>
  <c r="F33" i="357"/>
  <c r="E33" i="357"/>
  <c r="F28" i="357"/>
  <c r="E28" i="357"/>
  <c r="F27" i="357"/>
  <c r="E27" i="357"/>
  <c r="F22" i="357"/>
  <c r="E22" i="357"/>
  <c r="F21" i="357"/>
  <c r="E21" i="357"/>
  <c r="F3506" i="357"/>
  <c r="F3504" i="357"/>
  <c r="F3496" i="357"/>
  <c r="F3494" i="357"/>
  <c r="F3490" i="357"/>
  <c r="F3467" i="357"/>
  <c r="F1240" i="357"/>
  <c r="F1230" i="357"/>
  <c r="F1223" i="357"/>
  <c r="F1221" i="357"/>
  <c r="F1211" i="357"/>
  <c r="F1207" i="357"/>
  <c r="F1205" i="357"/>
  <c r="F1201" i="357"/>
  <c r="F1199" i="357"/>
  <c r="F1195" i="357"/>
  <c r="F1191" i="357"/>
  <c r="F1185" i="357"/>
  <c r="F1183" i="357"/>
  <c r="F1178" i="357"/>
  <c r="F1174" i="357"/>
  <c r="F692" i="357"/>
  <c r="F690" i="357"/>
  <c r="F686" i="357"/>
  <c r="F669" i="357"/>
  <c r="F667" i="357"/>
  <c r="F663" i="357"/>
  <c r="F661" i="357"/>
  <c r="F657" i="357"/>
  <c r="F655" i="357"/>
  <c r="F651" i="357"/>
  <c r="F649" i="357"/>
  <c r="F645" i="357"/>
  <c r="F637" i="357"/>
  <c r="F635" i="357"/>
  <c r="F623" i="357"/>
  <c r="F605" i="357"/>
  <c r="F597" i="357"/>
  <c r="F593" i="357"/>
  <c r="F589" i="357"/>
  <c r="F585" i="357"/>
  <c r="F583" i="357"/>
  <c r="F579" i="357"/>
  <c r="F575" i="357"/>
  <c r="F571" i="357"/>
  <c r="F569" i="357"/>
  <c r="F566" i="357"/>
  <c r="F564" i="357"/>
  <c r="F560" i="357"/>
  <c r="F558" i="357"/>
  <c r="F554" i="357"/>
  <c r="F552" i="357"/>
  <c r="F300" i="357"/>
  <c r="F298" i="357"/>
  <c r="F292" i="357"/>
  <c r="F290" i="357"/>
  <c r="F286" i="357"/>
  <c r="F284" i="357"/>
  <c r="F276" i="357"/>
  <c r="F272" i="357"/>
  <c r="F270" i="357"/>
  <c r="F266" i="357"/>
  <c r="F264" i="357"/>
  <c r="F260" i="357"/>
  <c r="F258" i="357"/>
  <c r="F254" i="357"/>
  <c r="F252" i="357"/>
  <c r="F248" i="357"/>
  <c r="F246" i="357"/>
  <c r="F242" i="357"/>
  <c r="F240" i="357"/>
  <c r="F236" i="357"/>
  <c r="F228" i="357"/>
  <c r="F226" i="357"/>
  <c r="F222" i="357"/>
  <c r="F220" i="357"/>
  <c r="F216" i="357"/>
  <c r="F214" i="357"/>
  <c r="F210" i="357"/>
  <c r="F208" i="357"/>
  <c r="F204" i="357"/>
  <c r="F202" i="357"/>
  <c r="F198" i="357"/>
  <c r="F196" i="357"/>
  <c r="F192" i="357"/>
  <c r="F190" i="357"/>
  <c r="F182" i="357"/>
  <c r="F178" i="357"/>
  <c r="F176" i="357"/>
  <c r="F172" i="357"/>
  <c r="F170" i="357"/>
  <c r="F166" i="357"/>
  <c r="F164" i="357"/>
  <c r="F160" i="357"/>
  <c r="F150" i="357"/>
  <c r="F147" i="357"/>
  <c r="F141" i="357"/>
  <c r="F139" i="357"/>
  <c r="F131" i="357"/>
  <c r="F129" i="357"/>
  <c r="F125" i="357"/>
  <c r="F123" i="357"/>
  <c r="F116" i="357"/>
  <c r="F114" i="357"/>
  <c r="F110" i="357"/>
  <c r="F108" i="357"/>
  <c r="F104" i="357"/>
  <c r="F99" i="357"/>
  <c r="F95" i="357"/>
  <c r="F93" i="357"/>
  <c r="F86" i="357"/>
  <c r="F84" i="357"/>
  <c r="F80" i="357"/>
  <c r="F78" i="357"/>
  <c r="F74" i="357"/>
  <c r="F66" i="357"/>
  <c r="F64" i="357"/>
  <c r="F60" i="357"/>
  <c r="F58" i="357"/>
  <c r="F54" i="357"/>
  <c r="F52" i="357"/>
  <c r="F48" i="357"/>
  <c r="F46" i="357"/>
  <c r="F42" i="357"/>
  <c r="F40" i="357"/>
  <c r="F31" i="357"/>
  <c r="F25" i="357"/>
  <c r="F17" i="357"/>
  <c r="F15" i="357"/>
  <c r="F9" i="357"/>
  <c r="D3507" i="357"/>
  <c r="C3507" i="357"/>
  <c r="D3506" i="357"/>
  <c r="C3506" i="357"/>
  <c r="D3505" i="357"/>
  <c r="C3505" i="357"/>
  <c r="D3504" i="357"/>
  <c r="C3504" i="357"/>
  <c r="D3502" i="357"/>
  <c r="C3502" i="357"/>
  <c r="G3502" i="357" s="1"/>
  <c r="D3501" i="357"/>
  <c r="H3501" i="357" s="1"/>
  <c r="C3501" i="357"/>
  <c r="G3501" i="357" s="1"/>
  <c r="D3500" i="357"/>
  <c r="C3500" i="357"/>
  <c r="D3498" i="357"/>
  <c r="H3498" i="357" s="1"/>
  <c r="C3498" i="357"/>
  <c r="G3498" i="357" s="1"/>
  <c r="D3497" i="357"/>
  <c r="H3497" i="357" s="1"/>
  <c r="C3497" i="357"/>
  <c r="G3497" i="357" s="1"/>
  <c r="D3496" i="357"/>
  <c r="C3496" i="357"/>
  <c r="D3495" i="357"/>
  <c r="C3495" i="357"/>
  <c r="D3494" i="357"/>
  <c r="C3494" i="357"/>
  <c r="D3492" i="357"/>
  <c r="C3492" i="357"/>
  <c r="G3492" i="357" s="1"/>
  <c r="D3491" i="357"/>
  <c r="H3491" i="357" s="1"/>
  <c r="C3491" i="357"/>
  <c r="G3491" i="357" s="1"/>
  <c r="D3490" i="357"/>
  <c r="C3490" i="357"/>
  <c r="D3488" i="357"/>
  <c r="C3488" i="357"/>
  <c r="D3487" i="357"/>
  <c r="H3487" i="357" s="1"/>
  <c r="C3487" i="357"/>
  <c r="G3487" i="357" s="1"/>
  <c r="D3486" i="357"/>
  <c r="C3486" i="357"/>
  <c r="D3485" i="357"/>
  <c r="C3485" i="357"/>
  <c r="G3485" i="357" s="1"/>
  <c r="D3484" i="357"/>
  <c r="C3484" i="357"/>
  <c r="D3483" i="357"/>
  <c r="C3483" i="357"/>
  <c r="D3482" i="357"/>
  <c r="H3482" i="357" s="1"/>
  <c r="C3482" i="357"/>
  <c r="G3482" i="357" s="1"/>
  <c r="D3481" i="357"/>
  <c r="H3481" i="357" s="1"/>
  <c r="C3481" i="357"/>
  <c r="G3481" i="357" s="1"/>
  <c r="D3479" i="357"/>
  <c r="C3479" i="357"/>
  <c r="D3478" i="357"/>
  <c r="C3478" i="357"/>
  <c r="D3477" i="357"/>
  <c r="C3477" i="357"/>
  <c r="D3476" i="357"/>
  <c r="C3476" i="357"/>
  <c r="G3476" i="357" s="1"/>
  <c r="D3475" i="357"/>
  <c r="H3475" i="357" s="1"/>
  <c r="C3475" i="357"/>
  <c r="G3475" i="357" s="1"/>
  <c r="D3474" i="357"/>
  <c r="C3474" i="357"/>
  <c r="D3473" i="357"/>
  <c r="C3473" i="357"/>
  <c r="D3471" i="357"/>
  <c r="H3471" i="357" s="1"/>
  <c r="C3471" i="357"/>
  <c r="G3471" i="357" s="1"/>
  <c r="D3470" i="357"/>
  <c r="C3470" i="357"/>
  <c r="D3469" i="357"/>
  <c r="C3469" i="357"/>
  <c r="D3468" i="357"/>
  <c r="C3468" i="357"/>
  <c r="D3467" i="357"/>
  <c r="C3467" i="357"/>
  <c r="D3466" i="357"/>
  <c r="C3466" i="357"/>
  <c r="D3465" i="357"/>
  <c r="C3465" i="357"/>
  <c r="D3464" i="357"/>
  <c r="C3464" i="357"/>
  <c r="D3462" i="357"/>
  <c r="C3462" i="357"/>
  <c r="D3461" i="357"/>
  <c r="C3461" i="357"/>
  <c r="G3461" i="357" s="1"/>
  <c r="D3460" i="357"/>
  <c r="H3460" i="357" s="1"/>
  <c r="C3460" i="357"/>
  <c r="G3460" i="357" s="1"/>
  <c r="D3459" i="357"/>
  <c r="C3459" i="357"/>
  <c r="D3458" i="357"/>
  <c r="C3458" i="357"/>
  <c r="D3456" i="357"/>
  <c r="C3456" i="357"/>
  <c r="D3455" i="357"/>
  <c r="H3455" i="357" s="1"/>
  <c r="C3455" i="357"/>
  <c r="G3455" i="357" s="1"/>
  <c r="D3454" i="357"/>
  <c r="C3454" i="357"/>
  <c r="D3453" i="357"/>
  <c r="C3453" i="357"/>
  <c r="D3451" i="357"/>
  <c r="C3451" i="357"/>
  <c r="D3450" i="357"/>
  <c r="C3450" i="357"/>
  <c r="G3450" i="357" s="1"/>
  <c r="D3449" i="357"/>
  <c r="H3449" i="357" s="1"/>
  <c r="C3449" i="357"/>
  <c r="G3449" i="357" s="1"/>
  <c r="D3448" i="357"/>
  <c r="C3448" i="357"/>
  <c r="D3447" i="357"/>
  <c r="C3447" i="357"/>
  <c r="D3445" i="357"/>
  <c r="C3445" i="357"/>
  <c r="D3444" i="357"/>
  <c r="H3444" i="357" s="1"/>
  <c r="C3444" i="357"/>
  <c r="G3444" i="357" s="1"/>
  <c r="D3443" i="357"/>
  <c r="C3443" i="357"/>
  <c r="D3442" i="357"/>
  <c r="C3442" i="357"/>
  <c r="D3441" i="357"/>
  <c r="C3441" i="357"/>
  <c r="D3440" i="357"/>
  <c r="H3440" i="357" s="1"/>
  <c r="C3440" i="357"/>
  <c r="G3440" i="357" s="1"/>
  <c r="D3439" i="357"/>
  <c r="H3439" i="357" s="1"/>
  <c r="C3439" i="357"/>
  <c r="G3439" i="357" s="1"/>
  <c r="D3438" i="357"/>
  <c r="C3438" i="357"/>
  <c r="D3436" i="357"/>
  <c r="C3436" i="357"/>
  <c r="D3435" i="357"/>
  <c r="H3435" i="357" s="1"/>
  <c r="C3435" i="357"/>
  <c r="G3435" i="357" s="1"/>
  <c r="D3434" i="357"/>
  <c r="C3434" i="357"/>
  <c r="D3433" i="357"/>
  <c r="C3433" i="357"/>
  <c r="D3431" i="357"/>
  <c r="C3431" i="357"/>
  <c r="D3430" i="357"/>
  <c r="H3430" i="357" s="1"/>
  <c r="C3430" i="357"/>
  <c r="G3430" i="357" s="1"/>
  <c r="D3429" i="357"/>
  <c r="H3429" i="357" s="1"/>
  <c r="C3429" i="357"/>
  <c r="G3429" i="357" s="1"/>
  <c r="D3428" i="357"/>
  <c r="H3428" i="357" s="1"/>
  <c r="C3428" i="357"/>
  <c r="G3428" i="357" s="1"/>
  <c r="D3427" i="357"/>
  <c r="C3427" i="357"/>
  <c r="D3425" i="357"/>
  <c r="C3425" i="357"/>
  <c r="D3424" i="357"/>
  <c r="C3424" i="357"/>
  <c r="D3423" i="357"/>
  <c r="C3423" i="357"/>
  <c r="G3423" i="357" s="1"/>
  <c r="D3422" i="357"/>
  <c r="C3422" i="357"/>
  <c r="D3421" i="357"/>
  <c r="C3421" i="357"/>
  <c r="D3420" i="357"/>
  <c r="C3420" i="357"/>
  <c r="D3419" i="357"/>
  <c r="C3419" i="357"/>
  <c r="D3418" i="357"/>
  <c r="C3418" i="357"/>
  <c r="D3417" i="357"/>
  <c r="C3417" i="357"/>
  <c r="D3416" i="357"/>
  <c r="C3416" i="357"/>
  <c r="D3414" i="357"/>
  <c r="C3414" i="357"/>
  <c r="D3413" i="357"/>
  <c r="H3413" i="357" s="1"/>
  <c r="C3413" i="357"/>
  <c r="G3413" i="357" s="1"/>
  <c r="D3412" i="357"/>
  <c r="H3412" i="357" s="1"/>
  <c r="C3412" i="357"/>
  <c r="G3412" i="357" s="1"/>
  <c r="D3411" i="357"/>
  <c r="C3411" i="357"/>
  <c r="D3410" i="357"/>
  <c r="C3410" i="357"/>
  <c r="D3409" i="357"/>
  <c r="C3409" i="357"/>
  <c r="D3408" i="357"/>
  <c r="C3408" i="357"/>
  <c r="D3407" i="357"/>
  <c r="C3407" i="357"/>
  <c r="D3406" i="357"/>
  <c r="C3406" i="357"/>
  <c r="D3405" i="357"/>
  <c r="C3405" i="357"/>
  <c r="D3404" i="357"/>
  <c r="C3404" i="357"/>
  <c r="D3403" i="357"/>
  <c r="C3403" i="357"/>
  <c r="D3402" i="357"/>
  <c r="C3402" i="357"/>
  <c r="D3401" i="357"/>
  <c r="C3401" i="357"/>
  <c r="D3400" i="357"/>
  <c r="C3400" i="357"/>
  <c r="D3399" i="357"/>
  <c r="C3399" i="357"/>
  <c r="D3398" i="357"/>
  <c r="C3398" i="357"/>
  <c r="D3397" i="357"/>
  <c r="C3397" i="357"/>
  <c r="D3396" i="357"/>
  <c r="C3396" i="357"/>
  <c r="D3395" i="357"/>
  <c r="C3395" i="357"/>
  <c r="D3394" i="357"/>
  <c r="C3394" i="357"/>
  <c r="G3394" i="357" s="1"/>
  <c r="D3393" i="357"/>
  <c r="C3393" i="357"/>
  <c r="D3392" i="357"/>
  <c r="C3392" i="357"/>
  <c r="D3391" i="357"/>
  <c r="C3391" i="357"/>
  <c r="D3390" i="357"/>
  <c r="C3390" i="357"/>
  <c r="D3389" i="357"/>
  <c r="C3389" i="357"/>
  <c r="D3387" i="357"/>
  <c r="H3387" i="357" s="1"/>
  <c r="C3387" i="357"/>
  <c r="G3387" i="357" s="1"/>
  <c r="D3386" i="357"/>
  <c r="H3386" i="357" s="1"/>
  <c r="C3386" i="357"/>
  <c r="G3386" i="357" s="1"/>
  <c r="D3385" i="357"/>
  <c r="C3385" i="357"/>
  <c r="D3384" i="357"/>
  <c r="C3384" i="357"/>
  <c r="D3383" i="357"/>
  <c r="C3383" i="357"/>
  <c r="D3382" i="357"/>
  <c r="C3382" i="357"/>
  <c r="D3381" i="357"/>
  <c r="C3381" i="357"/>
  <c r="D3380" i="357"/>
  <c r="C3380" i="357"/>
  <c r="D3379" i="357"/>
  <c r="C3379" i="357"/>
  <c r="D3378" i="357"/>
  <c r="C3378" i="357"/>
  <c r="D3377" i="357"/>
  <c r="C3377" i="357"/>
  <c r="D3376" i="357"/>
  <c r="C3376" i="357"/>
  <c r="D3375" i="357"/>
  <c r="C3375" i="357"/>
  <c r="D3374" i="357"/>
  <c r="C3374" i="357"/>
  <c r="D3373" i="357"/>
  <c r="C3373" i="357"/>
  <c r="D3372" i="357"/>
  <c r="C3372" i="357"/>
  <c r="D3371" i="357"/>
  <c r="C3371" i="357"/>
  <c r="D3369" i="357"/>
  <c r="C3369" i="357"/>
  <c r="D3368" i="357"/>
  <c r="C3368" i="357"/>
  <c r="G3368" i="357" s="1"/>
  <c r="D3367" i="357"/>
  <c r="C3367" i="357"/>
  <c r="D3365" i="357"/>
  <c r="H3365" i="357" s="1"/>
  <c r="C3365" i="357"/>
  <c r="G3365" i="357" s="1"/>
  <c r="D3364" i="357"/>
  <c r="H3364" i="357" s="1"/>
  <c r="C3364" i="357"/>
  <c r="G3364" i="357" s="1"/>
  <c r="D3363" i="357"/>
  <c r="C3363" i="357"/>
  <c r="D3362" i="357"/>
  <c r="C3362" i="357"/>
  <c r="D3360" i="357"/>
  <c r="C3360" i="357"/>
  <c r="D3359" i="357"/>
  <c r="C3359" i="357"/>
  <c r="D3358" i="357"/>
  <c r="C3358" i="357"/>
  <c r="G3358" i="357" s="1"/>
  <c r="D3357" i="357"/>
  <c r="C3357" i="357"/>
  <c r="D3355" i="357"/>
  <c r="H3355" i="357" s="1"/>
  <c r="C3355" i="357"/>
  <c r="G3355" i="357" s="1"/>
  <c r="D3354" i="357"/>
  <c r="H3354" i="357" s="1"/>
  <c r="C3354" i="357"/>
  <c r="G3354" i="357" s="1"/>
  <c r="D3353" i="357"/>
  <c r="C3353" i="357"/>
  <c r="D3351" i="357"/>
  <c r="H3351" i="357" s="1"/>
  <c r="C3351" i="357"/>
  <c r="G3351" i="357" s="1"/>
  <c r="D3350" i="357"/>
  <c r="H3350" i="357" s="1"/>
  <c r="C3350" i="357"/>
  <c r="G3350" i="357" s="1"/>
  <c r="D3349" i="357"/>
  <c r="C3349" i="357"/>
  <c r="D3347" i="357"/>
  <c r="H3347" i="357" s="1"/>
  <c r="C3347" i="357"/>
  <c r="G3347" i="357" s="1"/>
  <c r="D3346" i="357"/>
  <c r="H3346" i="357" s="1"/>
  <c r="C3346" i="357"/>
  <c r="G3346" i="357" s="1"/>
  <c r="D3345" i="357"/>
  <c r="C3345" i="357"/>
  <c r="D3343" i="357"/>
  <c r="C3343" i="357"/>
  <c r="D3342" i="357"/>
  <c r="C3342" i="357"/>
  <c r="G3342" i="357" s="1"/>
  <c r="D3341" i="357"/>
  <c r="C3341" i="357"/>
  <c r="D3339" i="357"/>
  <c r="H3339" i="357" s="1"/>
  <c r="C3339" i="357"/>
  <c r="G3339" i="357" s="1"/>
  <c r="D3338" i="357"/>
  <c r="H3338" i="357" s="1"/>
  <c r="C3338" i="357"/>
  <c r="G3338" i="357" s="1"/>
  <c r="D3337" i="357"/>
  <c r="C3337" i="357"/>
  <c r="D3335" i="357"/>
  <c r="C3335" i="357"/>
  <c r="D3334" i="357"/>
  <c r="C3334" i="357"/>
  <c r="D3333" i="357"/>
  <c r="C3333" i="357"/>
  <c r="G3333" i="357" s="1"/>
  <c r="D3332" i="357"/>
  <c r="H3332" i="357" s="1"/>
  <c r="C3332" i="357"/>
  <c r="G3332" i="357" s="1"/>
  <c r="D3331" i="357"/>
  <c r="C3331" i="357"/>
  <c r="D3329" i="357"/>
  <c r="C3329" i="357"/>
  <c r="D3328" i="357"/>
  <c r="H3328" i="357" s="1"/>
  <c r="C3328" i="357"/>
  <c r="G3328" i="357" s="1"/>
  <c r="D3327" i="357"/>
  <c r="C3327" i="357"/>
  <c r="D3326" i="357"/>
  <c r="C3326" i="357"/>
  <c r="D3325" i="357"/>
  <c r="C3325" i="357"/>
  <c r="D3324" i="357"/>
  <c r="C3324" i="357"/>
  <c r="D3323" i="357"/>
  <c r="C3323" i="357"/>
  <c r="D3322" i="357"/>
  <c r="C3322" i="357"/>
  <c r="D3321" i="357"/>
  <c r="C3321" i="357"/>
  <c r="D3320" i="357"/>
  <c r="C3320" i="357"/>
  <c r="G3320" i="357" s="1"/>
  <c r="D3319" i="357"/>
  <c r="H3319" i="357" s="1"/>
  <c r="C3319" i="357"/>
  <c r="G3319" i="357" s="1"/>
  <c r="D3318" i="357"/>
  <c r="H3318" i="357" s="1"/>
  <c r="C3318" i="357"/>
  <c r="G3318" i="357" s="1"/>
  <c r="D3317" i="357"/>
  <c r="C3317" i="357"/>
  <c r="D3316" i="357"/>
  <c r="C3316" i="357"/>
  <c r="D3315" i="357"/>
  <c r="C3315" i="357"/>
  <c r="D3314" i="357"/>
  <c r="C3314" i="357"/>
  <c r="G3314" i="357" s="1"/>
  <c r="D3313" i="357"/>
  <c r="C3313" i="357"/>
  <c r="D3312" i="357"/>
  <c r="C3312" i="357"/>
  <c r="D3311" i="357"/>
  <c r="C3311" i="357"/>
  <c r="D3310" i="357"/>
  <c r="C3310" i="357"/>
  <c r="D3308" i="357"/>
  <c r="H3308" i="357" s="1"/>
  <c r="C3308" i="357"/>
  <c r="G3308" i="357" s="1"/>
  <c r="D3307" i="357"/>
  <c r="H3307" i="357" s="1"/>
  <c r="C3307" i="357"/>
  <c r="G3307" i="357" s="1"/>
  <c r="D3306" i="357"/>
  <c r="C3306" i="357"/>
  <c r="D3305" i="357"/>
  <c r="C3305" i="357"/>
  <c r="D3303" i="357"/>
  <c r="C3303" i="357"/>
  <c r="D3302" i="357"/>
  <c r="C3302" i="357"/>
  <c r="D3301" i="357"/>
  <c r="C3301" i="357"/>
  <c r="G3301" i="357" s="1"/>
  <c r="D3300" i="357"/>
  <c r="C3300" i="357"/>
  <c r="D3299" i="357"/>
  <c r="C3299" i="357"/>
  <c r="D3297" i="357"/>
  <c r="C3297" i="357"/>
  <c r="D3296" i="357"/>
  <c r="H3296" i="357" s="1"/>
  <c r="C3296" i="357"/>
  <c r="G3296" i="357" s="1"/>
  <c r="D3295" i="357"/>
  <c r="H3295" i="357" s="1"/>
  <c r="C3295" i="357"/>
  <c r="G3295" i="357" s="1"/>
  <c r="D3294" i="357"/>
  <c r="C3294" i="357"/>
  <c r="D3293" i="357"/>
  <c r="C3293" i="357"/>
  <c r="D3292" i="357"/>
  <c r="C3292" i="357"/>
  <c r="D3291" i="357"/>
  <c r="C3291" i="357"/>
  <c r="D3290" i="357"/>
  <c r="C3290" i="357"/>
  <c r="D3288" i="357"/>
  <c r="C3288" i="357"/>
  <c r="D3287" i="357"/>
  <c r="C3287" i="357"/>
  <c r="D3286" i="357"/>
  <c r="C3286" i="357"/>
  <c r="G3286" i="357" s="1"/>
  <c r="D3285" i="357"/>
  <c r="C3285" i="357"/>
  <c r="D3284" i="357"/>
  <c r="C3284" i="357"/>
  <c r="D3283" i="357"/>
  <c r="H3283" i="357" s="1"/>
  <c r="C3283" i="357"/>
  <c r="G3283" i="357" s="1"/>
  <c r="D3282" i="357"/>
  <c r="H3282" i="357" s="1"/>
  <c r="C3282" i="357"/>
  <c r="G3282" i="357" s="1"/>
  <c r="D3281" i="357"/>
  <c r="C3281" i="357"/>
  <c r="D3280" i="357"/>
  <c r="C3280" i="357"/>
  <c r="D3278" i="357"/>
  <c r="C3278" i="357"/>
  <c r="D3277" i="357"/>
  <c r="H3277" i="357" s="1"/>
  <c r="C3277" i="357"/>
  <c r="G3277" i="357" s="1"/>
  <c r="D3276" i="357"/>
  <c r="H3276" i="357" s="1"/>
  <c r="C3276" i="357"/>
  <c r="G3276" i="357" s="1"/>
  <c r="D3275" i="357"/>
  <c r="C3275" i="357"/>
  <c r="D3274" i="357"/>
  <c r="C3274" i="357"/>
  <c r="D3273" i="357"/>
  <c r="C3273" i="357"/>
  <c r="D3272" i="357"/>
  <c r="C3272" i="357"/>
  <c r="D3271" i="357"/>
  <c r="C3271" i="357"/>
  <c r="D3270" i="357"/>
  <c r="C3270" i="357"/>
  <c r="D3269" i="357"/>
  <c r="C3269" i="357"/>
  <c r="D3268" i="357"/>
  <c r="C3268" i="357"/>
  <c r="D3267" i="357"/>
  <c r="C3267" i="357"/>
  <c r="D3266" i="357"/>
  <c r="C3266" i="357"/>
  <c r="D3265" i="357"/>
  <c r="C3265" i="357"/>
  <c r="D3264" i="357"/>
  <c r="C3264" i="357"/>
  <c r="D3263" i="357"/>
  <c r="C3263" i="357"/>
  <c r="D3262" i="357"/>
  <c r="C3262" i="357"/>
  <c r="D3261" i="357"/>
  <c r="C3261" i="357"/>
  <c r="D3260" i="357"/>
  <c r="C3260" i="357"/>
  <c r="D3259" i="357"/>
  <c r="C3259" i="357"/>
  <c r="D3258" i="357"/>
  <c r="C3258" i="357"/>
  <c r="D3257" i="357"/>
  <c r="C3257" i="357"/>
  <c r="D3255" i="357"/>
  <c r="C3255" i="357"/>
  <c r="D3254" i="357"/>
  <c r="H3254" i="357" s="1"/>
  <c r="C3254" i="357"/>
  <c r="G3254" i="357" s="1"/>
  <c r="D3253" i="357"/>
  <c r="H3253" i="357" s="1"/>
  <c r="C3253" i="357"/>
  <c r="G3253" i="357" s="1"/>
  <c r="D3252" i="357"/>
  <c r="C3252" i="357"/>
  <c r="D3250" i="357"/>
  <c r="C3250" i="357"/>
  <c r="D3249" i="357"/>
  <c r="C3249" i="357"/>
  <c r="D3248" i="357"/>
  <c r="C3248" i="357"/>
  <c r="G3248" i="357" s="1"/>
  <c r="D3247" i="357"/>
  <c r="C3247" i="357"/>
  <c r="D3246" i="357"/>
  <c r="C3246" i="357"/>
  <c r="D3245" i="357"/>
  <c r="H3245" i="357" s="1"/>
  <c r="C3245" i="357"/>
  <c r="G3245" i="357" s="1"/>
  <c r="D3244" i="357"/>
  <c r="H3244" i="357" s="1"/>
  <c r="C3244" i="357"/>
  <c r="G3244" i="357" s="1"/>
  <c r="D3243" i="357"/>
  <c r="C3243" i="357"/>
  <c r="D3242" i="357"/>
  <c r="C3242" i="357"/>
  <c r="D3241" i="357"/>
  <c r="C3241" i="357"/>
  <c r="D3240" i="357"/>
  <c r="C3240" i="357"/>
  <c r="G3240" i="357" s="1"/>
  <c r="D3239" i="357"/>
  <c r="C3239" i="357"/>
  <c r="D3238" i="357"/>
  <c r="C3238" i="357"/>
  <c r="D3237" i="357"/>
  <c r="C3237" i="357"/>
  <c r="D3236" i="357"/>
  <c r="C3236" i="357"/>
  <c r="D3235" i="357"/>
  <c r="C3235" i="357"/>
  <c r="D3234" i="357"/>
  <c r="C3234" i="357"/>
  <c r="D3233" i="357"/>
  <c r="C3233" i="357"/>
  <c r="D3231" i="357"/>
  <c r="C3231" i="357"/>
  <c r="D3230" i="357"/>
  <c r="H3230" i="357" s="1"/>
  <c r="C3230" i="357"/>
  <c r="G3230" i="357" s="1"/>
  <c r="D3229" i="357"/>
  <c r="H3229" i="357" s="1"/>
  <c r="C3229" i="357"/>
  <c r="G3229" i="357" s="1"/>
  <c r="D3228" i="357"/>
  <c r="C3228" i="357"/>
  <c r="D3227" i="357"/>
  <c r="C3227" i="357"/>
  <c r="D3226" i="357"/>
  <c r="H3226" i="357" s="1"/>
  <c r="C3226" i="357"/>
  <c r="G3226" i="357" s="1"/>
  <c r="D3225" i="357"/>
  <c r="H3225" i="357" s="1"/>
  <c r="C3225" i="357"/>
  <c r="G3225" i="357" s="1"/>
  <c r="D3224" i="357"/>
  <c r="C3224" i="357"/>
  <c r="D3223" i="357"/>
  <c r="C3223" i="357"/>
  <c r="D3221" i="357"/>
  <c r="C3221" i="357"/>
  <c r="D3220" i="357"/>
  <c r="H3220" i="357" s="1"/>
  <c r="C3220" i="357"/>
  <c r="G3220" i="357" s="1"/>
  <c r="D3219" i="357"/>
  <c r="H3219" i="357" s="1"/>
  <c r="C3219" i="357"/>
  <c r="G3219" i="357" s="1"/>
  <c r="D3218" i="357"/>
  <c r="C3218" i="357"/>
  <c r="D3217" i="357"/>
  <c r="C3217" i="357"/>
  <c r="D3216" i="357"/>
  <c r="C3216" i="357"/>
  <c r="D3215" i="357"/>
  <c r="C3215" i="357"/>
  <c r="D3214" i="357"/>
  <c r="C3214" i="357"/>
  <c r="G3214" i="357" s="1"/>
  <c r="D3213" i="357"/>
  <c r="C3213" i="357"/>
  <c r="D3212" i="357"/>
  <c r="C3212" i="357"/>
  <c r="D3210" i="357"/>
  <c r="H3210" i="357" s="1"/>
  <c r="C3210" i="357"/>
  <c r="G3210" i="357" s="1"/>
  <c r="D3209" i="357"/>
  <c r="H3209" i="357" s="1"/>
  <c r="C3209" i="357"/>
  <c r="G3209" i="357" s="1"/>
  <c r="D3208" i="357"/>
  <c r="C3208" i="357"/>
  <c r="D3206" i="357"/>
  <c r="C3206" i="357"/>
  <c r="D3205" i="357"/>
  <c r="C3205" i="357"/>
  <c r="G3205" i="357" s="1"/>
  <c r="D3204" i="357"/>
  <c r="C3204" i="357"/>
  <c r="D3202" i="357"/>
  <c r="C3202" i="357"/>
  <c r="D3201" i="357"/>
  <c r="H3201" i="357" s="1"/>
  <c r="C3201" i="357"/>
  <c r="G3201" i="357" s="1"/>
  <c r="D3200" i="357"/>
  <c r="H3200" i="357" s="1"/>
  <c r="C3200" i="357"/>
  <c r="G3200" i="357" s="1"/>
  <c r="D3199" i="357"/>
  <c r="C3199" i="357"/>
  <c r="D3198" i="357"/>
  <c r="C3198" i="357"/>
  <c r="D3197" i="357"/>
  <c r="C3197" i="357"/>
  <c r="D3196" i="357"/>
  <c r="C3196" i="357"/>
  <c r="D3190" i="357"/>
  <c r="C3190" i="357"/>
  <c r="D3189" i="357"/>
  <c r="C3189" i="357"/>
  <c r="D3188" i="357"/>
  <c r="C3188" i="357"/>
  <c r="D3187" i="357"/>
  <c r="C3187" i="357"/>
  <c r="D3186" i="357"/>
  <c r="C3186" i="357"/>
  <c r="D3185" i="357"/>
  <c r="C3185" i="357"/>
  <c r="D3184" i="357"/>
  <c r="C3184" i="357"/>
  <c r="D3183" i="357"/>
  <c r="C3183" i="357"/>
  <c r="D3182" i="357"/>
  <c r="C3182" i="357"/>
  <c r="D3181" i="357"/>
  <c r="C3181" i="357"/>
  <c r="D3180" i="357"/>
  <c r="C3180" i="357"/>
  <c r="D3178" i="357"/>
  <c r="C3178" i="357"/>
  <c r="D3177" i="357"/>
  <c r="C3177" i="357"/>
  <c r="D3176" i="357"/>
  <c r="H3176" i="357" s="1"/>
  <c r="C3176" i="357"/>
  <c r="G3176" i="357" s="1"/>
  <c r="D3175" i="357"/>
  <c r="H3175" i="357" s="1"/>
  <c r="C3175" i="357"/>
  <c r="G3175" i="357" s="1"/>
  <c r="D3174" i="357"/>
  <c r="H3174" i="357" s="1"/>
  <c r="C3174" i="357"/>
  <c r="G3174" i="357" s="1"/>
  <c r="D3173" i="357"/>
  <c r="C3173" i="357"/>
  <c r="D3172" i="357"/>
  <c r="C3172" i="357"/>
  <c r="D3170" i="357"/>
  <c r="C3170" i="357"/>
  <c r="D3169" i="357"/>
  <c r="H3169" i="357" s="1"/>
  <c r="C3169" i="357"/>
  <c r="G3169" i="357" s="1"/>
  <c r="D3168" i="357"/>
  <c r="C3168" i="357"/>
  <c r="D3167" i="357"/>
  <c r="C3167" i="357"/>
  <c r="D3165" i="357"/>
  <c r="C3165" i="357"/>
  <c r="D3164" i="357"/>
  <c r="C3164" i="357"/>
  <c r="G3164" i="357" s="1"/>
  <c r="D3163" i="357"/>
  <c r="H3163" i="357" s="1"/>
  <c r="C3163" i="357"/>
  <c r="G3163" i="357" s="1"/>
  <c r="D3162" i="357"/>
  <c r="C3162" i="357"/>
  <c r="D3161" i="357"/>
  <c r="C3161" i="357"/>
  <c r="D3160" i="357"/>
  <c r="H3160" i="357" s="1"/>
  <c r="C3160" i="357"/>
  <c r="G3160" i="357" s="1"/>
  <c r="D3159" i="357"/>
  <c r="C3159" i="357"/>
  <c r="D3158" i="357"/>
  <c r="C3158" i="357"/>
  <c r="D3157" i="357"/>
  <c r="C3157" i="357"/>
  <c r="D3156" i="357"/>
  <c r="C3156" i="357"/>
  <c r="D3155" i="357"/>
  <c r="C3155" i="357"/>
  <c r="D3154" i="357"/>
  <c r="C3154" i="357"/>
  <c r="D3153" i="357"/>
  <c r="C3153" i="357"/>
  <c r="D3152" i="357"/>
  <c r="C3152" i="357"/>
  <c r="D3150" i="357"/>
  <c r="C3150" i="357"/>
  <c r="D3149" i="357"/>
  <c r="C3149" i="357"/>
  <c r="G3149" i="357" s="1"/>
  <c r="D3148" i="357"/>
  <c r="H3148" i="357" s="1"/>
  <c r="C3148" i="357"/>
  <c r="G3148" i="357" s="1"/>
  <c r="D3147" i="357"/>
  <c r="C3147" i="357"/>
  <c r="D3145" i="357"/>
  <c r="C3145" i="357"/>
  <c r="D3144" i="357"/>
  <c r="H3144" i="357" s="1"/>
  <c r="C3144" i="357"/>
  <c r="G3144" i="357" s="1"/>
  <c r="D3143" i="357"/>
  <c r="C3143" i="357"/>
  <c r="D3142" i="357"/>
  <c r="C3142" i="357"/>
  <c r="D3141" i="357"/>
  <c r="C3141" i="357"/>
  <c r="D3140" i="357"/>
  <c r="C3140" i="357"/>
  <c r="G3140" i="357" s="1"/>
  <c r="D3139" i="357"/>
  <c r="H3139" i="357" s="1"/>
  <c r="C3139" i="357"/>
  <c r="G3139" i="357" s="1"/>
  <c r="D3138" i="357"/>
  <c r="C3138" i="357"/>
  <c r="D3137" i="357"/>
  <c r="C3137" i="357"/>
  <c r="D3136" i="357"/>
  <c r="H3136" i="357" s="1"/>
  <c r="C3136" i="357"/>
  <c r="G3136" i="357" s="1"/>
  <c r="D3135" i="357"/>
  <c r="C3135" i="357"/>
  <c r="D3134" i="357"/>
  <c r="C3134" i="357"/>
  <c r="D3132" i="357"/>
  <c r="C3132" i="357"/>
  <c r="D3131" i="357"/>
  <c r="C3131" i="357"/>
  <c r="G3131" i="357" s="1"/>
  <c r="D3130" i="357"/>
  <c r="H3130" i="357" s="1"/>
  <c r="C3130" i="357"/>
  <c r="G3130" i="357" s="1"/>
  <c r="D3129" i="357"/>
  <c r="C3129" i="357"/>
  <c r="D3128" i="357"/>
  <c r="C3128" i="357"/>
  <c r="D3127" i="357"/>
  <c r="C3127" i="357"/>
  <c r="D3126" i="357"/>
  <c r="C3126" i="357"/>
  <c r="D3125" i="357"/>
  <c r="C3125" i="357"/>
  <c r="D3124" i="357"/>
  <c r="C3124" i="357"/>
  <c r="D3123" i="357"/>
  <c r="C3123" i="357"/>
  <c r="D3122" i="357"/>
  <c r="H3122" i="357" s="1"/>
  <c r="C3122" i="357"/>
  <c r="G3122" i="357" s="1"/>
  <c r="D3121" i="357"/>
  <c r="C3121" i="357"/>
  <c r="D3120" i="357"/>
  <c r="C3120" i="357"/>
  <c r="D3119" i="357"/>
  <c r="C3119" i="357"/>
  <c r="D3118" i="357"/>
  <c r="C3118" i="357"/>
  <c r="D3117" i="357"/>
  <c r="C3117" i="357"/>
  <c r="D3116" i="357"/>
  <c r="C3116" i="357"/>
  <c r="D3115" i="357"/>
  <c r="C3115" i="357"/>
  <c r="D3113" i="357"/>
  <c r="C3113" i="357"/>
  <c r="D3112" i="357"/>
  <c r="C3112" i="357"/>
  <c r="G3112" i="357" s="1"/>
  <c r="D3111" i="357"/>
  <c r="H3111" i="357" s="1"/>
  <c r="C3111" i="357"/>
  <c r="G3111" i="357" s="1"/>
  <c r="D3110" i="357"/>
  <c r="C3110" i="357"/>
  <c r="D3109" i="357"/>
  <c r="C3109" i="357"/>
  <c r="D3108" i="357"/>
  <c r="C3108" i="357"/>
  <c r="D3107" i="357"/>
  <c r="C3107" i="357"/>
  <c r="D3106" i="357"/>
  <c r="C3106" i="357"/>
  <c r="D3105" i="357"/>
  <c r="H3105" i="357" s="1"/>
  <c r="C3105" i="357"/>
  <c r="G3105" i="357" s="1"/>
  <c r="D3104" i="357"/>
  <c r="C3104" i="357"/>
  <c r="D3103" i="357"/>
  <c r="C3103" i="357"/>
  <c r="D3102" i="357"/>
  <c r="C3102" i="357"/>
  <c r="D3101" i="357"/>
  <c r="H3101" i="357" s="1"/>
  <c r="C3101" i="357"/>
  <c r="G3101" i="357" s="1"/>
  <c r="D3100" i="357"/>
  <c r="H3100" i="357" s="1"/>
  <c r="C3100" i="357"/>
  <c r="G3100" i="357" s="1"/>
  <c r="D3099" i="357"/>
  <c r="C3099" i="357"/>
  <c r="D3098" i="357"/>
  <c r="C3098" i="357"/>
  <c r="D3097" i="357"/>
  <c r="C3097" i="357"/>
  <c r="D3096" i="357"/>
  <c r="H3096" i="357" s="1"/>
  <c r="C3096" i="357"/>
  <c r="G3096" i="357" s="1"/>
  <c r="D3095" i="357"/>
  <c r="C3095" i="357"/>
  <c r="D3094" i="357"/>
  <c r="C3094" i="357"/>
  <c r="G3094" i="357" s="1"/>
  <c r="D3093" i="357"/>
  <c r="C3093" i="357"/>
  <c r="D3092" i="357"/>
  <c r="C3092" i="357"/>
  <c r="D3080" i="357"/>
  <c r="H3080" i="357" s="1"/>
  <c r="C3080" i="357"/>
  <c r="G3080" i="357" s="1"/>
  <c r="D3079" i="357"/>
  <c r="H3079" i="357" s="1"/>
  <c r="C3079" i="357"/>
  <c r="G3079" i="357" s="1"/>
  <c r="D3078" i="357"/>
  <c r="C3078" i="357"/>
  <c r="D3077" i="357"/>
  <c r="C3077" i="357"/>
  <c r="D3076" i="357"/>
  <c r="C3076" i="357"/>
  <c r="D3075" i="357"/>
  <c r="C3075" i="357"/>
  <c r="D3074" i="357"/>
  <c r="C3074" i="357"/>
  <c r="D3073" i="357"/>
  <c r="C3073" i="357"/>
  <c r="D3072" i="357"/>
  <c r="C3072" i="357"/>
  <c r="D3071" i="357"/>
  <c r="H3071" i="357" s="1"/>
  <c r="C3071" i="357"/>
  <c r="G3071" i="357" s="1"/>
  <c r="D3070" i="357"/>
  <c r="H3070" i="357" s="1"/>
  <c r="C3070" i="357"/>
  <c r="G3070" i="357" s="1"/>
  <c r="D3069" i="357"/>
  <c r="C3069" i="357"/>
  <c r="D3068" i="357"/>
  <c r="C3068" i="357"/>
  <c r="D3067" i="357"/>
  <c r="C3067" i="357"/>
  <c r="D3066" i="357"/>
  <c r="C3066" i="357"/>
  <c r="D3065" i="357"/>
  <c r="C3065" i="357"/>
  <c r="D3064" i="357"/>
  <c r="C3064" i="357"/>
  <c r="D3063" i="357"/>
  <c r="C3063" i="357"/>
  <c r="D3062" i="357"/>
  <c r="C3062" i="357"/>
  <c r="D3061" i="357"/>
  <c r="C3061" i="357"/>
  <c r="D3060" i="357"/>
  <c r="C3060" i="357"/>
  <c r="D3059" i="357"/>
  <c r="C3059" i="357"/>
  <c r="D3058" i="357"/>
  <c r="C3058" i="357"/>
  <c r="D3057" i="357"/>
  <c r="C3057" i="357"/>
  <c r="D3056" i="357"/>
  <c r="H3056" i="357" s="1"/>
  <c r="C3056" i="357"/>
  <c r="G3056" i="357" s="1"/>
  <c r="D3055" i="357"/>
  <c r="H3055" i="357" s="1"/>
  <c r="C3055" i="357"/>
  <c r="G3055" i="357" s="1"/>
  <c r="D3054" i="357"/>
  <c r="C3054" i="357"/>
  <c r="D3053" i="357"/>
  <c r="C3053" i="357"/>
  <c r="D3052" i="357"/>
  <c r="C3052" i="357"/>
  <c r="D3051" i="357"/>
  <c r="C3051" i="357"/>
  <c r="D3050" i="357"/>
  <c r="C3050" i="357"/>
  <c r="D3049" i="357"/>
  <c r="C3049" i="357"/>
  <c r="D3048" i="357"/>
  <c r="C3048" i="357"/>
  <c r="D3047" i="357"/>
  <c r="C3047" i="357"/>
  <c r="D3046" i="357"/>
  <c r="C3046" i="357"/>
  <c r="D3045" i="357"/>
  <c r="C3045" i="357"/>
  <c r="D3044" i="357"/>
  <c r="C3044" i="357"/>
  <c r="D3042" i="357"/>
  <c r="H3042" i="357" s="1"/>
  <c r="C3042" i="357"/>
  <c r="G3042" i="357" s="1"/>
  <c r="D3041" i="357"/>
  <c r="H3041" i="357" s="1"/>
  <c r="C3041" i="357"/>
  <c r="G3041" i="357" s="1"/>
  <c r="D3040" i="357"/>
  <c r="C3040" i="357"/>
  <c r="D3039" i="357"/>
  <c r="C3039" i="357"/>
  <c r="D3038" i="357"/>
  <c r="C3038" i="357"/>
  <c r="D3036" i="357"/>
  <c r="H3036" i="357" s="1"/>
  <c r="C3036" i="357"/>
  <c r="G3036" i="357" s="1"/>
  <c r="D3035" i="357"/>
  <c r="H3035" i="357" s="1"/>
  <c r="C3035" i="357"/>
  <c r="G3035" i="357" s="1"/>
  <c r="D3034" i="357"/>
  <c r="C3034" i="357"/>
  <c r="D3033" i="357"/>
  <c r="C3033" i="357"/>
  <c r="D3032" i="357"/>
  <c r="C3032" i="357"/>
  <c r="D3031" i="357"/>
  <c r="C3031" i="357"/>
  <c r="D3028" i="357"/>
  <c r="C3028" i="357"/>
  <c r="D3027" i="357"/>
  <c r="C3027" i="357"/>
  <c r="G3027" i="357" s="1"/>
  <c r="D3026" i="357"/>
  <c r="C3026" i="357"/>
  <c r="D3025" i="357"/>
  <c r="C3025" i="357"/>
  <c r="D3024" i="357"/>
  <c r="C3024" i="357"/>
  <c r="D3023" i="357"/>
  <c r="C3023" i="357"/>
  <c r="D3020" i="357"/>
  <c r="H3020" i="357" s="1"/>
  <c r="C3020" i="357"/>
  <c r="G3020" i="357" s="1"/>
  <c r="D3019" i="357"/>
  <c r="H3019" i="357" s="1"/>
  <c r="C3019" i="357"/>
  <c r="G3019" i="357" s="1"/>
  <c r="D3018" i="357"/>
  <c r="C3018" i="357"/>
  <c r="D3017" i="357"/>
  <c r="C3017" i="357"/>
  <c r="D3016" i="357"/>
  <c r="C3016" i="357"/>
  <c r="D3014" i="357"/>
  <c r="C3014" i="357"/>
  <c r="D3013" i="357"/>
  <c r="C3013" i="357"/>
  <c r="D3012" i="357"/>
  <c r="C3012" i="357"/>
  <c r="D3011" i="357"/>
  <c r="C3011" i="357"/>
  <c r="D3010" i="357"/>
  <c r="C3010" i="357"/>
  <c r="D3008" i="357"/>
  <c r="C3008" i="357"/>
  <c r="D3007" i="357"/>
  <c r="C3007" i="357"/>
  <c r="G3007" i="357" s="1"/>
  <c r="D3006" i="357"/>
  <c r="C3006" i="357"/>
  <c r="D3005" i="357"/>
  <c r="C3005" i="357"/>
  <c r="D3004" i="357"/>
  <c r="C3004" i="357"/>
  <c r="D3003" i="357"/>
  <c r="C3003" i="357"/>
  <c r="D3002" i="357"/>
  <c r="C3002" i="357"/>
  <c r="D3001" i="357"/>
  <c r="C3001" i="357"/>
  <c r="D2998" i="357"/>
  <c r="H2998" i="357" s="1"/>
  <c r="C2998" i="357"/>
  <c r="G2998" i="357" s="1"/>
  <c r="D2997" i="357"/>
  <c r="H2997" i="357" s="1"/>
  <c r="C2997" i="357"/>
  <c r="G2997" i="357" s="1"/>
  <c r="D2996" i="357"/>
  <c r="C2996" i="357"/>
  <c r="D2995" i="357"/>
  <c r="C2995" i="357"/>
  <c r="D2994" i="357"/>
  <c r="C2994" i="357"/>
  <c r="D2993" i="357"/>
  <c r="C2993" i="357"/>
  <c r="D2990" i="357"/>
  <c r="C2990" i="357"/>
  <c r="D2989" i="357"/>
  <c r="C2989" i="357"/>
  <c r="D2988" i="357"/>
  <c r="C2988" i="357"/>
  <c r="G2988" i="357" s="1"/>
  <c r="D2987" i="357"/>
  <c r="H2987" i="357" s="1"/>
  <c r="C2987" i="357"/>
  <c r="G2987" i="357" s="1"/>
  <c r="D2986" i="357"/>
  <c r="C2986" i="357"/>
  <c r="D2983" i="357"/>
  <c r="C2983" i="357"/>
  <c r="D2982" i="357"/>
  <c r="C2982" i="357"/>
  <c r="D2981" i="357"/>
  <c r="C2981" i="357"/>
  <c r="D2980" i="357"/>
  <c r="C2980" i="357"/>
  <c r="D2979" i="357"/>
  <c r="C2979" i="357"/>
  <c r="D2978" i="357"/>
  <c r="C2978" i="357"/>
  <c r="D2977" i="357"/>
  <c r="C2977" i="357"/>
  <c r="D2976" i="357"/>
  <c r="C2976" i="357"/>
  <c r="D2975" i="357"/>
  <c r="C2975" i="357"/>
  <c r="D2974" i="357"/>
  <c r="C2974" i="357"/>
  <c r="D2973" i="357"/>
  <c r="C2973" i="357"/>
  <c r="D2972" i="357"/>
  <c r="C2972" i="357"/>
  <c r="D2971" i="357"/>
  <c r="C2971" i="357"/>
  <c r="D2969" i="357"/>
  <c r="H2969" i="357" s="1"/>
  <c r="C2969" i="357"/>
  <c r="G2969" i="357" s="1"/>
  <c r="D2968" i="357"/>
  <c r="H2968" i="357" s="1"/>
  <c r="C2968" i="357"/>
  <c r="G2968" i="357" s="1"/>
  <c r="D2967" i="357"/>
  <c r="C2967" i="357"/>
  <c r="D2962" i="357"/>
  <c r="C2962" i="357"/>
  <c r="D2961" i="357"/>
  <c r="C2961" i="357"/>
  <c r="D2960" i="357"/>
  <c r="C2960" i="357"/>
  <c r="D2959" i="357"/>
  <c r="C2959" i="357"/>
  <c r="D2958" i="357"/>
  <c r="C2958" i="357"/>
  <c r="D2957" i="357"/>
  <c r="C2957" i="357"/>
  <c r="D2956" i="357"/>
  <c r="C2956" i="357"/>
  <c r="D2955" i="357"/>
  <c r="C2955" i="357"/>
  <c r="D2954" i="357"/>
  <c r="C2954" i="357"/>
  <c r="D2953" i="357"/>
  <c r="C2953" i="357"/>
  <c r="D2952" i="357"/>
  <c r="C2952" i="357"/>
  <c r="D2951" i="357"/>
  <c r="C2951" i="357"/>
  <c r="D2950" i="357"/>
  <c r="C2950" i="357"/>
  <c r="D2949" i="357"/>
  <c r="C2949" i="357"/>
  <c r="D2948" i="357"/>
  <c r="C2948" i="357"/>
  <c r="D2947" i="357"/>
  <c r="C2947" i="357"/>
  <c r="D2946" i="357"/>
  <c r="C2946" i="357"/>
  <c r="D2945" i="357"/>
  <c r="C2945" i="357"/>
  <c r="D2944" i="357"/>
  <c r="C2944" i="357"/>
  <c r="D2943" i="357"/>
  <c r="C2943" i="357"/>
  <c r="D2942" i="357"/>
  <c r="C2942" i="357"/>
  <c r="D2941" i="357"/>
  <c r="C2941" i="357"/>
  <c r="D2940" i="357"/>
  <c r="C2940" i="357"/>
  <c r="D2939" i="357"/>
  <c r="C2939" i="357"/>
  <c r="D2938" i="357"/>
  <c r="C2938" i="357"/>
  <c r="D2937" i="357"/>
  <c r="C2937" i="357"/>
  <c r="D2935" i="357"/>
  <c r="C2935" i="357"/>
  <c r="G2935" i="357" s="1"/>
  <c r="D2934" i="357"/>
  <c r="H2934" i="357" s="1"/>
  <c r="C2934" i="357"/>
  <c r="G2934" i="357" s="1"/>
  <c r="D2929" i="357"/>
  <c r="C2929" i="357"/>
  <c r="D2928" i="357"/>
  <c r="C2928" i="357"/>
  <c r="D2927" i="357"/>
  <c r="C2927" i="357"/>
  <c r="D2926" i="357"/>
  <c r="C2926" i="357"/>
  <c r="D2925" i="357"/>
  <c r="C2925" i="357"/>
  <c r="D2924" i="357"/>
  <c r="C2924" i="357"/>
  <c r="D2923" i="357"/>
  <c r="C2923" i="357"/>
  <c r="D2922" i="357"/>
  <c r="C2922" i="357"/>
  <c r="D2921" i="357"/>
  <c r="C2921" i="357"/>
  <c r="D2920" i="357"/>
  <c r="C2920" i="357"/>
  <c r="D2919" i="357"/>
  <c r="C2919" i="357"/>
  <c r="D2918" i="357"/>
  <c r="C2918" i="357"/>
  <c r="D2917" i="357"/>
  <c r="C2917" i="357"/>
  <c r="D2916" i="357"/>
  <c r="C2916" i="357"/>
  <c r="D2913" i="357"/>
  <c r="H2913" i="357" s="1"/>
  <c r="C2913" i="357"/>
  <c r="G2913" i="357" s="1"/>
  <c r="D2912" i="357"/>
  <c r="C2912" i="357"/>
  <c r="D2911" i="357"/>
  <c r="C2911" i="357"/>
  <c r="D2910" i="357"/>
  <c r="C2910" i="357"/>
  <c r="D2909" i="357"/>
  <c r="C2909" i="357"/>
  <c r="D2908" i="357"/>
  <c r="C2908" i="357"/>
  <c r="D2907" i="357"/>
  <c r="C2907" i="357"/>
  <c r="D2906" i="357"/>
  <c r="C2906" i="357"/>
  <c r="D2899" i="357"/>
  <c r="C2899" i="357"/>
  <c r="D2898" i="357"/>
  <c r="C2898" i="357"/>
  <c r="D2897" i="357"/>
  <c r="C2897" i="357"/>
  <c r="D2896" i="357"/>
  <c r="C2896" i="357"/>
  <c r="D2895" i="357"/>
  <c r="C2895" i="357"/>
  <c r="D2894" i="357"/>
  <c r="C2894" i="357"/>
  <c r="D2893" i="357"/>
  <c r="C2893" i="357"/>
  <c r="D2892" i="357"/>
  <c r="C2892" i="357"/>
  <c r="D2891" i="357"/>
  <c r="C2891" i="357"/>
  <c r="D2890" i="357"/>
  <c r="C2890" i="357"/>
  <c r="D2889" i="357"/>
  <c r="C2889" i="357"/>
  <c r="D2888" i="357"/>
  <c r="C2888" i="357"/>
  <c r="D2887" i="357"/>
  <c r="C2887" i="357"/>
  <c r="D2886" i="357"/>
  <c r="C2886" i="357"/>
  <c r="D2885" i="357"/>
  <c r="C2885" i="357"/>
  <c r="D2884" i="357"/>
  <c r="C2884" i="357"/>
  <c r="D2883" i="357"/>
  <c r="C2883" i="357"/>
  <c r="D2882" i="357"/>
  <c r="C2882" i="357"/>
  <c r="D2881" i="357"/>
  <c r="C2881" i="357"/>
  <c r="D2880" i="357"/>
  <c r="C2880" i="357"/>
  <c r="D2879" i="357"/>
  <c r="C2879" i="357"/>
  <c r="D2878" i="357"/>
  <c r="C2878" i="357"/>
  <c r="D2877" i="357"/>
  <c r="C2877" i="357"/>
  <c r="D2876" i="357"/>
  <c r="C2876" i="357"/>
  <c r="D2875" i="357"/>
  <c r="C2875" i="357"/>
  <c r="D2874" i="357"/>
  <c r="C2874" i="357"/>
  <c r="D2873" i="357"/>
  <c r="C2873" i="357"/>
  <c r="D2872" i="357"/>
  <c r="C2872" i="357"/>
  <c r="D2871" i="357"/>
  <c r="C2871" i="357"/>
  <c r="D2870" i="357"/>
  <c r="C2870" i="357"/>
  <c r="D2869" i="357"/>
  <c r="C2869" i="357"/>
  <c r="D2868" i="357"/>
  <c r="C2868" i="357"/>
  <c r="D2867" i="357"/>
  <c r="C2867" i="357"/>
  <c r="D2866" i="357"/>
  <c r="C2866" i="357"/>
  <c r="D2865" i="357"/>
  <c r="C2865" i="357"/>
  <c r="D2864" i="357"/>
  <c r="C2864" i="357"/>
  <c r="D2863" i="357"/>
  <c r="C2863" i="357"/>
  <c r="D2860" i="357"/>
  <c r="H2860" i="357" s="1"/>
  <c r="C2860" i="357"/>
  <c r="G2860" i="357" s="1"/>
  <c r="D2859" i="357"/>
  <c r="H2859" i="357" s="1"/>
  <c r="C2859" i="357"/>
  <c r="G2859" i="357" s="1"/>
  <c r="D2853" i="357"/>
  <c r="C2853" i="357"/>
  <c r="D2852" i="357"/>
  <c r="C2852" i="357"/>
  <c r="D2851" i="357"/>
  <c r="C2851" i="357"/>
  <c r="D2850" i="357"/>
  <c r="C2850" i="357"/>
  <c r="D2849" i="357"/>
  <c r="C2849" i="357"/>
  <c r="D2848" i="357"/>
  <c r="C2848" i="357"/>
  <c r="D2847" i="357"/>
  <c r="C2847" i="357"/>
  <c r="D2846" i="357"/>
  <c r="C2846" i="357"/>
  <c r="D2845" i="357"/>
  <c r="C2845" i="357"/>
  <c r="D2844" i="357"/>
  <c r="C2844" i="357"/>
  <c r="D2843" i="357"/>
  <c r="C2843" i="357"/>
  <c r="D2842" i="357"/>
  <c r="C2842" i="357"/>
  <c r="D2840" i="357"/>
  <c r="H2840" i="357" s="1"/>
  <c r="C2840" i="357"/>
  <c r="G2840" i="357" s="1"/>
  <c r="D2839" i="357"/>
  <c r="H2839" i="357" s="1"/>
  <c r="C2839" i="357"/>
  <c r="D2838" i="357"/>
  <c r="C2838" i="357"/>
  <c r="D2837" i="357"/>
  <c r="C2837" i="357"/>
  <c r="D2836" i="357"/>
  <c r="C2836" i="357"/>
  <c r="D2835" i="357"/>
  <c r="C2835" i="357"/>
  <c r="D2834" i="357"/>
  <c r="C2834" i="357"/>
  <c r="D2833" i="357"/>
  <c r="C2833" i="357"/>
  <c r="D2832" i="357"/>
  <c r="C2832" i="357"/>
  <c r="D2831" i="357"/>
  <c r="C2831" i="357"/>
  <c r="D2830" i="357"/>
  <c r="C2830" i="357"/>
  <c r="D2821" i="357"/>
  <c r="C2821" i="357"/>
  <c r="D2820" i="357"/>
  <c r="C2820" i="357"/>
  <c r="D2819" i="357"/>
  <c r="C2819" i="357"/>
  <c r="D2818" i="357"/>
  <c r="C2818" i="357"/>
  <c r="D2817" i="357"/>
  <c r="C2817" i="357"/>
  <c r="D2816" i="357"/>
  <c r="C2816" i="357"/>
  <c r="D2815" i="357"/>
  <c r="C2815" i="357"/>
  <c r="D2814" i="357"/>
  <c r="C2814" i="357"/>
  <c r="D2813" i="357"/>
  <c r="C2813" i="357"/>
  <c r="D2812" i="357"/>
  <c r="C2812" i="357"/>
  <c r="G2812" i="357" s="1"/>
  <c r="D2811" i="357"/>
  <c r="C2811" i="357"/>
  <c r="D2810" i="357"/>
  <c r="C2810" i="357"/>
  <c r="D2809" i="357"/>
  <c r="C2809" i="357"/>
  <c r="D2808" i="357"/>
  <c r="C2808" i="357"/>
  <c r="D2802" i="357"/>
  <c r="C2802" i="357"/>
  <c r="D2801" i="357"/>
  <c r="C2801" i="357"/>
  <c r="D2800" i="357"/>
  <c r="C2800" i="357"/>
  <c r="D2799" i="357"/>
  <c r="C2799" i="357"/>
  <c r="D2798" i="357"/>
  <c r="C2798" i="357"/>
  <c r="D2797" i="357"/>
  <c r="C2797" i="357"/>
  <c r="D2796" i="357"/>
  <c r="C2796" i="357"/>
  <c r="D2795" i="357"/>
  <c r="C2795" i="357"/>
  <c r="D2794" i="357"/>
  <c r="C2794" i="357"/>
  <c r="D2793" i="357"/>
  <c r="C2793" i="357"/>
  <c r="D2792" i="357"/>
  <c r="C2792" i="357"/>
  <c r="D2789" i="357"/>
  <c r="C2789" i="357"/>
  <c r="D2788" i="357"/>
  <c r="C2788" i="357"/>
  <c r="D2787" i="357"/>
  <c r="C2787" i="357"/>
  <c r="D2786" i="357"/>
  <c r="C2786" i="357"/>
  <c r="D2785" i="357"/>
  <c r="C2785" i="357"/>
  <c r="D2784" i="357"/>
  <c r="C2784" i="357"/>
  <c r="D2783" i="357"/>
  <c r="C2783" i="357"/>
  <c r="D2782" i="357"/>
  <c r="C2782" i="357"/>
  <c r="D2781" i="357"/>
  <c r="C2781" i="357"/>
  <c r="D2780" i="357"/>
  <c r="C2780" i="357"/>
  <c r="D2779" i="357"/>
  <c r="C2779" i="357"/>
  <c r="D2778" i="357"/>
  <c r="C2778" i="357"/>
  <c r="D2777" i="357"/>
  <c r="C2777" i="357"/>
  <c r="D2776" i="357"/>
  <c r="C2776" i="357"/>
  <c r="D2775" i="357"/>
  <c r="C2775" i="357"/>
  <c r="D2774" i="357"/>
  <c r="C2774" i="357"/>
  <c r="D2773" i="357"/>
  <c r="C2773" i="357"/>
  <c r="D2772" i="357"/>
  <c r="C2772" i="357"/>
  <c r="D2771" i="357"/>
  <c r="C2771" i="357"/>
  <c r="D2770" i="357"/>
  <c r="C2770" i="357"/>
  <c r="D2769" i="357"/>
  <c r="C2769" i="357"/>
  <c r="D2768" i="357"/>
  <c r="C2768" i="357"/>
  <c r="D2767" i="357"/>
  <c r="C2767" i="357"/>
  <c r="D2758" i="357"/>
  <c r="C2758" i="357"/>
  <c r="D2757" i="357"/>
  <c r="H2757" i="357" s="1"/>
  <c r="C2757" i="357"/>
  <c r="G2757" i="357" s="1"/>
  <c r="D2756" i="357"/>
  <c r="H2756" i="357" s="1"/>
  <c r="C2756" i="357"/>
  <c r="G2756" i="357" s="1"/>
  <c r="D2755" i="357"/>
  <c r="C2755" i="357"/>
  <c r="D2754" i="357"/>
  <c r="C2754" i="357"/>
  <c r="D2752" i="357"/>
  <c r="C2752" i="357"/>
  <c r="G2752" i="357" s="1"/>
  <c r="D2751" i="357"/>
  <c r="H2751" i="357" s="1"/>
  <c r="C2751" i="357"/>
  <c r="G2751" i="357" s="1"/>
  <c r="D2750" i="357"/>
  <c r="C2750" i="357"/>
  <c r="D2749" i="357"/>
  <c r="C2749" i="357"/>
  <c r="D2748" i="357"/>
  <c r="C2748" i="357"/>
  <c r="D2746" i="357"/>
  <c r="C2746" i="357"/>
  <c r="D2745" i="357"/>
  <c r="H2745" i="357" s="1"/>
  <c r="C2745" i="357"/>
  <c r="G2745" i="357" s="1"/>
  <c r="D2744" i="357"/>
  <c r="C2744" i="357"/>
  <c r="D2743" i="357"/>
  <c r="C2743" i="357"/>
  <c r="G2743" i="357" s="1"/>
  <c r="D2742" i="357"/>
  <c r="H2742" i="357" s="1"/>
  <c r="C2742" i="357"/>
  <c r="G2742" i="357" s="1"/>
  <c r="D2741" i="357"/>
  <c r="C2741" i="357"/>
  <c r="D2740" i="357"/>
  <c r="C2740" i="357"/>
  <c r="D2739" i="357"/>
  <c r="C2739" i="357"/>
  <c r="D2737" i="357"/>
  <c r="H2737" i="357" s="1"/>
  <c r="C2737" i="357"/>
  <c r="G2737" i="357" s="1"/>
  <c r="D2736" i="357"/>
  <c r="C2736" i="357"/>
  <c r="D2735" i="357"/>
  <c r="C2735" i="357"/>
  <c r="D2733" i="357"/>
  <c r="C2733" i="357"/>
  <c r="G2733" i="357" s="1"/>
  <c r="D2732" i="357"/>
  <c r="H2732" i="357" s="1"/>
  <c r="C2732" i="357"/>
  <c r="G2732" i="357" s="1"/>
  <c r="D2731" i="357"/>
  <c r="C2731" i="357"/>
  <c r="D2730" i="357"/>
  <c r="C2730" i="357"/>
  <c r="D2728" i="357"/>
  <c r="C2728" i="357"/>
  <c r="D2727" i="357"/>
  <c r="H2727" i="357" s="1"/>
  <c r="C2727" i="357"/>
  <c r="G2727" i="357" s="1"/>
  <c r="D2726" i="357"/>
  <c r="C2726" i="357"/>
  <c r="D2725" i="357"/>
  <c r="C2725" i="357"/>
  <c r="D2724" i="357"/>
  <c r="C2724" i="357"/>
  <c r="D2721" i="357"/>
  <c r="C2721" i="357"/>
  <c r="G2721" i="357" s="1"/>
  <c r="D2720" i="357"/>
  <c r="H2720" i="357" s="1"/>
  <c r="C2720" i="357"/>
  <c r="G2720" i="357" s="1"/>
  <c r="D2719" i="357"/>
  <c r="C2719" i="357"/>
  <c r="D2718" i="357"/>
  <c r="C2718" i="357"/>
  <c r="D2717" i="357"/>
  <c r="C2717" i="357"/>
  <c r="D2716" i="357"/>
  <c r="C2716" i="357"/>
  <c r="D2715" i="357"/>
  <c r="C2715" i="357"/>
  <c r="D2714" i="357"/>
  <c r="C2714" i="357"/>
  <c r="D2713" i="357"/>
  <c r="C2713" i="357"/>
  <c r="D2712" i="357"/>
  <c r="C2712" i="357"/>
  <c r="D2711" i="357"/>
  <c r="C2711" i="357"/>
  <c r="D2710" i="357"/>
  <c r="C2710" i="357"/>
  <c r="D2709" i="357"/>
  <c r="C2709" i="357"/>
  <c r="D2708" i="357"/>
  <c r="C2708" i="357"/>
  <c r="D2707" i="357"/>
  <c r="C2707" i="357"/>
  <c r="D2706" i="357"/>
  <c r="C2706" i="357"/>
  <c r="D2705" i="357"/>
  <c r="C2705" i="357"/>
  <c r="D2704" i="357"/>
  <c r="C2704" i="357"/>
  <c r="D2703" i="357"/>
  <c r="C2703" i="357"/>
  <c r="D2702" i="357"/>
  <c r="C2702" i="357"/>
  <c r="D2701" i="357"/>
  <c r="C2701" i="357"/>
  <c r="D2700" i="357"/>
  <c r="C2700" i="357"/>
  <c r="D2697" i="357"/>
  <c r="C2697" i="357"/>
  <c r="D2694" i="357"/>
  <c r="H2694" i="357" s="1"/>
  <c r="C2694" i="357"/>
  <c r="G2694" i="357" s="1"/>
  <c r="D2693" i="357"/>
  <c r="H2693" i="357" s="1"/>
  <c r="C2693" i="357"/>
  <c r="G2693" i="357" s="1"/>
  <c r="D2692" i="357"/>
  <c r="C2692" i="357"/>
  <c r="D2691" i="357"/>
  <c r="C2691" i="357"/>
  <c r="D2690" i="357"/>
  <c r="C2690" i="357"/>
  <c r="D2687" i="357"/>
  <c r="C2687" i="357"/>
  <c r="D2686" i="357"/>
  <c r="H2686" i="357" s="1"/>
  <c r="C2686" i="357"/>
  <c r="G2686" i="357" s="1"/>
  <c r="D2685" i="357"/>
  <c r="H2685" i="357" s="1"/>
  <c r="C2685" i="357"/>
  <c r="G2685" i="357" s="1"/>
  <c r="D2684" i="357"/>
  <c r="C2684" i="357"/>
  <c r="D2682" i="357"/>
  <c r="C2682" i="357"/>
  <c r="D2681" i="357"/>
  <c r="H2681" i="357" s="1"/>
  <c r="C2681" i="357"/>
  <c r="G2681" i="357" s="1"/>
  <c r="D2680" i="357"/>
  <c r="C2680" i="357"/>
  <c r="D2679" i="357"/>
  <c r="C2679" i="357"/>
  <c r="D2678" i="357"/>
  <c r="C2678" i="357"/>
  <c r="D2676" i="357"/>
  <c r="C2676" i="357"/>
  <c r="D2675" i="357"/>
  <c r="C2675" i="357"/>
  <c r="G2675" i="357" s="1"/>
  <c r="D2674" i="357"/>
  <c r="H2674" i="357" s="1"/>
  <c r="C2674" i="357"/>
  <c r="G2674" i="357" s="1"/>
  <c r="D2673" i="357"/>
  <c r="C2673" i="357"/>
  <c r="D2672" i="357"/>
  <c r="H2672" i="357" s="1"/>
  <c r="C2672" i="357"/>
  <c r="G2672" i="357" s="1"/>
  <c r="D2671" i="357"/>
  <c r="C2671" i="357"/>
  <c r="D2670" i="357"/>
  <c r="C2670" i="357"/>
  <c r="G2670" i="357" s="1"/>
  <c r="D2669" i="357"/>
  <c r="C2669" i="357"/>
  <c r="D2668" i="357"/>
  <c r="C2668" i="357"/>
  <c r="D2667" i="357"/>
  <c r="C2667" i="357"/>
  <c r="D2665" i="357"/>
  <c r="H2665" i="357" s="1"/>
  <c r="C2665" i="357"/>
  <c r="G2665" i="357" s="1"/>
  <c r="D2664" i="357"/>
  <c r="H2664" i="357" s="1"/>
  <c r="C2664" i="357"/>
  <c r="G2664" i="357" s="1"/>
  <c r="D2663" i="357"/>
  <c r="C2663" i="357"/>
  <c r="D2662" i="357"/>
  <c r="C2662" i="357"/>
  <c r="D2661" i="357"/>
  <c r="C2661" i="357"/>
  <c r="D2660" i="357"/>
  <c r="C2660" i="357"/>
  <c r="D2659" i="357"/>
  <c r="C2659" i="357"/>
  <c r="D2656" i="357"/>
  <c r="C2656" i="357"/>
  <c r="D2655" i="357"/>
  <c r="C2655" i="357"/>
  <c r="G2655" i="357" s="1"/>
  <c r="D2654" i="357"/>
  <c r="H2654" i="357" s="1"/>
  <c r="C2654" i="357"/>
  <c r="G2654" i="357" s="1"/>
  <c r="D2653" i="357"/>
  <c r="H2653" i="357" s="1"/>
  <c r="C2653" i="357"/>
  <c r="G2653" i="357" s="1"/>
  <c r="D2652" i="357"/>
  <c r="C2652" i="357"/>
  <c r="D2651" i="357"/>
  <c r="C2651" i="357"/>
  <c r="D2650" i="357"/>
  <c r="C2650" i="357"/>
  <c r="D2649" i="357"/>
  <c r="C2649" i="357"/>
  <c r="D2648" i="357"/>
  <c r="C2648" i="357"/>
  <c r="D2647" i="357"/>
  <c r="C2647" i="357"/>
  <c r="D2646" i="357"/>
  <c r="C2646" i="357"/>
  <c r="D2644" i="357"/>
  <c r="C2644" i="357"/>
  <c r="D2643" i="357"/>
  <c r="C2643" i="357"/>
  <c r="G2643" i="357" s="1"/>
  <c r="D2642" i="357"/>
  <c r="C2642" i="357"/>
  <c r="D2641" i="357"/>
  <c r="C2641" i="357"/>
  <c r="D2639" i="357"/>
  <c r="C2639" i="357"/>
  <c r="D2638" i="357"/>
  <c r="H2638" i="357" s="1"/>
  <c r="C2638" i="357"/>
  <c r="G2638" i="357" s="1"/>
  <c r="D2637" i="357"/>
  <c r="H2637" i="357" s="1"/>
  <c r="C2637" i="357"/>
  <c r="G2637" i="357" s="1"/>
  <c r="D2636" i="357"/>
  <c r="C2636" i="357"/>
  <c r="D2634" i="357"/>
  <c r="C2634" i="357"/>
  <c r="D2633" i="357"/>
  <c r="C2633" i="357"/>
  <c r="D2632" i="357"/>
  <c r="C2632" i="357"/>
  <c r="D2631" i="357"/>
  <c r="C2631" i="357"/>
  <c r="D2630" i="357"/>
  <c r="C2630" i="357"/>
  <c r="D2629" i="357"/>
  <c r="C2629" i="357"/>
  <c r="D2628" i="357"/>
  <c r="C2628" i="357"/>
  <c r="D2627" i="357"/>
  <c r="C2627" i="357"/>
  <c r="D2626" i="357"/>
  <c r="C2626" i="357"/>
  <c r="D2625" i="357"/>
  <c r="C2625" i="357"/>
  <c r="D2624" i="357"/>
  <c r="C2624" i="357"/>
  <c r="D2623" i="357"/>
  <c r="C2623" i="357"/>
  <c r="D2622" i="357"/>
  <c r="C2622" i="357"/>
  <c r="D2621" i="357"/>
  <c r="C2621" i="357"/>
  <c r="D2620" i="357"/>
  <c r="C2620" i="357"/>
  <c r="D2619" i="357"/>
  <c r="C2619" i="357"/>
  <c r="D2617" i="357"/>
  <c r="C2617" i="357"/>
  <c r="D2616" i="357"/>
  <c r="C2616" i="357"/>
  <c r="G2616" i="357" s="1"/>
  <c r="D2615" i="357"/>
  <c r="C2615" i="357"/>
  <c r="D2613" i="357"/>
  <c r="C2613" i="357"/>
  <c r="D2612" i="357"/>
  <c r="C2612" i="357"/>
  <c r="D2611" i="357"/>
  <c r="C2611" i="357"/>
  <c r="D2610" i="357"/>
  <c r="C2610" i="357"/>
  <c r="D2609" i="357"/>
  <c r="C2609" i="357"/>
  <c r="D2608" i="357"/>
  <c r="C2608" i="357"/>
  <c r="D2607" i="357"/>
  <c r="C2607" i="357"/>
  <c r="D2606" i="357"/>
  <c r="C2606" i="357"/>
  <c r="D2605" i="357"/>
  <c r="C2605" i="357"/>
  <c r="D2604" i="357"/>
  <c r="C2604" i="357"/>
  <c r="D2603" i="357"/>
  <c r="C2603" i="357"/>
  <c r="D2602" i="357"/>
  <c r="C2602" i="357"/>
  <c r="D2601" i="357"/>
  <c r="C2601" i="357"/>
  <c r="D2600" i="357"/>
  <c r="C2600" i="357"/>
  <c r="D2599" i="357"/>
  <c r="C2599" i="357"/>
  <c r="D2598" i="357"/>
  <c r="C2598" i="357"/>
  <c r="D2596" i="357"/>
  <c r="H2596" i="357" s="1"/>
  <c r="C2596" i="357"/>
  <c r="G2596" i="357" s="1"/>
  <c r="D2595" i="357"/>
  <c r="H2595" i="357" s="1"/>
  <c r="C2595" i="357"/>
  <c r="G2595" i="357" s="1"/>
  <c r="D2594" i="357"/>
  <c r="C2594" i="357"/>
  <c r="D2593" i="357"/>
  <c r="C2593" i="357"/>
  <c r="D2592" i="357"/>
  <c r="C2592" i="357"/>
  <c r="G2592" i="357" s="1"/>
  <c r="D2591" i="357"/>
  <c r="H2591" i="357" s="1"/>
  <c r="C2591" i="357"/>
  <c r="G2591" i="357" s="1"/>
  <c r="D2590" i="357"/>
  <c r="C2590" i="357"/>
  <c r="D2589" i="357"/>
  <c r="C2589" i="357"/>
  <c r="D2588" i="357"/>
  <c r="C2588" i="357"/>
  <c r="D2587" i="357"/>
  <c r="C2587" i="357"/>
  <c r="D2586" i="357"/>
  <c r="C2586" i="357"/>
  <c r="D2585" i="357"/>
  <c r="C2585" i="357"/>
  <c r="D2584" i="357"/>
  <c r="H2584" i="357" s="1"/>
  <c r="C2584" i="357"/>
  <c r="G2584" i="357" s="1"/>
  <c r="D2583" i="357"/>
  <c r="C2583" i="357"/>
  <c r="D2582" i="357"/>
  <c r="C2582" i="357"/>
  <c r="D2581" i="357"/>
  <c r="C2581" i="357"/>
  <c r="D2580" i="357"/>
  <c r="C2580" i="357"/>
  <c r="D2579" i="357"/>
  <c r="C2579" i="357"/>
  <c r="D2578" i="357"/>
  <c r="C2578" i="357"/>
  <c r="D2577" i="357"/>
  <c r="C2577" i="357"/>
  <c r="D2576" i="357"/>
  <c r="C2576" i="357"/>
  <c r="G2576" i="357" s="1"/>
  <c r="D2575" i="357"/>
  <c r="H2575" i="357" s="1"/>
  <c r="C2575" i="357"/>
  <c r="G2575" i="357" s="1"/>
  <c r="D2574" i="357"/>
  <c r="C2574" i="357"/>
  <c r="D2573" i="357"/>
  <c r="C2573" i="357"/>
  <c r="D2572" i="357"/>
  <c r="C2572" i="357"/>
  <c r="D2571" i="357"/>
  <c r="C2571" i="357"/>
  <c r="D2570" i="357"/>
  <c r="C2570" i="357"/>
  <c r="D2568" i="357"/>
  <c r="H2568" i="357" s="1"/>
  <c r="C2568" i="357"/>
  <c r="G2568" i="357" s="1"/>
  <c r="D2567" i="357"/>
  <c r="H2567" i="357" s="1"/>
  <c r="C2567" i="357"/>
  <c r="G2567" i="357" s="1"/>
  <c r="D2566" i="357"/>
  <c r="C2566" i="357"/>
  <c r="D2565" i="357"/>
  <c r="C2565" i="357"/>
  <c r="D2564" i="357"/>
  <c r="C2564" i="357"/>
  <c r="D2563" i="357"/>
  <c r="C2563" i="357"/>
  <c r="D2561" i="357"/>
  <c r="H2561" i="357" s="1"/>
  <c r="C2561" i="357"/>
  <c r="G2561" i="357" s="1"/>
  <c r="D2560" i="357"/>
  <c r="H2560" i="357" s="1"/>
  <c r="C2560" i="357"/>
  <c r="G2560" i="357" s="1"/>
  <c r="D2559" i="357"/>
  <c r="C2559" i="357"/>
  <c r="D2558" i="357"/>
  <c r="C2558" i="357"/>
  <c r="D2557" i="357"/>
  <c r="C2557" i="357"/>
  <c r="D2556" i="357"/>
  <c r="C2556" i="357"/>
  <c r="D2555" i="357"/>
  <c r="C2555" i="357"/>
  <c r="D2553" i="357"/>
  <c r="H2553" i="357" s="1"/>
  <c r="C2553" i="357"/>
  <c r="G2553" i="357" s="1"/>
  <c r="D2552" i="357"/>
  <c r="C2552" i="357"/>
  <c r="D2551" i="357"/>
  <c r="C2551" i="357"/>
  <c r="D2550" i="357"/>
  <c r="C2550" i="357"/>
  <c r="D2549" i="357"/>
  <c r="C2549" i="357"/>
  <c r="D2548" i="357"/>
  <c r="C2548" i="357"/>
  <c r="D2547" i="357"/>
  <c r="C2547" i="357"/>
  <c r="D2545" i="357"/>
  <c r="C2545" i="357"/>
  <c r="G2545" i="357" s="1"/>
  <c r="D2544" i="357"/>
  <c r="H2544" i="357" s="1"/>
  <c r="C2544" i="357"/>
  <c r="G2544" i="357" s="1"/>
  <c r="D2543" i="357"/>
  <c r="C2543" i="357"/>
  <c r="D2542" i="357"/>
  <c r="C2542" i="357"/>
  <c r="D2541" i="357"/>
  <c r="C2541" i="357"/>
  <c r="D2540" i="357"/>
  <c r="C2540" i="357"/>
  <c r="D2539" i="357"/>
  <c r="C2539" i="357"/>
  <c r="D2537" i="357"/>
  <c r="H2537" i="357" s="1"/>
  <c r="C2537" i="357"/>
  <c r="G2537" i="357" s="1"/>
  <c r="D2536" i="357"/>
  <c r="C2536" i="357"/>
  <c r="D2535" i="357"/>
  <c r="C2535" i="357"/>
  <c r="D2534" i="357"/>
  <c r="C2534" i="357"/>
  <c r="D2533" i="357"/>
  <c r="C2533" i="357"/>
  <c r="D2531" i="357"/>
  <c r="C2531" i="357"/>
  <c r="G2531" i="357" s="1"/>
  <c r="D2530" i="357"/>
  <c r="H2530" i="357" s="1"/>
  <c r="C2530" i="357"/>
  <c r="G2530" i="357" s="1"/>
  <c r="D2529" i="357"/>
  <c r="C2529" i="357"/>
  <c r="D2528" i="357"/>
  <c r="C2528" i="357"/>
  <c r="D2527" i="357"/>
  <c r="C2527" i="357"/>
  <c r="D2526" i="357"/>
  <c r="C2526" i="357"/>
  <c r="D2525" i="357"/>
  <c r="C2525" i="357"/>
  <c r="D2523" i="357"/>
  <c r="H2523" i="357" s="1"/>
  <c r="C2523" i="357"/>
  <c r="G2523" i="357" s="1"/>
  <c r="D2522" i="357"/>
  <c r="C2522" i="357"/>
  <c r="D2521" i="357"/>
  <c r="C2521" i="357"/>
  <c r="D2519" i="357"/>
  <c r="H2519" i="357" s="1"/>
  <c r="C2519" i="357"/>
  <c r="G2519" i="357" s="1"/>
  <c r="D2518" i="357"/>
  <c r="H2518" i="357" s="1"/>
  <c r="C2518" i="357"/>
  <c r="G2518" i="357" s="1"/>
  <c r="D2517" i="357"/>
  <c r="C2517" i="357"/>
  <c r="D2516" i="357"/>
  <c r="C2516" i="357"/>
  <c r="D2515" i="357"/>
  <c r="C2515" i="357"/>
  <c r="D2514" i="357"/>
  <c r="C2514" i="357"/>
  <c r="D2513" i="357"/>
  <c r="C2513" i="357"/>
  <c r="D2511" i="357"/>
  <c r="H2511" i="357" s="1"/>
  <c r="C2511" i="357"/>
  <c r="G2511" i="357" s="1"/>
  <c r="D2510" i="357"/>
  <c r="C2510" i="357"/>
  <c r="D2509" i="357"/>
  <c r="C2509" i="357"/>
  <c r="D2508" i="357"/>
  <c r="C2508" i="357"/>
  <c r="D2507" i="357"/>
  <c r="C2507" i="357"/>
  <c r="D2506" i="357"/>
  <c r="C2506" i="357"/>
  <c r="D2505" i="357"/>
  <c r="C2505" i="357"/>
  <c r="D2503" i="357"/>
  <c r="C2503" i="357"/>
  <c r="G2503" i="357" s="1"/>
  <c r="D2502" i="357"/>
  <c r="H2502" i="357" s="1"/>
  <c r="C2502" i="357"/>
  <c r="G2502" i="357" s="1"/>
  <c r="D2501" i="357"/>
  <c r="C2501" i="357"/>
  <c r="D2500" i="357"/>
  <c r="C2500" i="357"/>
  <c r="D2499" i="357"/>
  <c r="C2499" i="357"/>
  <c r="D2498" i="357"/>
  <c r="C2498" i="357"/>
  <c r="D2497" i="357"/>
  <c r="C2497" i="357"/>
  <c r="D2495" i="357"/>
  <c r="H2495" i="357" s="1"/>
  <c r="C2495" i="357"/>
  <c r="G2495" i="357" s="1"/>
  <c r="D2494" i="357"/>
  <c r="C2494" i="357"/>
  <c r="D2493" i="357"/>
  <c r="C2493" i="357"/>
  <c r="D2492" i="357"/>
  <c r="C2492" i="357"/>
  <c r="D2491" i="357"/>
  <c r="C2491" i="357"/>
  <c r="D2489" i="357"/>
  <c r="C2489" i="357"/>
  <c r="G2489" i="357" s="1"/>
  <c r="D2488" i="357"/>
  <c r="H2488" i="357" s="1"/>
  <c r="C2488" i="357"/>
  <c r="G2488" i="357" s="1"/>
  <c r="D2487" i="357"/>
  <c r="C2487" i="357"/>
  <c r="D2486" i="357"/>
  <c r="C2486" i="357"/>
  <c r="D2485" i="357"/>
  <c r="C2485" i="357"/>
  <c r="D2483" i="357"/>
  <c r="C2483" i="357"/>
  <c r="D2482" i="357"/>
  <c r="H2482" i="357" s="1"/>
  <c r="C2482" i="357"/>
  <c r="G2482" i="357" s="1"/>
  <c r="D2481" i="357"/>
  <c r="C2481" i="357"/>
  <c r="D2480" i="357"/>
  <c r="C2480" i="357"/>
  <c r="G2480" i="357" s="1"/>
  <c r="D2476" i="357"/>
  <c r="H2476" i="357" s="1"/>
  <c r="C2476" i="357"/>
  <c r="G2476" i="357" s="1"/>
  <c r="D2475" i="357"/>
  <c r="H2475" i="357" s="1"/>
  <c r="C2475" i="357"/>
  <c r="G2475" i="357" s="1"/>
  <c r="D2471" i="357"/>
  <c r="C2471" i="357"/>
  <c r="D2470" i="357"/>
  <c r="C2470" i="357"/>
  <c r="G2470" i="357" s="1"/>
  <c r="D2469" i="357"/>
  <c r="H2469" i="357" s="1"/>
  <c r="C2469" i="357"/>
  <c r="G2469" i="357" s="1"/>
  <c r="D2467" i="357"/>
  <c r="H2467" i="357" s="1"/>
  <c r="C2467" i="357"/>
  <c r="G2467" i="357" s="1"/>
  <c r="D2466" i="357"/>
  <c r="C2466" i="357"/>
  <c r="D2465" i="357"/>
  <c r="C2465" i="357"/>
  <c r="D2464" i="357"/>
  <c r="C2464" i="357"/>
  <c r="D2463" i="357"/>
  <c r="C2463" i="357"/>
  <c r="D2457" i="357"/>
  <c r="C2457" i="357"/>
  <c r="G2457" i="357" s="1"/>
  <c r="D2456" i="357"/>
  <c r="C2456" i="357"/>
  <c r="G2456" i="357" s="1"/>
  <c r="D2452" i="357"/>
  <c r="H2452" i="357" s="1"/>
  <c r="C2452" i="357"/>
  <c r="G2452" i="357" s="1"/>
  <c r="D2451" i="357"/>
  <c r="C2451" i="357"/>
  <c r="D2450" i="357"/>
  <c r="C2450" i="357"/>
  <c r="G2450" i="357" s="1"/>
  <c r="D2449" i="357"/>
  <c r="C2449" i="357"/>
  <c r="G2449" i="357" s="1"/>
  <c r="D2442" i="357"/>
  <c r="H2442" i="357" s="1"/>
  <c r="C2442" i="357"/>
  <c r="G2442" i="357" s="1"/>
  <c r="D2441" i="357"/>
  <c r="C2441" i="357"/>
  <c r="D2436" i="357"/>
  <c r="C2436" i="357"/>
  <c r="G2436" i="357" s="1"/>
  <c r="D2435" i="357"/>
  <c r="C2435" i="357"/>
  <c r="G2435" i="357" s="1"/>
  <c r="D2430" i="357"/>
  <c r="H2430" i="357" s="1"/>
  <c r="C2430" i="357"/>
  <c r="G2430" i="357" s="1"/>
  <c r="D2429" i="357"/>
  <c r="C2429" i="357"/>
  <c r="D2425" i="357"/>
  <c r="C2425" i="357"/>
  <c r="G2425" i="357" s="1"/>
  <c r="D2424" i="357"/>
  <c r="C2424" i="357"/>
  <c r="G2424" i="357" s="1"/>
  <c r="D2423" i="357"/>
  <c r="H2423" i="357" s="1"/>
  <c r="C2423" i="357"/>
  <c r="D2418" i="357"/>
  <c r="C2418" i="357"/>
  <c r="D2417" i="357"/>
  <c r="C2417" i="357"/>
  <c r="G2417" i="357" s="1"/>
  <c r="D2416" i="357"/>
  <c r="C2416" i="357"/>
  <c r="G2416" i="357" s="1"/>
  <c r="D2412" i="357"/>
  <c r="H2412" i="357" s="1"/>
  <c r="C2412" i="357"/>
  <c r="D2411" i="357"/>
  <c r="C2411" i="357"/>
  <c r="D2407" i="357"/>
  <c r="C2407" i="357"/>
  <c r="G2407" i="357" s="1"/>
  <c r="D2406" i="357"/>
  <c r="C2406" i="357"/>
  <c r="G2406" i="357" s="1"/>
  <c r="D2402" i="357"/>
  <c r="H2402" i="357" s="1"/>
  <c r="C2402" i="357"/>
  <c r="D2401" i="357"/>
  <c r="C2401" i="357"/>
  <c r="D2397" i="357"/>
  <c r="C2397" i="357"/>
  <c r="G2397" i="357" s="1"/>
  <c r="D2396" i="357"/>
  <c r="C2396" i="357"/>
  <c r="G2396" i="357" s="1"/>
  <c r="D2392" i="357"/>
  <c r="H2392" i="357" s="1"/>
  <c r="C2392" i="357"/>
  <c r="D2391" i="357"/>
  <c r="C2391" i="357"/>
  <c r="D2387" i="357"/>
  <c r="C2387" i="357"/>
  <c r="G2387" i="357" s="1"/>
  <c r="D2386" i="357"/>
  <c r="C2386" i="357"/>
  <c r="G2386" i="357" s="1"/>
  <c r="D2382" i="357"/>
  <c r="H2382" i="357" s="1"/>
  <c r="C2382" i="357"/>
  <c r="D2381" i="357"/>
  <c r="C2381" i="357"/>
  <c r="D2378" i="357"/>
  <c r="C2378" i="357"/>
  <c r="G2378" i="357" s="1"/>
  <c r="D2377" i="357"/>
  <c r="C2377" i="357"/>
  <c r="G2377" i="357" s="1"/>
  <c r="D2373" i="357"/>
  <c r="H2373" i="357" s="1"/>
  <c r="C2373" i="357"/>
  <c r="D2372" i="357"/>
  <c r="C2372" i="357"/>
  <c r="D2368" i="357"/>
  <c r="C2368" i="357"/>
  <c r="G2368" i="357" s="1"/>
  <c r="D2367" i="357"/>
  <c r="C2367" i="357"/>
  <c r="G2367" i="357" s="1"/>
  <c r="D2362" i="357"/>
  <c r="H2362" i="357" s="1"/>
  <c r="C2362" i="357"/>
  <c r="D2361" i="357"/>
  <c r="C2361" i="357"/>
  <c r="D2356" i="357"/>
  <c r="C2356" i="357"/>
  <c r="G2356" i="357" s="1"/>
  <c r="D2355" i="357"/>
  <c r="C2355" i="357"/>
  <c r="G2355" i="357" s="1"/>
  <c r="D2351" i="357"/>
  <c r="H2351" i="357" s="1"/>
  <c r="C2351" i="357"/>
  <c r="D2350" i="357"/>
  <c r="C2350" i="357"/>
  <c r="D2346" i="357"/>
  <c r="C2346" i="357"/>
  <c r="G2346" i="357" s="1"/>
  <c r="D2345" i="357"/>
  <c r="C2345" i="357"/>
  <c r="G2345" i="357" s="1"/>
  <c r="D2341" i="357"/>
  <c r="H2341" i="357" s="1"/>
  <c r="C2341" i="357"/>
  <c r="D2340" i="357"/>
  <c r="C2340" i="357"/>
  <c r="D2336" i="357"/>
  <c r="C2336" i="357"/>
  <c r="G2336" i="357" s="1"/>
  <c r="D2335" i="357"/>
  <c r="C2335" i="357"/>
  <c r="G2335" i="357" s="1"/>
  <c r="D2331" i="357"/>
  <c r="H2331" i="357" s="1"/>
  <c r="C2331" i="357"/>
  <c r="D2330" i="357"/>
  <c r="C2330" i="357"/>
  <c r="D2326" i="357"/>
  <c r="C2326" i="357"/>
  <c r="G2326" i="357" s="1"/>
  <c r="D2321" i="357"/>
  <c r="C2321" i="357"/>
  <c r="G2321" i="357" s="1"/>
  <c r="D2320" i="357"/>
  <c r="H2320" i="357" s="1"/>
  <c r="C2320" i="357"/>
  <c r="D2319" i="357"/>
  <c r="C2319" i="357"/>
  <c r="D2304" i="357"/>
  <c r="C2304" i="357"/>
  <c r="G2304" i="357" s="1"/>
  <c r="D2303" i="357"/>
  <c r="C2303" i="357"/>
  <c r="G2303" i="357" s="1"/>
  <c r="D2302" i="357"/>
  <c r="H2302" i="357" s="1"/>
  <c r="C2302" i="357"/>
  <c r="D2271" i="357"/>
  <c r="C2271" i="357"/>
  <c r="D2270" i="357"/>
  <c r="C2270" i="357"/>
  <c r="G2270" i="357" s="1"/>
  <c r="D2269" i="357"/>
  <c r="C2269" i="357"/>
  <c r="G2269" i="357" s="1"/>
  <c r="D2264" i="357"/>
  <c r="H2264" i="357" s="1"/>
  <c r="C2264" i="357"/>
  <c r="D2263" i="357"/>
  <c r="C2263" i="357"/>
  <c r="D2254" i="357"/>
  <c r="C2254" i="357"/>
  <c r="G2254" i="357" s="1"/>
  <c r="D2253" i="357"/>
  <c r="C2253" i="357"/>
  <c r="G2253" i="357" s="1"/>
  <c r="D2219" i="357"/>
  <c r="H2219" i="357" s="1"/>
  <c r="C2219" i="357"/>
  <c r="D2218" i="357"/>
  <c r="C2218" i="357"/>
  <c r="D2217" i="357"/>
  <c r="C2217" i="357"/>
  <c r="G2217" i="357" s="1"/>
  <c r="D2215" i="357"/>
  <c r="C2215" i="357"/>
  <c r="D2207" i="357"/>
  <c r="C2207" i="357"/>
  <c r="D2206" i="357"/>
  <c r="C2206" i="357"/>
  <c r="D2205" i="357"/>
  <c r="C2205" i="357"/>
  <c r="D2204" i="357"/>
  <c r="C2204" i="357"/>
  <c r="D2203" i="357"/>
  <c r="C2203" i="357"/>
  <c r="D2202" i="357"/>
  <c r="C2202" i="357"/>
  <c r="D2201" i="357"/>
  <c r="C2201" i="357"/>
  <c r="D2189" i="357"/>
  <c r="C2189" i="357"/>
  <c r="D2188" i="357"/>
  <c r="C2188" i="357"/>
  <c r="D2187" i="357"/>
  <c r="C2187" i="357"/>
  <c r="D2186" i="357"/>
  <c r="C2186" i="357"/>
  <c r="D2183" i="357"/>
  <c r="C2183" i="357"/>
  <c r="D2169" i="357"/>
  <c r="C2169" i="357"/>
  <c r="G2169" i="357" s="1"/>
  <c r="D2168" i="357"/>
  <c r="H2168" i="357" s="1"/>
  <c r="C2168" i="357"/>
  <c r="D2162" i="357"/>
  <c r="C2162" i="357"/>
  <c r="D2161" i="357"/>
  <c r="C2161" i="357"/>
  <c r="G2161" i="357" s="1"/>
  <c r="D2156" i="357"/>
  <c r="C2156" i="357"/>
  <c r="G2156" i="357" s="1"/>
  <c r="D2155" i="357"/>
  <c r="H2155" i="357" s="1"/>
  <c r="C2155" i="357"/>
  <c r="D2144" i="357"/>
  <c r="C2144" i="357"/>
  <c r="D2143" i="357"/>
  <c r="C2143" i="357"/>
  <c r="G2143" i="357" s="1"/>
  <c r="D2140" i="357"/>
  <c r="C2140" i="357"/>
  <c r="G2140" i="357" s="1"/>
  <c r="D2139" i="357"/>
  <c r="H2139" i="357" s="1"/>
  <c r="C2139" i="357"/>
  <c r="D2136" i="357"/>
  <c r="C2136" i="357"/>
  <c r="D2135" i="357"/>
  <c r="C2135" i="357"/>
  <c r="G2135" i="357" s="1"/>
  <c r="D2130" i="357"/>
  <c r="C2130" i="357"/>
  <c r="G2130" i="357" s="1"/>
  <c r="D2129" i="357"/>
  <c r="H2129" i="357" s="1"/>
  <c r="C2129" i="357"/>
  <c r="D2120" i="357"/>
  <c r="C2120" i="357"/>
  <c r="D2119" i="357"/>
  <c r="C2119" i="357"/>
  <c r="G2119" i="357" s="1"/>
  <c r="D2118" i="357"/>
  <c r="C2118" i="357"/>
  <c r="G2118" i="357" s="1"/>
  <c r="D2104" i="357"/>
  <c r="H2104" i="357" s="1"/>
  <c r="C2104" i="357"/>
  <c r="D2103" i="357"/>
  <c r="C2103" i="357"/>
  <c r="D2094" i="357"/>
  <c r="C2094" i="357"/>
  <c r="G2094" i="357" s="1"/>
  <c r="D2093" i="357"/>
  <c r="C2093" i="357"/>
  <c r="G2093" i="357" s="1"/>
  <c r="D2088" i="357"/>
  <c r="H2088" i="357" s="1"/>
  <c r="C2088" i="357"/>
  <c r="D2087" i="357"/>
  <c r="C2087" i="357"/>
  <c r="D2081" i="357"/>
  <c r="C2081" i="357"/>
  <c r="G2081" i="357" s="1"/>
  <c r="D2080" i="357"/>
  <c r="C2080" i="357"/>
  <c r="G2080" i="357" s="1"/>
  <c r="D2079" i="357"/>
  <c r="C2079" i="357"/>
  <c r="D2077" i="357"/>
  <c r="C2077" i="357"/>
  <c r="D2076" i="357"/>
  <c r="C2076" i="357"/>
  <c r="D2072" i="357"/>
  <c r="C2072" i="357"/>
  <c r="D2071" i="357"/>
  <c r="C2071" i="357"/>
  <c r="D2065" i="357"/>
  <c r="C2065" i="357"/>
  <c r="G2065" i="357" s="1"/>
  <c r="D2064" i="357"/>
  <c r="C2064" i="357"/>
  <c r="G2064" i="357" s="1"/>
  <c r="D2018" i="357"/>
  <c r="H2018" i="357" s="1"/>
  <c r="C2018" i="357"/>
  <c r="D2017" i="357"/>
  <c r="C2017" i="357"/>
  <c r="D2010" i="357"/>
  <c r="C2010" i="357"/>
  <c r="G2010" i="357" s="1"/>
  <c r="D2009" i="357"/>
  <c r="C2009" i="357"/>
  <c r="G2009" i="357" s="1"/>
  <c r="D2004" i="357"/>
  <c r="H2004" i="357" s="1"/>
  <c r="C2004" i="357"/>
  <c r="D2003" i="357"/>
  <c r="C2003" i="357"/>
  <c r="D1999" i="357"/>
  <c r="C1999" i="357"/>
  <c r="G1999" i="357" s="1"/>
  <c r="D1998" i="357"/>
  <c r="C1998" i="357"/>
  <c r="G1998" i="357" s="1"/>
  <c r="D1997" i="357"/>
  <c r="H1997" i="357" s="1"/>
  <c r="C1997" i="357"/>
  <c r="D1993" i="357"/>
  <c r="C1993" i="357"/>
  <c r="D1992" i="357"/>
  <c r="C1992" i="357"/>
  <c r="G1992" i="357" s="1"/>
  <c r="D1989" i="357"/>
  <c r="C1989" i="357"/>
  <c r="G1989" i="357" s="1"/>
  <c r="D1988" i="357"/>
  <c r="H1988" i="357" s="1"/>
  <c r="C1988" i="357"/>
  <c r="D1987" i="357"/>
  <c r="C1987" i="357"/>
  <c r="D1984" i="357"/>
  <c r="C1984" i="357"/>
  <c r="G1984" i="357" s="1"/>
  <c r="D1983" i="357"/>
  <c r="C1983" i="357"/>
  <c r="G1983" i="357" s="1"/>
  <c r="D1980" i="357"/>
  <c r="H1980" i="357" s="1"/>
  <c r="C1980" i="357"/>
  <c r="D1979" i="357"/>
  <c r="C1979" i="357"/>
  <c r="D1975" i="357"/>
  <c r="C1975" i="357"/>
  <c r="G1975" i="357" s="1"/>
  <c r="D1973" i="357"/>
  <c r="C1973" i="357"/>
  <c r="G1973" i="357" s="1"/>
  <c r="D1960" i="357"/>
  <c r="H1960" i="357" s="1"/>
  <c r="C1960" i="357"/>
  <c r="D1959" i="357"/>
  <c r="C1959" i="357"/>
  <c r="D1954" i="357"/>
  <c r="C1954" i="357"/>
  <c r="G1954" i="357" s="1"/>
  <c r="D1953" i="357"/>
  <c r="C1953" i="357"/>
  <c r="D1950" i="357"/>
  <c r="H1950" i="357" s="1"/>
  <c r="C1950" i="357"/>
  <c r="D1949" i="357"/>
  <c r="C1949" i="357"/>
  <c r="D1946" i="357"/>
  <c r="C1946" i="357"/>
  <c r="G1946" i="357" s="1"/>
  <c r="D1945" i="357"/>
  <c r="C1945" i="357"/>
  <c r="D1941" i="357"/>
  <c r="H1941" i="357" s="1"/>
  <c r="C1941" i="357"/>
  <c r="D1940" i="357"/>
  <c r="C1940" i="357"/>
  <c r="D1937" i="357"/>
  <c r="C1937" i="357"/>
  <c r="G1937" i="357" s="1"/>
  <c r="D1936" i="357"/>
  <c r="C1936" i="357"/>
  <c r="D1931" i="357"/>
  <c r="C1931" i="357"/>
  <c r="D1930" i="357"/>
  <c r="C1930" i="357"/>
  <c r="D1929" i="357"/>
  <c r="C1929" i="357"/>
  <c r="D1928" i="357"/>
  <c r="C1928" i="357"/>
  <c r="D1920" i="357"/>
  <c r="H1920" i="357" s="1"/>
  <c r="C1920" i="357"/>
  <c r="D1919" i="357"/>
  <c r="C1919" i="357"/>
  <c r="D1916" i="357"/>
  <c r="C1916" i="357"/>
  <c r="G1916" i="357" s="1"/>
  <c r="D1915" i="357"/>
  <c r="C1915" i="357"/>
  <c r="D1912" i="357"/>
  <c r="H1912" i="357" s="1"/>
  <c r="C1912" i="357"/>
  <c r="D1911" i="357"/>
  <c r="C1911" i="357"/>
  <c r="D1906" i="357"/>
  <c r="C1906" i="357"/>
  <c r="G1906" i="357" s="1"/>
  <c r="D1905" i="357"/>
  <c r="C1905" i="357"/>
  <c r="D1888" i="357"/>
  <c r="H1888" i="357" s="1"/>
  <c r="C1888" i="357"/>
  <c r="D1887" i="357"/>
  <c r="C1887" i="357"/>
  <c r="D1875" i="357"/>
  <c r="C1875" i="357"/>
  <c r="D1870" i="357"/>
  <c r="C1870" i="357"/>
  <c r="G1870" i="357" s="1"/>
  <c r="D1869" i="357"/>
  <c r="C1869" i="357"/>
  <c r="G1869" i="357" s="1"/>
  <c r="D1863" i="357"/>
  <c r="H1863" i="357" s="1"/>
  <c r="C1863" i="357"/>
  <c r="D1862" i="357"/>
  <c r="C1862" i="357"/>
  <c r="D1857" i="357"/>
  <c r="C1857" i="357"/>
  <c r="G1857" i="357" s="1"/>
  <c r="D1855" i="357"/>
  <c r="C1855" i="357"/>
  <c r="G1855" i="357" s="1"/>
  <c r="D1854" i="357"/>
  <c r="C1854" i="357"/>
  <c r="D1853" i="357"/>
  <c r="C1853" i="357"/>
  <c r="D1852" i="357"/>
  <c r="C1852" i="357"/>
  <c r="D1851" i="357"/>
  <c r="C1851" i="357"/>
  <c r="D1850" i="357"/>
  <c r="C1850" i="357"/>
  <c r="D1849" i="357"/>
  <c r="C1849" i="357"/>
  <c r="D1848" i="357"/>
  <c r="C1848" i="357"/>
  <c r="D1847" i="357"/>
  <c r="C1847" i="357"/>
  <c r="D1846" i="357"/>
  <c r="C1846" i="357"/>
  <c r="D1845" i="357"/>
  <c r="C1845" i="357"/>
  <c r="D1844" i="357"/>
  <c r="C1844" i="357"/>
  <c r="D1843" i="357"/>
  <c r="C1843" i="357"/>
  <c r="D1842" i="357"/>
  <c r="C1842" i="357"/>
  <c r="D1841" i="357"/>
  <c r="C1841" i="357"/>
  <c r="D1840" i="357"/>
  <c r="C1840" i="357"/>
  <c r="D1839" i="357"/>
  <c r="C1839" i="357"/>
  <c r="D1838" i="357"/>
  <c r="C1838" i="357"/>
  <c r="D1837" i="357"/>
  <c r="C1837" i="357"/>
  <c r="D1836" i="357"/>
  <c r="C1836" i="357"/>
  <c r="D1835" i="357"/>
  <c r="C1835" i="357"/>
  <c r="D1834" i="357"/>
  <c r="C1834" i="357"/>
  <c r="D1833" i="357"/>
  <c r="C1833" i="357"/>
  <c r="D1832" i="357"/>
  <c r="C1832" i="357"/>
  <c r="D1831" i="357"/>
  <c r="C1831" i="357"/>
  <c r="D1830" i="357"/>
  <c r="C1830" i="357"/>
  <c r="D1829" i="357"/>
  <c r="C1829" i="357"/>
  <c r="D1828" i="357"/>
  <c r="C1828" i="357"/>
  <c r="D1827" i="357"/>
  <c r="C1827" i="357"/>
  <c r="D1826" i="357"/>
  <c r="H1826" i="357" s="1"/>
  <c r="C1826" i="357"/>
  <c r="D1795" i="357"/>
  <c r="C1795" i="357"/>
  <c r="D1794" i="357"/>
  <c r="C1794" i="357"/>
  <c r="G1794" i="357" s="1"/>
  <c r="D1763" i="357"/>
  <c r="C1763" i="357"/>
  <c r="G1763" i="357" s="1"/>
  <c r="D1762" i="357"/>
  <c r="H1762" i="357" s="1"/>
  <c r="C1762" i="357"/>
  <c r="D1731" i="357"/>
  <c r="C1731" i="357"/>
  <c r="D1730" i="357"/>
  <c r="C1730" i="357"/>
  <c r="G1730" i="357" s="1"/>
  <c r="D1699" i="357"/>
  <c r="C1699" i="357"/>
  <c r="G1699" i="357" s="1"/>
  <c r="D1698" i="357"/>
  <c r="H1698" i="357" s="1"/>
  <c r="C1698" i="357"/>
  <c r="C1627" i="357"/>
  <c r="D1626" i="357"/>
  <c r="C1626" i="357"/>
  <c r="D1625" i="357"/>
  <c r="C1625" i="357"/>
  <c r="D1624" i="357"/>
  <c r="C1624" i="357"/>
  <c r="D1622" i="357"/>
  <c r="C1621" i="357"/>
  <c r="D1620" i="357"/>
  <c r="C1620" i="357"/>
  <c r="D1619" i="357"/>
  <c r="C1619" i="357"/>
  <c r="D1618" i="357"/>
  <c r="C1618" i="357"/>
  <c r="D1617" i="357"/>
  <c r="C1617" i="357"/>
  <c r="D1616" i="357"/>
  <c r="C1616" i="357"/>
  <c r="D1615" i="357"/>
  <c r="C1615" i="357"/>
  <c r="D1614" i="357"/>
  <c r="C1614" i="357"/>
  <c r="D1613" i="357"/>
  <c r="C1613" i="357"/>
  <c r="D1612" i="357"/>
  <c r="C1612" i="357"/>
  <c r="D1611" i="357"/>
  <c r="C1611" i="357"/>
  <c r="D1610" i="357"/>
  <c r="C1610" i="357"/>
  <c r="D1609" i="357"/>
  <c r="C1609" i="357"/>
  <c r="D1608" i="357"/>
  <c r="C1608" i="357"/>
  <c r="D1607" i="357"/>
  <c r="C1607" i="357"/>
  <c r="D1606" i="357"/>
  <c r="C1606" i="357"/>
  <c r="D1605" i="357"/>
  <c r="C1605" i="357"/>
  <c r="D1604" i="357"/>
  <c r="C1604" i="357"/>
  <c r="D1603" i="357"/>
  <c r="C1603" i="357"/>
  <c r="D1602" i="357"/>
  <c r="C1602" i="357"/>
  <c r="D1601" i="357"/>
  <c r="C1601" i="357"/>
  <c r="D1600" i="357"/>
  <c r="C1600" i="357"/>
  <c r="D1567" i="357"/>
  <c r="C1567" i="357"/>
  <c r="D1564" i="357"/>
  <c r="H1564" i="357" s="1"/>
  <c r="C1564" i="357"/>
  <c r="G1564" i="357" s="1"/>
  <c r="D1563" i="357"/>
  <c r="C1563" i="357"/>
  <c r="D1562" i="357"/>
  <c r="H1562" i="357" s="1"/>
  <c r="C1562" i="357"/>
  <c r="D1555" i="357"/>
  <c r="C1555" i="357"/>
  <c r="D1554" i="357"/>
  <c r="H1554" i="357" s="1"/>
  <c r="C1554" i="357"/>
  <c r="G1554" i="357" s="1"/>
  <c r="D1542" i="357"/>
  <c r="C1542" i="357"/>
  <c r="D1541" i="357"/>
  <c r="H1541" i="357" s="1"/>
  <c r="C1541" i="357"/>
  <c r="D1537" i="357"/>
  <c r="C1537" i="357"/>
  <c r="D1536" i="357"/>
  <c r="H1536" i="357" s="1"/>
  <c r="C1536" i="357"/>
  <c r="G1536" i="357" s="1"/>
  <c r="D1533" i="357"/>
  <c r="C1533" i="357"/>
  <c r="D1532" i="357"/>
  <c r="H1532" i="357" s="1"/>
  <c r="C1532" i="357"/>
  <c r="D1528" i="357"/>
  <c r="C1528" i="357"/>
  <c r="D1527" i="357"/>
  <c r="H1527" i="357" s="1"/>
  <c r="C1527" i="357"/>
  <c r="G1527" i="357" s="1"/>
  <c r="D1523" i="357"/>
  <c r="C1523" i="357"/>
  <c r="D1522" i="357"/>
  <c r="H1522" i="357" s="1"/>
  <c r="C1522" i="357"/>
  <c r="D1518" i="357"/>
  <c r="C1518" i="357"/>
  <c r="D1517" i="357"/>
  <c r="H1517" i="357" s="1"/>
  <c r="C1517" i="357"/>
  <c r="G1517" i="357" s="1"/>
  <c r="D1513" i="357"/>
  <c r="C1513" i="357"/>
  <c r="D1512" i="357"/>
  <c r="H1512" i="357" s="1"/>
  <c r="C1512" i="357"/>
  <c r="D1504" i="357"/>
  <c r="C1504" i="357"/>
  <c r="D1503" i="357"/>
  <c r="H1503" i="357" s="1"/>
  <c r="C1503" i="357"/>
  <c r="G1503" i="357" s="1"/>
  <c r="D1500" i="357"/>
  <c r="C1500" i="357"/>
  <c r="D1499" i="357"/>
  <c r="C1499" i="357"/>
  <c r="D1498" i="357"/>
  <c r="H1498" i="357" s="1"/>
  <c r="C1498" i="357"/>
  <c r="D1497" i="357"/>
  <c r="C1497" i="357"/>
  <c r="D1492" i="357"/>
  <c r="H1492" i="357" s="1"/>
  <c r="C1492" i="357"/>
  <c r="G1492" i="357" s="1"/>
  <c r="D1491" i="357"/>
  <c r="C1491" i="357"/>
  <c r="D1484" i="357"/>
  <c r="H1484" i="357" s="1"/>
  <c r="C1484" i="357"/>
  <c r="D1483" i="357"/>
  <c r="C1483" i="357"/>
  <c r="D1480" i="357"/>
  <c r="H1480" i="357" s="1"/>
  <c r="C1480" i="357"/>
  <c r="G1480" i="357" s="1"/>
  <c r="D1479" i="357"/>
  <c r="C1479" i="357"/>
  <c r="D1474" i="357"/>
  <c r="H1474" i="357" s="1"/>
  <c r="C1474" i="357"/>
  <c r="D1473" i="357"/>
  <c r="C1473" i="357"/>
  <c r="D1469" i="357"/>
  <c r="H1469" i="357" s="1"/>
  <c r="C1469" i="357"/>
  <c r="D1468" i="357"/>
  <c r="C1468" i="357"/>
  <c r="D1465" i="357"/>
  <c r="H1465" i="357" s="1"/>
  <c r="C1465" i="357"/>
  <c r="D1464" i="357"/>
  <c r="C1464" i="357"/>
  <c r="D1457" i="357"/>
  <c r="H1457" i="357" s="1"/>
  <c r="C1457" i="357"/>
  <c r="D1456" i="357"/>
  <c r="C1456" i="357"/>
  <c r="D1452" i="357"/>
  <c r="H1452" i="357" s="1"/>
  <c r="C1452" i="357"/>
  <c r="D1451" i="357"/>
  <c r="C1451" i="357"/>
  <c r="D1430" i="357"/>
  <c r="H1430" i="357" s="1"/>
  <c r="C1430" i="357"/>
  <c r="D1429" i="357"/>
  <c r="C1429" i="357"/>
  <c r="D1422" i="357"/>
  <c r="C1422" i="357"/>
  <c r="D1421" i="357"/>
  <c r="C1421" i="357"/>
  <c r="D1420" i="357"/>
  <c r="H1420" i="357" s="1"/>
  <c r="C1420" i="357"/>
  <c r="D1418" i="357"/>
  <c r="C1418" i="357"/>
  <c r="D1417" i="357"/>
  <c r="H1417" i="357" s="1"/>
  <c r="C1417" i="357"/>
  <c r="D1416" i="357"/>
  <c r="C1416" i="357"/>
  <c r="D1415" i="357"/>
  <c r="H1415" i="357" s="1"/>
  <c r="C1415" i="357"/>
  <c r="D1414" i="357"/>
  <c r="C1414" i="357"/>
  <c r="D1412" i="357"/>
  <c r="C1412" i="357"/>
  <c r="D1411" i="357"/>
  <c r="C1411" i="357"/>
  <c r="D1406" i="357"/>
  <c r="C1406" i="357"/>
  <c r="D1405" i="357"/>
  <c r="H1405" i="357" s="1"/>
  <c r="C1405" i="357"/>
  <c r="D1391" i="357"/>
  <c r="C1391" i="357"/>
  <c r="D1390" i="357"/>
  <c r="C1390" i="357"/>
  <c r="G1390" i="357" s="1"/>
  <c r="D1383" i="357"/>
  <c r="C1383" i="357"/>
  <c r="D1382" i="357"/>
  <c r="H1382" i="357" s="1"/>
  <c r="C1382" i="357"/>
  <c r="D1376" i="357"/>
  <c r="C1376" i="357"/>
  <c r="D1375" i="357"/>
  <c r="C1375" i="357"/>
  <c r="D1374" i="357"/>
  <c r="C1374" i="357"/>
  <c r="D1361" i="357"/>
  <c r="C1361" i="357"/>
  <c r="D1360" i="357"/>
  <c r="C1360" i="357"/>
  <c r="D1359" i="357"/>
  <c r="C1359" i="357"/>
  <c r="D1344" i="357"/>
  <c r="C1344" i="357"/>
  <c r="D1337" i="357"/>
  <c r="H1337" i="357" s="1"/>
  <c r="C1337" i="357"/>
  <c r="D1336" i="357"/>
  <c r="C1336" i="357"/>
  <c r="D1331" i="357"/>
  <c r="C1331" i="357"/>
  <c r="G1331" i="357" s="1"/>
  <c r="D1330" i="357"/>
  <c r="C1330" i="357"/>
  <c r="D1329" i="357"/>
  <c r="H1329" i="357" s="1"/>
  <c r="C1329" i="357"/>
  <c r="D1311" i="357"/>
  <c r="C1311" i="357"/>
  <c r="D1310" i="357"/>
  <c r="C1310" i="357"/>
  <c r="G1310" i="357" s="1"/>
  <c r="D1309" i="357"/>
  <c r="C1309" i="357"/>
  <c r="D1306" i="357"/>
  <c r="H1306" i="357" s="1"/>
  <c r="C1306" i="357"/>
  <c r="D1305" i="357"/>
  <c r="C1305" i="357"/>
  <c r="D1301" i="357"/>
  <c r="C1301" i="357"/>
  <c r="G1301" i="357" s="1"/>
  <c r="D1300" i="357"/>
  <c r="C1300" i="357"/>
  <c r="D1299" i="357"/>
  <c r="C1299" i="357"/>
  <c r="D1296" i="357"/>
  <c r="C1296" i="357"/>
  <c r="D1295" i="357"/>
  <c r="C1295" i="357"/>
  <c r="D1293" i="357"/>
  <c r="C1293" i="357"/>
  <c r="D1274" i="357"/>
  <c r="C1274" i="357"/>
  <c r="D1273" i="357"/>
  <c r="C1273" i="357"/>
  <c r="D1256" i="357"/>
  <c r="C1256" i="357"/>
  <c r="D1255" i="357"/>
  <c r="C1255" i="357"/>
  <c r="D1254" i="357"/>
  <c r="C1254" i="357"/>
  <c r="D1253" i="357"/>
  <c r="C1253" i="357"/>
  <c r="D1250" i="357"/>
  <c r="C1250" i="357"/>
  <c r="D1242" i="357"/>
  <c r="C1242" i="357"/>
  <c r="D1241" i="357"/>
  <c r="C1241" i="357"/>
  <c r="D1238" i="357"/>
  <c r="C1238" i="357"/>
  <c r="D1237" i="357"/>
  <c r="C1237" i="357"/>
  <c r="G1237" i="357" s="1"/>
  <c r="D1233" i="357"/>
  <c r="C1233" i="357"/>
  <c r="D1232" i="357"/>
  <c r="C1232" i="357"/>
  <c r="D1227" i="357"/>
  <c r="C1227" i="357"/>
  <c r="D1226" i="357"/>
  <c r="C1226" i="357"/>
  <c r="G1226" i="357" s="1"/>
  <c r="D1223" i="357"/>
  <c r="C1223" i="357"/>
  <c r="D1215" i="357"/>
  <c r="C1215" i="357"/>
  <c r="D1214" i="357"/>
  <c r="H1214" i="357" s="1"/>
  <c r="C1214" i="357"/>
  <c r="D1213" i="357"/>
  <c r="C1213" i="357"/>
  <c r="D1212" i="357"/>
  <c r="C1212" i="357"/>
  <c r="D1193" i="357"/>
  <c r="C1193" i="357"/>
  <c r="D1192" i="357"/>
  <c r="H1192" i="357" s="1"/>
  <c r="C1192" i="357"/>
  <c r="D1187" i="357"/>
  <c r="C1187" i="357"/>
  <c r="D1186" i="357"/>
  <c r="C1186" i="357"/>
  <c r="D1176" i="357"/>
  <c r="C1176" i="357"/>
  <c r="D1175" i="357"/>
  <c r="H1175" i="357" s="1"/>
  <c r="C1175" i="357"/>
  <c r="D1155" i="357"/>
  <c r="C1155" i="357"/>
  <c r="D1154" i="357"/>
  <c r="C1154" i="357"/>
  <c r="D1134" i="357"/>
  <c r="C1134" i="357"/>
  <c r="D1133" i="357"/>
  <c r="H1133" i="357" s="1"/>
  <c r="C1133" i="357"/>
  <c r="D1127" i="357"/>
  <c r="C1127" i="357"/>
  <c r="D1126" i="357"/>
  <c r="C1126" i="357"/>
  <c r="D1120" i="357"/>
  <c r="C1120" i="357"/>
  <c r="D1119" i="357"/>
  <c r="H1119" i="357" s="1"/>
  <c r="C1119" i="357"/>
  <c r="D1099" i="357"/>
  <c r="C1099" i="357"/>
  <c r="D1098" i="357"/>
  <c r="C1098" i="357"/>
  <c r="D1090" i="357"/>
  <c r="C1090" i="357"/>
  <c r="D1089" i="357"/>
  <c r="H1089" i="357" s="1"/>
  <c r="C1089" i="357"/>
  <c r="D1069" i="357"/>
  <c r="C1069" i="357"/>
  <c r="D1068" i="357"/>
  <c r="C1068" i="357"/>
  <c r="D1048" i="357"/>
  <c r="C1048" i="357"/>
  <c r="D1047" i="357"/>
  <c r="H1047" i="357" s="1"/>
  <c r="C1047" i="357"/>
  <c r="D1043" i="357"/>
  <c r="C1043" i="357"/>
  <c r="D1042" i="357"/>
  <c r="C1042" i="357"/>
  <c r="D1034" i="357"/>
  <c r="C1034" i="357"/>
  <c r="D1033" i="357"/>
  <c r="H1033" i="357" s="1"/>
  <c r="C1033" i="357"/>
  <c r="D1013" i="357"/>
  <c r="C1013" i="357"/>
  <c r="D1012" i="357"/>
  <c r="C1012" i="357"/>
  <c r="D992" i="357"/>
  <c r="C992" i="357"/>
  <c r="D991" i="357"/>
  <c r="H991" i="357" s="1"/>
  <c r="C991" i="357"/>
  <c r="D971" i="357"/>
  <c r="C971" i="357"/>
  <c r="D970" i="357"/>
  <c r="C970" i="357"/>
  <c r="D949" i="357"/>
  <c r="C949" i="357"/>
  <c r="D948" i="357"/>
  <c r="C948" i="357"/>
  <c r="D947" i="357"/>
  <c r="C947" i="357"/>
  <c r="D946" i="357"/>
  <c r="C946" i="357"/>
  <c r="D943" i="357"/>
  <c r="C943" i="357"/>
  <c r="D942" i="357"/>
  <c r="C942" i="357"/>
  <c r="D939" i="357"/>
  <c r="C939" i="357"/>
  <c r="D938" i="357"/>
  <c r="C938" i="357"/>
  <c r="D932" i="357"/>
  <c r="C932" i="357"/>
  <c r="D931" i="357"/>
  <c r="C931" i="357"/>
  <c r="D928" i="357"/>
  <c r="C928" i="357"/>
  <c r="D927" i="357"/>
  <c r="C927" i="357"/>
  <c r="D924" i="357"/>
  <c r="C924" i="357"/>
  <c r="D923" i="357"/>
  <c r="C923" i="357"/>
  <c r="D919" i="357"/>
  <c r="C919" i="357"/>
  <c r="D918" i="357"/>
  <c r="C918" i="357"/>
  <c r="D916" i="357"/>
  <c r="C916" i="357"/>
  <c r="D913" i="357"/>
  <c r="C913" i="357"/>
  <c r="D912" i="357"/>
  <c r="C912" i="357"/>
  <c r="D911" i="357"/>
  <c r="C911" i="357"/>
  <c r="D909" i="357"/>
  <c r="C909" i="357"/>
  <c r="D896" i="357"/>
  <c r="C896" i="357"/>
  <c r="D895" i="357"/>
  <c r="C895" i="357"/>
  <c r="D894" i="357"/>
  <c r="C894" i="357"/>
  <c r="D893" i="357"/>
  <c r="C893" i="357"/>
  <c r="D892" i="357"/>
  <c r="C892" i="357"/>
  <c r="D891" i="357"/>
  <c r="C891" i="357"/>
  <c r="D890" i="357"/>
  <c r="C890" i="357"/>
  <c r="D889" i="357"/>
  <c r="C889" i="357"/>
  <c r="D888" i="357"/>
  <c r="C888" i="357"/>
  <c r="D887" i="357"/>
  <c r="C887" i="357"/>
  <c r="D873" i="357"/>
  <c r="C873" i="357"/>
  <c r="D859" i="357"/>
  <c r="C859" i="357"/>
  <c r="D858" i="357"/>
  <c r="C858" i="357"/>
  <c r="D857" i="357"/>
  <c r="C857" i="357"/>
  <c r="D856" i="357"/>
  <c r="C856" i="357"/>
  <c r="D855" i="357"/>
  <c r="C855" i="357"/>
  <c r="D854" i="357"/>
  <c r="C854" i="357"/>
  <c r="D853" i="357"/>
  <c r="C853" i="357"/>
  <c r="D852" i="357"/>
  <c r="C852" i="357"/>
  <c r="D851" i="357"/>
  <c r="C851" i="357"/>
  <c r="D850" i="357"/>
  <c r="C850" i="357"/>
  <c r="D848" i="357"/>
  <c r="C848" i="357"/>
  <c r="D847" i="357"/>
  <c r="C847" i="357"/>
  <c r="D846" i="357"/>
  <c r="C846" i="357"/>
  <c r="D845" i="357"/>
  <c r="C845" i="357"/>
  <c r="D844" i="357"/>
  <c r="C844" i="357"/>
  <c r="D831" i="357"/>
  <c r="C831" i="357"/>
  <c r="D830" i="357"/>
  <c r="C830" i="357"/>
  <c r="D824" i="357"/>
  <c r="C824" i="357"/>
  <c r="D823" i="357"/>
  <c r="C823" i="357"/>
  <c r="D809" i="357"/>
  <c r="C809" i="357"/>
  <c r="D808" i="357"/>
  <c r="C808" i="357"/>
  <c r="D794" i="357"/>
  <c r="C794" i="357"/>
  <c r="D782" i="357"/>
  <c r="C782" i="357"/>
  <c r="D781" i="357"/>
  <c r="C781" i="357"/>
  <c r="D780" i="357"/>
  <c r="C780" i="357"/>
  <c r="D779" i="357"/>
  <c r="C779" i="357"/>
  <c r="D778" i="357"/>
  <c r="C778" i="357"/>
  <c r="D777" i="357"/>
  <c r="C777" i="357"/>
  <c r="D776" i="357"/>
  <c r="C776" i="357"/>
  <c r="D775" i="357"/>
  <c r="C775" i="357"/>
  <c r="D774" i="357"/>
  <c r="C774" i="357"/>
  <c r="D773" i="357"/>
  <c r="C773" i="357"/>
  <c r="D759" i="357"/>
  <c r="C759" i="357"/>
  <c r="D758" i="357"/>
  <c r="C758" i="357"/>
  <c r="D746" i="357"/>
  <c r="C746" i="357"/>
  <c r="D745" i="357"/>
  <c r="C745" i="357"/>
  <c r="D744" i="357"/>
  <c r="C744" i="357"/>
  <c r="D743" i="357"/>
  <c r="C743" i="357"/>
  <c r="D742" i="357"/>
  <c r="C742" i="357"/>
  <c r="D741" i="357"/>
  <c r="C741" i="357"/>
  <c r="D740" i="357"/>
  <c r="C740" i="357"/>
  <c r="D739" i="357"/>
  <c r="C739" i="357"/>
  <c r="D738" i="357"/>
  <c r="C738" i="357"/>
  <c r="D737" i="357"/>
  <c r="C737" i="357"/>
  <c r="D736" i="357"/>
  <c r="C736" i="357"/>
  <c r="D734" i="357"/>
  <c r="C734" i="357"/>
  <c r="D733" i="357"/>
  <c r="C733" i="357"/>
  <c r="D732" i="357"/>
  <c r="C732" i="357"/>
  <c r="D731" i="357"/>
  <c r="C731" i="357"/>
  <c r="D730" i="357"/>
  <c r="C730" i="357"/>
  <c r="D717" i="357"/>
  <c r="C717" i="357"/>
  <c r="D716" i="357"/>
  <c r="C716" i="357"/>
  <c r="D705" i="357"/>
  <c r="C705" i="357"/>
  <c r="D704" i="357"/>
  <c r="C704" i="357"/>
  <c r="D703" i="357"/>
  <c r="C703" i="357"/>
  <c r="D702" i="357"/>
  <c r="C702" i="357"/>
  <c r="D701" i="357"/>
  <c r="C701" i="357"/>
  <c r="D700" i="357"/>
  <c r="C700" i="357"/>
  <c r="D699" i="357"/>
  <c r="C699" i="357"/>
  <c r="D698" i="357"/>
  <c r="C698" i="357"/>
  <c r="D697" i="357"/>
  <c r="C697" i="357"/>
  <c r="D696" i="357"/>
  <c r="C696" i="357"/>
  <c r="D671" i="357"/>
  <c r="C671" i="357"/>
  <c r="D670" i="357"/>
  <c r="C670" i="357"/>
  <c r="D669" i="357"/>
  <c r="C669" i="357"/>
  <c r="D668" i="357"/>
  <c r="C668" i="357"/>
  <c r="D667" i="357"/>
  <c r="C667" i="357"/>
  <c r="D666" i="357"/>
  <c r="C666" i="357"/>
  <c r="D665" i="357"/>
  <c r="C665" i="357"/>
  <c r="D664" i="357"/>
  <c r="C664" i="357"/>
  <c r="D663" i="357"/>
  <c r="C663" i="357"/>
  <c r="D662" i="357"/>
  <c r="C662" i="357"/>
  <c r="D661" i="357"/>
  <c r="C661" i="357"/>
  <c r="D659" i="357"/>
  <c r="C659" i="357"/>
  <c r="D658" i="357"/>
  <c r="C658" i="357"/>
  <c r="D657" i="357"/>
  <c r="C657" i="357"/>
  <c r="D656" i="357"/>
  <c r="C656" i="357"/>
  <c r="D655" i="357"/>
  <c r="C655" i="357"/>
  <c r="D641" i="357"/>
  <c r="C641" i="357"/>
  <c r="D640" i="357"/>
  <c r="C640" i="357"/>
  <c r="D633" i="357"/>
  <c r="C633" i="357"/>
  <c r="D632" i="357"/>
  <c r="C632" i="357"/>
  <c r="D631" i="357"/>
  <c r="C631" i="357"/>
  <c r="D627" i="357"/>
  <c r="C627" i="357"/>
  <c r="D626" i="357"/>
  <c r="C626" i="357"/>
  <c r="D625" i="357"/>
  <c r="C625" i="357"/>
  <c r="D606" i="357"/>
  <c r="C606" i="357"/>
  <c r="D605" i="357"/>
  <c r="C605" i="357"/>
  <c r="D604" i="357"/>
  <c r="C604" i="357"/>
  <c r="D603" i="357"/>
  <c r="C603" i="357"/>
  <c r="D602" i="357"/>
  <c r="C602" i="357"/>
  <c r="D601" i="357"/>
  <c r="C601" i="357"/>
  <c r="D600" i="357"/>
  <c r="C600" i="357"/>
  <c r="D599" i="357"/>
  <c r="C599" i="357"/>
  <c r="D598" i="357"/>
  <c r="C598" i="357"/>
  <c r="D597" i="357"/>
  <c r="C597" i="357"/>
  <c r="D596" i="357"/>
  <c r="C596" i="357"/>
  <c r="D595" i="357"/>
  <c r="C595" i="357"/>
  <c r="D594" i="357"/>
  <c r="C594" i="357"/>
  <c r="D593" i="357"/>
  <c r="C593" i="357"/>
  <c r="D592" i="357"/>
  <c r="C592" i="357"/>
  <c r="D591" i="357"/>
  <c r="C591" i="357"/>
  <c r="D577" i="357"/>
  <c r="C577" i="357"/>
  <c r="D576" i="357"/>
  <c r="C576" i="357"/>
  <c r="D514" i="357"/>
  <c r="C514" i="357"/>
  <c r="D513" i="357"/>
  <c r="C513" i="357"/>
  <c r="D485" i="357"/>
  <c r="C485" i="357"/>
  <c r="D484" i="357"/>
  <c r="C484" i="357"/>
  <c r="D468" i="357"/>
  <c r="C468" i="357"/>
  <c r="D467" i="357"/>
  <c r="C467" i="357"/>
  <c r="D466" i="357"/>
  <c r="C466" i="357"/>
  <c r="D465" i="357"/>
  <c r="C465" i="357"/>
  <c r="D463" i="357"/>
  <c r="C463" i="357"/>
  <c r="D462" i="357"/>
  <c r="C462" i="357"/>
  <c r="D461" i="357"/>
  <c r="C461" i="357"/>
  <c r="D460" i="357"/>
  <c r="C460" i="357"/>
  <c r="D459" i="357"/>
  <c r="C459" i="357"/>
  <c r="D458" i="357"/>
  <c r="C458" i="357"/>
  <c r="D457" i="357"/>
  <c r="C457" i="357"/>
  <c r="D456" i="357"/>
  <c r="C456" i="357"/>
  <c r="D455" i="357"/>
  <c r="C455" i="357"/>
  <c r="D454" i="357"/>
  <c r="C454" i="357"/>
  <c r="D453" i="357"/>
  <c r="C453" i="357"/>
  <c r="D452" i="357"/>
  <c r="C452" i="357"/>
  <c r="D451" i="357"/>
  <c r="C451" i="357"/>
  <c r="D450" i="357"/>
  <c r="C450" i="357"/>
  <c r="D449" i="357"/>
  <c r="C449" i="357"/>
  <c r="D448" i="357"/>
  <c r="C448" i="357"/>
  <c r="D447" i="357"/>
  <c r="C447" i="357"/>
  <c r="D446" i="357"/>
  <c r="C446" i="357"/>
  <c r="D445" i="357"/>
  <c r="C445" i="357"/>
  <c r="D444" i="357"/>
  <c r="C444" i="357"/>
  <c r="D443" i="357"/>
  <c r="C443" i="357"/>
  <c r="D442" i="357"/>
  <c r="C442" i="357"/>
  <c r="D441" i="357"/>
  <c r="C441" i="357"/>
  <c r="D440" i="357"/>
  <c r="C440" i="357"/>
  <c r="D439" i="357"/>
  <c r="C439" i="357"/>
  <c r="D438" i="357"/>
  <c r="C438" i="357"/>
  <c r="D437" i="357"/>
  <c r="C437" i="357"/>
  <c r="D436" i="357"/>
  <c r="C436" i="357"/>
  <c r="D435" i="357"/>
  <c r="C435" i="357"/>
  <c r="D404" i="357"/>
  <c r="C404" i="357"/>
  <c r="D403" i="357"/>
  <c r="C403" i="357"/>
  <c r="D373" i="357"/>
  <c r="C373" i="357"/>
  <c r="D372" i="357"/>
  <c r="C372" i="357"/>
  <c r="D342" i="357"/>
  <c r="C342" i="357"/>
  <c r="D341" i="357"/>
  <c r="C341" i="357"/>
  <c r="D329" i="357"/>
  <c r="C329" i="357"/>
  <c r="D328" i="357"/>
  <c r="C328" i="357"/>
  <c r="D310" i="357"/>
  <c r="C310" i="357"/>
  <c r="D309" i="357"/>
  <c r="C309" i="357"/>
  <c r="D295" i="357"/>
  <c r="C295" i="357"/>
  <c r="D294" i="357"/>
  <c r="C294" i="357"/>
  <c r="D279" i="357"/>
  <c r="C279" i="357"/>
  <c r="D278" i="357"/>
  <c r="C278" i="357"/>
  <c r="D233" i="357"/>
  <c r="C233" i="357"/>
  <c r="D232" i="357"/>
  <c r="C232" i="357"/>
  <c r="D185" i="357"/>
  <c r="C185" i="357"/>
  <c r="D184" i="357"/>
  <c r="C184" i="357"/>
  <c r="D156" i="357"/>
  <c r="C156" i="357"/>
  <c r="D155" i="357"/>
  <c r="C155" i="357"/>
  <c r="D154" i="357"/>
  <c r="C154" i="357"/>
  <c r="D151" i="357"/>
  <c r="C151" i="357"/>
  <c r="D148" i="357"/>
  <c r="C148" i="357"/>
  <c r="D145" i="357"/>
  <c r="C145" i="357"/>
  <c r="D142" i="357"/>
  <c r="C142" i="357"/>
  <c r="D138" i="357"/>
  <c r="C138" i="357"/>
  <c r="D137" i="357"/>
  <c r="C137" i="357"/>
  <c r="D136" i="357"/>
  <c r="C136" i="357"/>
  <c r="D135" i="357"/>
  <c r="C135" i="357"/>
  <c r="D120" i="357"/>
  <c r="C120" i="357"/>
  <c r="D119" i="357"/>
  <c r="C119" i="357"/>
  <c r="D118" i="357"/>
  <c r="C118" i="357"/>
  <c r="D102" i="357"/>
  <c r="C102" i="357"/>
  <c r="D101" i="357"/>
  <c r="C101" i="357"/>
  <c r="D100" i="357"/>
  <c r="C100" i="357"/>
  <c r="D91" i="357"/>
  <c r="C91" i="357"/>
  <c r="D90" i="357"/>
  <c r="C90" i="357"/>
  <c r="D89" i="357"/>
  <c r="C89" i="357"/>
  <c r="D71" i="357"/>
  <c r="C71" i="357"/>
  <c r="D70" i="357"/>
  <c r="C70" i="357"/>
  <c r="D35" i="357"/>
  <c r="C35" i="357"/>
  <c r="D34" i="357"/>
  <c r="C34" i="357"/>
  <c r="D33" i="357"/>
  <c r="C33" i="357"/>
  <c r="D28" i="357"/>
  <c r="C28" i="357"/>
  <c r="D27" i="357"/>
  <c r="C27" i="357"/>
  <c r="D22" i="357"/>
  <c r="C22" i="357"/>
  <c r="D21" i="357"/>
  <c r="C21" i="357"/>
  <c r="C2479" i="357"/>
  <c r="C2474" i="357"/>
  <c r="D2462" i="357"/>
  <c r="D2460" i="357"/>
  <c r="D2455" i="357"/>
  <c r="D2448" i="357"/>
  <c r="D2447" i="357"/>
  <c r="D2445" i="357"/>
  <c r="C2440" i="357"/>
  <c r="D2434" i="357"/>
  <c r="C2434" i="357"/>
  <c r="C2433" i="357"/>
  <c r="C2422" i="357"/>
  <c r="D2422" i="357"/>
  <c r="C2415" i="357"/>
  <c r="D2410" i="357"/>
  <c r="C2410" i="357"/>
  <c r="C2405" i="357"/>
  <c r="D2405" i="357"/>
  <c r="D2390" i="357"/>
  <c r="D2385" i="357"/>
  <c r="C2380" i="357"/>
  <c r="D2379" i="357"/>
  <c r="C2376" i="357"/>
  <c r="C2371" i="357"/>
  <c r="C2366" i="357"/>
  <c r="C2360" i="357"/>
  <c r="D2360" i="357"/>
  <c r="C2359" i="357"/>
  <c r="D2358" i="357"/>
  <c r="C2354" i="357"/>
  <c r="C2349" i="357"/>
  <c r="D2349" i="357"/>
  <c r="D2344" i="357"/>
  <c r="D2339" i="357"/>
  <c r="C2339" i="357"/>
  <c r="C2334" i="357"/>
  <c r="D2318" i="357"/>
  <c r="C2317" i="357"/>
  <c r="D2316" i="357"/>
  <c r="C2315" i="357"/>
  <c r="D2315" i="357"/>
  <c r="D2313" i="357"/>
  <c r="D2312" i="357"/>
  <c r="C2311" i="357"/>
  <c r="D2310" i="357"/>
  <c r="C2310" i="357"/>
  <c r="D2309" i="357"/>
  <c r="D2308" i="357"/>
  <c r="D2306" i="357"/>
  <c r="D2301" i="357"/>
  <c r="C2300" i="357"/>
  <c r="C2299" i="357"/>
  <c r="C2298" i="357"/>
  <c r="D2297" i="357"/>
  <c r="D2295" i="357"/>
  <c r="C2293" i="357"/>
  <c r="D2292" i="357"/>
  <c r="C2291" i="357"/>
  <c r="D2291" i="357"/>
  <c r="C2289" i="357"/>
  <c r="C2288" i="357"/>
  <c r="D2286" i="357"/>
  <c r="C2285" i="357"/>
  <c r="D2284" i="357"/>
  <c r="C2284" i="357"/>
  <c r="C2283" i="357"/>
  <c r="D2283" i="357"/>
  <c r="C2281" i="357"/>
  <c r="C2280" i="357"/>
  <c r="D2278" i="357"/>
  <c r="D2277" i="357"/>
  <c r="D2276" i="357"/>
  <c r="C2275" i="357"/>
  <c r="D2275" i="357"/>
  <c r="C2274" i="357"/>
  <c r="D2272" i="357"/>
  <c r="D2268" i="357"/>
  <c r="D2267" i="357"/>
  <c r="D2262" i="357"/>
  <c r="C2261" i="357"/>
  <c r="D2261" i="357"/>
  <c r="C2259" i="357"/>
  <c r="D2258" i="357"/>
  <c r="C2258" i="357"/>
  <c r="D2257" i="357"/>
  <c r="D2252" i="357"/>
  <c r="C2251" i="357"/>
  <c r="D2249" i="357"/>
  <c r="C2247" i="357"/>
  <c r="D2245" i="357"/>
  <c r="D2244" i="357"/>
  <c r="D2243" i="357"/>
  <c r="C2242" i="357"/>
  <c r="D2241" i="357"/>
  <c r="C2240" i="357"/>
  <c r="C2239" i="357"/>
  <c r="C2238" i="357"/>
  <c r="D2238" i="357"/>
  <c r="C2237" i="357"/>
  <c r="C2236" i="357"/>
  <c r="D2235" i="357"/>
  <c r="D2233" i="357"/>
  <c r="D2231" i="357"/>
  <c r="C2231" i="357"/>
  <c r="D2230" i="357"/>
  <c r="C2228" i="357"/>
  <c r="D2228" i="357"/>
  <c r="D2227" i="357"/>
  <c r="D2226" i="357"/>
  <c r="D2225" i="357"/>
  <c r="D2224" i="357"/>
  <c r="D2223" i="357"/>
  <c r="C2223" i="357"/>
  <c r="D2222" i="357"/>
  <c r="C2216" i="357"/>
  <c r="C2199" i="357"/>
  <c r="D2198" i="357"/>
  <c r="C2197" i="357"/>
  <c r="D2196" i="357"/>
  <c r="C2195" i="357"/>
  <c r="D2195" i="357"/>
  <c r="C2193" i="357"/>
  <c r="D2192" i="357"/>
  <c r="C2192" i="357"/>
  <c r="C2190" i="357"/>
  <c r="C2185" i="357"/>
  <c r="D2184" i="357"/>
  <c r="C2182" i="357"/>
  <c r="D2181" i="357"/>
  <c r="C2180" i="357"/>
  <c r="D2179" i="357"/>
  <c r="D2177" i="357"/>
  <c r="D2176" i="357"/>
  <c r="D2167" i="357"/>
  <c r="D2166" i="357"/>
  <c r="D2160" i="357"/>
  <c r="D2154" i="357"/>
  <c r="C2152" i="357"/>
  <c r="C2151" i="357"/>
  <c r="D2151" i="357"/>
  <c r="C2150" i="357"/>
  <c r="D2149" i="357"/>
  <c r="C2147" i="357"/>
  <c r="D2146" i="357"/>
  <c r="D2142" i="357"/>
  <c r="C2141" i="357"/>
  <c r="D2138" i="357"/>
  <c r="C2128" i="357"/>
  <c r="C2127" i="357"/>
  <c r="D2126" i="357"/>
  <c r="C2125" i="357"/>
  <c r="D2124" i="357"/>
  <c r="D2115" i="357"/>
  <c r="C2113" i="357"/>
  <c r="D2112" i="357"/>
  <c r="C2110" i="357"/>
  <c r="D2109" i="357"/>
  <c r="D2108" i="357"/>
  <c r="C2108" i="357"/>
  <c r="D2063" i="357"/>
  <c r="C2102" i="357"/>
  <c r="C2101" i="357"/>
  <c r="D2100" i="357"/>
  <c r="C2098" i="357"/>
  <c r="D2098" i="357"/>
  <c r="D2092" i="357"/>
  <c r="C2091" i="357"/>
  <c r="C2086" i="357"/>
  <c r="C2085" i="357"/>
  <c r="D2085" i="357"/>
  <c r="D2084" i="357"/>
  <c r="C2075" i="357"/>
  <c r="D2070" i="357"/>
  <c r="D2069" i="357"/>
  <c r="D2068" i="357"/>
  <c r="C2061" i="357"/>
  <c r="C2060" i="357"/>
  <c r="D2060" i="357"/>
  <c r="C2059" i="357"/>
  <c r="D2058" i="357"/>
  <c r="D2056" i="357"/>
  <c r="D2055" i="357"/>
  <c r="D2053" i="357"/>
  <c r="C2052" i="357"/>
  <c r="C2051" i="357"/>
  <c r="D2051" i="357"/>
  <c r="D2050" i="357"/>
  <c r="C2050" i="357"/>
  <c r="D2049" i="357"/>
  <c r="C2047" i="357"/>
  <c r="D2046" i="357"/>
  <c r="C2046" i="357"/>
  <c r="C2045" i="357"/>
  <c r="D2044" i="357"/>
  <c r="C2041" i="357"/>
  <c r="D2041" i="357"/>
  <c r="C2040" i="357"/>
  <c r="D2039" i="357"/>
  <c r="C2038" i="357"/>
  <c r="D2038" i="357"/>
  <c r="D2037" i="357"/>
  <c r="C2036" i="357"/>
  <c r="C2034" i="357"/>
  <c r="D2033" i="357"/>
  <c r="C2032" i="357"/>
  <c r="D2032" i="357"/>
  <c r="C2031" i="357"/>
  <c r="C2030" i="357"/>
  <c r="D2028" i="357"/>
  <c r="D2027" i="357"/>
  <c r="C2025" i="357"/>
  <c r="C2024" i="357"/>
  <c r="C2023" i="357"/>
  <c r="D2023" i="357"/>
  <c r="C2022" i="357"/>
  <c r="C2020" i="357"/>
  <c r="D2020" i="357"/>
  <c r="C2014" i="357"/>
  <c r="D2014" i="357"/>
  <c r="D2013" i="357"/>
  <c r="C2012" i="357"/>
  <c r="C2008" i="357"/>
  <c r="D2006" i="357"/>
  <c r="D1996" i="357"/>
  <c r="C1991" i="357"/>
  <c r="C1990" i="357"/>
  <c r="D1982" i="357"/>
  <c r="D1978" i="357"/>
  <c r="C1958" i="357"/>
  <c r="C1952" i="357"/>
  <c r="D1952" i="357"/>
  <c r="C1948" i="357"/>
  <c r="C1944" i="357"/>
  <c r="C1943" i="357"/>
  <c r="C1939" i="357"/>
  <c r="D1935" i="357"/>
  <c r="C1927" i="357"/>
  <c r="C1926" i="357"/>
  <c r="D1925" i="357"/>
  <c r="C1923" i="357"/>
  <c r="D1922" i="357"/>
  <c r="C1914" i="357"/>
  <c r="D1910" i="357"/>
  <c r="C1909" i="357"/>
  <c r="D1908" i="357"/>
  <c r="C1908" i="357"/>
  <c r="D1904" i="357"/>
  <c r="D1899" i="357"/>
  <c r="D1898" i="357"/>
  <c r="D1897" i="357"/>
  <c r="D1896" i="357"/>
  <c r="C1895" i="357"/>
  <c r="C1893" i="357"/>
  <c r="D1891" i="357"/>
  <c r="C1891" i="357"/>
  <c r="C1890" i="357"/>
  <c r="D1886" i="357"/>
  <c r="C1884" i="357"/>
  <c r="C1883" i="357"/>
  <c r="D1883" i="357"/>
  <c r="D1880" i="357"/>
  <c r="C1879" i="357"/>
  <c r="D1879" i="357"/>
  <c r="C1878" i="357"/>
  <c r="D1877" i="357"/>
  <c r="C1876" i="357"/>
  <c r="D1873" i="357"/>
  <c r="C1873" i="357"/>
  <c r="D1868" i="357"/>
  <c r="C1868" i="357"/>
  <c r="D1867" i="357"/>
  <c r="C1866" i="357"/>
  <c r="D1859" i="357"/>
  <c r="C1824" i="357"/>
  <c r="C1822" i="357"/>
  <c r="D1821" i="357"/>
  <c r="C1820" i="357"/>
  <c r="D1819" i="357"/>
  <c r="D1818" i="357"/>
  <c r="C1816" i="357"/>
  <c r="D1815" i="357"/>
  <c r="C1814" i="357"/>
  <c r="D1812" i="357"/>
  <c r="C1812" i="357"/>
  <c r="D1811" i="357"/>
  <c r="D1810" i="357"/>
  <c r="C1810" i="357"/>
  <c r="C1809" i="357"/>
  <c r="C1808" i="357"/>
  <c r="D1807" i="357"/>
  <c r="D1806" i="357"/>
  <c r="C1804" i="357"/>
  <c r="C1803" i="357"/>
  <c r="D1803" i="357"/>
  <c r="C1802" i="357"/>
  <c r="D1801" i="357"/>
  <c r="D1800" i="357"/>
  <c r="D1798" i="357"/>
  <c r="D1797" i="357"/>
  <c r="C1793" i="357"/>
  <c r="C1792" i="357"/>
  <c r="D1787" i="357"/>
  <c r="D1784" i="357"/>
  <c r="C1784" i="357"/>
  <c r="C1783" i="357"/>
  <c r="D1782" i="357"/>
  <c r="C1782" i="357"/>
  <c r="D1780" i="357"/>
  <c r="D1779" i="357"/>
  <c r="C1779" i="357"/>
  <c r="D1778" i="357"/>
  <c r="C1777" i="357"/>
  <c r="C1776" i="357"/>
  <c r="C1775" i="357"/>
  <c r="C1774" i="357"/>
  <c r="D1774" i="357"/>
  <c r="C1773" i="357"/>
  <c r="D1772" i="357"/>
  <c r="D1771" i="357"/>
  <c r="D1770" i="357"/>
  <c r="D1768" i="357"/>
  <c r="C1766" i="357"/>
  <c r="D1761" i="357"/>
  <c r="D1760" i="357"/>
  <c r="D1759" i="357"/>
  <c r="D1757" i="357"/>
  <c r="D1756" i="357"/>
  <c r="C1754" i="357"/>
  <c r="D1752" i="357"/>
  <c r="C1752" i="357"/>
  <c r="C1751" i="357"/>
  <c r="C1749" i="357"/>
  <c r="C1747" i="357"/>
  <c r="C1746" i="357"/>
  <c r="D1745" i="357"/>
  <c r="C1744" i="357"/>
  <c r="D1743" i="357"/>
  <c r="D1741" i="357"/>
  <c r="D1739" i="357"/>
  <c r="C1739" i="357"/>
  <c r="D1738" i="357"/>
  <c r="C1738" i="357"/>
  <c r="C1736" i="357"/>
  <c r="D1734" i="357"/>
  <c r="D1733" i="357"/>
  <c r="D1727" i="357"/>
  <c r="C1727" i="357"/>
  <c r="C1726" i="357"/>
  <c r="D1725" i="357"/>
  <c r="C1721" i="357"/>
  <c r="D1720" i="357"/>
  <c r="C1719" i="357"/>
  <c r="D1718" i="357"/>
  <c r="D1716" i="357"/>
  <c r="D1714" i="357"/>
  <c r="C1713" i="357"/>
  <c r="D1713" i="357"/>
  <c r="C1712" i="357"/>
  <c r="C1711" i="357"/>
  <c r="D1711" i="357"/>
  <c r="C1709" i="357"/>
  <c r="C1707" i="357"/>
  <c r="C1705" i="357"/>
  <c r="D1704" i="357"/>
  <c r="D1701" i="357"/>
  <c r="C1697" i="357"/>
  <c r="D1695" i="357"/>
  <c r="C1695" i="357"/>
  <c r="D1694" i="357"/>
  <c r="D1693" i="357"/>
  <c r="C1693" i="357"/>
  <c r="C1692" i="357"/>
  <c r="C1691" i="357"/>
  <c r="D1689" i="357"/>
  <c r="D1686" i="357"/>
  <c r="D1684" i="357"/>
  <c r="D1681" i="357"/>
  <c r="C1681" i="357"/>
  <c r="C1680" i="357"/>
  <c r="C1679" i="357"/>
  <c r="D1675" i="357"/>
  <c r="C1675" i="357"/>
  <c r="D1674" i="357"/>
  <c r="C1673" i="357"/>
  <c r="C1672" i="357"/>
  <c r="D1671" i="357"/>
  <c r="C1670" i="357"/>
  <c r="C1668" i="357"/>
  <c r="C1667" i="357"/>
  <c r="D1666" i="357"/>
  <c r="C1665" i="357"/>
  <c r="D1664" i="357"/>
  <c r="D1663" i="357"/>
  <c r="D1662" i="357"/>
  <c r="D1660" i="357"/>
  <c r="D1659" i="357"/>
  <c r="D1656" i="357"/>
  <c r="C1654" i="357"/>
  <c r="D1650" i="357"/>
  <c r="C1647" i="357"/>
  <c r="C1645" i="357"/>
  <c r="D1645" i="357"/>
  <c r="C1642" i="357"/>
  <c r="D1642" i="357"/>
  <c r="C1641" i="357"/>
  <c r="C1640" i="357"/>
  <c r="C1638" i="357"/>
  <c r="D1636" i="357"/>
  <c r="C1635" i="357"/>
  <c r="C1634" i="357"/>
  <c r="D1633" i="357"/>
  <c r="C1633" i="357"/>
  <c r="C1632" i="357"/>
  <c r="D1632" i="357"/>
  <c r="D1631" i="357"/>
  <c r="C1631" i="357"/>
  <c r="D1629" i="357"/>
  <c r="D1599" i="357"/>
  <c r="C1599" i="357"/>
  <c r="D1598" i="357"/>
  <c r="C1598" i="357"/>
  <c r="D1596" i="357"/>
  <c r="C1594" i="357"/>
  <c r="D1592" i="357"/>
  <c r="D1589" i="357"/>
  <c r="C1589" i="357"/>
  <c r="C1587" i="357"/>
  <c r="D1586" i="357"/>
  <c r="C1585" i="357"/>
  <c r="C1584" i="357"/>
  <c r="D1583" i="357"/>
  <c r="D1582" i="357"/>
  <c r="D1581" i="357"/>
  <c r="C1581" i="357"/>
  <c r="D1580" i="357"/>
  <c r="C1579" i="357"/>
  <c r="D1578" i="357"/>
  <c r="D1576" i="357"/>
  <c r="D1575" i="357"/>
  <c r="C1575" i="357"/>
  <c r="C1573" i="357"/>
  <c r="D1571" i="357"/>
  <c r="D1566" i="357"/>
  <c r="C1565" i="357"/>
  <c r="D1561" i="357"/>
  <c r="D1559" i="357"/>
  <c r="D1558" i="357"/>
  <c r="C1557" i="357"/>
  <c r="D1556" i="357"/>
  <c r="D1548" i="357"/>
  <c r="D1543" i="357"/>
  <c r="C1531" i="357"/>
  <c r="D1521" i="357"/>
  <c r="C1511" i="357"/>
  <c r="D1478" i="357"/>
  <c r="D1510" i="357"/>
  <c r="C1510" i="357"/>
  <c r="C1509" i="357"/>
  <c r="D1508" i="357"/>
  <c r="C1508" i="357"/>
  <c r="C1495" i="357"/>
  <c r="D1494" i="357"/>
  <c r="D1490" i="357"/>
  <c r="C1488" i="357"/>
  <c r="D1487" i="357"/>
  <c r="C1482" i="357"/>
  <c r="D1482" i="357"/>
  <c r="D1477" i="357"/>
  <c r="D1472" i="357"/>
  <c r="D1471" i="357"/>
  <c r="D1463" i="357"/>
  <c r="D1462" i="357"/>
  <c r="C1461" i="357"/>
  <c r="D1460" i="357"/>
  <c r="D1459" i="357"/>
  <c r="D1455" i="357"/>
  <c r="D1444" i="357"/>
  <c r="C1444" i="357"/>
  <c r="D1442" i="357"/>
  <c r="C1441" i="357"/>
  <c r="C1440" i="357"/>
  <c r="D1439" i="357"/>
  <c r="D1437" i="357"/>
  <c r="D1436" i="357"/>
  <c r="D1434" i="357"/>
  <c r="D1433" i="357"/>
  <c r="C1432" i="357"/>
  <c r="C1428" i="357"/>
  <c r="D1426" i="357"/>
  <c r="D1419" i="357"/>
  <c r="C1409" i="357"/>
  <c r="D1404" i="357"/>
  <c r="D1403" i="357"/>
  <c r="C1402" i="357"/>
  <c r="D1401" i="357"/>
  <c r="C1400" i="357"/>
  <c r="D1399" i="357"/>
  <c r="D1398" i="357"/>
  <c r="D1397" i="357"/>
  <c r="C1396" i="357"/>
  <c r="D1396" i="357"/>
  <c r="C1395" i="357"/>
  <c r="C1394" i="357"/>
  <c r="C1389" i="357"/>
  <c r="D1388" i="357"/>
  <c r="D1387" i="357"/>
  <c r="D1381" i="357"/>
  <c r="C1380" i="357"/>
  <c r="D1373" i="357"/>
  <c r="D1372" i="357"/>
  <c r="C1372" i="357"/>
  <c r="C1371" i="357"/>
  <c r="C1370" i="357"/>
  <c r="C1369" i="357"/>
  <c r="C1368" i="357"/>
  <c r="D1366" i="357"/>
  <c r="D1364" i="357"/>
  <c r="D1358" i="357"/>
  <c r="D1356" i="357"/>
  <c r="C1354" i="357"/>
  <c r="D1353" i="357"/>
  <c r="C1351" i="357"/>
  <c r="D1351" i="357"/>
  <c r="C1350" i="357"/>
  <c r="D1350" i="357"/>
  <c r="C1349" i="357"/>
  <c r="D1348" i="357"/>
  <c r="D1347" i="357"/>
  <c r="C1347" i="357"/>
  <c r="C1345" i="357"/>
  <c r="C1341" i="357"/>
  <c r="D1341" i="357"/>
  <c r="C1340" i="357"/>
  <c r="D1339" i="357"/>
  <c r="D1335" i="357"/>
  <c r="D1334" i="357"/>
  <c r="D1328" i="357"/>
  <c r="C1327" i="357"/>
  <c r="C1326" i="357"/>
  <c r="C1323" i="357"/>
  <c r="C1321" i="357"/>
  <c r="D1321" i="357"/>
  <c r="D1319" i="357"/>
  <c r="C1318" i="357"/>
  <c r="D1318" i="357"/>
  <c r="C1317" i="357"/>
  <c r="D1316" i="357"/>
  <c r="C1316" i="357"/>
  <c r="C1314" i="357"/>
  <c r="D1308" i="357"/>
  <c r="C1308" i="357"/>
  <c r="D1304" i="357"/>
  <c r="D1298" i="357"/>
  <c r="C1298" i="357"/>
  <c r="C1297" i="357"/>
  <c r="D1297" i="357"/>
  <c r="C1292" i="357"/>
  <c r="C1291" i="357"/>
  <c r="C1288" i="357"/>
  <c r="C1286" i="357"/>
  <c r="C1284" i="357"/>
  <c r="D1283" i="357"/>
  <c r="C1282" i="357"/>
  <c r="D1281" i="357"/>
  <c r="D1280" i="357"/>
  <c r="C1279" i="357"/>
  <c r="C1278" i="357"/>
  <c r="D1278" i="357"/>
  <c r="C1277" i="357"/>
  <c r="D1276" i="357"/>
  <c r="C1276" i="357"/>
  <c r="C1272" i="357"/>
  <c r="C1271" i="357"/>
  <c r="D1270" i="357"/>
  <c r="C1268" i="357"/>
  <c r="D1268" i="357"/>
  <c r="D1267" i="357"/>
  <c r="C1266" i="357"/>
  <c r="C1264" i="357"/>
  <c r="D1263" i="357"/>
  <c r="C1262" i="357"/>
  <c r="C1261" i="357"/>
  <c r="D1260" i="357"/>
  <c r="D1259" i="357"/>
  <c r="C1252" i="357"/>
  <c r="D1249" i="357"/>
  <c r="C1247" i="357"/>
  <c r="D1246" i="357"/>
  <c r="D1245" i="357"/>
  <c r="D1244" i="357"/>
  <c r="C1240" i="357"/>
  <c r="C1236" i="357"/>
  <c r="D1231" i="357"/>
  <c r="D1230" i="357"/>
  <c r="C1229" i="357"/>
  <c r="D1229" i="357"/>
  <c r="C1225" i="357"/>
  <c r="D1222" i="357"/>
  <c r="C1222" i="357"/>
  <c r="C1221" i="357"/>
  <c r="D1221" i="357"/>
  <c r="C1220" i="357"/>
  <c r="C1219" i="357"/>
  <c r="D1218" i="357"/>
  <c r="C1211" i="357"/>
  <c r="D1210" i="357"/>
  <c r="D1208" i="357"/>
  <c r="D1207" i="357"/>
  <c r="D1206" i="357"/>
  <c r="D1205" i="357"/>
  <c r="C1203" i="357"/>
  <c r="D1203" i="357"/>
  <c r="D1202" i="357"/>
  <c r="C1202" i="357"/>
  <c r="D1201" i="357"/>
  <c r="D1200" i="357"/>
  <c r="D1199" i="357"/>
  <c r="C1198" i="357"/>
  <c r="C1197" i="357"/>
  <c r="D1191" i="357"/>
  <c r="C1190" i="357"/>
  <c r="D1185" i="357"/>
  <c r="C1184" i="357"/>
  <c r="C1183" i="357"/>
  <c r="C1181" i="357"/>
  <c r="D1179" i="357"/>
  <c r="D1174" i="357"/>
  <c r="D1172" i="357"/>
  <c r="C1172" i="357"/>
  <c r="D1170" i="357"/>
  <c r="D1169" i="357"/>
  <c r="D1167" i="357"/>
  <c r="D1165" i="357"/>
  <c r="C1163" i="357"/>
  <c r="D1162" i="357"/>
  <c r="C1160" i="357"/>
  <c r="D1160" i="357"/>
  <c r="D1159" i="357"/>
  <c r="C1159" i="357"/>
  <c r="C1158" i="357"/>
  <c r="C1153" i="357"/>
  <c r="D1152" i="357"/>
  <c r="C1152" i="357"/>
  <c r="D1151" i="357"/>
  <c r="C1149" i="357"/>
  <c r="D1149" i="357"/>
  <c r="C1148" i="357"/>
  <c r="D1147" i="357"/>
  <c r="C1147" i="357"/>
  <c r="C1145" i="357"/>
  <c r="D1144" i="357"/>
  <c r="D1142" i="357"/>
  <c r="C1142" i="357"/>
  <c r="D1141" i="357"/>
  <c r="D1140" i="357"/>
  <c r="D1139" i="357"/>
  <c r="D1138" i="357"/>
  <c r="D1137" i="357"/>
  <c r="C1137" i="357"/>
  <c r="C1132" i="357"/>
  <c r="D1132" i="357"/>
  <c r="C1131" i="357"/>
  <c r="D1130" i="357"/>
  <c r="D1125" i="357"/>
  <c r="D1123" i="357"/>
  <c r="C1118" i="357"/>
  <c r="C1117" i="357"/>
  <c r="D1116" i="357"/>
  <c r="C1115" i="357"/>
  <c r="D1113" i="357"/>
  <c r="C1111" i="357"/>
  <c r="C1110" i="357"/>
  <c r="D1110" i="357"/>
  <c r="C1106" i="357"/>
  <c r="D1105" i="357"/>
  <c r="D1103" i="357"/>
  <c r="D1102" i="357"/>
  <c r="D1096" i="357"/>
  <c r="C1095" i="357"/>
  <c r="D1093" i="357"/>
  <c r="D1088" i="357"/>
  <c r="D1087" i="357"/>
  <c r="D1086" i="357"/>
  <c r="D1085" i="357"/>
  <c r="D1084" i="357"/>
  <c r="C1083" i="357"/>
  <c r="C1081" i="357"/>
  <c r="D1080" i="357"/>
  <c r="D1078" i="357"/>
  <c r="D1077" i="357"/>
  <c r="C1076" i="357"/>
  <c r="C1075" i="357"/>
  <c r="D1074" i="357"/>
  <c r="D1072" i="357"/>
  <c r="C1065" i="357"/>
  <c r="D1064" i="357"/>
  <c r="D1063" i="357"/>
  <c r="D1061" i="357"/>
  <c r="D1060" i="357"/>
  <c r="D1058" i="357"/>
  <c r="C1056" i="357"/>
  <c r="D1056" i="357"/>
  <c r="C1055" i="357"/>
  <c r="D1055" i="357"/>
  <c r="C1054" i="357"/>
  <c r="D1053" i="357"/>
  <c r="C1053" i="357"/>
  <c r="C1052" i="357"/>
  <c r="D1052" i="357"/>
  <c r="C1051" i="357"/>
  <c r="D1045" i="357"/>
  <c r="D1041" i="357"/>
  <c r="D1039" i="357"/>
  <c r="D1038" i="357"/>
  <c r="C1037" i="357"/>
  <c r="C1032" i="357"/>
  <c r="D1032" i="357"/>
  <c r="D1031" i="357"/>
  <c r="C1031" i="357"/>
  <c r="D1030" i="357"/>
  <c r="D1029" i="357"/>
  <c r="C1028" i="357"/>
  <c r="D1028" i="357"/>
  <c r="C1026" i="357"/>
  <c r="D1025" i="357"/>
  <c r="C1023" i="357"/>
  <c r="D1021" i="357"/>
  <c r="D1019" i="357"/>
  <c r="D1018" i="357"/>
  <c r="D1016" i="357"/>
  <c r="C1011" i="357"/>
  <c r="D1011" i="357"/>
  <c r="C1010" i="357"/>
  <c r="D1009" i="357"/>
  <c r="C1009" i="357"/>
  <c r="D1008" i="357"/>
  <c r="D1006" i="357"/>
  <c r="C1006" i="357"/>
  <c r="D1004" i="357"/>
  <c r="C1003" i="357"/>
  <c r="D1003" i="357"/>
  <c r="C1002" i="357"/>
  <c r="D1001" i="357"/>
  <c r="D999" i="357"/>
  <c r="D998" i="357"/>
  <c r="D996" i="357"/>
  <c r="D988" i="357"/>
  <c r="C987" i="357"/>
  <c r="D986" i="357"/>
  <c r="D985" i="357"/>
  <c r="D984" i="357"/>
  <c r="D983" i="357"/>
  <c r="D981" i="357"/>
  <c r="C981" i="357"/>
  <c r="C979" i="357"/>
  <c r="D976" i="357"/>
  <c r="D975" i="357"/>
  <c r="C974" i="357"/>
  <c r="C968" i="357"/>
  <c r="C966" i="357"/>
  <c r="D966" i="357"/>
  <c r="C965" i="357"/>
  <c r="D964" i="357"/>
  <c r="D963" i="357"/>
  <c r="C963" i="357"/>
  <c r="D961" i="357"/>
  <c r="D958" i="357"/>
  <c r="D956" i="357"/>
  <c r="D955" i="357"/>
  <c r="D954" i="357"/>
  <c r="D953" i="357"/>
  <c r="C950" i="357"/>
  <c r="D950" i="357"/>
  <c r="D937" i="357"/>
  <c r="C937" i="357"/>
  <c r="D936" i="357"/>
  <c r="C935" i="357"/>
  <c r="C934" i="357"/>
  <c r="D934" i="357"/>
  <c r="D930" i="357"/>
  <c r="C926" i="357"/>
  <c r="C922" i="357"/>
  <c r="D921" i="357"/>
  <c r="D915" i="357"/>
  <c r="C886" i="357"/>
  <c r="D885" i="357"/>
  <c r="D882" i="357"/>
  <c r="D881" i="357"/>
  <c r="D880" i="357"/>
  <c r="D879" i="357"/>
  <c r="C877" i="357"/>
  <c r="D876" i="357"/>
  <c r="C843" i="357"/>
  <c r="C842" i="357"/>
  <c r="C840" i="357"/>
  <c r="D840" i="357"/>
  <c r="D839" i="357"/>
  <c r="D838" i="357"/>
  <c r="C837" i="357"/>
  <c r="D835" i="357"/>
  <c r="D834" i="357"/>
  <c r="D828" i="357"/>
  <c r="C827" i="357"/>
  <c r="D822" i="357"/>
  <c r="D821" i="357"/>
  <c r="C820" i="357"/>
  <c r="D818" i="357"/>
  <c r="C818" i="357"/>
  <c r="C817" i="357"/>
  <c r="D816" i="357"/>
  <c r="D814" i="357"/>
  <c r="C813" i="357"/>
  <c r="D812" i="357"/>
  <c r="D806" i="357"/>
  <c r="D805" i="357"/>
  <c r="C804" i="357"/>
  <c r="D803" i="357"/>
  <c r="D800" i="357"/>
  <c r="D798" i="357"/>
  <c r="D797" i="357"/>
  <c r="C772" i="357"/>
  <c r="D771" i="357"/>
  <c r="D770" i="357"/>
  <c r="D769" i="357"/>
  <c r="D768" i="357"/>
  <c r="D766" i="357"/>
  <c r="D765" i="357"/>
  <c r="C764" i="357"/>
  <c r="D764" i="357"/>
  <c r="D763" i="357"/>
  <c r="C763" i="357"/>
  <c r="D729" i="357"/>
  <c r="C729" i="357"/>
  <c r="C728" i="357"/>
  <c r="D728" i="357"/>
  <c r="C726" i="357"/>
  <c r="D725" i="357"/>
  <c r="D724" i="357"/>
  <c r="D723" i="357"/>
  <c r="D721" i="357"/>
  <c r="C695" i="357"/>
  <c r="D695" i="357"/>
  <c r="D694" i="357"/>
  <c r="C694" i="357"/>
  <c r="D693" i="357"/>
  <c r="D692" i="357"/>
  <c r="C691" i="357"/>
  <c r="C689" i="357"/>
  <c r="D689" i="357"/>
  <c r="C688" i="357"/>
  <c r="D687" i="357"/>
  <c r="D685" i="357"/>
  <c r="D660" i="357"/>
  <c r="D654" i="357"/>
  <c r="C652" i="357"/>
  <c r="D651" i="357"/>
  <c r="C650" i="357"/>
  <c r="C649" i="357"/>
  <c r="D646" i="357"/>
  <c r="D639" i="357"/>
  <c r="D637" i="357"/>
  <c r="D636" i="357"/>
  <c r="D635" i="357"/>
  <c r="D629" i="357"/>
  <c r="C624" i="357"/>
  <c r="D624" i="357"/>
  <c r="C623" i="357"/>
  <c r="D623" i="357"/>
  <c r="C590" i="357"/>
  <c r="D590" i="357"/>
  <c r="C588" i="357"/>
  <c r="C587" i="357"/>
  <c r="D587" i="357"/>
  <c r="D586" i="357"/>
  <c r="C585" i="357"/>
  <c r="D584" i="357"/>
  <c r="C583" i="357"/>
  <c r="D582" i="357"/>
  <c r="C581" i="357"/>
  <c r="D580" i="357"/>
  <c r="D575" i="357"/>
  <c r="C575" i="357"/>
  <c r="D574" i="357"/>
  <c r="C573" i="357"/>
  <c r="D572" i="357"/>
  <c r="D571" i="357"/>
  <c r="C570" i="357"/>
  <c r="D570" i="357"/>
  <c r="C568" i="357"/>
  <c r="D567" i="357"/>
  <c r="D565" i="357"/>
  <c r="D564" i="357"/>
  <c r="D562" i="357"/>
  <c r="C559" i="357"/>
  <c r="D558" i="357"/>
  <c r="C558" i="357"/>
  <c r="C557" i="357"/>
  <c r="D557" i="357"/>
  <c r="C556" i="357"/>
  <c r="D556" i="357"/>
  <c r="C555" i="357"/>
  <c r="D554" i="357"/>
  <c r="D553" i="357"/>
  <c r="D551" i="357"/>
  <c r="C551" i="357"/>
  <c r="D550" i="357"/>
  <c r="D548" i="357"/>
  <c r="C548" i="357"/>
  <c r="C547" i="357"/>
  <c r="D546" i="357"/>
  <c r="C546" i="357"/>
  <c r="D545" i="357"/>
  <c r="C544" i="357"/>
  <c r="D543" i="357"/>
  <c r="D541" i="357"/>
  <c r="C541" i="357"/>
  <c r="D540" i="357"/>
  <c r="D539" i="357"/>
  <c r="D538" i="357"/>
  <c r="D537" i="357"/>
  <c r="D536" i="357"/>
  <c r="C536" i="357"/>
  <c r="D535" i="357"/>
  <c r="D533" i="357"/>
  <c r="C533" i="357"/>
  <c r="D532" i="357"/>
  <c r="D531" i="357"/>
  <c r="D530" i="357"/>
  <c r="D529" i="357"/>
  <c r="D528" i="357"/>
  <c r="D523" i="357"/>
  <c r="D522" i="357"/>
  <c r="C521" i="357"/>
  <c r="C520" i="357"/>
  <c r="D520" i="357"/>
  <c r="D517" i="357"/>
  <c r="D511" i="357"/>
  <c r="D510" i="357"/>
  <c r="C510" i="357"/>
  <c r="D508" i="357"/>
  <c r="D507" i="357"/>
  <c r="D506" i="357"/>
  <c r="D505" i="357"/>
  <c r="D503" i="357"/>
  <c r="C502" i="357"/>
  <c r="C501" i="357"/>
  <c r="D500" i="357"/>
  <c r="C500" i="357"/>
  <c r="D497" i="357"/>
  <c r="D495" i="357"/>
  <c r="D494" i="357"/>
  <c r="D493" i="357"/>
  <c r="D492" i="357"/>
  <c r="D490" i="357"/>
  <c r="D489" i="357"/>
  <c r="D488" i="357"/>
  <c r="D487" i="357"/>
  <c r="C483" i="357"/>
  <c r="D482" i="357"/>
  <c r="D481" i="357"/>
  <c r="C481" i="357"/>
  <c r="C480" i="357"/>
  <c r="C478" i="357"/>
  <c r="C477" i="357"/>
  <c r="C475" i="357"/>
  <c r="D475" i="357"/>
  <c r="D470" i="357"/>
  <c r="D432" i="357"/>
  <c r="C431" i="357"/>
  <c r="D430" i="357"/>
  <c r="D429" i="357"/>
  <c r="D428" i="357"/>
  <c r="D427" i="357"/>
  <c r="C427" i="357"/>
  <c r="D426" i="357"/>
  <c r="C426" i="357"/>
  <c r="D424" i="357"/>
  <c r="C424" i="357"/>
  <c r="D421" i="357"/>
  <c r="C421" i="357"/>
  <c r="D419" i="357"/>
  <c r="C419" i="357"/>
  <c r="D418" i="357"/>
  <c r="C417" i="357"/>
  <c r="D416" i="357"/>
  <c r="D414" i="357"/>
  <c r="D413" i="357"/>
  <c r="D412" i="357"/>
  <c r="D411" i="357"/>
  <c r="D409" i="357"/>
  <c r="C409" i="357"/>
  <c r="C406" i="357"/>
  <c r="D406" i="357"/>
  <c r="D402" i="357"/>
  <c r="D399" i="357"/>
  <c r="D397" i="357"/>
  <c r="D396" i="357"/>
  <c r="C394" i="357"/>
  <c r="C393" i="357"/>
  <c r="D392" i="357"/>
  <c r="C391" i="357"/>
  <c r="D390" i="357"/>
  <c r="D389" i="357"/>
  <c r="D388" i="357"/>
  <c r="D386" i="357"/>
  <c r="D385" i="357"/>
  <c r="D384" i="357"/>
  <c r="C383" i="357"/>
  <c r="D382" i="357"/>
  <c r="C381" i="357"/>
  <c r="D380" i="357"/>
  <c r="C379" i="357"/>
  <c r="D378" i="357"/>
  <c r="C376" i="357"/>
  <c r="D375" i="357"/>
  <c r="C371" i="357"/>
  <c r="D371" i="357"/>
  <c r="D369" i="357"/>
  <c r="C369" i="357"/>
  <c r="D368" i="357"/>
  <c r="C368" i="357"/>
  <c r="C366" i="357"/>
  <c r="D363" i="357"/>
  <c r="D362" i="357"/>
  <c r="D361" i="357"/>
  <c r="D360" i="357"/>
  <c r="D359" i="357"/>
  <c r="D358" i="357"/>
  <c r="D356" i="357"/>
  <c r="C356" i="357"/>
  <c r="D355" i="357"/>
  <c r="C354" i="357"/>
  <c r="C353" i="357"/>
  <c r="D353" i="357"/>
  <c r="C352" i="357"/>
  <c r="D351" i="357"/>
  <c r="C351" i="357"/>
  <c r="D350" i="357"/>
  <c r="D348" i="357"/>
  <c r="C348" i="357"/>
  <c r="D347" i="357"/>
  <c r="D346" i="357"/>
  <c r="D345" i="357"/>
  <c r="C345" i="357"/>
  <c r="C344" i="357"/>
  <c r="D340" i="357"/>
  <c r="D339" i="357"/>
  <c r="D338" i="357"/>
  <c r="D336" i="357"/>
  <c r="D335" i="357"/>
  <c r="C334" i="357"/>
  <c r="C333" i="357"/>
  <c r="D332" i="357"/>
  <c r="D326" i="357"/>
  <c r="C326" i="357"/>
  <c r="D324" i="357"/>
  <c r="D322" i="357"/>
  <c r="D321" i="357"/>
  <c r="D320" i="357"/>
  <c r="D318" i="357"/>
  <c r="D316" i="357"/>
  <c r="C315" i="357"/>
  <c r="C314" i="357"/>
  <c r="D314" i="357"/>
  <c r="D313" i="357"/>
  <c r="C313" i="357"/>
  <c r="D312" i="357"/>
  <c r="C308" i="357"/>
  <c r="C306" i="357"/>
  <c r="D306" i="357"/>
  <c r="C305" i="357"/>
  <c r="D304" i="357"/>
  <c r="D302" i="357"/>
  <c r="D301" i="357"/>
  <c r="D299" i="357"/>
  <c r="D293" i="357"/>
  <c r="C293" i="357"/>
  <c r="D292" i="357"/>
  <c r="C291" i="357"/>
  <c r="D289" i="357"/>
  <c r="C286" i="357"/>
  <c r="D286" i="357"/>
  <c r="C285" i="357"/>
  <c r="C283" i="357"/>
  <c r="D281" i="357"/>
  <c r="C281" i="357"/>
  <c r="C277" i="357"/>
  <c r="D276" i="357"/>
  <c r="D274" i="357"/>
  <c r="C274" i="357"/>
  <c r="C273" i="357"/>
  <c r="D272" i="357"/>
  <c r="D271" i="357"/>
  <c r="D270" i="357"/>
  <c r="D269" i="357"/>
  <c r="C269" i="357"/>
  <c r="C268" i="357"/>
  <c r="C266" i="357"/>
  <c r="D266" i="357"/>
  <c r="D264" i="357"/>
  <c r="D262" i="357"/>
  <c r="D261" i="357"/>
  <c r="D258" i="357"/>
  <c r="C256" i="357"/>
  <c r="D255" i="357"/>
  <c r="C254" i="357"/>
  <c r="C253" i="357"/>
  <c r="D252" i="357"/>
  <c r="C250" i="357"/>
  <c r="C248" i="357"/>
  <c r="D248" i="357"/>
  <c r="C247" i="357"/>
  <c r="D246" i="357"/>
  <c r="C245" i="357"/>
  <c r="D243" i="357"/>
  <c r="D241" i="357"/>
  <c r="D238" i="357"/>
  <c r="D237" i="357"/>
  <c r="C236" i="357"/>
  <c r="D236" i="357"/>
  <c r="C235" i="357"/>
  <c r="D235" i="357"/>
  <c r="D231" i="357"/>
  <c r="C231" i="357"/>
  <c r="D230" i="357"/>
  <c r="D228" i="357"/>
  <c r="C228" i="357"/>
  <c r="D227" i="357"/>
  <c r="D226" i="357"/>
  <c r="D225" i="357"/>
  <c r="C225" i="357"/>
  <c r="C224" i="357"/>
  <c r="D223" i="357"/>
  <c r="D222" i="357"/>
  <c r="D221" i="357"/>
  <c r="D220" i="357"/>
  <c r="D218" i="357"/>
  <c r="D217" i="357"/>
  <c r="C216" i="357"/>
  <c r="D215" i="357"/>
  <c r="D214" i="357"/>
  <c r="C213" i="357"/>
  <c r="C212" i="357"/>
  <c r="C210" i="357"/>
  <c r="D210" i="357"/>
  <c r="D208" i="357"/>
  <c r="D206" i="357"/>
  <c r="D205" i="357"/>
  <c r="D204" i="357"/>
  <c r="D202" i="357"/>
  <c r="D200" i="357"/>
  <c r="C199" i="357"/>
  <c r="C198" i="357"/>
  <c r="D198" i="357"/>
  <c r="D197" i="357"/>
  <c r="C197" i="357"/>
  <c r="D196" i="357"/>
  <c r="D195" i="357"/>
  <c r="D194" i="357"/>
  <c r="C192" i="357"/>
  <c r="D192" i="357"/>
  <c r="C191" i="357"/>
  <c r="D190" i="357"/>
  <c r="C189" i="357"/>
  <c r="D188" i="357"/>
  <c r="D187" i="357"/>
  <c r="D183" i="357"/>
  <c r="D180" i="357"/>
  <c r="C179" i="357"/>
  <c r="C178" i="357"/>
  <c r="D178" i="357"/>
  <c r="D177" i="357"/>
  <c r="C177" i="357"/>
  <c r="D175" i="357"/>
  <c r="D174" i="357"/>
  <c r="C172" i="357"/>
  <c r="D171" i="357"/>
  <c r="D169" i="357"/>
  <c r="C169" i="357"/>
  <c r="C167" i="357"/>
  <c r="D166" i="357"/>
  <c r="C165" i="357"/>
  <c r="D164" i="357"/>
  <c r="C162" i="357"/>
  <c r="D161" i="357"/>
  <c r="D160" i="357"/>
  <c r="C160" i="357"/>
  <c r="D159" i="357"/>
  <c r="C159" i="357"/>
  <c r="D153" i="357"/>
  <c r="C153" i="357"/>
  <c r="D150" i="357"/>
  <c r="C150" i="357"/>
  <c r="D147" i="357"/>
  <c r="D144" i="357"/>
  <c r="D141" i="357"/>
  <c r="C141" i="357"/>
  <c r="D139" i="357"/>
  <c r="D133" i="357"/>
  <c r="D132" i="357"/>
  <c r="C131" i="357"/>
  <c r="D129" i="357"/>
  <c r="C128" i="357"/>
  <c r="D127" i="357"/>
  <c r="C126" i="357"/>
  <c r="C125" i="357"/>
  <c r="D125" i="357"/>
  <c r="C123" i="357"/>
  <c r="D122" i="357"/>
  <c r="D117" i="357"/>
  <c r="C116" i="357"/>
  <c r="D116" i="357"/>
  <c r="C115" i="357"/>
  <c r="D114" i="357"/>
  <c r="C113" i="357"/>
  <c r="D112" i="357"/>
  <c r="D111" i="357"/>
  <c r="D110" i="357"/>
  <c r="C110" i="357"/>
  <c r="D108" i="357"/>
  <c r="D106" i="357"/>
  <c r="D105" i="357"/>
  <c r="C104" i="357"/>
  <c r="D99" i="357"/>
  <c r="C98" i="357"/>
  <c r="D97" i="357"/>
  <c r="C96" i="357"/>
  <c r="C95" i="357"/>
  <c r="D95" i="357"/>
  <c r="C93" i="357"/>
  <c r="D87" i="357"/>
  <c r="C86" i="357"/>
  <c r="D86" i="357"/>
  <c r="C85" i="357"/>
  <c r="D84" i="357"/>
  <c r="C83" i="357"/>
  <c r="D82" i="357"/>
  <c r="D81" i="357"/>
  <c r="D80" i="357"/>
  <c r="C80" i="357"/>
  <c r="D78" i="357"/>
  <c r="D76" i="357"/>
  <c r="D75" i="357"/>
  <c r="C74" i="357"/>
  <c r="C69" i="357"/>
  <c r="D68" i="357"/>
  <c r="C67" i="357"/>
  <c r="C66" i="357"/>
  <c r="D66" i="357"/>
  <c r="C64" i="357"/>
  <c r="C63" i="357"/>
  <c r="D61" i="357"/>
  <c r="C60" i="357"/>
  <c r="D60" i="357"/>
  <c r="C59" i="357"/>
  <c r="D58" i="357"/>
  <c r="C57" i="357"/>
  <c r="D56" i="357"/>
  <c r="D55" i="357"/>
  <c r="D54" i="357"/>
  <c r="C54" i="357"/>
  <c r="D52" i="357"/>
  <c r="D50" i="357"/>
  <c r="D49" i="357"/>
  <c r="C48" i="357"/>
  <c r="D46" i="357"/>
  <c r="C45" i="357"/>
  <c r="D44" i="357"/>
  <c r="C43" i="357"/>
  <c r="C42" i="357"/>
  <c r="D42" i="357"/>
  <c r="C40" i="357"/>
  <c r="C39" i="357"/>
  <c r="D37" i="357"/>
  <c r="C32" i="357"/>
  <c r="D31" i="357"/>
  <c r="D26" i="357"/>
  <c r="D25" i="357"/>
  <c r="D24" i="357"/>
  <c r="C20" i="357"/>
  <c r="D19" i="357"/>
  <c r="D18" i="357"/>
  <c r="C17" i="357"/>
  <c r="C16" i="357"/>
  <c r="D15" i="357"/>
  <c r="C14" i="357"/>
  <c r="D12" i="357"/>
  <c r="D10" i="357"/>
  <c r="D9" i="357"/>
  <c r="D8" i="357"/>
  <c r="D7" i="357"/>
  <c r="G3470" i="357" l="1"/>
  <c r="G3479" i="357"/>
  <c r="G3215" i="357"/>
  <c r="G3241" i="357"/>
  <c r="G3249" i="357"/>
  <c r="G3302" i="357"/>
  <c r="G3343" i="357"/>
  <c r="G3359" i="357"/>
  <c r="G3369" i="357"/>
  <c r="G3395" i="357"/>
  <c r="G3424" i="357"/>
  <c r="G3434" i="357"/>
  <c r="G3443" i="357"/>
  <c r="G3334" i="357"/>
  <c r="G3454" i="357"/>
  <c r="G3486" i="357"/>
  <c r="H2536" i="357"/>
  <c r="H2593" i="357"/>
  <c r="H2724" i="357"/>
  <c r="H3008" i="357"/>
  <c r="H3028" i="357"/>
  <c r="H3095" i="357"/>
  <c r="H3159" i="357"/>
  <c r="H3168" i="357"/>
  <c r="H3287" i="357"/>
  <c r="H3315" i="357"/>
  <c r="H3327" i="357"/>
  <c r="H3470" i="357"/>
  <c r="H3479" i="357"/>
  <c r="H2087" i="357"/>
  <c r="H2103" i="357"/>
  <c r="H2120" i="357"/>
  <c r="H2136" i="357"/>
  <c r="H2144" i="357"/>
  <c r="H2162" i="357"/>
  <c r="H2466" i="357"/>
  <c r="H2471" i="357"/>
  <c r="H2481" i="357"/>
  <c r="H2656" i="357"/>
  <c r="H2671" i="357"/>
  <c r="H2680" i="357"/>
  <c r="H2744" i="357"/>
  <c r="H2989" i="357"/>
  <c r="H3104" i="357"/>
  <c r="H3121" i="357"/>
  <c r="H3215" i="357"/>
  <c r="H3241" i="357"/>
  <c r="H3249" i="357"/>
  <c r="I3249" i="357" s="1"/>
  <c r="H3302" i="357"/>
  <c r="H3343" i="357"/>
  <c r="H3359" i="357"/>
  <c r="H3369" i="357"/>
  <c r="H3395" i="357"/>
  <c r="H3424" i="357"/>
  <c r="H3434" i="357"/>
  <c r="H3443" i="357"/>
  <c r="I3443" i="357" s="1"/>
  <c r="H2510" i="357"/>
  <c r="H2552" i="357"/>
  <c r="H2583" i="357"/>
  <c r="H2617" i="357"/>
  <c r="H2644" i="357"/>
  <c r="H2736" i="357"/>
  <c r="H2755" i="357"/>
  <c r="H2912" i="357"/>
  <c r="H3135" i="357"/>
  <c r="H3143" i="357"/>
  <c r="H3206" i="357"/>
  <c r="H3334" i="357"/>
  <c r="H3454" i="357"/>
  <c r="H3486" i="357"/>
  <c r="H2576" i="357"/>
  <c r="I2576" i="357" s="1"/>
  <c r="H2592" i="357"/>
  <c r="J2592" i="357" s="1"/>
  <c r="H2721" i="357"/>
  <c r="H2935" i="357"/>
  <c r="H3007" i="357"/>
  <c r="H3027" i="357"/>
  <c r="H3094" i="357"/>
  <c r="H3131" i="357"/>
  <c r="H3140" i="357"/>
  <c r="I3140" i="357" s="1"/>
  <c r="H3149" i="357"/>
  <c r="H3286" i="357"/>
  <c r="H3314" i="357"/>
  <c r="H3450" i="357"/>
  <c r="H3492" i="357"/>
  <c r="H3502" i="357"/>
  <c r="H1730" i="357"/>
  <c r="H1794" i="357"/>
  <c r="J1794" i="357" s="1"/>
  <c r="H1857" i="357"/>
  <c r="J1857" i="357" s="1"/>
  <c r="H1870" i="357"/>
  <c r="H2081" i="357"/>
  <c r="H2094" i="357"/>
  <c r="H2119" i="357"/>
  <c r="H2135" i="357"/>
  <c r="H2143" i="357"/>
  <c r="H2161" i="357"/>
  <c r="I2161" i="357" s="1"/>
  <c r="H2470" i="357"/>
  <c r="J2470" i="357" s="1"/>
  <c r="H2480" i="357"/>
  <c r="H2489" i="357"/>
  <c r="H2503" i="357"/>
  <c r="H2531" i="357"/>
  <c r="H2545" i="357"/>
  <c r="H2655" i="357"/>
  <c r="I2655" i="357" s="1"/>
  <c r="H2670" i="357"/>
  <c r="J2670" i="357" s="1"/>
  <c r="H2733" i="357"/>
  <c r="I2733" i="357" s="1"/>
  <c r="H2743" i="357"/>
  <c r="H2752" i="357"/>
  <c r="H2812" i="357"/>
  <c r="H2988" i="357"/>
  <c r="H3214" i="357"/>
  <c r="H3240" i="357"/>
  <c r="H3248" i="357"/>
  <c r="I3248" i="357" s="1"/>
  <c r="H3301" i="357"/>
  <c r="I3301" i="357" s="1"/>
  <c r="H3342" i="357"/>
  <c r="H3358" i="357"/>
  <c r="H3368" i="357"/>
  <c r="H3394" i="357"/>
  <c r="H3423" i="357"/>
  <c r="H3461" i="357"/>
  <c r="H1906" i="357"/>
  <c r="I1906" i="357" s="1"/>
  <c r="H1916" i="357"/>
  <c r="I1916" i="357" s="1"/>
  <c r="H1937" i="357"/>
  <c r="H1946" i="357"/>
  <c r="H1954" i="357"/>
  <c r="H1975" i="357"/>
  <c r="H1984" i="357"/>
  <c r="H1992" i="357"/>
  <c r="I1992" i="357" s="1"/>
  <c r="H1999" i="357"/>
  <c r="I1999" i="357" s="1"/>
  <c r="H2010" i="357"/>
  <c r="I2010" i="357" s="1"/>
  <c r="H2065" i="357"/>
  <c r="H2217" i="357"/>
  <c r="H2254" i="357"/>
  <c r="H2270" i="357"/>
  <c r="H2304" i="357"/>
  <c r="H2326" i="357"/>
  <c r="H2336" i="357"/>
  <c r="I2336" i="357" s="1"/>
  <c r="H2346" i="357"/>
  <c r="J2346" i="357" s="1"/>
  <c r="H2356" i="357"/>
  <c r="H2368" i="357"/>
  <c r="H2378" i="357"/>
  <c r="H2387" i="357"/>
  <c r="H2397" i="357"/>
  <c r="H2407" i="357"/>
  <c r="H2417" i="357"/>
  <c r="I2417" i="357" s="1"/>
  <c r="H2425" i="357"/>
  <c r="I2425" i="357" s="1"/>
  <c r="H2436" i="357"/>
  <c r="H2450" i="357"/>
  <c r="H2457" i="357"/>
  <c r="H2616" i="357"/>
  <c r="H2643" i="357"/>
  <c r="H2675" i="357"/>
  <c r="I2675" i="357" s="1"/>
  <c r="H3112" i="357"/>
  <c r="J3112" i="357" s="1"/>
  <c r="H3164" i="357"/>
  <c r="I3164" i="357" s="1"/>
  <c r="H3205" i="357"/>
  <c r="H3320" i="357"/>
  <c r="H3333" i="357"/>
  <c r="H3476" i="357"/>
  <c r="H3485" i="357"/>
  <c r="H1422" i="357"/>
  <c r="H2072" i="357"/>
  <c r="H2080" i="357"/>
  <c r="J2080" i="357" s="1"/>
  <c r="H2093" i="357"/>
  <c r="H2118" i="357"/>
  <c r="J2118" i="357" s="1"/>
  <c r="H2130" i="357"/>
  <c r="H2140" i="357"/>
  <c r="H2156" i="357"/>
  <c r="H2169" i="357"/>
  <c r="I2169" i="357" s="1"/>
  <c r="H2253" i="357"/>
  <c r="I2253" i="357" s="1"/>
  <c r="H2269" i="357"/>
  <c r="I2269" i="357" s="1"/>
  <c r="H2303" i="357"/>
  <c r="I2303" i="357" s="1"/>
  <c r="H2321" i="357"/>
  <c r="H2335" i="357"/>
  <c r="H2345" i="357"/>
  <c r="H2355" i="357"/>
  <c r="H2367" i="357"/>
  <c r="I2367" i="357" s="1"/>
  <c r="H2377" i="357"/>
  <c r="I2377" i="357" s="1"/>
  <c r="H2386" i="357"/>
  <c r="J2386" i="357" s="1"/>
  <c r="H2396" i="357"/>
  <c r="H2406" i="357"/>
  <c r="H2416" i="357"/>
  <c r="H2424" i="357"/>
  <c r="H2435" i="357"/>
  <c r="H2449" i="357"/>
  <c r="I2449" i="357" s="1"/>
  <c r="H2456" i="357"/>
  <c r="G2839" i="357"/>
  <c r="I2839" i="357" s="1"/>
  <c r="H631" i="357"/>
  <c r="H641" i="357"/>
  <c r="H823" i="357"/>
  <c r="H919" i="357"/>
  <c r="H928" i="357"/>
  <c r="H939" i="357"/>
  <c r="H947" i="357"/>
  <c r="H971" i="357"/>
  <c r="H1043" i="357"/>
  <c r="H1069" i="357"/>
  <c r="H1099" i="357"/>
  <c r="H1127" i="357"/>
  <c r="H1155" i="357"/>
  <c r="H1187" i="357"/>
  <c r="H1416" i="357"/>
  <c r="H1421" i="357"/>
  <c r="H1451" i="357"/>
  <c r="H1464" i="357"/>
  <c r="H1473" i="357"/>
  <c r="H1483" i="357"/>
  <c r="H1497" i="357"/>
  <c r="G3104" i="357"/>
  <c r="G3121" i="357"/>
  <c r="I3121" i="357" s="1"/>
  <c r="G3135" i="357"/>
  <c r="J3135" i="357" s="1"/>
  <c r="G3143" i="357"/>
  <c r="G3206" i="357"/>
  <c r="H1254" i="357"/>
  <c r="H1274" i="357"/>
  <c r="H1361" i="357"/>
  <c r="H1795" i="357"/>
  <c r="H1862" i="357"/>
  <c r="H2494" i="357"/>
  <c r="H2522" i="357"/>
  <c r="H1013" i="357"/>
  <c r="H1887" i="357"/>
  <c r="H1911" i="357"/>
  <c r="H1919" i="357"/>
  <c r="H1940" i="357"/>
  <c r="H1949" i="357"/>
  <c r="H1959" i="357"/>
  <c r="H1979" i="357"/>
  <c r="H1987" i="357"/>
  <c r="H1993" i="357"/>
  <c r="H2003" i="357"/>
  <c r="H2017" i="357"/>
  <c r="H2071" i="357"/>
  <c r="H2218" i="357"/>
  <c r="H2263" i="357"/>
  <c r="H2271" i="357"/>
  <c r="H2319" i="357"/>
  <c r="H2330" i="357"/>
  <c r="H2340" i="357"/>
  <c r="H2350" i="357"/>
  <c r="H2361" i="357"/>
  <c r="H2372" i="357"/>
  <c r="H2381" i="357"/>
  <c r="H2391" i="357"/>
  <c r="H2401" i="357"/>
  <c r="H2411" i="357"/>
  <c r="H2418" i="357"/>
  <c r="H2429" i="357"/>
  <c r="H2441" i="357"/>
  <c r="H2451" i="357"/>
  <c r="G3315" i="357"/>
  <c r="G3327" i="357"/>
  <c r="I3327" i="357" s="1"/>
  <c r="G513" i="357"/>
  <c r="G591" i="357"/>
  <c r="G758" i="357"/>
  <c r="G1253" i="357"/>
  <c r="G1273" i="357"/>
  <c r="G1360" i="357"/>
  <c r="H1226" i="357"/>
  <c r="I1226" i="357" s="1"/>
  <c r="H1237" i="357"/>
  <c r="J1237" i="357" s="1"/>
  <c r="H1301" i="357"/>
  <c r="H1310" i="357"/>
  <c r="J1310" i="357" s="1"/>
  <c r="H1331" i="357"/>
  <c r="H1390" i="357"/>
  <c r="H1360" i="357"/>
  <c r="H1273" i="357"/>
  <c r="G627" i="357"/>
  <c r="G640" i="357"/>
  <c r="G809" i="357"/>
  <c r="G831" i="357"/>
  <c r="G927" i="357"/>
  <c r="G938" i="357"/>
  <c r="G946" i="357"/>
  <c r="G970" i="357"/>
  <c r="G1012" i="357"/>
  <c r="G1042" i="357"/>
  <c r="G1068" i="357"/>
  <c r="G1098" i="357"/>
  <c r="G1126" i="357"/>
  <c r="G1154" i="357"/>
  <c r="G1186" i="357"/>
  <c r="G1212" i="357"/>
  <c r="G1415" i="357"/>
  <c r="J1415" i="357" s="1"/>
  <c r="G1420" i="357"/>
  <c r="G1430" i="357"/>
  <c r="I1430" i="357" s="1"/>
  <c r="G1457" i="357"/>
  <c r="I1457" i="357" s="1"/>
  <c r="G1469" i="357"/>
  <c r="G1232" i="357"/>
  <c r="G1241" i="357"/>
  <c r="G1299" i="357"/>
  <c r="G1306" i="357"/>
  <c r="I1306" i="357" s="1"/>
  <c r="G1329" i="357"/>
  <c r="J1329" i="357" s="1"/>
  <c r="G1337" i="357"/>
  <c r="G1382" i="357"/>
  <c r="I1382" i="357" s="1"/>
  <c r="G1405" i="357"/>
  <c r="G1512" i="357"/>
  <c r="G1522" i="357"/>
  <c r="I1522" i="357" s="1"/>
  <c r="G1532" i="357"/>
  <c r="G1541" i="357"/>
  <c r="I1541" i="357" s="1"/>
  <c r="G1562" i="357"/>
  <c r="H1232" i="357"/>
  <c r="H1241" i="357"/>
  <c r="H1299" i="357"/>
  <c r="H912" i="357"/>
  <c r="G1888" i="357"/>
  <c r="I1888" i="357" s="1"/>
  <c r="G1912" i="357"/>
  <c r="I1912" i="357" s="1"/>
  <c r="G1920" i="357"/>
  <c r="I1920" i="357" s="1"/>
  <c r="G1941" i="357"/>
  <c r="G1950" i="357"/>
  <c r="J1950" i="357" s="1"/>
  <c r="G1960" i="357"/>
  <c r="I1960" i="357" s="1"/>
  <c r="G1980" i="357"/>
  <c r="G1988" i="357"/>
  <c r="G1997" i="357"/>
  <c r="J1997" i="357" s="1"/>
  <c r="G2004" i="357"/>
  <c r="I2004" i="357" s="1"/>
  <c r="G2018" i="357"/>
  <c r="I2018" i="357" s="1"/>
  <c r="G2072" i="357"/>
  <c r="G2219" i="357"/>
  <c r="I2219" i="357" s="1"/>
  <c r="G2264" i="357"/>
  <c r="I2264" i="357" s="1"/>
  <c r="G2302" i="357"/>
  <c r="G2320" i="357"/>
  <c r="G2331" i="357"/>
  <c r="I2331" i="357" s="1"/>
  <c r="G2341" i="357"/>
  <c r="I2341" i="357" s="1"/>
  <c r="G2351" i="357"/>
  <c r="I2351" i="357" s="1"/>
  <c r="G2362" i="357"/>
  <c r="G2373" i="357"/>
  <c r="I2373" i="357" s="1"/>
  <c r="G2382" i="357"/>
  <c r="J2382" i="357" s="1"/>
  <c r="G2392" i="357"/>
  <c r="G2402" i="357"/>
  <c r="G2412" i="357"/>
  <c r="J2412" i="357" s="1"/>
  <c r="G2423" i="357"/>
  <c r="I2423" i="357" s="1"/>
  <c r="G625" i="357"/>
  <c r="G632" i="357"/>
  <c r="G824" i="357"/>
  <c r="G923" i="357"/>
  <c r="G931" i="357"/>
  <c r="G942" i="357"/>
  <c r="G948" i="357"/>
  <c r="G991" i="357"/>
  <c r="J991" i="357" s="1"/>
  <c r="G1033" i="357"/>
  <c r="J1033" i="357" s="1"/>
  <c r="G1047" i="357"/>
  <c r="G1089" i="357"/>
  <c r="G1119" i="357"/>
  <c r="J1119" i="357" s="1"/>
  <c r="G1133" i="357"/>
  <c r="G1175" i="357"/>
  <c r="G1192" i="357"/>
  <c r="J1192" i="357" s="1"/>
  <c r="G1214" i="357"/>
  <c r="J1214" i="357" s="1"/>
  <c r="G1417" i="357"/>
  <c r="J1417" i="357" s="1"/>
  <c r="G1422" i="357"/>
  <c r="G1452" i="357"/>
  <c r="J1452" i="357" s="1"/>
  <c r="G1465" i="357"/>
  <c r="I1465" i="357" s="1"/>
  <c r="G1474" i="357"/>
  <c r="G1484" i="357"/>
  <c r="G1498" i="357"/>
  <c r="J1498" i="357" s="1"/>
  <c r="H716" i="357"/>
  <c r="I716" i="357" s="1"/>
  <c r="H1255" i="357"/>
  <c r="G1698" i="357"/>
  <c r="I1698" i="357" s="1"/>
  <c r="G1762" i="357"/>
  <c r="G1826" i="357"/>
  <c r="J1826" i="357" s="1"/>
  <c r="G1863" i="357"/>
  <c r="G2088" i="357"/>
  <c r="G2104" i="357"/>
  <c r="I2104" i="357" s="1"/>
  <c r="G2129" i="357"/>
  <c r="I2129" i="357" s="1"/>
  <c r="G2139" i="357"/>
  <c r="G2155" i="357"/>
  <c r="G2168" i="357"/>
  <c r="J2168" i="357" s="1"/>
  <c r="G484" i="357"/>
  <c r="G576" i="357"/>
  <c r="G716" i="357"/>
  <c r="G1255" i="357"/>
  <c r="G912" i="357"/>
  <c r="J912" i="357" s="1"/>
  <c r="G2656" i="357"/>
  <c r="G2671" i="357"/>
  <c r="G2680" i="357"/>
  <c r="G2744" i="357"/>
  <c r="I2744" i="357" s="1"/>
  <c r="G2989" i="357"/>
  <c r="H1699" i="357"/>
  <c r="H1763" i="357"/>
  <c r="I1763" i="357" s="1"/>
  <c r="H1855" i="357"/>
  <c r="J1855" i="357" s="1"/>
  <c r="H1869" i="357"/>
  <c r="J1869" i="357" s="1"/>
  <c r="H1905" i="357"/>
  <c r="H1915" i="357"/>
  <c r="H1936" i="357"/>
  <c r="H1945" i="357"/>
  <c r="H1953" i="357"/>
  <c r="H1973" i="357"/>
  <c r="I1973" i="357" s="1"/>
  <c r="H1983" i="357"/>
  <c r="J1983" i="357" s="1"/>
  <c r="H1989" i="357"/>
  <c r="H1998" i="357"/>
  <c r="H2009" i="357"/>
  <c r="J2009" i="357" s="1"/>
  <c r="H2064" i="357"/>
  <c r="I2064" i="357" s="1"/>
  <c r="H484" i="357"/>
  <c r="H576" i="357"/>
  <c r="H717" i="357"/>
  <c r="H1256" i="357"/>
  <c r="H1359" i="357"/>
  <c r="H808" i="357"/>
  <c r="H830" i="357"/>
  <c r="H924" i="357"/>
  <c r="H932" i="357"/>
  <c r="H943" i="357"/>
  <c r="H949" i="357"/>
  <c r="H1034" i="357"/>
  <c r="H1048" i="357"/>
  <c r="H1090" i="357"/>
  <c r="H1120" i="357"/>
  <c r="H1134" i="357"/>
  <c r="H1176" i="357"/>
  <c r="H1193" i="357"/>
  <c r="H1215" i="357"/>
  <c r="H1418" i="357"/>
  <c r="H1429" i="357"/>
  <c r="H1456" i="357"/>
  <c r="H1468" i="357"/>
  <c r="H1479" i="357"/>
  <c r="H1491" i="357"/>
  <c r="H1500" i="357"/>
  <c r="H1513" i="357"/>
  <c r="H1523" i="357"/>
  <c r="H1533" i="357"/>
  <c r="I1533" i="357" s="1"/>
  <c r="H1542" i="357"/>
  <c r="H1563" i="357"/>
  <c r="H101" i="357"/>
  <c r="H138" i="357"/>
  <c r="H151" i="357"/>
  <c r="H309" i="357"/>
  <c r="H341" i="357"/>
  <c r="H1253" i="357"/>
  <c r="I1253" i="357" s="1"/>
  <c r="H89" i="357"/>
  <c r="H120" i="357"/>
  <c r="H184" i="357"/>
  <c r="H278" i="357"/>
  <c r="H403" i="357"/>
  <c r="H627" i="357"/>
  <c r="H640" i="357"/>
  <c r="I640" i="357" s="1"/>
  <c r="H809" i="357"/>
  <c r="I809" i="357" s="1"/>
  <c r="H831" i="357"/>
  <c r="H918" i="357"/>
  <c r="H927" i="357"/>
  <c r="H938" i="357"/>
  <c r="H946" i="357"/>
  <c r="H970" i="357"/>
  <c r="H1012" i="357"/>
  <c r="H1042" i="357"/>
  <c r="I1042" i="357" s="1"/>
  <c r="H1068" i="357"/>
  <c r="H1098" i="357"/>
  <c r="H1126" i="357"/>
  <c r="H1154" i="357"/>
  <c r="H1186" i="357"/>
  <c r="H1212" i="357"/>
  <c r="G2466" i="357"/>
  <c r="J2466" i="357" s="1"/>
  <c r="G2481" i="357"/>
  <c r="I2481" i="357" s="1"/>
  <c r="G2471" i="357"/>
  <c r="G2593" i="357"/>
  <c r="G2724" i="357"/>
  <c r="J2724" i="357" s="1"/>
  <c r="G3008" i="357"/>
  <c r="G3028" i="357"/>
  <c r="G3095" i="357"/>
  <c r="J3095" i="357" s="1"/>
  <c r="G3159" i="357"/>
  <c r="G3168" i="357"/>
  <c r="G3287" i="357"/>
  <c r="I3287" i="357" s="1"/>
  <c r="G2617" i="357"/>
  <c r="G2644" i="357"/>
  <c r="J2644" i="357" s="1"/>
  <c r="G2736" i="357"/>
  <c r="G2755" i="357"/>
  <c r="G2912" i="357"/>
  <c r="H558" i="357"/>
  <c r="H1504" i="357"/>
  <c r="H1518" i="357"/>
  <c r="H1528" i="357"/>
  <c r="H1537" i="357"/>
  <c r="H1555" i="357"/>
  <c r="H1567" i="357"/>
  <c r="H759" i="357"/>
  <c r="H1731" i="357"/>
  <c r="H625" i="357"/>
  <c r="H632" i="357"/>
  <c r="H794" i="357"/>
  <c r="H824" i="357"/>
  <c r="I824" i="357" s="1"/>
  <c r="H923" i="357"/>
  <c r="H931" i="357"/>
  <c r="H942" i="357"/>
  <c r="J942" i="357" s="1"/>
  <c r="H948" i="357"/>
  <c r="H70" i="357"/>
  <c r="H91" i="357"/>
  <c r="H118" i="357"/>
  <c r="H136" i="357"/>
  <c r="H145" i="357"/>
  <c r="H155" i="357"/>
  <c r="H232" i="357"/>
  <c r="H294" i="357"/>
  <c r="H328" i="357"/>
  <c r="H372" i="357"/>
  <c r="H258" i="357"/>
  <c r="H1201" i="357"/>
  <c r="G918" i="357"/>
  <c r="H3467" i="357"/>
  <c r="H513" i="357"/>
  <c r="I513" i="357" s="1"/>
  <c r="H591" i="357"/>
  <c r="I591" i="357" s="1"/>
  <c r="H758" i="357"/>
  <c r="H1213" i="357"/>
  <c r="H1233" i="357"/>
  <c r="H1242" i="357"/>
  <c r="H1300" i="357"/>
  <c r="H1309" i="357"/>
  <c r="H1330" i="357"/>
  <c r="H1383" i="357"/>
  <c r="H1406" i="357"/>
  <c r="H1174" i="357"/>
  <c r="H190" i="357"/>
  <c r="H266" i="357"/>
  <c r="H80" i="357"/>
  <c r="H164" i="357"/>
  <c r="H3490" i="357"/>
  <c r="H992" i="357"/>
  <c r="H125" i="357"/>
  <c r="G1905" i="357"/>
  <c r="G1915" i="357"/>
  <c r="G1936" i="357"/>
  <c r="I1936" i="357" s="1"/>
  <c r="G1945" i="357"/>
  <c r="G1953" i="357"/>
  <c r="G1176" i="357"/>
  <c r="G1193" i="357"/>
  <c r="I1193" i="357" s="1"/>
  <c r="G1215" i="357"/>
  <c r="G1418" i="357"/>
  <c r="G1429" i="357"/>
  <c r="G1456" i="357"/>
  <c r="G1468" i="357"/>
  <c r="G1479" i="357"/>
  <c r="G1491" i="357"/>
  <c r="G1233" i="357"/>
  <c r="J1233" i="357" s="1"/>
  <c r="G1242" i="357"/>
  <c r="G1300" i="357"/>
  <c r="G1309" i="357"/>
  <c r="G1330" i="357"/>
  <c r="G1383" i="357"/>
  <c r="G1406" i="357"/>
  <c r="G1500" i="357"/>
  <c r="I1500" i="357" s="1"/>
  <c r="G1513" i="357"/>
  <c r="G1523" i="357"/>
  <c r="G1533" i="357"/>
  <c r="G1542" i="357"/>
  <c r="G1563" i="357"/>
  <c r="J1563" i="357" s="1"/>
  <c r="G1256" i="357"/>
  <c r="G1359" i="357"/>
  <c r="H178" i="357"/>
  <c r="G913" i="357"/>
  <c r="I913" i="357" s="1"/>
  <c r="G808" i="357"/>
  <c r="G830" i="357"/>
  <c r="G924" i="357"/>
  <c r="G932" i="357"/>
  <c r="G943" i="357"/>
  <c r="G949" i="357"/>
  <c r="G992" i="357"/>
  <c r="G1034" i="357"/>
  <c r="I1034" i="357" s="1"/>
  <c r="G1048" i="357"/>
  <c r="G1090" i="357"/>
  <c r="I1090" i="357" s="1"/>
  <c r="G1120" i="357"/>
  <c r="I1120" i="357" s="1"/>
  <c r="G1134" i="357"/>
  <c r="G21" i="357"/>
  <c r="G33" i="357"/>
  <c r="G71" i="357"/>
  <c r="G100" i="357"/>
  <c r="G119" i="357"/>
  <c r="G137" i="357"/>
  <c r="G148" i="357"/>
  <c r="G156" i="357"/>
  <c r="G233" i="357"/>
  <c r="G295" i="357"/>
  <c r="G329" i="357"/>
  <c r="G373" i="357"/>
  <c r="H84" i="357"/>
  <c r="H1227" i="357"/>
  <c r="H1238" i="357"/>
  <c r="H1305" i="357"/>
  <c r="H1311" i="357"/>
  <c r="H1336" i="357"/>
  <c r="H1391" i="357"/>
  <c r="G2494" i="357"/>
  <c r="G2522" i="357"/>
  <c r="G2536" i="357"/>
  <c r="G2087" i="357"/>
  <c r="G2103" i="357"/>
  <c r="G2120" i="357"/>
  <c r="G2136" i="357"/>
  <c r="G2144" i="357"/>
  <c r="J2144" i="357" s="1"/>
  <c r="G2162" i="357"/>
  <c r="I2162" i="357" s="1"/>
  <c r="H873" i="357"/>
  <c r="J873" i="357" s="1"/>
  <c r="G2218" i="357"/>
  <c r="G2263" i="357"/>
  <c r="G2271" i="357"/>
  <c r="J2271" i="357" s="1"/>
  <c r="G2319" i="357"/>
  <c r="G2330" i="357"/>
  <c r="G2340" i="357"/>
  <c r="I2340" i="357" s="1"/>
  <c r="G2350" i="357"/>
  <c r="I2350" i="357" s="1"/>
  <c r="G2361" i="357"/>
  <c r="G2372" i="357"/>
  <c r="G2381" i="357"/>
  <c r="G2391" i="357"/>
  <c r="J2391" i="357" s="1"/>
  <c r="G2401" i="357"/>
  <c r="G2411" i="357"/>
  <c r="G2418" i="357"/>
  <c r="J2418" i="357" s="1"/>
  <c r="G2429" i="357"/>
  <c r="I2429" i="357" s="1"/>
  <c r="G2441" i="357"/>
  <c r="G2451" i="357"/>
  <c r="G2510" i="357"/>
  <c r="J2510" i="357" s="1"/>
  <c r="G2552" i="357"/>
  <c r="J2552" i="357" s="1"/>
  <c r="G2583" i="357"/>
  <c r="H913" i="357"/>
  <c r="H626" i="357"/>
  <c r="H633" i="357"/>
  <c r="J633" i="357" s="1"/>
  <c r="G1254" i="357"/>
  <c r="G1274" i="357"/>
  <c r="G1361" i="357"/>
  <c r="J1361" i="357" s="1"/>
  <c r="G1731" i="357"/>
  <c r="G1795" i="357"/>
  <c r="G1862" i="357"/>
  <c r="G27" i="357"/>
  <c r="G35" i="357"/>
  <c r="I35" i="357" s="1"/>
  <c r="G90" i="357"/>
  <c r="G102" i="357"/>
  <c r="G135" i="357"/>
  <c r="G142" i="357"/>
  <c r="G154" i="357"/>
  <c r="G185" i="357"/>
  <c r="G279" i="357"/>
  <c r="G310" i="357"/>
  <c r="I310" i="357" s="1"/>
  <c r="G342" i="357"/>
  <c r="G404" i="357"/>
  <c r="G1227" i="357"/>
  <c r="G1238" i="357"/>
  <c r="G1305" i="357"/>
  <c r="G1311" i="357"/>
  <c r="G1336" i="357"/>
  <c r="G1391" i="357"/>
  <c r="I1391" i="357" s="1"/>
  <c r="G1504" i="357"/>
  <c r="G1518" i="357"/>
  <c r="G1528" i="357"/>
  <c r="G1537" i="357"/>
  <c r="I1537" i="357" s="1"/>
  <c r="G1555" i="357"/>
  <c r="G1567" i="357"/>
  <c r="G1887" i="357"/>
  <c r="G1911" i="357"/>
  <c r="J1911" i="357" s="1"/>
  <c r="G1919" i="357"/>
  <c r="J1919" i="357" s="1"/>
  <c r="G1940" i="357"/>
  <c r="G1949" i="357"/>
  <c r="G1959" i="357"/>
  <c r="G1979" i="357"/>
  <c r="G1987" i="357"/>
  <c r="G1993" i="357"/>
  <c r="G2003" i="357"/>
  <c r="J2003" i="357" s="1"/>
  <c r="G2017" i="357"/>
  <c r="J2017" i="357" s="1"/>
  <c r="G2071" i="357"/>
  <c r="H42" i="357"/>
  <c r="H248" i="357"/>
  <c r="H635" i="357"/>
  <c r="G873" i="357"/>
  <c r="G823" i="357"/>
  <c r="J823" i="357" s="1"/>
  <c r="G919" i="357"/>
  <c r="J919" i="357" s="1"/>
  <c r="G928" i="357"/>
  <c r="G939" i="357"/>
  <c r="G947" i="357"/>
  <c r="G971" i="357"/>
  <c r="G1013" i="357"/>
  <c r="G1043" i="357"/>
  <c r="G1069" i="357"/>
  <c r="I1069" i="357" s="1"/>
  <c r="G1099" i="357"/>
  <c r="G1127" i="357"/>
  <c r="J1127" i="357" s="1"/>
  <c r="G1155" i="357"/>
  <c r="G1187" i="357"/>
  <c r="G1213" i="357"/>
  <c r="J1213" i="357" s="1"/>
  <c r="G1416" i="357"/>
  <c r="G1421" i="357"/>
  <c r="G1451" i="357"/>
  <c r="J1451" i="357" s="1"/>
  <c r="G1464" i="357"/>
  <c r="J1464" i="357" s="1"/>
  <c r="G1473" i="357"/>
  <c r="G1483" i="357"/>
  <c r="G1497" i="357"/>
  <c r="G626" i="357"/>
  <c r="G631" i="357"/>
  <c r="G633" i="357"/>
  <c r="G641" i="357"/>
  <c r="I641" i="357" s="1"/>
  <c r="G717" i="357"/>
  <c r="G759" i="357"/>
  <c r="G794" i="357"/>
  <c r="H592" i="357"/>
  <c r="G592" i="357"/>
  <c r="G485" i="357"/>
  <c r="G514" i="357"/>
  <c r="G577" i="357"/>
  <c r="G278" i="357"/>
  <c r="J278" i="357" s="1"/>
  <c r="G294" i="357"/>
  <c r="G309" i="357"/>
  <c r="G328" i="357"/>
  <c r="G341" i="357"/>
  <c r="G372" i="357"/>
  <c r="G403" i="357"/>
  <c r="H25" i="357"/>
  <c r="H46" i="357"/>
  <c r="H52" i="357"/>
  <c r="H60" i="357"/>
  <c r="H110" i="357"/>
  <c r="H114" i="357"/>
  <c r="H129" i="357"/>
  <c r="H139" i="357"/>
  <c r="H147" i="357"/>
  <c r="H160" i="357"/>
  <c r="H198" i="357"/>
  <c r="H202" i="357"/>
  <c r="H208" i="357"/>
  <c r="H222" i="357"/>
  <c r="H228" i="357"/>
  <c r="H270" i="357"/>
  <c r="H286" i="357"/>
  <c r="H292" i="357"/>
  <c r="H554" i="357"/>
  <c r="H571" i="357"/>
  <c r="H692" i="357"/>
  <c r="H1185" i="357"/>
  <c r="H1205" i="357"/>
  <c r="H1230" i="357"/>
  <c r="H21" i="357"/>
  <c r="J21" i="357" s="1"/>
  <c r="H27" i="357"/>
  <c r="H33" i="357"/>
  <c r="J33" i="357" s="1"/>
  <c r="H35" i="357"/>
  <c r="H71" i="357"/>
  <c r="H90" i="357"/>
  <c r="H100" i="357"/>
  <c r="H102" i="357"/>
  <c r="H119" i="357"/>
  <c r="H135" i="357"/>
  <c r="J135" i="357" s="1"/>
  <c r="H137" i="357"/>
  <c r="I137" i="357" s="1"/>
  <c r="H142" i="357"/>
  <c r="H148" i="357"/>
  <c r="J148" i="357" s="1"/>
  <c r="H154" i="357"/>
  <c r="H156" i="357"/>
  <c r="H185" i="357"/>
  <c r="H233" i="357"/>
  <c r="I233" i="357" s="1"/>
  <c r="H279" i="357"/>
  <c r="H295" i="357"/>
  <c r="I295" i="357" s="1"/>
  <c r="H310" i="357"/>
  <c r="H329" i="357"/>
  <c r="H342" i="357"/>
  <c r="H373" i="357"/>
  <c r="H404" i="357"/>
  <c r="H593" i="357"/>
  <c r="E10" i="357"/>
  <c r="E16" i="357"/>
  <c r="G16" i="357" s="1"/>
  <c r="E24" i="357"/>
  <c r="E32" i="357"/>
  <c r="G32" i="357" s="1"/>
  <c r="E41" i="357"/>
  <c r="E47" i="357"/>
  <c r="E53" i="357"/>
  <c r="E59" i="357"/>
  <c r="G59" i="357" s="1"/>
  <c r="E65" i="357"/>
  <c r="E73" i="357"/>
  <c r="E79" i="357"/>
  <c r="E85" i="357"/>
  <c r="G85" i="357" s="1"/>
  <c r="E94" i="357"/>
  <c r="E109" i="357"/>
  <c r="E115" i="357"/>
  <c r="E124" i="357"/>
  <c r="E130" i="357"/>
  <c r="E159" i="357"/>
  <c r="G159" i="357" s="1"/>
  <c r="E165" i="357"/>
  <c r="G165" i="357" s="1"/>
  <c r="E171" i="357"/>
  <c r="E177" i="357"/>
  <c r="G177" i="357" s="1"/>
  <c r="E183" i="357"/>
  <c r="E191" i="357"/>
  <c r="G191" i="357" s="1"/>
  <c r="E197" i="357"/>
  <c r="G197" i="357" s="1"/>
  <c r="E203" i="357"/>
  <c r="E209" i="357"/>
  <c r="E215" i="357"/>
  <c r="E221" i="357"/>
  <c r="E227" i="357"/>
  <c r="E235" i="357"/>
  <c r="E241" i="357"/>
  <c r="E247" i="357"/>
  <c r="G247" i="357" s="1"/>
  <c r="E253" i="357"/>
  <c r="G253" i="357" s="1"/>
  <c r="E259" i="357"/>
  <c r="E265" i="357"/>
  <c r="E271" i="357"/>
  <c r="E277" i="357"/>
  <c r="E285" i="357"/>
  <c r="E291" i="357"/>
  <c r="E299" i="357"/>
  <c r="E305" i="357"/>
  <c r="G305" i="357" s="1"/>
  <c r="E313" i="357"/>
  <c r="G313" i="357" s="1"/>
  <c r="E319" i="357"/>
  <c r="E325" i="357"/>
  <c r="E333" i="357"/>
  <c r="G333" i="357" s="1"/>
  <c r="E339" i="357"/>
  <c r="E347" i="357"/>
  <c r="E353" i="357"/>
  <c r="G353" i="357" s="1"/>
  <c r="E359" i="357"/>
  <c r="E365" i="357"/>
  <c r="E371" i="357"/>
  <c r="E379" i="357"/>
  <c r="G379" i="357" s="1"/>
  <c r="E385" i="357"/>
  <c r="E391" i="357"/>
  <c r="E397" i="357"/>
  <c r="E411" i="357"/>
  <c r="E417" i="357"/>
  <c r="G417" i="357" s="1"/>
  <c r="E423" i="357"/>
  <c r="E429" i="357"/>
  <c r="E435" i="357"/>
  <c r="E441" i="357"/>
  <c r="G441" i="357" s="1"/>
  <c r="E447" i="357"/>
  <c r="E453" i="357"/>
  <c r="E459" i="357"/>
  <c r="G459" i="357" s="1"/>
  <c r="E465" i="357"/>
  <c r="E471" i="357"/>
  <c r="E477" i="357"/>
  <c r="G477" i="357" s="1"/>
  <c r="E483" i="357"/>
  <c r="G483" i="357" s="1"/>
  <c r="E491" i="357"/>
  <c r="E497" i="357"/>
  <c r="E503" i="357"/>
  <c r="E509" i="357"/>
  <c r="E517" i="357"/>
  <c r="E523" i="357"/>
  <c r="E529" i="357"/>
  <c r="E535" i="357"/>
  <c r="E541" i="357"/>
  <c r="G541" i="357" s="1"/>
  <c r="E547" i="357"/>
  <c r="E553" i="357"/>
  <c r="E559" i="357"/>
  <c r="G559" i="357" s="1"/>
  <c r="E565" i="357"/>
  <c r="E584" i="357"/>
  <c r="E590" i="357"/>
  <c r="E598" i="357"/>
  <c r="E604" i="357"/>
  <c r="G604" i="357" s="1"/>
  <c r="E624" i="357"/>
  <c r="E636" i="357"/>
  <c r="E650" i="357"/>
  <c r="G650" i="357" s="1"/>
  <c r="E656" i="357"/>
  <c r="E662" i="357"/>
  <c r="G662" i="357" s="1"/>
  <c r="E668" i="357"/>
  <c r="E685" i="357"/>
  <c r="E691" i="357"/>
  <c r="G691" i="357" s="1"/>
  <c r="E697" i="357"/>
  <c r="E703" i="357"/>
  <c r="E721" i="357"/>
  <c r="E727" i="357"/>
  <c r="E733" i="357"/>
  <c r="G733" i="357" s="1"/>
  <c r="E739" i="357"/>
  <c r="E745" i="357"/>
  <c r="E764" i="357"/>
  <c r="G764" i="357" s="1"/>
  <c r="E770" i="357"/>
  <c r="E776" i="357"/>
  <c r="E782" i="357"/>
  <c r="G782" i="357" s="1"/>
  <c r="E800" i="357"/>
  <c r="E806" i="357"/>
  <c r="E814" i="357"/>
  <c r="E820" i="357"/>
  <c r="G820" i="357" s="1"/>
  <c r="E828" i="357"/>
  <c r="E836" i="357"/>
  <c r="E842" i="357"/>
  <c r="G842" i="357" s="1"/>
  <c r="E848" i="357"/>
  <c r="G848" i="357" s="1"/>
  <c r="E854" i="357"/>
  <c r="G854" i="357" s="1"/>
  <c r="E879" i="357"/>
  <c r="E885" i="357"/>
  <c r="E891" i="357"/>
  <c r="G891" i="357" s="1"/>
  <c r="E916" i="357"/>
  <c r="G916" i="357" s="1"/>
  <c r="E937" i="357"/>
  <c r="E957" i="357"/>
  <c r="E963" i="357"/>
  <c r="G963" i="357" s="1"/>
  <c r="E969" i="357"/>
  <c r="E977" i="357"/>
  <c r="E983" i="357"/>
  <c r="E989" i="357"/>
  <c r="E997" i="357"/>
  <c r="E1003" i="357"/>
  <c r="E1009" i="357"/>
  <c r="G1009" i="357" s="1"/>
  <c r="E1017" i="357"/>
  <c r="E1023" i="357"/>
  <c r="G1023" i="357" s="1"/>
  <c r="E1029" i="357"/>
  <c r="E1037" i="357"/>
  <c r="G1037" i="357" s="1"/>
  <c r="E1045" i="357"/>
  <c r="E1053" i="357"/>
  <c r="G1053" i="357" s="1"/>
  <c r="E1059" i="357"/>
  <c r="E1065" i="357"/>
  <c r="E1073" i="357"/>
  <c r="E1079" i="357"/>
  <c r="E1085" i="357"/>
  <c r="E1093" i="357"/>
  <c r="E1107" i="357"/>
  <c r="E1113" i="357"/>
  <c r="E1137" i="357"/>
  <c r="G1137" i="357" s="1"/>
  <c r="E1143" i="357"/>
  <c r="E1149" i="357"/>
  <c r="G1149" i="357" s="1"/>
  <c r="E1163" i="357"/>
  <c r="G1163" i="357" s="1"/>
  <c r="E1169" i="357"/>
  <c r="E1184" i="357"/>
  <c r="G1184" i="357" s="1"/>
  <c r="E1200" i="357"/>
  <c r="E1206" i="357"/>
  <c r="E1222" i="357"/>
  <c r="E1231" i="357"/>
  <c r="E1249" i="357"/>
  <c r="E1260" i="357"/>
  <c r="E1266" i="357"/>
  <c r="G1266" i="357" s="1"/>
  <c r="E1272" i="357"/>
  <c r="G1272" i="357" s="1"/>
  <c r="E1280" i="357"/>
  <c r="E1286" i="357"/>
  <c r="G1286" i="357" s="1"/>
  <c r="E1292" i="357"/>
  <c r="G1292" i="357" s="1"/>
  <c r="E1319" i="357"/>
  <c r="E1325" i="357"/>
  <c r="E1334" i="357"/>
  <c r="E1342" i="357"/>
  <c r="E1346" i="357"/>
  <c r="E1350" i="357"/>
  <c r="G1350" i="357" s="1"/>
  <c r="E1354" i="357"/>
  <c r="G1354" i="357" s="1"/>
  <c r="E1358" i="357"/>
  <c r="E1367" i="357"/>
  <c r="E1373" i="357"/>
  <c r="E1398" i="357"/>
  <c r="E1404" i="357"/>
  <c r="E1412" i="357"/>
  <c r="E1433" i="357"/>
  <c r="E1439" i="357"/>
  <c r="E1445" i="357"/>
  <c r="E1460" i="357"/>
  <c r="E1489" i="357"/>
  <c r="E1509" i="357"/>
  <c r="G1509" i="357" s="1"/>
  <c r="E1516" i="357"/>
  <c r="E1526" i="357"/>
  <c r="E1560" i="357"/>
  <c r="E1576" i="357"/>
  <c r="E1582" i="357"/>
  <c r="E1588" i="357"/>
  <c r="E1594" i="357"/>
  <c r="G1594" i="357" s="1"/>
  <c r="E1600" i="357"/>
  <c r="E1606" i="357"/>
  <c r="G1606" i="357" s="1"/>
  <c r="E1612" i="357"/>
  <c r="E1618" i="357"/>
  <c r="G1618" i="357" s="1"/>
  <c r="E1624" i="357"/>
  <c r="E1630" i="357"/>
  <c r="E1636" i="357"/>
  <c r="E1642" i="357"/>
  <c r="G1642" i="357" s="1"/>
  <c r="E1648" i="357"/>
  <c r="E1654" i="357"/>
  <c r="G1654" i="357" s="1"/>
  <c r="E1660" i="357"/>
  <c r="E1666" i="357"/>
  <c r="E1672" i="357"/>
  <c r="G1672" i="357" s="1"/>
  <c r="E1678" i="357"/>
  <c r="E1684" i="357"/>
  <c r="E1690" i="357"/>
  <c r="E1696" i="357"/>
  <c r="E1704" i="357"/>
  <c r="E1710" i="357"/>
  <c r="E1716" i="357"/>
  <c r="E1722" i="357"/>
  <c r="E1728" i="357"/>
  <c r="E1736" i="357"/>
  <c r="G1736" i="357" s="1"/>
  <c r="E1742" i="357"/>
  <c r="E1748" i="357"/>
  <c r="E1754" i="357"/>
  <c r="G1754" i="357" s="1"/>
  <c r="E1760" i="357"/>
  <c r="E1768" i="357"/>
  <c r="E1774" i="357"/>
  <c r="G1774" i="357" s="1"/>
  <c r="E1780" i="357"/>
  <c r="E1786" i="357"/>
  <c r="E1792" i="357"/>
  <c r="G1792" i="357" s="1"/>
  <c r="E1830" i="357"/>
  <c r="E1836" i="357"/>
  <c r="E1842" i="357"/>
  <c r="E1848" i="357"/>
  <c r="E1854" i="357"/>
  <c r="E1801" i="357"/>
  <c r="E1807" i="357"/>
  <c r="E1813" i="357"/>
  <c r="E1819" i="357"/>
  <c r="E1825" i="357"/>
  <c r="E1861" i="357"/>
  <c r="E1873" i="357"/>
  <c r="G1873" i="357" s="1"/>
  <c r="E1879" i="357"/>
  <c r="G1879" i="357" s="1"/>
  <c r="E1885" i="357"/>
  <c r="E1893" i="357"/>
  <c r="G1893" i="357" s="1"/>
  <c r="E1899" i="357"/>
  <c r="E1925" i="357"/>
  <c r="E1931" i="357"/>
  <c r="E1944" i="357"/>
  <c r="G1944" i="357" s="1"/>
  <c r="E2008" i="357"/>
  <c r="G2008" i="357" s="1"/>
  <c r="E2016" i="357"/>
  <c r="E2024" i="357"/>
  <c r="G2024" i="357" s="1"/>
  <c r="E2030" i="357"/>
  <c r="G2030" i="357" s="1"/>
  <c r="E2036" i="357"/>
  <c r="G2036" i="357" s="1"/>
  <c r="E2042" i="357"/>
  <c r="E2048" i="357"/>
  <c r="E2054" i="357"/>
  <c r="E2060" i="357"/>
  <c r="G2060" i="357" s="1"/>
  <c r="E2069" i="357"/>
  <c r="E2077" i="357"/>
  <c r="E2085" i="357"/>
  <c r="G2085" i="357" s="1"/>
  <c r="E2101" i="357"/>
  <c r="G2101" i="357" s="1"/>
  <c r="E2109" i="357"/>
  <c r="E2115" i="357"/>
  <c r="E2124" i="357"/>
  <c r="E2142" i="357"/>
  <c r="E2150" i="357"/>
  <c r="G2150" i="357" s="1"/>
  <c r="E2166" i="357"/>
  <c r="E2177" i="357"/>
  <c r="E2183" i="357"/>
  <c r="G2183" i="357" s="1"/>
  <c r="E2189" i="357"/>
  <c r="G2189" i="357" s="1"/>
  <c r="E2195" i="357"/>
  <c r="G2195" i="357" s="1"/>
  <c r="E2201" i="357"/>
  <c r="E2207" i="357"/>
  <c r="E2223" i="357"/>
  <c r="G2223" i="357" s="1"/>
  <c r="E2229" i="357"/>
  <c r="E2235" i="357"/>
  <c r="E2241" i="357"/>
  <c r="E2247" i="357"/>
  <c r="G2247" i="357" s="1"/>
  <c r="E2261" i="357"/>
  <c r="G2261" i="357" s="1"/>
  <c r="E2272" i="357"/>
  <c r="E2278" i="357"/>
  <c r="E2284" i="357"/>
  <c r="G2284" i="357" s="1"/>
  <c r="E2290" i="357"/>
  <c r="E2296" i="357"/>
  <c r="E2311" i="357"/>
  <c r="G2311" i="357" s="1"/>
  <c r="E2317" i="357"/>
  <c r="G2317" i="357" s="1"/>
  <c r="E2551" i="357"/>
  <c r="E2559" i="357"/>
  <c r="G2559" i="357" s="1"/>
  <c r="E2577" i="357"/>
  <c r="G2577" i="357" s="1"/>
  <c r="E2585" i="357"/>
  <c r="G2585" i="357" s="1"/>
  <c r="E2622" i="357"/>
  <c r="G2622" i="357" s="1"/>
  <c r="E2634" i="357"/>
  <c r="G2634" i="357" s="1"/>
  <c r="E2651" i="357"/>
  <c r="G2651" i="357" s="1"/>
  <c r="E2661" i="357"/>
  <c r="G2661" i="357" s="1"/>
  <c r="E2669" i="357"/>
  <c r="E2690" i="357"/>
  <c r="G2690" i="357" s="1"/>
  <c r="E2700" i="357"/>
  <c r="G2700" i="357" s="1"/>
  <c r="E2706" i="357"/>
  <c r="G2706" i="357" s="1"/>
  <c r="E2712" i="357"/>
  <c r="G2712" i="357" s="1"/>
  <c r="E2718" i="357"/>
  <c r="G2718" i="357" s="1"/>
  <c r="E2730" i="357"/>
  <c r="G2730" i="357" s="1"/>
  <c r="E2740" i="357"/>
  <c r="G2740" i="357" s="1"/>
  <c r="E2750" i="357"/>
  <c r="G2750" i="357" s="1"/>
  <c r="E2767" i="357"/>
  <c r="G2767" i="357" s="1"/>
  <c r="E2773" i="357"/>
  <c r="G2773" i="357" s="1"/>
  <c r="E2779" i="357"/>
  <c r="G2779" i="357" s="1"/>
  <c r="E2785" i="357"/>
  <c r="G2785" i="357" s="1"/>
  <c r="E2793" i="357"/>
  <c r="E2799" i="357"/>
  <c r="E2810" i="357"/>
  <c r="G2810" i="357" s="1"/>
  <c r="E2816" i="357"/>
  <c r="E2835" i="357"/>
  <c r="G2835" i="357" s="1"/>
  <c r="E2843" i="357"/>
  <c r="G2843" i="357" s="1"/>
  <c r="E2849" i="357"/>
  <c r="G2849" i="357" s="1"/>
  <c r="E2865" i="357"/>
  <c r="G2865" i="357" s="1"/>
  <c r="E2871" i="357"/>
  <c r="G2871" i="357" s="1"/>
  <c r="E2877" i="357"/>
  <c r="G2877" i="357" s="1"/>
  <c r="E2907" i="357"/>
  <c r="E2921" i="357"/>
  <c r="G2921" i="357" s="1"/>
  <c r="E2927" i="357"/>
  <c r="E2938" i="357"/>
  <c r="G2938" i="357" s="1"/>
  <c r="E2944" i="357"/>
  <c r="G2944" i="357" s="1"/>
  <c r="E2950" i="357"/>
  <c r="G2950" i="357" s="1"/>
  <c r="E2956" i="357"/>
  <c r="E2962" i="357"/>
  <c r="E2974" i="357"/>
  <c r="G2974" i="357" s="1"/>
  <c r="E2980" i="357"/>
  <c r="G2980" i="357" s="1"/>
  <c r="E3006" i="357"/>
  <c r="G3006" i="357" s="1"/>
  <c r="E3014" i="357"/>
  <c r="G3014" i="357" s="1"/>
  <c r="E3038" i="357"/>
  <c r="G3038" i="357" s="1"/>
  <c r="E3046" i="357"/>
  <c r="G3046" i="357" s="1"/>
  <c r="E3052" i="357"/>
  <c r="G3052" i="357" s="1"/>
  <c r="E3060" i="357"/>
  <c r="G3060" i="357" s="1"/>
  <c r="E3066" i="357"/>
  <c r="G3066" i="357" s="1"/>
  <c r="E3074" i="357"/>
  <c r="G3074" i="357" s="1"/>
  <c r="E3093" i="357"/>
  <c r="G3093" i="357" s="1"/>
  <c r="E3120" i="357"/>
  <c r="G3120" i="357" s="1"/>
  <c r="E3128" i="357"/>
  <c r="G3128" i="357" s="1"/>
  <c r="E3138" i="357"/>
  <c r="G3138" i="357" s="1"/>
  <c r="E3156" i="357"/>
  <c r="G3156" i="357" s="1"/>
  <c r="E3182" i="357"/>
  <c r="G3182" i="357" s="1"/>
  <c r="E3188" i="357"/>
  <c r="G3188" i="357" s="1"/>
  <c r="E3199" i="357"/>
  <c r="G3199" i="357" s="1"/>
  <c r="E3213" i="357"/>
  <c r="G3213" i="357" s="1"/>
  <c r="E3217" i="357"/>
  <c r="G3217" i="357" s="1"/>
  <c r="E3237" i="357"/>
  <c r="G3237" i="357" s="1"/>
  <c r="E3239" i="357"/>
  <c r="G3239" i="357" s="1"/>
  <c r="E3247" i="357"/>
  <c r="G3247" i="357" s="1"/>
  <c r="E3505" i="357"/>
  <c r="G3505" i="357" s="1"/>
  <c r="E3507" i="357"/>
  <c r="G3507" i="357" s="1"/>
  <c r="G70" i="357"/>
  <c r="J70" i="357" s="1"/>
  <c r="G89" i="357"/>
  <c r="G91" i="357"/>
  <c r="G101" i="357"/>
  <c r="I101" i="357" s="1"/>
  <c r="G118" i="357"/>
  <c r="G120" i="357"/>
  <c r="G136" i="357"/>
  <c r="G138" i="357"/>
  <c r="J138" i="357" s="1"/>
  <c r="G145" i="357"/>
  <c r="I145" i="357" s="1"/>
  <c r="G151" i="357"/>
  <c r="I151" i="357" s="1"/>
  <c r="G155" i="357"/>
  <c r="G184" i="357"/>
  <c r="I184" i="357" s="1"/>
  <c r="G232" i="357"/>
  <c r="G28" i="357"/>
  <c r="G34" i="357"/>
  <c r="G22" i="357"/>
  <c r="H485" i="357"/>
  <c r="H514" i="357"/>
  <c r="J514" i="357" s="1"/>
  <c r="H577" i="357"/>
  <c r="F3438" i="357"/>
  <c r="H3438" i="357" s="1"/>
  <c r="F3442" i="357"/>
  <c r="H3442" i="357" s="1"/>
  <c r="F3448" i="357"/>
  <c r="H3448" i="357" s="1"/>
  <c r="F3247" i="357"/>
  <c r="H3247" i="357" s="1"/>
  <c r="F1244" i="357"/>
  <c r="H1244" i="357" s="1"/>
  <c r="F1248" i="357"/>
  <c r="F1250" i="357"/>
  <c r="F1259" i="357"/>
  <c r="H1259" i="357" s="1"/>
  <c r="F1261" i="357"/>
  <c r="F1265" i="357"/>
  <c r="F1267" i="357"/>
  <c r="H1267" i="357" s="1"/>
  <c r="F1271" i="357"/>
  <c r="F1279" i="357"/>
  <c r="F1281" i="357"/>
  <c r="H1281" i="357" s="1"/>
  <c r="F1285" i="357"/>
  <c r="F1287" i="357"/>
  <c r="F1291" i="357"/>
  <c r="F1298" i="357"/>
  <c r="H1298" i="357" s="1"/>
  <c r="F1314" i="357"/>
  <c r="F1318" i="357"/>
  <c r="H1318" i="357" s="1"/>
  <c r="F1320" i="357"/>
  <c r="F1324" i="357"/>
  <c r="F1326" i="357"/>
  <c r="F1335" i="357"/>
  <c r="F1341" i="357"/>
  <c r="H1341" i="357" s="1"/>
  <c r="F1343" i="357"/>
  <c r="F1703" i="357"/>
  <c r="F1705" i="357"/>
  <c r="F1709" i="357"/>
  <c r="F1711" i="357"/>
  <c r="H1711" i="357" s="1"/>
  <c r="F1715" i="357"/>
  <c r="F1717" i="357"/>
  <c r="F1721" i="357"/>
  <c r="F1723" i="357"/>
  <c r="F1727" i="357"/>
  <c r="H1727" i="357" s="1"/>
  <c r="F1729" i="357"/>
  <c r="F1735" i="357"/>
  <c r="F1737" i="357"/>
  <c r="F1741" i="357"/>
  <c r="H1741" i="357" s="1"/>
  <c r="F1743" i="357"/>
  <c r="H1743" i="357" s="1"/>
  <c r="F1747" i="357"/>
  <c r="F1749" i="357"/>
  <c r="F1753" i="357"/>
  <c r="F1755" i="357"/>
  <c r="F1759" i="357"/>
  <c r="H1759" i="357" s="1"/>
  <c r="F1761" i="357"/>
  <c r="H1761" i="357" s="1"/>
  <c r="F2194" i="357"/>
  <c r="F2196" i="357"/>
  <c r="H2196" i="357" s="1"/>
  <c r="F2200" i="357"/>
  <c r="F2202" i="357"/>
  <c r="F2206" i="357"/>
  <c r="F2215" i="357"/>
  <c r="F2222" i="357"/>
  <c r="H2222" i="357" s="1"/>
  <c r="F2224" i="357"/>
  <c r="H2224" i="357" s="1"/>
  <c r="F2228" i="357"/>
  <c r="H2228" i="357" s="1"/>
  <c r="F2230" i="357"/>
  <c r="H2230" i="357" s="1"/>
  <c r="F2234" i="357"/>
  <c r="F2236" i="357"/>
  <c r="F2240" i="357"/>
  <c r="F2242" i="357"/>
  <c r="F2246" i="357"/>
  <c r="F2248" i="357"/>
  <c r="F2252" i="357"/>
  <c r="H2252" i="357" s="1"/>
  <c r="F2260" i="357"/>
  <c r="F2262" i="357"/>
  <c r="H2262" i="357" s="1"/>
  <c r="F2268" i="357"/>
  <c r="H2268" i="357" s="1"/>
  <c r="F2277" i="357"/>
  <c r="H2277" i="357" s="1"/>
  <c r="F2279" i="357"/>
  <c r="F2283" i="357"/>
  <c r="H2283" i="357" s="1"/>
  <c r="F2285" i="357"/>
  <c r="F2289" i="357"/>
  <c r="F2291" i="357"/>
  <c r="H2291" i="357" s="1"/>
  <c r="F2295" i="357"/>
  <c r="H2295" i="357" s="1"/>
  <c r="F2297" i="357"/>
  <c r="H2297" i="357" s="1"/>
  <c r="F2301" i="357"/>
  <c r="H2301" i="357" s="1"/>
  <c r="F2306" i="357"/>
  <c r="H2306" i="357" s="1"/>
  <c r="F2310" i="357"/>
  <c r="H2310" i="357" s="1"/>
  <c r="F2312" i="357"/>
  <c r="H2312" i="357" s="1"/>
  <c r="F2316" i="357"/>
  <c r="H2316" i="357" s="1"/>
  <c r="F2318" i="357"/>
  <c r="H2318" i="357" s="1"/>
  <c r="F2325" i="357"/>
  <c r="F2334" i="357"/>
  <c r="F2344" i="357"/>
  <c r="H2344" i="357" s="1"/>
  <c r="F2354" i="357"/>
  <c r="F2358" i="357"/>
  <c r="H2358" i="357" s="1"/>
  <c r="F2366" i="357"/>
  <c r="F2376" i="357"/>
  <c r="F2428" i="357"/>
  <c r="F2434" i="357"/>
  <c r="H2434" i="357" s="1"/>
  <c r="F2446" i="357"/>
  <c r="F2462" i="357"/>
  <c r="H2462" i="357" s="1"/>
  <c r="F2464" i="357"/>
  <c r="F2486" i="357"/>
  <c r="H2486" i="357" s="1"/>
  <c r="F2492" i="357"/>
  <c r="H2492" i="357" s="1"/>
  <c r="F2500" i="357"/>
  <c r="H2500" i="357" s="1"/>
  <c r="F2508" i="357"/>
  <c r="H2508" i="357" s="1"/>
  <c r="F2516" i="357"/>
  <c r="H2516" i="357" s="1"/>
  <c r="F2526" i="357"/>
  <c r="H2526" i="357" s="1"/>
  <c r="F2528" i="357"/>
  <c r="H2528" i="357" s="1"/>
  <c r="F2534" i="357"/>
  <c r="H2534" i="357" s="1"/>
  <c r="F2542" i="357"/>
  <c r="H2542" i="357" s="1"/>
  <c r="F2550" i="357"/>
  <c r="F2558" i="357"/>
  <c r="H2558" i="357" s="1"/>
  <c r="F2566" i="357"/>
  <c r="H2566" i="357" s="1"/>
  <c r="F2570" i="357"/>
  <c r="H2570" i="357" s="1"/>
  <c r="F2574" i="357"/>
  <c r="H2574" i="357" s="1"/>
  <c r="F2578" i="357"/>
  <c r="H2578" i="357" s="1"/>
  <c r="F2582" i="357"/>
  <c r="H2582" i="357" s="1"/>
  <c r="F2586" i="357"/>
  <c r="H2586" i="357" s="1"/>
  <c r="F2590" i="357"/>
  <c r="H2590" i="357" s="1"/>
  <c r="F2594" i="357"/>
  <c r="H2594" i="357" s="1"/>
  <c r="F2602" i="357"/>
  <c r="H2602" i="357" s="1"/>
  <c r="F2633" i="357"/>
  <c r="H2633" i="357" s="1"/>
  <c r="F2821" i="357"/>
  <c r="F2830" i="357"/>
  <c r="F2834" i="357"/>
  <c r="H2834" i="357" s="1"/>
  <c r="F2836" i="357"/>
  <c r="H2836" i="357" s="1"/>
  <c r="F2842" i="357"/>
  <c r="H2842" i="357" s="1"/>
  <c r="F2844" i="357"/>
  <c r="H2844" i="357" s="1"/>
  <c r="F2848" i="357"/>
  <c r="H2848" i="357" s="1"/>
  <c r="F2850" i="357"/>
  <c r="H2850" i="357" s="1"/>
  <c r="F2864" i="357"/>
  <c r="H2864" i="357" s="1"/>
  <c r="F2866" i="357"/>
  <c r="H2866" i="357" s="1"/>
  <c r="F2870" i="357"/>
  <c r="H2870" i="357" s="1"/>
  <c r="F2872" i="357"/>
  <c r="H2872" i="357" s="1"/>
  <c r="F2876" i="357"/>
  <c r="H2876" i="357" s="1"/>
  <c r="F2878" i="357"/>
  <c r="H2878" i="357" s="1"/>
  <c r="F2882" i="357"/>
  <c r="H2882" i="357" s="1"/>
  <c r="F2884" i="357"/>
  <c r="H2884" i="357" s="1"/>
  <c r="F2888" i="357"/>
  <c r="H2888" i="357" s="1"/>
  <c r="F2890" i="357"/>
  <c r="H2890" i="357" s="1"/>
  <c r="F2894" i="357"/>
  <c r="F2896" i="357"/>
  <c r="F2906" i="357"/>
  <c r="F2908" i="357"/>
  <c r="H2908" i="357" s="1"/>
  <c r="F2916" i="357"/>
  <c r="H2916" i="357" s="1"/>
  <c r="F2920" i="357"/>
  <c r="H2920" i="357" s="1"/>
  <c r="F2922" i="357"/>
  <c r="H2922" i="357" s="1"/>
  <c r="F2926" i="357"/>
  <c r="H2926" i="357" s="1"/>
  <c r="F2928" i="357"/>
  <c r="F2937" i="357"/>
  <c r="H2937" i="357" s="1"/>
  <c r="F2939" i="357"/>
  <c r="H2939" i="357" s="1"/>
  <c r="F2943" i="357"/>
  <c r="H2943" i="357" s="1"/>
  <c r="F2945" i="357"/>
  <c r="H2945" i="357" s="1"/>
  <c r="F2949" i="357"/>
  <c r="H2949" i="357" s="1"/>
  <c r="F2951" i="357"/>
  <c r="H2951" i="357" s="1"/>
  <c r="F2955" i="357"/>
  <c r="H2955" i="357" s="1"/>
  <c r="F2957" i="357"/>
  <c r="H2957" i="357" s="1"/>
  <c r="F2961" i="357"/>
  <c r="F2967" i="357"/>
  <c r="H2967" i="357" s="1"/>
  <c r="F2973" i="357"/>
  <c r="H2973" i="357" s="1"/>
  <c r="F2975" i="357"/>
  <c r="H2975" i="357" s="1"/>
  <c r="F2979" i="357"/>
  <c r="H2979" i="357" s="1"/>
  <c r="F2981" i="357"/>
  <c r="H2981" i="357" s="1"/>
  <c r="F2990" i="357"/>
  <c r="H2990" i="357" s="1"/>
  <c r="F2996" i="357"/>
  <c r="H2996" i="357" s="1"/>
  <c r="F3001" i="357"/>
  <c r="H3001" i="357" s="1"/>
  <c r="F3005" i="357"/>
  <c r="H3005" i="357" s="1"/>
  <c r="F3013" i="357"/>
  <c r="H3013" i="357" s="1"/>
  <c r="F3023" i="357"/>
  <c r="H3023" i="357" s="1"/>
  <c r="F3031" i="357"/>
  <c r="H3031" i="357" s="1"/>
  <c r="F3039" i="357"/>
  <c r="H3039" i="357" s="1"/>
  <c r="F3045" i="357"/>
  <c r="H3045" i="357" s="1"/>
  <c r="F3047" i="357"/>
  <c r="H3047" i="357" s="1"/>
  <c r="F3051" i="357"/>
  <c r="H3051" i="357" s="1"/>
  <c r="F3053" i="357"/>
  <c r="H3053" i="357" s="1"/>
  <c r="F3059" i="357"/>
  <c r="H3059" i="357" s="1"/>
  <c r="F3061" i="357"/>
  <c r="H3061" i="357" s="1"/>
  <c r="F3065" i="357"/>
  <c r="H3065" i="357" s="1"/>
  <c r="F3067" i="357"/>
  <c r="H3067" i="357" s="1"/>
  <c r="F3073" i="357"/>
  <c r="H3073" i="357" s="1"/>
  <c r="F3075" i="357"/>
  <c r="H3075" i="357" s="1"/>
  <c r="F3097" i="357"/>
  <c r="H3097" i="357" s="1"/>
  <c r="F3103" i="357"/>
  <c r="H3103" i="357" s="1"/>
  <c r="F3107" i="357"/>
  <c r="H3107" i="357" s="1"/>
  <c r="F3115" i="357"/>
  <c r="H3115" i="357" s="1"/>
  <c r="F3119" i="357"/>
  <c r="H3119" i="357" s="1"/>
  <c r="F3127" i="357"/>
  <c r="H3127" i="357" s="1"/>
  <c r="F3129" i="357"/>
  <c r="H3129" i="357" s="1"/>
  <c r="F3147" i="357"/>
  <c r="H3147" i="357" s="1"/>
  <c r="F3155" i="357"/>
  <c r="H3155" i="357" s="1"/>
  <c r="F3157" i="357"/>
  <c r="H3157" i="357" s="1"/>
  <c r="F3167" i="357"/>
  <c r="H3167" i="357" s="1"/>
  <c r="F3173" i="357"/>
  <c r="H3173" i="357" s="1"/>
  <c r="F3177" i="357"/>
  <c r="H3177" i="357" s="1"/>
  <c r="F3181" i="357"/>
  <c r="H3181" i="357" s="1"/>
  <c r="F3183" i="357"/>
  <c r="H3183" i="357" s="1"/>
  <c r="F3187" i="357"/>
  <c r="H3187" i="357" s="1"/>
  <c r="F3189" i="357"/>
  <c r="H3189" i="357" s="1"/>
  <c r="F3198" i="357"/>
  <c r="H3198" i="357" s="1"/>
  <c r="F3208" i="357"/>
  <c r="H3208" i="357" s="1"/>
  <c r="F3228" i="357"/>
  <c r="H3228" i="357" s="1"/>
  <c r="F3234" i="357"/>
  <c r="H3234" i="357" s="1"/>
  <c r="F3252" i="357"/>
  <c r="H3252" i="357" s="1"/>
  <c r="F3376" i="357"/>
  <c r="H3376" i="357" s="1"/>
  <c r="F3382" i="357"/>
  <c r="H3382" i="357" s="1"/>
  <c r="F3390" i="357"/>
  <c r="H3390" i="357" s="1"/>
  <c r="F3398" i="357"/>
  <c r="H3398" i="357" s="1"/>
  <c r="E3447" i="357"/>
  <c r="G3447" i="357" s="1"/>
  <c r="F3464" i="357"/>
  <c r="H3464" i="357" s="1"/>
  <c r="G277" i="357"/>
  <c r="G291" i="357"/>
  <c r="G1065" i="357"/>
  <c r="H31" i="357"/>
  <c r="H54" i="357"/>
  <c r="H58" i="357"/>
  <c r="H99" i="357"/>
  <c r="H108" i="357"/>
  <c r="H116" i="357"/>
  <c r="H141" i="357"/>
  <c r="H150" i="357"/>
  <c r="H220" i="357"/>
  <c r="H236" i="357"/>
  <c r="H252" i="357"/>
  <c r="H264" i="357"/>
  <c r="H272" i="357"/>
  <c r="H276" i="357"/>
  <c r="G371" i="357"/>
  <c r="H564" i="357"/>
  <c r="H623" i="357"/>
  <c r="H651" i="357"/>
  <c r="G1003" i="357"/>
  <c r="H1191" i="357"/>
  <c r="H1207" i="357"/>
  <c r="H22" i="357"/>
  <c r="H28" i="357"/>
  <c r="H34" i="357"/>
  <c r="G285" i="357"/>
  <c r="G937" i="357"/>
  <c r="H9" i="357"/>
  <c r="H15" i="357"/>
  <c r="H66" i="357"/>
  <c r="H78" i="357"/>
  <c r="H86" i="357"/>
  <c r="H95" i="357"/>
  <c r="G115" i="357"/>
  <c r="H166" i="357"/>
  <c r="H192" i="357"/>
  <c r="H196" i="357"/>
  <c r="H204" i="357"/>
  <c r="H210" i="357"/>
  <c r="H214" i="357"/>
  <c r="H226" i="357"/>
  <c r="G235" i="357"/>
  <c r="H246" i="357"/>
  <c r="G391" i="357"/>
  <c r="G547" i="357"/>
  <c r="H575" i="357"/>
  <c r="G590" i="357"/>
  <c r="G624" i="357"/>
  <c r="H637" i="357"/>
  <c r="H1199" i="357"/>
  <c r="H1221" i="357"/>
  <c r="G697" i="357"/>
  <c r="G703" i="357"/>
  <c r="G776" i="357"/>
  <c r="F3341" i="357"/>
  <c r="H3341" i="357" s="1"/>
  <c r="F3353" i="357"/>
  <c r="H3353" i="357" s="1"/>
  <c r="F3363" i="357"/>
  <c r="H3363" i="357" s="1"/>
  <c r="F3373" i="357"/>
  <c r="H3373" i="357" s="1"/>
  <c r="F3379" i="357"/>
  <c r="H3379" i="357" s="1"/>
  <c r="F3385" i="357"/>
  <c r="H3385" i="357" s="1"/>
  <c r="F3393" i="357"/>
  <c r="H3393" i="357" s="1"/>
  <c r="F3459" i="357"/>
  <c r="H3459" i="357" s="1"/>
  <c r="E3465" i="357"/>
  <c r="G3465" i="357" s="1"/>
  <c r="E3478" i="357"/>
  <c r="G3478" i="357" s="1"/>
  <c r="F3235" i="357"/>
  <c r="H3235" i="357" s="1"/>
  <c r="F3466" i="357"/>
  <c r="H3466" i="357" s="1"/>
  <c r="F3477" i="357"/>
  <c r="H3477" i="357" s="1"/>
  <c r="I3501" i="357"/>
  <c r="I1980" i="357"/>
  <c r="I2387" i="357"/>
  <c r="I2397" i="357"/>
  <c r="I2407" i="357"/>
  <c r="I2457" i="357"/>
  <c r="I2469" i="357"/>
  <c r="I2495" i="357"/>
  <c r="I2511" i="357"/>
  <c r="I2523" i="357"/>
  <c r="I2553" i="357"/>
  <c r="I2643" i="357"/>
  <c r="I2685" i="357"/>
  <c r="I2693" i="357"/>
  <c r="I2721" i="357"/>
  <c r="I2727" i="357"/>
  <c r="I2737" i="357"/>
  <c r="I2751" i="357"/>
  <c r="I2998" i="357"/>
  <c r="I3041" i="357"/>
  <c r="I3122" i="357"/>
  <c r="I3130" i="357"/>
  <c r="I3148" i="357"/>
  <c r="I3201" i="357"/>
  <c r="I3225" i="357"/>
  <c r="I3229" i="357"/>
  <c r="I3253" i="357"/>
  <c r="I3283" i="357"/>
  <c r="I3319" i="357"/>
  <c r="I3339" i="357"/>
  <c r="I3355" i="357"/>
  <c r="I3423" i="357"/>
  <c r="H3494" i="357"/>
  <c r="H3496" i="357"/>
  <c r="H3504" i="357"/>
  <c r="H3506" i="357"/>
  <c r="C1324" i="357"/>
  <c r="D1324" i="357"/>
  <c r="C2307" i="357"/>
  <c r="D2307" i="357"/>
  <c r="C498" i="357"/>
  <c r="D498" i="357"/>
  <c r="C2365" i="357"/>
  <c r="D2365" i="357"/>
  <c r="C10" i="357"/>
  <c r="C12" i="357"/>
  <c r="C46" i="357"/>
  <c r="C49" i="357"/>
  <c r="C94" i="357"/>
  <c r="G94" i="357" s="1"/>
  <c r="D172" i="357"/>
  <c r="H172" i="357" s="1"/>
  <c r="C180" i="357"/>
  <c r="C397" i="357"/>
  <c r="G397" i="357" s="1"/>
  <c r="C399" i="357"/>
  <c r="C413" i="357"/>
  <c r="C488" i="357"/>
  <c r="C490" i="357"/>
  <c r="C535" i="357"/>
  <c r="D588" i="357"/>
  <c r="C880" i="357"/>
  <c r="C882" i="357"/>
  <c r="C955" i="357"/>
  <c r="C1162" i="357"/>
  <c r="C1191" i="357"/>
  <c r="D1197" i="357"/>
  <c r="C1259" i="357"/>
  <c r="D1288" i="357"/>
  <c r="D1291" i="357"/>
  <c r="C1387" i="357"/>
  <c r="C1459" i="357"/>
  <c r="D1816" i="357"/>
  <c r="C1896" i="357"/>
  <c r="D1943" i="357"/>
  <c r="D1948" i="357"/>
  <c r="C2078" i="357"/>
  <c r="C2084" i="357"/>
  <c r="C2153" i="357"/>
  <c r="C2191" i="357"/>
  <c r="C2233" i="357"/>
  <c r="C2235" i="357"/>
  <c r="C2257" i="357"/>
  <c r="D2314" i="357"/>
  <c r="D16" i="357"/>
  <c r="D40" i="357"/>
  <c r="H40" i="357" s="1"/>
  <c r="C47" i="357"/>
  <c r="G47" i="357" s="1"/>
  <c r="C52" i="357"/>
  <c r="C55" i="357"/>
  <c r="D67" i="357"/>
  <c r="D93" i="357"/>
  <c r="H93" i="357" s="1"/>
  <c r="C108" i="357"/>
  <c r="C111" i="357"/>
  <c r="D126" i="357"/>
  <c r="C171" i="357"/>
  <c r="C194" i="357"/>
  <c r="C215" i="357"/>
  <c r="G215" i="357" s="1"/>
  <c r="D250" i="357"/>
  <c r="D291" i="357"/>
  <c r="D391" i="357"/>
  <c r="C495" i="357"/>
  <c r="C503" i="357"/>
  <c r="G503" i="357" s="1"/>
  <c r="C538" i="357"/>
  <c r="D649" i="357"/>
  <c r="H649" i="357" s="1"/>
  <c r="C651" i="357"/>
  <c r="D652" i="357"/>
  <c r="D926" i="357"/>
  <c r="D935" i="357"/>
  <c r="C990" i="357"/>
  <c r="D1115" i="357"/>
  <c r="C1139" i="357"/>
  <c r="C1174" i="357"/>
  <c r="C1182" i="357"/>
  <c r="D1183" i="357"/>
  <c r="H1183" i="357" s="1"/>
  <c r="D1190" i="357"/>
  <c r="C1196" i="357"/>
  <c r="C1287" i="357"/>
  <c r="D1323" i="357"/>
  <c r="D1326" i="357"/>
  <c r="D1402" i="357"/>
  <c r="D1409" i="357"/>
  <c r="C1445" i="357"/>
  <c r="G1445" i="357" s="1"/>
  <c r="C1455" i="357"/>
  <c r="C1472" i="357"/>
  <c r="C1543" i="357"/>
  <c r="C1583" i="357"/>
  <c r="C1588" i="357"/>
  <c r="D1648" i="357"/>
  <c r="C1652" i="357"/>
  <c r="D1654" i="357"/>
  <c r="D1665" i="357"/>
  <c r="C1701" i="357"/>
  <c r="C1703" i="357"/>
  <c r="C1704" i="357"/>
  <c r="C1708" i="357"/>
  <c r="D1709" i="357"/>
  <c r="C1718" i="357"/>
  <c r="D1728" i="357"/>
  <c r="C1733" i="357"/>
  <c r="C1737" i="357"/>
  <c r="C1741" i="357"/>
  <c r="C1743" i="357"/>
  <c r="C1758" i="357"/>
  <c r="C1769" i="357"/>
  <c r="C1787" i="357"/>
  <c r="D1789" i="357"/>
  <c r="C1791" i="357"/>
  <c r="C1815" i="357"/>
  <c r="C1818" i="357"/>
  <c r="C1819" i="357"/>
  <c r="C1823" i="357"/>
  <c r="D1824" i="357"/>
  <c r="C1892" i="357"/>
  <c r="C1894" i="357"/>
  <c r="C1899" i="357"/>
  <c r="D2007" i="357"/>
  <c r="D2012" i="357"/>
  <c r="C2016" i="357"/>
  <c r="C2055" i="357"/>
  <c r="C2068" i="357"/>
  <c r="C2070" i="357"/>
  <c r="D2110" i="357"/>
  <c r="D2113" i="357"/>
  <c r="C2160" i="357"/>
  <c r="D2190" i="357"/>
  <c r="D2193" i="357"/>
  <c r="C2241" i="357"/>
  <c r="C2244" i="357"/>
  <c r="D2247" i="357"/>
  <c r="C2282" i="357"/>
  <c r="C2290" i="357"/>
  <c r="C2297" i="357"/>
  <c r="C2385" i="357"/>
  <c r="C2390" i="357"/>
  <c r="C2460" i="357"/>
  <c r="C331" i="357"/>
  <c r="D331" i="357"/>
  <c r="C647" i="357"/>
  <c r="D647" i="357"/>
  <c r="D2329" i="357"/>
  <c r="C2329" i="357"/>
  <c r="C969" i="357"/>
  <c r="D969" i="357"/>
  <c r="D2200" i="357"/>
  <c r="C2200" i="357"/>
  <c r="D2250" i="357"/>
  <c r="C2250" i="357"/>
  <c r="C2395" i="357"/>
  <c r="D2395" i="357"/>
  <c r="C815" i="357"/>
  <c r="D815" i="357"/>
  <c r="D1593" i="357"/>
  <c r="C1593" i="357"/>
  <c r="C303" i="357"/>
  <c r="D303" i="357"/>
  <c r="C401" i="357"/>
  <c r="D401" i="357"/>
  <c r="C686" i="357"/>
  <c r="D686" i="357"/>
  <c r="H686" i="357" s="1"/>
  <c r="C801" i="357"/>
  <c r="D801" i="357"/>
  <c r="C989" i="357"/>
  <c r="G989" i="357" s="1"/>
  <c r="D989" i="357"/>
  <c r="D2117" i="357"/>
  <c r="C2117" i="357"/>
  <c r="D2178" i="357"/>
  <c r="C2178" i="357"/>
  <c r="C2229" i="357"/>
  <c r="D2229" i="357"/>
  <c r="C41" i="357"/>
  <c r="C65" i="357"/>
  <c r="C99" i="357"/>
  <c r="C105" i="357"/>
  <c r="C129" i="357"/>
  <c r="C132" i="357"/>
  <c r="C200" i="357"/>
  <c r="C203" i="357"/>
  <c r="C205" i="357"/>
  <c r="C217" i="357"/>
  <c r="C227" i="357"/>
  <c r="G227" i="357" s="1"/>
  <c r="C238" i="357"/>
  <c r="C259" i="357"/>
  <c r="C261" i="357"/>
  <c r="C271" i="357"/>
  <c r="C429" i="357"/>
  <c r="G429" i="357" s="1"/>
  <c r="C499" i="357"/>
  <c r="C540" i="357"/>
  <c r="C550" i="357"/>
  <c r="C766" i="357"/>
  <c r="D820" i="357"/>
  <c r="C828" i="357"/>
  <c r="C1022" i="357"/>
  <c r="C1030" i="357"/>
  <c r="D1219" i="357"/>
  <c r="C1346" i="357"/>
  <c r="C1353" i="357"/>
  <c r="C1502" i="357"/>
  <c r="C1597" i="357"/>
  <c r="C1686" i="357"/>
  <c r="D1722" i="357"/>
  <c r="C1734" i="357"/>
  <c r="C1781" i="357"/>
  <c r="D1825" i="357"/>
  <c r="D2035" i="357"/>
  <c r="C2037" i="357"/>
  <c r="C2230" i="357"/>
  <c r="C2272" i="357"/>
  <c r="D2287" i="357"/>
  <c r="C2309" i="357"/>
  <c r="C2445" i="357"/>
  <c r="D43" i="357"/>
  <c r="D64" i="357"/>
  <c r="H64" i="357" s="1"/>
  <c r="C73" i="357"/>
  <c r="C78" i="357"/>
  <c r="C81" i="357"/>
  <c r="D96" i="357"/>
  <c r="D123" i="357"/>
  <c r="H123" i="357" s="1"/>
  <c r="C130" i="357"/>
  <c r="C139" i="357"/>
  <c r="C161" i="357"/>
  <c r="D162" i="357"/>
  <c r="D167" i="357"/>
  <c r="D179" i="357"/>
  <c r="C183" i="357"/>
  <c r="G183" i="357" s="1"/>
  <c r="C187" i="357"/>
  <c r="D199" i="357"/>
  <c r="D253" i="357"/>
  <c r="C255" i="357"/>
  <c r="D256" i="357"/>
  <c r="C272" i="357"/>
  <c r="D308" i="357"/>
  <c r="C316" i="357"/>
  <c r="D333" i="357"/>
  <c r="C335" i="357"/>
  <c r="C347" i="357"/>
  <c r="G347" i="357" s="1"/>
  <c r="D366" i="357"/>
  <c r="C386" i="357"/>
  <c r="D394" i="357"/>
  <c r="C411" i="357"/>
  <c r="C430" i="357"/>
  <c r="D431" i="357"/>
  <c r="C526" i="357"/>
  <c r="C528" i="357"/>
  <c r="C562" i="357"/>
  <c r="C564" i="357"/>
  <c r="D573" i="357"/>
  <c r="C629" i="357"/>
  <c r="D691" i="357"/>
  <c r="C769" i="357"/>
  <c r="C771" i="357"/>
  <c r="C802" i="357"/>
  <c r="C803" i="357"/>
  <c r="C812" i="357"/>
  <c r="D813" i="357"/>
  <c r="D827" i="357"/>
  <c r="C835" i="357"/>
  <c r="C941" i="357"/>
  <c r="C953" i="357"/>
  <c r="C1016" i="357"/>
  <c r="D1026" i="357"/>
  <c r="C1058" i="357"/>
  <c r="D1075" i="357"/>
  <c r="C1084" i="357"/>
  <c r="C1088" i="357"/>
  <c r="D1095" i="357"/>
  <c r="D1118" i="357"/>
  <c r="C1171" i="357"/>
  <c r="C1205" i="357"/>
  <c r="C1231" i="357"/>
  <c r="D1240" i="357"/>
  <c r="H1240" i="357" s="1"/>
  <c r="D1247" i="357"/>
  <c r="C1267" i="357"/>
  <c r="D1271" i="357"/>
  <c r="C1356" i="357"/>
  <c r="C1358" i="357"/>
  <c r="G1358" i="357" s="1"/>
  <c r="C1366" i="357"/>
  <c r="D1368" i="357"/>
  <c r="D1389" i="357"/>
  <c r="D1394" i="357"/>
  <c r="D1565" i="357"/>
  <c r="C1574" i="357"/>
  <c r="C1661" i="357"/>
  <c r="C1663" i="357"/>
  <c r="C1682" i="357"/>
  <c r="C1684" i="357"/>
  <c r="C1687" i="357"/>
  <c r="C1689" i="357"/>
  <c r="D1754" i="357"/>
  <c r="C1799" i="357"/>
  <c r="C1801" i="357"/>
  <c r="G1801" i="357" s="1"/>
  <c r="C13" i="357"/>
  <c r="D14" i="357"/>
  <c r="C24" i="357"/>
  <c r="G24" i="357" s="1"/>
  <c r="C25" i="357"/>
  <c r="C30" i="357"/>
  <c r="C37" i="357"/>
  <c r="D38" i="357"/>
  <c r="D48" i="357"/>
  <c r="H48" i="357" s="1"/>
  <c r="C51" i="357"/>
  <c r="C53" i="357"/>
  <c r="G53" i="357" s="1"/>
  <c r="C58" i="357"/>
  <c r="C61" i="357"/>
  <c r="D62" i="357"/>
  <c r="D74" i="357"/>
  <c r="H74" i="357" s="1"/>
  <c r="C77" i="357"/>
  <c r="C79" i="357"/>
  <c r="G79" i="357" s="1"/>
  <c r="C84" i="357"/>
  <c r="C87" i="357"/>
  <c r="D88" i="357"/>
  <c r="D104" i="357"/>
  <c r="H104" i="357" s="1"/>
  <c r="C107" i="357"/>
  <c r="C109" i="357"/>
  <c r="G109" i="357" s="1"/>
  <c r="C114" i="357"/>
  <c r="C117" i="357"/>
  <c r="D131" i="357"/>
  <c r="H131" i="357" s="1"/>
  <c r="D134" i="357"/>
  <c r="D165" i="357"/>
  <c r="D170" i="357"/>
  <c r="H170" i="357" s="1"/>
  <c r="C175" i="357"/>
  <c r="D182" i="357"/>
  <c r="H182" i="357" s="1"/>
  <c r="D189" i="357"/>
  <c r="C195" i="357"/>
  <c r="D207" i="357"/>
  <c r="D209" i="357"/>
  <c r="D212" i="357"/>
  <c r="D213" i="357"/>
  <c r="D216" i="357"/>
  <c r="H216" i="357" s="1"/>
  <c r="C218" i="357"/>
  <c r="C221" i="357"/>
  <c r="C223" i="357"/>
  <c r="C237" i="357"/>
  <c r="D240" i="357"/>
  <c r="H240" i="357" s="1"/>
  <c r="D242" i="357"/>
  <c r="H242" i="357" s="1"/>
  <c r="D245" i="357"/>
  <c r="D263" i="357"/>
  <c r="D265" i="357"/>
  <c r="D268" i="357"/>
  <c r="D273" i="357"/>
  <c r="C282" i="357"/>
  <c r="D283" i="357"/>
  <c r="D285" i="357"/>
  <c r="D288" i="357"/>
  <c r="C290" i="357"/>
  <c r="C292" i="357"/>
  <c r="D315" i="357"/>
  <c r="C319" i="357"/>
  <c r="G319" i="357" s="1"/>
  <c r="C321" i="357"/>
  <c r="D354" i="357"/>
  <c r="C359" i="357"/>
  <c r="G359" i="357" s="1"/>
  <c r="C361" i="357"/>
  <c r="D364" i="357"/>
  <c r="D376" i="357"/>
  <c r="D381" i="357"/>
  <c r="C388" i="357"/>
  <c r="C392" i="357"/>
  <c r="C412" i="357"/>
  <c r="D420" i="357"/>
  <c r="C472" i="357"/>
  <c r="D474" i="357"/>
  <c r="D477" i="357"/>
  <c r="D478" i="357"/>
  <c r="D480" i="357"/>
  <c r="D483" i="357"/>
  <c r="C491" i="357"/>
  <c r="G491" i="357" s="1"/>
  <c r="D502" i="357"/>
  <c r="D519" i="357"/>
  <c r="C522" i="357"/>
  <c r="D525" i="357"/>
  <c r="C539" i="357"/>
  <c r="D559" i="357"/>
  <c r="C574" i="357"/>
  <c r="D583" i="357"/>
  <c r="H583" i="357" s="1"/>
  <c r="C635" i="357"/>
  <c r="C637" i="357"/>
  <c r="D642" i="357"/>
  <c r="C648" i="357"/>
  <c r="C722" i="357"/>
  <c r="C724" i="357"/>
  <c r="D727" i="357"/>
  <c r="C798" i="357"/>
  <c r="C806" i="357"/>
  <c r="D836" i="357"/>
  <c r="C839" i="357"/>
  <c r="D842" i="357"/>
  <c r="D843" i="357"/>
  <c r="D877" i="357"/>
  <c r="C883" i="357"/>
  <c r="C915" i="357"/>
  <c r="C921" i="357"/>
  <c r="D922" i="357"/>
  <c r="C954" i="357"/>
  <c r="D960" i="357"/>
  <c r="D965" i="357"/>
  <c r="C967" i="357"/>
  <c r="D978" i="357"/>
  <c r="C982" i="357"/>
  <c r="C986" i="357"/>
  <c r="D1017" i="357"/>
  <c r="C1019" i="357"/>
  <c r="C1021" i="357"/>
  <c r="D1024" i="357"/>
  <c r="C1059" i="357"/>
  <c r="G1059" i="357" s="1"/>
  <c r="C1061" i="357"/>
  <c r="C1063" i="357"/>
  <c r="D1066" i="357"/>
  <c r="C1074" i="357"/>
  <c r="D1083" i="357"/>
  <c r="C1094" i="357"/>
  <c r="C1096" i="357"/>
  <c r="D1107" i="357"/>
  <c r="D1109" i="357"/>
  <c r="D1112" i="357"/>
  <c r="C1114" i="357"/>
  <c r="C1116" i="357"/>
  <c r="C1140" i="357"/>
  <c r="C1143" i="357"/>
  <c r="C1165" i="357"/>
  <c r="C1167" i="357"/>
  <c r="C1179" i="357"/>
  <c r="D1181" i="357"/>
  <c r="D1236" i="357"/>
  <c r="C1249" i="357"/>
  <c r="D1252" i="357"/>
  <c r="D1261" i="357"/>
  <c r="D1266" i="357"/>
  <c r="C1270" i="357"/>
  <c r="D1279" i="357"/>
  <c r="C1281" i="357"/>
  <c r="D1284" i="357"/>
  <c r="D1286" i="357"/>
  <c r="C1304" i="357"/>
  <c r="D1317" i="357"/>
  <c r="C1325" i="357"/>
  <c r="D1342" i="357"/>
  <c r="D1345" i="357"/>
  <c r="D1349" i="357"/>
  <c r="D1355" i="357"/>
  <c r="C1367" i="357"/>
  <c r="D1369" i="357"/>
  <c r="D1371" i="357"/>
  <c r="D1380" i="357"/>
  <c r="C1388" i="357"/>
  <c r="C1397" i="357"/>
  <c r="C1399" i="357"/>
  <c r="D1400" i="357"/>
  <c r="D1428" i="357"/>
  <c r="D1441" i="357"/>
  <c r="C1477" i="357"/>
  <c r="D1489" i="357"/>
  <c r="C1535" i="357"/>
  <c r="C1548" i="357"/>
  <c r="C1559" i="357"/>
  <c r="D1560" i="357"/>
  <c r="D1572" i="357"/>
  <c r="C1580" i="357"/>
  <c r="D1587" i="357"/>
  <c r="D1594" i="357"/>
  <c r="C1596" i="357"/>
  <c r="D1647" i="357"/>
  <c r="D1657" i="357"/>
  <c r="C1659" i="357"/>
  <c r="C1660" i="357"/>
  <c r="D1668" i="357"/>
  <c r="D1676" i="357"/>
  <c r="C1694" i="357"/>
  <c r="C1716" i="357"/>
  <c r="G1716" i="357" s="1"/>
  <c r="D1719" i="357"/>
  <c r="C1722" i="357"/>
  <c r="C1724" i="357"/>
  <c r="C1735" i="357"/>
  <c r="D1736" i="357"/>
  <c r="D1744" i="357"/>
  <c r="D1747" i="357"/>
  <c r="C1765" i="357"/>
  <c r="C1767" i="357"/>
  <c r="C1768" i="357"/>
  <c r="G1768" i="357" s="1"/>
  <c r="D1777" i="357"/>
  <c r="D1805" i="357"/>
  <c r="D1809" i="357"/>
  <c r="C1811" i="357"/>
  <c r="D1861" i="357"/>
  <c r="C1867" i="357"/>
  <c r="D1882" i="357"/>
  <c r="C1885" i="357"/>
  <c r="D1890" i="357"/>
  <c r="C1897" i="357"/>
  <c r="D1900" i="357"/>
  <c r="C1902" i="357"/>
  <c r="C1904" i="357"/>
  <c r="D1939" i="357"/>
  <c r="C1972" i="357"/>
  <c r="D1986" i="357"/>
  <c r="D1991" i="357"/>
  <c r="D2022" i="357"/>
  <c r="D2025" i="357"/>
  <c r="C2027" i="357"/>
  <c r="D2029" i="357"/>
  <c r="D2040" i="357"/>
  <c r="C2043" i="357"/>
  <c r="C2112" i="357"/>
  <c r="C2115" i="357"/>
  <c r="C2142" i="357"/>
  <c r="D2148" i="357"/>
  <c r="D2150" i="357"/>
  <c r="D2199" i="357"/>
  <c r="C2226" i="357"/>
  <c r="C2227" i="357"/>
  <c r="C2245" i="357"/>
  <c r="C2249" i="357"/>
  <c r="C2268" i="357"/>
  <c r="C2286" i="357"/>
  <c r="D2289" i="357"/>
  <c r="C2308" i="357"/>
  <c r="C2314" i="357"/>
  <c r="D2317" i="357"/>
  <c r="D2366" i="357"/>
  <c r="D2371" i="357"/>
  <c r="D2380" i="357"/>
  <c r="D2415" i="357"/>
  <c r="D2433" i="357"/>
  <c r="D2440" i="357"/>
  <c r="C2446" i="357"/>
  <c r="C2455" i="357"/>
  <c r="D2479" i="357"/>
  <c r="C566" i="357"/>
  <c r="D566" i="357"/>
  <c r="H566" i="357" s="1"/>
  <c r="D1786" i="357"/>
  <c r="C1786" i="357"/>
  <c r="C2260" i="357"/>
  <c r="D2260" i="357"/>
  <c r="C251" i="357"/>
  <c r="D251" i="357"/>
  <c r="C1073" i="357"/>
  <c r="D1073" i="357"/>
  <c r="C518" i="357"/>
  <c r="D518" i="357"/>
  <c r="C1427" i="357"/>
  <c r="D1427" i="357"/>
  <c r="C19" i="357"/>
  <c r="C75" i="357"/>
  <c r="C124" i="357"/>
  <c r="C168" i="357"/>
  <c r="C176" i="357"/>
  <c r="C299" i="357"/>
  <c r="C301" i="357"/>
  <c r="C423" i="357"/>
  <c r="C512" i="357"/>
  <c r="C517" i="357"/>
  <c r="C523" i="357"/>
  <c r="C638" i="357"/>
  <c r="C805" i="357"/>
  <c r="C995" i="357"/>
  <c r="C1005" i="357"/>
  <c r="C1027" i="357"/>
  <c r="C1064" i="357"/>
  <c r="C1123" i="357"/>
  <c r="C1125" i="357"/>
  <c r="C1201" i="357"/>
  <c r="C1410" i="357"/>
  <c r="C1426" i="357"/>
  <c r="C1566" i="357"/>
  <c r="C1571" i="357"/>
  <c r="C1637" i="357"/>
  <c r="C1669" i="357"/>
  <c r="D1710" i="357"/>
  <c r="D1748" i="357"/>
  <c r="C1750" i="357"/>
  <c r="C1755" i="357"/>
  <c r="C1757" i="357"/>
  <c r="C1798" i="357"/>
  <c r="C1996" i="357"/>
  <c r="C2002" i="357"/>
  <c r="C2013" i="357"/>
  <c r="C2176" i="357"/>
  <c r="C2194" i="357"/>
  <c r="D2421" i="357"/>
  <c r="C241" i="357"/>
  <c r="G241" i="357" s="1"/>
  <c r="C243" i="357"/>
  <c r="D244" i="357"/>
  <c r="D254" i="357"/>
  <c r="H254" i="357" s="1"/>
  <c r="D260" i="357"/>
  <c r="H260" i="357" s="1"/>
  <c r="D277" i="357"/>
  <c r="D284" i="357"/>
  <c r="H284" i="357" s="1"/>
  <c r="C289" i="357"/>
  <c r="D298" i="357"/>
  <c r="H298" i="357" s="1"/>
  <c r="D300" i="357"/>
  <c r="H300" i="357" s="1"/>
  <c r="C323" i="357"/>
  <c r="D325" i="357"/>
  <c r="D334" i="357"/>
  <c r="C336" i="357"/>
  <c r="C339" i="357"/>
  <c r="G339" i="357" s="1"/>
  <c r="C355" i="357"/>
  <c r="C363" i="357"/>
  <c r="C365" i="357"/>
  <c r="D370" i="357"/>
  <c r="C375" i="357"/>
  <c r="C389" i="357"/>
  <c r="D393" i="357"/>
  <c r="D398" i="357"/>
  <c r="C400" i="357"/>
  <c r="D408" i="357"/>
  <c r="C410" i="357"/>
  <c r="C414" i="357"/>
  <c r="D417" i="357"/>
  <c r="D422" i="357"/>
  <c r="C432" i="357"/>
  <c r="C464" i="357"/>
  <c r="C470" i="357"/>
  <c r="D471" i="357"/>
  <c r="D473" i="357"/>
  <c r="D479" i="357"/>
  <c r="C482" i="357"/>
  <c r="C492" i="357"/>
  <c r="C494" i="357"/>
  <c r="D501" i="357"/>
  <c r="C506" i="357"/>
  <c r="C508" i="357"/>
  <c r="D509" i="357"/>
  <c r="D521" i="357"/>
  <c r="D527" i="357"/>
  <c r="D544" i="357"/>
  <c r="D549" i="357"/>
  <c r="C554" i="357"/>
  <c r="D561" i="357"/>
  <c r="D563" i="357"/>
  <c r="C571" i="357"/>
  <c r="D585" i="357"/>
  <c r="H585" i="357" s="1"/>
  <c r="D622" i="357"/>
  <c r="C639" i="357"/>
  <c r="D650" i="357"/>
  <c r="C660" i="357"/>
  <c r="C692" i="357"/>
  <c r="D726" i="357"/>
  <c r="D762" i="357"/>
  <c r="C797" i="357"/>
  <c r="D804" i="357"/>
  <c r="C821" i="357"/>
  <c r="D837" i="357"/>
  <c r="D849" i="357"/>
  <c r="D884" i="357"/>
  <c r="D886" i="357"/>
  <c r="C956" i="357"/>
  <c r="C959" i="357"/>
  <c r="C961" i="357"/>
  <c r="D962" i="357"/>
  <c r="D968" i="357"/>
  <c r="D974" i="357"/>
  <c r="C976" i="357"/>
  <c r="D977" i="357"/>
  <c r="D979" i="357"/>
  <c r="C996" i="357"/>
  <c r="D997" i="357"/>
  <c r="C999" i="357"/>
  <c r="C1001" i="357"/>
  <c r="D1002" i="357"/>
  <c r="C1007" i="357"/>
  <c r="D1010" i="357"/>
  <c r="D1023" i="357"/>
  <c r="C1029" i="357"/>
  <c r="C1039" i="357"/>
  <c r="C1041" i="357"/>
  <c r="D1046" i="357"/>
  <c r="C1057" i="357"/>
  <c r="D1065" i="357"/>
  <c r="C1067" i="357"/>
  <c r="D1076" i="357"/>
  <c r="C1078" i="357"/>
  <c r="D1079" i="357"/>
  <c r="D1081" i="357"/>
  <c r="C1093" i="357"/>
  <c r="D1097" i="357"/>
  <c r="C1103" i="357"/>
  <c r="C1105" i="357"/>
  <c r="D1108" i="357"/>
  <c r="C1113" i="357"/>
  <c r="C1138" i="357"/>
  <c r="D1145" i="357"/>
  <c r="D1150" i="357"/>
  <c r="D1158" i="357"/>
  <c r="C1161" i="357"/>
  <c r="D1164" i="357"/>
  <c r="C1168" i="357"/>
  <c r="C1173" i="357"/>
  <c r="C1178" i="357"/>
  <c r="D1195" i="357"/>
  <c r="H1195" i="357" s="1"/>
  <c r="C1200" i="357"/>
  <c r="G1200" i="357" s="1"/>
  <c r="D1204" i="357"/>
  <c r="C1208" i="357"/>
  <c r="C1210" i="357"/>
  <c r="D1211" i="357"/>
  <c r="H1211" i="357" s="1"/>
  <c r="D1235" i="357"/>
  <c r="C1248" i="357"/>
  <c r="D1264" i="357"/>
  <c r="D1269" i="357"/>
  <c r="D1277" i="357"/>
  <c r="D1289" i="357"/>
  <c r="D1314" i="357"/>
  <c r="C1322" i="357"/>
  <c r="D1327" i="357"/>
  <c r="C1335" i="357"/>
  <c r="C1339" i="357"/>
  <c r="C1348" i="357"/>
  <c r="D1352" i="357"/>
  <c r="C1398" i="357"/>
  <c r="D1432" i="357"/>
  <c r="C1434" i="357"/>
  <c r="D1435" i="357"/>
  <c r="C1437" i="357"/>
  <c r="C1439" i="357"/>
  <c r="D1454" i="357"/>
  <c r="D1461" i="357"/>
  <c r="C1471" i="357"/>
  <c r="C1487" i="357"/>
  <c r="D1488" i="357"/>
  <c r="C1490" i="357"/>
  <c r="D1495" i="357"/>
  <c r="D1506" i="357"/>
  <c r="D1511" i="357"/>
  <c r="D1516" i="357"/>
  <c r="C1526" i="357"/>
  <c r="C1558" i="357"/>
  <c r="C1561" i="357"/>
  <c r="D1573" i="357"/>
  <c r="C1578" i="357"/>
  <c r="D1584" i="357"/>
  <c r="D1590" i="357"/>
  <c r="C1595" i="357"/>
  <c r="D1635" i="357"/>
  <c r="D1640" i="357"/>
  <c r="C1643" i="357"/>
  <c r="C1646" i="357"/>
  <c r="C1655" i="357"/>
  <c r="C1662" i="357"/>
  <c r="C1666" i="357"/>
  <c r="G1666" i="357" s="1"/>
  <c r="D1670" i="357"/>
  <c r="D1672" i="357"/>
  <c r="D1673" i="357"/>
  <c r="C1677" i="357"/>
  <c r="D1680" i="357"/>
  <c r="C1685" i="357"/>
  <c r="D1696" i="357"/>
  <c r="D1702" i="357"/>
  <c r="D1705" i="357"/>
  <c r="C1717" i="357"/>
  <c r="D1721" i="357"/>
  <c r="C1723" i="357"/>
  <c r="C1725" i="357"/>
  <c r="D1729" i="357"/>
  <c r="C1740" i="357"/>
  <c r="C1742" i="357"/>
  <c r="C1745" i="357"/>
  <c r="D1746" i="357"/>
  <c r="C1753" i="357"/>
  <c r="C1759" i="357"/>
  <c r="D1773" i="357"/>
  <c r="D1776" i="357"/>
  <c r="C1785" i="357"/>
  <c r="D1788" i="357"/>
  <c r="D1790" i="357"/>
  <c r="C1797" i="357"/>
  <c r="D1813" i="357"/>
  <c r="D1817" i="357"/>
  <c r="D1820" i="357"/>
  <c r="D1860" i="357"/>
  <c r="C1874" i="357"/>
  <c r="C1877" i="357"/>
  <c r="D1881" i="357"/>
  <c r="D1884" i="357"/>
  <c r="C1886" i="357"/>
  <c r="D1893" i="357"/>
  <c r="D1895" i="357"/>
  <c r="C1898" i="357"/>
  <c r="C1901" i="357"/>
  <c r="D1903" i="357"/>
  <c r="C1918" i="357"/>
  <c r="C1924" i="357"/>
  <c r="D1926" i="357"/>
  <c r="D1990" i="357"/>
  <c r="D2015" i="357"/>
  <c r="D2021" i="357"/>
  <c r="D2024" i="357"/>
  <c r="C2026" i="357"/>
  <c r="C2028" i="357"/>
  <c r="D2034" i="357"/>
  <c r="D2048" i="357"/>
  <c r="C2053" i="357"/>
  <c r="C2056" i="357"/>
  <c r="D2057" i="357"/>
  <c r="C2099" i="357"/>
  <c r="D2102" i="357"/>
  <c r="C2116" i="357"/>
  <c r="C2126" i="357"/>
  <c r="D2134" i="357"/>
  <c r="C2138" i="357"/>
  <c r="C2166" i="357"/>
  <c r="D2182" i="357"/>
  <c r="C2222" i="357"/>
  <c r="D2236" i="357"/>
  <c r="D2240" i="357"/>
  <c r="C2276" i="357"/>
  <c r="D2279" i="357"/>
  <c r="D2281" i="357"/>
  <c r="D2293" i="357"/>
  <c r="D2298" i="357"/>
  <c r="C2301" i="357"/>
  <c r="D2334" i="357"/>
  <c r="D2354" i="357"/>
  <c r="C2379" i="357"/>
  <c r="C2461" i="357"/>
  <c r="D2468" i="357"/>
  <c r="D2474" i="357"/>
  <c r="D2030" i="357"/>
  <c r="C2042" i="357"/>
  <c r="C2044" i="357"/>
  <c r="D2047" i="357"/>
  <c r="D2052" i="357"/>
  <c r="C2054" i="357"/>
  <c r="C2058" i="357"/>
  <c r="D2061" i="357"/>
  <c r="D2075" i="357"/>
  <c r="D2091" i="357"/>
  <c r="C2063" i="357"/>
  <c r="D2111" i="357"/>
  <c r="C2114" i="357"/>
  <c r="D2128" i="357"/>
  <c r="C2154" i="357"/>
  <c r="D2185" i="357"/>
  <c r="D2197" i="357"/>
  <c r="D2216" i="357"/>
  <c r="C2225" i="357"/>
  <c r="D2232" i="357"/>
  <c r="C2234" i="357"/>
  <c r="D2246" i="357"/>
  <c r="C2248" i="357"/>
  <c r="D2274" i="357"/>
  <c r="C2294" i="357"/>
  <c r="D2296" i="357"/>
  <c r="D2299" i="357"/>
  <c r="D2325" i="357"/>
  <c r="D2359" i="357"/>
  <c r="D2376" i="357"/>
  <c r="D2400" i="357"/>
  <c r="C2428" i="357"/>
  <c r="C2447" i="357"/>
  <c r="F8" i="357"/>
  <c r="H8" i="357" s="1"/>
  <c r="F12" i="357"/>
  <c r="H12" i="357" s="1"/>
  <c r="F14" i="357"/>
  <c r="F18" i="357"/>
  <c r="H18" i="357" s="1"/>
  <c r="F20" i="357"/>
  <c r="F26" i="357"/>
  <c r="H26" i="357" s="1"/>
  <c r="F30" i="357"/>
  <c r="F37" i="357"/>
  <c r="H37" i="357" s="1"/>
  <c r="F39" i="357"/>
  <c r="F43" i="357"/>
  <c r="F45" i="357"/>
  <c r="F49" i="357"/>
  <c r="H49" i="357" s="1"/>
  <c r="F51" i="357"/>
  <c r="F55" i="357"/>
  <c r="H55" i="357" s="1"/>
  <c r="F57" i="357"/>
  <c r="F61" i="357"/>
  <c r="H61" i="357" s="1"/>
  <c r="F63" i="357"/>
  <c r="F67" i="357"/>
  <c r="F69" i="357"/>
  <c r="F75" i="357"/>
  <c r="H75" i="357" s="1"/>
  <c r="F77" i="357"/>
  <c r="F81" i="357"/>
  <c r="H81" i="357" s="1"/>
  <c r="F83" i="357"/>
  <c r="F87" i="357"/>
  <c r="H87" i="357" s="1"/>
  <c r="F96" i="357"/>
  <c r="F98" i="357"/>
  <c r="F105" i="357"/>
  <c r="H105" i="357" s="1"/>
  <c r="F107" i="357"/>
  <c r="F111" i="357"/>
  <c r="H111" i="357" s="1"/>
  <c r="F113" i="357"/>
  <c r="F117" i="357"/>
  <c r="H117" i="357" s="1"/>
  <c r="F122" i="357"/>
  <c r="H122" i="357" s="1"/>
  <c r="F126" i="357"/>
  <c r="F128" i="357"/>
  <c r="F132" i="357"/>
  <c r="H132" i="357" s="1"/>
  <c r="F134" i="357"/>
  <c r="F161" i="357"/>
  <c r="H161" i="357" s="1"/>
  <c r="F163" i="357"/>
  <c r="F167" i="357"/>
  <c r="F169" i="357"/>
  <c r="H169" i="357" s="1"/>
  <c r="F173" i="357"/>
  <c r="F175" i="357"/>
  <c r="H175" i="357" s="1"/>
  <c r="F179" i="357"/>
  <c r="F181" i="357"/>
  <c r="F187" i="357"/>
  <c r="H187" i="357" s="1"/>
  <c r="F189" i="357"/>
  <c r="F193" i="357"/>
  <c r="F195" i="357"/>
  <c r="H195" i="357" s="1"/>
  <c r="F199" i="357"/>
  <c r="F201" i="357"/>
  <c r="F205" i="357"/>
  <c r="H205" i="357" s="1"/>
  <c r="F207" i="357"/>
  <c r="F211" i="357"/>
  <c r="F213" i="357"/>
  <c r="F217" i="357"/>
  <c r="H217" i="357" s="1"/>
  <c r="F219" i="357"/>
  <c r="F223" i="357"/>
  <c r="H223" i="357" s="1"/>
  <c r="F225" i="357"/>
  <c r="H225" i="357" s="1"/>
  <c r="F229" i="357"/>
  <c r="F231" i="357"/>
  <c r="H231" i="357" s="1"/>
  <c r="F237" i="357"/>
  <c r="H237" i="357" s="1"/>
  <c r="F239" i="357"/>
  <c r="F243" i="357"/>
  <c r="H243" i="357" s="1"/>
  <c r="F245" i="357"/>
  <c r="F249" i="357"/>
  <c r="F251" i="357"/>
  <c r="F255" i="357"/>
  <c r="H255" i="357" s="1"/>
  <c r="F257" i="357"/>
  <c r="F261" i="357"/>
  <c r="H261" i="357" s="1"/>
  <c r="F263" i="357"/>
  <c r="F267" i="357"/>
  <c r="F269" i="357"/>
  <c r="H269" i="357" s="1"/>
  <c r="F273" i="357"/>
  <c r="F275" i="357"/>
  <c r="F281" i="357"/>
  <c r="H281" i="357" s="1"/>
  <c r="F283" i="357"/>
  <c r="F287" i="357"/>
  <c r="F289" i="357"/>
  <c r="H289" i="357" s="1"/>
  <c r="F293" i="357"/>
  <c r="H293" i="357" s="1"/>
  <c r="F297" i="357"/>
  <c r="F301" i="357"/>
  <c r="H301" i="357" s="1"/>
  <c r="F551" i="357"/>
  <c r="H551" i="357" s="1"/>
  <c r="F555" i="357"/>
  <c r="F557" i="357"/>
  <c r="H557" i="357" s="1"/>
  <c r="F561" i="357"/>
  <c r="F563" i="357"/>
  <c r="F567" i="357"/>
  <c r="H567" i="357" s="1"/>
  <c r="F572" i="357"/>
  <c r="H572" i="357" s="1"/>
  <c r="F574" i="357"/>
  <c r="H574" i="357" s="1"/>
  <c r="F580" i="357"/>
  <c r="H580" i="357" s="1"/>
  <c r="E3223" i="357"/>
  <c r="G3223" i="357" s="1"/>
  <c r="F3223" i="357"/>
  <c r="H3223" i="357" s="1"/>
  <c r="F1293" i="357"/>
  <c r="B72" i="138"/>
  <c r="E3259" i="357"/>
  <c r="G3259" i="357" s="1"/>
  <c r="E3261" i="357"/>
  <c r="G3261" i="357" s="1"/>
  <c r="E3265" i="357"/>
  <c r="G3265" i="357" s="1"/>
  <c r="E3267" i="357"/>
  <c r="G3267" i="357" s="1"/>
  <c r="E3271" i="357"/>
  <c r="G3271" i="357" s="1"/>
  <c r="E3273" i="357"/>
  <c r="G3273" i="357" s="1"/>
  <c r="E3281" i="357"/>
  <c r="G3281" i="357" s="1"/>
  <c r="E3291" i="357"/>
  <c r="G3291" i="357" s="1"/>
  <c r="E3299" i="357"/>
  <c r="G3299" i="357" s="1"/>
  <c r="E3305" i="357"/>
  <c r="G3305" i="357" s="1"/>
  <c r="E3313" i="357"/>
  <c r="G3313" i="357" s="1"/>
  <c r="E3317" i="357"/>
  <c r="G3317" i="357" s="1"/>
  <c r="E3324" i="357"/>
  <c r="G3324" i="357" s="1"/>
  <c r="E3326" i="357"/>
  <c r="G3326" i="357" s="1"/>
  <c r="E3337" i="357"/>
  <c r="G3337" i="357" s="1"/>
  <c r="E3345" i="357"/>
  <c r="G3345" i="357" s="1"/>
  <c r="E3349" i="357"/>
  <c r="G3349" i="357" s="1"/>
  <c r="E3357" i="357"/>
  <c r="G3357" i="357" s="1"/>
  <c r="E3375" i="357"/>
  <c r="G3375" i="357" s="1"/>
  <c r="E3377" i="357"/>
  <c r="G3377" i="357" s="1"/>
  <c r="E3381" i="357"/>
  <c r="G3381" i="357" s="1"/>
  <c r="E3383" i="357"/>
  <c r="G3383" i="357" s="1"/>
  <c r="E3389" i="357"/>
  <c r="G3389" i="357" s="1"/>
  <c r="E3391" i="357"/>
  <c r="G3391" i="357" s="1"/>
  <c r="E3397" i="357"/>
  <c r="G3397" i="357" s="1"/>
  <c r="E3399" i="357"/>
  <c r="G3399" i="357" s="1"/>
  <c r="E3403" i="357"/>
  <c r="G3403" i="357" s="1"/>
  <c r="E3405" i="357"/>
  <c r="G3405" i="357" s="1"/>
  <c r="E3409" i="357"/>
  <c r="G3409" i="357" s="1"/>
  <c r="E3411" i="357"/>
  <c r="G3411" i="357" s="1"/>
  <c r="E3417" i="357"/>
  <c r="G3417" i="357" s="1"/>
  <c r="E3419" i="357"/>
  <c r="G3419" i="357" s="1"/>
  <c r="E3427" i="357"/>
  <c r="G3427" i="357" s="1"/>
  <c r="F3469" i="357"/>
  <c r="H3469" i="357" s="1"/>
  <c r="E3474" i="357"/>
  <c r="G3474" i="357" s="1"/>
  <c r="F3500" i="357"/>
  <c r="H3500" i="357" s="1"/>
  <c r="E13" i="357"/>
  <c r="E19" i="357"/>
  <c r="E38" i="357"/>
  <c r="E44" i="357"/>
  <c r="E50" i="357"/>
  <c r="E56" i="357"/>
  <c r="E62" i="357"/>
  <c r="E68" i="357"/>
  <c r="E76" i="357"/>
  <c r="E82" i="357"/>
  <c r="E88" i="357"/>
  <c r="E97" i="357"/>
  <c r="E106" i="357"/>
  <c r="E112" i="357"/>
  <c r="E127" i="357"/>
  <c r="E133" i="357"/>
  <c r="E144" i="357"/>
  <c r="E153" i="357"/>
  <c r="G153" i="357" s="1"/>
  <c r="E162" i="357"/>
  <c r="G162" i="357" s="1"/>
  <c r="E168" i="357"/>
  <c r="E174" i="357"/>
  <c r="E180" i="357"/>
  <c r="E188" i="357"/>
  <c r="E194" i="357"/>
  <c r="E200" i="357"/>
  <c r="E206" i="357"/>
  <c r="E212" i="357"/>
  <c r="G212" i="357" s="1"/>
  <c r="E218" i="357"/>
  <c r="E224" i="357"/>
  <c r="G224" i="357" s="1"/>
  <c r="E230" i="357"/>
  <c r="E238" i="357"/>
  <c r="E244" i="357"/>
  <c r="E250" i="357"/>
  <c r="G250" i="357" s="1"/>
  <c r="E256" i="357"/>
  <c r="G256" i="357" s="1"/>
  <c r="E262" i="357"/>
  <c r="E268" i="357"/>
  <c r="G268" i="357" s="1"/>
  <c r="E274" i="357"/>
  <c r="G274" i="357" s="1"/>
  <c r="E282" i="357"/>
  <c r="E288" i="357"/>
  <c r="E302" i="357"/>
  <c r="E308" i="357"/>
  <c r="G308" i="357" s="1"/>
  <c r="E316" i="357"/>
  <c r="E322" i="357"/>
  <c r="E336" i="357"/>
  <c r="E344" i="357"/>
  <c r="G344" i="357" s="1"/>
  <c r="E350" i="357"/>
  <c r="E356" i="357"/>
  <c r="G356" i="357" s="1"/>
  <c r="E362" i="357"/>
  <c r="E368" i="357"/>
  <c r="G368" i="357" s="1"/>
  <c r="E376" i="357"/>
  <c r="G376" i="357" s="1"/>
  <c r="E382" i="357"/>
  <c r="E388" i="357"/>
  <c r="E394" i="357"/>
  <c r="G394" i="357" s="1"/>
  <c r="E400" i="357"/>
  <c r="E408" i="357"/>
  <c r="E414" i="357"/>
  <c r="E420" i="357"/>
  <c r="E426" i="357"/>
  <c r="G426" i="357" s="1"/>
  <c r="E432" i="357"/>
  <c r="E438" i="357"/>
  <c r="E444" i="357"/>
  <c r="G444" i="357" s="1"/>
  <c r="E450" i="357"/>
  <c r="E456" i="357"/>
  <c r="E462" i="357"/>
  <c r="E468" i="357"/>
  <c r="G468" i="357" s="1"/>
  <c r="E474" i="357"/>
  <c r="E480" i="357"/>
  <c r="G480" i="357" s="1"/>
  <c r="E488" i="357"/>
  <c r="E494" i="357"/>
  <c r="E500" i="357"/>
  <c r="G500" i="357" s="1"/>
  <c r="E506" i="357"/>
  <c r="E512" i="357"/>
  <c r="E520" i="357"/>
  <c r="G520" i="357" s="1"/>
  <c r="E526" i="357"/>
  <c r="E532" i="357"/>
  <c r="E538" i="357"/>
  <c r="E544" i="357"/>
  <c r="G544" i="357" s="1"/>
  <c r="E550" i="357"/>
  <c r="E556" i="357"/>
  <c r="G556" i="357" s="1"/>
  <c r="E562" i="357"/>
  <c r="E568" i="357"/>
  <c r="G568" i="357" s="1"/>
  <c r="E573" i="357"/>
  <c r="G573" i="357" s="1"/>
  <c r="E581" i="357"/>
  <c r="G581" i="357" s="1"/>
  <c r="E587" i="357"/>
  <c r="G587" i="357" s="1"/>
  <c r="E595" i="357"/>
  <c r="E601" i="357"/>
  <c r="E630" i="357"/>
  <c r="E639" i="357"/>
  <c r="E647" i="357"/>
  <c r="E653" i="357"/>
  <c r="E700" i="357"/>
  <c r="E724" i="357"/>
  <c r="E730" i="357"/>
  <c r="E736" i="357"/>
  <c r="E742" i="357"/>
  <c r="E767" i="357"/>
  <c r="E773" i="357"/>
  <c r="E779" i="357"/>
  <c r="E797" i="357"/>
  <c r="E803" i="357"/>
  <c r="E817" i="357"/>
  <c r="G817" i="357" s="1"/>
  <c r="E839" i="357"/>
  <c r="E845" i="357"/>
  <c r="E851" i="357"/>
  <c r="G851" i="357" s="1"/>
  <c r="E857" i="357"/>
  <c r="E876" i="357"/>
  <c r="E882" i="357"/>
  <c r="E888" i="357"/>
  <c r="E894" i="357"/>
  <c r="E911" i="357"/>
  <c r="E922" i="357"/>
  <c r="G922" i="357" s="1"/>
  <c r="E934" i="357"/>
  <c r="G934" i="357" s="1"/>
  <c r="E954" i="357"/>
  <c r="E960" i="357"/>
  <c r="E966" i="357"/>
  <c r="G966" i="357" s="1"/>
  <c r="E974" i="357"/>
  <c r="G974" i="357" s="1"/>
  <c r="E980" i="357"/>
  <c r="E986" i="357"/>
  <c r="E1000" i="357"/>
  <c r="E1006" i="357"/>
  <c r="G1006" i="357" s="1"/>
  <c r="E1020" i="357"/>
  <c r="E1026" i="357"/>
  <c r="G1026" i="357" s="1"/>
  <c r="E1032" i="357"/>
  <c r="G1032" i="357" s="1"/>
  <c r="E1040" i="357"/>
  <c r="E1056" i="357"/>
  <c r="G1056" i="357" s="1"/>
  <c r="E1062" i="357"/>
  <c r="E1076" i="357"/>
  <c r="G1076" i="357" s="1"/>
  <c r="E1082" i="357"/>
  <c r="E1088" i="357"/>
  <c r="E1096" i="357"/>
  <c r="E1104" i="357"/>
  <c r="E1110" i="357"/>
  <c r="G1110" i="357" s="1"/>
  <c r="E1116" i="357"/>
  <c r="E1124" i="357"/>
  <c r="E1132" i="357"/>
  <c r="G1132" i="357" s="1"/>
  <c r="E1140" i="357"/>
  <c r="E1146" i="357"/>
  <c r="E1152" i="357"/>
  <c r="G1152" i="357" s="1"/>
  <c r="E1160" i="357"/>
  <c r="G1160" i="357" s="1"/>
  <c r="E1166" i="357"/>
  <c r="E1172" i="357"/>
  <c r="G1172" i="357" s="1"/>
  <c r="E1181" i="357"/>
  <c r="G1181" i="357" s="1"/>
  <c r="E1189" i="357"/>
  <c r="E1197" i="357"/>
  <c r="G1197" i="357" s="1"/>
  <c r="E1203" i="357"/>
  <c r="G1203" i="357" s="1"/>
  <c r="E1209" i="357"/>
  <c r="E1219" i="357"/>
  <c r="G1219" i="357" s="1"/>
  <c r="F3433" i="357"/>
  <c r="H3433" i="357" s="1"/>
  <c r="F3458" i="357"/>
  <c r="H3458" i="357" s="1"/>
  <c r="F582" i="357"/>
  <c r="H582" i="357" s="1"/>
  <c r="F586" i="357"/>
  <c r="H586" i="357" s="1"/>
  <c r="F588" i="357"/>
  <c r="F594" i="357"/>
  <c r="F596" i="357"/>
  <c r="F600" i="357"/>
  <c r="F602" i="357"/>
  <c r="H602" i="357" s="1"/>
  <c r="F606" i="357"/>
  <c r="F622" i="357"/>
  <c r="F629" i="357"/>
  <c r="H629" i="357" s="1"/>
  <c r="F638" i="357"/>
  <c r="F642" i="357"/>
  <c r="F646" i="357"/>
  <c r="H646" i="357" s="1"/>
  <c r="F648" i="357"/>
  <c r="F652" i="357"/>
  <c r="F1179" i="357"/>
  <c r="H1179" i="357" s="1"/>
  <c r="F1182" i="357"/>
  <c r="F1190" i="357"/>
  <c r="F1196" i="357"/>
  <c r="F1198" i="357"/>
  <c r="F1202" i="357"/>
  <c r="H1202" i="357" s="1"/>
  <c r="F1204" i="357"/>
  <c r="F1208" i="357"/>
  <c r="H1208" i="357" s="1"/>
  <c r="F1210" i="357"/>
  <c r="H1210" i="357" s="1"/>
  <c r="F1218" i="357"/>
  <c r="H1218" i="357" s="1"/>
  <c r="F1220" i="357"/>
  <c r="F1225" i="357"/>
  <c r="F1229" i="357"/>
  <c r="H1229" i="357" s="1"/>
  <c r="F1235" i="357"/>
  <c r="F1245" i="357"/>
  <c r="H1245" i="357" s="1"/>
  <c r="F1247" i="357"/>
  <c r="F1252" i="357"/>
  <c r="F1262" i="357"/>
  <c r="F1264" i="357"/>
  <c r="F1268" i="357"/>
  <c r="H1268" i="357" s="1"/>
  <c r="F1270" i="357"/>
  <c r="H1270" i="357" s="1"/>
  <c r="F1276" i="357"/>
  <c r="H1276" i="357" s="1"/>
  <c r="F1278" i="357"/>
  <c r="H1278" i="357" s="1"/>
  <c r="F1282" i="357"/>
  <c r="F1284" i="357"/>
  <c r="F1288" i="357"/>
  <c r="F1290" i="357"/>
  <c r="F1295" i="357"/>
  <c r="F1297" i="357"/>
  <c r="H1297" i="357" s="1"/>
  <c r="F1304" i="357"/>
  <c r="H1304" i="357" s="1"/>
  <c r="F1308" i="357"/>
  <c r="H1308" i="357" s="1"/>
  <c r="F1315" i="357"/>
  <c r="F1317" i="357"/>
  <c r="F1321" i="357"/>
  <c r="H1321" i="357" s="1"/>
  <c r="F1323" i="357"/>
  <c r="F1327" i="357"/>
  <c r="F1340" i="357"/>
  <c r="F1344" i="357"/>
  <c r="F1348" i="357"/>
  <c r="H1348" i="357" s="1"/>
  <c r="F1352" i="357"/>
  <c r="F1356" i="357"/>
  <c r="H1356" i="357" s="1"/>
  <c r="F1365" i="357"/>
  <c r="F1369" i="357"/>
  <c r="F1371" i="357"/>
  <c r="F1375" i="357"/>
  <c r="F1380" i="357"/>
  <c r="F1386" i="357"/>
  <c r="F1388" i="357"/>
  <c r="H1388" i="357" s="1"/>
  <c r="F1394" i="357"/>
  <c r="F1396" i="357"/>
  <c r="H1396" i="357" s="1"/>
  <c r="F1400" i="357"/>
  <c r="F1402" i="357"/>
  <c r="F1408" i="357"/>
  <c r="F1410" i="357"/>
  <c r="F1423" i="357"/>
  <c r="F1427" i="357"/>
  <c r="F1706" i="357"/>
  <c r="F1708" i="357"/>
  <c r="F1712" i="357"/>
  <c r="F1714" i="357"/>
  <c r="H1714" i="357" s="1"/>
  <c r="F1718" i="357"/>
  <c r="H1718" i="357" s="1"/>
  <c r="F1720" i="357"/>
  <c r="H1720" i="357" s="1"/>
  <c r="F1724" i="357"/>
  <c r="F1726" i="357"/>
  <c r="F1734" i="357"/>
  <c r="H1734" i="357" s="1"/>
  <c r="F1738" i="357"/>
  <c r="H1738" i="357" s="1"/>
  <c r="F1740" i="357"/>
  <c r="F1744" i="357"/>
  <c r="F1746" i="357"/>
  <c r="F1750" i="357"/>
  <c r="F1752" i="357"/>
  <c r="H1752" i="357" s="1"/>
  <c r="F1756" i="357"/>
  <c r="H1756" i="357" s="1"/>
  <c r="F1758" i="357"/>
  <c r="F2197" i="357"/>
  <c r="F2199" i="357"/>
  <c r="F2203" i="357"/>
  <c r="F2205" i="357"/>
  <c r="F2216" i="357"/>
  <c r="F2225" i="357"/>
  <c r="H2225" i="357" s="1"/>
  <c r="F2227" i="357"/>
  <c r="H2227" i="357" s="1"/>
  <c r="F2231" i="357"/>
  <c r="H2231" i="357" s="1"/>
  <c r="F2233" i="357"/>
  <c r="H2233" i="357" s="1"/>
  <c r="F2237" i="357"/>
  <c r="F2239" i="357"/>
  <c r="F2243" i="357"/>
  <c r="H2243" i="357" s="1"/>
  <c r="F2245" i="357"/>
  <c r="H2245" i="357" s="1"/>
  <c r="F2249" i="357"/>
  <c r="H2249" i="357" s="1"/>
  <c r="F2251" i="357"/>
  <c r="F2257" i="357"/>
  <c r="H2257" i="357" s="1"/>
  <c r="F2259" i="357"/>
  <c r="F2267" i="357"/>
  <c r="H2267" i="357" s="1"/>
  <c r="F2274" i="357"/>
  <c r="F2276" i="357"/>
  <c r="H2276" i="357" s="1"/>
  <c r="F2280" i="357"/>
  <c r="F2282" i="357"/>
  <c r="F2286" i="357"/>
  <c r="H2286" i="357" s="1"/>
  <c r="F2288" i="357"/>
  <c r="F2292" i="357"/>
  <c r="H2292" i="357" s="1"/>
  <c r="F2294" i="357"/>
  <c r="F2298" i="357"/>
  <c r="F2300" i="357"/>
  <c r="F2307" i="357"/>
  <c r="F2309" i="357"/>
  <c r="H2309" i="357" s="1"/>
  <c r="F2313" i="357"/>
  <c r="H2313" i="357" s="1"/>
  <c r="F2315" i="357"/>
  <c r="H2315" i="357" s="1"/>
  <c r="F2329" i="357"/>
  <c r="F2339" i="357"/>
  <c r="H2339" i="357" s="1"/>
  <c r="F2349" i="357"/>
  <c r="H2349" i="357" s="1"/>
  <c r="F2359" i="357"/>
  <c r="F2371" i="357"/>
  <c r="F2379" i="357"/>
  <c r="H2379" i="357" s="1"/>
  <c r="F2422" i="357"/>
  <c r="H2422" i="357" s="1"/>
  <c r="F2433" i="357"/>
  <c r="F2447" i="357"/>
  <c r="H2447" i="357" s="1"/>
  <c r="F2461" i="357"/>
  <c r="F2465" i="357"/>
  <c r="F2487" i="357"/>
  <c r="H2487" i="357" s="1"/>
  <c r="F2491" i="357"/>
  <c r="H2491" i="357" s="1"/>
  <c r="F2497" i="357"/>
  <c r="H2497" i="357" s="1"/>
  <c r="F2499" i="357"/>
  <c r="H2499" i="357" s="1"/>
  <c r="F2505" i="357"/>
  <c r="H2505" i="357" s="1"/>
  <c r="F2507" i="357"/>
  <c r="H2507" i="357" s="1"/>
  <c r="F2513" i="357"/>
  <c r="H2513" i="357" s="1"/>
  <c r="F2515" i="357"/>
  <c r="H2515" i="357" s="1"/>
  <c r="F2521" i="357"/>
  <c r="H2521" i="357" s="1"/>
  <c r="F2525" i="357"/>
  <c r="H2525" i="357" s="1"/>
  <c r="F2529" i="357"/>
  <c r="H2529" i="357" s="1"/>
  <c r="F2533" i="357"/>
  <c r="H2533" i="357" s="1"/>
  <c r="F2539" i="357"/>
  <c r="H2539" i="357" s="1"/>
  <c r="F2541" i="357"/>
  <c r="H2541" i="357" s="1"/>
  <c r="F2547" i="357"/>
  <c r="F2549" i="357"/>
  <c r="F2555" i="357"/>
  <c r="H2555" i="357" s="1"/>
  <c r="F2557" i="357"/>
  <c r="H2557" i="357" s="1"/>
  <c r="F2563" i="357"/>
  <c r="H2563" i="357" s="1"/>
  <c r="F2565" i="357"/>
  <c r="H2565" i="357" s="1"/>
  <c r="F2571" i="357"/>
  <c r="H2571" i="357" s="1"/>
  <c r="F2573" i="357"/>
  <c r="H2573" i="357" s="1"/>
  <c r="F2579" i="357"/>
  <c r="H2579" i="357" s="1"/>
  <c r="F2581" i="357"/>
  <c r="H2581" i="357" s="1"/>
  <c r="F2587" i="357"/>
  <c r="H2587" i="357" s="1"/>
  <c r="F2589" i="357"/>
  <c r="H2589" i="357" s="1"/>
  <c r="F2599" i="357"/>
  <c r="H2599" i="357" s="1"/>
  <c r="F2603" i="357"/>
  <c r="H2603" i="357" s="1"/>
  <c r="F2605" i="357"/>
  <c r="H2605" i="357" s="1"/>
  <c r="F2609" i="357"/>
  <c r="H2609" i="357" s="1"/>
  <c r="F2611" i="357"/>
  <c r="H2611" i="357" s="1"/>
  <c r="F2620" i="357"/>
  <c r="H2620" i="357" s="1"/>
  <c r="F2624" i="357"/>
  <c r="H2624" i="357" s="1"/>
  <c r="F2626" i="357"/>
  <c r="H2626" i="357" s="1"/>
  <c r="F2630" i="357"/>
  <c r="H2630" i="357" s="1"/>
  <c r="F2632" i="357"/>
  <c r="H2632" i="357" s="1"/>
  <c r="F2641" i="357"/>
  <c r="H2641" i="357" s="1"/>
  <c r="F2818" i="357"/>
  <c r="F2820" i="357"/>
  <c r="F2831" i="357"/>
  <c r="F2833" i="357"/>
  <c r="H2833" i="357" s="1"/>
  <c r="F2837" i="357"/>
  <c r="H2837" i="357" s="1"/>
  <c r="F2845" i="357"/>
  <c r="H2845" i="357" s="1"/>
  <c r="F2847" i="357"/>
  <c r="H2847" i="357" s="1"/>
  <c r="F2851" i="357"/>
  <c r="H2851" i="357" s="1"/>
  <c r="F2853" i="357"/>
  <c r="F2863" i="357"/>
  <c r="H2863" i="357" s="1"/>
  <c r="F2867" i="357"/>
  <c r="H2867" i="357" s="1"/>
  <c r="F2869" i="357"/>
  <c r="H2869" i="357" s="1"/>
  <c r="F2873" i="357"/>
  <c r="H2873" i="357" s="1"/>
  <c r="F2875" i="357"/>
  <c r="H2875" i="357" s="1"/>
  <c r="F2881" i="357"/>
  <c r="H2881" i="357" s="1"/>
  <c r="F2885" i="357"/>
  <c r="H2885" i="357" s="1"/>
  <c r="F2887" i="357"/>
  <c r="H2887" i="357" s="1"/>
  <c r="F2891" i="357"/>
  <c r="H2891" i="357" s="1"/>
  <c r="F2893" i="357"/>
  <c r="H2893" i="357" s="1"/>
  <c r="F2897" i="357"/>
  <c r="F2899" i="357"/>
  <c r="F2909" i="357"/>
  <c r="H2909" i="357" s="1"/>
  <c r="F2911" i="357"/>
  <c r="H2911" i="357" s="1"/>
  <c r="F2917" i="357"/>
  <c r="H2917" i="357" s="1"/>
  <c r="F2919" i="357"/>
  <c r="H2919" i="357" s="1"/>
  <c r="F2923" i="357"/>
  <c r="H2923" i="357" s="1"/>
  <c r="F2925" i="357"/>
  <c r="F3062" i="357"/>
  <c r="H3062" i="357" s="1"/>
  <c r="F3064" i="357"/>
  <c r="H3064" i="357" s="1"/>
  <c r="F3068" i="357"/>
  <c r="H3068" i="357" s="1"/>
  <c r="F3072" i="357"/>
  <c r="H3072" i="357" s="1"/>
  <c r="F3076" i="357"/>
  <c r="H3076" i="357" s="1"/>
  <c r="F3078" i="357"/>
  <c r="H3078" i="357" s="1"/>
  <c r="F3098" i="357"/>
  <c r="H3098" i="357" s="1"/>
  <c r="F3108" i="357"/>
  <c r="H3108" i="357" s="1"/>
  <c r="F3110" i="357"/>
  <c r="H3110" i="357" s="1"/>
  <c r="F3116" i="357"/>
  <c r="H3116" i="357" s="1"/>
  <c r="F3118" i="357"/>
  <c r="H3118" i="357" s="1"/>
  <c r="F3124" i="357"/>
  <c r="H3124" i="357" s="1"/>
  <c r="F3126" i="357"/>
  <c r="H3126" i="357" s="1"/>
  <c r="F3468" i="357"/>
  <c r="H3468" i="357" s="1"/>
  <c r="E1236" i="357"/>
  <c r="G1236" i="357" s="1"/>
  <c r="E1246" i="357"/>
  <c r="E1263" i="357"/>
  <c r="E1269" i="357"/>
  <c r="E1277" i="357"/>
  <c r="G1277" i="357" s="1"/>
  <c r="E1283" i="357"/>
  <c r="E1289" i="357"/>
  <c r="E1296" i="357"/>
  <c r="E1316" i="357"/>
  <c r="G1316" i="357" s="1"/>
  <c r="E1322" i="357"/>
  <c r="E1328" i="357"/>
  <c r="E1339" i="357"/>
  <c r="E1345" i="357"/>
  <c r="G1345" i="357" s="1"/>
  <c r="E1349" i="357"/>
  <c r="G1349" i="357" s="1"/>
  <c r="E1353" i="357"/>
  <c r="E1357" i="357"/>
  <c r="E1364" i="357"/>
  <c r="E1370" i="357"/>
  <c r="G1370" i="357" s="1"/>
  <c r="E1376" i="357"/>
  <c r="E1387" i="357"/>
  <c r="E1395" i="357"/>
  <c r="G1395" i="357" s="1"/>
  <c r="E1401" i="357"/>
  <c r="E1409" i="357"/>
  <c r="G1409" i="357" s="1"/>
  <c r="E1419" i="357"/>
  <c r="E1428" i="357"/>
  <c r="G1428" i="357" s="1"/>
  <c r="E1436" i="357"/>
  <c r="E1442" i="357"/>
  <c r="E1455" i="357"/>
  <c r="E1463" i="357"/>
  <c r="E1494" i="357"/>
  <c r="E1506" i="357"/>
  <c r="E1511" i="357"/>
  <c r="G1511" i="357" s="1"/>
  <c r="E1521" i="357"/>
  <c r="E1531" i="357"/>
  <c r="G1531" i="357" s="1"/>
  <c r="E1557" i="357"/>
  <c r="G1557" i="357" s="1"/>
  <c r="E1566" i="357"/>
  <c r="E1573" i="357"/>
  <c r="G1573" i="357" s="1"/>
  <c r="E1579" i="357"/>
  <c r="G1579" i="357" s="1"/>
  <c r="E1585" i="357"/>
  <c r="G1585" i="357" s="1"/>
  <c r="E1591" i="357"/>
  <c r="E1597" i="357"/>
  <c r="E1603" i="357"/>
  <c r="E1609" i="357"/>
  <c r="E1615" i="357"/>
  <c r="E1621" i="357"/>
  <c r="E1627" i="357"/>
  <c r="E1633" i="357"/>
  <c r="G1633" i="357" s="1"/>
  <c r="E1639" i="357"/>
  <c r="E1645" i="357"/>
  <c r="G1645" i="357" s="1"/>
  <c r="E1651" i="357"/>
  <c r="E1657" i="357"/>
  <c r="E1663" i="357"/>
  <c r="E1669" i="357"/>
  <c r="E1675" i="357"/>
  <c r="G1675" i="357" s="1"/>
  <c r="E1681" i="357"/>
  <c r="G1681" i="357" s="1"/>
  <c r="E1687" i="357"/>
  <c r="E1693" i="357"/>
  <c r="G1693" i="357" s="1"/>
  <c r="E1701" i="357"/>
  <c r="E1707" i="357"/>
  <c r="G1707" i="357" s="1"/>
  <c r="E1713" i="357"/>
  <c r="G1713" i="357" s="1"/>
  <c r="E1719" i="357"/>
  <c r="G1719" i="357" s="1"/>
  <c r="E1725" i="357"/>
  <c r="E1733" i="357"/>
  <c r="E1739" i="357"/>
  <c r="G1739" i="357" s="1"/>
  <c r="E1745" i="357"/>
  <c r="E1751" i="357"/>
  <c r="G1751" i="357" s="1"/>
  <c r="E1757" i="357"/>
  <c r="E1765" i="357"/>
  <c r="E1771" i="357"/>
  <c r="E1777" i="357"/>
  <c r="G1777" i="357" s="1"/>
  <c r="E1783" i="357"/>
  <c r="G1783" i="357" s="1"/>
  <c r="E1789" i="357"/>
  <c r="E1827" i="357"/>
  <c r="E1833" i="357"/>
  <c r="E1839" i="357"/>
  <c r="E1845" i="357"/>
  <c r="E1851" i="357"/>
  <c r="E1798" i="357"/>
  <c r="E1804" i="357"/>
  <c r="G1804" i="357" s="1"/>
  <c r="E1810" i="357"/>
  <c r="G1810" i="357" s="1"/>
  <c r="E1816" i="357"/>
  <c r="G1816" i="357" s="1"/>
  <c r="E1822" i="357"/>
  <c r="G1822" i="357" s="1"/>
  <c r="E1868" i="357"/>
  <c r="G1868" i="357" s="1"/>
  <c r="E1876" i="357"/>
  <c r="G1876" i="357" s="1"/>
  <c r="E1882" i="357"/>
  <c r="E1890" i="357"/>
  <c r="G1890" i="357" s="1"/>
  <c r="E1896" i="357"/>
  <c r="E1902" i="357"/>
  <c r="E1910" i="357"/>
  <c r="E1922" i="357"/>
  <c r="E1928" i="357"/>
  <c r="E1939" i="357"/>
  <c r="G1939" i="357" s="1"/>
  <c r="E1982" i="357"/>
  <c r="E2013" i="357"/>
  <c r="E2021" i="357"/>
  <c r="E2027" i="357"/>
  <c r="E2033" i="357"/>
  <c r="E2039" i="357"/>
  <c r="E2045" i="357"/>
  <c r="G2045" i="357" s="1"/>
  <c r="E2051" i="357"/>
  <c r="G2051" i="357" s="1"/>
  <c r="E2057" i="357"/>
  <c r="E2098" i="357"/>
  <c r="G2098" i="357" s="1"/>
  <c r="E2112" i="357"/>
  <c r="E2127" i="357"/>
  <c r="G2127" i="357" s="1"/>
  <c r="E2147" i="357"/>
  <c r="G2147" i="357" s="1"/>
  <c r="E2153" i="357"/>
  <c r="E2180" i="357"/>
  <c r="G2180" i="357" s="1"/>
  <c r="E2186" i="357"/>
  <c r="E2192" i="357"/>
  <c r="G2192" i="357" s="1"/>
  <c r="E2198" i="357"/>
  <c r="E2204" i="357"/>
  <c r="E2226" i="357"/>
  <c r="E2232" i="357"/>
  <c r="E2238" i="357"/>
  <c r="G2238" i="357" s="1"/>
  <c r="E2244" i="357"/>
  <c r="E2250" i="357"/>
  <c r="E2258" i="357"/>
  <c r="G2258" i="357" s="1"/>
  <c r="E2275" i="357"/>
  <c r="G2275" i="357" s="1"/>
  <c r="E2281" i="357"/>
  <c r="G2281" i="357" s="1"/>
  <c r="E2287" i="357"/>
  <c r="E2293" i="357"/>
  <c r="G2293" i="357" s="1"/>
  <c r="E2299" i="357"/>
  <c r="G2299" i="357" s="1"/>
  <c r="E2308" i="357"/>
  <c r="E2314" i="357"/>
  <c r="E2548" i="357"/>
  <c r="E2556" i="357"/>
  <c r="G2556" i="357" s="1"/>
  <c r="E2564" i="357"/>
  <c r="G2564" i="357" s="1"/>
  <c r="E2572" i="357"/>
  <c r="G2572" i="357" s="1"/>
  <c r="E2580" i="357"/>
  <c r="G2580" i="357" s="1"/>
  <c r="E2588" i="357"/>
  <c r="G2588" i="357" s="1"/>
  <c r="E2598" i="357"/>
  <c r="G2598" i="357" s="1"/>
  <c r="E2604" i="357"/>
  <c r="G2604" i="357" s="1"/>
  <c r="E2610" i="357"/>
  <c r="G2610" i="357" s="1"/>
  <c r="E2619" i="357"/>
  <c r="G2619" i="357" s="1"/>
  <c r="E2625" i="357"/>
  <c r="G2625" i="357" s="1"/>
  <c r="E2631" i="357"/>
  <c r="G2631" i="357" s="1"/>
  <c r="E2648" i="357"/>
  <c r="G2648" i="357" s="1"/>
  <c r="E2678" i="357"/>
  <c r="G2678" i="357" s="1"/>
  <c r="E2703" i="357"/>
  <c r="G2703" i="357" s="1"/>
  <c r="E2709" i="357"/>
  <c r="G2709" i="357" s="1"/>
  <c r="E2715" i="357"/>
  <c r="G2715" i="357" s="1"/>
  <c r="E2726" i="357"/>
  <c r="G2726" i="357" s="1"/>
  <c r="E2735" i="357"/>
  <c r="G2735" i="357" s="1"/>
  <c r="E2758" i="357"/>
  <c r="G2758" i="357" s="1"/>
  <c r="E2770" i="357"/>
  <c r="G2770" i="357" s="1"/>
  <c r="E2776" i="357"/>
  <c r="G2776" i="357" s="1"/>
  <c r="E2782" i="357"/>
  <c r="G2782" i="357" s="1"/>
  <c r="E2788" i="357"/>
  <c r="E2796" i="357"/>
  <c r="G2796" i="357" s="1"/>
  <c r="E2802" i="357"/>
  <c r="E2813" i="357"/>
  <c r="G2813" i="357" s="1"/>
  <c r="E2819" i="357"/>
  <c r="E2832" i="357"/>
  <c r="G2832" i="357" s="1"/>
  <c r="E2838" i="357"/>
  <c r="G2838" i="357" s="1"/>
  <c r="E2846" i="357"/>
  <c r="G2846" i="357" s="1"/>
  <c r="E2852" i="357"/>
  <c r="E2868" i="357"/>
  <c r="G2868" i="357" s="1"/>
  <c r="E2874" i="357"/>
  <c r="G2874" i="357" s="1"/>
  <c r="E3057" i="357"/>
  <c r="G3057" i="357" s="1"/>
  <c r="E3063" i="357"/>
  <c r="G3063" i="357" s="1"/>
  <c r="E3069" i="357"/>
  <c r="G3069" i="357" s="1"/>
  <c r="E3077" i="357"/>
  <c r="E3099" i="357"/>
  <c r="G3099" i="357" s="1"/>
  <c r="E3109" i="357"/>
  <c r="G3109" i="357" s="1"/>
  <c r="E3117" i="357"/>
  <c r="G3117" i="357" s="1"/>
  <c r="E3125" i="357"/>
  <c r="G3125" i="357" s="1"/>
  <c r="E3235" i="357"/>
  <c r="G3235" i="357" s="1"/>
  <c r="F3238" i="357"/>
  <c r="H3238" i="357" s="1"/>
  <c r="E3258" i="357"/>
  <c r="G3258" i="357" s="1"/>
  <c r="E3262" i="357"/>
  <c r="E3264" i="357"/>
  <c r="G3264" i="357" s="1"/>
  <c r="E3268" i="357"/>
  <c r="G3268" i="357" s="1"/>
  <c r="E3270" i="357"/>
  <c r="G3270" i="357" s="1"/>
  <c r="E3274" i="357"/>
  <c r="G3274" i="357" s="1"/>
  <c r="E3292" i="357"/>
  <c r="G3292" i="357" s="1"/>
  <c r="E3294" i="357"/>
  <c r="G3294" i="357" s="1"/>
  <c r="E3300" i="357"/>
  <c r="G3300" i="357" s="1"/>
  <c r="E3310" i="357"/>
  <c r="G3310" i="357" s="1"/>
  <c r="E3312" i="357"/>
  <c r="G3312" i="357" s="1"/>
  <c r="E3321" i="357"/>
  <c r="G3321" i="357" s="1"/>
  <c r="E3323" i="357"/>
  <c r="G3323" i="357" s="1"/>
  <c r="E3331" i="357"/>
  <c r="G3331" i="357" s="1"/>
  <c r="E3362" i="357"/>
  <c r="G3362" i="357" s="1"/>
  <c r="E3378" i="357"/>
  <c r="G3378" i="357" s="1"/>
  <c r="E3380" i="357"/>
  <c r="G3380" i="357" s="1"/>
  <c r="E3384" i="357"/>
  <c r="G3384" i="357" s="1"/>
  <c r="E3392" i="357"/>
  <c r="G3392" i="357" s="1"/>
  <c r="E3396" i="357"/>
  <c r="G3396" i="357" s="1"/>
  <c r="E3400" i="357"/>
  <c r="G3400" i="357" s="1"/>
  <c r="E3402" i="357"/>
  <c r="G3402" i="357" s="1"/>
  <c r="E3406" i="357"/>
  <c r="G3406" i="357" s="1"/>
  <c r="E3408" i="357"/>
  <c r="G3408" i="357" s="1"/>
  <c r="E3416" i="357"/>
  <c r="G3416" i="357" s="1"/>
  <c r="E3420" i="357"/>
  <c r="G3420" i="357" s="1"/>
  <c r="E3422" i="357"/>
  <c r="G3422" i="357" s="1"/>
  <c r="F3441" i="357"/>
  <c r="H3441" i="357" s="1"/>
  <c r="F3453" i="357"/>
  <c r="H3453" i="357" s="1"/>
  <c r="E3484" i="357"/>
  <c r="G3484" i="357" s="1"/>
  <c r="F3495" i="357"/>
  <c r="H3495" i="357" s="1"/>
  <c r="I1134" i="357"/>
  <c r="I1405" i="357"/>
  <c r="I1562" i="357"/>
  <c r="I1730" i="357"/>
  <c r="I1826" i="357"/>
  <c r="I1870" i="357"/>
  <c r="I1945" i="357"/>
  <c r="I1998" i="357"/>
  <c r="I2335" i="357"/>
  <c r="I2345" i="357"/>
  <c r="I2355" i="357"/>
  <c r="I2435" i="357"/>
  <c r="I2467" i="357"/>
  <c r="I2475" i="357"/>
  <c r="I2489" i="357"/>
  <c r="I2503" i="357"/>
  <c r="I2519" i="357"/>
  <c r="I2531" i="357"/>
  <c r="I2545" i="357"/>
  <c r="I2575" i="357"/>
  <c r="I2583" i="357"/>
  <c r="I2593" i="357"/>
  <c r="I2595" i="357"/>
  <c r="I2637" i="357"/>
  <c r="I2653" i="357"/>
  <c r="I2665" i="357"/>
  <c r="I2681" i="357"/>
  <c r="I2743" i="357"/>
  <c r="I2745" i="357"/>
  <c r="I2755" i="357"/>
  <c r="I2757" i="357"/>
  <c r="I2812" i="357"/>
  <c r="I2968" i="357"/>
  <c r="I3019" i="357"/>
  <c r="I3027" i="357"/>
  <c r="I3035" i="357"/>
  <c r="I3071" i="357"/>
  <c r="I3094" i="357"/>
  <c r="I3100" i="357"/>
  <c r="I3136" i="357"/>
  <c r="I3144" i="357"/>
  <c r="I3160" i="357"/>
  <c r="I3176" i="357"/>
  <c r="I3205" i="357"/>
  <c r="I3215" i="357"/>
  <c r="I3219" i="357"/>
  <c r="I3245" i="357"/>
  <c r="I3277" i="357"/>
  <c r="I3295" i="357"/>
  <c r="I3307" i="357"/>
  <c r="I3333" i="357"/>
  <c r="I3351" i="357"/>
  <c r="I3395" i="357"/>
  <c r="I3413" i="357"/>
  <c r="I3429" i="357"/>
  <c r="I3439" i="357"/>
  <c r="I3471" i="357"/>
  <c r="I3476" i="357"/>
  <c r="I3481" i="357"/>
  <c r="I3485" i="357"/>
  <c r="I3487" i="357"/>
  <c r="I185" i="357"/>
  <c r="J931" i="357"/>
  <c r="J1133" i="357"/>
  <c r="J1175" i="357"/>
  <c r="J1311" i="357"/>
  <c r="J1484" i="357"/>
  <c r="J1555" i="357"/>
  <c r="J1567" i="357"/>
  <c r="J1946" i="357"/>
  <c r="J1975" i="357"/>
  <c r="J2130" i="357"/>
  <c r="J2136" i="357"/>
  <c r="J2156" i="357"/>
  <c r="J2162" i="357"/>
  <c r="J2254" i="357"/>
  <c r="J2270" i="357"/>
  <c r="J2402" i="357"/>
  <c r="J2450" i="357"/>
  <c r="J2680" i="357"/>
  <c r="J3028" i="357"/>
  <c r="J3070" i="357"/>
  <c r="J3105" i="357"/>
  <c r="J3111" i="357"/>
  <c r="J3368" i="357"/>
  <c r="J3440" i="357"/>
  <c r="J3444" i="357"/>
  <c r="J404" i="357"/>
  <c r="J484" i="357"/>
  <c r="J943" i="357"/>
  <c r="J1299" i="357"/>
  <c r="J1331" i="357"/>
  <c r="J1337" i="357"/>
  <c r="J1382" i="357"/>
  <c r="J1512" i="357"/>
  <c r="J1532" i="357"/>
  <c r="J1536" i="357"/>
  <c r="J1863" i="357"/>
  <c r="J1987" i="357"/>
  <c r="J2088" i="357"/>
  <c r="J2094" i="357"/>
  <c r="J2480" i="357"/>
  <c r="J2674" i="357"/>
  <c r="J2686" i="357"/>
  <c r="J3230" i="357"/>
  <c r="J3314" i="357"/>
  <c r="J3320" i="357"/>
  <c r="J3354" i="357"/>
  <c r="J3386" i="357"/>
  <c r="J3450" i="357"/>
  <c r="J3502" i="357"/>
  <c r="C2546" i="357"/>
  <c r="C944" i="357"/>
  <c r="C405" i="357"/>
  <c r="D2677" i="357"/>
  <c r="D628" i="357"/>
  <c r="C2524" i="357"/>
  <c r="C920" i="357"/>
  <c r="C92" i="357"/>
  <c r="C330" i="357"/>
  <c r="D20" i="357"/>
  <c r="D163" i="357"/>
  <c r="C163" i="357"/>
  <c r="D219" i="357"/>
  <c r="C219" i="357"/>
  <c r="C263" i="357"/>
  <c r="C265" i="357"/>
  <c r="G265" i="357" s="1"/>
  <c r="C563" i="357"/>
  <c r="D17" i="357"/>
  <c r="H17" i="357" s="1"/>
  <c r="D30" i="357"/>
  <c r="D45" i="357"/>
  <c r="D63" i="357"/>
  <c r="D77" i="357"/>
  <c r="D113" i="357"/>
  <c r="D128" i="357"/>
  <c r="D168" i="357"/>
  <c r="C174" i="357"/>
  <c r="D176" i="357"/>
  <c r="H176" i="357" s="1"/>
  <c r="D203" i="357"/>
  <c r="D247" i="357"/>
  <c r="C249" i="357"/>
  <c r="D249" i="357"/>
  <c r="D282" i="357"/>
  <c r="C288" i="357"/>
  <c r="D290" i="357"/>
  <c r="H290" i="357" s="1"/>
  <c r="D319" i="357"/>
  <c r="D365" i="357"/>
  <c r="C367" i="357"/>
  <c r="D367" i="357"/>
  <c r="D383" i="357"/>
  <c r="C408" i="357"/>
  <c r="D410" i="357"/>
  <c r="D464" i="357"/>
  <c r="C497" i="357"/>
  <c r="G497" i="357" s="1"/>
  <c r="D499" i="357"/>
  <c r="D526" i="357"/>
  <c r="D568" i="357"/>
  <c r="C569" i="357"/>
  <c r="D569" i="357"/>
  <c r="H569" i="357" s="1"/>
  <c r="D2618" i="357"/>
  <c r="D621" i="357"/>
  <c r="D638" i="357"/>
  <c r="C646" i="357"/>
  <c r="D648" i="357"/>
  <c r="D688" i="357"/>
  <c r="C690" i="357"/>
  <c r="D690" i="357"/>
  <c r="H690" i="357" s="1"/>
  <c r="D722" i="357"/>
  <c r="D772" i="357"/>
  <c r="C800" i="357"/>
  <c r="D802" i="357"/>
  <c r="D817" i="357"/>
  <c r="C819" i="357"/>
  <c r="D819" i="357"/>
  <c r="D883" i="357"/>
  <c r="D941" i="357"/>
  <c r="C945" i="357"/>
  <c r="D945" i="357"/>
  <c r="D959" i="357"/>
  <c r="C983" i="357"/>
  <c r="G983" i="357" s="1"/>
  <c r="D990" i="357"/>
  <c r="C1008" i="357"/>
  <c r="D1057" i="357"/>
  <c r="D1062" i="357"/>
  <c r="C1062" i="357"/>
  <c r="D1067" i="357"/>
  <c r="C1107" i="357"/>
  <c r="G1107" i="357" s="1"/>
  <c r="D1114" i="357"/>
  <c r="D1168" i="357"/>
  <c r="D1182" i="357"/>
  <c r="D1189" i="357"/>
  <c r="C1189" i="357"/>
  <c r="D1196" i="357"/>
  <c r="D2322" i="357"/>
  <c r="D1216" i="357"/>
  <c r="C1244" i="357"/>
  <c r="D1365" i="357"/>
  <c r="C1365" i="357"/>
  <c r="D1386" i="357"/>
  <c r="C1386" i="357"/>
  <c r="D1410" i="357"/>
  <c r="D1467" i="357"/>
  <c r="C1467" i="357"/>
  <c r="D1644" i="357"/>
  <c r="C1644" i="357"/>
  <c r="D1690" i="357"/>
  <c r="C1690" i="357"/>
  <c r="C3330" i="357"/>
  <c r="C3309" i="357"/>
  <c r="C3222" i="357"/>
  <c r="C2343" i="357"/>
  <c r="C3232" i="357"/>
  <c r="C3256" i="357"/>
  <c r="C1942" i="357"/>
  <c r="D2265" i="357"/>
  <c r="D2255" i="357"/>
  <c r="D2220" i="357"/>
  <c r="C3463" i="357"/>
  <c r="C2420" i="357"/>
  <c r="C211" i="357"/>
  <c r="D211" i="357"/>
  <c r="C387" i="357"/>
  <c r="D387" i="357"/>
  <c r="D2554" i="357"/>
  <c r="D469" i="357"/>
  <c r="D434" i="357"/>
  <c r="C8" i="357"/>
  <c r="D41" i="357"/>
  <c r="D47" i="357"/>
  <c r="D53" i="357"/>
  <c r="D59" i="357"/>
  <c r="D73" i="357"/>
  <c r="D79" i="357"/>
  <c r="D85" i="357"/>
  <c r="D109" i="357"/>
  <c r="D115" i="357"/>
  <c r="C122" i="357"/>
  <c r="D124" i="357"/>
  <c r="D130" i="357"/>
  <c r="C134" i="357"/>
  <c r="C207" i="357"/>
  <c r="C209" i="357"/>
  <c r="C300" i="357"/>
  <c r="D337" i="357"/>
  <c r="C337" i="357"/>
  <c r="C360" i="357"/>
  <c r="D395" i="357"/>
  <c r="C395" i="357"/>
  <c r="C418" i="357"/>
  <c r="C507" i="357"/>
  <c r="D2569" i="357"/>
  <c r="D515" i="357"/>
  <c r="C530" i="357"/>
  <c r="C532" i="357"/>
  <c r="G532" i="357" s="1"/>
  <c r="D2597" i="357"/>
  <c r="D578" i="357"/>
  <c r="C7" i="357"/>
  <c r="D39" i="357"/>
  <c r="D51" i="357"/>
  <c r="D57" i="357"/>
  <c r="D69" i="357"/>
  <c r="D83" i="357"/>
  <c r="D98" i="357"/>
  <c r="D107" i="357"/>
  <c r="D191" i="357"/>
  <c r="C193" i="357"/>
  <c r="D193" i="357"/>
  <c r="H193" i="357" s="1"/>
  <c r="D224" i="357"/>
  <c r="C230" i="357"/>
  <c r="D259" i="357"/>
  <c r="D305" i="357"/>
  <c r="C307" i="357"/>
  <c r="D307" i="357"/>
  <c r="D323" i="357"/>
  <c r="D344" i="357"/>
  <c r="C350" i="357"/>
  <c r="D352" i="357"/>
  <c r="D379" i="357"/>
  <c r="D400" i="357"/>
  <c r="D423" i="357"/>
  <c r="C425" i="357"/>
  <c r="D425" i="357"/>
  <c r="D472" i="357"/>
  <c r="D491" i="357"/>
  <c r="D512" i="357"/>
  <c r="C516" i="357"/>
  <c r="D516" i="357"/>
  <c r="D547" i="357"/>
  <c r="C553" i="357"/>
  <c r="G553" i="357" s="1"/>
  <c r="D555" i="357"/>
  <c r="D581" i="357"/>
  <c r="C9" i="357"/>
  <c r="C18" i="357"/>
  <c r="C31" i="357"/>
  <c r="C38" i="357"/>
  <c r="G38" i="357" s="1"/>
  <c r="C44" i="357"/>
  <c r="C50" i="357"/>
  <c r="C56" i="357"/>
  <c r="C62" i="357"/>
  <c r="C68" i="357"/>
  <c r="C76" i="357"/>
  <c r="C82" i="357"/>
  <c r="C88" i="357"/>
  <c r="G88" i="357" s="1"/>
  <c r="C97" i="357"/>
  <c r="C106" i="357"/>
  <c r="C112" i="357"/>
  <c r="C127" i="357"/>
  <c r="C133" i="357"/>
  <c r="C144" i="357"/>
  <c r="C166" i="357"/>
  <c r="D201" i="357"/>
  <c r="C201" i="357"/>
  <c r="C206" i="357"/>
  <c r="G206" i="357" s="1"/>
  <c r="C214" i="357"/>
  <c r="C222" i="357"/>
  <c r="C257" i="357"/>
  <c r="D257" i="357"/>
  <c r="H257" i="357" s="1"/>
  <c r="C262" i="357"/>
  <c r="G262" i="357" s="1"/>
  <c r="C270" i="357"/>
  <c r="D317" i="357"/>
  <c r="C317" i="357"/>
  <c r="C322" i="357"/>
  <c r="C332" i="357"/>
  <c r="C340" i="357"/>
  <c r="D377" i="357"/>
  <c r="C377" i="357"/>
  <c r="C382" i="357"/>
  <c r="G382" i="357" s="1"/>
  <c r="C390" i="357"/>
  <c r="C398" i="357"/>
  <c r="C433" i="357"/>
  <c r="D433" i="357"/>
  <c r="C471" i="357"/>
  <c r="C479" i="357"/>
  <c r="C489" i="357"/>
  <c r="C524" i="357"/>
  <c r="D524" i="357"/>
  <c r="C529" i="357"/>
  <c r="G529" i="357" s="1"/>
  <c r="C537" i="357"/>
  <c r="C545" i="357"/>
  <c r="D579" i="357"/>
  <c r="H579" i="357" s="1"/>
  <c r="C579" i="357"/>
  <c r="C584" i="357"/>
  <c r="C622" i="357"/>
  <c r="C636" i="357"/>
  <c r="G636" i="357" s="1"/>
  <c r="D720" i="357"/>
  <c r="C720" i="357"/>
  <c r="C725" i="357"/>
  <c r="C762" i="357"/>
  <c r="C770" i="357"/>
  <c r="G770" i="357" s="1"/>
  <c r="D829" i="357"/>
  <c r="C829" i="357"/>
  <c r="C836" i="357"/>
  <c r="G836" i="357" s="1"/>
  <c r="C849" i="357"/>
  <c r="C881" i="357"/>
  <c r="D957" i="357"/>
  <c r="C957" i="357"/>
  <c r="G957" i="357" s="1"/>
  <c r="C962" i="357"/>
  <c r="C988" i="357"/>
  <c r="D1022" i="357"/>
  <c r="C1025" i="357"/>
  <c r="D1040" i="357"/>
  <c r="C1040" i="357"/>
  <c r="C1085" i="357"/>
  <c r="D1092" i="357"/>
  <c r="D1493" i="357"/>
  <c r="D1505" i="357"/>
  <c r="D1431" i="357"/>
  <c r="D1094" i="357"/>
  <c r="C1112" i="357"/>
  <c r="C1141" i="357"/>
  <c r="D1148" i="357"/>
  <c r="C1151" i="357"/>
  <c r="D1161" i="357"/>
  <c r="D1166" i="357"/>
  <c r="C1166" i="357"/>
  <c r="D1171" i="357"/>
  <c r="D1225" i="357"/>
  <c r="D1287" i="357"/>
  <c r="D1325" i="357"/>
  <c r="D1393" i="357"/>
  <c r="C1393" i="357"/>
  <c r="D1408" i="357"/>
  <c r="C1408" i="357"/>
  <c r="D1440" i="357"/>
  <c r="D1502" i="357"/>
  <c r="D1649" i="357"/>
  <c r="C1649" i="357"/>
  <c r="D1683" i="357"/>
  <c r="C1683" i="357"/>
  <c r="D1706" i="357"/>
  <c r="C1706" i="357"/>
  <c r="C3279" i="357"/>
  <c r="C2409" i="357"/>
  <c r="C3289" i="357"/>
  <c r="C1938" i="357"/>
  <c r="C3304" i="357"/>
  <c r="C2019" i="357"/>
  <c r="C3457" i="357"/>
  <c r="C2414" i="357"/>
  <c r="C2107" i="357"/>
  <c r="C173" i="357"/>
  <c r="D173" i="357"/>
  <c r="C229" i="357"/>
  <c r="D229" i="357"/>
  <c r="C287" i="357"/>
  <c r="D287" i="357"/>
  <c r="C349" i="357"/>
  <c r="D349" i="357"/>
  <c r="C496" i="357"/>
  <c r="D496" i="357"/>
  <c r="C552" i="357"/>
  <c r="D552" i="357"/>
  <c r="H552" i="357" s="1"/>
  <c r="D2683" i="357"/>
  <c r="D634" i="357"/>
  <c r="C645" i="357"/>
  <c r="D645" i="357"/>
  <c r="H645" i="357" s="1"/>
  <c r="D1486" i="357"/>
  <c r="D811" i="357"/>
  <c r="D1764" i="357"/>
  <c r="D1157" i="357"/>
  <c r="D1136" i="357"/>
  <c r="D1520" i="357"/>
  <c r="C908" i="357"/>
  <c r="D908" i="357"/>
  <c r="D1020" i="357"/>
  <c r="C1020" i="357"/>
  <c r="D1146" i="357"/>
  <c r="C1146" i="357"/>
  <c r="C3207" i="357"/>
  <c r="C3356" i="357"/>
  <c r="C3352" i="357"/>
  <c r="C2172" i="357"/>
  <c r="C1917" i="357"/>
  <c r="C1243" i="357"/>
  <c r="C2005" i="357"/>
  <c r="C2384" i="357"/>
  <c r="D1285" i="357"/>
  <c r="C1285" i="357"/>
  <c r="D1423" i="357"/>
  <c r="C1423" i="357"/>
  <c r="D1438" i="357"/>
  <c r="C1438" i="357"/>
  <c r="D1577" i="357"/>
  <c r="C1577" i="357"/>
  <c r="D1591" i="357"/>
  <c r="C1591" i="357"/>
  <c r="C1653" i="357"/>
  <c r="D1653" i="357"/>
  <c r="D1688" i="357"/>
  <c r="C1688" i="357"/>
  <c r="C3432" i="357"/>
  <c r="C2404" i="357"/>
  <c r="C2399" i="357"/>
  <c r="C1947" i="357"/>
  <c r="D3457" i="357"/>
  <c r="D2414" i="357"/>
  <c r="D2107" i="357"/>
  <c r="D2546" i="357"/>
  <c r="D944" i="357"/>
  <c r="D405" i="357"/>
  <c r="C407" i="357"/>
  <c r="D407" i="357"/>
  <c r="C799" i="357"/>
  <c r="D799" i="357"/>
  <c r="C15" i="357"/>
  <c r="C26" i="357"/>
  <c r="D2520" i="357"/>
  <c r="D3499" i="357"/>
  <c r="D940" i="357"/>
  <c r="D311" i="357"/>
  <c r="D72" i="357"/>
  <c r="D181" i="357"/>
  <c r="C181" i="357"/>
  <c r="C188" i="357"/>
  <c r="C196" i="357"/>
  <c r="C204" i="357"/>
  <c r="D239" i="357"/>
  <c r="C239" i="357"/>
  <c r="C244" i="357"/>
  <c r="C252" i="357"/>
  <c r="C260" i="357"/>
  <c r="C297" i="357"/>
  <c r="D297" i="357"/>
  <c r="C302" i="357"/>
  <c r="C312" i="357"/>
  <c r="C320" i="357"/>
  <c r="C357" i="357"/>
  <c r="D357" i="357"/>
  <c r="C362" i="357"/>
  <c r="C370" i="357"/>
  <c r="C380" i="357"/>
  <c r="C415" i="357"/>
  <c r="D415" i="357"/>
  <c r="C420" i="357"/>
  <c r="C428" i="357"/>
  <c r="D504" i="357"/>
  <c r="C504" i="357"/>
  <c r="C509" i="357"/>
  <c r="C519" i="357"/>
  <c r="C527" i="357"/>
  <c r="D560" i="357"/>
  <c r="H560" i="357" s="1"/>
  <c r="C560" i="357"/>
  <c r="C565" i="357"/>
  <c r="C572" i="357"/>
  <c r="C2597" i="357"/>
  <c r="C578" i="357"/>
  <c r="C582" i="357"/>
  <c r="D653" i="357"/>
  <c r="C653" i="357"/>
  <c r="C685" i="357"/>
  <c r="G685" i="357" s="1"/>
  <c r="C693" i="357"/>
  <c r="C723" i="357"/>
  <c r="D807" i="357"/>
  <c r="C807" i="357"/>
  <c r="C814" i="357"/>
  <c r="G814" i="357" s="1"/>
  <c r="C822" i="357"/>
  <c r="C834" i="357"/>
  <c r="C884" i="357"/>
  <c r="C936" i="357"/>
  <c r="C952" i="357"/>
  <c r="C960" i="357"/>
  <c r="C975" i="357"/>
  <c r="D982" i="357"/>
  <c r="C985" i="357"/>
  <c r="D995" i="357"/>
  <c r="D1000" i="357"/>
  <c r="C1000" i="357"/>
  <c r="D1005" i="357"/>
  <c r="C1045" i="357"/>
  <c r="G1045" i="357" s="1"/>
  <c r="D1054" i="357"/>
  <c r="C1072" i="357"/>
  <c r="C1097" i="357"/>
  <c r="D1106" i="357"/>
  <c r="C1109" i="357"/>
  <c r="D1117" i="357"/>
  <c r="D1124" i="357"/>
  <c r="C1124" i="357"/>
  <c r="D1131" i="357"/>
  <c r="C1169" i="357"/>
  <c r="D1178" i="357"/>
  <c r="H1178" i="357" s="1"/>
  <c r="C1199" i="357"/>
  <c r="C1230" i="357"/>
  <c r="C1246" i="357"/>
  <c r="D1265" i="357"/>
  <c r="H1265" i="357" s="1"/>
  <c r="C1265" i="357"/>
  <c r="D1290" i="357"/>
  <c r="C1290" i="357"/>
  <c r="D1315" i="357"/>
  <c r="C1315" i="357"/>
  <c r="D1340" i="357"/>
  <c r="D1370" i="357"/>
  <c r="D1443" i="357"/>
  <c r="C1443" i="357"/>
  <c r="D1496" i="357"/>
  <c r="C1496" i="357"/>
  <c r="D1507" i="357"/>
  <c r="C1507" i="357"/>
  <c r="D1540" i="357"/>
  <c r="C1540" i="357"/>
  <c r="D1658" i="357"/>
  <c r="C1658" i="357"/>
  <c r="D3432" i="357"/>
  <c r="D2404" i="357"/>
  <c r="D2399" i="357"/>
  <c r="D1947" i="357"/>
  <c r="D13" i="357"/>
  <c r="C267" i="357"/>
  <c r="D267" i="357"/>
  <c r="C476" i="357"/>
  <c r="D476" i="357"/>
  <c r="C2569" i="357"/>
  <c r="C515" i="357"/>
  <c r="C534" i="357"/>
  <c r="D534" i="357"/>
  <c r="C589" i="357"/>
  <c r="D589" i="357"/>
  <c r="H589" i="357" s="1"/>
  <c r="C735" i="357"/>
  <c r="D735" i="357"/>
  <c r="C765" i="357"/>
  <c r="C841" i="357"/>
  <c r="D841" i="357"/>
  <c r="C876" i="357"/>
  <c r="G876" i="357" s="1"/>
  <c r="D980" i="357"/>
  <c r="C980" i="357"/>
  <c r="C1077" i="357"/>
  <c r="C1087" i="357"/>
  <c r="D1104" i="357"/>
  <c r="C1104" i="357"/>
  <c r="D1525" i="357"/>
  <c r="D1129" i="357"/>
  <c r="C1204" i="357"/>
  <c r="C1218" i="357"/>
  <c r="G1222" i="357"/>
  <c r="D1320" i="357"/>
  <c r="C1320" i="357"/>
  <c r="D1338" i="357"/>
  <c r="C1338" i="357"/>
  <c r="D1362" i="357"/>
  <c r="C1362" i="357"/>
  <c r="C1639" i="357"/>
  <c r="D1639" i="357"/>
  <c r="C1651" i="357"/>
  <c r="D1651" i="357"/>
  <c r="C152" i="357"/>
  <c r="C327" i="357"/>
  <c r="D327" i="357"/>
  <c r="D32" i="357"/>
  <c r="D65" i="357"/>
  <c r="D94" i="357"/>
  <c r="C242" i="357"/>
  <c r="C275" i="357"/>
  <c r="D275" i="357"/>
  <c r="C325" i="357"/>
  <c r="C385" i="357"/>
  <c r="C474" i="357"/>
  <c r="C542" i="357"/>
  <c r="D542" i="357"/>
  <c r="C2618" i="357"/>
  <c r="C621" i="357"/>
  <c r="D630" i="357"/>
  <c r="C630" i="357"/>
  <c r="D767" i="357"/>
  <c r="C767" i="357"/>
  <c r="C878" i="357"/>
  <c r="D878" i="357"/>
  <c r="D1082" i="357"/>
  <c r="C1082" i="357"/>
  <c r="C1129" i="357"/>
  <c r="C1525" i="357"/>
  <c r="D1209" i="357"/>
  <c r="C1209" i="357"/>
  <c r="D1343" i="357"/>
  <c r="H1343" i="357" s="1"/>
  <c r="C1343" i="357"/>
  <c r="D1357" i="357"/>
  <c r="C1357" i="357"/>
  <c r="D1678" i="357"/>
  <c r="C1678" i="357"/>
  <c r="G1678" i="357" s="1"/>
  <c r="D1692" i="357"/>
  <c r="D1703" i="357"/>
  <c r="H1703" i="357" s="1"/>
  <c r="D1715" i="357"/>
  <c r="H1715" i="357" s="1"/>
  <c r="C1715" i="357"/>
  <c r="D967" i="357"/>
  <c r="D1007" i="357"/>
  <c r="D1037" i="357"/>
  <c r="D1059" i="357"/>
  <c r="D1111" i="357"/>
  <c r="D1143" i="357"/>
  <c r="D1163" i="357"/>
  <c r="D1184" i="357"/>
  <c r="D1220" i="357"/>
  <c r="D1262" i="357"/>
  <c r="D1282" i="357"/>
  <c r="D1322" i="357"/>
  <c r="D1354" i="357"/>
  <c r="D1395" i="357"/>
  <c r="D1445" i="357"/>
  <c r="C1556" i="357"/>
  <c r="C1648" i="357"/>
  <c r="C1657" i="357"/>
  <c r="D1669" i="357"/>
  <c r="C1671" i="357"/>
  <c r="C1696" i="357"/>
  <c r="D1724" i="357"/>
  <c r="D1742" i="357"/>
  <c r="D1751" i="357"/>
  <c r="C1760" i="357"/>
  <c r="D1767" i="357"/>
  <c r="C1771" i="357"/>
  <c r="D1792" i="357"/>
  <c r="C1813" i="357"/>
  <c r="C1825" i="357"/>
  <c r="D1876" i="357"/>
  <c r="D1894" i="357"/>
  <c r="C2015" i="357"/>
  <c r="C2029" i="357"/>
  <c r="D2031" i="357"/>
  <c r="D2043" i="357"/>
  <c r="D2059" i="357"/>
  <c r="C164" i="357"/>
  <c r="C182" i="357"/>
  <c r="C202" i="357"/>
  <c r="C220" i="357"/>
  <c r="C240" i="357"/>
  <c r="C258" i="357"/>
  <c r="C276" i="357"/>
  <c r="C298" i="357"/>
  <c r="C318" i="357"/>
  <c r="C338" i="357"/>
  <c r="C358" i="357"/>
  <c r="C378" i="357"/>
  <c r="C396" i="357"/>
  <c r="C416" i="357"/>
  <c r="C487" i="357"/>
  <c r="C505" i="357"/>
  <c r="C525" i="357"/>
  <c r="C543" i="357"/>
  <c r="C561" i="357"/>
  <c r="C580" i="357"/>
  <c r="C654" i="357"/>
  <c r="C721" i="357"/>
  <c r="G721" i="357" s="1"/>
  <c r="C768" i="357"/>
  <c r="C879" i="357"/>
  <c r="C930" i="357"/>
  <c r="C958" i="357"/>
  <c r="C978" i="357"/>
  <c r="C998" i="357"/>
  <c r="C1018" i="357"/>
  <c r="C1038" i="357"/>
  <c r="C1060" i="357"/>
  <c r="C1080" i="357"/>
  <c r="C1102" i="357"/>
  <c r="C1144" i="357"/>
  <c r="C1164" i="357"/>
  <c r="C1185" i="357"/>
  <c r="C1207" i="357"/>
  <c r="C1235" i="357"/>
  <c r="C1263" i="357"/>
  <c r="C1283" i="357"/>
  <c r="C1334" i="357"/>
  <c r="C1355" i="357"/>
  <c r="C1404" i="357"/>
  <c r="C1436" i="357"/>
  <c r="C1454" i="357"/>
  <c r="C1463" i="357"/>
  <c r="C1494" i="357"/>
  <c r="C1478" i="357"/>
  <c r="C1521" i="357"/>
  <c r="D1526" i="357"/>
  <c r="D1535" i="357"/>
  <c r="C1560" i="357"/>
  <c r="G1560" i="357" s="1"/>
  <c r="C1576" i="357"/>
  <c r="D1585" i="357"/>
  <c r="C1590" i="357"/>
  <c r="C1650" i="357"/>
  <c r="D1652" i="357"/>
  <c r="C1656" i="357"/>
  <c r="D1677" i="357"/>
  <c r="D1682" i="357"/>
  <c r="D1687" i="357"/>
  <c r="D1691" i="357"/>
  <c r="C1702" i="357"/>
  <c r="C1714" i="357"/>
  <c r="D1723" i="357"/>
  <c r="H1723" i="357" s="1"/>
  <c r="C1728" i="357"/>
  <c r="G1728" i="357" s="1"/>
  <c r="D1766" i="357"/>
  <c r="C1770" i="357"/>
  <c r="C1780" i="357"/>
  <c r="G1780" i="357" s="1"/>
  <c r="D1785" i="357"/>
  <c r="C1789" i="357"/>
  <c r="D1791" i="357"/>
  <c r="D1799" i="357"/>
  <c r="D1804" i="357"/>
  <c r="C1806" i="357"/>
  <c r="D1808" i="357"/>
  <c r="C1817" i="357"/>
  <c r="C1859" i="357"/>
  <c r="C1861" i="357"/>
  <c r="D1874" i="357"/>
  <c r="C1880" i="357"/>
  <c r="D1918" i="357"/>
  <c r="C1922" i="357"/>
  <c r="D1924" i="357"/>
  <c r="C1935" i="357"/>
  <c r="D1972" i="357"/>
  <c r="D2002" i="357"/>
  <c r="C2006" i="357"/>
  <c r="D2008" i="357"/>
  <c r="C2021" i="357"/>
  <c r="C2033" i="357"/>
  <c r="C2035" i="357"/>
  <c r="D2042" i="357"/>
  <c r="C2048" i="357"/>
  <c r="C2092" i="357"/>
  <c r="C2100" i="357"/>
  <c r="D2101" i="357"/>
  <c r="C2111" i="357"/>
  <c r="D2116" i="357"/>
  <c r="D2125" i="357"/>
  <c r="D2141" i="357"/>
  <c r="D2147" i="357"/>
  <c r="D2152" i="357"/>
  <c r="C2177" i="357"/>
  <c r="G2177" i="357" s="1"/>
  <c r="C2179" i="357"/>
  <c r="D2191" i="357"/>
  <c r="C2196" i="357"/>
  <c r="C2246" i="357"/>
  <c r="D2248" i="357"/>
  <c r="C2252" i="357"/>
  <c r="C2278" i="357"/>
  <c r="D2280" i="357"/>
  <c r="D2285" i="357"/>
  <c r="D2290" i="357"/>
  <c r="C2292" i="357"/>
  <c r="D2294" i="357"/>
  <c r="C2306" i="357"/>
  <c r="C2318" i="357"/>
  <c r="C2421" i="357"/>
  <c r="D2446" i="357"/>
  <c r="D2461" i="357"/>
  <c r="C1260" i="357"/>
  <c r="C1280" i="357"/>
  <c r="G1280" i="357" s="1"/>
  <c r="C1328" i="357"/>
  <c r="C1352" i="357"/>
  <c r="C1373" i="357"/>
  <c r="C1401" i="357"/>
  <c r="C1433" i="357"/>
  <c r="G1433" i="357" s="1"/>
  <c r="C1460" i="357"/>
  <c r="G1460" i="357" s="1"/>
  <c r="C1489" i="357"/>
  <c r="D826" i="357"/>
  <c r="C1516" i="357"/>
  <c r="C1582" i="357"/>
  <c r="G1582" i="357" s="1"/>
  <c r="C1636" i="357"/>
  <c r="G1636" i="357" s="1"/>
  <c r="D1638" i="357"/>
  <c r="C1674" i="357"/>
  <c r="D1707" i="357"/>
  <c r="C1720" i="357"/>
  <c r="C1748" i="357"/>
  <c r="D1750" i="357"/>
  <c r="C1788" i="357"/>
  <c r="D1822" i="357"/>
  <c r="C1900" i="357"/>
  <c r="D1902" i="357"/>
  <c r="C1978" i="357"/>
  <c r="D2026" i="357"/>
  <c r="C2039" i="357"/>
  <c r="C2069" i="357"/>
  <c r="D2066" i="357"/>
  <c r="C2082" i="357"/>
  <c r="C2134" i="357"/>
  <c r="C2149" i="357"/>
  <c r="C2167" i="357"/>
  <c r="C2181" i="357"/>
  <c r="C2184" i="357"/>
  <c r="C2232" i="357"/>
  <c r="D2234" i="357"/>
  <c r="C2243" i="357"/>
  <c r="C2277" i="357"/>
  <c r="C2287" i="357"/>
  <c r="C2296" i="357"/>
  <c r="G2296" i="357" s="1"/>
  <c r="D2311" i="357"/>
  <c r="C2313" i="357"/>
  <c r="C2325" i="357"/>
  <c r="D2431" i="357"/>
  <c r="D2426" i="357"/>
  <c r="D2369" i="357"/>
  <c r="D2363" i="357"/>
  <c r="C2431" i="357"/>
  <c r="D2428" i="357"/>
  <c r="H2428" i="357" s="1"/>
  <c r="C2448" i="357"/>
  <c r="C2468" i="357"/>
  <c r="D2439" i="357"/>
  <c r="D2328" i="357"/>
  <c r="D3211" i="357"/>
  <c r="D1921" i="357"/>
  <c r="D2011" i="357"/>
  <c r="C2057" i="357"/>
  <c r="C2148" i="357"/>
  <c r="C2224" i="357"/>
  <c r="C2295" i="357"/>
  <c r="C2358" i="357"/>
  <c r="C2400" i="357"/>
  <c r="C2462" i="357"/>
  <c r="D1621" i="357"/>
  <c r="D1637" i="357"/>
  <c r="D1708" i="357"/>
  <c r="D1735" i="357"/>
  <c r="C1756" i="357"/>
  <c r="D1781" i="357"/>
  <c r="C1800" i="357"/>
  <c r="C1860" i="357"/>
  <c r="C1881" i="357"/>
  <c r="D1892" i="357"/>
  <c r="D1901" i="357"/>
  <c r="C2316" i="357"/>
  <c r="D3463" i="357"/>
  <c r="D2420" i="357"/>
  <c r="D1595" i="357"/>
  <c r="D1667" i="357"/>
  <c r="C1729" i="357"/>
  <c r="D1740" i="357"/>
  <c r="D1749" i="357"/>
  <c r="H1749" i="357" s="1"/>
  <c r="C1761" i="357"/>
  <c r="C1772" i="357"/>
  <c r="C1805" i="357"/>
  <c r="C1821" i="357"/>
  <c r="D1823" i="357"/>
  <c r="D1885" i="357"/>
  <c r="C1910" i="357"/>
  <c r="C147" i="357"/>
  <c r="C170" i="357"/>
  <c r="C190" i="357"/>
  <c r="C208" i="357"/>
  <c r="C226" i="357"/>
  <c r="C246" i="357"/>
  <c r="C264" i="357"/>
  <c r="C284" i="357"/>
  <c r="C304" i="357"/>
  <c r="C324" i="357"/>
  <c r="C346" i="357"/>
  <c r="C364" i="357"/>
  <c r="C384" i="357"/>
  <c r="C402" i="357"/>
  <c r="C422" i="357"/>
  <c r="C473" i="357"/>
  <c r="C493" i="357"/>
  <c r="C511" i="357"/>
  <c r="C531" i="357"/>
  <c r="C549" i="357"/>
  <c r="C567" i="357"/>
  <c r="C586" i="357"/>
  <c r="C642" i="357"/>
  <c r="C687" i="357"/>
  <c r="C727" i="357"/>
  <c r="C816" i="357"/>
  <c r="C838" i="357"/>
  <c r="C885" i="357"/>
  <c r="C964" i="357"/>
  <c r="C977" i="357"/>
  <c r="C984" i="357"/>
  <c r="C997" i="357"/>
  <c r="C1004" i="357"/>
  <c r="C1017" i="357"/>
  <c r="C1024" i="357"/>
  <c r="C1046" i="357"/>
  <c r="C1066" i="357"/>
  <c r="C1079" i="357"/>
  <c r="C1086" i="357"/>
  <c r="C1108" i="357"/>
  <c r="C1130" i="357"/>
  <c r="C1150" i="357"/>
  <c r="C1170" i="357"/>
  <c r="C1195" i="357"/>
  <c r="C1206" i="357"/>
  <c r="C1245" i="357"/>
  <c r="C1269" i="357"/>
  <c r="C1289" i="357"/>
  <c r="C1319" i="357"/>
  <c r="G1319" i="357" s="1"/>
  <c r="C1342" i="357"/>
  <c r="C1364" i="357"/>
  <c r="C1381" i="357"/>
  <c r="C1015" i="357"/>
  <c r="C1403" i="357"/>
  <c r="C1419" i="357"/>
  <c r="C1435" i="357"/>
  <c r="C1442" i="357"/>
  <c r="C1462" i="357"/>
  <c r="C1506" i="357"/>
  <c r="D1531" i="357"/>
  <c r="C1586" i="357"/>
  <c r="D1588" i="357"/>
  <c r="C1592" i="357"/>
  <c r="D1641" i="357"/>
  <c r="D1646" i="357"/>
  <c r="D1655" i="357"/>
  <c r="C1664" i="357"/>
  <c r="C1676" i="357"/>
  <c r="D1685" i="357"/>
  <c r="D1726" i="357"/>
  <c r="D1753" i="357"/>
  <c r="H1753" i="357" s="1"/>
  <c r="D1758" i="357"/>
  <c r="D1765" i="357"/>
  <c r="D1769" i="357"/>
  <c r="C1778" i="357"/>
  <c r="C1790" i="357"/>
  <c r="D1802" i="357"/>
  <c r="C1807" i="357"/>
  <c r="G1807" i="357" s="1"/>
  <c r="D1878" i="357"/>
  <c r="C1882" i="357"/>
  <c r="C1903" i="357"/>
  <c r="D1914" i="357"/>
  <c r="D1923" i="357"/>
  <c r="C1925" i="357"/>
  <c r="G1925" i="357" s="1"/>
  <c r="D1927" i="357"/>
  <c r="C1982" i="357"/>
  <c r="C1986" i="357"/>
  <c r="C2007" i="357"/>
  <c r="D2045" i="357"/>
  <c r="C2049" i="357"/>
  <c r="D2078" i="357"/>
  <c r="D2086" i="357"/>
  <c r="D2099" i="357"/>
  <c r="C2109" i="357"/>
  <c r="C2124" i="357"/>
  <c r="G2124" i="357" s="1"/>
  <c r="C2146" i="357"/>
  <c r="D2194" i="357"/>
  <c r="C2198" i="357"/>
  <c r="D2237" i="357"/>
  <c r="D2242" i="357"/>
  <c r="H2242" i="357" s="1"/>
  <c r="D2251" i="357"/>
  <c r="C2262" i="357"/>
  <c r="C2267" i="357"/>
  <c r="C2279" i="357"/>
  <c r="D2288" i="357"/>
  <c r="C2312" i="357"/>
  <c r="C2344" i="357"/>
  <c r="C2357" i="357"/>
  <c r="C1547" i="357"/>
  <c r="C1501" i="357"/>
  <c r="C1036" i="357"/>
  <c r="C1796" i="357"/>
  <c r="C826" i="357"/>
  <c r="D987" i="357"/>
  <c r="D1027" i="357"/>
  <c r="D1051" i="357"/>
  <c r="D1153" i="357"/>
  <c r="D1173" i="357"/>
  <c r="D1198" i="357"/>
  <c r="D1248" i="357"/>
  <c r="D1272" i="357"/>
  <c r="D1292" i="357"/>
  <c r="D1346" i="357"/>
  <c r="D1367" i="357"/>
  <c r="D1509" i="357"/>
  <c r="C1572" i="357"/>
  <c r="D1574" i="357"/>
  <c r="C1710" i="357"/>
  <c r="D1712" i="357"/>
  <c r="D1783" i="357"/>
  <c r="D3330" i="357"/>
  <c r="D3309" i="357"/>
  <c r="D3222" i="357"/>
  <c r="D2343" i="357"/>
  <c r="D3256" i="357"/>
  <c r="D3232" i="357"/>
  <c r="D1942" i="357"/>
  <c r="D2348" i="357"/>
  <c r="D3446" i="357"/>
  <c r="D3437" i="357"/>
  <c r="D1951" i="357"/>
  <c r="D1958" i="357"/>
  <c r="D2114" i="357"/>
  <c r="C2403" i="357"/>
  <c r="C2327" i="357"/>
  <c r="C2342" i="357"/>
  <c r="C2443" i="357"/>
  <c r="C2419" i="357"/>
  <c r="C2398" i="357"/>
  <c r="C2353" i="357"/>
  <c r="C3452" i="357"/>
  <c r="C2472" i="357"/>
  <c r="C2477" i="357"/>
  <c r="C2458" i="357"/>
  <c r="C2453" i="357"/>
  <c r="J156" i="357"/>
  <c r="D1557" i="357"/>
  <c r="D1579" i="357"/>
  <c r="D1597" i="357"/>
  <c r="D1643" i="357"/>
  <c r="D1661" i="357"/>
  <c r="D1679" i="357"/>
  <c r="D1697" i="357"/>
  <c r="D1717" i="357"/>
  <c r="D1737" i="357"/>
  <c r="D1755" i="357"/>
  <c r="D1775" i="357"/>
  <c r="D1793" i="357"/>
  <c r="D1814" i="357"/>
  <c r="D1866" i="357"/>
  <c r="D2753" i="357"/>
  <c r="D1909" i="357"/>
  <c r="D1944" i="357"/>
  <c r="D2016" i="357"/>
  <c r="D2036" i="357"/>
  <c r="D2054" i="357"/>
  <c r="D2127" i="357"/>
  <c r="D2153" i="357"/>
  <c r="D2180" i="357"/>
  <c r="D2239" i="357"/>
  <c r="D2259" i="357"/>
  <c r="D2282" i="357"/>
  <c r="D2300" i="357"/>
  <c r="D2472" i="357"/>
  <c r="H663" i="357"/>
  <c r="H669" i="357"/>
  <c r="G465" i="357"/>
  <c r="H657" i="357"/>
  <c r="I155" i="357"/>
  <c r="G435" i="357"/>
  <c r="G447" i="357"/>
  <c r="G453" i="357"/>
  <c r="H597" i="357"/>
  <c r="I403" i="357"/>
  <c r="I938" i="357"/>
  <c r="J1089" i="357"/>
  <c r="H1223" i="357"/>
  <c r="J1301" i="357"/>
  <c r="I1469" i="357"/>
  <c r="I1517" i="357"/>
  <c r="I1554" i="357"/>
  <c r="I1187" i="357"/>
  <c r="G739" i="357"/>
  <c r="G742" i="357"/>
  <c r="G745" i="357"/>
  <c r="J1047" i="357"/>
  <c r="H605" i="357"/>
  <c r="H655" i="357"/>
  <c r="H661" i="357"/>
  <c r="H667" i="357"/>
  <c r="I1048" i="357"/>
  <c r="G1412" i="357"/>
  <c r="I1422" i="357"/>
  <c r="G656" i="357"/>
  <c r="G668" i="357"/>
  <c r="I928" i="357"/>
  <c r="I946" i="357"/>
  <c r="I1242" i="357"/>
  <c r="J2378" i="357"/>
  <c r="J2396" i="357"/>
  <c r="J2456" i="357"/>
  <c r="J3332" i="357"/>
  <c r="F1338" i="357"/>
  <c r="F157" i="357"/>
  <c r="F603" i="357"/>
  <c r="H603" i="357" s="1"/>
  <c r="F599" i="357"/>
  <c r="H599" i="357" s="1"/>
  <c r="J1155" i="357"/>
  <c r="H1250" i="357"/>
  <c r="H1293" i="357"/>
  <c r="J1309" i="357"/>
  <c r="J1390" i="357"/>
  <c r="J1468" i="357"/>
  <c r="J1474" i="357"/>
  <c r="J1480" i="357"/>
  <c r="J1492" i="357"/>
  <c r="J1504" i="357"/>
  <c r="J1528" i="357"/>
  <c r="J1915" i="357"/>
  <c r="J1954" i="357"/>
  <c r="J1989" i="357"/>
  <c r="J2140" i="357"/>
  <c r="H2206" i="357"/>
  <c r="I2263" i="357"/>
  <c r="I2471" i="357"/>
  <c r="I2537" i="357"/>
  <c r="I2591" i="357"/>
  <c r="I2616" i="357"/>
  <c r="J2638" i="357"/>
  <c r="I2913" i="357"/>
  <c r="J2997" i="357"/>
  <c r="I3209" i="357"/>
  <c r="J3350" i="357"/>
  <c r="I3449" i="357"/>
  <c r="I3455" i="357"/>
  <c r="J3475" i="357"/>
  <c r="J3482" i="357"/>
  <c r="I1937" i="357"/>
  <c r="I1984" i="357"/>
  <c r="G2201" i="357"/>
  <c r="G2207" i="357"/>
  <c r="I2217" i="357"/>
  <c r="I2411" i="357"/>
  <c r="I2441" i="357"/>
  <c r="I2567" i="357"/>
  <c r="I2859" i="357"/>
  <c r="I2988" i="357"/>
  <c r="I3347" i="357"/>
  <c r="I1154" i="357"/>
  <c r="I1420" i="357"/>
  <c r="I1497" i="357"/>
  <c r="I1503" i="357"/>
  <c r="I1527" i="357"/>
  <c r="I1564" i="357"/>
  <c r="I1762" i="357"/>
  <c r="I1941" i="357"/>
  <c r="I1953" i="357"/>
  <c r="I1988" i="357"/>
  <c r="I2321" i="357"/>
  <c r="I2561" i="357"/>
  <c r="I2934" i="357"/>
  <c r="I3168" i="357"/>
  <c r="I3174" i="357"/>
  <c r="J3200" i="357"/>
  <c r="J3206" i="357"/>
  <c r="J3338" i="357"/>
  <c r="I3365" i="357"/>
  <c r="J3428" i="357"/>
  <c r="H2202" i="357"/>
  <c r="I3007" i="357"/>
  <c r="I3055" i="357"/>
  <c r="I3079" i="357"/>
  <c r="I3096" i="357"/>
  <c r="J2302" i="357"/>
  <c r="J2320" i="357"/>
  <c r="J2326" i="357"/>
  <c r="J2356" i="357"/>
  <c r="J2362" i="357"/>
  <c r="J2368" i="357"/>
  <c r="J2392" i="357"/>
  <c r="J2416" i="357"/>
  <c r="J2452" i="357"/>
  <c r="J2476" i="357"/>
  <c r="J2482" i="357"/>
  <c r="J2488" i="357"/>
  <c r="J2584" i="357"/>
  <c r="J2596" i="357"/>
  <c r="J2664" i="357"/>
  <c r="J2694" i="357"/>
  <c r="J2987" i="357"/>
  <c r="J3036" i="357"/>
  <c r="J3042" i="357"/>
  <c r="J3101" i="357"/>
  <c r="J3131" i="357"/>
  <c r="J3143" i="357"/>
  <c r="J3149" i="357"/>
  <c r="J3214" i="357"/>
  <c r="J3220" i="357"/>
  <c r="J3226" i="357"/>
  <c r="J3244" i="357"/>
  <c r="J3328" i="357"/>
  <c r="J3334" i="357"/>
  <c r="J3346" i="357"/>
  <c r="J3358" i="357"/>
  <c r="J3364" i="357"/>
  <c r="J3394" i="357"/>
  <c r="J3412" i="357"/>
  <c r="J3424" i="357"/>
  <c r="J3430" i="357"/>
  <c r="I3461" i="357"/>
  <c r="J3470" i="357"/>
  <c r="I3491" i="357"/>
  <c r="I3497" i="357"/>
  <c r="E9" i="357"/>
  <c r="E12" i="357"/>
  <c r="G12" i="357" s="1"/>
  <c r="E15" i="357"/>
  <c r="E18" i="357"/>
  <c r="E26" i="357"/>
  <c r="E31" i="357"/>
  <c r="E37" i="357"/>
  <c r="G37" i="357" s="1"/>
  <c r="E40" i="357"/>
  <c r="G40" i="357" s="1"/>
  <c r="E43" i="357"/>
  <c r="G43" i="357" s="1"/>
  <c r="E46" i="357"/>
  <c r="E49" i="357"/>
  <c r="G49" i="357" s="1"/>
  <c r="E52" i="357"/>
  <c r="G52" i="357" s="1"/>
  <c r="E55" i="357"/>
  <c r="G55" i="357" s="1"/>
  <c r="E58" i="357"/>
  <c r="E61" i="357"/>
  <c r="E64" i="357"/>
  <c r="G64" i="357" s="1"/>
  <c r="E67" i="357"/>
  <c r="G67" i="357" s="1"/>
  <c r="E75" i="357"/>
  <c r="G75" i="357" s="1"/>
  <c r="E78" i="357"/>
  <c r="E81" i="357"/>
  <c r="E84" i="357"/>
  <c r="E87" i="357"/>
  <c r="E93" i="357"/>
  <c r="G93" i="357" s="1"/>
  <c r="J93" i="357" s="1"/>
  <c r="E96" i="357"/>
  <c r="G96" i="357" s="1"/>
  <c r="E99" i="357"/>
  <c r="E105" i="357"/>
  <c r="G105" i="357" s="1"/>
  <c r="E108" i="357"/>
  <c r="E111" i="357"/>
  <c r="E114" i="357"/>
  <c r="G114" i="357" s="1"/>
  <c r="E117" i="357"/>
  <c r="E123" i="357"/>
  <c r="G123" i="357" s="1"/>
  <c r="E126" i="357"/>
  <c r="G126" i="357" s="1"/>
  <c r="E129" i="357"/>
  <c r="G129" i="357" s="1"/>
  <c r="I129" i="357" s="1"/>
  <c r="E132" i="357"/>
  <c r="G132" i="357" s="1"/>
  <c r="E139" i="357"/>
  <c r="G139" i="357" s="1"/>
  <c r="I139" i="357" s="1"/>
  <c r="E147" i="357"/>
  <c r="E161" i="357"/>
  <c r="E164" i="357"/>
  <c r="E167" i="357"/>
  <c r="G167" i="357" s="1"/>
  <c r="E170" i="357"/>
  <c r="E173" i="357"/>
  <c r="E176" i="357"/>
  <c r="E179" i="357"/>
  <c r="G179" i="357" s="1"/>
  <c r="E182" i="357"/>
  <c r="E187" i="357"/>
  <c r="G187" i="357" s="1"/>
  <c r="E190" i="357"/>
  <c r="E193" i="357"/>
  <c r="E196" i="357"/>
  <c r="E199" i="357"/>
  <c r="G199" i="357" s="1"/>
  <c r="E202" i="357"/>
  <c r="E205" i="357"/>
  <c r="E208" i="357"/>
  <c r="E211" i="357"/>
  <c r="E214" i="357"/>
  <c r="E217" i="357"/>
  <c r="G217" i="357" s="1"/>
  <c r="E220" i="357"/>
  <c r="E223" i="357"/>
  <c r="E226" i="357"/>
  <c r="E229" i="357"/>
  <c r="E237" i="357"/>
  <c r="E240" i="357"/>
  <c r="E243" i="357"/>
  <c r="E246" i="357"/>
  <c r="E249" i="357"/>
  <c r="E252" i="357"/>
  <c r="E255" i="357"/>
  <c r="G255" i="357" s="1"/>
  <c r="E258" i="357"/>
  <c r="E261" i="357"/>
  <c r="E264" i="357"/>
  <c r="E267" i="357"/>
  <c r="E270" i="357"/>
  <c r="E273" i="357"/>
  <c r="G273" i="357" s="1"/>
  <c r="E276" i="357"/>
  <c r="E281" i="357"/>
  <c r="G281" i="357" s="1"/>
  <c r="E284" i="357"/>
  <c r="E287" i="357"/>
  <c r="E290" i="357"/>
  <c r="E293" i="357"/>
  <c r="G293" i="357" s="1"/>
  <c r="E298" i="357"/>
  <c r="E301" i="357"/>
  <c r="G301" i="357" s="1"/>
  <c r="E304" i="357"/>
  <c r="E307" i="357"/>
  <c r="E312" i="357"/>
  <c r="E1347" i="357"/>
  <c r="G1347" i="357" s="1"/>
  <c r="E1355" i="357"/>
  <c r="F3217" i="357"/>
  <c r="H3217" i="357" s="1"/>
  <c r="F3239" i="357"/>
  <c r="H3239" i="357" s="1"/>
  <c r="E3284" i="357"/>
  <c r="G3284" i="357" s="1"/>
  <c r="E3106" i="357"/>
  <c r="G3106" i="357" s="1"/>
  <c r="I3369" i="357"/>
  <c r="I3387" i="357"/>
  <c r="I3435" i="357"/>
  <c r="J2304" i="357"/>
  <c r="J2406" i="357"/>
  <c r="J2424" i="357"/>
  <c r="J2430" i="357"/>
  <c r="J2436" i="357"/>
  <c r="J2442" i="357"/>
  <c r="J2502" i="357"/>
  <c r="J2617" i="357"/>
  <c r="J2654" i="357"/>
  <c r="J2672" i="357"/>
  <c r="J2935" i="357"/>
  <c r="J2969" i="357"/>
  <c r="J2989" i="357"/>
  <c r="J3008" i="357"/>
  <c r="J3020" i="357"/>
  <c r="J3056" i="357"/>
  <c r="J3080" i="357"/>
  <c r="J3121" i="357"/>
  <c r="J3139" i="357"/>
  <c r="J3163" i="357"/>
  <c r="J3169" i="357"/>
  <c r="J3175" i="357"/>
  <c r="J3210" i="357"/>
  <c r="J3240" i="357"/>
  <c r="J3318" i="357"/>
  <c r="J3342" i="357"/>
  <c r="E8" i="357"/>
  <c r="E14" i="357"/>
  <c r="G14" i="357" s="1"/>
  <c r="E17" i="357"/>
  <c r="G17" i="357" s="1"/>
  <c r="E20" i="357"/>
  <c r="G20" i="357" s="1"/>
  <c r="E25" i="357"/>
  <c r="E30" i="357"/>
  <c r="E39" i="357"/>
  <c r="G39" i="357" s="1"/>
  <c r="E42" i="357"/>
  <c r="G42" i="357" s="1"/>
  <c r="J42" i="357" s="1"/>
  <c r="E45" i="357"/>
  <c r="G45" i="357" s="1"/>
  <c r="E48" i="357"/>
  <c r="G48" i="357" s="1"/>
  <c r="E51" i="357"/>
  <c r="G51" i="357" s="1"/>
  <c r="E54" i="357"/>
  <c r="G54" i="357" s="1"/>
  <c r="E57" i="357"/>
  <c r="G57" i="357" s="1"/>
  <c r="E60" i="357"/>
  <c r="G60" i="357" s="1"/>
  <c r="J60" i="357" s="1"/>
  <c r="E63" i="357"/>
  <c r="G63" i="357" s="1"/>
  <c r="E66" i="357"/>
  <c r="G66" i="357" s="1"/>
  <c r="E69" i="357"/>
  <c r="G69" i="357" s="1"/>
  <c r="E74" i="357"/>
  <c r="G74" i="357" s="1"/>
  <c r="J74" i="357" s="1"/>
  <c r="E77" i="357"/>
  <c r="G77" i="357" s="1"/>
  <c r="E80" i="357"/>
  <c r="G80" i="357" s="1"/>
  <c r="J80" i="357" s="1"/>
  <c r="E83" i="357"/>
  <c r="G83" i="357" s="1"/>
  <c r="E86" i="357"/>
  <c r="G86" i="357" s="1"/>
  <c r="J86" i="357" s="1"/>
  <c r="E95" i="357"/>
  <c r="G95" i="357" s="1"/>
  <c r="E98" i="357"/>
  <c r="G98" i="357" s="1"/>
  <c r="E104" i="357"/>
  <c r="G104" i="357" s="1"/>
  <c r="E107" i="357"/>
  <c r="E110" i="357"/>
  <c r="G110" i="357" s="1"/>
  <c r="J110" i="357" s="1"/>
  <c r="E113" i="357"/>
  <c r="G113" i="357" s="1"/>
  <c r="E116" i="357"/>
  <c r="G116" i="357" s="1"/>
  <c r="J116" i="357" s="1"/>
  <c r="E122" i="357"/>
  <c r="E125" i="357"/>
  <c r="G125" i="357" s="1"/>
  <c r="I125" i="357" s="1"/>
  <c r="E128" i="357"/>
  <c r="G128" i="357" s="1"/>
  <c r="E131" i="357"/>
  <c r="G131" i="357" s="1"/>
  <c r="E134" i="357"/>
  <c r="E141" i="357"/>
  <c r="G141" i="357" s="1"/>
  <c r="I141" i="357" s="1"/>
  <c r="E150" i="357"/>
  <c r="G150" i="357" s="1"/>
  <c r="E160" i="357"/>
  <c r="G160" i="357" s="1"/>
  <c r="E163" i="357"/>
  <c r="E166" i="357"/>
  <c r="E169" i="357"/>
  <c r="G169" i="357" s="1"/>
  <c r="E172" i="357"/>
  <c r="G172" i="357" s="1"/>
  <c r="J172" i="357" s="1"/>
  <c r="E175" i="357"/>
  <c r="E178" i="357"/>
  <c r="G178" i="357" s="1"/>
  <c r="J178" i="357" s="1"/>
  <c r="E181" i="357"/>
  <c r="E189" i="357"/>
  <c r="G189" i="357" s="1"/>
  <c r="E192" i="357"/>
  <c r="G192" i="357" s="1"/>
  <c r="E195" i="357"/>
  <c r="E198" i="357"/>
  <c r="G198" i="357" s="1"/>
  <c r="E201" i="357"/>
  <c r="E204" i="357"/>
  <c r="E207" i="357"/>
  <c r="E210" i="357"/>
  <c r="G210" i="357" s="1"/>
  <c r="J210" i="357" s="1"/>
  <c r="E213" i="357"/>
  <c r="G213" i="357" s="1"/>
  <c r="E216" i="357"/>
  <c r="G216" i="357" s="1"/>
  <c r="E219" i="357"/>
  <c r="E222" i="357"/>
  <c r="E225" i="357"/>
  <c r="G225" i="357" s="1"/>
  <c r="E228" i="357"/>
  <c r="G228" i="357" s="1"/>
  <c r="J228" i="357" s="1"/>
  <c r="E231" i="357"/>
  <c r="G231" i="357" s="1"/>
  <c r="E236" i="357"/>
  <c r="G236" i="357" s="1"/>
  <c r="E239" i="357"/>
  <c r="E242" i="357"/>
  <c r="E245" i="357"/>
  <c r="G245" i="357" s="1"/>
  <c r="E248" i="357"/>
  <c r="G248" i="357" s="1"/>
  <c r="E251" i="357"/>
  <c r="E254" i="357"/>
  <c r="G254" i="357" s="1"/>
  <c r="E257" i="357"/>
  <c r="E260" i="357"/>
  <c r="E263" i="357"/>
  <c r="E266" i="357"/>
  <c r="G266" i="357" s="1"/>
  <c r="E269" i="357"/>
  <c r="G269" i="357" s="1"/>
  <c r="E272" i="357"/>
  <c r="G272" i="357" s="1"/>
  <c r="E275" i="357"/>
  <c r="E283" i="357"/>
  <c r="G283" i="357" s="1"/>
  <c r="E286" i="357"/>
  <c r="G286" i="357" s="1"/>
  <c r="J286" i="357" s="1"/>
  <c r="E289" i="357"/>
  <c r="G289" i="357" s="1"/>
  <c r="E292" i="357"/>
  <c r="G292" i="357" s="1"/>
  <c r="E297" i="357"/>
  <c r="E300" i="357"/>
  <c r="E303" i="357"/>
  <c r="E306" i="357"/>
  <c r="G306" i="357" s="1"/>
  <c r="E314" i="357"/>
  <c r="G314" i="357" s="1"/>
  <c r="E317" i="357"/>
  <c r="E320" i="357"/>
  <c r="E323" i="357"/>
  <c r="E326" i="357"/>
  <c r="G326" i="357" s="1"/>
  <c r="E331" i="357"/>
  <c r="G331" i="357" s="1"/>
  <c r="E334" i="357"/>
  <c r="G334" i="357" s="1"/>
  <c r="E337" i="357"/>
  <c r="E340" i="357"/>
  <c r="E345" i="357"/>
  <c r="G345" i="357" s="1"/>
  <c r="E348" i="357"/>
  <c r="G348" i="357" s="1"/>
  <c r="E351" i="357"/>
  <c r="G351" i="357" s="1"/>
  <c r="E354" i="357"/>
  <c r="G354" i="357" s="1"/>
  <c r="E357" i="357"/>
  <c r="E360" i="357"/>
  <c r="E363" i="357"/>
  <c r="G363" i="357" s="1"/>
  <c r="E366" i="357"/>
  <c r="G366" i="357" s="1"/>
  <c r="E369" i="357"/>
  <c r="G369" i="357" s="1"/>
  <c r="E377" i="357"/>
  <c r="E380" i="357"/>
  <c r="E383" i="357"/>
  <c r="G383" i="357" s="1"/>
  <c r="E386" i="357"/>
  <c r="E389" i="357"/>
  <c r="G389" i="357" s="1"/>
  <c r="E392" i="357"/>
  <c r="E395" i="357"/>
  <c r="E398" i="357"/>
  <c r="E401" i="357"/>
  <c r="E406" i="357"/>
  <c r="G406" i="357" s="1"/>
  <c r="E409" i="357"/>
  <c r="G409" i="357" s="1"/>
  <c r="E412" i="357"/>
  <c r="E415" i="357"/>
  <c r="E418" i="357"/>
  <c r="E421" i="357"/>
  <c r="G421" i="357" s="1"/>
  <c r="E424" i="357"/>
  <c r="G424" i="357" s="1"/>
  <c r="E427" i="357"/>
  <c r="G427" i="357" s="1"/>
  <c r="E430" i="357"/>
  <c r="G430" i="357" s="1"/>
  <c r="E433" i="357"/>
  <c r="E436" i="357"/>
  <c r="E439" i="357"/>
  <c r="E442" i="357"/>
  <c r="E445" i="357"/>
  <c r="E448" i="357"/>
  <c r="E451" i="357"/>
  <c r="E454" i="357"/>
  <c r="E457" i="357"/>
  <c r="E460" i="357"/>
  <c r="E463" i="357"/>
  <c r="E466" i="357"/>
  <c r="E472" i="357"/>
  <c r="E475" i="357"/>
  <c r="G475" i="357" s="1"/>
  <c r="E478" i="357"/>
  <c r="G478" i="357" s="1"/>
  <c r="E481" i="357"/>
  <c r="G481" i="357" s="1"/>
  <c r="E489" i="357"/>
  <c r="E492" i="357"/>
  <c r="E495" i="357"/>
  <c r="G495" i="357" s="1"/>
  <c r="E498" i="357"/>
  <c r="E501" i="357"/>
  <c r="G501" i="357" s="1"/>
  <c r="E504" i="357"/>
  <c r="E507" i="357"/>
  <c r="E510" i="357"/>
  <c r="G510" i="357" s="1"/>
  <c r="E518" i="357"/>
  <c r="E521" i="357"/>
  <c r="G521" i="357" s="1"/>
  <c r="E524" i="357"/>
  <c r="E527" i="357"/>
  <c r="E530" i="357"/>
  <c r="E533" i="357"/>
  <c r="G533" i="357" s="1"/>
  <c r="E536" i="357"/>
  <c r="G536" i="357" s="1"/>
  <c r="E539" i="357"/>
  <c r="G539" i="357" s="1"/>
  <c r="E542" i="357"/>
  <c r="E545" i="357"/>
  <c r="E548" i="357"/>
  <c r="G548" i="357" s="1"/>
  <c r="E551" i="357"/>
  <c r="G551" i="357" s="1"/>
  <c r="E554" i="357"/>
  <c r="E557" i="357"/>
  <c r="G557" i="357" s="1"/>
  <c r="E560" i="357"/>
  <c r="E563" i="357"/>
  <c r="E566" i="357"/>
  <c r="E570" i="357"/>
  <c r="G570" i="357" s="1"/>
  <c r="E571" i="357"/>
  <c r="E574" i="357"/>
  <c r="E579" i="357"/>
  <c r="E582" i="357"/>
  <c r="E585" i="357"/>
  <c r="G585" i="357" s="1"/>
  <c r="E588" i="357"/>
  <c r="G588" i="357" s="1"/>
  <c r="E593" i="357"/>
  <c r="G593" i="357" s="1"/>
  <c r="E596" i="357"/>
  <c r="E602" i="357"/>
  <c r="E605" i="357"/>
  <c r="E622" i="357"/>
  <c r="E637" i="357"/>
  <c r="E642" i="357"/>
  <c r="E645" i="357"/>
  <c r="E648" i="357"/>
  <c r="G648" i="357" s="1"/>
  <c r="E651" i="357"/>
  <c r="G651" i="357" s="1"/>
  <c r="I651" i="357" s="1"/>
  <c r="E654" i="357"/>
  <c r="E660" i="357"/>
  <c r="G660" i="357" s="1"/>
  <c r="E666" i="357"/>
  <c r="E689" i="357"/>
  <c r="G689" i="357" s="1"/>
  <c r="E695" i="357"/>
  <c r="G695" i="357" s="1"/>
  <c r="E698" i="357"/>
  <c r="E701" i="357"/>
  <c r="E704" i="357"/>
  <c r="E722" i="357"/>
  <c r="G722" i="357" s="1"/>
  <c r="E725" i="357"/>
  <c r="E728" i="357"/>
  <c r="G728" i="357" s="1"/>
  <c r="E731" i="357"/>
  <c r="E734" i="357"/>
  <c r="E737" i="357"/>
  <c r="E740" i="357"/>
  <c r="E743" i="357"/>
  <c r="E746" i="357"/>
  <c r="E762" i="357"/>
  <c r="E765" i="357"/>
  <c r="E768" i="357"/>
  <c r="E771" i="357"/>
  <c r="E774" i="357"/>
  <c r="E777" i="357"/>
  <c r="E780" i="357"/>
  <c r="E798" i="357"/>
  <c r="E801" i="357"/>
  <c r="G801" i="357" s="1"/>
  <c r="E804" i="357"/>
  <c r="G804" i="357" s="1"/>
  <c r="E807" i="357"/>
  <c r="E812" i="357"/>
  <c r="E815" i="357"/>
  <c r="E818" i="357"/>
  <c r="G818" i="357" s="1"/>
  <c r="E821" i="357"/>
  <c r="E829" i="357"/>
  <c r="E834" i="357"/>
  <c r="E837" i="357"/>
  <c r="G837" i="357" s="1"/>
  <c r="E840" i="357"/>
  <c r="G840" i="357" s="1"/>
  <c r="E843" i="357"/>
  <c r="G843" i="357" s="1"/>
  <c r="E846" i="357"/>
  <c r="E849" i="357"/>
  <c r="E852" i="357"/>
  <c r="E855" i="357"/>
  <c r="E858" i="357"/>
  <c r="E877" i="357"/>
  <c r="G877" i="357" s="1"/>
  <c r="E880" i="357"/>
  <c r="E883" i="357"/>
  <c r="E886" i="357"/>
  <c r="G886" i="357" s="1"/>
  <c r="E889" i="357"/>
  <c r="E892" i="357"/>
  <c r="E895" i="357"/>
  <c r="E908" i="357"/>
  <c r="E930" i="357"/>
  <c r="E935" i="357"/>
  <c r="G935" i="357" s="1"/>
  <c r="E945" i="357"/>
  <c r="E955" i="357"/>
  <c r="G955" i="357" s="1"/>
  <c r="E958" i="357"/>
  <c r="E961" i="357"/>
  <c r="E964" i="357"/>
  <c r="E967" i="357"/>
  <c r="E975" i="357"/>
  <c r="E978" i="357"/>
  <c r="E981" i="357"/>
  <c r="G981" i="357" s="1"/>
  <c r="E984" i="357"/>
  <c r="E987" i="357"/>
  <c r="G987" i="357" s="1"/>
  <c r="E990" i="357"/>
  <c r="E995" i="357"/>
  <c r="G995" i="357" s="1"/>
  <c r="E998" i="357"/>
  <c r="E1001" i="357"/>
  <c r="E1004" i="357"/>
  <c r="E1007" i="357"/>
  <c r="G1007" i="357" s="1"/>
  <c r="E1010" i="357"/>
  <c r="G1010" i="357" s="1"/>
  <c r="E1018" i="357"/>
  <c r="E1021" i="357"/>
  <c r="G1021" i="357" s="1"/>
  <c r="E1024" i="357"/>
  <c r="E1027" i="357"/>
  <c r="E1030" i="357"/>
  <c r="G1030" i="357" s="1"/>
  <c r="E1038" i="357"/>
  <c r="E1041" i="357"/>
  <c r="E1046" i="357"/>
  <c r="E1051" i="357"/>
  <c r="G1051" i="357" s="1"/>
  <c r="E1054" i="357"/>
  <c r="G1054" i="357" s="1"/>
  <c r="E1057" i="357"/>
  <c r="E1060" i="357"/>
  <c r="E1063" i="357"/>
  <c r="E1066" i="357"/>
  <c r="E1074" i="357"/>
  <c r="E1077" i="357"/>
  <c r="E1080" i="357"/>
  <c r="E1083" i="357"/>
  <c r="G1083" i="357" s="1"/>
  <c r="E1086" i="357"/>
  <c r="E1094" i="357"/>
  <c r="G1094" i="357" s="1"/>
  <c r="E1097" i="357"/>
  <c r="E1102" i="357"/>
  <c r="E1105" i="357"/>
  <c r="G1105" i="357" s="1"/>
  <c r="E1108" i="357"/>
  <c r="E1111" i="357"/>
  <c r="G1111" i="357" s="1"/>
  <c r="E1114" i="357"/>
  <c r="E1117" i="357"/>
  <c r="G1117" i="357" s="1"/>
  <c r="E1125" i="357"/>
  <c r="G1125" i="357" s="1"/>
  <c r="E1130" i="357"/>
  <c r="E1138" i="357"/>
  <c r="E1141" i="357"/>
  <c r="E1144" i="357"/>
  <c r="E1147" i="357"/>
  <c r="G1147" i="357" s="1"/>
  <c r="E1150" i="357"/>
  <c r="E1153" i="357"/>
  <c r="G1153" i="357" s="1"/>
  <c r="E1158" i="357"/>
  <c r="G1158" i="357" s="1"/>
  <c r="E1161" i="357"/>
  <c r="G1161" i="357" s="1"/>
  <c r="E1164" i="357"/>
  <c r="E1167" i="357"/>
  <c r="E1170" i="357"/>
  <c r="E1173" i="357"/>
  <c r="E1178" i="357"/>
  <c r="E1182" i="357"/>
  <c r="G1182" i="357" s="1"/>
  <c r="E1185" i="357"/>
  <c r="E1190" i="357"/>
  <c r="G1190" i="357" s="1"/>
  <c r="E1195" i="357"/>
  <c r="E1198" i="357"/>
  <c r="G1198" i="357" s="1"/>
  <c r="E1201" i="357"/>
  <c r="E1204" i="357"/>
  <c r="E1207" i="357"/>
  <c r="E1210" i="357"/>
  <c r="G1210" i="357" s="1"/>
  <c r="E1220" i="357"/>
  <c r="G1220" i="357" s="1"/>
  <c r="E1223" i="357"/>
  <c r="E1229" i="357"/>
  <c r="G1229" i="357" s="1"/>
  <c r="E1244" i="357"/>
  <c r="E1247" i="357"/>
  <c r="G1247" i="357" s="1"/>
  <c r="E1250" i="357"/>
  <c r="E1261" i="357"/>
  <c r="G1261" i="357" s="1"/>
  <c r="E1264" i="357"/>
  <c r="G1264" i="357" s="1"/>
  <c r="E1267" i="357"/>
  <c r="G1267" i="357" s="1"/>
  <c r="E1270" i="357"/>
  <c r="E1278" i="357"/>
  <c r="G1278" i="357" s="1"/>
  <c r="E1281" i="357"/>
  <c r="E1284" i="357"/>
  <c r="G1284" i="357" s="1"/>
  <c r="E1287" i="357"/>
  <c r="E1290" i="357"/>
  <c r="E1293" i="357"/>
  <c r="E1297" i="357"/>
  <c r="G1297" i="357" s="1"/>
  <c r="E1308" i="357"/>
  <c r="G1308" i="357" s="1"/>
  <c r="E1314" i="357"/>
  <c r="G1314" i="357" s="1"/>
  <c r="E1317" i="357"/>
  <c r="G1317" i="357" s="1"/>
  <c r="E1320" i="357"/>
  <c r="E1323" i="357"/>
  <c r="G1323" i="357" s="1"/>
  <c r="E1326" i="357"/>
  <c r="G1326" i="357" s="1"/>
  <c r="E1335" i="357"/>
  <c r="E1340" i="357"/>
  <c r="G1340" i="357" s="1"/>
  <c r="E1343" i="357"/>
  <c r="E1351" i="357"/>
  <c r="G1351" i="357" s="1"/>
  <c r="E1365" i="357"/>
  <c r="E1368" i="357"/>
  <c r="G1368" i="357" s="1"/>
  <c r="E1371" i="357"/>
  <c r="G1371" i="357" s="1"/>
  <c r="E1374" i="357"/>
  <c r="E1380" i="357"/>
  <c r="G1380" i="357" s="1"/>
  <c r="E1388" i="357"/>
  <c r="E1393" i="357"/>
  <c r="E1396" i="357"/>
  <c r="G1396" i="357" s="1"/>
  <c r="E1399" i="357"/>
  <c r="E1402" i="357"/>
  <c r="G1402" i="357" s="1"/>
  <c r="E1410" i="357"/>
  <c r="E1414" i="357"/>
  <c r="E1423" i="357"/>
  <c r="E1426" i="357"/>
  <c r="G1426" i="357" s="1"/>
  <c r="E1434" i="357"/>
  <c r="E1437" i="357"/>
  <c r="E1440" i="357"/>
  <c r="G1440" i="357" s="1"/>
  <c r="E1443" i="357"/>
  <c r="E1461" i="357"/>
  <c r="G1461" i="357" s="1"/>
  <c r="E1471" i="357"/>
  <c r="G1471" i="357" s="1"/>
  <c r="E1482" i="357"/>
  <c r="G1482" i="357" s="1"/>
  <c r="E1487" i="357"/>
  <c r="G1487" i="357" s="1"/>
  <c r="E1490" i="357"/>
  <c r="E1495" i="357"/>
  <c r="G1495" i="357" s="1"/>
  <c r="E1502" i="357"/>
  <c r="E1507" i="357"/>
  <c r="E1510" i="357"/>
  <c r="G1510" i="357" s="1"/>
  <c r="F3452" i="357"/>
  <c r="F2353" i="357"/>
  <c r="F2431" i="357"/>
  <c r="F2369" i="357"/>
  <c r="F2363" i="357"/>
  <c r="F2426" i="357"/>
  <c r="F2472" i="357"/>
  <c r="F2458" i="357"/>
  <c r="F2477" i="357"/>
  <c r="F2453" i="357"/>
  <c r="F3141" i="357"/>
  <c r="H3141" i="357" s="1"/>
  <c r="F3123" i="357"/>
  <c r="H3123" i="357" s="1"/>
  <c r="J3460" i="357"/>
  <c r="J3479" i="357"/>
  <c r="J3486" i="357"/>
  <c r="J3492" i="357"/>
  <c r="J3498" i="357"/>
  <c r="F10" i="357"/>
  <c r="H10" i="357" s="1"/>
  <c r="F13" i="357"/>
  <c r="F16" i="357"/>
  <c r="F19" i="357"/>
  <c r="H19" i="357" s="1"/>
  <c r="F24" i="357"/>
  <c r="H24" i="357" s="1"/>
  <c r="F32" i="357"/>
  <c r="F38" i="357"/>
  <c r="H38" i="357" s="1"/>
  <c r="F41" i="357"/>
  <c r="F44" i="357"/>
  <c r="H44" i="357" s="1"/>
  <c r="F47" i="357"/>
  <c r="F50" i="357"/>
  <c r="H50" i="357" s="1"/>
  <c r="F53" i="357"/>
  <c r="F56" i="357"/>
  <c r="H56" i="357" s="1"/>
  <c r="F59" i="357"/>
  <c r="F62" i="357"/>
  <c r="F65" i="357"/>
  <c r="F68" i="357"/>
  <c r="H68" i="357" s="1"/>
  <c r="F73" i="357"/>
  <c r="F76" i="357"/>
  <c r="H76" i="357" s="1"/>
  <c r="F79" i="357"/>
  <c r="F82" i="357"/>
  <c r="H82" i="357" s="1"/>
  <c r="F85" i="357"/>
  <c r="F88" i="357"/>
  <c r="F94" i="357"/>
  <c r="F97" i="357"/>
  <c r="H97" i="357" s="1"/>
  <c r="F106" i="357"/>
  <c r="H106" i="357" s="1"/>
  <c r="F109" i="357"/>
  <c r="F112" i="357"/>
  <c r="H112" i="357" s="1"/>
  <c r="F115" i="357"/>
  <c r="F124" i="357"/>
  <c r="F127" i="357"/>
  <c r="H127" i="357" s="1"/>
  <c r="F130" i="357"/>
  <c r="F133" i="357"/>
  <c r="H133" i="357" s="1"/>
  <c r="F3447" i="357"/>
  <c r="H3447" i="357" s="1"/>
  <c r="E1543" i="357"/>
  <c r="E1548" i="357"/>
  <c r="G1548" i="357" s="1"/>
  <c r="E1558" i="357"/>
  <c r="G1558" i="357" s="1"/>
  <c r="E1561" i="357"/>
  <c r="E1571" i="357"/>
  <c r="E1574" i="357"/>
  <c r="G1574" i="357" s="1"/>
  <c r="E1577" i="357"/>
  <c r="E1580" i="357"/>
  <c r="G1580" i="357" s="1"/>
  <c r="E1583" i="357"/>
  <c r="G1583" i="357" s="1"/>
  <c r="E1586" i="357"/>
  <c r="E1589" i="357"/>
  <c r="G1589" i="357" s="1"/>
  <c r="E1592" i="357"/>
  <c r="E1595" i="357"/>
  <c r="E1598" i="357"/>
  <c r="G1598" i="357" s="1"/>
  <c r="E1601" i="357"/>
  <c r="E1604" i="357"/>
  <c r="E1607" i="357"/>
  <c r="E1610" i="357"/>
  <c r="E1613" i="357"/>
  <c r="E1616" i="357"/>
  <c r="E1619" i="357"/>
  <c r="E1622" i="357"/>
  <c r="E1625" i="357"/>
  <c r="E1631" i="357"/>
  <c r="G1631" i="357" s="1"/>
  <c r="E1634" i="357"/>
  <c r="G1634" i="357" s="1"/>
  <c r="E1637" i="357"/>
  <c r="G1637" i="357" s="1"/>
  <c r="E1640" i="357"/>
  <c r="G1640" i="357" s="1"/>
  <c r="E1643" i="357"/>
  <c r="E1646" i="357"/>
  <c r="E1649" i="357"/>
  <c r="E1652" i="357"/>
  <c r="G1652" i="357" s="1"/>
  <c r="E1655" i="357"/>
  <c r="E1658" i="357"/>
  <c r="E1661" i="357"/>
  <c r="G1661" i="357" s="1"/>
  <c r="E1664" i="357"/>
  <c r="E1667" i="357"/>
  <c r="G1667" i="357" s="1"/>
  <c r="E1670" i="357"/>
  <c r="G1670" i="357" s="1"/>
  <c r="E1673" i="357"/>
  <c r="G1673" i="357" s="1"/>
  <c r="E1676" i="357"/>
  <c r="E1679" i="357"/>
  <c r="G1679" i="357" s="1"/>
  <c r="E1682" i="357"/>
  <c r="E1685" i="357"/>
  <c r="E1688" i="357"/>
  <c r="E1691" i="357"/>
  <c r="G1691" i="357" s="1"/>
  <c r="E1694" i="357"/>
  <c r="G1694" i="357" s="1"/>
  <c r="E1697" i="357"/>
  <c r="G1697" i="357" s="1"/>
  <c r="E1702" i="357"/>
  <c r="E1705" i="357"/>
  <c r="G1705" i="357" s="1"/>
  <c r="E1708" i="357"/>
  <c r="E1711" i="357"/>
  <c r="G1711" i="357" s="1"/>
  <c r="E1714" i="357"/>
  <c r="E1717" i="357"/>
  <c r="G1717" i="357" s="1"/>
  <c r="E1720" i="357"/>
  <c r="E1723" i="357"/>
  <c r="E1726" i="357"/>
  <c r="G1726" i="357" s="1"/>
  <c r="E1729" i="357"/>
  <c r="E1734" i="357"/>
  <c r="G1734" i="357" s="1"/>
  <c r="E1737" i="357"/>
  <c r="E1740" i="357"/>
  <c r="E1743" i="357"/>
  <c r="G1743" i="357" s="1"/>
  <c r="E1746" i="357"/>
  <c r="G1746" i="357" s="1"/>
  <c r="E1749" i="357"/>
  <c r="G1749" i="357" s="1"/>
  <c r="E1752" i="357"/>
  <c r="G1752" i="357" s="1"/>
  <c r="E1755" i="357"/>
  <c r="G1755" i="357" s="1"/>
  <c r="E1758" i="357"/>
  <c r="E1761" i="357"/>
  <c r="E1766" i="357"/>
  <c r="G1766" i="357" s="1"/>
  <c r="E1769" i="357"/>
  <c r="G1769" i="357" s="1"/>
  <c r="E1772" i="357"/>
  <c r="E1775" i="357"/>
  <c r="G1775" i="357" s="1"/>
  <c r="E1778" i="357"/>
  <c r="E1781" i="357"/>
  <c r="E1784" i="357"/>
  <c r="G1784" i="357" s="1"/>
  <c r="E1787" i="357"/>
  <c r="G1787" i="357" s="1"/>
  <c r="E1790" i="357"/>
  <c r="E1793" i="357"/>
  <c r="G1793" i="357" s="1"/>
  <c r="E1828" i="357"/>
  <c r="E1831" i="357"/>
  <c r="E1834" i="357"/>
  <c r="E1837" i="357"/>
  <c r="E1840" i="357"/>
  <c r="E1843" i="357"/>
  <c r="E1846" i="357"/>
  <c r="E1849" i="357"/>
  <c r="E1852" i="357"/>
  <c r="E1799" i="357"/>
  <c r="G1799" i="357" s="1"/>
  <c r="E1802" i="357"/>
  <c r="G1802" i="357" s="1"/>
  <c r="E1805" i="357"/>
  <c r="E1808" i="357"/>
  <c r="G1808" i="357" s="1"/>
  <c r="E1811" i="357"/>
  <c r="G1811" i="357" s="1"/>
  <c r="E1814" i="357"/>
  <c r="G1814" i="357" s="1"/>
  <c r="E1817" i="357"/>
  <c r="E1820" i="357"/>
  <c r="G1820" i="357" s="1"/>
  <c r="E1823" i="357"/>
  <c r="E1859" i="357"/>
  <c r="E1866" i="357"/>
  <c r="G1866" i="357" s="1"/>
  <c r="E1874" i="357"/>
  <c r="E1877" i="357"/>
  <c r="E1880" i="357"/>
  <c r="E1883" i="357"/>
  <c r="G1883" i="357" s="1"/>
  <c r="E1886" i="357"/>
  <c r="G1886" i="357" s="1"/>
  <c r="E1891" i="357"/>
  <c r="G1891" i="357" s="1"/>
  <c r="E1894" i="357"/>
  <c r="E1897" i="357"/>
  <c r="G1897" i="357" s="1"/>
  <c r="E1900" i="357"/>
  <c r="E1903" i="357"/>
  <c r="E1908" i="357"/>
  <c r="G1908" i="357" s="1"/>
  <c r="E1918" i="357"/>
  <c r="E1923" i="357"/>
  <c r="G1923" i="357" s="1"/>
  <c r="E1926" i="357"/>
  <c r="G1926" i="357" s="1"/>
  <c r="E1929" i="357"/>
  <c r="E1935" i="357"/>
  <c r="E1952" i="357"/>
  <c r="G1952" i="357" s="1"/>
  <c r="E1972" i="357"/>
  <c r="G1972" i="357" s="1"/>
  <c r="E1978" i="357"/>
  <c r="E1990" i="357"/>
  <c r="G1990" i="357" s="1"/>
  <c r="E2006" i="357"/>
  <c r="E2014" i="357"/>
  <c r="G2014" i="357" s="1"/>
  <c r="E2022" i="357"/>
  <c r="G2022" i="357" s="1"/>
  <c r="E2025" i="357"/>
  <c r="G2025" i="357" s="1"/>
  <c r="E2028" i="357"/>
  <c r="E2031" i="357"/>
  <c r="G2031" i="357" s="1"/>
  <c r="E2034" i="357"/>
  <c r="G2034" i="357" s="1"/>
  <c r="E2037" i="357"/>
  <c r="E2040" i="357"/>
  <c r="G2040" i="357" s="1"/>
  <c r="E2043" i="357"/>
  <c r="G2043" i="357" s="1"/>
  <c r="E2046" i="357"/>
  <c r="G2046" i="357" s="1"/>
  <c r="E2049" i="357"/>
  <c r="E2052" i="357"/>
  <c r="G2052" i="357" s="1"/>
  <c r="E2055" i="357"/>
  <c r="E2058" i="357"/>
  <c r="E2061" i="357"/>
  <c r="G2061" i="357" s="1"/>
  <c r="E2070" i="357"/>
  <c r="G2070" i="357" s="1"/>
  <c r="E2075" i="357"/>
  <c r="G2075" i="357" s="1"/>
  <c r="E2078" i="357"/>
  <c r="G2078" i="357" s="1"/>
  <c r="E2086" i="357"/>
  <c r="G2086" i="357" s="1"/>
  <c r="E2091" i="357"/>
  <c r="G2091" i="357" s="1"/>
  <c r="E2099" i="357"/>
  <c r="E2102" i="357"/>
  <c r="G2102" i="357" s="1"/>
  <c r="E2110" i="357"/>
  <c r="G2110" i="357" s="1"/>
  <c r="E2113" i="357"/>
  <c r="G2113" i="357" s="1"/>
  <c r="E2116" i="357"/>
  <c r="E2125" i="357"/>
  <c r="G2125" i="357" s="1"/>
  <c r="E2128" i="357"/>
  <c r="G2128" i="357" s="1"/>
  <c r="E2138" i="357"/>
  <c r="E2145" i="357"/>
  <c r="E2148" i="357"/>
  <c r="E2151" i="357"/>
  <c r="G2151" i="357" s="1"/>
  <c r="E2154" i="357"/>
  <c r="E2167" i="357"/>
  <c r="E2178" i="357"/>
  <c r="E2181" i="357"/>
  <c r="E2184" i="357"/>
  <c r="E2187" i="357"/>
  <c r="E2190" i="357"/>
  <c r="G2190" i="357" s="1"/>
  <c r="E2193" i="357"/>
  <c r="G2193" i="357" s="1"/>
  <c r="E2196" i="357"/>
  <c r="E2199" i="357"/>
  <c r="G2199" i="357" s="1"/>
  <c r="E2202" i="357"/>
  <c r="E2205" i="357"/>
  <c r="E2215" i="357"/>
  <c r="E2224" i="357"/>
  <c r="E2227" i="357"/>
  <c r="E2230" i="357"/>
  <c r="E2233" i="357"/>
  <c r="G2233" i="357" s="1"/>
  <c r="E2236" i="357"/>
  <c r="G2236" i="357" s="1"/>
  <c r="E2239" i="357"/>
  <c r="G2239" i="357" s="1"/>
  <c r="E2242" i="357"/>
  <c r="G2242" i="357" s="1"/>
  <c r="E2245" i="357"/>
  <c r="E2248" i="357"/>
  <c r="G2248" i="357" s="1"/>
  <c r="E2251" i="357"/>
  <c r="G2251" i="357" s="1"/>
  <c r="E2259" i="357"/>
  <c r="G2259" i="357" s="1"/>
  <c r="E2262" i="357"/>
  <c r="E2267" i="357"/>
  <c r="E2276" i="357"/>
  <c r="G2276" i="357" s="1"/>
  <c r="E2279" i="357"/>
  <c r="E2282" i="357"/>
  <c r="E2285" i="357"/>
  <c r="G2285" i="357" s="1"/>
  <c r="E2288" i="357"/>
  <c r="G2288" i="357" s="1"/>
  <c r="E2291" i="357"/>
  <c r="G2291" i="357" s="1"/>
  <c r="E2294" i="357"/>
  <c r="E2297" i="357"/>
  <c r="E2300" i="357"/>
  <c r="G2300" i="357" s="1"/>
  <c r="E2306" i="357"/>
  <c r="E2309" i="357"/>
  <c r="G2309" i="357" s="1"/>
  <c r="E2312" i="357"/>
  <c r="E2315" i="357"/>
  <c r="G2315" i="357" s="1"/>
  <c r="E2318" i="357"/>
  <c r="E2549" i="357"/>
  <c r="E2557" i="357"/>
  <c r="G2557" i="357" s="1"/>
  <c r="E2565" i="357"/>
  <c r="G2565" i="357" s="1"/>
  <c r="E2570" i="357"/>
  <c r="G2570" i="357" s="1"/>
  <c r="E2573" i="357"/>
  <c r="G2573" i="357" s="1"/>
  <c r="E2578" i="357"/>
  <c r="G2578" i="357" s="1"/>
  <c r="E2581" i="357"/>
  <c r="G2581" i="357" s="1"/>
  <c r="E2586" i="357"/>
  <c r="G2586" i="357" s="1"/>
  <c r="E2589" i="357"/>
  <c r="G2589" i="357" s="1"/>
  <c r="E2594" i="357"/>
  <c r="G2594" i="357" s="1"/>
  <c r="E2599" i="357"/>
  <c r="G2599" i="357" s="1"/>
  <c r="E2608" i="357"/>
  <c r="G2608" i="357" s="1"/>
  <c r="E2615" i="357"/>
  <c r="G2615" i="357" s="1"/>
  <c r="E2623" i="357"/>
  <c r="G2623" i="357" s="1"/>
  <c r="E2629" i="357"/>
  <c r="G2629" i="357" s="1"/>
  <c r="E2632" i="357"/>
  <c r="G2632" i="357" s="1"/>
  <c r="E2636" i="357"/>
  <c r="G2636" i="357" s="1"/>
  <c r="E2646" i="357"/>
  <c r="G2646" i="357" s="1"/>
  <c r="E2649" i="357"/>
  <c r="G2649" i="357" s="1"/>
  <c r="E2652" i="357"/>
  <c r="G2652" i="357" s="1"/>
  <c r="E2659" i="357"/>
  <c r="G2659" i="357" s="1"/>
  <c r="E2662" i="357"/>
  <c r="G2662" i="357" s="1"/>
  <c r="E2667" i="357"/>
  <c r="G2667" i="357" s="1"/>
  <c r="E2679" i="357"/>
  <c r="G2679" i="357" s="1"/>
  <c r="E2684" i="357"/>
  <c r="G2684" i="357" s="1"/>
  <c r="E2691" i="357"/>
  <c r="G2691" i="357" s="1"/>
  <c r="E2701" i="357"/>
  <c r="G2701" i="357" s="1"/>
  <c r="E2704" i="357"/>
  <c r="G2704" i="357" s="1"/>
  <c r="E2707" i="357"/>
  <c r="G2707" i="357" s="1"/>
  <c r="E2710" i="357"/>
  <c r="G2710" i="357" s="1"/>
  <c r="E2713" i="357"/>
  <c r="G2713" i="357" s="1"/>
  <c r="E2716" i="357"/>
  <c r="G2716" i="357" s="1"/>
  <c r="E2719" i="357"/>
  <c r="G2719" i="357" s="1"/>
  <c r="E2731" i="357"/>
  <c r="E2741" i="357"/>
  <c r="G2741" i="357" s="1"/>
  <c r="E2748" i="357"/>
  <c r="G2748" i="357" s="1"/>
  <c r="E2768" i="357"/>
  <c r="G2768" i="357" s="1"/>
  <c r="E2771" i="357"/>
  <c r="G2771" i="357" s="1"/>
  <c r="E2774" i="357"/>
  <c r="G2774" i="357" s="1"/>
  <c r="E2777" i="357"/>
  <c r="G2777" i="357" s="1"/>
  <c r="E2780" i="357"/>
  <c r="G2780" i="357" s="1"/>
  <c r="E2783" i="357"/>
  <c r="G2783" i="357" s="1"/>
  <c r="E2786" i="357"/>
  <c r="G2786" i="357" s="1"/>
  <c r="E2789" i="357"/>
  <c r="E2794" i="357"/>
  <c r="G2794" i="357" s="1"/>
  <c r="E2797" i="357"/>
  <c r="G2797" i="357" s="1"/>
  <c r="E2800" i="357"/>
  <c r="E2808" i="357"/>
  <c r="G2808" i="357" s="1"/>
  <c r="E2811" i="357"/>
  <c r="G2811" i="357" s="1"/>
  <c r="E2814" i="357"/>
  <c r="G2814" i="357" s="1"/>
  <c r="E2817" i="357"/>
  <c r="E2820" i="357"/>
  <c r="E2830" i="357"/>
  <c r="E2833" i="357"/>
  <c r="G2833" i="357" s="1"/>
  <c r="E2836" i="357"/>
  <c r="G2836" i="357" s="1"/>
  <c r="E2844" i="357"/>
  <c r="G2844" i="357" s="1"/>
  <c r="E2847" i="357"/>
  <c r="G2847" i="357" s="1"/>
  <c r="E2850" i="357"/>
  <c r="G2850" i="357" s="1"/>
  <c r="E2853" i="357"/>
  <c r="E2863" i="357"/>
  <c r="G2863" i="357" s="1"/>
  <c r="E2866" i="357"/>
  <c r="G2866" i="357" s="1"/>
  <c r="E2869" i="357"/>
  <c r="G2869" i="357" s="1"/>
  <c r="E2872" i="357"/>
  <c r="G2872" i="357" s="1"/>
  <c r="E2875" i="357"/>
  <c r="G2875" i="357" s="1"/>
  <c r="E2878" i="357"/>
  <c r="G2878" i="357" s="1"/>
  <c r="E2911" i="357"/>
  <c r="G2911" i="357" s="1"/>
  <c r="E2919" i="357"/>
  <c r="G2919" i="357" s="1"/>
  <c r="E2925" i="357"/>
  <c r="E2942" i="357"/>
  <c r="G2942" i="357" s="1"/>
  <c r="E2948" i="357"/>
  <c r="G2948" i="357" s="1"/>
  <c r="E2954" i="357"/>
  <c r="G2954" i="357" s="1"/>
  <c r="E2960" i="357"/>
  <c r="E2972" i="357"/>
  <c r="G2972" i="357" s="1"/>
  <c r="E2978" i="357"/>
  <c r="G2978" i="357" s="1"/>
  <c r="E2986" i="357"/>
  <c r="G2986" i="357" s="1"/>
  <c r="E2995" i="357"/>
  <c r="G2995" i="357" s="1"/>
  <c r="E3004" i="357"/>
  <c r="G3004" i="357" s="1"/>
  <c r="E3012" i="357"/>
  <c r="G3012" i="357" s="1"/>
  <c r="E3018" i="357"/>
  <c r="G3018" i="357" s="1"/>
  <c r="E3026" i="357"/>
  <c r="G3026" i="357" s="1"/>
  <c r="E3034" i="357"/>
  <c r="G3034" i="357" s="1"/>
  <c r="E3044" i="357"/>
  <c r="G3044" i="357" s="1"/>
  <c r="E3050" i="357"/>
  <c r="G3050" i="357" s="1"/>
  <c r="E3058" i="357"/>
  <c r="G3058" i="357" s="1"/>
  <c r="E3061" i="357"/>
  <c r="G3061" i="357" s="1"/>
  <c r="E3064" i="357"/>
  <c r="G3064" i="357" s="1"/>
  <c r="E3067" i="357"/>
  <c r="G3067" i="357" s="1"/>
  <c r="E3072" i="357"/>
  <c r="G3072" i="357" s="1"/>
  <c r="E3075" i="357"/>
  <c r="G3075" i="357" s="1"/>
  <c r="E3078" i="357"/>
  <c r="G3078" i="357" s="1"/>
  <c r="E3097" i="357"/>
  <c r="G3097" i="357" s="1"/>
  <c r="E3107" i="357"/>
  <c r="G3107" i="357" s="1"/>
  <c r="E3110" i="357"/>
  <c r="G3110" i="357" s="1"/>
  <c r="E3115" i="357"/>
  <c r="G3115" i="357" s="1"/>
  <c r="E3118" i="357"/>
  <c r="G3118" i="357" s="1"/>
  <c r="E3126" i="357"/>
  <c r="G3126" i="357" s="1"/>
  <c r="E3134" i="357"/>
  <c r="G3134" i="357" s="1"/>
  <c r="E3154" i="357"/>
  <c r="G3154" i="357" s="1"/>
  <c r="E3162" i="357"/>
  <c r="G3162" i="357" s="1"/>
  <c r="E3172" i="357"/>
  <c r="G3172" i="357" s="1"/>
  <c r="E3180" i="357"/>
  <c r="G3180" i="357" s="1"/>
  <c r="E3186" i="357"/>
  <c r="E3197" i="357"/>
  <c r="G3197" i="357" s="1"/>
  <c r="E3233" i="357"/>
  <c r="G3233" i="357" s="1"/>
  <c r="E3243" i="357"/>
  <c r="G3243" i="357" s="1"/>
  <c r="E315" i="357"/>
  <c r="G315" i="357" s="1"/>
  <c r="E318" i="357"/>
  <c r="E321" i="357"/>
  <c r="E324" i="357"/>
  <c r="E327" i="357"/>
  <c r="E332" i="357"/>
  <c r="E335" i="357"/>
  <c r="E338" i="357"/>
  <c r="E346" i="357"/>
  <c r="E349" i="357"/>
  <c r="E352" i="357"/>
  <c r="G352" i="357" s="1"/>
  <c r="E355" i="357"/>
  <c r="G355" i="357" s="1"/>
  <c r="E358" i="357"/>
  <c r="E361" i="357"/>
  <c r="G361" i="357" s="1"/>
  <c r="E364" i="357"/>
  <c r="E367" i="357"/>
  <c r="E370" i="357"/>
  <c r="E375" i="357"/>
  <c r="E378" i="357"/>
  <c r="E381" i="357"/>
  <c r="G381" i="357" s="1"/>
  <c r="E384" i="357"/>
  <c r="E387" i="357"/>
  <c r="E390" i="357"/>
  <c r="E393" i="357"/>
  <c r="G393" i="357" s="1"/>
  <c r="E396" i="357"/>
  <c r="E399" i="357"/>
  <c r="G399" i="357" s="1"/>
  <c r="E402" i="357"/>
  <c r="E407" i="357"/>
  <c r="E410" i="357"/>
  <c r="G410" i="357" s="1"/>
  <c r="E413" i="357"/>
  <c r="G413" i="357" s="1"/>
  <c r="E416" i="357"/>
  <c r="E419" i="357"/>
  <c r="G419" i="357" s="1"/>
  <c r="E422" i="357"/>
  <c r="E425" i="357"/>
  <c r="E428" i="357"/>
  <c r="E431" i="357"/>
  <c r="E437" i="357"/>
  <c r="E440" i="357"/>
  <c r="E443" i="357"/>
  <c r="E446" i="357"/>
  <c r="E449" i="357"/>
  <c r="E452" i="357"/>
  <c r="E455" i="357"/>
  <c r="E458" i="357"/>
  <c r="E461" i="357"/>
  <c r="E464" i="357"/>
  <c r="E467" i="357"/>
  <c r="E470" i="357"/>
  <c r="G470" i="357" s="1"/>
  <c r="E473" i="357"/>
  <c r="E476" i="357"/>
  <c r="E479" i="357"/>
  <c r="E482" i="357"/>
  <c r="E487" i="357"/>
  <c r="E490" i="357"/>
  <c r="E493" i="357"/>
  <c r="E496" i="357"/>
  <c r="E499" i="357"/>
  <c r="E502" i="357"/>
  <c r="G502" i="357" s="1"/>
  <c r="E505" i="357"/>
  <c r="E508" i="357"/>
  <c r="G508" i="357" s="1"/>
  <c r="E511" i="357"/>
  <c r="E516" i="357"/>
  <c r="E519" i="357"/>
  <c r="E522" i="357"/>
  <c r="E525" i="357"/>
  <c r="E528" i="357"/>
  <c r="E531" i="357"/>
  <c r="E534" i="357"/>
  <c r="E537" i="357"/>
  <c r="E540" i="357"/>
  <c r="E543" i="357"/>
  <c r="E546" i="357"/>
  <c r="G546" i="357" s="1"/>
  <c r="E549" i="357"/>
  <c r="E552" i="357"/>
  <c r="E555" i="357"/>
  <c r="G555" i="357" s="1"/>
  <c r="E558" i="357"/>
  <c r="G558" i="357" s="1"/>
  <c r="E561" i="357"/>
  <c r="E564" i="357"/>
  <c r="E567" i="357"/>
  <c r="E569" i="357"/>
  <c r="E572" i="357"/>
  <c r="E575" i="357"/>
  <c r="G575" i="357" s="1"/>
  <c r="I575" i="357" s="1"/>
  <c r="E580" i="357"/>
  <c r="E583" i="357"/>
  <c r="G583" i="357" s="1"/>
  <c r="E586" i="357"/>
  <c r="E589" i="357"/>
  <c r="E594" i="357"/>
  <c r="E597" i="357"/>
  <c r="E600" i="357"/>
  <c r="E606" i="357"/>
  <c r="E623" i="357"/>
  <c r="G623" i="357" s="1"/>
  <c r="E629" i="357"/>
  <c r="E635" i="357"/>
  <c r="E638" i="357"/>
  <c r="G638" i="357" s="1"/>
  <c r="E646" i="357"/>
  <c r="E649" i="357"/>
  <c r="G649" i="357" s="1"/>
  <c r="I649" i="357" s="1"/>
  <c r="E652" i="357"/>
  <c r="G652" i="357" s="1"/>
  <c r="E658" i="357"/>
  <c r="E664" i="357"/>
  <c r="E670" i="357"/>
  <c r="E687" i="357"/>
  <c r="E693" i="357"/>
  <c r="E696" i="357"/>
  <c r="E699" i="357"/>
  <c r="E702" i="357"/>
  <c r="E705" i="357"/>
  <c r="E720" i="357"/>
  <c r="E723" i="357"/>
  <c r="E726" i="357"/>
  <c r="G726" i="357" s="1"/>
  <c r="E729" i="357"/>
  <c r="G729" i="357" s="1"/>
  <c r="E732" i="357"/>
  <c r="E735" i="357"/>
  <c r="E738" i="357"/>
  <c r="E741" i="357"/>
  <c r="E744" i="357"/>
  <c r="E763" i="357"/>
  <c r="G763" i="357" s="1"/>
  <c r="E766" i="357"/>
  <c r="E769" i="357"/>
  <c r="G769" i="357" s="1"/>
  <c r="E772" i="357"/>
  <c r="G772" i="357" s="1"/>
  <c r="E775" i="357"/>
  <c r="E778" i="357"/>
  <c r="E781" i="357"/>
  <c r="E799" i="357"/>
  <c r="E802" i="357"/>
  <c r="E805" i="357"/>
  <c r="E813" i="357"/>
  <c r="G813" i="357" s="1"/>
  <c r="E816" i="357"/>
  <c r="E819" i="357"/>
  <c r="E822" i="357"/>
  <c r="E827" i="357"/>
  <c r="G827" i="357" s="1"/>
  <c r="E835" i="357"/>
  <c r="G835" i="357" s="1"/>
  <c r="E838" i="357"/>
  <c r="E841" i="357"/>
  <c r="E844" i="357"/>
  <c r="E847" i="357"/>
  <c r="E850" i="357"/>
  <c r="E853" i="357"/>
  <c r="E856" i="357"/>
  <c r="E859" i="357"/>
  <c r="E878" i="357"/>
  <c r="E881" i="357"/>
  <c r="E884" i="357"/>
  <c r="E887" i="357"/>
  <c r="E890" i="357"/>
  <c r="E893" i="357"/>
  <c r="E896" i="357"/>
  <c r="E909" i="357"/>
  <c r="E915" i="357"/>
  <c r="E921" i="357"/>
  <c r="E926" i="357"/>
  <c r="G926" i="357" s="1"/>
  <c r="E936" i="357"/>
  <c r="E941" i="357"/>
  <c r="G941" i="357" s="1"/>
  <c r="E950" i="357"/>
  <c r="G950" i="357" s="1"/>
  <c r="E953" i="357"/>
  <c r="E956" i="357"/>
  <c r="E959" i="357"/>
  <c r="E962" i="357"/>
  <c r="E965" i="357"/>
  <c r="G965" i="357" s="1"/>
  <c r="E968" i="357"/>
  <c r="G968" i="357" s="1"/>
  <c r="E976" i="357"/>
  <c r="G976" i="357" s="1"/>
  <c r="E979" i="357"/>
  <c r="G979" i="357" s="1"/>
  <c r="E982" i="357"/>
  <c r="E985" i="357"/>
  <c r="E988" i="357"/>
  <c r="E996" i="357"/>
  <c r="G996" i="357" s="1"/>
  <c r="E999" i="357"/>
  <c r="E1002" i="357"/>
  <c r="G1002" i="357" s="1"/>
  <c r="E1005" i="357"/>
  <c r="G1005" i="357" s="1"/>
  <c r="E1008" i="357"/>
  <c r="E1011" i="357"/>
  <c r="G1011" i="357" s="1"/>
  <c r="E1016" i="357"/>
  <c r="E1019" i="357"/>
  <c r="E1022" i="357"/>
  <c r="G1022" i="357" s="1"/>
  <c r="E1025" i="357"/>
  <c r="E1028" i="357"/>
  <c r="G1028" i="357" s="1"/>
  <c r="E1031" i="357"/>
  <c r="G1031" i="357" s="1"/>
  <c r="E1039" i="357"/>
  <c r="E1052" i="357"/>
  <c r="G1052" i="357" s="1"/>
  <c r="E1055" i="357"/>
  <c r="G1055" i="357" s="1"/>
  <c r="E1058" i="357"/>
  <c r="E1061" i="357"/>
  <c r="G1061" i="357" s="1"/>
  <c r="E1064" i="357"/>
  <c r="E1067" i="357"/>
  <c r="G1067" i="357" s="1"/>
  <c r="E1072" i="357"/>
  <c r="E1075" i="357"/>
  <c r="G1075" i="357" s="1"/>
  <c r="E1078" i="357"/>
  <c r="E1081" i="357"/>
  <c r="G1081" i="357" s="1"/>
  <c r="E1084" i="357"/>
  <c r="E1087" i="357"/>
  <c r="E1095" i="357"/>
  <c r="G1095" i="357" s="1"/>
  <c r="E1103" i="357"/>
  <c r="G1103" i="357" s="1"/>
  <c r="E1106" i="357"/>
  <c r="G1106" i="357" s="1"/>
  <c r="E1109" i="357"/>
  <c r="E1112" i="357"/>
  <c r="E1115" i="357"/>
  <c r="G1115" i="357" s="1"/>
  <c r="E1118" i="357"/>
  <c r="G1118" i="357" s="1"/>
  <c r="E1123" i="357"/>
  <c r="E1131" i="357"/>
  <c r="G1131" i="357" s="1"/>
  <c r="E1139" i="357"/>
  <c r="E1142" i="357"/>
  <c r="G1142" i="357" s="1"/>
  <c r="E1145" i="357"/>
  <c r="G1145" i="357" s="1"/>
  <c r="E1148" i="357"/>
  <c r="G1148" i="357" s="1"/>
  <c r="E1151" i="357"/>
  <c r="E1159" i="357"/>
  <c r="G1159" i="357" s="1"/>
  <c r="E1162" i="357"/>
  <c r="G1162" i="357" s="1"/>
  <c r="E1165" i="357"/>
  <c r="G1165" i="357" s="1"/>
  <c r="E1168" i="357"/>
  <c r="E1171" i="357"/>
  <c r="E1174" i="357"/>
  <c r="G1174" i="357" s="1"/>
  <c r="I1174" i="357" s="1"/>
  <c r="E1179" i="357"/>
  <c r="E1183" i="357"/>
  <c r="G1183" i="357" s="1"/>
  <c r="E1191" i="357"/>
  <c r="E1196" i="357"/>
  <c r="E1199" i="357"/>
  <c r="E1202" i="357"/>
  <c r="G1202" i="357" s="1"/>
  <c r="E1205" i="357"/>
  <c r="E1208" i="357"/>
  <c r="G1208" i="357" s="1"/>
  <c r="E1211" i="357"/>
  <c r="G1211" i="357" s="1"/>
  <c r="E1218" i="357"/>
  <c r="E1221" i="357"/>
  <c r="G1221" i="357" s="1"/>
  <c r="E1225" i="357"/>
  <c r="G1225" i="357" s="1"/>
  <c r="E1230" i="357"/>
  <c r="E1235" i="357"/>
  <c r="E1240" i="357"/>
  <c r="G1240" i="357" s="1"/>
  <c r="I1240" i="357" s="1"/>
  <c r="E1245" i="357"/>
  <c r="E1248" i="357"/>
  <c r="E1252" i="357"/>
  <c r="G1252" i="357" s="1"/>
  <c r="E1259" i="357"/>
  <c r="E1262" i="357"/>
  <c r="G1262" i="357" s="1"/>
  <c r="E1265" i="357"/>
  <c r="E1268" i="357"/>
  <c r="G1268" i="357" s="1"/>
  <c r="E1271" i="357"/>
  <c r="G1271" i="357" s="1"/>
  <c r="E1276" i="357"/>
  <c r="G1276" i="357" s="1"/>
  <c r="E1279" i="357"/>
  <c r="G1279" i="357" s="1"/>
  <c r="E1282" i="357"/>
  <c r="G1282" i="357" s="1"/>
  <c r="E1285" i="357"/>
  <c r="E1288" i="357"/>
  <c r="G1288" i="357" s="1"/>
  <c r="E1291" i="357"/>
  <c r="G1291" i="357" s="1"/>
  <c r="E1295" i="357"/>
  <c r="E1298" i="357"/>
  <c r="G1298" i="357" s="1"/>
  <c r="E1304" i="357"/>
  <c r="E1315" i="357"/>
  <c r="E1318" i="357"/>
  <c r="G1318" i="357" s="1"/>
  <c r="E1321" i="357"/>
  <c r="G1321" i="357" s="1"/>
  <c r="E1324" i="357"/>
  <c r="G1324" i="357" s="1"/>
  <c r="E1327" i="357"/>
  <c r="G1327" i="357" s="1"/>
  <c r="E1341" i="357"/>
  <c r="G1341" i="357" s="1"/>
  <c r="E1344" i="357"/>
  <c r="F1346" i="357"/>
  <c r="E1352" i="357"/>
  <c r="F1354" i="357"/>
  <c r="E1366" i="357"/>
  <c r="E1369" i="357"/>
  <c r="G1369" i="357" s="1"/>
  <c r="E1372" i="357"/>
  <c r="G1372" i="357" s="1"/>
  <c r="E1375" i="357"/>
  <c r="E1381" i="357"/>
  <c r="E1386" i="357"/>
  <c r="E1389" i="357"/>
  <c r="G1389" i="357" s="1"/>
  <c r="E1394" i="357"/>
  <c r="G1394" i="357" s="1"/>
  <c r="E1397" i="357"/>
  <c r="E1400" i="357"/>
  <c r="G1400" i="357" s="1"/>
  <c r="E1403" i="357"/>
  <c r="E1408" i="357"/>
  <c r="E1411" i="357"/>
  <c r="E1427" i="357"/>
  <c r="G1427" i="357" s="1"/>
  <c r="E1432" i="357"/>
  <c r="G1432" i="357" s="1"/>
  <c r="E1435" i="357"/>
  <c r="E1438" i="357"/>
  <c r="E1441" i="357"/>
  <c r="G1441" i="357" s="1"/>
  <c r="E1444" i="357"/>
  <c r="G1444" i="357" s="1"/>
  <c r="E1454" i="357"/>
  <c r="E1459" i="357"/>
  <c r="G1459" i="357" s="1"/>
  <c r="E1462" i="357"/>
  <c r="E1467" i="357"/>
  <c r="E1472" i="357"/>
  <c r="E1477" i="357"/>
  <c r="G1477" i="357" s="1"/>
  <c r="E1488" i="357"/>
  <c r="G1488" i="357" s="1"/>
  <c r="E1496" i="357"/>
  <c r="E1499" i="357"/>
  <c r="E1508" i="357"/>
  <c r="G1508" i="357" s="1"/>
  <c r="E1478" i="357"/>
  <c r="E1525" i="357"/>
  <c r="E1535" i="357"/>
  <c r="E1540" i="357"/>
  <c r="E1556" i="357"/>
  <c r="E1559" i="357"/>
  <c r="E1565" i="357"/>
  <c r="G1565" i="357" s="1"/>
  <c r="E1572" i="357"/>
  <c r="E1575" i="357"/>
  <c r="G1575" i="357" s="1"/>
  <c r="E1578" i="357"/>
  <c r="E1581" i="357"/>
  <c r="G1581" i="357" s="1"/>
  <c r="E1584" i="357"/>
  <c r="G1584" i="357" s="1"/>
  <c r="E1587" i="357"/>
  <c r="G1587" i="357" s="1"/>
  <c r="E1590" i="357"/>
  <c r="E1593" i="357"/>
  <c r="G1593" i="357" s="1"/>
  <c r="E1596" i="357"/>
  <c r="E1599" i="357"/>
  <c r="G1599" i="357" s="1"/>
  <c r="E1602" i="357"/>
  <c r="E1605" i="357"/>
  <c r="E1608" i="357"/>
  <c r="E1611" i="357"/>
  <c r="E1614" i="357"/>
  <c r="E1617" i="357"/>
  <c r="E1620" i="357"/>
  <c r="E1623" i="357"/>
  <c r="E3467" i="357"/>
  <c r="G3467" i="357" s="1"/>
  <c r="I3467" i="357" s="1"/>
  <c r="F3465" i="357"/>
  <c r="H3465" i="357" s="1"/>
  <c r="F3478" i="357"/>
  <c r="H3478" i="357" s="1"/>
  <c r="E1626" i="357"/>
  <c r="E1629" i="357"/>
  <c r="E1632" i="357"/>
  <c r="G1632" i="357" s="1"/>
  <c r="E1635" i="357"/>
  <c r="G1635" i="357" s="1"/>
  <c r="E1638" i="357"/>
  <c r="G1638" i="357" s="1"/>
  <c r="E1641" i="357"/>
  <c r="G1641" i="357" s="1"/>
  <c r="E1644" i="357"/>
  <c r="E1647" i="357"/>
  <c r="G1647" i="357" s="1"/>
  <c r="E1650" i="357"/>
  <c r="E1653" i="357"/>
  <c r="E1656" i="357"/>
  <c r="E1659" i="357"/>
  <c r="E1662" i="357"/>
  <c r="E1665" i="357"/>
  <c r="G1665" i="357" s="1"/>
  <c r="E1668" i="357"/>
  <c r="G1668" i="357" s="1"/>
  <c r="E1671" i="357"/>
  <c r="E1674" i="357"/>
  <c r="E1677" i="357"/>
  <c r="E1680" i="357"/>
  <c r="G1680" i="357" s="1"/>
  <c r="E1683" i="357"/>
  <c r="E1686" i="357"/>
  <c r="E1689" i="357"/>
  <c r="E1692" i="357"/>
  <c r="G1692" i="357" s="1"/>
  <c r="E1695" i="357"/>
  <c r="G1695" i="357" s="1"/>
  <c r="E1703" i="357"/>
  <c r="E1706" i="357"/>
  <c r="E1709" i="357"/>
  <c r="G1709" i="357" s="1"/>
  <c r="E1712" i="357"/>
  <c r="G1712" i="357" s="1"/>
  <c r="E1715" i="357"/>
  <c r="E1718" i="357"/>
  <c r="G1718" i="357" s="1"/>
  <c r="E1721" i="357"/>
  <c r="G1721" i="357" s="1"/>
  <c r="E1724" i="357"/>
  <c r="E1727" i="357"/>
  <c r="G1727" i="357" s="1"/>
  <c r="E1735" i="357"/>
  <c r="G1735" i="357" s="1"/>
  <c r="E1738" i="357"/>
  <c r="G1738" i="357" s="1"/>
  <c r="E1741" i="357"/>
  <c r="E1744" i="357"/>
  <c r="G1744" i="357" s="1"/>
  <c r="E1747" i="357"/>
  <c r="G1747" i="357" s="1"/>
  <c r="E1750" i="357"/>
  <c r="G1750" i="357" s="1"/>
  <c r="E1753" i="357"/>
  <c r="G1753" i="357" s="1"/>
  <c r="E1756" i="357"/>
  <c r="E1759" i="357"/>
  <c r="E1767" i="357"/>
  <c r="E1770" i="357"/>
  <c r="E1773" i="357"/>
  <c r="G1773" i="357" s="1"/>
  <c r="E1776" i="357"/>
  <c r="G1776" i="357" s="1"/>
  <c r="E1779" i="357"/>
  <c r="G1779" i="357" s="1"/>
  <c r="E1782" i="357"/>
  <c r="G1782" i="357" s="1"/>
  <c r="E1785" i="357"/>
  <c r="E1788" i="357"/>
  <c r="E1791" i="357"/>
  <c r="E1829" i="357"/>
  <c r="E1832" i="357"/>
  <c r="E1835" i="357"/>
  <c r="E1838" i="357"/>
  <c r="E1841" i="357"/>
  <c r="E1844" i="357"/>
  <c r="E1847" i="357"/>
  <c r="E1850" i="357"/>
  <c r="E1853" i="357"/>
  <c r="E1797" i="357"/>
  <c r="G1797" i="357" s="1"/>
  <c r="E1800" i="357"/>
  <c r="E1803" i="357"/>
  <c r="G1803" i="357" s="1"/>
  <c r="E1806" i="357"/>
  <c r="E1809" i="357"/>
  <c r="G1809" i="357" s="1"/>
  <c r="E1812" i="357"/>
  <c r="G1812" i="357" s="1"/>
  <c r="E1815" i="357"/>
  <c r="G1815" i="357" s="1"/>
  <c r="E1818" i="357"/>
  <c r="E1821" i="357"/>
  <c r="E1824" i="357"/>
  <c r="G1824" i="357" s="1"/>
  <c r="E1860" i="357"/>
  <c r="E1867" i="357"/>
  <c r="E1875" i="357"/>
  <c r="E1878" i="357"/>
  <c r="G1878" i="357" s="1"/>
  <c r="E1881" i="357"/>
  <c r="E1884" i="357"/>
  <c r="G1884" i="357" s="1"/>
  <c r="E1892" i="357"/>
  <c r="G1892" i="357" s="1"/>
  <c r="E1895" i="357"/>
  <c r="G1895" i="357" s="1"/>
  <c r="E1898" i="357"/>
  <c r="E1901" i="357"/>
  <c r="E1904" i="357"/>
  <c r="G1904" i="357" s="1"/>
  <c r="E1909" i="357"/>
  <c r="G1909" i="357" s="1"/>
  <c r="E1914" i="357"/>
  <c r="G1914" i="357" s="1"/>
  <c r="E1924" i="357"/>
  <c r="G1924" i="357" s="1"/>
  <c r="E1927" i="357"/>
  <c r="G1927" i="357" s="1"/>
  <c r="E1930" i="357"/>
  <c r="E1943" i="357"/>
  <c r="G1943" i="357" s="1"/>
  <c r="E1948" i="357"/>
  <c r="G1948" i="357" s="1"/>
  <c r="E1958" i="357"/>
  <c r="G1958" i="357" s="1"/>
  <c r="E1986" i="357"/>
  <c r="E1991" i="357"/>
  <c r="G1991" i="357" s="1"/>
  <c r="E1996" i="357"/>
  <c r="E2002" i="357"/>
  <c r="E2007" i="357"/>
  <c r="E2012" i="357"/>
  <c r="G2012" i="357" s="1"/>
  <c r="E2015" i="357"/>
  <c r="E2020" i="357"/>
  <c r="G2020" i="357" s="1"/>
  <c r="E2023" i="357"/>
  <c r="G2023" i="357" s="1"/>
  <c r="E2026" i="357"/>
  <c r="E2029" i="357"/>
  <c r="E2032" i="357"/>
  <c r="G2032" i="357" s="1"/>
  <c r="E2035" i="357"/>
  <c r="E2038" i="357"/>
  <c r="G2038" i="357" s="1"/>
  <c r="E2041" i="357"/>
  <c r="G2041" i="357" s="1"/>
  <c r="E2044" i="357"/>
  <c r="E2047" i="357"/>
  <c r="G2047" i="357" s="1"/>
  <c r="E2050" i="357"/>
  <c r="G2050" i="357" s="1"/>
  <c r="E2053" i="357"/>
  <c r="E2056" i="357"/>
  <c r="G2056" i="357" s="1"/>
  <c r="E2059" i="357"/>
  <c r="G2059" i="357" s="1"/>
  <c r="E2063" i="357"/>
  <c r="G2063" i="357" s="1"/>
  <c r="E2068" i="357"/>
  <c r="G2068" i="357" s="1"/>
  <c r="E2076" i="357"/>
  <c r="E2079" i="357"/>
  <c r="E2084" i="357"/>
  <c r="G2084" i="357" s="1"/>
  <c r="E2092" i="357"/>
  <c r="E2100" i="357"/>
  <c r="E2108" i="357"/>
  <c r="G2108" i="357" s="1"/>
  <c r="E2111" i="357"/>
  <c r="E2114" i="357"/>
  <c r="G2114" i="357" s="1"/>
  <c r="E2117" i="357"/>
  <c r="E2126" i="357"/>
  <c r="G2126" i="357" s="1"/>
  <c r="E2134" i="357"/>
  <c r="E2141" i="357"/>
  <c r="G2141" i="357" s="1"/>
  <c r="E2146" i="357"/>
  <c r="E2149" i="357"/>
  <c r="E2152" i="357"/>
  <c r="G2152" i="357" s="1"/>
  <c r="E2160" i="357"/>
  <c r="E2176" i="357"/>
  <c r="E2179" i="357"/>
  <c r="E2182" i="357"/>
  <c r="G2182" i="357" s="1"/>
  <c r="E2185" i="357"/>
  <c r="G2185" i="357" s="1"/>
  <c r="E2188" i="357"/>
  <c r="E2191" i="357"/>
  <c r="G2191" i="357" s="1"/>
  <c r="E2194" i="357"/>
  <c r="G2194" i="357" s="1"/>
  <c r="E2197" i="357"/>
  <c r="G2197" i="357" s="1"/>
  <c r="E2200" i="357"/>
  <c r="G2200" i="357" s="1"/>
  <c r="E2203" i="357"/>
  <c r="E2206" i="357"/>
  <c r="E2216" i="357"/>
  <c r="E2222" i="357"/>
  <c r="E2225" i="357"/>
  <c r="E2228" i="357"/>
  <c r="G2228" i="357" s="1"/>
  <c r="E2231" i="357"/>
  <c r="G2231" i="357" s="1"/>
  <c r="E2234" i="357"/>
  <c r="G2234" i="357" s="1"/>
  <c r="E2237" i="357"/>
  <c r="G2237" i="357" s="1"/>
  <c r="E2240" i="357"/>
  <c r="G2240" i="357" s="1"/>
  <c r="E2243" i="357"/>
  <c r="E2246" i="357"/>
  <c r="E2249" i="357"/>
  <c r="G2249" i="357" s="1"/>
  <c r="E2252" i="357"/>
  <c r="E2257" i="357"/>
  <c r="E2260" i="357"/>
  <c r="G2260" i="357" s="1"/>
  <c r="E2265" i="357"/>
  <c r="E2268" i="357"/>
  <c r="G2268" i="357" s="1"/>
  <c r="E2274" i="357"/>
  <c r="G2274" i="357" s="1"/>
  <c r="E2277" i="357"/>
  <c r="E2280" i="357"/>
  <c r="G2280" i="357" s="1"/>
  <c r="E2283" i="357"/>
  <c r="G2283" i="357" s="1"/>
  <c r="E2286" i="357"/>
  <c r="E2289" i="357"/>
  <c r="G2289" i="357" s="1"/>
  <c r="E2292" i="357"/>
  <c r="E2295" i="357"/>
  <c r="E2298" i="357"/>
  <c r="G2298" i="357" s="1"/>
  <c r="E2301" i="357"/>
  <c r="E2307" i="357"/>
  <c r="E2310" i="357"/>
  <c r="G2310" i="357" s="1"/>
  <c r="E2313" i="357"/>
  <c r="E2316" i="357"/>
  <c r="E2322" i="357"/>
  <c r="E2325" i="357"/>
  <c r="E2547" i="357"/>
  <c r="E2550" i="357"/>
  <c r="E2555" i="357"/>
  <c r="G2555" i="357" s="1"/>
  <c r="E2558" i="357"/>
  <c r="G2558" i="357" s="1"/>
  <c r="E2563" i="357"/>
  <c r="G2563" i="357" s="1"/>
  <c r="E2566" i="357"/>
  <c r="G2566" i="357" s="1"/>
  <c r="E2571" i="357"/>
  <c r="G2571" i="357" s="1"/>
  <c r="E2574" i="357"/>
  <c r="G2574" i="357" s="1"/>
  <c r="E2579" i="357"/>
  <c r="G2579" i="357" s="1"/>
  <c r="E2582" i="357"/>
  <c r="G2582" i="357" s="1"/>
  <c r="E2587" i="357"/>
  <c r="G2587" i="357" s="1"/>
  <c r="E2590" i="357"/>
  <c r="G2590" i="357" s="1"/>
  <c r="E2597" i="357"/>
  <c r="E2600" i="357"/>
  <c r="G2600" i="357" s="1"/>
  <c r="E2606" i="357"/>
  <c r="G2606" i="357" s="1"/>
  <c r="E2612" i="357"/>
  <c r="G2612" i="357" s="1"/>
  <c r="E2621" i="357"/>
  <c r="G2621" i="357" s="1"/>
  <c r="E2627" i="357"/>
  <c r="G2627" i="357" s="1"/>
  <c r="E2630" i="357"/>
  <c r="G2630" i="357" s="1"/>
  <c r="E2633" i="357"/>
  <c r="G2633" i="357" s="1"/>
  <c r="E2642" i="357"/>
  <c r="G2642" i="357" s="1"/>
  <c r="E2647" i="357"/>
  <c r="G2647" i="357" s="1"/>
  <c r="E2650" i="357"/>
  <c r="G2650" i="357" s="1"/>
  <c r="E2660" i="357"/>
  <c r="G2660" i="357" s="1"/>
  <c r="E2663" i="357"/>
  <c r="G2663" i="357" s="1"/>
  <c r="E2668" i="357"/>
  <c r="E2673" i="357"/>
  <c r="G2673" i="357" s="1"/>
  <c r="E2692" i="357"/>
  <c r="G2692" i="357" s="1"/>
  <c r="E2702" i="357"/>
  <c r="G2702" i="357" s="1"/>
  <c r="E2705" i="357"/>
  <c r="G2705" i="357" s="1"/>
  <c r="E2708" i="357"/>
  <c r="G2708" i="357" s="1"/>
  <c r="E2711" i="357"/>
  <c r="G2711" i="357" s="1"/>
  <c r="E2714" i="357"/>
  <c r="G2714" i="357" s="1"/>
  <c r="E2717" i="357"/>
  <c r="G2717" i="357" s="1"/>
  <c r="E2739" i="357"/>
  <c r="G2739" i="357" s="1"/>
  <c r="E2746" i="357"/>
  <c r="G2746" i="357" s="1"/>
  <c r="E2749" i="357"/>
  <c r="G2749" i="357" s="1"/>
  <c r="E2754" i="357"/>
  <c r="G2754" i="357" s="1"/>
  <c r="E2769" i="357"/>
  <c r="G2769" i="357" s="1"/>
  <c r="E2772" i="357"/>
  <c r="G2772" i="357" s="1"/>
  <c r="E2775" i="357"/>
  <c r="G2775" i="357" s="1"/>
  <c r="E2778" i="357"/>
  <c r="G2778" i="357" s="1"/>
  <c r="E2781" i="357"/>
  <c r="G2781" i="357" s="1"/>
  <c r="E2784" i="357"/>
  <c r="G2784" i="357" s="1"/>
  <c r="E2787" i="357"/>
  <c r="G2787" i="357" s="1"/>
  <c r="E2792" i="357"/>
  <c r="G2792" i="357" s="1"/>
  <c r="E2795" i="357"/>
  <c r="G2795" i="357" s="1"/>
  <c r="E2798" i="357"/>
  <c r="E2801" i="357"/>
  <c r="E2809" i="357"/>
  <c r="G2809" i="357" s="1"/>
  <c r="E2815" i="357"/>
  <c r="E2818" i="357"/>
  <c r="E2821" i="357"/>
  <c r="E2831" i="357"/>
  <c r="E2834" i="357"/>
  <c r="G2834" i="357" s="1"/>
  <c r="E2837" i="357"/>
  <c r="G2837" i="357" s="1"/>
  <c r="E2842" i="357"/>
  <c r="G2842" i="357" s="1"/>
  <c r="E2845" i="357"/>
  <c r="G2845" i="357" s="1"/>
  <c r="E2848" i="357"/>
  <c r="G2848" i="357" s="1"/>
  <c r="E2851" i="357"/>
  <c r="G2851" i="357" s="1"/>
  <c r="E2864" i="357"/>
  <c r="G2864" i="357" s="1"/>
  <c r="E2867" i="357"/>
  <c r="G2867" i="357" s="1"/>
  <c r="E2870" i="357"/>
  <c r="G2870" i="357" s="1"/>
  <c r="E2873" i="357"/>
  <c r="G2873" i="357" s="1"/>
  <c r="E2876" i="357"/>
  <c r="G2876" i="357" s="1"/>
  <c r="E2879" i="357"/>
  <c r="G2879" i="357" s="1"/>
  <c r="E2909" i="357"/>
  <c r="G2909" i="357" s="1"/>
  <c r="E2923" i="357"/>
  <c r="G2923" i="357" s="1"/>
  <c r="E2929" i="357"/>
  <c r="E2940" i="357"/>
  <c r="G2940" i="357" s="1"/>
  <c r="E2946" i="357"/>
  <c r="G2946" i="357" s="1"/>
  <c r="E2952" i="357"/>
  <c r="G2952" i="357" s="1"/>
  <c r="E2958" i="357"/>
  <c r="G2958" i="357" s="1"/>
  <c r="E2976" i="357"/>
  <c r="G2976" i="357" s="1"/>
  <c r="E2982" i="357"/>
  <c r="E2993" i="357"/>
  <c r="G2993" i="357" s="1"/>
  <c r="E3002" i="357"/>
  <c r="G3002" i="357" s="1"/>
  <c r="E3010" i="357"/>
  <c r="G3010" i="357" s="1"/>
  <c r="E3016" i="357"/>
  <c r="G3016" i="357" s="1"/>
  <c r="E3024" i="357"/>
  <c r="G3024" i="357" s="1"/>
  <c r="E3032" i="357"/>
  <c r="G3032" i="357" s="1"/>
  <c r="E3040" i="357"/>
  <c r="G3040" i="357" s="1"/>
  <c r="E3048" i="357"/>
  <c r="G3048" i="357" s="1"/>
  <c r="E3054" i="357"/>
  <c r="G3054" i="357" s="1"/>
  <c r="E3059" i="357"/>
  <c r="G3059" i="357" s="1"/>
  <c r="E3062" i="357"/>
  <c r="G3062" i="357" s="1"/>
  <c r="E3065" i="357"/>
  <c r="G3065" i="357" s="1"/>
  <c r="E3068" i="357"/>
  <c r="G3068" i="357" s="1"/>
  <c r="E3073" i="357"/>
  <c r="G3073" i="357" s="1"/>
  <c r="E3076" i="357"/>
  <c r="G3076" i="357" s="1"/>
  <c r="E3098" i="357"/>
  <c r="G3098" i="357" s="1"/>
  <c r="E3103" i="357"/>
  <c r="G3103" i="357" s="1"/>
  <c r="E3108" i="357"/>
  <c r="G3108" i="357" s="1"/>
  <c r="E3116" i="357"/>
  <c r="G3116" i="357" s="1"/>
  <c r="E3119" i="357"/>
  <c r="G3119" i="357" s="1"/>
  <c r="E3124" i="357"/>
  <c r="G3124" i="357" s="1"/>
  <c r="E3127" i="357"/>
  <c r="G3127" i="357" s="1"/>
  <c r="E3142" i="357"/>
  <c r="G3142" i="357" s="1"/>
  <c r="E3152" i="357"/>
  <c r="G3152" i="357" s="1"/>
  <c r="E3158" i="357"/>
  <c r="G3158" i="357" s="1"/>
  <c r="E3184" i="357"/>
  <c r="G3184" i="357" s="1"/>
  <c r="E3190" i="357"/>
  <c r="F3212" i="357"/>
  <c r="H3212" i="357" s="1"/>
  <c r="F3224" i="357"/>
  <c r="H3224" i="357" s="1"/>
  <c r="F3236" i="357"/>
  <c r="H3236" i="357" s="1"/>
  <c r="F3349" i="357"/>
  <c r="H3349" i="357" s="1"/>
  <c r="F3371" i="357"/>
  <c r="H3371" i="357" s="1"/>
  <c r="F3374" i="357"/>
  <c r="H3374" i="357" s="1"/>
  <c r="F3377" i="357"/>
  <c r="H3377" i="357" s="1"/>
  <c r="F3380" i="357"/>
  <c r="H3380" i="357" s="1"/>
  <c r="F3383" i="357"/>
  <c r="H3383" i="357" s="1"/>
  <c r="F3391" i="357"/>
  <c r="H3391" i="357" s="1"/>
  <c r="F3396" i="357"/>
  <c r="H3396" i="357" s="1"/>
  <c r="F3399" i="357"/>
  <c r="H3399" i="357" s="1"/>
  <c r="E3433" i="357"/>
  <c r="G3433" i="357" s="1"/>
  <c r="E3453" i="357"/>
  <c r="G3453" i="357" s="1"/>
  <c r="E3469" i="357"/>
  <c r="G3469" i="357" s="1"/>
  <c r="F3474" i="357"/>
  <c r="H3474" i="357" s="1"/>
  <c r="E3495" i="357"/>
  <c r="G3495" i="357" s="1"/>
  <c r="F3507" i="357"/>
  <c r="H3507" i="357" s="1"/>
  <c r="E3441" i="357"/>
  <c r="G3441" i="357" s="1"/>
  <c r="E3459" i="357"/>
  <c r="G3459" i="357" s="1"/>
  <c r="F3463" i="357"/>
  <c r="F3483" i="357"/>
  <c r="H3483" i="357" s="1"/>
  <c r="F3473" i="357"/>
  <c r="H3473" i="357" s="1"/>
  <c r="F3484" i="357"/>
  <c r="H3484" i="357" s="1"/>
  <c r="F3505" i="357"/>
  <c r="H3505" i="357" s="1"/>
  <c r="F3357" i="357"/>
  <c r="H3357" i="357" s="1"/>
  <c r="F3367" i="357"/>
  <c r="H3367" i="357" s="1"/>
  <c r="F3372" i="357"/>
  <c r="H3372" i="357" s="1"/>
  <c r="F3375" i="357"/>
  <c r="H3375" i="357" s="1"/>
  <c r="F3378" i="357"/>
  <c r="H3378" i="357" s="1"/>
  <c r="F3381" i="357"/>
  <c r="H3381" i="357" s="1"/>
  <c r="F3384" i="357"/>
  <c r="H3384" i="357" s="1"/>
  <c r="F3389" i="357"/>
  <c r="H3389" i="357" s="1"/>
  <c r="F3392" i="357"/>
  <c r="H3392" i="357" s="1"/>
  <c r="F3397" i="357"/>
  <c r="H3397" i="357" s="1"/>
  <c r="F3400" i="357"/>
  <c r="H3400" i="357" s="1"/>
  <c r="F144" i="357"/>
  <c r="H144" i="357" s="1"/>
  <c r="F153" i="357"/>
  <c r="H153" i="357" s="1"/>
  <c r="F159" i="357"/>
  <c r="H159" i="357" s="1"/>
  <c r="F162" i="357"/>
  <c r="F165" i="357"/>
  <c r="F168" i="357"/>
  <c r="F171" i="357"/>
  <c r="H171" i="357" s="1"/>
  <c r="F174" i="357"/>
  <c r="H174" i="357" s="1"/>
  <c r="F177" i="357"/>
  <c r="H177" i="357" s="1"/>
  <c r="F180" i="357"/>
  <c r="H180" i="357" s="1"/>
  <c r="F183" i="357"/>
  <c r="H183" i="357" s="1"/>
  <c r="I183" i="357" s="1"/>
  <c r="F188" i="357"/>
  <c r="H188" i="357" s="1"/>
  <c r="F191" i="357"/>
  <c r="F194" i="357"/>
  <c r="H194" i="357" s="1"/>
  <c r="F197" i="357"/>
  <c r="H197" i="357" s="1"/>
  <c r="F200" i="357"/>
  <c r="H200" i="357" s="1"/>
  <c r="F203" i="357"/>
  <c r="F206" i="357"/>
  <c r="H206" i="357" s="1"/>
  <c r="J206" i="357" s="1"/>
  <c r="F209" i="357"/>
  <c r="F212" i="357"/>
  <c r="F215" i="357"/>
  <c r="H215" i="357" s="1"/>
  <c r="I215" i="357" s="1"/>
  <c r="F218" i="357"/>
  <c r="H218" i="357" s="1"/>
  <c r="F221" i="357"/>
  <c r="H221" i="357" s="1"/>
  <c r="F224" i="357"/>
  <c r="F227" i="357"/>
  <c r="H227" i="357" s="1"/>
  <c r="F230" i="357"/>
  <c r="H230" i="357" s="1"/>
  <c r="F235" i="357"/>
  <c r="H235" i="357" s="1"/>
  <c r="F238" i="357"/>
  <c r="H238" i="357" s="1"/>
  <c r="F241" i="357"/>
  <c r="H241" i="357" s="1"/>
  <c r="I241" i="357" s="1"/>
  <c r="F244" i="357"/>
  <c r="F247" i="357"/>
  <c r="F250" i="357"/>
  <c r="F253" i="357"/>
  <c r="F256" i="357"/>
  <c r="H256" i="357" s="1"/>
  <c r="F259" i="357"/>
  <c r="F262" i="357"/>
  <c r="H262" i="357" s="1"/>
  <c r="F265" i="357"/>
  <c r="H265" i="357" s="1"/>
  <c r="J265" i="357" s="1"/>
  <c r="F268" i="357"/>
  <c r="H268" i="357" s="1"/>
  <c r="F271" i="357"/>
  <c r="H271" i="357" s="1"/>
  <c r="F274" i="357"/>
  <c r="H274" i="357" s="1"/>
  <c r="F277" i="357"/>
  <c r="H277" i="357" s="1"/>
  <c r="F282" i="357"/>
  <c r="F285" i="357"/>
  <c r="F288" i="357"/>
  <c r="H288" i="357" s="1"/>
  <c r="F291" i="357"/>
  <c r="F299" i="357"/>
  <c r="H299" i="357" s="1"/>
  <c r="F553" i="357"/>
  <c r="H553" i="357" s="1"/>
  <c r="J553" i="357" s="1"/>
  <c r="F556" i="357"/>
  <c r="H556" i="357" s="1"/>
  <c r="F559" i="357"/>
  <c r="F562" i="357"/>
  <c r="H562" i="357" s="1"/>
  <c r="F565" i="357"/>
  <c r="H565" i="357" s="1"/>
  <c r="F568" i="357"/>
  <c r="F570" i="357"/>
  <c r="H570" i="357" s="1"/>
  <c r="F573" i="357"/>
  <c r="H573" i="357" s="1"/>
  <c r="F581" i="357"/>
  <c r="F584" i="357"/>
  <c r="H584" i="357" s="1"/>
  <c r="F587" i="357"/>
  <c r="H587" i="357" s="1"/>
  <c r="F590" i="357"/>
  <c r="H590" i="357" s="1"/>
  <c r="J590" i="357" s="1"/>
  <c r="F595" i="357"/>
  <c r="F598" i="357"/>
  <c r="F601" i="357"/>
  <c r="F604" i="357"/>
  <c r="F624" i="357"/>
  <c r="H624" i="357" s="1"/>
  <c r="F630" i="357"/>
  <c r="F636" i="357"/>
  <c r="H636" i="357" s="1"/>
  <c r="I636" i="357" s="1"/>
  <c r="F639" i="357"/>
  <c r="H639" i="357" s="1"/>
  <c r="F647" i="357"/>
  <c r="F650" i="357"/>
  <c r="H650" i="357" s="1"/>
  <c r="F659" i="357"/>
  <c r="F665" i="357"/>
  <c r="F671" i="357"/>
  <c r="F688" i="357"/>
  <c r="F694" i="357"/>
  <c r="H694" i="357" s="1"/>
  <c r="F1181" i="357"/>
  <c r="F1184" i="357"/>
  <c r="F1189" i="357"/>
  <c r="F1197" i="357"/>
  <c r="F1200" i="357"/>
  <c r="H1200" i="357" s="1"/>
  <c r="J1200" i="357" s="1"/>
  <c r="F1203" i="357"/>
  <c r="H1203" i="357" s="1"/>
  <c r="F1206" i="357"/>
  <c r="H1206" i="357" s="1"/>
  <c r="F1209" i="357"/>
  <c r="F1219" i="357"/>
  <c r="F1222" i="357"/>
  <c r="F1231" i="357"/>
  <c r="H1231" i="357" s="1"/>
  <c r="F1236" i="357"/>
  <c r="F1246" i="357"/>
  <c r="H1246" i="357" s="1"/>
  <c r="F1249" i="357"/>
  <c r="H1249" i="357" s="1"/>
  <c r="F1260" i="357"/>
  <c r="H1260" i="357" s="1"/>
  <c r="F1263" i="357"/>
  <c r="H1263" i="357" s="1"/>
  <c r="F1266" i="357"/>
  <c r="H1266" i="357" s="1"/>
  <c r="F1269" i="357"/>
  <c r="H1269" i="357" s="1"/>
  <c r="F1272" i="357"/>
  <c r="F1277" i="357"/>
  <c r="F1280" i="357"/>
  <c r="H1280" i="357" s="1"/>
  <c r="F1283" i="357"/>
  <c r="H1283" i="357" s="1"/>
  <c r="F1286" i="357"/>
  <c r="H1286" i="357" s="1"/>
  <c r="F1289" i="357"/>
  <c r="H1289" i="357" s="1"/>
  <c r="F1292" i="357"/>
  <c r="F1296" i="357"/>
  <c r="F1316" i="357"/>
  <c r="H1316" i="357" s="1"/>
  <c r="F1319" i="357"/>
  <c r="H1319" i="357" s="1"/>
  <c r="J1319" i="357" s="1"/>
  <c r="F1322" i="357"/>
  <c r="F1325" i="357"/>
  <c r="F1328" i="357"/>
  <c r="H1328" i="357" s="1"/>
  <c r="F1334" i="357"/>
  <c r="F1339" i="357"/>
  <c r="H1339" i="357" s="1"/>
  <c r="F1342" i="357"/>
  <c r="E1348" i="357"/>
  <c r="G1348" i="357" s="1"/>
  <c r="F1350" i="357"/>
  <c r="H1350" i="357" s="1"/>
  <c r="E1356" i="357"/>
  <c r="F1358" i="357"/>
  <c r="H1358" i="357" s="1"/>
  <c r="F1367" i="357"/>
  <c r="F1373" i="357"/>
  <c r="H1373" i="357" s="1"/>
  <c r="F1398" i="357"/>
  <c r="H1398" i="357" s="1"/>
  <c r="F1404" i="357"/>
  <c r="H1404" i="357" s="1"/>
  <c r="F1412" i="357"/>
  <c r="F1704" i="357"/>
  <c r="H1704" i="357" s="1"/>
  <c r="F1707" i="357"/>
  <c r="F1710" i="357"/>
  <c r="F1713" i="357"/>
  <c r="H1713" i="357" s="1"/>
  <c r="F1716" i="357"/>
  <c r="H1716" i="357" s="1"/>
  <c r="F1719" i="357"/>
  <c r="F1722" i="357"/>
  <c r="H1722" i="357" s="1"/>
  <c r="F1725" i="357"/>
  <c r="H1725" i="357" s="1"/>
  <c r="F1728" i="357"/>
  <c r="F1733" i="357"/>
  <c r="H1733" i="357" s="1"/>
  <c r="F1736" i="357"/>
  <c r="F1739" i="357"/>
  <c r="H1739" i="357" s="1"/>
  <c r="F1742" i="357"/>
  <c r="F1745" i="357"/>
  <c r="H1745" i="357" s="1"/>
  <c r="F1748" i="357"/>
  <c r="H1748" i="357" s="1"/>
  <c r="F1751" i="357"/>
  <c r="F1754" i="357"/>
  <c r="H1754" i="357" s="1"/>
  <c r="F1757" i="357"/>
  <c r="H1757" i="357" s="1"/>
  <c r="F1760" i="357"/>
  <c r="H1760" i="357" s="1"/>
  <c r="F2195" i="357"/>
  <c r="H2195" i="357" s="1"/>
  <c r="F2198" i="357"/>
  <c r="H2198" i="357" s="1"/>
  <c r="F2201" i="357"/>
  <c r="F2204" i="357"/>
  <c r="F2207" i="357"/>
  <c r="F2223" i="357"/>
  <c r="H2223" i="357" s="1"/>
  <c r="F2226" i="357"/>
  <c r="H2226" i="357" s="1"/>
  <c r="F2229" i="357"/>
  <c r="H2229" i="357" s="1"/>
  <c r="F2232" i="357"/>
  <c r="F2235" i="357"/>
  <c r="H2235" i="357" s="1"/>
  <c r="F2238" i="357"/>
  <c r="H2238" i="357" s="1"/>
  <c r="F2241" i="357"/>
  <c r="H2241" i="357" s="1"/>
  <c r="F2244" i="357"/>
  <c r="H2244" i="357" s="1"/>
  <c r="F2247" i="357"/>
  <c r="H2247" i="357" s="1"/>
  <c r="F2250" i="357"/>
  <c r="F2258" i="357"/>
  <c r="H2258" i="357" s="1"/>
  <c r="F2261" i="357"/>
  <c r="H2261" i="357" s="1"/>
  <c r="F2272" i="357"/>
  <c r="H2272" i="357" s="1"/>
  <c r="F2275" i="357"/>
  <c r="H2275" i="357" s="1"/>
  <c r="F2278" i="357"/>
  <c r="H2278" i="357" s="1"/>
  <c r="F2281" i="357"/>
  <c r="H2281" i="357" s="1"/>
  <c r="F2284" i="357"/>
  <c r="H2284" i="357" s="1"/>
  <c r="F2287" i="357"/>
  <c r="H2287" i="357" s="1"/>
  <c r="F2290" i="357"/>
  <c r="F2293" i="357"/>
  <c r="H2293" i="357" s="1"/>
  <c r="F2296" i="357"/>
  <c r="H2296" i="357" s="1"/>
  <c r="F2299" i="357"/>
  <c r="H2299" i="357" s="1"/>
  <c r="F2308" i="357"/>
  <c r="H2308" i="357" s="1"/>
  <c r="F2311" i="357"/>
  <c r="F2314" i="357"/>
  <c r="F2317" i="357"/>
  <c r="F2360" i="357"/>
  <c r="H2360" i="357" s="1"/>
  <c r="F2365" i="357"/>
  <c r="F2380" i="357"/>
  <c r="H2380" i="357" s="1"/>
  <c r="F2385" i="357"/>
  <c r="H2385" i="357" s="1"/>
  <c r="F2390" i="357"/>
  <c r="H2390" i="357" s="1"/>
  <c r="F2395" i="357"/>
  <c r="F2400" i="357"/>
  <c r="F2405" i="357"/>
  <c r="H2405" i="357" s="1"/>
  <c r="F2410" i="357"/>
  <c r="H2410" i="357" s="1"/>
  <c r="F2415" i="357"/>
  <c r="F2421" i="357"/>
  <c r="H2421" i="357" s="1"/>
  <c r="F2440" i="357"/>
  <c r="H2440" i="357" s="1"/>
  <c r="F2445" i="357"/>
  <c r="H2445" i="357" s="1"/>
  <c r="F2448" i="357"/>
  <c r="H2448" i="357" s="1"/>
  <c r="F2460" i="357"/>
  <c r="H2460" i="357" s="1"/>
  <c r="F2463" i="357"/>
  <c r="F2468" i="357"/>
  <c r="F2474" i="357"/>
  <c r="H2474" i="357" s="1"/>
  <c r="F2479" i="357"/>
  <c r="F2485" i="357"/>
  <c r="H2485" i="357" s="1"/>
  <c r="F2493" i="357"/>
  <c r="H2493" i="357" s="1"/>
  <c r="F2498" i="357"/>
  <c r="H2498" i="357" s="1"/>
  <c r="F2501" i="357"/>
  <c r="H2501" i="357" s="1"/>
  <c r="F2506" i="357"/>
  <c r="H2506" i="357" s="1"/>
  <c r="F2509" i="357"/>
  <c r="H2509" i="357" s="1"/>
  <c r="F2514" i="357"/>
  <c r="H2514" i="357" s="1"/>
  <c r="F2517" i="357"/>
  <c r="H2517" i="357" s="1"/>
  <c r="F2527" i="357"/>
  <c r="H2527" i="357" s="1"/>
  <c r="F2535" i="357"/>
  <c r="H2535" i="357" s="1"/>
  <c r="F2540" i="357"/>
  <c r="H2540" i="357" s="1"/>
  <c r="F2543" i="357"/>
  <c r="H2543" i="357" s="1"/>
  <c r="F2548" i="357"/>
  <c r="F2551" i="357"/>
  <c r="F2556" i="357"/>
  <c r="H2556" i="357" s="1"/>
  <c r="F2559" i="357"/>
  <c r="H2559" i="357" s="1"/>
  <c r="F2564" i="357"/>
  <c r="H2564" i="357" s="1"/>
  <c r="F2572" i="357"/>
  <c r="H2572" i="357" s="1"/>
  <c r="F2577" i="357"/>
  <c r="H2577" i="357" s="1"/>
  <c r="F2580" i="357"/>
  <c r="H2580" i="357" s="1"/>
  <c r="F2585" i="357"/>
  <c r="H2585" i="357" s="1"/>
  <c r="F2588" i="357"/>
  <c r="H2588" i="357" s="1"/>
  <c r="F2598" i="357"/>
  <c r="H2598" i="357" s="1"/>
  <c r="F2601" i="357"/>
  <c r="H2601" i="357" s="1"/>
  <c r="F2607" i="357"/>
  <c r="H2607" i="357" s="1"/>
  <c r="F2613" i="357"/>
  <c r="H2613" i="357" s="1"/>
  <c r="F2622" i="357"/>
  <c r="H2622" i="357" s="1"/>
  <c r="F2628" i="357"/>
  <c r="H2628" i="357" s="1"/>
  <c r="F2634" i="357"/>
  <c r="H2634" i="357" s="1"/>
  <c r="F2819" i="357"/>
  <c r="F2832" i="357"/>
  <c r="H2832" i="357" s="1"/>
  <c r="F2835" i="357"/>
  <c r="H2835" i="357" s="1"/>
  <c r="F2838" i="357"/>
  <c r="H2838" i="357" s="1"/>
  <c r="F2843" i="357"/>
  <c r="H2843" i="357" s="1"/>
  <c r="F2846" i="357"/>
  <c r="H2846" i="357" s="1"/>
  <c r="F2849" i="357"/>
  <c r="H2849" i="357" s="1"/>
  <c r="F2852" i="357"/>
  <c r="F2865" i="357"/>
  <c r="H2865" i="357" s="1"/>
  <c r="F2868" i="357"/>
  <c r="H2868" i="357" s="1"/>
  <c r="F2871" i="357"/>
  <c r="H2871" i="357" s="1"/>
  <c r="F2874" i="357"/>
  <c r="H2874" i="357" s="1"/>
  <c r="F2877" i="357"/>
  <c r="H2877" i="357" s="1"/>
  <c r="F2880" i="357"/>
  <c r="H2880" i="357" s="1"/>
  <c r="F2883" i="357"/>
  <c r="H2883" i="357" s="1"/>
  <c r="F2886" i="357"/>
  <c r="H2886" i="357" s="1"/>
  <c r="F2889" i="357"/>
  <c r="H2889" i="357" s="1"/>
  <c r="F2892" i="357"/>
  <c r="H2892" i="357" s="1"/>
  <c r="F2895" i="357"/>
  <c r="F2898" i="357"/>
  <c r="F2907" i="357"/>
  <c r="F2910" i="357"/>
  <c r="H2910" i="357" s="1"/>
  <c r="F2918" i="357"/>
  <c r="H2918" i="357" s="1"/>
  <c r="F2921" i="357"/>
  <c r="H2921" i="357" s="1"/>
  <c r="F2924" i="357"/>
  <c r="H2924" i="357" s="1"/>
  <c r="F2938" i="357"/>
  <c r="H2938" i="357" s="1"/>
  <c r="F2941" i="357"/>
  <c r="H2941" i="357" s="1"/>
  <c r="F2947" i="357"/>
  <c r="H2947" i="357" s="1"/>
  <c r="F2953" i="357"/>
  <c r="H2953" i="357" s="1"/>
  <c r="F2959" i="357"/>
  <c r="F2971" i="357"/>
  <c r="H2971" i="357" s="1"/>
  <c r="F2977" i="357"/>
  <c r="H2977" i="357" s="1"/>
  <c r="F2983" i="357"/>
  <c r="F2994" i="357"/>
  <c r="H2994" i="357" s="1"/>
  <c r="F3003" i="357"/>
  <c r="H3003" i="357" s="1"/>
  <c r="F3011" i="357"/>
  <c r="H3011" i="357" s="1"/>
  <c r="F3017" i="357"/>
  <c r="H3017" i="357" s="1"/>
  <c r="F3025" i="357"/>
  <c r="H3025" i="357" s="1"/>
  <c r="F3033" i="357"/>
  <c r="H3033" i="357" s="1"/>
  <c r="F3049" i="357"/>
  <c r="H3049" i="357" s="1"/>
  <c r="F3057" i="357"/>
  <c r="H3057" i="357" s="1"/>
  <c r="F3060" i="357"/>
  <c r="H3060" i="357" s="1"/>
  <c r="F3063" i="357"/>
  <c r="H3063" i="357" s="1"/>
  <c r="F3066" i="357"/>
  <c r="H3066" i="357" s="1"/>
  <c r="F3069" i="357"/>
  <c r="H3069" i="357" s="1"/>
  <c r="F3074" i="357"/>
  <c r="H3074" i="357" s="1"/>
  <c r="F3077" i="357"/>
  <c r="F3093" i="357"/>
  <c r="H3093" i="357" s="1"/>
  <c r="F3099" i="357"/>
  <c r="H3099" i="357" s="1"/>
  <c r="F3109" i="357"/>
  <c r="H3109" i="357" s="1"/>
  <c r="F3117" i="357"/>
  <c r="H3117" i="357" s="1"/>
  <c r="F3120" i="357"/>
  <c r="H3120" i="357" s="1"/>
  <c r="F3125" i="357"/>
  <c r="H3125" i="357" s="1"/>
  <c r="F3153" i="357"/>
  <c r="H3153" i="357" s="1"/>
  <c r="F3185" i="357"/>
  <c r="H3185" i="357" s="1"/>
  <c r="F3196" i="357"/>
  <c r="H3196" i="357" s="1"/>
  <c r="F3204" i="357"/>
  <c r="H3204" i="357" s="1"/>
  <c r="F3218" i="357"/>
  <c r="H3218" i="357" s="1"/>
  <c r="F3242" i="357"/>
  <c r="H3242" i="357" s="1"/>
  <c r="E3257" i="357"/>
  <c r="G3257" i="357" s="1"/>
  <c r="E3260" i="357"/>
  <c r="G3260" i="357" s="1"/>
  <c r="E3263" i="357"/>
  <c r="E3266" i="357"/>
  <c r="G3266" i="357" s="1"/>
  <c r="E3269" i="357"/>
  <c r="G3269" i="357" s="1"/>
  <c r="E3272" i="357"/>
  <c r="G3272" i="357" s="1"/>
  <c r="E3275" i="357"/>
  <c r="G3275" i="357" s="1"/>
  <c r="E3280" i="357"/>
  <c r="G3280" i="357" s="1"/>
  <c r="E3285" i="357"/>
  <c r="G3285" i="357" s="1"/>
  <c r="E3290" i="357"/>
  <c r="G3290" i="357" s="1"/>
  <c r="E3293" i="357"/>
  <c r="G3293" i="357" s="1"/>
  <c r="E3306" i="357"/>
  <c r="G3306" i="357" s="1"/>
  <c r="E3311" i="357"/>
  <c r="G3311" i="357" s="1"/>
  <c r="E3322" i="357"/>
  <c r="G3322" i="357" s="1"/>
  <c r="E3325" i="357"/>
  <c r="G3325" i="357" s="1"/>
  <c r="E3341" i="357"/>
  <c r="G3341" i="357" s="1"/>
  <c r="E3353" i="357"/>
  <c r="G3353" i="357" s="1"/>
  <c r="E3376" i="357"/>
  <c r="G3376" i="357" s="1"/>
  <c r="E3379" i="357"/>
  <c r="G3379" i="357" s="1"/>
  <c r="E3382" i="357"/>
  <c r="G3382" i="357" s="1"/>
  <c r="E3385" i="357"/>
  <c r="G3385" i="357" s="1"/>
  <c r="E3390" i="357"/>
  <c r="G3390" i="357" s="1"/>
  <c r="E3393" i="357"/>
  <c r="G3393" i="357" s="1"/>
  <c r="E3398" i="357"/>
  <c r="G3398" i="357" s="1"/>
  <c r="E3401" i="357"/>
  <c r="G3401" i="357" s="1"/>
  <c r="E3404" i="357"/>
  <c r="G3404" i="357" s="1"/>
  <c r="E3407" i="357"/>
  <c r="G3407" i="357" s="1"/>
  <c r="E3410" i="357"/>
  <c r="G3410" i="357" s="1"/>
  <c r="E3418" i="357"/>
  <c r="G3418" i="357" s="1"/>
  <c r="E3421" i="357"/>
  <c r="G3421" i="357" s="1"/>
  <c r="E3438" i="357"/>
  <c r="G3438" i="357" s="1"/>
  <c r="E3442" i="357"/>
  <c r="G3442" i="357" s="1"/>
  <c r="E3448" i="357"/>
  <c r="G3448" i="357" s="1"/>
  <c r="E3458" i="357"/>
  <c r="G3458" i="357" s="1"/>
  <c r="E3464" i="357"/>
  <c r="G3464" i="357" s="1"/>
  <c r="E3466" i="357"/>
  <c r="G3466" i="357" s="1"/>
  <c r="E3468" i="357"/>
  <c r="G3468" i="357" s="1"/>
  <c r="E3477" i="357"/>
  <c r="G3477" i="357" s="1"/>
  <c r="E3490" i="357"/>
  <c r="G3490" i="357" s="1"/>
  <c r="E3494" i="357"/>
  <c r="G3494" i="357" s="1"/>
  <c r="E3496" i="357"/>
  <c r="G3496" i="357" s="1"/>
  <c r="J3496" i="357" s="1"/>
  <c r="E3500" i="357"/>
  <c r="G3500" i="357" s="1"/>
  <c r="E3504" i="357"/>
  <c r="G3504" i="357" s="1"/>
  <c r="E3506" i="357"/>
  <c r="G3506" i="357" s="1"/>
  <c r="J137" i="357"/>
  <c r="J145" i="357"/>
  <c r="J151" i="357"/>
  <c r="J155" i="357"/>
  <c r="J185" i="357"/>
  <c r="J403" i="357"/>
  <c r="I91" i="357"/>
  <c r="I71" i="357"/>
  <c r="I89" i="357"/>
  <c r="I33" i="357"/>
  <c r="I28" i="357"/>
  <c r="I70" i="357"/>
  <c r="I90" i="357"/>
  <c r="J485" i="357"/>
  <c r="J918" i="357"/>
  <c r="J928" i="357"/>
  <c r="J938" i="357"/>
  <c r="J948" i="357"/>
  <c r="J1034" i="357"/>
  <c r="J1042" i="357"/>
  <c r="J1048" i="357"/>
  <c r="J1068" i="357"/>
  <c r="J1090" i="357"/>
  <c r="J1120" i="357"/>
  <c r="J1154" i="357"/>
  <c r="J1226" i="357"/>
  <c r="J1232" i="357"/>
  <c r="J1238" i="357"/>
  <c r="J1253" i="357"/>
  <c r="J1300" i="357"/>
  <c r="J1306" i="357"/>
  <c r="J1336" i="357"/>
  <c r="J1405" i="357"/>
  <c r="J1420" i="357"/>
  <c r="J1422" i="357"/>
  <c r="J1430" i="357"/>
  <c r="J1469" i="357"/>
  <c r="J1479" i="357"/>
  <c r="J1483" i="357"/>
  <c r="J1497" i="357"/>
  <c r="J1503" i="357"/>
  <c r="J1517" i="357"/>
  <c r="J1523" i="357"/>
  <c r="J1527" i="357"/>
  <c r="J1533" i="357"/>
  <c r="J1541" i="357"/>
  <c r="J1554" i="357"/>
  <c r="J1562" i="357"/>
  <c r="J1564" i="357"/>
  <c r="J1730" i="357"/>
  <c r="J1762" i="357"/>
  <c r="J1862" i="357"/>
  <c r="J1870" i="357"/>
  <c r="J1912" i="357"/>
  <c r="J1916" i="357"/>
  <c r="J1920" i="357"/>
  <c r="J1937" i="357"/>
  <c r="J1941" i="357"/>
  <c r="J1945" i="357"/>
  <c r="J1949" i="357"/>
  <c r="J1953" i="357"/>
  <c r="J1980" i="357"/>
  <c r="J1984" i="357"/>
  <c r="J1988" i="357"/>
  <c r="J1992" i="357"/>
  <c r="J1998" i="357"/>
  <c r="J2004" i="357"/>
  <c r="J2010" i="357"/>
  <c r="J2018" i="357"/>
  <c r="J2065" i="357"/>
  <c r="J2081" i="357"/>
  <c r="J2087" i="357"/>
  <c r="J2093" i="357"/>
  <c r="J2119" i="357"/>
  <c r="J2129" i="357"/>
  <c r="J2135" i="357"/>
  <c r="J2139" i="357"/>
  <c r="J2143" i="357"/>
  <c r="J2155" i="357"/>
  <c r="J2217" i="357"/>
  <c r="J2219" i="357"/>
  <c r="J2253" i="357"/>
  <c r="J2263" i="357"/>
  <c r="J2269" i="357"/>
  <c r="J2303" i="357"/>
  <c r="J2319" i="357"/>
  <c r="J2321" i="357"/>
  <c r="J2335" i="357"/>
  <c r="J2345" i="357"/>
  <c r="J2351" i="357"/>
  <c r="J2355" i="357"/>
  <c r="J2373" i="357"/>
  <c r="J2377" i="357"/>
  <c r="J2381" i="357"/>
  <c r="J2387" i="357"/>
  <c r="J2397" i="357"/>
  <c r="J2401" i="357"/>
  <c r="J2407" i="357"/>
  <c r="J2411" i="357"/>
  <c r="J2425" i="357"/>
  <c r="J2435" i="357"/>
  <c r="J2457" i="357"/>
  <c r="J2467" i="357"/>
  <c r="J2469" i="357"/>
  <c r="J2471" i="357"/>
  <c r="J2475" i="357"/>
  <c r="J2481" i="357"/>
  <c r="J2489" i="357"/>
  <c r="J2495" i="357"/>
  <c r="J2503" i="357"/>
  <c r="J2511" i="357"/>
  <c r="J2575" i="357"/>
  <c r="J2583" i="357"/>
  <c r="J2591" i="357"/>
  <c r="J2593" i="357"/>
  <c r="J2595" i="357"/>
  <c r="J2616" i="357"/>
  <c r="J2637" i="357"/>
  <c r="J2643" i="357"/>
  <c r="J2653" i="357"/>
  <c r="J2655" i="357"/>
  <c r="J2665" i="357"/>
  <c r="J2671" i="357"/>
  <c r="J2675" i="357"/>
  <c r="J2681" i="357"/>
  <c r="J2685" i="357"/>
  <c r="J2693" i="357"/>
  <c r="J2913" i="357"/>
  <c r="J2934" i="357"/>
  <c r="J2968" i="357"/>
  <c r="J2988" i="357"/>
  <c r="J2998" i="357"/>
  <c r="J3007" i="357"/>
  <c r="J3019" i="357"/>
  <c r="J3027" i="357"/>
  <c r="J3035" i="357"/>
  <c r="J3041" i="357"/>
  <c r="J3055" i="357"/>
  <c r="J3071" i="357"/>
  <c r="J3079" i="357"/>
  <c r="J3094" i="357"/>
  <c r="J3096" i="357"/>
  <c r="J3100" i="357"/>
  <c r="J3122" i="357"/>
  <c r="J3130" i="357"/>
  <c r="J3136" i="357"/>
  <c r="J3144" i="357"/>
  <c r="J3148" i="357"/>
  <c r="J3160" i="357"/>
  <c r="J3164" i="357"/>
  <c r="J3168" i="357"/>
  <c r="J3174" i="357"/>
  <c r="J3176" i="357"/>
  <c r="J3201" i="357"/>
  <c r="J3205" i="357"/>
  <c r="J3209" i="357"/>
  <c r="J3215" i="357"/>
  <c r="J3219" i="357"/>
  <c r="J3225" i="357"/>
  <c r="J3229" i="357"/>
  <c r="J3245" i="357"/>
  <c r="J3249" i="357"/>
  <c r="J3315" i="357"/>
  <c r="J3319" i="357"/>
  <c r="J3327" i="357"/>
  <c r="J3333" i="357"/>
  <c r="J3339" i="357"/>
  <c r="I100" i="357"/>
  <c r="I102" i="357"/>
  <c r="I118" i="357"/>
  <c r="I120" i="357"/>
  <c r="I148" i="357"/>
  <c r="I154" i="357"/>
  <c r="I278" i="357"/>
  <c r="I294" i="357"/>
  <c r="I328" i="357"/>
  <c r="I342" i="357"/>
  <c r="I372" i="357"/>
  <c r="I404" i="357"/>
  <c r="I514" i="357"/>
  <c r="I576" i="357"/>
  <c r="I632" i="357"/>
  <c r="I758" i="357"/>
  <c r="I794" i="357"/>
  <c r="I808" i="357"/>
  <c r="I830" i="357"/>
  <c r="I873" i="357"/>
  <c r="I912" i="357"/>
  <c r="I919" i="357"/>
  <c r="I931" i="357"/>
  <c r="I943" i="357"/>
  <c r="I1013" i="357"/>
  <c r="I1033" i="357"/>
  <c r="I1043" i="357"/>
  <c r="I1047" i="357"/>
  <c r="I1089" i="357"/>
  <c r="I1127" i="357"/>
  <c r="I1133" i="357"/>
  <c r="I1155" i="357"/>
  <c r="I1175" i="357"/>
  <c r="I1214" i="357"/>
  <c r="I1227" i="357"/>
  <c r="I1233" i="357"/>
  <c r="I1237" i="357"/>
  <c r="I1254" i="357"/>
  <c r="I1274" i="357"/>
  <c r="I1301" i="357"/>
  <c r="I1309" i="357"/>
  <c r="I1311" i="357"/>
  <c r="I1329" i="357"/>
  <c r="I1331" i="357"/>
  <c r="I1337" i="357"/>
  <c r="I1359" i="357"/>
  <c r="I1361" i="357"/>
  <c r="I1390" i="357"/>
  <c r="I1406" i="357"/>
  <c r="I1415" i="357"/>
  <c r="I1417" i="357"/>
  <c r="I1421" i="357"/>
  <c r="I1429" i="357"/>
  <c r="I1452" i="357"/>
  <c r="I1468" i="357"/>
  <c r="I1474" i="357"/>
  <c r="I1480" i="357"/>
  <c r="I1484" i="357"/>
  <c r="I1492" i="357"/>
  <c r="I1504" i="357"/>
  <c r="I1512" i="357"/>
  <c r="I1518" i="357"/>
  <c r="I1528" i="357"/>
  <c r="I1532" i="357"/>
  <c r="I1536" i="357"/>
  <c r="I1542" i="357"/>
  <c r="I1555" i="357"/>
  <c r="I1567" i="357"/>
  <c r="I1699" i="357"/>
  <c r="I1857" i="357"/>
  <c r="I1863" i="357"/>
  <c r="I1869" i="357"/>
  <c r="I1905" i="357"/>
  <c r="I1911" i="357"/>
  <c r="I1915" i="357"/>
  <c r="I1919" i="357"/>
  <c r="I1940" i="357"/>
  <c r="I1946" i="357"/>
  <c r="I1950" i="357"/>
  <c r="I1954" i="357"/>
  <c r="I1975" i="357"/>
  <c r="I1979" i="357"/>
  <c r="I1987" i="357"/>
  <c r="I1989" i="357"/>
  <c r="I2003" i="357"/>
  <c r="I2009" i="357"/>
  <c r="I2017" i="357"/>
  <c r="I2254" i="357"/>
  <c r="I2270" i="357"/>
  <c r="I2302" i="357"/>
  <c r="I2304" i="357"/>
  <c r="I2320" i="357"/>
  <c r="I2326" i="357"/>
  <c r="I2346" i="357"/>
  <c r="I2356" i="357"/>
  <c r="I2362" i="357"/>
  <c r="I2368" i="357"/>
  <c r="I2378" i="357"/>
  <c r="I2386" i="357"/>
  <c r="I2392" i="357"/>
  <c r="I2396" i="357"/>
  <c r="I2402" i="357"/>
  <c r="I2406" i="357"/>
  <c r="I2416" i="357"/>
  <c r="I2424" i="357"/>
  <c r="I2430" i="357"/>
  <c r="I2436" i="357"/>
  <c r="I2442" i="357"/>
  <c r="I2450" i="357"/>
  <c r="I2452" i="357"/>
  <c r="I2456" i="357"/>
  <c r="I2470" i="357"/>
  <c r="I2476" i="357"/>
  <c r="I2480" i="357"/>
  <c r="I2482" i="357"/>
  <c r="I2488" i="357"/>
  <c r="I2494" i="357"/>
  <c r="I2502" i="357"/>
  <c r="I2510" i="357"/>
  <c r="I2518" i="357"/>
  <c r="I2522" i="357"/>
  <c r="I2530" i="357"/>
  <c r="I2536" i="357"/>
  <c r="I2544" i="357"/>
  <c r="I2560" i="357"/>
  <c r="I2568" i="357"/>
  <c r="I2584" i="357"/>
  <c r="I2592" i="357"/>
  <c r="I2596" i="357"/>
  <c r="I2617" i="357"/>
  <c r="I2638" i="357"/>
  <c r="I2644" i="357"/>
  <c r="I2654" i="357"/>
  <c r="I2664" i="357"/>
  <c r="I2672" i="357"/>
  <c r="I2674" i="357"/>
  <c r="I2680" i="357"/>
  <c r="I2686" i="357"/>
  <c r="I2694" i="357"/>
  <c r="I2720" i="357"/>
  <c r="I2732" i="357"/>
  <c r="I2736" i="357"/>
  <c r="I2742" i="357"/>
  <c r="I2752" i="357"/>
  <c r="I2756" i="357"/>
  <c r="I2840" i="357"/>
  <c r="I2860" i="357"/>
  <c r="I2935" i="357"/>
  <c r="I2969" i="357"/>
  <c r="I2987" i="357"/>
  <c r="I2989" i="357"/>
  <c r="I2997" i="357"/>
  <c r="I3008" i="357"/>
  <c r="I3020" i="357"/>
  <c r="I3028" i="357"/>
  <c r="I3036" i="357"/>
  <c r="I3042" i="357"/>
  <c r="I3056" i="357"/>
  <c r="I3070" i="357"/>
  <c r="I3080" i="357"/>
  <c r="I3101" i="357"/>
  <c r="I3105" i="357"/>
  <c r="I3111" i="357"/>
  <c r="I3131" i="357"/>
  <c r="I3135" i="357"/>
  <c r="I3139" i="357"/>
  <c r="I3143" i="357"/>
  <c r="I3149" i="357"/>
  <c r="I3163" i="357"/>
  <c r="I3169" i="357"/>
  <c r="I3175" i="357"/>
  <c r="I3200" i="357"/>
  <c r="I3206" i="357"/>
  <c r="I3210" i="357"/>
  <c r="I3214" i="357"/>
  <c r="I3220" i="357"/>
  <c r="I3226" i="357"/>
  <c r="I3230" i="357"/>
  <c r="I3240" i="357"/>
  <c r="I3244" i="357"/>
  <c r="I3254" i="357"/>
  <c r="J3347" i="357"/>
  <c r="J3351" i="357"/>
  <c r="J3355" i="357"/>
  <c r="J3359" i="357"/>
  <c r="J3365" i="357"/>
  <c r="J3369" i="357"/>
  <c r="J3387" i="357"/>
  <c r="J3395" i="357"/>
  <c r="J3413" i="357"/>
  <c r="J3423" i="357"/>
  <c r="J3429" i="357"/>
  <c r="J3435" i="357"/>
  <c r="J3439" i="357"/>
  <c r="J3443" i="357"/>
  <c r="J3449" i="357"/>
  <c r="J3455" i="357"/>
  <c r="J3461" i="357"/>
  <c r="J3471" i="357"/>
  <c r="J3476" i="357"/>
  <c r="J3481" i="357"/>
  <c r="J3485" i="357"/>
  <c r="J3487" i="357"/>
  <c r="J3491" i="357"/>
  <c r="J3497" i="357"/>
  <c r="J3501" i="357"/>
  <c r="I3276" i="357"/>
  <c r="I3282" i="357"/>
  <c r="I3286" i="357"/>
  <c r="I3296" i="357"/>
  <c r="I3302" i="357"/>
  <c r="I3308" i="357"/>
  <c r="I3314" i="357"/>
  <c r="I3318" i="357"/>
  <c r="I3320" i="357"/>
  <c r="I3328" i="357"/>
  <c r="I3332" i="357"/>
  <c r="I3334" i="357"/>
  <c r="I3338" i="357"/>
  <c r="I3342" i="357"/>
  <c r="I3346" i="357"/>
  <c r="I3350" i="357"/>
  <c r="I3354" i="357"/>
  <c r="I3358" i="357"/>
  <c r="I3364" i="357"/>
  <c r="I3368" i="357"/>
  <c r="I3386" i="357"/>
  <c r="I3394" i="357"/>
  <c r="I3412" i="357"/>
  <c r="I3424" i="357"/>
  <c r="I3428" i="357"/>
  <c r="I3430" i="357"/>
  <c r="I3440" i="357"/>
  <c r="I3444" i="357"/>
  <c r="I3450" i="357"/>
  <c r="I3460" i="357"/>
  <c r="I3470" i="357"/>
  <c r="I3475" i="357"/>
  <c r="I3479" i="357"/>
  <c r="I3482" i="357"/>
  <c r="I3486" i="357"/>
  <c r="I3492" i="357"/>
  <c r="I3498" i="357"/>
  <c r="I3502" i="357"/>
  <c r="J279" i="357"/>
  <c r="J295" i="357"/>
  <c r="J576" i="357"/>
  <c r="J632" i="357"/>
  <c r="J640" i="357"/>
  <c r="J758" i="357"/>
  <c r="J794" i="357"/>
  <c r="J808" i="357"/>
  <c r="J830" i="357"/>
  <c r="J625" i="357"/>
  <c r="J631" i="357"/>
  <c r="J641" i="357"/>
  <c r="J716" i="357"/>
  <c r="J809" i="357"/>
  <c r="J831" i="357"/>
  <c r="J1698" i="357"/>
  <c r="J1699" i="357"/>
  <c r="I2065" i="357"/>
  <c r="I2081" i="357"/>
  <c r="I2087" i="357"/>
  <c r="I2093" i="357"/>
  <c r="I2119" i="357"/>
  <c r="I2135" i="357"/>
  <c r="I2139" i="357"/>
  <c r="I2143" i="357"/>
  <c r="I2155" i="357"/>
  <c r="I2072" i="357"/>
  <c r="I2080" i="357"/>
  <c r="I2088" i="357"/>
  <c r="I2094" i="357"/>
  <c r="I2118" i="357"/>
  <c r="I2120" i="357"/>
  <c r="I2130" i="357"/>
  <c r="I2136" i="357"/>
  <c r="I2140" i="357"/>
  <c r="I2144" i="357"/>
  <c r="I2156" i="357"/>
  <c r="I2168" i="357"/>
  <c r="J2519" i="357"/>
  <c r="J2523" i="357"/>
  <c r="J2531" i="357"/>
  <c r="J2537" i="357"/>
  <c r="J2545" i="357"/>
  <c r="J2553" i="357"/>
  <c r="J2561" i="357"/>
  <c r="J2567" i="357"/>
  <c r="J2518" i="357"/>
  <c r="J2522" i="357"/>
  <c r="J2530" i="357"/>
  <c r="J2536" i="357"/>
  <c r="J2544" i="357"/>
  <c r="J2560" i="357"/>
  <c r="J2568" i="357"/>
  <c r="J2721" i="357"/>
  <c r="J2727" i="357"/>
  <c r="J2733" i="357"/>
  <c r="J2737" i="357"/>
  <c r="J2743" i="357"/>
  <c r="J2745" i="357"/>
  <c r="J2751" i="357"/>
  <c r="J2757" i="357"/>
  <c r="J2812" i="357"/>
  <c r="J2839" i="357"/>
  <c r="J2859" i="357"/>
  <c r="J2720" i="357"/>
  <c r="J2732" i="357"/>
  <c r="J2736" i="357"/>
  <c r="J2742" i="357"/>
  <c r="J2752" i="357"/>
  <c r="J2756" i="357"/>
  <c r="J2840" i="357"/>
  <c r="J2860" i="357"/>
  <c r="J3253" i="357"/>
  <c r="J3277" i="357"/>
  <c r="J3283" i="357"/>
  <c r="J3287" i="357"/>
  <c r="J3295" i="357"/>
  <c r="J3301" i="357"/>
  <c r="J3307" i="357"/>
  <c r="J3254" i="357"/>
  <c r="J3276" i="357"/>
  <c r="J3282" i="357"/>
  <c r="J3286" i="357"/>
  <c r="J3296" i="357"/>
  <c r="J3302" i="357"/>
  <c r="J3308" i="357"/>
  <c r="F302" i="357"/>
  <c r="H302" i="357" s="1"/>
  <c r="F304" i="357"/>
  <c r="H304" i="357" s="1"/>
  <c r="F306" i="357"/>
  <c r="H306" i="357" s="1"/>
  <c r="F308" i="357"/>
  <c r="F312" i="357"/>
  <c r="H312" i="357" s="1"/>
  <c r="F314" i="357"/>
  <c r="H314" i="357" s="1"/>
  <c r="F316" i="357"/>
  <c r="H316" i="357" s="1"/>
  <c r="F318" i="357"/>
  <c r="H318" i="357" s="1"/>
  <c r="F320" i="357"/>
  <c r="H320" i="357" s="1"/>
  <c r="F322" i="357"/>
  <c r="H322" i="357" s="1"/>
  <c r="F324" i="357"/>
  <c r="H324" i="357" s="1"/>
  <c r="F326" i="357"/>
  <c r="H326" i="357" s="1"/>
  <c r="F332" i="357"/>
  <c r="H332" i="357" s="1"/>
  <c r="F334" i="357"/>
  <c r="F336" i="357"/>
  <c r="H336" i="357" s="1"/>
  <c r="F338" i="357"/>
  <c r="H338" i="357" s="1"/>
  <c r="F340" i="357"/>
  <c r="H340" i="357" s="1"/>
  <c r="F344" i="357"/>
  <c r="F346" i="357"/>
  <c r="H346" i="357" s="1"/>
  <c r="F348" i="357"/>
  <c r="H348" i="357" s="1"/>
  <c r="F350" i="357"/>
  <c r="H350" i="357" s="1"/>
  <c r="F352" i="357"/>
  <c r="F354" i="357"/>
  <c r="F356" i="357"/>
  <c r="H356" i="357" s="1"/>
  <c r="F358" i="357"/>
  <c r="H358" i="357" s="1"/>
  <c r="F360" i="357"/>
  <c r="H360" i="357" s="1"/>
  <c r="F362" i="357"/>
  <c r="H362" i="357" s="1"/>
  <c r="F364" i="357"/>
  <c r="F366" i="357"/>
  <c r="H366" i="357" s="1"/>
  <c r="F368" i="357"/>
  <c r="H368" i="357" s="1"/>
  <c r="F370" i="357"/>
  <c r="H370" i="357" s="1"/>
  <c r="F376" i="357"/>
  <c r="H376" i="357" s="1"/>
  <c r="F378" i="357"/>
  <c r="H378" i="357" s="1"/>
  <c r="F380" i="357"/>
  <c r="H380" i="357" s="1"/>
  <c r="F382" i="357"/>
  <c r="H382" i="357" s="1"/>
  <c r="F384" i="357"/>
  <c r="H384" i="357" s="1"/>
  <c r="F386" i="357"/>
  <c r="H386" i="357" s="1"/>
  <c r="F388" i="357"/>
  <c r="H388" i="357" s="1"/>
  <c r="F390" i="357"/>
  <c r="H390" i="357" s="1"/>
  <c r="F392" i="357"/>
  <c r="H392" i="357" s="1"/>
  <c r="F394" i="357"/>
  <c r="H394" i="357" s="1"/>
  <c r="F396" i="357"/>
  <c r="H396" i="357" s="1"/>
  <c r="F398" i="357"/>
  <c r="F400" i="357"/>
  <c r="F402" i="357"/>
  <c r="H402" i="357" s="1"/>
  <c r="F406" i="357"/>
  <c r="H406" i="357" s="1"/>
  <c r="F408" i="357"/>
  <c r="H408" i="357" s="1"/>
  <c r="F410" i="357"/>
  <c r="F412" i="357"/>
  <c r="H412" i="357" s="1"/>
  <c r="F414" i="357"/>
  <c r="H414" i="357" s="1"/>
  <c r="F416" i="357"/>
  <c r="H416" i="357" s="1"/>
  <c r="F418" i="357"/>
  <c r="H418" i="357" s="1"/>
  <c r="F420" i="357"/>
  <c r="F422" i="357"/>
  <c r="F424" i="357"/>
  <c r="H424" i="357" s="1"/>
  <c r="F426" i="357"/>
  <c r="H426" i="357" s="1"/>
  <c r="F428" i="357"/>
  <c r="H428" i="357" s="1"/>
  <c r="F430" i="357"/>
  <c r="H430" i="357" s="1"/>
  <c r="F432" i="357"/>
  <c r="F436" i="357"/>
  <c r="F438" i="357"/>
  <c r="F440" i="357"/>
  <c r="F442" i="357"/>
  <c r="F444" i="357"/>
  <c r="F446" i="357"/>
  <c r="F448" i="357"/>
  <c r="F450" i="357"/>
  <c r="F452" i="357"/>
  <c r="F454" i="357"/>
  <c r="F456" i="357"/>
  <c r="F458" i="357"/>
  <c r="F460" i="357"/>
  <c r="F462" i="357"/>
  <c r="F464" i="357"/>
  <c r="F466" i="357"/>
  <c r="F468" i="357"/>
  <c r="F470" i="357"/>
  <c r="H470" i="357" s="1"/>
  <c r="F472" i="357"/>
  <c r="F474" i="357"/>
  <c r="F476" i="357"/>
  <c r="F478" i="357"/>
  <c r="H478" i="357" s="1"/>
  <c r="F480" i="357"/>
  <c r="F482" i="357"/>
  <c r="H482" i="357" s="1"/>
  <c r="F488" i="357"/>
  <c r="H488" i="357" s="1"/>
  <c r="F490" i="357"/>
  <c r="H490" i="357" s="1"/>
  <c r="F492" i="357"/>
  <c r="H492" i="357" s="1"/>
  <c r="F494" i="357"/>
  <c r="H494" i="357" s="1"/>
  <c r="F496" i="357"/>
  <c r="F498" i="357"/>
  <c r="H498" i="357" s="1"/>
  <c r="F500" i="357"/>
  <c r="H500" i="357" s="1"/>
  <c r="F502" i="357"/>
  <c r="F504" i="357"/>
  <c r="F506" i="357"/>
  <c r="H506" i="357" s="1"/>
  <c r="F508" i="357"/>
  <c r="H508" i="357" s="1"/>
  <c r="F510" i="357"/>
  <c r="H510" i="357" s="1"/>
  <c r="F512" i="357"/>
  <c r="F516" i="357"/>
  <c r="F518" i="357"/>
  <c r="H518" i="357" s="1"/>
  <c r="F520" i="357"/>
  <c r="H520" i="357" s="1"/>
  <c r="F522" i="357"/>
  <c r="H522" i="357" s="1"/>
  <c r="F524" i="357"/>
  <c r="F526" i="357"/>
  <c r="F528" i="357"/>
  <c r="H528" i="357" s="1"/>
  <c r="F530" i="357"/>
  <c r="H530" i="357" s="1"/>
  <c r="F532" i="357"/>
  <c r="H532" i="357" s="1"/>
  <c r="I532" i="357" s="1"/>
  <c r="F534" i="357"/>
  <c r="F536" i="357"/>
  <c r="H536" i="357" s="1"/>
  <c r="F538" i="357"/>
  <c r="H538" i="357" s="1"/>
  <c r="F540" i="357"/>
  <c r="H540" i="357" s="1"/>
  <c r="F542" i="357"/>
  <c r="F544" i="357"/>
  <c r="F546" i="357"/>
  <c r="H546" i="357" s="1"/>
  <c r="F548" i="357"/>
  <c r="H548" i="357" s="1"/>
  <c r="F550" i="357"/>
  <c r="H550" i="357" s="1"/>
  <c r="F303" i="357"/>
  <c r="H303" i="357" s="1"/>
  <c r="F305" i="357"/>
  <c r="F307" i="357"/>
  <c r="F313" i="357"/>
  <c r="H313" i="357" s="1"/>
  <c r="F315" i="357"/>
  <c r="H315" i="357" s="1"/>
  <c r="F317" i="357"/>
  <c r="F319" i="357"/>
  <c r="F321" i="357"/>
  <c r="H321" i="357" s="1"/>
  <c r="F323" i="357"/>
  <c r="F325" i="357"/>
  <c r="F327" i="357"/>
  <c r="F331" i="357"/>
  <c r="H331" i="357" s="1"/>
  <c r="F333" i="357"/>
  <c r="H333" i="357" s="1"/>
  <c r="F335" i="357"/>
  <c r="H335" i="357" s="1"/>
  <c r="F337" i="357"/>
  <c r="F339" i="357"/>
  <c r="H339" i="357" s="1"/>
  <c r="F345" i="357"/>
  <c r="H345" i="357" s="1"/>
  <c r="F347" i="357"/>
  <c r="H347" i="357" s="1"/>
  <c r="F349" i="357"/>
  <c r="F351" i="357"/>
  <c r="H351" i="357" s="1"/>
  <c r="F353" i="357"/>
  <c r="H353" i="357" s="1"/>
  <c r="F355" i="357"/>
  <c r="H355" i="357" s="1"/>
  <c r="F357" i="357"/>
  <c r="F359" i="357"/>
  <c r="H359" i="357" s="1"/>
  <c r="F361" i="357"/>
  <c r="H361" i="357" s="1"/>
  <c r="F363" i="357"/>
  <c r="H363" i="357" s="1"/>
  <c r="F365" i="357"/>
  <c r="F367" i="357"/>
  <c r="F369" i="357"/>
  <c r="H369" i="357" s="1"/>
  <c r="F371" i="357"/>
  <c r="H371" i="357" s="1"/>
  <c r="F375" i="357"/>
  <c r="H375" i="357" s="1"/>
  <c r="F377" i="357"/>
  <c r="F379" i="357"/>
  <c r="F381" i="357"/>
  <c r="H381" i="357" s="1"/>
  <c r="F383" i="357"/>
  <c r="F385" i="357"/>
  <c r="H385" i="357" s="1"/>
  <c r="F387" i="357"/>
  <c r="F389" i="357"/>
  <c r="H389" i="357" s="1"/>
  <c r="F391" i="357"/>
  <c r="F393" i="357"/>
  <c r="H393" i="357" s="1"/>
  <c r="F395" i="357"/>
  <c r="F397" i="357"/>
  <c r="H397" i="357" s="1"/>
  <c r="F399" i="357"/>
  <c r="H399" i="357" s="1"/>
  <c r="F401" i="357"/>
  <c r="F407" i="357"/>
  <c r="F409" i="357"/>
  <c r="H409" i="357" s="1"/>
  <c r="F411" i="357"/>
  <c r="H411" i="357" s="1"/>
  <c r="F413" i="357"/>
  <c r="H413" i="357" s="1"/>
  <c r="F415" i="357"/>
  <c r="F417" i="357"/>
  <c r="F419" i="357"/>
  <c r="H419" i="357" s="1"/>
  <c r="F421" i="357"/>
  <c r="H421" i="357" s="1"/>
  <c r="F423" i="357"/>
  <c r="F425" i="357"/>
  <c r="F427" i="357"/>
  <c r="H427" i="357" s="1"/>
  <c r="F429" i="357"/>
  <c r="H429" i="357" s="1"/>
  <c r="I429" i="357" s="1"/>
  <c r="F431" i="357"/>
  <c r="F433" i="357"/>
  <c r="F435" i="357"/>
  <c r="F437" i="357"/>
  <c r="F439" i="357"/>
  <c r="F441" i="357"/>
  <c r="F443" i="357"/>
  <c r="F445" i="357"/>
  <c r="F447" i="357"/>
  <c r="F449" i="357"/>
  <c r="F451" i="357"/>
  <c r="F453" i="357"/>
  <c r="F455" i="357"/>
  <c r="F457" i="357"/>
  <c r="F459" i="357"/>
  <c r="F461" i="357"/>
  <c r="F463" i="357"/>
  <c r="F465" i="357"/>
  <c r="F467" i="357"/>
  <c r="F471" i="357"/>
  <c r="H471" i="357" s="1"/>
  <c r="F473" i="357"/>
  <c r="F475" i="357"/>
  <c r="H475" i="357" s="1"/>
  <c r="F477" i="357"/>
  <c r="H477" i="357" s="1"/>
  <c r="F479" i="357"/>
  <c r="H479" i="357" s="1"/>
  <c r="F481" i="357"/>
  <c r="H481" i="357" s="1"/>
  <c r="F483" i="357"/>
  <c r="H483" i="357" s="1"/>
  <c r="F487" i="357"/>
  <c r="H487" i="357" s="1"/>
  <c r="F489" i="357"/>
  <c r="H489" i="357" s="1"/>
  <c r="F491" i="357"/>
  <c r="F493" i="357"/>
  <c r="H493" i="357" s="1"/>
  <c r="F495" i="357"/>
  <c r="H495" i="357" s="1"/>
  <c r="F497" i="357"/>
  <c r="H497" i="357" s="1"/>
  <c r="J497" i="357" s="1"/>
  <c r="F499" i="357"/>
  <c r="F501" i="357"/>
  <c r="F503" i="357"/>
  <c r="H503" i="357" s="1"/>
  <c r="F505" i="357"/>
  <c r="H505" i="357" s="1"/>
  <c r="F507" i="357"/>
  <c r="H507" i="357" s="1"/>
  <c r="F509" i="357"/>
  <c r="F511" i="357"/>
  <c r="H511" i="357" s="1"/>
  <c r="F517" i="357"/>
  <c r="H517" i="357" s="1"/>
  <c r="F519" i="357"/>
  <c r="H519" i="357" s="1"/>
  <c r="F521" i="357"/>
  <c r="H521" i="357" s="1"/>
  <c r="F523" i="357"/>
  <c r="H523" i="357" s="1"/>
  <c r="F525" i="357"/>
  <c r="H525" i="357" s="1"/>
  <c r="F527" i="357"/>
  <c r="F529" i="357"/>
  <c r="H529" i="357" s="1"/>
  <c r="J529" i="357" s="1"/>
  <c r="F531" i="357"/>
  <c r="H531" i="357" s="1"/>
  <c r="F533" i="357"/>
  <c r="H533" i="357" s="1"/>
  <c r="F535" i="357"/>
  <c r="H535" i="357" s="1"/>
  <c r="F537" i="357"/>
  <c r="H537" i="357" s="1"/>
  <c r="F539" i="357"/>
  <c r="H539" i="357" s="1"/>
  <c r="F541" i="357"/>
  <c r="H541" i="357" s="1"/>
  <c r="F543" i="357"/>
  <c r="H543" i="357" s="1"/>
  <c r="F545" i="357"/>
  <c r="H545" i="357" s="1"/>
  <c r="F547" i="357"/>
  <c r="F549" i="357"/>
  <c r="H549" i="357" s="1"/>
  <c r="E657" i="357"/>
  <c r="E661" i="357"/>
  <c r="E665" i="357"/>
  <c r="E669" i="357"/>
  <c r="E688" i="357"/>
  <c r="G688" i="357" s="1"/>
  <c r="E692" i="357"/>
  <c r="G692" i="357" s="1"/>
  <c r="I692" i="357" s="1"/>
  <c r="F696" i="357"/>
  <c r="F698" i="357"/>
  <c r="F700" i="357"/>
  <c r="F702" i="357"/>
  <c r="F704" i="357"/>
  <c r="F720" i="357"/>
  <c r="F722" i="357"/>
  <c r="F724" i="357"/>
  <c r="H724" i="357" s="1"/>
  <c r="F726" i="357"/>
  <c r="H726" i="357" s="1"/>
  <c r="F728" i="357"/>
  <c r="H728" i="357" s="1"/>
  <c r="F730" i="357"/>
  <c r="F732" i="357"/>
  <c r="F734" i="357"/>
  <c r="F736" i="357"/>
  <c r="F738" i="357"/>
  <c r="F740" i="357"/>
  <c r="F742" i="357"/>
  <c r="F744" i="357"/>
  <c r="F746" i="357"/>
  <c r="F763" i="357"/>
  <c r="H763" i="357" s="1"/>
  <c r="F765" i="357"/>
  <c r="H765" i="357" s="1"/>
  <c r="F767" i="357"/>
  <c r="F769" i="357"/>
  <c r="H769" i="357" s="1"/>
  <c r="F771" i="357"/>
  <c r="H771" i="357" s="1"/>
  <c r="F773" i="357"/>
  <c r="F775" i="357"/>
  <c r="F777" i="357"/>
  <c r="F779" i="357"/>
  <c r="F781" i="357"/>
  <c r="F797" i="357"/>
  <c r="H797" i="357" s="1"/>
  <c r="F799" i="357"/>
  <c r="F801" i="357"/>
  <c r="H801" i="357" s="1"/>
  <c r="F803" i="357"/>
  <c r="H803" i="357" s="1"/>
  <c r="F805" i="357"/>
  <c r="H805" i="357" s="1"/>
  <c r="F807" i="357"/>
  <c r="F813" i="357"/>
  <c r="H813" i="357" s="1"/>
  <c r="F815" i="357"/>
  <c r="F817" i="357"/>
  <c r="F819" i="357"/>
  <c r="F821" i="357"/>
  <c r="H821" i="357" s="1"/>
  <c r="F827" i="357"/>
  <c r="H827" i="357" s="1"/>
  <c r="F829" i="357"/>
  <c r="F835" i="357"/>
  <c r="H835" i="357" s="1"/>
  <c r="F837" i="357"/>
  <c r="H837" i="357" s="1"/>
  <c r="F839" i="357"/>
  <c r="H839" i="357" s="1"/>
  <c r="F841" i="357"/>
  <c r="F843" i="357"/>
  <c r="H843" i="357" s="1"/>
  <c r="F845" i="357"/>
  <c r="F847" i="357"/>
  <c r="F849" i="357"/>
  <c r="F851" i="357"/>
  <c r="F853" i="357"/>
  <c r="F855" i="357"/>
  <c r="F857" i="357"/>
  <c r="F859" i="357"/>
  <c r="F876" i="357"/>
  <c r="H876" i="357" s="1"/>
  <c r="F878" i="357"/>
  <c r="F880" i="357"/>
  <c r="H880" i="357" s="1"/>
  <c r="F882" i="357"/>
  <c r="H882" i="357" s="1"/>
  <c r="F884" i="357"/>
  <c r="H884" i="357" s="1"/>
  <c r="F886" i="357"/>
  <c r="H886" i="357" s="1"/>
  <c r="F888" i="357"/>
  <c r="F890" i="357"/>
  <c r="F892" i="357"/>
  <c r="F894" i="357"/>
  <c r="F896" i="357"/>
  <c r="F908" i="357"/>
  <c r="F911" i="357"/>
  <c r="F915" i="357"/>
  <c r="H915" i="357" s="1"/>
  <c r="F922" i="357"/>
  <c r="H922" i="357" s="1"/>
  <c r="F926" i="357"/>
  <c r="H926" i="357" s="1"/>
  <c r="F930" i="357"/>
  <c r="H930" i="357" s="1"/>
  <c r="F934" i="357"/>
  <c r="H934" i="357" s="1"/>
  <c r="F936" i="357"/>
  <c r="H936" i="357" s="1"/>
  <c r="F950" i="357"/>
  <c r="H950" i="357" s="1"/>
  <c r="F954" i="357"/>
  <c r="H954" i="357" s="1"/>
  <c r="F956" i="357"/>
  <c r="H956" i="357" s="1"/>
  <c r="F958" i="357"/>
  <c r="H958" i="357" s="1"/>
  <c r="F960" i="357"/>
  <c r="H960" i="357" s="1"/>
  <c r="F962" i="357"/>
  <c r="H962" i="357" s="1"/>
  <c r="F964" i="357"/>
  <c r="H964" i="357" s="1"/>
  <c r="F966" i="357"/>
  <c r="H966" i="357" s="1"/>
  <c r="F968" i="357"/>
  <c r="H968" i="357" s="1"/>
  <c r="F974" i="357"/>
  <c r="F976" i="357"/>
  <c r="H976" i="357" s="1"/>
  <c r="F978" i="357"/>
  <c r="H978" i="357" s="1"/>
  <c r="F980" i="357"/>
  <c r="F982" i="357"/>
  <c r="F984" i="357"/>
  <c r="H984" i="357" s="1"/>
  <c r="F986" i="357"/>
  <c r="H986" i="357" s="1"/>
  <c r="F988" i="357"/>
  <c r="H988" i="357" s="1"/>
  <c r="F990" i="357"/>
  <c r="F996" i="357"/>
  <c r="H996" i="357" s="1"/>
  <c r="F998" i="357"/>
  <c r="H998" i="357" s="1"/>
  <c r="F1000" i="357"/>
  <c r="F1002" i="357"/>
  <c r="F1004" i="357"/>
  <c r="H1004" i="357" s="1"/>
  <c r="F1006" i="357"/>
  <c r="H1006" i="357" s="1"/>
  <c r="F1008" i="357"/>
  <c r="H1008" i="357" s="1"/>
  <c r="F1010" i="357"/>
  <c r="H1010" i="357" s="1"/>
  <c r="F1016" i="357"/>
  <c r="H1016" i="357" s="1"/>
  <c r="F1018" i="357"/>
  <c r="H1018" i="357" s="1"/>
  <c r="F1020" i="357"/>
  <c r="F1022" i="357"/>
  <c r="F1024" i="357"/>
  <c r="H1024" i="357" s="1"/>
  <c r="F1026" i="357"/>
  <c r="F1028" i="357"/>
  <c r="H1028" i="357" s="1"/>
  <c r="F1030" i="357"/>
  <c r="H1030" i="357" s="1"/>
  <c r="F1032" i="357"/>
  <c r="H1032" i="357" s="1"/>
  <c r="F1038" i="357"/>
  <c r="H1038" i="357" s="1"/>
  <c r="F1040" i="357"/>
  <c r="F1046" i="357"/>
  <c r="H1046" i="357" s="1"/>
  <c r="F1052" i="357"/>
  <c r="H1052" i="357" s="1"/>
  <c r="F1054" i="357"/>
  <c r="F1056" i="357"/>
  <c r="H1056" i="357" s="1"/>
  <c r="F1058" i="357"/>
  <c r="H1058" i="357" s="1"/>
  <c r="F1060" i="357"/>
  <c r="H1060" i="357" s="1"/>
  <c r="F1062" i="357"/>
  <c r="F1064" i="357"/>
  <c r="H1064" i="357" s="1"/>
  <c r="F1066" i="357"/>
  <c r="H1066" i="357" s="1"/>
  <c r="F1072" i="357"/>
  <c r="H1072" i="357" s="1"/>
  <c r="F1074" i="357"/>
  <c r="H1074" i="357" s="1"/>
  <c r="F1076" i="357"/>
  <c r="F1078" i="357"/>
  <c r="H1078" i="357" s="1"/>
  <c r="F1080" i="357"/>
  <c r="H1080" i="357" s="1"/>
  <c r="F1082" i="357"/>
  <c r="F1084" i="357"/>
  <c r="H1084" i="357" s="1"/>
  <c r="F1086" i="357"/>
  <c r="H1086" i="357" s="1"/>
  <c r="F1088" i="357"/>
  <c r="H1088" i="357" s="1"/>
  <c r="F1094" i="357"/>
  <c r="F1096" i="357"/>
  <c r="H1096" i="357" s="1"/>
  <c r="F1102" i="357"/>
  <c r="H1102" i="357" s="1"/>
  <c r="F1104" i="357"/>
  <c r="F1106" i="357"/>
  <c r="F1108" i="357"/>
  <c r="F1110" i="357"/>
  <c r="H1110" i="357" s="1"/>
  <c r="F1112" i="357"/>
  <c r="F1114" i="357"/>
  <c r="F1116" i="357"/>
  <c r="H1116" i="357" s="1"/>
  <c r="F1118" i="357"/>
  <c r="H1118" i="357" s="1"/>
  <c r="F1124" i="357"/>
  <c r="F1130" i="357"/>
  <c r="H1130" i="357" s="1"/>
  <c r="F1132" i="357"/>
  <c r="H1132" i="357" s="1"/>
  <c r="F1138" i="357"/>
  <c r="H1138" i="357" s="1"/>
  <c r="F1140" i="357"/>
  <c r="H1140" i="357" s="1"/>
  <c r="F1142" i="357"/>
  <c r="H1142" i="357" s="1"/>
  <c r="F1144" i="357"/>
  <c r="H1144" i="357" s="1"/>
  <c r="F1146" i="357"/>
  <c r="F1148" i="357"/>
  <c r="F1150" i="357"/>
  <c r="H1150" i="357" s="1"/>
  <c r="F1152" i="357"/>
  <c r="H1152" i="357" s="1"/>
  <c r="F1158" i="357"/>
  <c r="F1160" i="357"/>
  <c r="H1160" i="357" s="1"/>
  <c r="F1162" i="357"/>
  <c r="H1162" i="357" s="1"/>
  <c r="F1164" i="357"/>
  <c r="H1164" i="357" s="1"/>
  <c r="F1166" i="357"/>
  <c r="F1168" i="357"/>
  <c r="F1170" i="357"/>
  <c r="H1170" i="357" s="1"/>
  <c r="F1172" i="357"/>
  <c r="H1172" i="357" s="1"/>
  <c r="F656" i="357"/>
  <c r="F660" i="357"/>
  <c r="H660" i="357" s="1"/>
  <c r="F664" i="357"/>
  <c r="F668" i="357"/>
  <c r="F687" i="357"/>
  <c r="H687" i="357" s="1"/>
  <c r="F691" i="357"/>
  <c r="H691" i="357" s="1"/>
  <c r="F653" i="357"/>
  <c r="E655" i="357"/>
  <c r="E659" i="357"/>
  <c r="E663" i="357"/>
  <c r="E667" i="357"/>
  <c r="E671" i="357"/>
  <c r="E686" i="357"/>
  <c r="G686" i="357" s="1"/>
  <c r="E690" i="357"/>
  <c r="E694" i="357"/>
  <c r="G694" i="357" s="1"/>
  <c r="F695" i="357"/>
  <c r="H695" i="357" s="1"/>
  <c r="F697" i="357"/>
  <c r="F699" i="357"/>
  <c r="F701" i="357"/>
  <c r="F703" i="357"/>
  <c r="F705" i="357"/>
  <c r="F721" i="357"/>
  <c r="H721" i="357" s="1"/>
  <c r="F723" i="357"/>
  <c r="H723" i="357" s="1"/>
  <c r="F725" i="357"/>
  <c r="H725" i="357" s="1"/>
  <c r="F727" i="357"/>
  <c r="H727" i="357" s="1"/>
  <c r="F729" i="357"/>
  <c r="H729" i="357" s="1"/>
  <c r="F731" i="357"/>
  <c r="F733" i="357"/>
  <c r="F735" i="357"/>
  <c r="F737" i="357"/>
  <c r="F739" i="357"/>
  <c r="F741" i="357"/>
  <c r="F743" i="357"/>
  <c r="F745" i="357"/>
  <c r="F762" i="357"/>
  <c r="F764" i="357"/>
  <c r="H764" i="357" s="1"/>
  <c r="F766" i="357"/>
  <c r="H766" i="357" s="1"/>
  <c r="F768" i="357"/>
  <c r="H768" i="357" s="1"/>
  <c r="F770" i="357"/>
  <c r="H770" i="357" s="1"/>
  <c r="F772" i="357"/>
  <c r="F774" i="357"/>
  <c r="F776" i="357"/>
  <c r="F778" i="357"/>
  <c r="F780" i="357"/>
  <c r="F782" i="357"/>
  <c r="F798" i="357"/>
  <c r="H798" i="357" s="1"/>
  <c r="F800" i="357"/>
  <c r="H800" i="357" s="1"/>
  <c r="F802" i="357"/>
  <c r="F804" i="357"/>
  <c r="F806" i="357"/>
  <c r="H806" i="357" s="1"/>
  <c r="F812" i="357"/>
  <c r="H812" i="357" s="1"/>
  <c r="F814" i="357"/>
  <c r="H814" i="357" s="1"/>
  <c r="F816" i="357"/>
  <c r="H816" i="357" s="1"/>
  <c r="F818" i="357"/>
  <c r="H818" i="357" s="1"/>
  <c r="F820" i="357"/>
  <c r="H820" i="357" s="1"/>
  <c r="F822" i="357"/>
  <c r="H822" i="357" s="1"/>
  <c r="F828" i="357"/>
  <c r="H828" i="357" s="1"/>
  <c r="F834" i="357"/>
  <c r="H834" i="357" s="1"/>
  <c r="F836" i="357"/>
  <c r="H836" i="357" s="1"/>
  <c r="J836" i="357" s="1"/>
  <c r="F838" i="357"/>
  <c r="H838" i="357" s="1"/>
  <c r="F840" i="357"/>
  <c r="H840" i="357" s="1"/>
  <c r="F842" i="357"/>
  <c r="H842" i="357" s="1"/>
  <c r="F844" i="357"/>
  <c r="F846" i="357"/>
  <c r="F848" i="357"/>
  <c r="F850" i="357"/>
  <c r="F852" i="357"/>
  <c r="F854" i="357"/>
  <c r="F856" i="357"/>
  <c r="F858" i="357"/>
  <c r="F877" i="357"/>
  <c r="F879" i="357"/>
  <c r="H879" i="357" s="1"/>
  <c r="F881" i="357"/>
  <c r="H881" i="357" s="1"/>
  <c r="F883" i="357"/>
  <c r="F885" i="357"/>
  <c r="H885" i="357" s="1"/>
  <c r="F887" i="357"/>
  <c r="F889" i="357"/>
  <c r="F891" i="357"/>
  <c r="F893" i="357"/>
  <c r="F895" i="357"/>
  <c r="F909" i="357"/>
  <c r="F916" i="357"/>
  <c r="F921" i="357"/>
  <c r="H921" i="357" s="1"/>
  <c r="F935" i="357"/>
  <c r="F937" i="357"/>
  <c r="H937" i="357" s="1"/>
  <c r="F941" i="357"/>
  <c r="F945" i="357"/>
  <c r="F953" i="357"/>
  <c r="H953" i="357" s="1"/>
  <c r="F955" i="357"/>
  <c r="H955" i="357" s="1"/>
  <c r="F957" i="357"/>
  <c r="F959" i="357"/>
  <c r="F961" i="357"/>
  <c r="H961" i="357" s="1"/>
  <c r="F963" i="357"/>
  <c r="H963" i="357" s="1"/>
  <c r="F965" i="357"/>
  <c r="H965" i="357" s="1"/>
  <c r="F967" i="357"/>
  <c r="F969" i="357"/>
  <c r="F975" i="357"/>
  <c r="H975" i="357" s="1"/>
  <c r="F977" i="357"/>
  <c r="H977" i="357" s="1"/>
  <c r="F979" i="357"/>
  <c r="F981" i="357"/>
  <c r="H981" i="357" s="1"/>
  <c r="F983" i="357"/>
  <c r="H983" i="357" s="1"/>
  <c r="F985" i="357"/>
  <c r="H985" i="357" s="1"/>
  <c r="F987" i="357"/>
  <c r="F989" i="357"/>
  <c r="H989" i="357" s="1"/>
  <c r="F995" i="357"/>
  <c r="F997" i="357"/>
  <c r="F999" i="357"/>
  <c r="H999" i="357" s="1"/>
  <c r="F1001" i="357"/>
  <c r="H1001" i="357" s="1"/>
  <c r="F1003" i="357"/>
  <c r="H1003" i="357" s="1"/>
  <c r="F1005" i="357"/>
  <c r="F1007" i="357"/>
  <c r="F1009" i="357"/>
  <c r="H1009" i="357" s="1"/>
  <c r="F1011" i="357"/>
  <c r="H1011" i="357" s="1"/>
  <c r="F1017" i="357"/>
  <c r="H1017" i="357" s="1"/>
  <c r="F1019" i="357"/>
  <c r="H1019" i="357" s="1"/>
  <c r="F1021" i="357"/>
  <c r="H1021" i="357" s="1"/>
  <c r="F1023" i="357"/>
  <c r="H1023" i="357" s="1"/>
  <c r="F1025" i="357"/>
  <c r="H1025" i="357" s="1"/>
  <c r="F1027" i="357"/>
  <c r="F1029" i="357"/>
  <c r="H1029" i="357" s="1"/>
  <c r="F1031" i="357"/>
  <c r="H1031" i="357" s="1"/>
  <c r="F1037" i="357"/>
  <c r="F1039" i="357"/>
  <c r="H1039" i="357" s="1"/>
  <c r="F1041" i="357"/>
  <c r="H1041" i="357" s="1"/>
  <c r="F1045" i="357"/>
  <c r="H1045" i="357" s="1"/>
  <c r="F1051" i="357"/>
  <c r="F1053" i="357"/>
  <c r="H1053" i="357" s="1"/>
  <c r="F1055" i="357"/>
  <c r="H1055" i="357" s="1"/>
  <c r="F1057" i="357"/>
  <c r="F1059" i="357"/>
  <c r="F1061" i="357"/>
  <c r="H1061" i="357" s="1"/>
  <c r="F1063" i="357"/>
  <c r="H1063" i="357" s="1"/>
  <c r="F1065" i="357"/>
  <c r="H1065" i="357" s="1"/>
  <c r="J1065" i="357" s="1"/>
  <c r="F1067" i="357"/>
  <c r="F1073" i="357"/>
  <c r="H1073" i="357" s="1"/>
  <c r="F1075" i="357"/>
  <c r="H1075" i="357" s="1"/>
  <c r="F1077" i="357"/>
  <c r="H1077" i="357" s="1"/>
  <c r="F1079" i="357"/>
  <c r="F1081" i="357"/>
  <c r="F1083" i="357"/>
  <c r="F1085" i="357"/>
  <c r="H1085" i="357" s="1"/>
  <c r="F1087" i="357"/>
  <c r="H1087" i="357" s="1"/>
  <c r="F1093" i="357"/>
  <c r="H1093" i="357" s="1"/>
  <c r="F1095" i="357"/>
  <c r="H1095" i="357" s="1"/>
  <c r="F1097" i="357"/>
  <c r="F1103" i="357"/>
  <c r="H1103" i="357" s="1"/>
  <c r="F1105" i="357"/>
  <c r="H1105" i="357" s="1"/>
  <c r="F1107" i="357"/>
  <c r="F1109" i="357"/>
  <c r="H1109" i="357" s="1"/>
  <c r="F1111" i="357"/>
  <c r="F1113" i="357"/>
  <c r="H1113" i="357" s="1"/>
  <c r="F1115" i="357"/>
  <c r="H1115" i="357" s="1"/>
  <c r="F1117" i="357"/>
  <c r="F1123" i="357"/>
  <c r="H1123" i="357" s="1"/>
  <c r="F1125" i="357"/>
  <c r="H1125" i="357" s="1"/>
  <c r="F1131" i="357"/>
  <c r="F1137" i="357"/>
  <c r="H1137" i="357" s="1"/>
  <c r="F1139" i="357"/>
  <c r="H1139" i="357" s="1"/>
  <c r="F1141" i="357"/>
  <c r="H1141" i="357" s="1"/>
  <c r="F1143" i="357"/>
  <c r="F1145" i="357"/>
  <c r="H1145" i="357" s="1"/>
  <c r="F1147" i="357"/>
  <c r="H1147" i="357" s="1"/>
  <c r="F1149" i="357"/>
  <c r="H1149" i="357" s="1"/>
  <c r="F1151" i="357"/>
  <c r="H1151" i="357" s="1"/>
  <c r="F1153" i="357"/>
  <c r="F1159" i="357"/>
  <c r="H1159" i="357" s="1"/>
  <c r="F1161" i="357"/>
  <c r="F1163" i="357"/>
  <c r="F1165" i="357"/>
  <c r="H1165" i="357" s="1"/>
  <c r="F1167" i="357"/>
  <c r="H1167" i="357" s="1"/>
  <c r="F1169" i="357"/>
  <c r="H1169" i="357" s="1"/>
  <c r="F1171" i="357"/>
  <c r="F1173" i="357"/>
  <c r="F654" i="357"/>
  <c r="H654" i="357" s="1"/>
  <c r="F658" i="357"/>
  <c r="F662" i="357"/>
  <c r="F666" i="357"/>
  <c r="F670" i="357"/>
  <c r="F685" i="357"/>
  <c r="H685" i="357" s="1"/>
  <c r="F689" i="357"/>
  <c r="H689" i="357" s="1"/>
  <c r="F693" i="357"/>
  <c r="H693" i="357" s="1"/>
  <c r="F1347" i="357"/>
  <c r="H1347" i="357" s="1"/>
  <c r="F1351" i="357"/>
  <c r="H1351" i="357" s="1"/>
  <c r="F1355" i="357"/>
  <c r="F1366" i="357"/>
  <c r="H1366" i="357" s="1"/>
  <c r="F1370" i="357"/>
  <c r="F1374" i="357"/>
  <c r="F1381" i="357"/>
  <c r="H1381" i="357" s="1"/>
  <c r="F1387" i="357"/>
  <c r="H1387" i="357" s="1"/>
  <c r="F1393" i="357"/>
  <c r="F1397" i="357"/>
  <c r="H1397" i="357" s="1"/>
  <c r="F1401" i="357"/>
  <c r="H1401" i="357" s="1"/>
  <c r="F1411" i="357"/>
  <c r="F1419" i="357"/>
  <c r="H1419" i="357" s="1"/>
  <c r="F1426" i="357"/>
  <c r="H1426" i="357" s="1"/>
  <c r="F1432" i="357"/>
  <c r="H1432" i="357" s="1"/>
  <c r="F1434" i="357"/>
  <c r="H1434" i="357" s="1"/>
  <c r="F1436" i="357"/>
  <c r="H1436" i="357" s="1"/>
  <c r="F1438" i="357"/>
  <c r="F1440" i="357"/>
  <c r="F1442" i="357"/>
  <c r="H1442" i="357" s="1"/>
  <c r="F1444" i="357"/>
  <c r="H1444" i="357" s="1"/>
  <c r="F1455" i="357"/>
  <c r="H1455" i="357" s="1"/>
  <c r="F1459" i="357"/>
  <c r="H1459" i="357" s="1"/>
  <c r="F1461" i="357"/>
  <c r="F1463" i="357"/>
  <c r="H1463" i="357" s="1"/>
  <c r="F1467" i="357"/>
  <c r="F1471" i="357"/>
  <c r="H1471" i="357" s="1"/>
  <c r="F1477" i="357"/>
  <c r="H1477" i="357" s="1"/>
  <c r="F1482" i="357"/>
  <c r="H1482" i="357" s="1"/>
  <c r="F1488" i="357"/>
  <c r="F1490" i="357"/>
  <c r="H1490" i="357" s="1"/>
  <c r="F1494" i="357"/>
  <c r="H1494" i="357" s="1"/>
  <c r="F1496" i="357"/>
  <c r="F1499" i="357"/>
  <c r="F1502" i="357"/>
  <c r="F1506" i="357"/>
  <c r="H1506" i="357" s="1"/>
  <c r="F1508" i="357"/>
  <c r="H1508" i="357" s="1"/>
  <c r="F1510" i="357"/>
  <c r="H1510" i="357" s="1"/>
  <c r="F1511" i="357"/>
  <c r="H1511" i="357" s="1"/>
  <c r="F1521" i="357"/>
  <c r="F1531" i="357"/>
  <c r="F1535" i="357"/>
  <c r="F1548" i="357"/>
  <c r="H1548" i="357" s="1"/>
  <c r="F1557" i="357"/>
  <c r="F1559" i="357"/>
  <c r="H1559" i="357" s="1"/>
  <c r="F1561" i="357"/>
  <c r="H1561" i="357" s="1"/>
  <c r="F1566" i="357"/>
  <c r="H1566" i="357" s="1"/>
  <c r="F1571" i="357"/>
  <c r="H1571" i="357" s="1"/>
  <c r="F1573" i="357"/>
  <c r="H1573" i="357" s="1"/>
  <c r="F1575" i="357"/>
  <c r="H1575" i="357" s="1"/>
  <c r="F1577" i="357"/>
  <c r="F1579" i="357"/>
  <c r="F1581" i="357"/>
  <c r="H1581" i="357" s="1"/>
  <c r="F1583" i="357"/>
  <c r="H1583" i="357" s="1"/>
  <c r="F1585" i="357"/>
  <c r="F1587" i="357"/>
  <c r="H1587" i="357" s="1"/>
  <c r="F1589" i="357"/>
  <c r="H1589" i="357" s="1"/>
  <c r="F1591" i="357"/>
  <c r="F1593" i="357"/>
  <c r="H1593" i="357" s="1"/>
  <c r="F1595" i="357"/>
  <c r="F1597" i="357"/>
  <c r="F1599" i="357"/>
  <c r="H1599" i="357" s="1"/>
  <c r="F1601" i="357"/>
  <c r="F1603" i="357"/>
  <c r="F1605" i="357"/>
  <c r="F1607" i="357"/>
  <c r="F1609" i="357"/>
  <c r="F1611" i="357"/>
  <c r="F1613" i="357"/>
  <c r="F1615" i="357"/>
  <c r="F1617" i="357"/>
  <c r="F1619" i="357"/>
  <c r="F1621" i="357"/>
  <c r="F1623" i="357"/>
  <c r="F1625" i="357"/>
  <c r="F1627" i="357"/>
  <c r="F1629" i="357"/>
  <c r="H1629" i="357" s="1"/>
  <c r="F1631" i="357"/>
  <c r="H1631" i="357" s="1"/>
  <c r="F1633" i="357"/>
  <c r="H1633" i="357" s="1"/>
  <c r="F1635" i="357"/>
  <c r="H1635" i="357" s="1"/>
  <c r="F1637" i="357"/>
  <c r="F1639" i="357"/>
  <c r="F1641" i="357"/>
  <c r="F1643" i="357"/>
  <c r="F1645" i="357"/>
  <c r="H1645" i="357" s="1"/>
  <c r="F1647" i="357"/>
  <c r="H1647" i="357" s="1"/>
  <c r="F1649" i="357"/>
  <c r="F1651" i="357"/>
  <c r="F1653" i="357"/>
  <c r="F1655" i="357"/>
  <c r="F1657" i="357"/>
  <c r="F1659" i="357"/>
  <c r="H1659" i="357" s="1"/>
  <c r="F1661" i="357"/>
  <c r="F1663" i="357"/>
  <c r="H1663" i="357" s="1"/>
  <c r="F1665" i="357"/>
  <c r="H1665" i="357" s="1"/>
  <c r="F1667" i="357"/>
  <c r="F1669" i="357"/>
  <c r="F1671" i="357"/>
  <c r="H1671" i="357" s="1"/>
  <c r="F1673" i="357"/>
  <c r="H1673" i="357" s="1"/>
  <c r="F1675" i="357"/>
  <c r="H1675" i="357" s="1"/>
  <c r="F1677" i="357"/>
  <c r="F1679" i="357"/>
  <c r="F1681" i="357"/>
  <c r="H1681" i="357" s="1"/>
  <c r="F1683" i="357"/>
  <c r="F1685" i="357"/>
  <c r="F1687" i="357"/>
  <c r="F1689" i="357"/>
  <c r="H1689" i="357" s="1"/>
  <c r="F1691" i="357"/>
  <c r="F1693" i="357"/>
  <c r="H1693" i="357" s="1"/>
  <c r="F1695" i="357"/>
  <c r="H1695" i="357" s="1"/>
  <c r="F1697" i="357"/>
  <c r="F1701" i="357"/>
  <c r="H1701" i="357" s="1"/>
  <c r="F1345" i="357"/>
  <c r="H1345" i="357" s="1"/>
  <c r="F1349" i="357"/>
  <c r="F1353" i="357"/>
  <c r="H1353" i="357" s="1"/>
  <c r="F1357" i="357"/>
  <c r="F1364" i="357"/>
  <c r="H1364" i="357" s="1"/>
  <c r="F1368" i="357"/>
  <c r="F1372" i="357"/>
  <c r="H1372" i="357" s="1"/>
  <c r="F1376" i="357"/>
  <c r="F1389" i="357"/>
  <c r="H1389" i="357" s="1"/>
  <c r="F1395" i="357"/>
  <c r="F1399" i="357"/>
  <c r="H1399" i="357" s="1"/>
  <c r="F1403" i="357"/>
  <c r="H1403" i="357" s="1"/>
  <c r="F1409" i="357"/>
  <c r="H1409" i="357" s="1"/>
  <c r="F1414" i="357"/>
  <c r="F1428" i="357"/>
  <c r="H1428" i="357" s="1"/>
  <c r="F1433" i="357"/>
  <c r="H1433" i="357" s="1"/>
  <c r="F1435" i="357"/>
  <c r="H1435" i="357" s="1"/>
  <c r="F1437" i="357"/>
  <c r="H1437" i="357" s="1"/>
  <c r="F1439" i="357"/>
  <c r="H1439" i="357" s="1"/>
  <c r="F1441" i="357"/>
  <c r="F1443" i="357"/>
  <c r="F1445" i="357"/>
  <c r="F1454" i="357"/>
  <c r="H1454" i="357" s="1"/>
  <c r="F1460" i="357"/>
  <c r="H1460" i="357" s="1"/>
  <c r="J1460" i="357" s="1"/>
  <c r="F1462" i="357"/>
  <c r="H1462" i="357" s="1"/>
  <c r="F1472" i="357"/>
  <c r="H1472" i="357" s="1"/>
  <c r="F1487" i="357"/>
  <c r="H1487" i="357" s="1"/>
  <c r="F1489" i="357"/>
  <c r="H1489" i="357" s="1"/>
  <c r="F1495" i="357"/>
  <c r="F1507" i="357"/>
  <c r="F1509" i="357"/>
  <c r="F1478" i="357"/>
  <c r="H1478" i="357" s="1"/>
  <c r="F1516" i="357"/>
  <c r="F1526" i="357"/>
  <c r="F1540" i="357"/>
  <c r="F1543" i="357"/>
  <c r="H1543" i="357" s="1"/>
  <c r="F1556" i="357"/>
  <c r="H1556" i="357" s="1"/>
  <c r="F1558" i="357"/>
  <c r="H1558" i="357" s="1"/>
  <c r="F1560" i="357"/>
  <c r="F1565" i="357"/>
  <c r="H1565" i="357" s="1"/>
  <c r="F1572" i="357"/>
  <c r="H1572" i="357" s="1"/>
  <c r="F1574" i="357"/>
  <c r="F1576" i="357"/>
  <c r="H1576" i="357" s="1"/>
  <c r="F1578" i="357"/>
  <c r="H1578" i="357" s="1"/>
  <c r="F1580" i="357"/>
  <c r="H1580" i="357" s="1"/>
  <c r="F1582" i="357"/>
  <c r="H1582" i="357" s="1"/>
  <c r="F1584" i="357"/>
  <c r="F1586" i="357"/>
  <c r="H1586" i="357" s="1"/>
  <c r="F1588" i="357"/>
  <c r="F1590" i="357"/>
  <c r="H1590" i="357" s="1"/>
  <c r="F1592" i="357"/>
  <c r="H1592" i="357" s="1"/>
  <c r="F1594" i="357"/>
  <c r="H1594" i="357" s="1"/>
  <c r="F1596" i="357"/>
  <c r="H1596" i="357" s="1"/>
  <c r="F1598" i="357"/>
  <c r="H1598" i="357" s="1"/>
  <c r="F1600" i="357"/>
  <c r="F1602" i="357"/>
  <c r="F1604" i="357"/>
  <c r="F1606" i="357"/>
  <c r="F1608" i="357"/>
  <c r="F1610" i="357"/>
  <c r="F1612" i="357"/>
  <c r="F1614" i="357"/>
  <c r="F1616" i="357"/>
  <c r="F1618" i="357"/>
  <c r="F1620" i="357"/>
  <c r="F1622" i="357"/>
  <c r="F1624" i="357"/>
  <c r="F1626" i="357"/>
  <c r="F1630" i="357"/>
  <c r="F1632" i="357"/>
  <c r="H1632" i="357" s="1"/>
  <c r="F1634" i="357"/>
  <c r="F1636" i="357"/>
  <c r="H1636" i="357" s="1"/>
  <c r="F1638" i="357"/>
  <c r="F1640" i="357"/>
  <c r="H1640" i="357" s="1"/>
  <c r="F1642" i="357"/>
  <c r="H1642" i="357" s="1"/>
  <c r="F1644" i="357"/>
  <c r="F1646" i="357"/>
  <c r="F1648" i="357"/>
  <c r="H1648" i="357" s="1"/>
  <c r="F1650" i="357"/>
  <c r="H1650" i="357" s="1"/>
  <c r="F1652" i="357"/>
  <c r="F1654" i="357"/>
  <c r="F1656" i="357"/>
  <c r="H1656" i="357" s="1"/>
  <c r="F1658" i="357"/>
  <c r="F1660" i="357"/>
  <c r="H1660" i="357" s="1"/>
  <c r="F1662" i="357"/>
  <c r="H1662" i="357" s="1"/>
  <c r="F1664" i="357"/>
  <c r="H1664" i="357" s="1"/>
  <c r="F1666" i="357"/>
  <c r="H1666" i="357" s="1"/>
  <c r="F1668" i="357"/>
  <c r="F1670" i="357"/>
  <c r="F1672" i="357"/>
  <c r="H1672" i="357" s="1"/>
  <c r="F1674" i="357"/>
  <c r="H1674" i="357" s="1"/>
  <c r="F1676" i="357"/>
  <c r="H1676" i="357" s="1"/>
  <c r="F1678" i="357"/>
  <c r="F1680" i="357"/>
  <c r="H1680" i="357" s="1"/>
  <c r="F1682" i="357"/>
  <c r="F1684" i="357"/>
  <c r="H1684" i="357" s="1"/>
  <c r="F1686" i="357"/>
  <c r="H1686" i="357" s="1"/>
  <c r="F1688" i="357"/>
  <c r="F1690" i="357"/>
  <c r="F1692" i="357"/>
  <c r="F1694" i="357"/>
  <c r="H1694" i="357" s="1"/>
  <c r="F1696" i="357"/>
  <c r="F1702" i="357"/>
  <c r="H1702" i="357" s="1"/>
  <c r="F1765" i="357"/>
  <c r="F1767" i="357"/>
  <c r="F1769" i="357"/>
  <c r="F1771" i="357"/>
  <c r="H1771" i="357" s="1"/>
  <c r="F1773" i="357"/>
  <c r="H1773" i="357" s="1"/>
  <c r="F1775" i="357"/>
  <c r="F1777" i="357"/>
  <c r="H1777" i="357" s="1"/>
  <c r="F1779" i="357"/>
  <c r="H1779" i="357" s="1"/>
  <c r="F1781" i="357"/>
  <c r="F1783" i="357"/>
  <c r="F1785" i="357"/>
  <c r="F1787" i="357"/>
  <c r="H1787" i="357" s="1"/>
  <c r="F1789" i="357"/>
  <c r="F1791" i="357"/>
  <c r="F1793" i="357"/>
  <c r="F1827" i="357"/>
  <c r="F1829" i="357"/>
  <c r="F1831" i="357"/>
  <c r="F1833" i="357"/>
  <c r="F1835" i="357"/>
  <c r="F1837" i="357"/>
  <c r="F1839" i="357"/>
  <c r="F1841" i="357"/>
  <c r="F1843" i="357"/>
  <c r="F1845" i="357"/>
  <c r="F1847" i="357"/>
  <c r="F1849" i="357"/>
  <c r="F1851" i="357"/>
  <c r="F1853" i="357"/>
  <c r="F1798" i="357"/>
  <c r="H1798" i="357" s="1"/>
  <c r="F1800" i="357"/>
  <c r="H1800" i="357" s="1"/>
  <c r="F1802" i="357"/>
  <c r="F1804" i="357"/>
  <c r="F1806" i="357"/>
  <c r="H1806" i="357" s="1"/>
  <c r="F1808" i="357"/>
  <c r="F1810" i="357"/>
  <c r="H1810" i="357" s="1"/>
  <c r="F1812" i="357"/>
  <c r="H1812" i="357" s="1"/>
  <c r="F1814" i="357"/>
  <c r="F1816" i="357"/>
  <c r="H1816" i="357" s="1"/>
  <c r="F1818" i="357"/>
  <c r="H1818" i="357" s="1"/>
  <c r="F1820" i="357"/>
  <c r="H1820" i="357" s="1"/>
  <c r="F1822" i="357"/>
  <c r="F1824" i="357"/>
  <c r="H1824" i="357" s="1"/>
  <c r="F1860" i="357"/>
  <c r="F1866" i="357"/>
  <c r="F1868" i="357"/>
  <c r="H1868" i="357" s="1"/>
  <c r="F1874" i="357"/>
  <c r="F1876" i="357"/>
  <c r="F1878" i="357"/>
  <c r="F1880" i="357"/>
  <c r="H1880" i="357" s="1"/>
  <c r="F1882" i="357"/>
  <c r="H1882" i="357" s="1"/>
  <c r="F1884" i="357"/>
  <c r="H1884" i="357" s="1"/>
  <c r="F1886" i="357"/>
  <c r="H1886" i="357" s="1"/>
  <c r="F1890" i="357"/>
  <c r="H1890" i="357" s="1"/>
  <c r="F1892" i="357"/>
  <c r="F1894" i="357"/>
  <c r="F1896" i="357"/>
  <c r="H1896" i="357" s="1"/>
  <c r="F1898" i="357"/>
  <c r="H1898" i="357" s="1"/>
  <c r="F1900" i="357"/>
  <c r="F1902" i="357"/>
  <c r="F1904" i="357"/>
  <c r="H1904" i="357" s="1"/>
  <c r="F1908" i="357"/>
  <c r="H1908" i="357" s="1"/>
  <c r="F1910" i="357"/>
  <c r="H1910" i="357" s="1"/>
  <c r="F1914" i="357"/>
  <c r="F1918" i="357"/>
  <c r="F1922" i="357"/>
  <c r="H1922" i="357" s="1"/>
  <c r="F1924" i="357"/>
  <c r="F1926" i="357"/>
  <c r="H1926" i="357" s="1"/>
  <c r="F1928" i="357"/>
  <c r="F1930" i="357"/>
  <c r="F1935" i="357"/>
  <c r="H1935" i="357" s="1"/>
  <c r="F1939" i="357"/>
  <c r="F1943" i="357"/>
  <c r="H1943" i="357" s="1"/>
  <c r="F1978" i="357"/>
  <c r="H1978" i="357" s="1"/>
  <c r="F1982" i="357"/>
  <c r="H1982" i="357" s="1"/>
  <c r="F1986" i="357"/>
  <c r="F1990" i="357"/>
  <c r="F1996" i="357"/>
  <c r="H1996" i="357" s="1"/>
  <c r="F2007" i="357"/>
  <c r="F2013" i="357"/>
  <c r="H2013" i="357" s="1"/>
  <c r="F2015" i="357"/>
  <c r="H2015" i="357" s="1"/>
  <c r="F2021" i="357"/>
  <c r="H2021" i="357" s="1"/>
  <c r="F2023" i="357"/>
  <c r="H2023" i="357" s="1"/>
  <c r="F2025" i="357"/>
  <c r="F2027" i="357"/>
  <c r="H2027" i="357" s="1"/>
  <c r="F2029" i="357"/>
  <c r="H2029" i="357" s="1"/>
  <c r="F2031" i="357"/>
  <c r="F2033" i="357"/>
  <c r="H2033" i="357" s="1"/>
  <c r="F2035" i="357"/>
  <c r="F2037" i="357"/>
  <c r="H2037" i="357" s="1"/>
  <c r="F2039" i="357"/>
  <c r="H2039" i="357" s="1"/>
  <c r="F2041" i="357"/>
  <c r="H2041" i="357" s="1"/>
  <c r="F2043" i="357"/>
  <c r="F2045" i="357"/>
  <c r="F2047" i="357"/>
  <c r="F2049" i="357"/>
  <c r="H2049" i="357" s="1"/>
  <c r="F2051" i="357"/>
  <c r="H2051" i="357" s="1"/>
  <c r="F2053" i="357"/>
  <c r="H2053" i="357" s="1"/>
  <c r="F2055" i="357"/>
  <c r="H2055" i="357" s="1"/>
  <c r="F2057" i="357"/>
  <c r="F2059" i="357"/>
  <c r="F2061" i="357"/>
  <c r="H2061" i="357" s="1"/>
  <c r="F2068" i="357"/>
  <c r="H2068" i="357" s="1"/>
  <c r="F2070" i="357"/>
  <c r="H2070" i="357" s="1"/>
  <c r="F2076" i="357"/>
  <c r="F2078" i="357"/>
  <c r="F2084" i="357"/>
  <c r="H2084" i="357" s="1"/>
  <c r="F2086" i="357"/>
  <c r="F2092" i="357"/>
  <c r="H2092" i="357" s="1"/>
  <c r="F2098" i="357"/>
  <c r="H2098" i="357" s="1"/>
  <c r="F2100" i="357"/>
  <c r="H2100" i="357" s="1"/>
  <c r="F2102" i="357"/>
  <c r="F2108" i="357"/>
  <c r="H2108" i="357" s="1"/>
  <c r="F2110" i="357"/>
  <c r="F2112" i="357"/>
  <c r="H2112" i="357" s="1"/>
  <c r="F2114" i="357"/>
  <c r="F2116" i="357"/>
  <c r="F2125" i="357"/>
  <c r="F2127" i="357"/>
  <c r="F2141" i="357"/>
  <c r="F2147" i="357"/>
  <c r="F2149" i="357"/>
  <c r="H2149" i="357" s="1"/>
  <c r="F2151" i="357"/>
  <c r="H2151" i="357" s="1"/>
  <c r="F2153" i="357"/>
  <c r="F2167" i="357"/>
  <c r="H2167" i="357" s="1"/>
  <c r="F2176" i="357"/>
  <c r="H2176" i="357" s="1"/>
  <c r="F2178" i="357"/>
  <c r="H2178" i="357" s="1"/>
  <c r="F2180" i="357"/>
  <c r="F2182" i="357"/>
  <c r="F2184" i="357"/>
  <c r="H2184" i="357" s="1"/>
  <c r="F2186" i="357"/>
  <c r="F2188" i="357"/>
  <c r="F2190" i="357"/>
  <c r="H2190" i="357" s="1"/>
  <c r="F2192" i="357"/>
  <c r="H2192" i="357" s="1"/>
  <c r="F1766" i="357"/>
  <c r="F1768" i="357"/>
  <c r="H1768" i="357" s="1"/>
  <c r="F1770" i="357"/>
  <c r="H1770" i="357" s="1"/>
  <c r="F1772" i="357"/>
  <c r="H1772" i="357" s="1"/>
  <c r="F1774" i="357"/>
  <c r="H1774" i="357" s="1"/>
  <c r="F1776" i="357"/>
  <c r="F1778" i="357"/>
  <c r="H1778" i="357" s="1"/>
  <c r="F1780" i="357"/>
  <c r="H1780" i="357" s="1"/>
  <c r="F1782" i="357"/>
  <c r="H1782" i="357" s="1"/>
  <c r="F1784" i="357"/>
  <c r="H1784" i="357" s="1"/>
  <c r="F1786" i="357"/>
  <c r="F1788" i="357"/>
  <c r="F1790" i="357"/>
  <c r="F1792" i="357"/>
  <c r="F1828" i="357"/>
  <c r="F1830" i="357"/>
  <c r="F1832" i="357"/>
  <c r="F1834" i="357"/>
  <c r="F1836" i="357"/>
  <c r="F1838" i="357"/>
  <c r="F1840" i="357"/>
  <c r="F1842" i="357"/>
  <c r="F1844" i="357"/>
  <c r="F1846" i="357"/>
  <c r="F1848" i="357"/>
  <c r="F1850" i="357"/>
  <c r="F1852" i="357"/>
  <c r="F1854" i="357"/>
  <c r="F1797" i="357"/>
  <c r="H1797" i="357" s="1"/>
  <c r="F1799" i="357"/>
  <c r="F1801" i="357"/>
  <c r="H1801" i="357" s="1"/>
  <c r="F1803" i="357"/>
  <c r="H1803" i="357" s="1"/>
  <c r="F1805" i="357"/>
  <c r="H1805" i="357" s="1"/>
  <c r="F1807" i="357"/>
  <c r="H1807" i="357" s="1"/>
  <c r="F1809" i="357"/>
  <c r="F1811" i="357"/>
  <c r="H1811" i="357" s="1"/>
  <c r="F1813" i="357"/>
  <c r="H1813" i="357" s="1"/>
  <c r="F1815" i="357"/>
  <c r="H1815" i="357" s="1"/>
  <c r="F1817" i="357"/>
  <c r="F1819" i="357"/>
  <c r="H1819" i="357" s="1"/>
  <c r="F1821" i="357"/>
  <c r="H1821" i="357" s="1"/>
  <c r="F1823" i="357"/>
  <c r="F1825" i="357"/>
  <c r="H1825" i="357" s="1"/>
  <c r="F1859" i="357"/>
  <c r="H1859" i="357" s="1"/>
  <c r="F1861" i="357"/>
  <c r="H1861" i="357" s="1"/>
  <c r="F1867" i="357"/>
  <c r="H1867" i="357" s="1"/>
  <c r="F1873" i="357"/>
  <c r="H1873" i="357" s="1"/>
  <c r="F1875" i="357"/>
  <c r="F1877" i="357"/>
  <c r="H1877" i="357" s="1"/>
  <c r="F1879" i="357"/>
  <c r="H1879" i="357" s="1"/>
  <c r="F1881" i="357"/>
  <c r="F1883" i="357"/>
  <c r="H1883" i="357" s="1"/>
  <c r="F1885" i="357"/>
  <c r="F1891" i="357"/>
  <c r="H1891" i="357" s="1"/>
  <c r="F1893" i="357"/>
  <c r="F1895" i="357"/>
  <c r="H1895" i="357" s="1"/>
  <c r="F1897" i="357"/>
  <c r="H1897" i="357" s="1"/>
  <c r="F1899" i="357"/>
  <c r="H1899" i="357" s="1"/>
  <c r="F1901" i="357"/>
  <c r="F1903" i="357"/>
  <c r="F1909" i="357"/>
  <c r="F1923" i="357"/>
  <c r="F1925" i="357"/>
  <c r="H1925" i="357" s="1"/>
  <c r="F1927" i="357"/>
  <c r="F1929" i="357"/>
  <c r="F1931" i="357"/>
  <c r="F1944" i="357"/>
  <c r="F1948" i="357"/>
  <c r="H1948" i="357" s="1"/>
  <c r="F1952" i="357"/>
  <c r="H1952" i="357" s="1"/>
  <c r="F1958" i="357"/>
  <c r="F1972" i="357"/>
  <c r="F1991" i="357"/>
  <c r="H1991" i="357" s="1"/>
  <c r="F2002" i="357"/>
  <c r="F2006" i="357"/>
  <c r="H2006" i="357" s="1"/>
  <c r="F2008" i="357"/>
  <c r="F2012" i="357"/>
  <c r="F2014" i="357"/>
  <c r="H2014" i="357" s="1"/>
  <c r="F2016" i="357"/>
  <c r="F2020" i="357"/>
  <c r="H2020" i="357" s="1"/>
  <c r="F2022" i="357"/>
  <c r="H2022" i="357" s="1"/>
  <c r="F2024" i="357"/>
  <c r="F2026" i="357"/>
  <c r="F2028" i="357"/>
  <c r="H2028" i="357" s="1"/>
  <c r="F2030" i="357"/>
  <c r="H2030" i="357" s="1"/>
  <c r="F2032" i="357"/>
  <c r="H2032" i="357" s="1"/>
  <c r="F2034" i="357"/>
  <c r="H2034" i="357" s="1"/>
  <c r="F2036" i="357"/>
  <c r="F2038" i="357"/>
  <c r="H2038" i="357" s="1"/>
  <c r="F2040" i="357"/>
  <c r="F2042" i="357"/>
  <c r="F2044" i="357"/>
  <c r="H2044" i="357" s="1"/>
  <c r="F2046" i="357"/>
  <c r="H2046" i="357" s="1"/>
  <c r="F2048" i="357"/>
  <c r="H2048" i="357" s="1"/>
  <c r="F2050" i="357"/>
  <c r="H2050" i="357" s="1"/>
  <c r="F2052" i="357"/>
  <c r="H2052" i="357" s="1"/>
  <c r="F2054" i="357"/>
  <c r="F2056" i="357"/>
  <c r="H2056" i="357" s="1"/>
  <c r="F2058" i="357"/>
  <c r="H2058" i="357" s="1"/>
  <c r="F2060" i="357"/>
  <c r="H2060" i="357" s="1"/>
  <c r="F2063" i="357"/>
  <c r="H2063" i="357" s="1"/>
  <c r="F2069" i="357"/>
  <c r="H2069" i="357" s="1"/>
  <c r="F2075" i="357"/>
  <c r="F2077" i="357"/>
  <c r="F2079" i="357"/>
  <c r="F2085" i="357"/>
  <c r="H2085" i="357" s="1"/>
  <c r="F2091" i="357"/>
  <c r="F2099" i="357"/>
  <c r="F2101" i="357"/>
  <c r="F2109" i="357"/>
  <c r="H2109" i="357" s="1"/>
  <c r="F2111" i="357"/>
  <c r="F2113" i="357"/>
  <c r="H2113" i="357" s="1"/>
  <c r="F2115" i="357"/>
  <c r="H2115" i="357" s="1"/>
  <c r="F2117" i="357"/>
  <c r="F2124" i="357"/>
  <c r="H2124" i="357" s="1"/>
  <c r="F2126" i="357"/>
  <c r="H2126" i="357" s="1"/>
  <c r="F2128" i="357"/>
  <c r="H2128" i="357" s="1"/>
  <c r="F2134" i="357"/>
  <c r="H2134" i="357" s="1"/>
  <c r="F2138" i="357"/>
  <c r="H2138" i="357" s="1"/>
  <c r="F2142" i="357"/>
  <c r="H2142" i="357" s="1"/>
  <c r="F2146" i="357"/>
  <c r="H2146" i="357" s="1"/>
  <c r="F2148" i="357"/>
  <c r="F2150" i="357"/>
  <c r="H2150" i="357" s="1"/>
  <c r="F2152" i="357"/>
  <c r="F2154" i="357"/>
  <c r="H2154" i="357" s="1"/>
  <c r="F2160" i="357"/>
  <c r="H2160" i="357" s="1"/>
  <c r="F2166" i="357"/>
  <c r="H2166" i="357" s="1"/>
  <c r="F2177" i="357"/>
  <c r="H2177" i="357" s="1"/>
  <c r="F2179" i="357"/>
  <c r="H2179" i="357" s="1"/>
  <c r="F2181" i="357"/>
  <c r="H2181" i="357" s="1"/>
  <c r="F2183" i="357"/>
  <c r="F2185" i="357"/>
  <c r="H2185" i="357" s="1"/>
  <c r="F2187" i="357"/>
  <c r="F2189" i="357"/>
  <c r="F2191" i="357"/>
  <c r="F2193" i="357"/>
  <c r="H2193" i="357" s="1"/>
  <c r="E2334" i="357"/>
  <c r="G2334" i="357" s="1"/>
  <c r="E2344" i="357"/>
  <c r="E2354" i="357"/>
  <c r="G2354" i="357" s="1"/>
  <c r="E2358" i="357"/>
  <c r="E2360" i="357"/>
  <c r="G2360" i="357" s="1"/>
  <c r="E2366" i="357"/>
  <c r="G2366" i="357" s="1"/>
  <c r="E2376" i="357"/>
  <c r="G2376" i="357" s="1"/>
  <c r="E2380" i="357"/>
  <c r="G2380" i="357" s="1"/>
  <c r="E2390" i="357"/>
  <c r="G2390" i="357" s="1"/>
  <c r="E2400" i="357"/>
  <c r="E2410" i="357"/>
  <c r="G2410" i="357" s="1"/>
  <c r="E2421" i="357"/>
  <c r="E2428" i="357"/>
  <c r="G2428" i="357" s="1"/>
  <c r="E2434" i="357"/>
  <c r="G2434" i="357" s="1"/>
  <c r="E2440" i="357"/>
  <c r="G2440" i="357" s="1"/>
  <c r="E2446" i="357"/>
  <c r="E2448" i="357"/>
  <c r="E2460" i="357"/>
  <c r="E2462" i="357"/>
  <c r="E2464" i="357"/>
  <c r="E2468" i="357"/>
  <c r="E2479" i="357"/>
  <c r="G2479" i="357" s="1"/>
  <c r="E2486" i="357"/>
  <c r="G2486" i="357" s="1"/>
  <c r="E2492" i="357"/>
  <c r="G2492" i="357" s="1"/>
  <c r="E2498" i="357"/>
  <c r="G2498" i="357" s="1"/>
  <c r="E2500" i="357"/>
  <c r="G2500" i="357" s="1"/>
  <c r="E2506" i="357"/>
  <c r="G2506" i="357" s="1"/>
  <c r="E2508" i="357"/>
  <c r="G2508" i="357" s="1"/>
  <c r="E2514" i="357"/>
  <c r="G2514" i="357" s="1"/>
  <c r="E2516" i="357"/>
  <c r="G2516" i="357" s="1"/>
  <c r="E2526" i="357"/>
  <c r="G2526" i="357" s="1"/>
  <c r="E2528" i="357"/>
  <c r="G2528" i="357" s="1"/>
  <c r="E2534" i="357"/>
  <c r="G2534" i="357" s="1"/>
  <c r="E2540" i="357"/>
  <c r="G2540" i="357" s="1"/>
  <c r="E2542" i="357"/>
  <c r="G2542" i="357" s="1"/>
  <c r="E2329" i="357"/>
  <c r="G2329" i="357" s="1"/>
  <c r="E2339" i="357"/>
  <c r="G2339" i="357" s="1"/>
  <c r="E2349" i="357"/>
  <c r="G2349" i="357" s="1"/>
  <c r="E2359" i="357"/>
  <c r="G2359" i="357" s="1"/>
  <c r="E2365" i="357"/>
  <c r="G2365" i="357" s="1"/>
  <c r="E2371" i="357"/>
  <c r="G2371" i="357" s="1"/>
  <c r="E2379" i="357"/>
  <c r="G2379" i="357" s="1"/>
  <c r="E2385" i="357"/>
  <c r="E2395" i="357"/>
  <c r="E2405" i="357"/>
  <c r="G2405" i="357" s="1"/>
  <c r="E2415" i="357"/>
  <c r="G2415" i="357" s="1"/>
  <c r="E2422" i="357"/>
  <c r="G2422" i="357" s="1"/>
  <c r="E2433" i="357"/>
  <c r="G2433" i="357" s="1"/>
  <c r="E2445" i="357"/>
  <c r="E2447" i="357"/>
  <c r="E2455" i="357"/>
  <c r="G2455" i="357" s="1"/>
  <c r="E2461" i="357"/>
  <c r="G2461" i="357" s="1"/>
  <c r="E2463" i="357"/>
  <c r="E2465" i="357"/>
  <c r="E2474" i="357"/>
  <c r="G2474" i="357" s="1"/>
  <c r="E2485" i="357"/>
  <c r="G2485" i="357" s="1"/>
  <c r="E2487" i="357"/>
  <c r="G2487" i="357" s="1"/>
  <c r="E2491" i="357"/>
  <c r="G2491" i="357" s="1"/>
  <c r="E2493" i="357"/>
  <c r="G2493" i="357" s="1"/>
  <c r="E2497" i="357"/>
  <c r="G2497" i="357" s="1"/>
  <c r="E2499" i="357"/>
  <c r="G2499" i="357" s="1"/>
  <c r="E2501" i="357"/>
  <c r="G2501" i="357" s="1"/>
  <c r="E2505" i="357"/>
  <c r="G2505" i="357" s="1"/>
  <c r="E2507" i="357"/>
  <c r="G2507" i="357" s="1"/>
  <c r="E2509" i="357"/>
  <c r="G2509" i="357" s="1"/>
  <c r="E2513" i="357"/>
  <c r="G2513" i="357" s="1"/>
  <c r="E2515" i="357"/>
  <c r="G2515" i="357" s="1"/>
  <c r="E2517" i="357"/>
  <c r="G2517" i="357" s="1"/>
  <c r="E2521" i="357"/>
  <c r="G2521" i="357" s="1"/>
  <c r="E2525" i="357"/>
  <c r="G2525" i="357" s="1"/>
  <c r="E2527" i="357"/>
  <c r="G2527" i="357" s="1"/>
  <c r="E2529" i="357"/>
  <c r="G2529" i="357" s="1"/>
  <c r="E2533" i="357"/>
  <c r="G2533" i="357" s="1"/>
  <c r="E2535" i="357"/>
  <c r="G2535" i="357" s="1"/>
  <c r="E2539" i="357"/>
  <c r="G2539" i="357" s="1"/>
  <c r="E2541" i="357"/>
  <c r="G2541" i="357" s="1"/>
  <c r="E2543" i="357"/>
  <c r="G2543" i="357" s="1"/>
  <c r="F2604" i="357"/>
  <c r="H2604" i="357" s="1"/>
  <c r="F2606" i="357"/>
  <c r="H2606" i="357" s="1"/>
  <c r="F2608" i="357"/>
  <c r="H2608" i="357" s="1"/>
  <c r="F2610" i="357"/>
  <c r="H2610" i="357" s="1"/>
  <c r="F2612" i="357"/>
  <c r="H2612" i="357" s="1"/>
  <c r="F2615" i="357"/>
  <c r="H2615" i="357" s="1"/>
  <c r="F2619" i="357"/>
  <c r="H2619" i="357" s="1"/>
  <c r="F2621" i="357"/>
  <c r="H2621" i="357" s="1"/>
  <c r="F2623" i="357"/>
  <c r="H2623" i="357" s="1"/>
  <c r="F2625" i="357"/>
  <c r="H2625" i="357" s="1"/>
  <c r="F2627" i="357"/>
  <c r="H2627" i="357" s="1"/>
  <c r="F2629" i="357"/>
  <c r="H2629" i="357" s="1"/>
  <c r="F2631" i="357"/>
  <c r="H2631" i="357" s="1"/>
  <c r="F2636" i="357"/>
  <c r="H2636" i="357" s="1"/>
  <c r="F2642" i="357"/>
  <c r="H2642" i="357" s="1"/>
  <c r="F2646" i="357"/>
  <c r="H2646" i="357" s="1"/>
  <c r="F2648" i="357"/>
  <c r="H2648" i="357" s="1"/>
  <c r="F2650" i="357"/>
  <c r="H2650" i="357" s="1"/>
  <c r="F2652" i="357"/>
  <c r="H2652" i="357" s="1"/>
  <c r="F2660" i="357"/>
  <c r="H2660" i="357" s="1"/>
  <c r="F2662" i="357"/>
  <c r="H2662" i="357" s="1"/>
  <c r="F2668" i="357"/>
  <c r="F2678" i="357"/>
  <c r="H2678" i="357" s="1"/>
  <c r="F2684" i="357"/>
  <c r="H2684" i="357" s="1"/>
  <c r="F2691" i="357"/>
  <c r="H2691" i="357" s="1"/>
  <c r="F2701" i="357"/>
  <c r="H2701" i="357" s="1"/>
  <c r="F2703" i="357"/>
  <c r="H2703" i="357" s="1"/>
  <c r="F2705" i="357"/>
  <c r="H2705" i="357" s="1"/>
  <c r="F2707" i="357"/>
  <c r="H2707" i="357" s="1"/>
  <c r="F2709" i="357"/>
  <c r="H2709" i="357" s="1"/>
  <c r="F2711" i="357"/>
  <c r="H2711" i="357" s="1"/>
  <c r="F2713" i="357"/>
  <c r="H2713" i="357" s="1"/>
  <c r="F2715" i="357"/>
  <c r="H2715" i="357" s="1"/>
  <c r="F2717" i="357"/>
  <c r="H2717" i="357" s="1"/>
  <c r="F2719" i="357"/>
  <c r="H2719" i="357" s="1"/>
  <c r="F2726" i="357"/>
  <c r="H2726" i="357" s="1"/>
  <c r="F2731" i="357"/>
  <c r="F2735" i="357"/>
  <c r="H2735" i="357" s="1"/>
  <c r="F2739" i="357"/>
  <c r="H2739" i="357" s="1"/>
  <c r="F2741" i="357"/>
  <c r="H2741" i="357" s="1"/>
  <c r="F2749" i="357"/>
  <c r="H2749" i="357" s="1"/>
  <c r="F2758" i="357"/>
  <c r="H2758" i="357" s="1"/>
  <c r="F2768" i="357"/>
  <c r="H2768" i="357" s="1"/>
  <c r="F2770" i="357"/>
  <c r="H2770" i="357" s="1"/>
  <c r="F2772" i="357"/>
  <c r="H2772" i="357" s="1"/>
  <c r="F2774" i="357"/>
  <c r="H2774" i="357" s="1"/>
  <c r="F2776" i="357"/>
  <c r="H2776" i="357" s="1"/>
  <c r="F2778" i="357"/>
  <c r="H2778" i="357" s="1"/>
  <c r="F2780" i="357"/>
  <c r="H2780" i="357" s="1"/>
  <c r="F2782" i="357"/>
  <c r="H2782" i="357" s="1"/>
  <c r="F2784" i="357"/>
  <c r="H2784" i="357" s="1"/>
  <c r="F2786" i="357"/>
  <c r="H2786" i="357" s="1"/>
  <c r="F2788" i="357"/>
  <c r="F2792" i="357"/>
  <c r="H2792" i="357" s="1"/>
  <c r="F2794" i="357"/>
  <c r="H2794" i="357" s="1"/>
  <c r="F2796" i="357"/>
  <c r="H2796" i="357" s="1"/>
  <c r="F2798" i="357"/>
  <c r="F2800" i="357"/>
  <c r="F2802" i="357"/>
  <c r="F2809" i="357"/>
  <c r="H2809" i="357" s="1"/>
  <c r="F2811" i="357"/>
  <c r="H2811" i="357" s="1"/>
  <c r="F2813" i="357"/>
  <c r="H2813" i="357" s="1"/>
  <c r="F2815" i="357"/>
  <c r="F2817" i="357"/>
  <c r="F2600" i="357"/>
  <c r="H2600" i="357" s="1"/>
  <c r="E2602" i="357"/>
  <c r="G2602" i="357" s="1"/>
  <c r="F2647" i="357"/>
  <c r="H2647" i="357" s="1"/>
  <c r="F2649" i="357"/>
  <c r="H2649" i="357" s="1"/>
  <c r="F2651" i="357"/>
  <c r="H2651" i="357" s="1"/>
  <c r="F2659" i="357"/>
  <c r="H2659" i="357" s="1"/>
  <c r="F2661" i="357"/>
  <c r="H2661" i="357" s="1"/>
  <c r="F2663" i="357"/>
  <c r="H2663" i="357" s="1"/>
  <c r="F2667" i="357"/>
  <c r="H2667" i="357" s="1"/>
  <c r="F2669" i="357"/>
  <c r="F2679" i="357"/>
  <c r="H2679" i="357" s="1"/>
  <c r="F2673" i="357"/>
  <c r="H2673" i="357" s="1"/>
  <c r="F2690" i="357"/>
  <c r="H2690" i="357" s="1"/>
  <c r="F2692" i="357"/>
  <c r="H2692" i="357" s="1"/>
  <c r="F2700" i="357"/>
  <c r="H2700" i="357" s="1"/>
  <c r="F2702" i="357"/>
  <c r="H2702" i="357" s="1"/>
  <c r="F2704" i="357"/>
  <c r="H2704" i="357" s="1"/>
  <c r="F2706" i="357"/>
  <c r="H2706" i="357" s="1"/>
  <c r="F2708" i="357"/>
  <c r="H2708" i="357" s="1"/>
  <c r="F2710" i="357"/>
  <c r="H2710" i="357" s="1"/>
  <c r="F2712" i="357"/>
  <c r="H2712" i="357" s="1"/>
  <c r="F2714" i="357"/>
  <c r="H2714" i="357" s="1"/>
  <c r="F2716" i="357"/>
  <c r="H2716" i="357" s="1"/>
  <c r="F2718" i="357"/>
  <c r="H2718" i="357" s="1"/>
  <c r="F2730" i="357"/>
  <c r="H2730" i="357" s="1"/>
  <c r="F2740" i="357"/>
  <c r="H2740" i="357" s="1"/>
  <c r="F2746" i="357"/>
  <c r="H2746" i="357" s="1"/>
  <c r="F2748" i="357"/>
  <c r="H2748" i="357" s="1"/>
  <c r="F2750" i="357"/>
  <c r="H2750" i="357" s="1"/>
  <c r="F2754" i="357"/>
  <c r="H2754" i="357" s="1"/>
  <c r="F2767" i="357"/>
  <c r="H2767" i="357" s="1"/>
  <c r="F2769" i="357"/>
  <c r="H2769" i="357" s="1"/>
  <c r="F2771" i="357"/>
  <c r="H2771" i="357" s="1"/>
  <c r="F2773" i="357"/>
  <c r="H2773" i="357" s="1"/>
  <c r="F2775" i="357"/>
  <c r="H2775" i="357" s="1"/>
  <c r="F2777" i="357"/>
  <c r="H2777" i="357" s="1"/>
  <c r="F2779" i="357"/>
  <c r="H2779" i="357" s="1"/>
  <c r="F2781" i="357"/>
  <c r="H2781" i="357" s="1"/>
  <c r="F2783" i="357"/>
  <c r="H2783" i="357" s="1"/>
  <c r="F2785" i="357"/>
  <c r="H2785" i="357" s="1"/>
  <c r="F2787" i="357"/>
  <c r="H2787" i="357" s="1"/>
  <c r="F2789" i="357"/>
  <c r="F2793" i="357"/>
  <c r="F2795" i="357"/>
  <c r="H2795" i="357" s="1"/>
  <c r="F2797" i="357"/>
  <c r="H2797" i="357" s="1"/>
  <c r="F2799" i="357"/>
  <c r="F2801" i="357"/>
  <c r="F2808" i="357"/>
  <c r="H2808" i="357" s="1"/>
  <c r="F2810" i="357"/>
  <c r="H2810" i="357" s="1"/>
  <c r="F2814" i="357"/>
  <c r="H2814" i="357" s="1"/>
  <c r="F2816" i="357"/>
  <c r="E2601" i="357"/>
  <c r="G2601" i="357" s="1"/>
  <c r="E2603" i="357"/>
  <c r="G2603" i="357" s="1"/>
  <c r="E2605" i="357"/>
  <c r="G2605" i="357" s="1"/>
  <c r="E2607" i="357"/>
  <c r="G2607" i="357" s="1"/>
  <c r="E2609" i="357"/>
  <c r="G2609" i="357" s="1"/>
  <c r="E2611" i="357"/>
  <c r="G2611" i="357" s="1"/>
  <c r="E2613" i="357"/>
  <c r="G2613" i="357" s="1"/>
  <c r="E2620" i="357"/>
  <c r="G2620" i="357" s="1"/>
  <c r="E2624" i="357"/>
  <c r="G2624" i="357" s="1"/>
  <c r="E2626" i="357"/>
  <c r="G2626" i="357" s="1"/>
  <c r="E2628" i="357"/>
  <c r="G2628" i="357" s="1"/>
  <c r="E2641" i="357"/>
  <c r="G2641" i="357" s="1"/>
  <c r="E2880" i="357"/>
  <c r="G2880" i="357" s="1"/>
  <c r="E2882" i="357"/>
  <c r="G2882" i="357" s="1"/>
  <c r="E2884" i="357"/>
  <c r="G2884" i="357" s="1"/>
  <c r="E2886" i="357"/>
  <c r="G2886" i="357" s="1"/>
  <c r="E2888" i="357"/>
  <c r="G2888" i="357" s="1"/>
  <c r="E2890" i="357"/>
  <c r="G2890" i="357" s="1"/>
  <c r="E2892" i="357"/>
  <c r="G2892" i="357" s="1"/>
  <c r="E2894" i="357"/>
  <c r="E2896" i="357"/>
  <c r="E2898" i="357"/>
  <c r="E2906" i="357"/>
  <c r="E2908" i="357"/>
  <c r="G2908" i="357" s="1"/>
  <c r="E2910" i="357"/>
  <c r="G2910" i="357" s="1"/>
  <c r="E2916" i="357"/>
  <c r="G2916" i="357" s="1"/>
  <c r="E2918" i="357"/>
  <c r="G2918" i="357" s="1"/>
  <c r="E2920" i="357"/>
  <c r="G2920" i="357" s="1"/>
  <c r="E2922" i="357"/>
  <c r="G2922" i="357" s="1"/>
  <c r="E2924" i="357"/>
  <c r="G2924" i="357" s="1"/>
  <c r="E2926" i="357"/>
  <c r="G2926" i="357" s="1"/>
  <c r="E2928" i="357"/>
  <c r="E2937" i="357"/>
  <c r="G2937" i="357" s="1"/>
  <c r="E2939" i="357"/>
  <c r="G2939" i="357" s="1"/>
  <c r="E2941" i="357"/>
  <c r="G2941" i="357" s="1"/>
  <c r="E2943" i="357"/>
  <c r="G2943" i="357" s="1"/>
  <c r="E2945" i="357"/>
  <c r="G2945" i="357" s="1"/>
  <c r="E2947" i="357"/>
  <c r="G2947" i="357" s="1"/>
  <c r="E2949" i="357"/>
  <c r="G2949" i="357" s="1"/>
  <c r="E2951" i="357"/>
  <c r="G2951" i="357" s="1"/>
  <c r="E2953" i="357"/>
  <c r="G2953" i="357" s="1"/>
  <c r="E2955" i="357"/>
  <c r="G2955" i="357" s="1"/>
  <c r="E2957" i="357"/>
  <c r="G2957" i="357" s="1"/>
  <c r="E2959" i="357"/>
  <c r="E2961" i="357"/>
  <c r="E2967" i="357"/>
  <c r="G2967" i="357" s="1"/>
  <c r="E2971" i="357"/>
  <c r="G2971" i="357" s="1"/>
  <c r="E2973" i="357"/>
  <c r="G2973" i="357" s="1"/>
  <c r="E2975" i="357"/>
  <c r="G2975" i="357" s="1"/>
  <c r="E2977" i="357"/>
  <c r="G2977" i="357" s="1"/>
  <c r="E2979" i="357"/>
  <c r="G2979" i="357" s="1"/>
  <c r="E2981" i="357"/>
  <c r="G2981" i="357" s="1"/>
  <c r="E2983" i="357"/>
  <c r="E2990" i="357"/>
  <c r="G2990" i="357" s="1"/>
  <c r="E2994" i="357"/>
  <c r="G2994" i="357" s="1"/>
  <c r="E2996" i="357"/>
  <c r="G2996" i="357" s="1"/>
  <c r="E3001" i="357"/>
  <c r="G3001" i="357" s="1"/>
  <c r="E3003" i="357"/>
  <c r="G3003" i="357" s="1"/>
  <c r="E3005" i="357"/>
  <c r="G3005" i="357" s="1"/>
  <c r="E3011" i="357"/>
  <c r="G3011" i="357" s="1"/>
  <c r="E3013" i="357"/>
  <c r="G3013" i="357" s="1"/>
  <c r="E3017" i="357"/>
  <c r="G3017" i="357" s="1"/>
  <c r="E3023" i="357"/>
  <c r="G3023" i="357" s="1"/>
  <c r="E3025" i="357"/>
  <c r="G3025" i="357" s="1"/>
  <c r="E3031" i="357"/>
  <c r="G3031" i="357" s="1"/>
  <c r="E3033" i="357"/>
  <c r="G3033" i="357" s="1"/>
  <c r="E3039" i="357"/>
  <c r="G3039" i="357" s="1"/>
  <c r="E3045" i="357"/>
  <c r="G3045" i="357" s="1"/>
  <c r="E3047" i="357"/>
  <c r="G3047" i="357" s="1"/>
  <c r="E3049" i="357"/>
  <c r="G3049" i="357" s="1"/>
  <c r="E3051" i="357"/>
  <c r="G3051" i="357" s="1"/>
  <c r="E3053" i="357"/>
  <c r="G3053" i="357" s="1"/>
  <c r="F2879" i="357"/>
  <c r="H2879" i="357" s="1"/>
  <c r="F2927" i="357"/>
  <c r="F2929" i="357"/>
  <c r="F2940" i="357"/>
  <c r="H2940" i="357" s="1"/>
  <c r="F2942" i="357"/>
  <c r="H2942" i="357" s="1"/>
  <c r="F2944" i="357"/>
  <c r="H2944" i="357" s="1"/>
  <c r="F2946" i="357"/>
  <c r="H2946" i="357" s="1"/>
  <c r="F2948" i="357"/>
  <c r="H2948" i="357" s="1"/>
  <c r="F2950" i="357"/>
  <c r="H2950" i="357" s="1"/>
  <c r="F2952" i="357"/>
  <c r="H2952" i="357" s="1"/>
  <c r="F2954" i="357"/>
  <c r="H2954" i="357" s="1"/>
  <c r="F2956" i="357"/>
  <c r="F2958" i="357"/>
  <c r="H2958" i="357" s="1"/>
  <c r="F2960" i="357"/>
  <c r="F2962" i="357"/>
  <c r="F2972" i="357"/>
  <c r="H2972" i="357" s="1"/>
  <c r="F2974" i="357"/>
  <c r="H2974" i="357" s="1"/>
  <c r="F2976" i="357"/>
  <c r="H2976" i="357" s="1"/>
  <c r="F2978" i="357"/>
  <c r="H2978" i="357" s="1"/>
  <c r="F2980" i="357"/>
  <c r="H2980" i="357" s="1"/>
  <c r="F2982" i="357"/>
  <c r="F2986" i="357"/>
  <c r="H2986" i="357" s="1"/>
  <c r="F2993" i="357"/>
  <c r="H2993" i="357" s="1"/>
  <c r="F2995" i="357"/>
  <c r="H2995" i="357" s="1"/>
  <c r="F3002" i="357"/>
  <c r="H3002" i="357" s="1"/>
  <c r="F3004" i="357"/>
  <c r="H3004" i="357" s="1"/>
  <c r="F3006" i="357"/>
  <c r="H3006" i="357" s="1"/>
  <c r="F3010" i="357"/>
  <c r="H3010" i="357" s="1"/>
  <c r="F3012" i="357"/>
  <c r="H3012" i="357" s="1"/>
  <c r="F3014" i="357"/>
  <c r="H3014" i="357" s="1"/>
  <c r="F3016" i="357"/>
  <c r="H3016" i="357" s="1"/>
  <c r="F3018" i="357"/>
  <c r="H3018" i="357" s="1"/>
  <c r="F3024" i="357"/>
  <c r="H3024" i="357" s="1"/>
  <c r="F3026" i="357"/>
  <c r="H3026" i="357" s="1"/>
  <c r="F3032" i="357"/>
  <c r="H3032" i="357" s="1"/>
  <c r="F3034" i="357"/>
  <c r="H3034" i="357" s="1"/>
  <c r="F3038" i="357"/>
  <c r="H3038" i="357" s="1"/>
  <c r="F3040" i="357"/>
  <c r="H3040" i="357" s="1"/>
  <c r="F3044" i="357"/>
  <c r="H3044" i="357" s="1"/>
  <c r="F3046" i="357"/>
  <c r="H3046" i="357" s="1"/>
  <c r="F3048" i="357"/>
  <c r="H3048" i="357" s="1"/>
  <c r="F3050" i="357"/>
  <c r="H3050" i="357" s="1"/>
  <c r="F3052" i="357"/>
  <c r="H3052" i="357" s="1"/>
  <c r="F3054" i="357"/>
  <c r="H3054" i="357" s="1"/>
  <c r="F3058" i="357"/>
  <c r="H3058" i="357" s="1"/>
  <c r="E2881" i="357"/>
  <c r="G2881" i="357" s="1"/>
  <c r="E2883" i="357"/>
  <c r="G2883" i="357" s="1"/>
  <c r="E2885" i="357"/>
  <c r="G2885" i="357" s="1"/>
  <c r="E2887" i="357"/>
  <c r="G2887" i="357" s="1"/>
  <c r="E2889" i="357"/>
  <c r="G2889" i="357" s="1"/>
  <c r="E2891" i="357"/>
  <c r="G2891" i="357" s="1"/>
  <c r="E2893" i="357"/>
  <c r="G2893" i="357" s="1"/>
  <c r="E2895" i="357"/>
  <c r="E2897" i="357"/>
  <c r="E2899" i="357"/>
  <c r="E2917" i="357"/>
  <c r="G2917" i="357" s="1"/>
  <c r="F3128" i="357"/>
  <c r="H3128" i="357" s="1"/>
  <c r="F3134" i="357"/>
  <c r="H3134" i="357" s="1"/>
  <c r="F3142" i="357"/>
  <c r="H3142" i="357" s="1"/>
  <c r="F3154" i="357"/>
  <c r="H3154" i="357" s="1"/>
  <c r="F3158" i="357"/>
  <c r="H3158" i="357" s="1"/>
  <c r="F3172" i="357"/>
  <c r="H3172" i="357" s="1"/>
  <c r="F3182" i="357"/>
  <c r="H3182" i="357" s="1"/>
  <c r="F3186" i="357"/>
  <c r="F3190" i="357"/>
  <c r="F3199" i="357"/>
  <c r="H3199" i="357" s="1"/>
  <c r="F3213" i="357"/>
  <c r="H3213" i="357" s="1"/>
  <c r="F3233" i="357"/>
  <c r="H3233" i="357" s="1"/>
  <c r="F3237" i="357"/>
  <c r="H3237" i="357" s="1"/>
  <c r="F3243" i="357"/>
  <c r="H3243" i="357" s="1"/>
  <c r="E3363" i="357"/>
  <c r="G3363" i="357" s="1"/>
  <c r="E3367" i="357"/>
  <c r="G3367" i="357" s="1"/>
  <c r="E3371" i="357"/>
  <c r="G3371" i="357" s="1"/>
  <c r="E3373" i="357"/>
  <c r="G3373" i="357" s="1"/>
  <c r="E3147" i="357"/>
  <c r="G3147" i="357" s="1"/>
  <c r="E3153" i="357"/>
  <c r="G3153" i="357" s="1"/>
  <c r="E3157" i="357"/>
  <c r="G3157" i="357" s="1"/>
  <c r="E3177" i="357"/>
  <c r="G3177" i="357" s="1"/>
  <c r="E3181" i="357"/>
  <c r="G3181" i="357" s="1"/>
  <c r="E3185" i="357"/>
  <c r="G3185" i="357" s="1"/>
  <c r="E3189" i="357"/>
  <c r="E3198" i="357"/>
  <c r="G3198" i="357" s="1"/>
  <c r="E3204" i="357"/>
  <c r="G3204" i="357" s="1"/>
  <c r="E3212" i="357"/>
  <c r="G3212" i="357" s="1"/>
  <c r="E3218" i="357"/>
  <c r="G3218" i="357" s="1"/>
  <c r="E3224" i="357"/>
  <c r="G3224" i="357" s="1"/>
  <c r="E3236" i="357"/>
  <c r="G3236" i="357" s="1"/>
  <c r="E3242" i="357"/>
  <c r="G3242" i="357" s="1"/>
  <c r="F3258" i="357"/>
  <c r="H3258" i="357" s="1"/>
  <c r="F3260" i="357"/>
  <c r="H3260" i="357" s="1"/>
  <c r="F3262" i="357"/>
  <c r="F3264" i="357"/>
  <c r="H3264" i="357" s="1"/>
  <c r="F3266" i="357"/>
  <c r="H3266" i="357" s="1"/>
  <c r="F3268" i="357"/>
  <c r="H3268" i="357" s="1"/>
  <c r="F3270" i="357"/>
  <c r="H3270" i="357" s="1"/>
  <c r="F3272" i="357"/>
  <c r="H3272" i="357" s="1"/>
  <c r="F3274" i="357"/>
  <c r="H3274" i="357" s="1"/>
  <c r="F3280" i="357"/>
  <c r="H3280" i="357" s="1"/>
  <c r="F3290" i="357"/>
  <c r="H3290" i="357" s="1"/>
  <c r="F3292" i="357"/>
  <c r="H3292" i="357" s="1"/>
  <c r="F3294" i="357"/>
  <c r="H3294" i="357" s="1"/>
  <c r="F3300" i="357"/>
  <c r="H3300" i="357" s="1"/>
  <c r="F3306" i="357"/>
  <c r="H3306" i="357" s="1"/>
  <c r="F3310" i="357"/>
  <c r="H3310" i="357" s="1"/>
  <c r="F3312" i="357"/>
  <c r="H3312" i="357" s="1"/>
  <c r="F3321" i="357"/>
  <c r="H3321" i="357" s="1"/>
  <c r="F3323" i="357"/>
  <c r="H3323" i="357" s="1"/>
  <c r="F3325" i="357"/>
  <c r="H3325" i="357" s="1"/>
  <c r="F3331" i="357"/>
  <c r="H3331" i="357" s="1"/>
  <c r="F3362" i="357"/>
  <c r="H3362" i="357" s="1"/>
  <c r="F3138" i="357"/>
  <c r="H3138" i="357" s="1"/>
  <c r="F3152" i="357"/>
  <c r="H3152" i="357" s="1"/>
  <c r="F3156" i="357"/>
  <c r="H3156" i="357" s="1"/>
  <c r="F3162" i="357"/>
  <c r="H3162" i="357" s="1"/>
  <c r="F3180" i="357"/>
  <c r="H3180" i="357" s="1"/>
  <c r="F3184" i="357"/>
  <c r="H3184" i="357" s="1"/>
  <c r="F3188" i="357"/>
  <c r="F3197" i="357"/>
  <c r="H3197" i="357" s="1"/>
  <c r="E3372" i="357"/>
  <c r="G3372" i="357" s="1"/>
  <c r="E3374" i="357"/>
  <c r="G3374" i="357" s="1"/>
  <c r="E3129" i="357"/>
  <c r="G3129" i="357" s="1"/>
  <c r="E3155" i="357"/>
  <c r="G3155" i="357" s="1"/>
  <c r="E3167" i="357"/>
  <c r="G3167" i="357" s="1"/>
  <c r="E3173" i="357"/>
  <c r="G3173" i="357" s="1"/>
  <c r="E3183" i="357"/>
  <c r="G3183" i="357" s="1"/>
  <c r="E3187" i="357"/>
  <c r="E3196" i="357"/>
  <c r="G3196" i="357" s="1"/>
  <c r="E3208" i="357"/>
  <c r="G3208" i="357" s="1"/>
  <c r="E3228" i="357"/>
  <c r="G3228" i="357" s="1"/>
  <c r="E3234" i="357"/>
  <c r="G3234" i="357" s="1"/>
  <c r="E3238" i="357"/>
  <c r="G3238" i="357" s="1"/>
  <c r="E3252" i="357"/>
  <c r="G3252" i="357" s="1"/>
  <c r="F3257" i="357"/>
  <c r="H3257" i="357" s="1"/>
  <c r="F3259" i="357"/>
  <c r="H3259" i="357" s="1"/>
  <c r="F3261" i="357"/>
  <c r="H3261" i="357" s="1"/>
  <c r="F3263" i="357"/>
  <c r="F3265" i="357"/>
  <c r="H3265" i="357" s="1"/>
  <c r="F3267" i="357"/>
  <c r="H3267" i="357" s="1"/>
  <c r="F3269" i="357"/>
  <c r="H3269" i="357" s="1"/>
  <c r="F3271" i="357"/>
  <c r="H3271" i="357" s="1"/>
  <c r="F3273" i="357"/>
  <c r="H3273" i="357" s="1"/>
  <c r="F3275" i="357"/>
  <c r="H3275" i="357" s="1"/>
  <c r="F3281" i="357"/>
  <c r="H3281" i="357" s="1"/>
  <c r="F3285" i="357"/>
  <c r="H3285" i="357" s="1"/>
  <c r="F3291" i="357"/>
  <c r="H3291" i="357" s="1"/>
  <c r="F3293" i="357"/>
  <c r="H3293" i="357" s="1"/>
  <c r="F3299" i="357"/>
  <c r="H3299" i="357" s="1"/>
  <c r="F3305" i="357"/>
  <c r="H3305" i="357" s="1"/>
  <c r="F3311" i="357"/>
  <c r="H3311" i="357" s="1"/>
  <c r="F3313" i="357"/>
  <c r="H3313" i="357" s="1"/>
  <c r="F3317" i="357"/>
  <c r="H3317" i="357" s="1"/>
  <c r="F3322" i="357"/>
  <c r="H3322" i="357" s="1"/>
  <c r="F3324" i="357"/>
  <c r="H3324" i="357" s="1"/>
  <c r="F3326" i="357"/>
  <c r="H3326" i="357" s="1"/>
  <c r="F3337" i="357"/>
  <c r="H3337" i="357" s="1"/>
  <c r="F3345" i="357"/>
  <c r="H3345" i="357" s="1"/>
  <c r="F3401" i="357"/>
  <c r="H3401" i="357" s="1"/>
  <c r="F3402" i="357"/>
  <c r="H3402" i="357" s="1"/>
  <c r="F3403" i="357"/>
  <c r="H3403" i="357" s="1"/>
  <c r="F3404" i="357"/>
  <c r="H3404" i="357" s="1"/>
  <c r="F3405" i="357"/>
  <c r="H3405" i="357" s="1"/>
  <c r="F3406" i="357"/>
  <c r="H3406" i="357" s="1"/>
  <c r="F3407" i="357"/>
  <c r="H3407" i="357" s="1"/>
  <c r="F3408" i="357"/>
  <c r="H3408" i="357" s="1"/>
  <c r="F3409" i="357"/>
  <c r="H3409" i="357" s="1"/>
  <c r="F3410" i="357"/>
  <c r="H3410" i="357" s="1"/>
  <c r="F3411" i="357"/>
  <c r="H3411" i="357" s="1"/>
  <c r="F3416" i="357"/>
  <c r="H3416" i="357" s="1"/>
  <c r="F3417" i="357"/>
  <c r="H3417" i="357" s="1"/>
  <c r="F3418" i="357"/>
  <c r="H3418" i="357" s="1"/>
  <c r="F3419" i="357"/>
  <c r="H3419" i="357" s="1"/>
  <c r="F3420" i="357"/>
  <c r="H3420" i="357" s="1"/>
  <c r="F3421" i="357"/>
  <c r="H3421" i="357" s="1"/>
  <c r="F3422" i="357"/>
  <c r="H3422" i="357" s="1"/>
  <c r="F3427" i="357"/>
  <c r="H3427" i="357" s="1"/>
  <c r="J1582" i="357" l="1"/>
  <c r="J1359" i="357"/>
  <c r="I1012" i="357"/>
  <c r="I2381" i="357"/>
  <c r="J1421" i="357"/>
  <c r="I2671" i="357"/>
  <c r="I3359" i="357"/>
  <c r="J1418" i="357"/>
  <c r="J1780" i="357"/>
  <c r="G1996" i="357"/>
  <c r="G1171" i="357"/>
  <c r="G1646" i="357"/>
  <c r="G1173" i="357"/>
  <c r="J2494" i="357"/>
  <c r="I373" i="357"/>
  <c r="J1383" i="357"/>
  <c r="I1256" i="357"/>
  <c r="I1299" i="357"/>
  <c r="H2317" i="357"/>
  <c r="H244" i="357"/>
  <c r="G1791" i="357"/>
  <c r="G1767" i="357"/>
  <c r="G323" i="357"/>
  <c r="G84" i="357"/>
  <c r="J84" i="357" s="1"/>
  <c r="H1197" i="357"/>
  <c r="H291" i="357"/>
  <c r="I291" i="357" s="1"/>
  <c r="G1064" i="357"/>
  <c r="G540" i="357"/>
  <c r="G490" i="357"/>
  <c r="G2227" i="357"/>
  <c r="J2227" i="357" s="1"/>
  <c r="G883" i="357"/>
  <c r="I585" i="357"/>
  <c r="J54" i="357"/>
  <c r="G237" i="357"/>
  <c r="J52" i="357"/>
  <c r="H1248" i="357"/>
  <c r="H647" i="357"/>
  <c r="G2257" i="357"/>
  <c r="J2257" i="357" s="1"/>
  <c r="G1397" i="357"/>
  <c r="G959" i="357"/>
  <c r="G802" i="357"/>
  <c r="G1490" i="357"/>
  <c r="G176" i="357"/>
  <c r="G977" i="357"/>
  <c r="G879" i="357"/>
  <c r="G420" i="357"/>
  <c r="H83" i="357"/>
  <c r="G259" i="357"/>
  <c r="J154" i="357"/>
  <c r="H1719" i="357"/>
  <c r="G1016" i="357"/>
  <c r="G321" i="357"/>
  <c r="G574" i="357"/>
  <c r="G392" i="357"/>
  <c r="J392" i="357" s="1"/>
  <c r="G251" i="357"/>
  <c r="I131" i="357"/>
  <c r="H1737" i="357"/>
  <c r="G523" i="357"/>
  <c r="G806" i="357"/>
  <c r="I806" i="357" s="1"/>
  <c r="G73" i="357"/>
  <c r="H253" i="357"/>
  <c r="G1179" i="357"/>
  <c r="I1179" i="357" s="1"/>
  <c r="G1078" i="357"/>
  <c r="G528" i="357"/>
  <c r="G2048" i="357"/>
  <c r="G471" i="357"/>
  <c r="H57" i="357"/>
  <c r="J2120" i="357"/>
  <c r="J294" i="357"/>
  <c r="J1012" i="357"/>
  <c r="I1523" i="357"/>
  <c r="J2451" i="357"/>
  <c r="I2372" i="357"/>
  <c r="I2218" i="357"/>
  <c r="I1949" i="357"/>
  <c r="I1416" i="357"/>
  <c r="I947" i="357"/>
  <c r="G969" i="357"/>
  <c r="G2225" i="357"/>
  <c r="H275" i="357"/>
  <c r="H1355" i="357"/>
  <c r="H544" i="357"/>
  <c r="J310" i="357"/>
  <c r="I1855" i="357"/>
  <c r="I1464" i="357"/>
  <c r="J2341" i="357"/>
  <c r="G2301" i="357"/>
  <c r="G2222" i="357"/>
  <c r="G1662" i="357"/>
  <c r="G1114" i="357"/>
  <c r="G990" i="357"/>
  <c r="G821" i="357"/>
  <c r="G492" i="357"/>
  <c r="G386" i="357"/>
  <c r="J386" i="357" s="1"/>
  <c r="J95" i="357"/>
  <c r="J40" i="357"/>
  <c r="J2350" i="357"/>
  <c r="H2248" i="357"/>
  <c r="G1169" i="357"/>
  <c r="G1085" i="357"/>
  <c r="J119" i="357"/>
  <c r="I2912" i="357"/>
  <c r="I627" i="357"/>
  <c r="J1255" i="357"/>
  <c r="I770" i="357"/>
  <c r="H401" i="357"/>
  <c r="H422" i="357"/>
  <c r="H334" i="357"/>
  <c r="I2466" i="357"/>
  <c r="I991" i="357"/>
  <c r="I138" i="357"/>
  <c r="J913" i="357"/>
  <c r="H1710" i="357"/>
  <c r="G1818" i="357"/>
  <c r="G1741" i="357"/>
  <c r="G1659" i="357"/>
  <c r="H88" i="357"/>
  <c r="G1287" i="357"/>
  <c r="G566" i="357"/>
  <c r="I566" i="357" s="1"/>
  <c r="G61" i="357"/>
  <c r="G1342" i="357"/>
  <c r="H1735" i="357"/>
  <c r="I1735" i="357" s="1"/>
  <c r="G1516" i="357"/>
  <c r="G1648" i="357"/>
  <c r="H1320" i="357"/>
  <c r="G209" i="357"/>
  <c r="G800" i="357"/>
  <c r="J800" i="357" s="1"/>
  <c r="G1029" i="357"/>
  <c r="J1029" i="357" s="1"/>
  <c r="G65" i="357"/>
  <c r="H2012" i="357"/>
  <c r="H1903" i="357"/>
  <c r="H1788" i="357"/>
  <c r="I523" i="357"/>
  <c r="H420" i="357"/>
  <c r="J420" i="357" s="1"/>
  <c r="I1983" i="357"/>
  <c r="J2429" i="357"/>
  <c r="J1416" i="357"/>
  <c r="G2026" i="357"/>
  <c r="G2230" i="357"/>
  <c r="G2037" i="357"/>
  <c r="G1201" i="357"/>
  <c r="I1201" i="357" s="1"/>
  <c r="G815" i="357"/>
  <c r="J292" i="357"/>
  <c r="J160" i="357"/>
  <c r="G25" i="357"/>
  <c r="G58" i="357"/>
  <c r="J58" i="357" s="1"/>
  <c r="I1383" i="357"/>
  <c r="G727" i="357"/>
  <c r="G1748" i="357"/>
  <c r="G1404" i="357"/>
  <c r="J1404" i="357" s="1"/>
  <c r="G362" i="357"/>
  <c r="G365" i="357"/>
  <c r="G423" i="357"/>
  <c r="G130" i="357"/>
  <c r="J1085" i="357"/>
  <c r="H1236" i="357"/>
  <c r="H165" i="357"/>
  <c r="G999" i="357"/>
  <c r="J999" i="357" s="1"/>
  <c r="G564" i="357"/>
  <c r="J564" i="357" s="1"/>
  <c r="G1740" i="357"/>
  <c r="J24" i="357"/>
  <c r="G1502" i="357"/>
  <c r="G1074" i="357"/>
  <c r="G1041" i="357"/>
  <c r="G812" i="357"/>
  <c r="J150" i="357"/>
  <c r="I633" i="357"/>
  <c r="G1260" i="357"/>
  <c r="J1260" i="357" s="1"/>
  <c r="G288" i="357"/>
  <c r="J288" i="357" s="1"/>
  <c r="I1794" i="357"/>
  <c r="J342" i="357"/>
  <c r="J90" i="357"/>
  <c r="I971" i="357"/>
  <c r="I1959" i="357"/>
  <c r="J1242" i="357"/>
  <c r="G2385" i="357"/>
  <c r="I2385" i="357" s="1"/>
  <c r="H2091" i="357"/>
  <c r="H2102" i="357"/>
  <c r="H1584" i="357"/>
  <c r="H1560" i="357"/>
  <c r="H502" i="357"/>
  <c r="J362" i="357"/>
  <c r="J2423" i="357"/>
  <c r="J1906" i="357"/>
  <c r="J1193" i="357"/>
  <c r="J373" i="357"/>
  <c r="H2395" i="357"/>
  <c r="H212" i="357"/>
  <c r="H162" i="357"/>
  <c r="G2176" i="357"/>
  <c r="J2176" i="357" s="1"/>
  <c r="G2117" i="357"/>
  <c r="G2044" i="357"/>
  <c r="G1785" i="357"/>
  <c r="G1703" i="357"/>
  <c r="I1703" i="357" s="1"/>
  <c r="G921" i="357"/>
  <c r="G766" i="357"/>
  <c r="G635" i="357"/>
  <c r="I635" i="357" s="1"/>
  <c r="G2099" i="357"/>
  <c r="G1877" i="357"/>
  <c r="G880" i="357"/>
  <c r="G637" i="357"/>
  <c r="I637" i="357" s="1"/>
  <c r="G111" i="357"/>
  <c r="H2285" i="357"/>
  <c r="I2285" i="357" s="1"/>
  <c r="G1825" i="357"/>
  <c r="J1825" i="357" s="1"/>
  <c r="G565" i="357"/>
  <c r="H201" i="357"/>
  <c r="H98" i="357"/>
  <c r="H128" i="357"/>
  <c r="I128" i="357" s="1"/>
  <c r="J1429" i="357"/>
  <c r="I1232" i="357"/>
  <c r="H2024" i="357"/>
  <c r="H1696" i="357"/>
  <c r="J1648" i="357"/>
  <c r="H1368" i="357"/>
  <c r="I1368" i="357" s="1"/>
  <c r="H1081" i="357"/>
  <c r="H285" i="357"/>
  <c r="I285" i="357" s="1"/>
  <c r="G1901" i="357"/>
  <c r="G1724" i="357"/>
  <c r="G1058" i="357"/>
  <c r="I558" i="357"/>
  <c r="G1874" i="357"/>
  <c r="G1543" i="357"/>
  <c r="H16" i="357"/>
  <c r="G1001" i="357"/>
  <c r="J1001" i="357" s="1"/>
  <c r="G472" i="357"/>
  <c r="G78" i="357"/>
  <c r="J78" i="357" s="1"/>
  <c r="G2109" i="357"/>
  <c r="I2109" i="357" s="1"/>
  <c r="G1079" i="357"/>
  <c r="G1696" i="357"/>
  <c r="I1696" i="357" s="1"/>
  <c r="G584" i="357"/>
  <c r="I3434" i="357"/>
  <c r="J3241" i="357"/>
  <c r="I1491" i="357"/>
  <c r="I1176" i="357"/>
  <c r="I3104" i="357"/>
  <c r="I142" i="357"/>
  <c r="J1305" i="357"/>
  <c r="J932" i="357"/>
  <c r="I1456" i="357"/>
  <c r="J1126" i="357"/>
  <c r="J927" i="357"/>
  <c r="J992" i="357"/>
  <c r="I1212" i="357"/>
  <c r="I970" i="357"/>
  <c r="I22" i="357"/>
  <c r="J341" i="357"/>
  <c r="I1731" i="357"/>
  <c r="I484" i="357"/>
  <c r="J947" i="357"/>
  <c r="I156" i="357"/>
  <c r="H1670" i="357"/>
  <c r="J1670" i="357" s="1"/>
  <c r="H1516" i="357"/>
  <c r="H815" i="357"/>
  <c r="J815" i="357" s="1"/>
  <c r="G1139" i="357"/>
  <c r="J1139" i="357" s="1"/>
  <c r="G1918" i="357"/>
  <c r="H1881" i="357"/>
  <c r="H1809" i="357"/>
  <c r="I1809" i="357" s="1"/>
  <c r="H1786" i="357"/>
  <c r="H1668" i="357"/>
  <c r="J1433" i="357"/>
  <c r="H1461" i="357"/>
  <c r="J1461" i="357" s="1"/>
  <c r="J1003" i="357"/>
  <c r="H974" i="357"/>
  <c r="H501" i="357"/>
  <c r="I501" i="357" s="1"/>
  <c r="H364" i="357"/>
  <c r="H308" i="357"/>
  <c r="I308" i="357" s="1"/>
  <c r="I1350" i="357"/>
  <c r="H1277" i="357"/>
  <c r="J1277" i="357" s="1"/>
  <c r="G290" i="357"/>
  <c r="I290" i="357" s="1"/>
  <c r="I3343" i="357"/>
  <c r="H1083" i="357"/>
  <c r="H398" i="357"/>
  <c r="I262" i="357"/>
  <c r="G805" i="357"/>
  <c r="J805" i="357" s="1"/>
  <c r="G2055" i="357"/>
  <c r="G261" i="357"/>
  <c r="J261" i="357" s="1"/>
  <c r="G81" i="357"/>
  <c r="I81" i="357" s="1"/>
  <c r="I1215" i="357"/>
  <c r="G2460" i="357"/>
  <c r="H2148" i="357"/>
  <c r="H2047" i="357"/>
  <c r="J2047" i="357" s="1"/>
  <c r="J685" i="357"/>
  <c r="H849" i="357"/>
  <c r="I235" i="357"/>
  <c r="I159" i="357"/>
  <c r="G2286" i="357"/>
  <c r="G1084" i="357"/>
  <c r="J1084" i="357" s="1"/>
  <c r="G1019" i="357"/>
  <c r="I1019" i="357" s="1"/>
  <c r="G629" i="357"/>
  <c r="J629" i="357" s="1"/>
  <c r="G2028" i="357"/>
  <c r="G1758" i="357"/>
  <c r="G1708" i="357"/>
  <c r="G554" i="357"/>
  <c r="I554" i="357" s="1"/>
  <c r="G175" i="357"/>
  <c r="G107" i="357"/>
  <c r="H1198" i="357"/>
  <c r="J1198" i="357" s="1"/>
  <c r="J2177" i="357"/>
  <c r="H1441" i="357"/>
  <c r="H1097" i="357"/>
  <c r="H1158" i="357"/>
  <c r="I1158" i="357" s="1"/>
  <c r="H1002" i="357"/>
  <c r="I1002" i="357" s="1"/>
  <c r="J876" i="357"/>
  <c r="G1689" i="357"/>
  <c r="I1689" i="357" s="1"/>
  <c r="G2178" i="357"/>
  <c r="J2178" i="357" s="1"/>
  <c r="G1057" i="357"/>
  <c r="I592" i="357"/>
  <c r="H2111" i="357"/>
  <c r="H2025" i="357"/>
  <c r="J2025" i="357" s="1"/>
  <c r="H969" i="357"/>
  <c r="H474" i="357"/>
  <c r="H2415" i="357"/>
  <c r="J2415" i="357" s="1"/>
  <c r="H2365" i="357"/>
  <c r="J2365" i="357" s="1"/>
  <c r="H2232" i="357"/>
  <c r="I584" i="357"/>
  <c r="G1686" i="357"/>
  <c r="J1686" i="357" s="1"/>
  <c r="G1304" i="357"/>
  <c r="J1304" i="357" s="1"/>
  <c r="G2116" i="357"/>
  <c r="G1823" i="357"/>
  <c r="H1790" i="357"/>
  <c r="H1900" i="357"/>
  <c r="H1736" i="357"/>
  <c r="J1736" i="357" s="1"/>
  <c r="G522" i="357"/>
  <c r="G1595" i="357"/>
  <c r="H62" i="357"/>
  <c r="G1410" i="357"/>
  <c r="G518" i="357"/>
  <c r="J216" i="357"/>
  <c r="G30" i="357"/>
  <c r="H45" i="357"/>
  <c r="I45" i="357" s="1"/>
  <c r="J2755" i="357"/>
  <c r="I2656" i="357"/>
  <c r="I2103" i="357"/>
  <c r="J3159" i="357"/>
  <c r="I3454" i="357"/>
  <c r="I34" i="357"/>
  <c r="I577" i="357"/>
  <c r="I279" i="357"/>
  <c r="I27" i="357"/>
  <c r="J1391" i="357"/>
  <c r="J329" i="357"/>
  <c r="J1330" i="357"/>
  <c r="I232" i="357"/>
  <c r="J759" i="357"/>
  <c r="J309" i="357"/>
  <c r="J1513" i="357"/>
  <c r="I949" i="357"/>
  <c r="J717" i="357"/>
  <c r="J1186" i="357"/>
  <c r="J946" i="357"/>
  <c r="J1360" i="357"/>
  <c r="I1273" i="357"/>
  <c r="J2441" i="357"/>
  <c r="I2361" i="357"/>
  <c r="J2071" i="357"/>
  <c r="I1795" i="357"/>
  <c r="J1187" i="357"/>
  <c r="I939" i="357"/>
  <c r="I1479" i="357"/>
  <c r="H2110" i="357"/>
  <c r="I2110" i="357" s="1"/>
  <c r="H1654" i="357"/>
  <c r="I1654" i="357" s="1"/>
  <c r="I2071" i="357"/>
  <c r="I1997" i="357"/>
  <c r="I1498" i="357"/>
  <c r="I1186" i="357"/>
  <c r="I717" i="357"/>
  <c r="J3104" i="357"/>
  <c r="J1973" i="357"/>
  <c r="J970" i="357"/>
  <c r="J513" i="357"/>
  <c r="J233" i="357"/>
  <c r="H2400" i="357"/>
  <c r="H1728" i="357"/>
  <c r="J1728" i="357" s="1"/>
  <c r="G1759" i="357"/>
  <c r="I1759" i="357" s="1"/>
  <c r="G1677" i="357"/>
  <c r="G2058" i="357"/>
  <c r="I2058" i="357" s="1"/>
  <c r="G1167" i="357"/>
  <c r="I1167" i="357" s="1"/>
  <c r="G771" i="357"/>
  <c r="I771" i="357" s="1"/>
  <c r="J3248" i="357"/>
  <c r="J2656" i="357"/>
  <c r="J1763" i="357"/>
  <c r="I1451" i="357"/>
  <c r="J3434" i="357"/>
  <c r="J2576" i="357"/>
  <c r="J1212" i="357"/>
  <c r="J100" i="357"/>
  <c r="H1939" i="357"/>
  <c r="H1107" i="357"/>
  <c r="J1107" i="357" s="1"/>
  <c r="H1076" i="357"/>
  <c r="I1076" i="357" s="1"/>
  <c r="I2670" i="357"/>
  <c r="J2417" i="357"/>
  <c r="J2331" i="357"/>
  <c r="J1888" i="357"/>
  <c r="I21" i="357"/>
  <c r="H1342" i="357"/>
  <c r="G1867" i="357"/>
  <c r="J1867" i="357" s="1"/>
  <c r="G1191" i="357"/>
  <c r="I1191" i="357" s="1"/>
  <c r="G2282" i="357"/>
  <c r="G2138" i="357"/>
  <c r="I2138" i="357" s="1"/>
  <c r="G1434" i="357"/>
  <c r="J1434" i="357" s="1"/>
  <c r="G1270" i="357"/>
  <c r="J1270" i="357" s="1"/>
  <c r="J48" i="357"/>
  <c r="J2340" i="357"/>
  <c r="G243" i="357"/>
  <c r="I243" i="357" s="1"/>
  <c r="G117" i="357"/>
  <c r="I117" i="357" s="1"/>
  <c r="J2912" i="357"/>
  <c r="J2104" i="357"/>
  <c r="J1522" i="357"/>
  <c r="J2336" i="357"/>
  <c r="J1069" i="357"/>
  <c r="I992" i="357"/>
  <c r="J949" i="357"/>
  <c r="J1500" i="357"/>
  <c r="H2040" i="357"/>
  <c r="J2040" i="357" s="1"/>
  <c r="H1488" i="357"/>
  <c r="J1488" i="357" s="1"/>
  <c r="H979" i="357"/>
  <c r="I979" i="357" s="1"/>
  <c r="H762" i="357"/>
  <c r="H480" i="357"/>
  <c r="J3140" i="357"/>
  <c r="J2367" i="357"/>
  <c r="J2169" i="357"/>
  <c r="J1491" i="357"/>
  <c r="J1215" i="357"/>
  <c r="H1219" i="357"/>
  <c r="I1219" i="357" s="1"/>
  <c r="G1535" i="357"/>
  <c r="I1183" i="357"/>
  <c r="G956" i="357"/>
  <c r="J956" i="357" s="1"/>
  <c r="G1781" i="357"/>
  <c r="G1388" i="357"/>
  <c r="J1388" i="357" s="1"/>
  <c r="G1027" i="357"/>
  <c r="G967" i="357"/>
  <c r="G1017" i="357"/>
  <c r="I1017" i="357" s="1"/>
  <c r="G509" i="357"/>
  <c r="J1999" i="357"/>
  <c r="I3241" i="357"/>
  <c r="G299" i="357"/>
  <c r="J299" i="357" s="1"/>
  <c r="G2445" i="357"/>
  <c r="I2445" i="357" s="1"/>
  <c r="J627" i="357"/>
  <c r="I3159" i="357"/>
  <c r="I2418" i="357"/>
  <c r="J3343" i="357"/>
  <c r="J2449" i="357"/>
  <c r="J2361" i="357"/>
  <c r="J2161" i="357"/>
  <c r="H559" i="357"/>
  <c r="I559" i="357" s="1"/>
  <c r="G2307" i="357"/>
  <c r="I1211" i="357"/>
  <c r="G953" i="357"/>
  <c r="J953" i="357" s="1"/>
  <c r="G1894" i="357"/>
  <c r="G571" i="357"/>
  <c r="I571" i="357" s="1"/>
  <c r="G303" i="357"/>
  <c r="J3454" i="357"/>
  <c r="J939" i="357"/>
  <c r="I329" i="357"/>
  <c r="J27" i="357"/>
  <c r="G411" i="357"/>
  <c r="I411" i="357" s="1"/>
  <c r="I626" i="357"/>
  <c r="J2103" i="357"/>
  <c r="I136" i="357"/>
  <c r="J1537" i="357"/>
  <c r="J184" i="357"/>
  <c r="J101" i="357"/>
  <c r="J1134" i="357"/>
  <c r="J924" i="357"/>
  <c r="J1936" i="357"/>
  <c r="I923" i="357"/>
  <c r="J1241" i="357"/>
  <c r="J1098" i="357"/>
  <c r="I831" i="357"/>
  <c r="J591" i="357"/>
  <c r="J2330" i="357"/>
  <c r="I1993" i="357"/>
  <c r="I1887" i="357"/>
  <c r="J1254" i="357"/>
  <c r="J1473" i="357"/>
  <c r="I1099" i="357"/>
  <c r="G2446" i="357"/>
  <c r="H1817" i="357"/>
  <c r="J1801" i="357"/>
  <c r="H1789" i="357"/>
  <c r="H509" i="357"/>
  <c r="J1273" i="357"/>
  <c r="J3490" i="357"/>
  <c r="H250" i="357"/>
  <c r="I250" i="357" s="1"/>
  <c r="G499" i="357"/>
  <c r="G1723" i="357"/>
  <c r="G195" i="357"/>
  <c r="J195" i="357" s="1"/>
  <c r="G205" i="357"/>
  <c r="J205" i="357" s="1"/>
  <c r="I119" i="357"/>
  <c r="G1489" i="357"/>
  <c r="I3112" i="357"/>
  <c r="J71" i="357"/>
  <c r="H1893" i="357"/>
  <c r="J1893" i="357" s="1"/>
  <c r="H1990" i="357"/>
  <c r="J989" i="357"/>
  <c r="H1108" i="357"/>
  <c r="H473" i="357"/>
  <c r="J577" i="357"/>
  <c r="I3095" i="357"/>
  <c r="I2412" i="357"/>
  <c r="J1176" i="357"/>
  <c r="H2468" i="357"/>
  <c r="J624" i="357"/>
  <c r="I197" i="357"/>
  <c r="G2053" i="357"/>
  <c r="J2053" i="357" s="1"/>
  <c r="G1596" i="357"/>
  <c r="G2154" i="357"/>
  <c r="J2154" i="357" s="1"/>
  <c r="G1571" i="357"/>
  <c r="J1571" i="357" s="1"/>
  <c r="I593" i="357"/>
  <c r="G46" i="357"/>
  <c r="J46" i="357" s="1"/>
  <c r="G1690" i="357"/>
  <c r="G124" i="357"/>
  <c r="J1940" i="357"/>
  <c r="H877" i="357"/>
  <c r="I1192" i="357"/>
  <c r="H2250" i="357"/>
  <c r="G1356" i="357"/>
  <c r="G1168" i="357"/>
  <c r="G335" i="357"/>
  <c r="J335" i="357" s="1"/>
  <c r="G1643" i="357"/>
  <c r="G1561" i="357"/>
  <c r="I1561" i="357" s="1"/>
  <c r="J25" i="357"/>
  <c r="G223" i="357"/>
  <c r="J223" i="357" s="1"/>
  <c r="G1813" i="357"/>
  <c r="J1813" i="357" s="1"/>
  <c r="H1495" i="357"/>
  <c r="H1079" i="357"/>
  <c r="J1079" i="357" s="1"/>
  <c r="H997" i="357"/>
  <c r="H1112" i="357"/>
  <c r="I477" i="357"/>
  <c r="H391" i="357"/>
  <c r="I391" i="357" s="1"/>
  <c r="J626" i="357"/>
  <c r="I927" i="357"/>
  <c r="J1457" i="357"/>
  <c r="H1181" i="357"/>
  <c r="I1181" i="357" s="1"/>
  <c r="G1472" i="357"/>
  <c r="J1472" i="357" s="1"/>
  <c r="I623" i="357"/>
  <c r="G498" i="357"/>
  <c r="J498" i="357" s="1"/>
  <c r="G87" i="357"/>
  <c r="I87" i="357" s="1"/>
  <c r="J1960" i="357"/>
  <c r="I932" i="357"/>
  <c r="G997" i="357"/>
  <c r="J2064" i="357"/>
  <c r="J923" i="357"/>
  <c r="J1925" i="357"/>
  <c r="H804" i="357"/>
  <c r="J804" i="357" s="1"/>
  <c r="J824" i="357"/>
  <c r="J592" i="357"/>
  <c r="I2724" i="357"/>
  <c r="I1119" i="357"/>
  <c r="H2479" i="357"/>
  <c r="I2479" i="357" s="1"/>
  <c r="I277" i="357"/>
  <c r="I227" i="357"/>
  <c r="I177" i="357"/>
  <c r="G1578" i="357"/>
  <c r="I1578" i="357" s="1"/>
  <c r="G1248" i="357"/>
  <c r="I1248" i="357" s="1"/>
  <c r="G982" i="357"/>
  <c r="G375" i="357"/>
  <c r="G798" i="357"/>
  <c r="J248" i="357"/>
  <c r="J66" i="357"/>
  <c r="G161" i="357"/>
  <c r="I161" i="357" s="1"/>
  <c r="J114" i="357"/>
  <c r="I1473" i="357"/>
  <c r="J971" i="357"/>
  <c r="I1310" i="357"/>
  <c r="G828" i="357"/>
  <c r="I828" i="357" s="1"/>
  <c r="J136" i="357"/>
  <c r="J1099" i="357"/>
  <c r="H2075" i="357"/>
  <c r="I2075" i="357" s="1"/>
  <c r="H1776" i="357"/>
  <c r="I1776" i="357" s="1"/>
  <c r="H2057" i="357"/>
  <c r="H1986" i="357"/>
  <c r="H1860" i="357"/>
  <c r="H1657" i="357"/>
  <c r="H527" i="357"/>
  <c r="I353" i="357"/>
  <c r="I333" i="357"/>
  <c r="H354" i="357"/>
  <c r="I354" i="357" s="1"/>
  <c r="J1286" i="357"/>
  <c r="G2002" i="357"/>
  <c r="G1039" i="357"/>
  <c r="G2297" i="357"/>
  <c r="I2297" i="357" s="1"/>
  <c r="G1178" i="357"/>
  <c r="I1178" i="357" s="1"/>
  <c r="G961" i="357"/>
  <c r="J961" i="357" s="1"/>
  <c r="G412" i="357"/>
  <c r="J412" i="357" s="1"/>
  <c r="J2264" i="357"/>
  <c r="G385" i="357"/>
  <c r="I385" i="357" s="1"/>
  <c r="J1993" i="357"/>
  <c r="H1349" i="357"/>
  <c r="J1053" i="357"/>
  <c r="J471" i="357"/>
  <c r="J2744" i="357"/>
  <c r="I2382" i="357"/>
  <c r="G1205" i="357"/>
  <c r="I1205" i="357" s="1"/>
  <c r="J266" i="357"/>
  <c r="G108" i="357"/>
  <c r="J108" i="357" s="1"/>
  <c r="I1126" i="357"/>
  <c r="G1206" i="357"/>
  <c r="J1206" i="357" s="1"/>
  <c r="G1439" i="357"/>
  <c r="J1439" i="357" s="1"/>
  <c r="G2395" i="357"/>
  <c r="I2395" i="357" s="1"/>
  <c r="H2182" i="357"/>
  <c r="I2182" i="357" s="1"/>
  <c r="H2035" i="357"/>
  <c r="J1636" i="357"/>
  <c r="J983" i="357"/>
  <c r="H417" i="357"/>
  <c r="I417" i="357" s="1"/>
  <c r="H325" i="357"/>
  <c r="I2552" i="357"/>
  <c r="I2330" i="357"/>
  <c r="I1563" i="357"/>
  <c r="I1241" i="357"/>
  <c r="J1959" i="357"/>
  <c r="H2314" i="357"/>
  <c r="G1559" i="357"/>
  <c r="G1399" i="357"/>
  <c r="J1399" i="357" s="1"/>
  <c r="G1281" i="357"/>
  <c r="J1281" i="357" s="1"/>
  <c r="G401" i="357"/>
  <c r="I401" i="357" s="1"/>
  <c r="G99" i="357"/>
  <c r="J99" i="357" s="1"/>
  <c r="J1456" i="357"/>
  <c r="H2234" i="357"/>
  <c r="I2234" i="357" s="1"/>
  <c r="G1576" i="357"/>
  <c r="I1576" i="357" s="1"/>
  <c r="G1113" i="357"/>
  <c r="J1113" i="357" s="1"/>
  <c r="I1238" i="357"/>
  <c r="I924" i="357"/>
  <c r="J1542" i="357"/>
  <c r="J118" i="357"/>
  <c r="I1098" i="357"/>
  <c r="J120" i="357"/>
  <c r="I2401" i="357"/>
  <c r="I2319" i="357"/>
  <c r="J1013" i="357"/>
  <c r="I1768" i="357"/>
  <c r="H935" i="357"/>
  <c r="J935" i="357" s="1"/>
  <c r="J764" i="357"/>
  <c r="G1196" i="357"/>
  <c r="G1123" i="357"/>
  <c r="I1123" i="357" s="1"/>
  <c r="G1737" i="357"/>
  <c r="I1737" i="357" s="1"/>
  <c r="G1685" i="357"/>
  <c r="G1437" i="357"/>
  <c r="J1437" i="357" s="1"/>
  <c r="G1138" i="357"/>
  <c r="I1138" i="357" s="1"/>
  <c r="G2069" i="357"/>
  <c r="J2069" i="357" s="1"/>
  <c r="G41" i="357"/>
  <c r="I691" i="357"/>
  <c r="G2447" i="357"/>
  <c r="J2447" i="357" s="1"/>
  <c r="H2117" i="357"/>
  <c r="I2117" i="357" s="1"/>
  <c r="H2007" i="357"/>
  <c r="H1026" i="357"/>
  <c r="I1026" i="357" s="1"/>
  <c r="I1305" i="357"/>
  <c r="J1465" i="357"/>
  <c r="H209" i="357"/>
  <c r="G2160" i="357"/>
  <c r="G1366" i="357"/>
  <c r="J1366" i="357" s="1"/>
  <c r="G1259" i="357"/>
  <c r="I1259" i="357" s="1"/>
  <c r="I1221" i="357"/>
  <c r="G915" i="357"/>
  <c r="I915" i="357" s="1"/>
  <c r="I583" i="357"/>
  <c r="G482" i="357"/>
  <c r="I482" i="357" s="1"/>
  <c r="G2245" i="357"/>
  <c r="I2245" i="357" s="1"/>
  <c r="G1682" i="357"/>
  <c r="G1063" i="357"/>
  <c r="I1063" i="357" s="1"/>
  <c r="J1406" i="357"/>
  <c r="I3315" i="357"/>
  <c r="H2194" i="357"/>
  <c r="I2194" i="357" s="1"/>
  <c r="G1760" i="357"/>
  <c r="I1760" i="357" s="1"/>
  <c r="H239" i="357"/>
  <c r="G408" i="357"/>
  <c r="I408" i="357" s="1"/>
  <c r="G517" i="357"/>
  <c r="G1710" i="357"/>
  <c r="I1710" i="357" s="1"/>
  <c r="H249" i="357"/>
  <c r="H113" i="357"/>
  <c r="I113" i="357" s="1"/>
  <c r="I253" i="357"/>
  <c r="G456" i="357"/>
  <c r="H555" i="357"/>
  <c r="I555" i="357" s="1"/>
  <c r="G221" i="357"/>
  <c r="I221" i="357" s="1"/>
  <c r="G203" i="357"/>
  <c r="J385" i="357"/>
  <c r="G10" i="357"/>
  <c r="J10" i="357" s="1"/>
  <c r="G598" i="357"/>
  <c r="G325" i="357"/>
  <c r="J325" i="357" s="1"/>
  <c r="G1166" i="357"/>
  <c r="G174" i="357"/>
  <c r="J174" i="357" s="1"/>
  <c r="G2294" i="357"/>
  <c r="H1285" i="357"/>
  <c r="J142" i="357"/>
  <c r="J35" i="357"/>
  <c r="I1483" i="357"/>
  <c r="J102" i="357"/>
  <c r="J1274" i="357"/>
  <c r="J1227" i="357"/>
  <c r="I1213" i="357"/>
  <c r="J372" i="357"/>
  <c r="J91" i="357"/>
  <c r="J1518" i="357"/>
  <c r="I1068" i="357"/>
  <c r="J89" i="357"/>
  <c r="J1905" i="357"/>
  <c r="I2391" i="357"/>
  <c r="I2271" i="357"/>
  <c r="J1979" i="357"/>
  <c r="J1043" i="357"/>
  <c r="I2048" i="357"/>
  <c r="I721" i="357"/>
  <c r="J328" i="357"/>
  <c r="I625" i="357"/>
  <c r="G271" i="357"/>
  <c r="I271" i="357" s="1"/>
  <c r="J2124" i="357"/>
  <c r="I814" i="357"/>
  <c r="J382" i="357"/>
  <c r="H1287" i="357"/>
  <c r="I1287" i="357" s="1"/>
  <c r="G1040" i="357"/>
  <c r="G322" i="357"/>
  <c r="I322" i="357" s="1"/>
  <c r="G171" i="357"/>
  <c r="I171" i="357" s="1"/>
  <c r="J22" i="357"/>
  <c r="I823" i="357"/>
  <c r="J1887" i="357"/>
  <c r="J232" i="357"/>
  <c r="J1795" i="357"/>
  <c r="J2072" i="357"/>
  <c r="G106" i="357"/>
  <c r="J106" i="357" s="1"/>
  <c r="G50" i="357"/>
  <c r="J50" i="357" s="1"/>
  <c r="G1093" i="357"/>
  <c r="G432" i="357"/>
  <c r="J1169" i="357"/>
  <c r="J565" i="357"/>
  <c r="I1753" i="357"/>
  <c r="G1898" i="357"/>
  <c r="J1898" i="357" s="1"/>
  <c r="G1655" i="357"/>
  <c r="G730" i="357"/>
  <c r="G595" i="357"/>
  <c r="G438" i="357"/>
  <c r="H1717" i="357"/>
  <c r="I1717" i="357" s="1"/>
  <c r="G885" i="357"/>
  <c r="I885" i="357" s="1"/>
  <c r="G2278" i="357"/>
  <c r="J2278" i="357" s="1"/>
  <c r="G1861" i="357"/>
  <c r="J1861" i="357" s="1"/>
  <c r="G980" i="357"/>
  <c r="H267" i="357"/>
  <c r="H181" i="357"/>
  <c r="H107" i="357"/>
  <c r="H30" i="357"/>
  <c r="J1342" i="357"/>
  <c r="J1576" i="357"/>
  <c r="J28" i="357"/>
  <c r="I1513" i="357"/>
  <c r="I948" i="357"/>
  <c r="I135" i="357"/>
  <c r="J1731" i="357"/>
  <c r="I341" i="357"/>
  <c r="J1256" i="357"/>
  <c r="I1360" i="357"/>
  <c r="I1300" i="357"/>
  <c r="I631" i="357"/>
  <c r="I942" i="357"/>
  <c r="I918" i="357"/>
  <c r="I1330" i="357"/>
  <c r="I1255" i="357"/>
  <c r="J1748" i="357"/>
  <c r="I2242" i="357"/>
  <c r="J1280" i="357"/>
  <c r="I309" i="357"/>
  <c r="J1560" i="357"/>
  <c r="I727" i="357"/>
  <c r="I1336" i="357"/>
  <c r="I1862" i="357"/>
  <c r="I1418" i="357"/>
  <c r="I2451" i="357"/>
  <c r="J2372" i="357"/>
  <c r="J2218" i="357"/>
  <c r="I2428" i="357"/>
  <c r="J254" i="357"/>
  <c r="J1489" i="357"/>
  <c r="G1334" i="357"/>
  <c r="H2446" i="357"/>
  <c r="I2446" i="357" s="1"/>
  <c r="H606" i="357"/>
  <c r="J192" i="357"/>
  <c r="G230" i="357"/>
  <c r="J230" i="357" s="1"/>
  <c r="H1182" i="357"/>
  <c r="I1182" i="357" s="1"/>
  <c r="G450" i="357"/>
  <c r="H297" i="357"/>
  <c r="G1398" i="357"/>
  <c r="J1398" i="357" s="1"/>
  <c r="J64" i="357"/>
  <c r="G601" i="357"/>
  <c r="H219" i="357"/>
  <c r="G1819" i="357"/>
  <c r="J1819" i="357" s="1"/>
  <c r="H2251" i="357"/>
  <c r="I2251" i="357" s="1"/>
  <c r="H1521" i="357"/>
  <c r="H1335" i="357"/>
  <c r="H2731" i="357"/>
  <c r="H1334" i="357"/>
  <c r="G1335" i="357"/>
  <c r="G2731" i="357"/>
  <c r="H2461" i="357"/>
  <c r="I2461" i="357" s="1"/>
  <c r="G1325" i="357"/>
  <c r="G1854" i="357"/>
  <c r="H1724" i="357"/>
  <c r="I1724" i="357" s="1"/>
  <c r="H1386" i="357"/>
  <c r="I2261" i="357"/>
  <c r="J2195" i="357"/>
  <c r="G1704" i="357"/>
  <c r="J1704" i="357" s="1"/>
  <c r="G2115" i="357"/>
  <c r="J2115" i="357" s="1"/>
  <c r="I1754" i="357"/>
  <c r="G1836" i="357"/>
  <c r="G535" i="357"/>
  <c r="I535" i="357" s="1"/>
  <c r="H2300" i="357"/>
  <c r="I2300" i="357" s="1"/>
  <c r="G2229" i="357"/>
  <c r="I2229" i="357" s="1"/>
  <c r="H2216" i="357"/>
  <c r="H1750" i="357"/>
  <c r="I1750" i="357" s="1"/>
  <c r="G1526" i="357"/>
  <c r="G1612" i="357"/>
  <c r="H1282" i="357"/>
  <c r="I1282" i="357" s="1"/>
  <c r="G1660" i="357"/>
  <c r="I1660" i="357" s="1"/>
  <c r="G1842" i="357"/>
  <c r="H1726" i="357"/>
  <c r="J1726" i="357" s="1"/>
  <c r="H1315" i="357"/>
  <c r="G1346" i="357"/>
  <c r="I2577" i="357"/>
  <c r="J2700" i="357"/>
  <c r="J34" i="357"/>
  <c r="G1521" i="357"/>
  <c r="G1506" i="357"/>
  <c r="J1506" i="357" s="1"/>
  <c r="J88" i="357"/>
  <c r="J38" i="357"/>
  <c r="G1367" i="357"/>
  <c r="G2198" i="357"/>
  <c r="J2198" i="357" s="1"/>
  <c r="J1149" i="357"/>
  <c r="I123" i="357"/>
  <c r="G653" i="357"/>
  <c r="H1755" i="357"/>
  <c r="I1755" i="357" s="1"/>
  <c r="H20" i="357"/>
  <c r="I20" i="357" s="1"/>
  <c r="I272" i="357"/>
  <c r="H287" i="357"/>
  <c r="G82" i="357"/>
  <c r="J82" i="357" s="1"/>
  <c r="G1742" i="357"/>
  <c r="G1249" i="357"/>
  <c r="J1249" i="357" s="1"/>
  <c r="G474" i="357"/>
  <c r="J474" i="357" s="1"/>
  <c r="G1073" i="357"/>
  <c r="J1073" i="357" s="1"/>
  <c r="H2215" i="357"/>
  <c r="G960" i="357"/>
  <c r="J960" i="357" s="1"/>
  <c r="H211" i="357"/>
  <c r="H51" i="357"/>
  <c r="I51" i="357" s="1"/>
  <c r="H77" i="357"/>
  <c r="I77" i="357" s="1"/>
  <c r="G1899" i="357"/>
  <c r="J1899" i="357" s="1"/>
  <c r="I3505" i="357"/>
  <c r="G2241" i="357"/>
  <c r="I2241" i="357" s="1"/>
  <c r="G462" i="357"/>
  <c r="G767" i="357"/>
  <c r="G302" i="357"/>
  <c r="J302" i="357" s="1"/>
  <c r="H69" i="357"/>
  <c r="I69" i="357" s="1"/>
  <c r="G2799" i="357"/>
  <c r="H229" i="357"/>
  <c r="G133" i="357"/>
  <c r="J133" i="357" s="1"/>
  <c r="G68" i="357"/>
  <c r="J68" i="357" s="1"/>
  <c r="G1082" i="357"/>
  <c r="H1225" i="357"/>
  <c r="I1225" i="357" s="1"/>
  <c r="H638" i="357"/>
  <c r="I638" i="357" s="1"/>
  <c r="H2203" i="357"/>
  <c r="H1295" i="357"/>
  <c r="G244" i="357"/>
  <c r="J244" i="357" s="1"/>
  <c r="H1196" i="357"/>
  <c r="I1196" i="357" s="1"/>
  <c r="H2239" i="357"/>
  <c r="I2239" i="357" s="1"/>
  <c r="G2962" i="357"/>
  <c r="G1124" i="357"/>
  <c r="G350" i="357"/>
  <c r="J350" i="357" s="1"/>
  <c r="H1365" i="357"/>
  <c r="G1296" i="357"/>
  <c r="H1262" i="357"/>
  <c r="I1262" i="357" s="1"/>
  <c r="H173" i="357"/>
  <c r="G112" i="357"/>
  <c r="J112" i="357" s="1"/>
  <c r="G56" i="357"/>
  <c r="J56" i="357" s="1"/>
  <c r="H39" i="357"/>
  <c r="I39" i="357" s="1"/>
  <c r="H63" i="357"/>
  <c r="I63" i="357" s="1"/>
  <c r="I2785" i="357"/>
  <c r="G736" i="357"/>
  <c r="H1708" i="357"/>
  <c r="G1062" i="357"/>
  <c r="G911" i="357"/>
  <c r="H2259" i="357"/>
  <c r="I2259" i="357" s="1"/>
  <c r="H1706" i="357"/>
  <c r="G2816" i="357"/>
  <c r="I2248" i="357"/>
  <c r="H600" i="357"/>
  <c r="H1423" i="357"/>
  <c r="H1410" i="357"/>
  <c r="H163" i="357"/>
  <c r="H2282" i="357"/>
  <c r="G1104" i="357"/>
  <c r="I1749" i="357"/>
  <c r="H648" i="357"/>
  <c r="I648" i="357" s="1"/>
  <c r="I2060" i="357"/>
  <c r="G1848" i="357"/>
  <c r="J3014" i="357"/>
  <c r="I3217" i="357"/>
  <c r="G2142" i="357"/>
  <c r="J2142" i="357" s="1"/>
  <c r="I2773" i="357"/>
  <c r="I2938" i="357"/>
  <c r="J2230" i="357"/>
  <c r="J1743" i="357"/>
  <c r="H2260" i="357"/>
  <c r="J2260" i="357" s="1"/>
  <c r="J2690" i="357"/>
  <c r="I2651" i="357"/>
  <c r="G1246" i="357"/>
  <c r="J1246" i="357" s="1"/>
  <c r="J2750" i="357"/>
  <c r="J2150" i="357"/>
  <c r="G1624" i="357"/>
  <c r="G2016" i="357"/>
  <c r="J3038" i="357"/>
  <c r="I485" i="357"/>
  <c r="G1722" i="357"/>
  <c r="I1722" i="357" s="1"/>
  <c r="I1672" i="357"/>
  <c r="H1291" i="357"/>
  <c r="I1291" i="357" s="1"/>
  <c r="I1298" i="357"/>
  <c r="J1137" i="357"/>
  <c r="H2205" i="357"/>
  <c r="G857" i="357"/>
  <c r="H1408" i="357"/>
  <c r="H2334" i="357"/>
  <c r="J2334" i="357" s="1"/>
  <c r="H2236" i="357"/>
  <c r="I2236" i="357" s="1"/>
  <c r="H594" i="357"/>
  <c r="G1146" i="357"/>
  <c r="G144" i="357"/>
  <c r="J144" i="357" s="1"/>
  <c r="G76" i="357"/>
  <c r="J76" i="357" s="1"/>
  <c r="I3138" i="357"/>
  <c r="J2712" i="357"/>
  <c r="I2024" i="357"/>
  <c r="I3239" i="357"/>
  <c r="G1263" i="357"/>
  <c r="J1263" i="357" s="1"/>
  <c r="G1885" i="357"/>
  <c r="I2950" i="357"/>
  <c r="H1375" i="357"/>
  <c r="G1020" i="357"/>
  <c r="G2166" i="357"/>
  <c r="J2166" i="357" s="1"/>
  <c r="G2290" i="357"/>
  <c r="G1328" i="357"/>
  <c r="J1328" i="357" s="1"/>
  <c r="H1340" i="357"/>
  <c r="I1340" i="357" s="1"/>
  <c r="G1209" i="357"/>
  <c r="G2042" i="357"/>
  <c r="H1344" i="357"/>
  <c r="H596" i="357"/>
  <c r="G1600" i="357"/>
  <c r="G1269" i="357"/>
  <c r="J1269" i="357" s="1"/>
  <c r="G1830" i="357"/>
  <c r="G1436" i="357"/>
  <c r="J1436" i="357" s="1"/>
  <c r="G1651" i="357"/>
  <c r="H1290" i="357"/>
  <c r="G1684" i="357"/>
  <c r="J1684" i="357" s="1"/>
  <c r="G1231" i="357"/>
  <c r="J1231" i="357" s="1"/>
  <c r="I2528" i="357"/>
  <c r="G1000" i="357"/>
  <c r="G2235" i="357"/>
  <c r="I2235" i="357" s="1"/>
  <c r="J2030" i="357"/>
  <c r="G2793" i="357"/>
  <c r="G1786" i="357"/>
  <c r="G1143" i="357"/>
  <c r="I759" i="357"/>
  <c r="J650" i="357"/>
  <c r="G1588" i="357"/>
  <c r="H1712" i="357"/>
  <c r="I1712" i="357" s="1"/>
  <c r="H2376" i="357"/>
  <c r="I2376" i="357" s="1"/>
  <c r="G2054" i="357"/>
  <c r="H2289" i="357"/>
  <c r="I2289" i="357" s="1"/>
  <c r="G2272" i="357"/>
  <c r="I2272" i="357" s="1"/>
  <c r="H1326" i="357"/>
  <c r="I1326" i="357" s="1"/>
  <c r="I3213" i="357"/>
  <c r="I2835" i="357"/>
  <c r="I2559" i="357"/>
  <c r="H1324" i="357"/>
  <c r="I1324" i="357" s="1"/>
  <c r="J1711" i="357"/>
  <c r="G97" i="357"/>
  <c r="J97" i="357" s="1"/>
  <c r="G44" i="357"/>
  <c r="J44" i="357" s="1"/>
  <c r="G1401" i="357"/>
  <c r="J1401" i="357" s="1"/>
  <c r="G1494" i="357"/>
  <c r="J1494" i="357" s="1"/>
  <c r="H2366" i="357"/>
  <c r="J2366" i="357" s="1"/>
  <c r="H1729" i="357"/>
  <c r="G1442" i="357"/>
  <c r="J1442" i="357" s="1"/>
  <c r="G1657" i="357"/>
  <c r="I2558" i="357"/>
  <c r="G1283" i="357"/>
  <c r="J1283" i="357" s="1"/>
  <c r="I3237" i="357"/>
  <c r="G1882" i="357"/>
  <c r="J1882" i="357" s="1"/>
  <c r="H1740" i="357"/>
  <c r="H2294" i="357"/>
  <c r="H1220" i="357"/>
  <c r="I1220" i="357" s="1"/>
  <c r="H1721" i="357"/>
  <c r="J1721" i="357" s="1"/>
  <c r="H1747" i="357"/>
  <c r="J1747" i="357" s="1"/>
  <c r="G845" i="357"/>
  <c r="H1261" i="357"/>
  <c r="I1261" i="357" s="1"/>
  <c r="H2200" i="357"/>
  <c r="J2200" i="357" s="1"/>
  <c r="I2570" i="357"/>
  <c r="G1189" i="357"/>
  <c r="H2325" i="357"/>
  <c r="I1723" i="357"/>
  <c r="J2516" i="357"/>
  <c r="J2434" i="357"/>
  <c r="H2237" i="357"/>
  <c r="I2237" i="357" s="1"/>
  <c r="G1364" i="357"/>
  <c r="J1364" i="357" s="1"/>
  <c r="J1341" i="357"/>
  <c r="G1463" i="357"/>
  <c r="J1463" i="357" s="1"/>
  <c r="G630" i="357"/>
  <c r="G188" i="357"/>
  <c r="J188" i="357" s="1"/>
  <c r="G127" i="357"/>
  <c r="J127" i="357" s="1"/>
  <c r="G62" i="357"/>
  <c r="G2039" i="357"/>
  <c r="J2039" i="357" s="1"/>
  <c r="G1922" i="357"/>
  <c r="J1922" i="357" s="1"/>
  <c r="J2937" i="357"/>
  <c r="I98" i="357"/>
  <c r="G1639" i="357"/>
  <c r="G1771" i="357"/>
  <c r="J1771" i="357" s="1"/>
  <c r="G1982" i="357"/>
  <c r="J1982" i="357" s="1"/>
  <c r="I2526" i="357"/>
  <c r="G1789" i="357"/>
  <c r="J2574" i="357"/>
  <c r="J2268" i="357"/>
  <c r="J2939" i="357"/>
  <c r="G1419" i="357"/>
  <c r="J1419" i="357" s="1"/>
  <c r="J2590" i="357"/>
  <c r="J3247" i="357"/>
  <c r="H2821" i="357"/>
  <c r="J2586" i="357"/>
  <c r="J1759" i="357"/>
  <c r="I2836" i="357"/>
  <c r="I176" i="357"/>
  <c r="H1279" i="357"/>
  <c r="J1279" i="357" s="1"/>
  <c r="J2542" i="357"/>
  <c r="I17" i="357"/>
  <c r="G2204" i="357"/>
  <c r="G1910" i="357"/>
  <c r="J1910" i="357" s="1"/>
  <c r="H2246" i="357"/>
  <c r="J2310" i="357"/>
  <c r="H1709" i="357"/>
  <c r="J1709" i="357" s="1"/>
  <c r="I3039" i="357"/>
  <c r="J2951" i="357"/>
  <c r="I3247" i="357"/>
  <c r="I2085" i="357"/>
  <c r="J2578" i="357"/>
  <c r="H2288" i="357"/>
  <c r="I2288" i="357" s="1"/>
  <c r="G1357" i="357"/>
  <c r="I1318" i="357"/>
  <c r="I1267" i="357"/>
  <c r="H1758" i="357"/>
  <c r="G1289" i="357"/>
  <c r="J1289" i="357" s="1"/>
  <c r="H2279" i="357"/>
  <c r="H1314" i="357"/>
  <c r="I1314" i="357" s="1"/>
  <c r="H1271" i="357"/>
  <c r="J1271" i="357" s="1"/>
  <c r="J2967" i="357"/>
  <c r="G2021" i="357"/>
  <c r="J2021" i="357" s="1"/>
  <c r="G1591" i="357"/>
  <c r="I2718" i="357"/>
  <c r="H2354" i="357"/>
  <c r="I2354" i="357" s="1"/>
  <c r="H2240" i="357"/>
  <c r="J2240" i="357" s="1"/>
  <c r="H1705" i="357"/>
  <c r="J1705" i="357" s="1"/>
  <c r="H2830" i="357"/>
  <c r="H2464" i="357"/>
  <c r="G2956" i="357"/>
  <c r="I83" i="357"/>
  <c r="I57" i="357"/>
  <c r="G2186" i="357"/>
  <c r="H2280" i="357"/>
  <c r="I2280" i="357" s="1"/>
  <c r="J1807" i="357"/>
  <c r="J977" i="357"/>
  <c r="I570" i="357"/>
  <c r="I2996" i="357"/>
  <c r="J2834" i="357"/>
  <c r="G2057" i="357"/>
  <c r="G2033" i="357"/>
  <c r="I2033" i="357" s="1"/>
  <c r="J3097" i="357"/>
  <c r="H2956" i="357"/>
  <c r="G2465" i="357"/>
  <c r="G2463" i="357"/>
  <c r="G2464" i="357"/>
  <c r="H1854" i="357"/>
  <c r="H1852" i="357"/>
  <c r="H1850" i="357"/>
  <c r="H1848" i="357"/>
  <c r="H1846" i="357"/>
  <c r="H1844" i="357"/>
  <c r="H1842" i="357"/>
  <c r="H1840" i="357"/>
  <c r="H1838" i="357"/>
  <c r="H1836" i="357"/>
  <c r="H1834" i="357"/>
  <c r="H1832" i="357"/>
  <c r="H1830" i="357"/>
  <c r="H1828" i="357"/>
  <c r="H1853" i="357"/>
  <c r="H1851" i="357"/>
  <c r="H1849" i="357"/>
  <c r="H1847" i="357"/>
  <c r="H1845" i="357"/>
  <c r="H1843" i="357"/>
  <c r="H1841" i="357"/>
  <c r="H1839" i="357"/>
  <c r="H1837" i="357"/>
  <c r="H1835" i="357"/>
  <c r="H1833" i="357"/>
  <c r="H1831" i="357"/>
  <c r="H1829" i="357"/>
  <c r="H1827" i="357"/>
  <c r="H1626" i="357"/>
  <c r="H1624" i="357"/>
  <c r="H1622" i="357"/>
  <c r="H1620" i="357"/>
  <c r="H1618" i="357"/>
  <c r="J1618" i="357" s="1"/>
  <c r="H1616" i="357"/>
  <c r="H1614" i="357"/>
  <c r="H1612" i="357"/>
  <c r="H1610" i="357"/>
  <c r="H1608" i="357"/>
  <c r="H1606" i="357"/>
  <c r="J1606" i="357" s="1"/>
  <c r="H1604" i="357"/>
  <c r="H1602" i="357"/>
  <c r="H1600" i="357"/>
  <c r="H1625" i="357"/>
  <c r="H1621" i="357"/>
  <c r="H1619" i="357"/>
  <c r="H1617" i="357"/>
  <c r="H1615" i="357"/>
  <c r="H1613" i="357"/>
  <c r="H1611" i="357"/>
  <c r="H1609" i="357"/>
  <c r="H1607" i="357"/>
  <c r="H1605" i="357"/>
  <c r="H1603" i="357"/>
  <c r="H1601" i="357"/>
  <c r="H916" i="357"/>
  <c r="J916" i="357" s="1"/>
  <c r="H895" i="357"/>
  <c r="H893" i="357"/>
  <c r="H891" i="357"/>
  <c r="J891" i="357" s="1"/>
  <c r="H889" i="357"/>
  <c r="H887" i="357"/>
  <c r="H782" i="357"/>
  <c r="J782" i="357" s="1"/>
  <c r="H780" i="357"/>
  <c r="H778" i="357"/>
  <c r="H776" i="357"/>
  <c r="J776" i="357" s="1"/>
  <c r="H774" i="357"/>
  <c r="H705" i="357"/>
  <c r="H703" i="357"/>
  <c r="I703" i="357" s="1"/>
  <c r="H701" i="357"/>
  <c r="H699" i="357"/>
  <c r="H697" i="357"/>
  <c r="J697" i="357" s="1"/>
  <c r="H896" i="357"/>
  <c r="H894" i="357"/>
  <c r="H892" i="357"/>
  <c r="H890" i="357"/>
  <c r="H888" i="357"/>
  <c r="H781" i="357"/>
  <c r="H779" i="357"/>
  <c r="H777" i="357"/>
  <c r="H775" i="357"/>
  <c r="H773" i="357"/>
  <c r="H704" i="357"/>
  <c r="H702" i="357"/>
  <c r="H700" i="357"/>
  <c r="H698" i="357"/>
  <c r="H696" i="357"/>
  <c r="H2852" i="357"/>
  <c r="H2463" i="357"/>
  <c r="G1853" i="357"/>
  <c r="G1850" i="357"/>
  <c r="G1847" i="357"/>
  <c r="G1844" i="357"/>
  <c r="G1841" i="357"/>
  <c r="G1838" i="357"/>
  <c r="G1835" i="357"/>
  <c r="G1832" i="357"/>
  <c r="G1829" i="357"/>
  <c r="G1626" i="357"/>
  <c r="G1620" i="357"/>
  <c r="G1617" i="357"/>
  <c r="G1614" i="357"/>
  <c r="G1611" i="357"/>
  <c r="G1608" i="357"/>
  <c r="G1605" i="357"/>
  <c r="G1602" i="357"/>
  <c r="G896" i="357"/>
  <c r="G893" i="357"/>
  <c r="G890" i="357"/>
  <c r="G887" i="357"/>
  <c r="G781" i="357"/>
  <c r="G778" i="357"/>
  <c r="G775" i="357"/>
  <c r="G705" i="357"/>
  <c r="G702" i="357"/>
  <c r="G699" i="357"/>
  <c r="G696" i="357"/>
  <c r="G2853" i="357"/>
  <c r="G1852" i="357"/>
  <c r="I1852" i="357" s="1"/>
  <c r="G1849" i="357"/>
  <c r="G1846" i="357"/>
  <c r="G1843" i="357"/>
  <c r="G1840" i="357"/>
  <c r="G1837" i="357"/>
  <c r="G1834" i="357"/>
  <c r="G1831" i="357"/>
  <c r="G1828" i="357"/>
  <c r="G1625" i="357"/>
  <c r="G1619" i="357"/>
  <c r="G1616" i="357"/>
  <c r="G1613" i="357"/>
  <c r="G1610" i="357"/>
  <c r="G1607" i="357"/>
  <c r="G1604" i="357"/>
  <c r="G1601" i="357"/>
  <c r="G895" i="357"/>
  <c r="G892" i="357"/>
  <c r="G889" i="357"/>
  <c r="G780" i="357"/>
  <c r="G777" i="357"/>
  <c r="G774" i="357"/>
  <c r="G704" i="357"/>
  <c r="G701" i="357"/>
  <c r="G698" i="357"/>
  <c r="G2852" i="357"/>
  <c r="G1851" i="357"/>
  <c r="G1845" i="357"/>
  <c r="G1839" i="357"/>
  <c r="G1833" i="357"/>
  <c r="G1827" i="357"/>
  <c r="G1627" i="357"/>
  <c r="G1621" i="357"/>
  <c r="G1615" i="357"/>
  <c r="G1609" i="357"/>
  <c r="G1603" i="357"/>
  <c r="H2853" i="357"/>
  <c r="H2465" i="357"/>
  <c r="G894" i="357"/>
  <c r="G888" i="357"/>
  <c r="G779" i="357"/>
  <c r="G773" i="357"/>
  <c r="G700" i="357"/>
  <c r="G1373" i="357"/>
  <c r="J1373" i="357" s="1"/>
  <c r="J3464" i="357"/>
  <c r="I2990" i="357"/>
  <c r="J2949" i="357"/>
  <c r="H2961" i="357"/>
  <c r="I3373" i="357"/>
  <c r="I3507" i="357"/>
  <c r="J2730" i="357"/>
  <c r="I313" i="357"/>
  <c r="I165" i="357"/>
  <c r="G2077" i="357"/>
  <c r="I3199" i="357"/>
  <c r="I3128" i="357"/>
  <c r="J3052" i="357"/>
  <c r="J1879" i="357"/>
  <c r="J3066" i="357"/>
  <c r="I2871" i="357"/>
  <c r="I2843" i="357"/>
  <c r="G2927" i="357"/>
  <c r="G2551" i="357"/>
  <c r="I3182" i="357"/>
  <c r="I2980" i="357"/>
  <c r="I820" i="357"/>
  <c r="G2669" i="357"/>
  <c r="J3006" i="357"/>
  <c r="I2740" i="357"/>
  <c r="I842" i="357"/>
  <c r="J3074" i="357"/>
  <c r="I2921" i="357"/>
  <c r="I2849" i="357"/>
  <c r="G2907" i="357"/>
  <c r="G1931" i="357"/>
  <c r="G2287" i="357"/>
  <c r="J2287" i="357" s="1"/>
  <c r="G2232" i="357"/>
  <c r="I3393" i="357"/>
  <c r="J3173" i="357"/>
  <c r="J3147" i="357"/>
  <c r="I3053" i="357"/>
  <c r="I3045" i="357"/>
  <c r="J2979" i="357"/>
  <c r="J2920" i="357"/>
  <c r="J2602" i="357"/>
  <c r="J2492" i="357"/>
  <c r="J3448" i="357"/>
  <c r="J3390" i="357"/>
  <c r="J3376" i="357"/>
  <c r="J2870" i="357"/>
  <c r="J2842" i="357"/>
  <c r="I3075" i="357"/>
  <c r="J2878" i="357"/>
  <c r="J2866" i="357"/>
  <c r="H2894" i="357"/>
  <c r="J3252" i="357"/>
  <c r="J3228" i="357"/>
  <c r="J3198" i="357"/>
  <c r="I3005" i="357"/>
  <c r="J2981" i="357"/>
  <c r="J2922" i="357"/>
  <c r="J2890" i="357"/>
  <c r="J2882" i="357"/>
  <c r="J3438" i="357"/>
  <c r="J3127" i="357"/>
  <c r="I3065" i="357"/>
  <c r="J2228" i="357"/>
  <c r="H2906" i="357"/>
  <c r="J3234" i="357"/>
  <c r="J3183" i="357"/>
  <c r="J3181" i="357"/>
  <c r="J3157" i="357"/>
  <c r="J2975" i="357"/>
  <c r="J2884" i="357"/>
  <c r="J2508" i="357"/>
  <c r="J3398" i="357"/>
  <c r="I2848" i="357"/>
  <c r="J3115" i="357"/>
  <c r="I3067" i="357"/>
  <c r="J2872" i="357"/>
  <c r="I2844" i="357"/>
  <c r="H2928" i="357"/>
  <c r="H2896" i="357"/>
  <c r="I3051" i="357"/>
  <c r="I3031" i="357"/>
  <c r="J2926" i="357"/>
  <c r="J2908" i="357"/>
  <c r="I2534" i="357"/>
  <c r="J3103" i="357"/>
  <c r="J2566" i="357"/>
  <c r="I2301" i="357"/>
  <c r="J1741" i="357"/>
  <c r="H2550" i="357"/>
  <c r="I3385" i="357"/>
  <c r="J3477" i="357"/>
  <c r="I3465" i="357"/>
  <c r="I3379" i="357"/>
  <c r="I3478" i="357"/>
  <c r="C1630" i="357"/>
  <c r="G1630" i="357" s="1"/>
  <c r="C1623" i="357"/>
  <c r="D1630" i="357"/>
  <c r="H1630" i="357" s="1"/>
  <c r="D1623" i="357"/>
  <c r="D1634" i="357"/>
  <c r="H1634" i="357" s="1"/>
  <c r="D1627" i="357"/>
  <c r="C1629" i="357"/>
  <c r="G1629" i="357" s="1"/>
  <c r="C1622" i="357"/>
  <c r="C2374" i="357"/>
  <c r="C2337" i="357"/>
  <c r="C644" i="357"/>
  <c r="I40" i="357"/>
  <c r="C1453" i="357"/>
  <c r="J2871" i="357"/>
  <c r="C2352" i="357"/>
  <c r="C2105" i="357"/>
  <c r="C2383" i="357"/>
  <c r="C2363" i="357"/>
  <c r="J3184" i="357"/>
  <c r="I3204" i="357"/>
  <c r="I3049" i="357"/>
  <c r="I3017" i="357"/>
  <c r="I2953" i="357"/>
  <c r="J2809" i="357"/>
  <c r="J2786" i="357"/>
  <c r="J2778" i="357"/>
  <c r="J2739" i="357"/>
  <c r="J2713" i="357"/>
  <c r="J2705" i="357"/>
  <c r="J2684" i="357"/>
  <c r="J2646" i="357"/>
  <c r="J2623" i="357"/>
  <c r="I2498" i="357"/>
  <c r="I2460" i="357"/>
  <c r="I2380" i="357"/>
  <c r="J2050" i="357"/>
  <c r="J1991" i="357"/>
  <c r="J1815" i="357"/>
  <c r="J1680" i="357"/>
  <c r="J1632" i="357"/>
  <c r="J1389" i="357"/>
  <c r="J1510" i="357"/>
  <c r="J1482" i="357"/>
  <c r="J2921" i="357"/>
  <c r="J559" i="357"/>
  <c r="I1260" i="357"/>
  <c r="J2848" i="357"/>
  <c r="I2586" i="357"/>
  <c r="I2566" i="357"/>
  <c r="J3067" i="357"/>
  <c r="C2073" i="357"/>
  <c r="J2849" i="357"/>
  <c r="I3115" i="357"/>
  <c r="C2369" i="357"/>
  <c r="C1856" i="357"/>
  <c r="J3311" i="357"/>
  <c r="J3275" i="357"/>
  <c r="I3033" i="357"/>
  <c r="I3003" i="357"/>
  <c r="I2971" i="357"/>
  <c r="I2941" i="357"/>
  <c r="J2608" i="357"/>
  <c r="J2138" i="357"/>
  <c r="J2046" i="357"/>
  <c r="I2022" i="357"/>
  <c r="J1897" i="357"/>
  <c r="J1811" i="357"/>
  <c r="J1580" i="357"/>
  <c r="J1543" i="357"/>
  <c r="J1587" i="357"/>
  <c r="J1559" i="357"/>
  <c r="J1444" i="357"/>
  <c r="J1397" i="357"/>
  <c r="J1162" i="357"/>
  <c r="J1078" i="357"/>
  <c r="J1052" i="357"/>
  <c r="J1030" i="357"/>
  <c r="J996" i="357"/>
  <c r="J968" i="357"/>
  <c r="J837" i="357"/>
  <c r="J827" i="357"/>
  <c r="J763" i="357"/>
  <c r="J726" i="357"/>
  <c r="J475" i="357"/>
  <c r="J427" i="357"/>
  <c r="J419" i="357"/>
  <c r="J393" i="357"/>
  <c r="J351" i="357"/>
  <c r="J315" i="357"/>
  <c r="J2844" i="357"/>
  <c r="I160" i="357"/>
  <c r="I2872" i="357"/>
  <c r="J1174" i="357"/>
  <c r="I58" i="357"/>
  <c r="J636" i="357"/>
  <c r="I2834" i="357"/>
  <c r="C684" i="357"/>
  <c r="C2066" i="357"/>
  <c r="D1856" i="357"/>
  <c r="J291" i="357"/>
  <c r="I1741" i="357"/>
  <c r="C1628" i="357"/>
  <c r="C1392" i="357"/>
  <c r="C2426" i="357"/>
  <c r="J3293" i="357"/>
  <c r="J2091" i="357"/>
  <c r="J2034" i="357"/>
  <c r="J1952" i="357"/>
  <c r="J1883" i="357"/>
  <c r="J1640" i="357"/>
  <c r="J1599" i="357"/>
  <c r="I1575" i="357"/>
  <c r="J1432" i="357"/>
  <c r="J1118" i="357"/>
  <c r="J1074" i="357"/>
  <c r="J1064" i="357"/>
  <c r="J886" i="357"/>
  <c r="J821" i="357"/>
  <c r="J539" i="357"/>
  <c r="J389" i="357"/>
  <c r="J363" i="357"/>
  <c r="J277" i="357"/>
  <c r="I114" i="357"/>
  <c r="J1267" i="357"/>
  <c r="C1466" i="357"/>
  <c r="C994" i="357"/>
  <c r="I2866" i="357"/>
  <c r="I286" i="357"/>
  <c r="J3075" i="357"/>
  <c r="I64" i="357"/>
  <c r="C1481" i="357"/>
  <c r="D2082" i="357"/>
  <c r="D2105" i="357"/>
  <c r="J2559" i="357"/>
  <c r="I254" i="357"/>
  <c r="I80" i="357"/>
  <c r="I50" i="357"/>
  <c r="I3196" i="357"/>
  <c r="I3242" i="357"/>
  <c r="I3371" i="357"/>
  <c r="J3032" i="357"/>
  <c r="J3002" i="357"/>
  <c r="J2940" i="357"/>
  <c r="I2910" i="357"/>
  <c r="I2880" i="357"/>
  <c r="I2613" i="357"/>
  <c r="J2814" i="357"/>
  <c r="J2783" i="357"/>
  <c r="J2775" i="357"/>
  <c r="J2748" i="357"/>
  <c r="J2710" i="357"/>
  <c r="J2702" i="357"/>
  <c r="J2679" i="357"/>
  <c r="J2663" i="357"/>
  <c r="J2627" i="357"/>
  <c r="J1884" i="357"/>
  <c r="J1824" i="357"/>
  <c r="J1779" i="357"/>
  <c r="I546" i="357"/>
  <c r="I522" i="357"/>
  <c r="J478" i="357"/>
  <c r="J470" i="357"/>
  <c r="I430" i="357"/>
  <c r="J406" i="357"/>
  <c r="J326" i="357"/>
  <c r="J651" i="357"/>
  <c r="J558" i="357"/>
  <c r="J272" i="357"/>
  <c r="I1711" i="357"/>
  <c r="I192" i="357"/>
  <c r="I74" i="357"/>
  <c r="I42" i="357"/>
  <c r="J241" i="357"/>
  <c r="J3478" i="357"/>
  <c r="I2574" i="357"/>
  <c r="I216" i="357"/>
  <c r="J3401" i="357"/>
  <c r="J3162" i="357"/>
  <c r="I3306" i="357"/>
  <c r="I3272" i="357"/>
  <c r="J3142" i="357"/>
  <c r="J3058" i="357"/>
  <c r="J3048" i="357"/>
  <c r="J3026" i="357"/>
  <c r="J3016" i="357"/>
  <c r="J2995" i="357"/>
  <c r="J2952" i="357"/>
  <c r="I2924" i="357"/>
  <c r="I2892" i="357"/>
  <c r="I2601" i="357"/>
  <c r="J2797" i="357"/>
  <c r="J2787" i="357"/>
  <c r="J2771" i="357"/>
  <c r="I2754" i="357"/>
  <c r="I2714" i="357"/>
  <c r="J2673" i="357"/>
  <c r="J2659" i="357"/>
  <c r="J2647" i="357"/>
  <c r="J2612" i="357"/>
  <c r="I2535" i="357"/>
  <c r="I2501" i="357"/>
  <c r="J2151" i="357"/>
  <c r="J2108" i="357"/>
  <c r="J2055" i="357"/>
  <c r="J2023" i="357"/>
  <c r="J1908" i="357"/>
  <c r="J1820" i="357"/>
  <c r="J1812" i="357"/>
  <c r="J1584" i="357"/>
  <c r="J1495" i="357"/>
  <c r="J1441" i="357"/>
  <c r="J1695" i="357"/>
  <c r="I1647" i="357"/>
  <c r="I1631" i="357"/>
  <c r="I1583" i="357"/>
  <c r="J1548" i="357"/>
  <c r="J1347" i="357"/>
  <c r="J1159" i="357"/>
  <c r="J1103" i="357"/>
  <c r="J1083" i="357"/>
  <c r="J1075" i="357"/>
  <c r="J965" i="357"/>
  <c r="J695" i="357"/>
  <c r="J813" i="357"/>
  <c r="J381" i="357"/>
  <c r="J355" i="357"/>
  <c r="I518" i="357"/>
  <c r="J508" i="357"/>
  <c r="J492" i="357"/>
  <c r="J482" i="357"/>
  <c r="J366" i="357"/>
  <c r="I314" i="357"/>
  <c r="J2835" i="357"/>
  <c r="J623" i="357"/>
  <c r="I3074" i="357"/>
  <c r="I288" i="357"/>
  <c r="J2577" i="357"/>
  <c r="J2301" i="357"/>
  <c r="J1298" i="357"/>
  <c r="I84" i="357"/>
  <c r="I66" i="357"/>
  <c r="I38" i="357"/>
  <c r="I95" i="357"/>
  <c r="J227" i="357"/>
  <c r="J129" i="357"/>
  <c r="J3180" i="357"/>
  <c r="J3280" i="357"/>
  <c r="J2879" i="357"/>
  <c r="I2543" i="357"/>
  <c r="I2509" i="357"/>
  <c r="I2474" i="357"/>
  <c r="J2190" i="357"/>
  <c r="J2061" i="357"/>
  <c r="J2037" i="357"/>
  <c r="J1886" i="357"/>
  <c r="J1565" i="357"/>
  <c r="J1165" i="357"/>
  <c r="J1147" i="357"/>
  <c r="J1055" i="357"/>
  <c r="J981" i="357"/>
  <c r="J955" i="357"/>
  <c r="I840" i="357"/>
  <c r="J812" i="357"/>
  <c r="J766" i="357"/>
  <c r="J729" i="357"/>
  <c r="I694" i="357"/>
  <c r="J649" i="357"/>
  <c r="J593" i="357"/>
  <c r="J566" i="357"/>
  <c r="J3505" i="357"/>
  <c r="I3103" i="357"/>
  <c r="I248" i="357"/>
  <c r="I210" i="357"/>
  <c r="I172" i="357"/>
  <c r="I150" i="357"/>
  <c r="I116" i="357"/>
  <c r="J3239" i="357"/>
  <c r="J3065" i="357"/>
  <c r="J2285" i="357"/>
  <c r="I48" i="357"/>
  <c r="I25" i="357"/>
  <c r="J197" i="357"/>
  <c r="J165" i="357"/>
  <c r="J141" i="357"/>
  <c r="J131" i="357"/>
  <c r="J3410" i="357"/>
  <c r="J3266" i="357"/>
  <c r="I3236" i="357"/>
  <c r="I3212" i="357"/>
  <c r="I3185" i="357"/>
  <c r="I3367" i="357"/>
  <c r="J3243" i="357"/>
  <c r="J3172" i="357"/>
  <c r="I2889" i="357"/>
  <c r="J3050" i="357"/>
  <c r="J3018" i="357"/>
  <c r="J2986" i="357"/>
  <c r="J2954" i="357"/>
  <c r="I3011" i="357"/>
  <c r="I2977" i="357"/>
  <c r="I2947" i="357"/>
  <c r="I2918" i="357"/>
  <c r="I2886" i="357"/>
  <c r="J2781" i="357"/>
  <c r="J2746" i="357"/>
  <c r="J2716" i="357"/>
  <c r="J2708" i="357"/>
  <c r="J2649" i="357"/>
  <c r="J2600" i="357"/>
  <c r="I2811" i="357"/>
  <c r="I2780" i="357"/>
  <c r="J2772" i="357"/>
  <c r="J2741" i="357"/>
  <c r="J2707" i="357"/>
  <c r="J2660" i="357"/>
  <c r="J2636" i="357"/>
  <c r="J2615" i="357"/>
  <c r="I2527" i="357"/>
  <c r="I2493" i="357"/>
  <c r="I2410" i="357"/>
  <c r="J2044" i="357"/>
  <c r="J2020" i="357"/>
  <c r="J1895" i="357"/>
  <c r="J1809" i="357"/>
  <c r="J2068" i="357"/>
  <c r="J2041" i="357"/>
  <c r="J1990" i="357"/>
  <c r="J1487" i="357"/>
  <c r="J1673" i="357"/>
  <c r="I1665" i="357"/>
  <c r="J1471" i="357"/>
  <c r="J1351" i="357"/>
  <c r="J1105" i="357"/>
  <c r="J1039" i="357"/>
  <c r="J1021" i="357"/>
  <c r="J921" i="357"/>
  <c r="J798" i="357"/>
  <c r="J660" i="357"/>
  <c r="I536" i="357"/>
  <c r="J528" i="357"/>
  <c r="J502" i="357"/>
  <c r="J334" i="357"/>
  <c r="I306" i="357"/>
  <c r="J2570" i="357"/>
  <c r="J1703" i="357"/>
  <c r="J637" i="357"/>
  <c r="J583" i="357"/>
  <c r="J3467" i="357"/>
  <c r="I3097" i="357"/>
  <c r="I2228" i="357"/>
  <c r="I1743" i="357"/>
  <c r="I228" i="357"/>
  <c r="I110" i="357"/>
  <c r="J1754" i="357"/>
  <c r="J1240" i="357"/>
  <c r="J1221" i="357"/>
  <c r="J1201" i="357"/>
  <c r="I88" i="357"/>
  <c r="I54" i="357"/>
  <c r="J253" i="357"/>
  <c r="J215" i="357"/>
  <c r="J177" i="357"/>
  <c r="J125" i="357"/>
  <c r="I3372" i="357"/>
  <c r="J2976" i="357"/>
  <c r="J2052" i="357"/>
  <c r="J1877" i="357"/>
  <c r="J1372" i="357"/>
  <c r="J1593" i="357"/>
  <c r="J1058" i="357"/>
  <c r="J1028" i="357"/>
  <c r="J976" i="357"/>
  <c r="J950" i="357"/>
  <c r="J880" i="357"/>
  <c r="J843" i="357"/>
  <c r="J769" i="357"/>
  <c r="J533" i="357"/>
  <c r="J481" i="357"/>
  <c r="J409" i="357"/>
  <c r="J321" i="357"/>
  <c r="J3465" i="357"/>
  <c r="I2870" i="357"/>
  <c r="I1286" i="357"/>
  <c r="J139" i="357"/>
  <c r="J3421" i="357"/>
  <c r="J3407" i="357"/>
  <c r="I3374" i="357"/>
  <c r="J3197" i="357"/>
  <c r="J3152" i="357"/>
  <c r="J3325" i="357"/>
  <c r="J3290" i="357"/>
  <c r="J3260" i="357"/>
  <c r="I3218" i="357"/>
  <c r="J3154" i="357"/>
  <c r="I2883" i="357"/>
  <c r="J3044" i="357"/>
  <c r="J3012" i="357"/>
  <c r="J2978" i="357"/>
  <c r="J2948" i="357"/>
  <c r="J2792" i="357"/>
  <c r="J2774" i="357"/>
  <c r="J2717" i="357"/>
  <c r="J2701" i="357"/>
  <c r="J2662" i="357"/>
  <c r="J2650" i="357"/>
  <c r="J2517" i="357"/>
  <c r="I2485" i="357"/>
  <c r="I2405" i="357"/>
  <c r="I2514" i="357"/>
  <c r="I2440" i="357"/>
  <c r="I2360" i="357"/>
  <c r="J2160" i="357"/>
  <c r="J2126" i="357"/>
  <c r="I2063" i="357"/>
  <c r="I2038" i="357"/>
  <c r="J2012" i="357"/>
  <c r="J1803" i="357"/>
  <c r="J1782" i="357"/>
  <c r="J2102" i="357"/>
  <c r="J2070" i="357"/>
  <c r="J1926" i="357"/>
  <c r="J1787" i="357"/>
  <c r="J1668" i="357"/>
  <c r="J1596" i="357"/>
  <c r="J1659" i="357"/>
  <c r="J1635" i="357"/>
  <c r="J689" i="357"/>
  <c r="J1145" i="357"/>
  <c r="J1125" i="357"/>
  <c r="J1115" i="357"/>
  <c r="J1061" i="357"/>
  <c r="J1041" i="357"/>
  <c r="J1031" i="357"/>
  <c r="J818" i="357"/>
  <c r="J2836" i="357"/>
  <c r="J2558" i="357"/>
  <c r="J635" i="357"/>
  <c r="J585" i="357"/>
  <c r="J571" i="357"/>
  <c r="I3448" i="357"/>
  <c r="I2590" i="357"/>
  <c r="I2310" i="357"/>
  <c r="I2268" i="357"/>
  <c r="I2230" i="357"/>
  <c r="I564" i="357"/>
  <c r="I266" i="357"/>
  <c r="I206" i="357"/>
  <c r="J3217" i="357"/>
  <c r="I86" i="357"/>
  <c r="I78" i="357"/>
  <c r="I60" i="357"/>
  <c r="I52" i="357"/>
  <c r="J235" i="357"/>
  <c r="J183" i="357"/>
  <c r="J159" i="357"/>
  <c r="J3322" i="357"/>
  <c r="J3257" i="357"/>
  <c r="J3010" i="357"/>
  <c r="J2606" i="357"/>
  <c r="J3418" i="357"/>
  <c r="J3404" i="357"/>
  <c r="J3269" i="357"/>
  <c r="I3224" i="357"/>
  <c r="I3153" i="357"/>
  <c r="J3233" i="357"/>
  <c r="J3158" i="357"/>
  <c r="J3134" i="357"/>
  <c r="J3054" i="357"/>
  <c r="J3034" i="357"/>
  <c r="J3024" i="357"/>
  <c r="J3004" i="357"/>
  <c r="J2993" i="357"/>
  <c r="J2972" i="357"/>
  <c r="J2958" i="357"/>
  <c r="J2942" i="357"/>
  <c r="I3025" i="357"/>
  <c r="I2994" i="357"/>
  <c r="I2628" i="357"/>
  <c r="I2607" i="357"/>
  <c r="J2808" i="357"/>
  <c r="J2795" i="357"/>
  <c r="J2777" i="357"/>
  <c r="J2769" i="357"/>
  <c r="J2704" i="357"/>
  <c r="J2692" i="357"/>
  <c r="J2667" i="357"/>
  <c r="J2794" i="357"/>
  <c r="I2784" i="357"/>
  <c r="I2768" i="357"/>
  <c r="J2749" i="357"/>
  <c r="J2719" i="357"/>
  <c r="J2711" i="357"/>
  <c r="J2691" i="357"/>
  <c r="J2652" i="357"/>
  <c r="J2642" i="357"/>
  <c r="J2629" i="357"/>
  <c r="J2621" i="357"/>
  <c r="I2540" i="357"/>
  <c r="I2506" i="357"/>
  <c r="I2390" i="357"/>
  <c r="J2193" i="357"/>
  <c r="J2185" i="357"/>
  <c r="J2056" i="357"/>
  <c r="J2032" i="357"/>
  <c r="J2014" i="357"/>
  <c r="J1948" i="357"/>
  <c r="J1891" i="357"/>
  <c r="J1784" i="357"/>
  <c r="J2084" i="357"/>
  <c r="J1996" i="357"/>
  <c r="J1943" i="357"/>
  <c r="J1904" i="357"/>
  <c r="J1818" i="357"/>
  <c r="J1694" i="357"/>
  <c r="J1662" i="357"/>
  <c r="J1598" i="357"/>
  <c r="J1589" i="357"/>
  <c r="J1581" i="357"/>
  <c r="J1508" i="357"/>
  <c r="J1490" i="357"/>
  <c r="J1477" i="357"/>
  <c r="J1426" i="357"/>
  <c r="J1016" i="357"/>
  <c r="J926" i="357"/>
  <c r="J801" i="357"/>
  <c r="J728" i="357"/>
  <c r="J521" i="357"/>
  <c r="J495" i="357"/>
  <c r="J421" i="357"/>
  <c r="J413" i="357"/>
  <c r="J369" i="357"/>
  <c r="J361" i="357"/>
  <c r="J345" i="357"/>
  <c r="I548" i="357"/>
  <c r="J540" i="357"/>
  <c r="J490" i="357"/>
  <c r="J424" i="357"/>
  <c r="J348" i="357"/>
  <c r="J575" i="357"/>
  <c r="J570" i="357"/>
  <c r="J285" i="357"/>
  <c r="I3490" i="357"/>
  <c r="I3127" i="357"/>
  <c r="I2878" i="357"/>
  <c r="I2842" i="357"/>
  <c r="I2578" i="357"/>
  <c r="I2195" i="357"/>
  <c r="I1341" i="357"/>
  <c r="I1280" i="357"/>
  <c r="I292" i="357"/>
  <c r="I178" i="357"/>
  <c r="J1350" i="357"/>
  <c r="J1318" i="357"/>
  <c r="J1211" i="357"/>
  <c r="I46" i="357"/>
  <c r="I24" i="357"/>
  <c r="J113" i="357"/>
  <c r="J3285" i="357"/>
  <c r="J3040" i="357"/>
  <c r="J2946" i="357"/>
  <c r="J2113" i="357"/>
  <c r="J2028" i="357"/>
  <c r="J1558" i="357"/>
  <c r="J1459" i="357"/>
  <c r="J1142" i="357"/>
  <c r="J1010" i="357"/>
  <c r="J835" i="357"/>
  <c r="J399" i="357"/>
  <c r="J375" i="357"/>
  <c r="J331" i="357"/>
  <c r="J303" i="357"/>
  <c r="J584" i="357"/>
  <c r="J1183" i="357"/>
  <c r="I93" i="357"/>
  <c r="J123" i="357"/>
  <c r="J3393" i="357"/>
  <c r="J2938" i="357"/>
  <c r="J3453" i="357"/>
  <c r="I3380" i="357"/>
  <c r="I2588" i="357"/>
  <c r="I2556" i="357"/>
  <c r="J1236" i="357"/>
  <c r="J3126" i="357"/>
  <c r="J3110" i="357"/>
  <c r="I3078" i="357"/>
  <c r="I3064" i="357"/>
  <c r="J2923" i="357"/>
  <c r="J2909" i="357"/>
  <c r="J2847" i="357"/>
  <c r="J2833" i="357"/>
  <c r="J2581" i="357"/>
  <c r="J2565" i="357"/>
  <c r="J2309" i="357"/>
  <c r="J1734" i="357"/>
  <c r="J1356" i="357"/>
  <c r="J1308" i="357"/>
  <c r="I1210" i="357"/>
  <c r="J1197" i="357"/>
  <c r="J3223" i="357"/>
  <c r="J301" i="357"/>
  <c r="J237" i="357"/>
  <c r="J187" i="357"/>
  <c r="I111" i="357"/>
  <c r="I55" i="357"/>
  <c r="I12" i="357"/>
  <c r="I3400" i="357"/>
  <c r="I3109" i="357"/>
  <c r="J3063" i="357"/>
  <c r="J3116" i="357"/>
  <c r="J3098" i="357"/>
  <c r="I3068" i="357"/>
  <c r="J2911" i="357"/>
  <c r="J2867" i="357"/>
  <c r="J2837" i="357"/>
  <c r="J2630" i="357"/>
  <c r="J2555" i="357"/>
  <c r="I2286" i="357"/>
  <c r="I1268" i="357"/>
  <c r="I1202" i="357"/>
  <c r="J1203" i="357"/>
  <c r="I256" i="357"/>
  <c r="J153" i="357"/>
  <c r="J3469" i="357"/>
  <c r="J3391" i="357"/>
  <c r="I574" i="357"/>
  <c r="J551" i="357"/>
  <c r="J289" i="357"/>
  <c r="J225" i="357"/>
  <c r="J175" i="357"/>
  <c r="I3484" i="357"/>
  <c r="J3441" i="357"/>
  <c r="I2868" i="357"/>
  <c r="I2238" i="357"/>
  <c r="J1316" i="357"/>
  <c r="J2869" i="357"/>
  <c r="J2589" i="357"/>
  <c r="J2557" i="357"/>
  <c r="I2276" i="357"/>
  <c r="J2233" i="357"/>
  <c r="I1396" i="357"/>
  <c r="J1348" i="357"/>
  <c r="I1297" i="357"/>
  <c r="J1181" i="357"/>
  <c r="I212" i="357"/>
  <c r="I162" i="357"/>
  <c r="J3397" i="357"/>
  <c r="J3381" i="357"/>
  <c r="J3349" i="357"/>
  <c r="J293" i="357"/>
  <c r="J255" i="357"/>
  <c r="J217" i="357"/>
  <c r="I132" i="357"/>
  <c r="I105" i="357"/>
  <c r="I75" i="357"/>
  <c r="I61" i="357"/>
  <c r="I49" i="357"/>
  <c r="I37" i="357"/>
  <c r="J3495" i="357"/>
  <c r="I3392" i="357"/>
  <c r="I3378" i="357"/>
  <c r="I3125" i="357"/>
  <c r="I2580" i="357"/>
  <c r="J2275" i="357"/>
  <c r="J3124" i="357"/>
  <c r="I3076" i="357"/>
  <c r="I3062" i="357"/>
  <c r="J2845" i="357"/>
  <c r="J2579" i="357"/>
  <c r="J2249" i="357"/>
  <c r="J2225" i="357"/>
  <c r="J1718" i="357"/>
  <c r="I1321" i="357"/>
  <c r="I1276" i="357"/>
  <c r="I1208" i="357"/>
  <c r="J573" i="357"/>
  <c r="J3383" i="357"/>
  <c r="J557" i="357"/>
  <c r="J269" i="357"/>
  <c r="J231" i="357"/>
  <c r="J169" i="357"/>
  <c r="I556" i="357"/>
  <c r="J556" i="357"/>
  <c r="I274" i="357"/>
  <c r="J274" i="357"/>
  <c r="J2832" i="357"/>
  <c r="I2832" i="357"/>
  <c r="I2564" i="357"/>
  <c r="J2564" i="357"/>
  <c r="I3235" i="357"/>
  <c r="J3235" i="357"/>
  <c r="I268" i="357"/>
  <c r="J268" i="357"/>
  <c r="F2455" i="357"/>
  <c r="H2455" i="357" s="1"/>
  <c r="I2455" i="357" s="1"/>
  <c r="J3268" i="357"/>
  <c r="I2891" i="357"/>
  <c r="I2626" i="357"/>
  <c r="I2605" i="357"/>
  <c r="J2813" i="357"/>
  <c r="I2782" i="357"/>
  <c r="J2678" i="357"/>
  <c r="I2541" i="357"/>
  <c r="I2529" i="357"/>
  <c r="J2051" i="357"/>
  <c r="I1939" i="357"/>
  <c r="I1816" i="357"/>
  <c r="J1675" i="357"/>
  <c r="I1152" i="357"/>
  <c r="J3500" i="357"/>
  <c r="J3458" i="357"/>
  <c r="J3125" i="357"/>
  <c r="J3109" i="357"/>
  <c r="I3063" i="357"/>
  <c r="J2868" i="357"/>
  <c r="I2299" i="357"/>
  <c r="I2275" i="357"/>
  <c r="I1348" i="357"/>
  <c r="I1316" i="357"/>
  <c r="I1236" i="357"/>
  <c r="I1203" i="357"/>
  <c r="I3397" i="357"/>
  <c r="I3381" i="357"/>
  <c r="I3441" i="357"/>
  <c r="I3383" i="357"/>
  <c r="I3349" i="357"/>
  <c r="I2867" i="357"/>
  <c r="I2837" i="357"/>
  <c r="J1321" i="357"/>
  <c r="J1276" i="357"/>
  <c r="J1208" i="357"/>
  <c r="I2847" i="357"/>
  <c r="I2833" i="357"/>
  <c r="I2589" i="357"/>
  <c r="I2557" i="357"/>
  <c r="J1297" i="357"/>
  <c r="I293" i="357"/>
  <c r="I255" i="357"/>
  <c r="I217" i="357"/>
  <c r="J132" i="357"/>
  <c r="J105" i="357"/>
  <c r="J75" i="357"/>
  <c r="J61" i="357"/>
  <c r="J49" i="357"/>
  <c r="J37" i="357"/>
  <c r="D2403" i="357"/>
  <c r="C1049" i="357"/>
  <c r="H2899" i="357"/>
  <c r="H2549" i="357"/>
  <c r="G1928" i="357"/>
  <c r="G1745" i="357"/>
  <c r="I1745" i="357" s="1"/>
  <c r="G1725" i="357"/>
  <c r="I1725" i="357" s="1"/>
  <c r="G1322" i="357"/>
  <c r="H622" i="357"/>
  <c r="H561" i="357"/>
  <c r="G506" i="357"/>
  <c r="I506" i="357" s="1"/>
  <c r="G336" i="357"/>
  <c r="J336" i="357" s="1"/>
  <c r="H2831" i="357"/>
  <c r="G2013" i="357"/>
  <c r="J2013" i="357" s="1"/>
  <c r="G168" i="357"/>
  <c r="H2199" i="357"/>
  <c r="I2199" i="357" s="1"/>
  <c r="G2027" i="357"/>
  <c r="J2027" i="357" s="1"/>
  <c r="H1371" i="357"/>
  <c r="I1371" i="357" s="1"/>
  <c r="H1317" i="357"/>
  <c r="I1317" i="357" s="1"/>
  <c r="H1252" i="357"/>
  <c r="I1252" i="357" s="1"/>
  <c r="G986" i="357"/>
  <c r="I986" i="357" s="1"/>
  <c r="H283" i="357"/>
  <c r="J283" i="357" s="1"/>
  <c r="H189" i="357"/>
  <c r="J189" i="357" s="1"/>
  <c r="G1687" i="357"/>
  <c r="H1247" i="357"/>
  <c r="I1247" i="357" s="1"/>
  <c r="G526" i="357"/>
  <c r="H179" i="357"/>
  <c r="J179" i="357" s="1"/>
  <c r="H96" i="357"/>
  <c r="I96" i="357" s="1"/>
  <c r="G1597" i="357"/>
  <c r="G1353" i="357"/>
  <c r="J1353" i="357" s="1"/>
  <c r="H2329" i="357"/>
  <c r="I2329" i="357" s="1"/>
  <c r="G194" i="357"/>
  <c r="I194" i="357" s="1"/>
  <c r="H1288" i="357"/>
  <c r="I1288" i="357" s="1"/>
  <c r="G488" i="357"/>
  <c r="I488" i="357" s="1"/>
  <c r="G1376" i="357"/>
  <c r="I3427" i="357"/>
  <c r="I3259" i="357"/>
  <c r="J3422" i="357"/>
  <c r="I3345" i="357"/>
  <c r="J3326" i="357"/>
  <c r="I3313" i="357"/>
  <c r="I3261" i="357"/>
  <c r="J3292" i="357"/>
  <c r="J3270" i="357"/>
  <c r="I2893" i="357"/>
  <c r="I2703" i="357"/>
  <c r="J2610" i="357"/>
  <c r="I2533" i="357"/>
  <c r="I2521" i="357"/>
  <c r="J2422" i="357"/>
  <c r="I1868" i="357"/>
  <c r="I1428" i="357"/>
  <c r="J1345" i="357"/>
  <c r="J1693" i="357"/>
  <c r="J1645" i="357"/>
  <c r="J1573" i="357"/>
  <c r="I1032" i="357"/>
  <c r="J480" i="357"/>
  <c r="I3458" i="357"/>
  <c r="J2598" i="357"/>
  <c r="J2580" i="357"/>
  <c r="J1719" i="357"/>
  <c r="J256" i="357"/>
  <c r="I153" i="357"/>
  <c r="J3400" i="357"/>
  <c r="I3469" i="357"/>
  <c r="I3433" i="357"/>
  <c r="I3124" i="357"/>
  <c r="J3076" i="357"/>
  <c r="J3062" i="357"/>
  <c r="I2909" i="357"/>
  <c r="I2630" i="357"/>
  <c r="I2555" i="357"/>
  <c r="I2249" i="357"/>
  <c r="I2225" i="357"/>
  <c r="I1718" i="357"/>
  <c r="I2309" i="357"/>
  <c r="I1734" i="357"/>
  <c r="I557" i="357"/>
  <c r="I289" i="357"/>
  <c r="I225" i="357"/>
  <c r="I175" i="357"/>
  <c r="C2408" i="357"/>
  <c r="G3262" i="357"/>
  <c r="H2274" i="357"/>
  <c r="I2274" i="357" s="1"/>
  <c r="G2548" i="357"/>
  <c r="H1746" i="357"/>
  <c r="J1746" i="357" s="1"/>
  <c r="G1339" i="357"/>
  <c r="I1339" i="357" s="1"/>
  <c r="H1327" i="357"/>
  <c r="I1327" i="357" s="1"/>
  <c r="H1204" i="357"/>
  <c r="G797" i="357"/>
  <c r="I797" i="357" s="1"/>
  <c r="G639" i="357"/>
  <c r="J639" i="357" s="1"/>
  <c r="H563" i="357"/>
  <c r="G1757" i="357"/>
  <c r="I1757" i="357" s="1"/>
  <c r="G19" i="357"/>
  <c r="I19" i="357" s="1"/>
  <c r="H1427" i="357"/>
  <c r="I1427" i="357" s="1"/>
  <c r="G2802" i="357"/>
  <c r="G2308" i="357"/>
  <c r="I2308" i="357" s="1"/>
  <c r="G2226" i="357"/>
  <c r="I2226" i="357" s="1"/>
  <c r="G2112" i="357"/>
  <c r="J2112" i="357" s="1"/>
  <c r="G1902" i="357"/>
  <c r="H1400" i="357"/>
  <c r="I1400" i="357" s="1"/>
  <c r="H1380" i="357"/>
  <c r="I1380" i="357" s="1"/>
  <c r="G839" i="357"/>
  <c r="I839" i="357" s="1"/>
  <c r="H273" i="357"/>
  <c r="J273" i="357" s="1"/>
  <c r="H245" i="357"/>
  <c r="J245" i="357" s="1"/>
  <c r="H213" i="357"/>
  <c r="J213" i="357" s="1"/>
  <c r="H134" i="357"/>
  <c r="G1663" i="357"/>
  <c r="J1663" i="357" s="1"/>
  <c r="H1394" i="357"/>
  <c r="I1394" i="357" s="1"/>
  <c r="G316" i="357"/>
  <c r="I316" i="357" s="1"/>
  <c r="G550" i="357"/>
  <c r="J550" i="357" s="1"/>
  <c r="G200" i="357"/>
  <c r="I200" i="357" s="1"/>
  <c r="G2244" i="357"/>
  <c r="I2244" i="357" s="1"/>
  <c r="H1190" i="357"/>
  <c r="I1190" i="357" s="1"/>
  <c r="H652" i="357"/>
  <c r="G538" i="357"/>
  <c r="J538" i="357" s="1"/>
  <c r="H67" i="357"/>
  <c r="I67" i="357" s="1"/>
  <c r="G2153" i="357"/>
  <c r="H588" i="357"/>
  <c r="I3403" i="357"/>
  <c r="J3362" i="357"/>
  <c r="I3409" i="357"/>
  <c r="I3305" i="357"/>
  <c r="I3281" i="357"/>
  <c r="I3271" i="357"/>
  <c r="I3321" i="357"/>
  <c r="J3294" i="357"/>
  <c r="I2796" i="357"/>
  <c r="J2770" i="357"/>
  <c r="I2726" i="357"/>
  <c r="J2604" i="357"/>
  <c r="I2513" i="357"/>
  <c r="I2491" i="357"/>
  <c r="J2098" i="357"/>
  <c r="I1890" i="357"/>
  <c r="I1056" i="357"/>
  <c r="I974" i="357"/>
  <c r="J376" i="357"/>
  <c r="J3099" i="357"/>
  <c r="I3069" i="357"/>
  <c r="I3057" i="357"/>
  <c r="I2846" i="357"/>
  <c r="J2238" i="357"/>
  <c r="I1356" i="357"/>
  <c r="I1277" i="357"/>
  <c r="I1197" i="357"/>
  <c r="I573" i="357"/>
  <c r="J3484" i="357"/>
  <c r="I3391" i="357"/>
  <c r="I2923" i="357"/>
  <c r="I2845" i="357"/>
  <c r="J1268" i="357"/>
  <c r="J1202" i="357"/>
  <c r="E1425" i="357"/>
  <c r="E1071" i="357"/>
  <c r="I3126" i="357"/>
  <c r="I3110" i="357"/>
  <c r="J3078" i="357"/>
  <c r="J3064" i="357"/>
  <c r="I2911" i="357"/>
  <c r="I2869" i="357"/>
  <c r="I2581" i="357"/>
  <c r="I2565" i="357"/>
  <c r="J1396" i="357"/>
  <c r="I1308" i="357"/>
  <c r="J1210" i="357"/>
  <c r="I301" i="357"/>
  <c r="I237" i="357"/>
  <c r="I187" i="357"/>
  <c r="J111" i="357"/>
  <c r="J55" i="357"/>
  <c r="J12" i="357"/>
  <c r="C2089" i="357"/>
  <c r="D2073" i="357"/>
  <c r="D1568" i="357"/>
  <c r="H2925" i="357"/>
  <c r="H2197" i="357"/>
  <c r="I2197" i="357" s="1"/>
  <c r="G3077" i="357"/>
  <c r="H1264" i="357"/>
  <c r="I1264" i="357" s="1"/>
  <c r="H1235" i="357"/>
  <c r="G494" i="357"/>
  <c r="J494" i="357" s="1"/>
  <c r="H2818" i="357"/>
  <c r="G1798" i="357"/>
  <c r="J1798" i="357" s="1"/>
  <c r="G1566" i="357"/>
  <c r="I1566" i="357" s="1"/>
  <c r="G512" i="357"/>
  <c r="H2371" i="357"/>
  <c r="I2371" i="357" s="1"/>
  <c r="G1765" i="357"/>
  <c r="G1140" i="357"/>
  <c r="I1140" i="357" s="1"/>
  <c r="G1096" i="357"/>
  <c r="I1096" i="357" s="1"/>
  <c r="G954" i="357"/>
  <c r="I954" i="357" s="1"/>
  <c r="H642" i="357"/>
  <c r="H263" i="357"/>
  <c r="H207" i="357"/>
  <c r="G13" i="357"/>
  <c r="G1088" i="357"/>
  <c r="I1088" i="357" s="1"/>
  <c r="G803" i="357"/>
  <c r="I803" i="357" s="1"/>
  <c r="G562" i="357"/>
  <c r="G238" i="357"/>
  <c r="I238" i="357" s="1"/>
  <c r="G647" i="357"/>
  <c r="J647" i="357" s="1"/>
  <c r="G1733" i="357"/>
  <c r="I1733" i="357" s="1"/>
  <c r="G1701" i="357"/>
  <c r="I1701" i="357" s="1"/>
  <c r="G1455" i="357"/>
  <c r="I1455" i="357" s="1"/>
  <c r="H1402" i="357"/>
  <c r="I1402" i="357" s="1"/>
  <c r="H1323" i="357"/>
  <c r="I1323" i="357" s="1"/>
  <c r="H126" i="357"/>
  <c r="I126" i="357" s="1"/>
  <c r="G180" i="357"/>
  <c r="I180" i="357" s="1"/>
  <c r="I3417" i="357"/>
  <c r="I3337" i="357"/>
  <c r="I3299" i="357"/>
  <c r="I3419" i="357"/>
  <c r="I3405" i="357"/>
  <c r="J3416" i="357"/>
  <c r="J3402" i="357"/>
  <c r="I3273" i="357"/>
  <c r="J3238" i="357"/>
  <c r="I3323" i="357"/>
  <c r="I3258" i="357"/>
  <c r="I2881" i="357"/>
  <c r="I2641" i="357"/>
  <c r="I2603" i="357"/>
  <c r="I2715" i="357"/>
  <c r="J2648" i="357"/>
  <c r="J2625" i="357"/>
  <c r="I2515" i="357"/>
  <c r="I2505" i="357"/>
  <c r="I2349" i="357"/>
  <c r="J1777" i="357"/>
  <c r="J1681" i="357"/>
  <c r="I1633" i="357"/>
  <c r="I1132" i="357"/>
  <c r="J544" i="357"/>
  <c r="I520" i="357"/>
  <c r="J394" i="357"/>
  <c r="J2588" i="357"/>
  <c r="J2556" i="357"/>
  <c r="J212" i="357"/>
  <c r="J162" i="357"/>
  <c r="J3392" i="357"/>
  <c r="J3378" i="357"/>
  <c r="I3357" i="357"/>
  <c r="I3495" i="357"/>
  <c r="I3453" i="357"/>
  <c r="J3380" i="357"/>
  <c r="I3116" i="357"/>
  <c r="I3098" i="357"/>
  <c r="J3068" i="357"/>
  <c r="I2579" i="357"/>
  <c r="J2286" i="357"/>
  <c r="E1764" i="357"/>
  <c r="J2276" i="357"/>
  <c r="I2233" i="357"/>
  <c r="J574" i="357"/>
  <c r="I551" i="357"/>
  <c r="I269" i="357"/>
  <c r="I231" i="357"/>
  <c r="I169" i="357"/>
  <c r="D2419" i="357"/>
  <c r="D1313" i="357"/>
  <c r="C1732" i="357"/>
  <c r="I3223" i="357"/>
  <c r="H2897" i="357"/>
  <c r="H2547" i="357"/>
  <c r="H2359" i="357"/>
  <c r="I2359" i="357" s="1"/>
  <c r="H2298" i="357"/>
  <c r="I2298" i="357" s="1"/>
  <c r="H1352" i="357"/>
  <c r="G414" i="357"/>
  <c r="J414" i="357" s="1"/>
  <c r="G400" i="357"/>
  <c r="H2820" i="357"/>
  <c r="G1669" i="357"/>
  <c r="H251" i="357"/>
  <c r="J251" i="357" s="1"/>
  <c r="G2819" i="357"/>
  <c r="G2788" i="357"/>
  <c r="H2433" i="357"/>
  <c r="I2433" i="357" s="1"/>
  <c r="G2314" i="357"/>
  <c r="H1744" i="357"/>
  <c r="J1744" i="357" s="1"/>
  <c r="H1369" i="357"/>
  <c r="I1369" i="357" s="1"/>
  <c r="H1284" i="357"/>
  <c r="I1284" i="357" s="1"/>
  <c r="G1116" i="357"/>
  <c r="I1116" i="357" s="1"/>
  <c r="G724" i="357"/>
  <c r="J724" i="357" s="1"/>
  <c r="G388" i="357"/>
  <c r="J388" i="357" s="1"/>
  <c r="G282" i="357"/>
  <c r="G218" i="357"/>
  <c r="I218" i="357" s="1"/>
  <c r="H14" i="357"/>
  <c r="I14" i="357" s="1"/>
  <c r="H199" i="357"/>
  <c r="J199" i="357" s="1"/>
  <c r="H167" i="357"/>
  <c r="J167" i="357" s="1"/>
  <c r="H43" i="357"/>
  <c r="I43" i="357" s="1"/>
  <c r="G2250" i="357"/>
  <c r="G1896" i="357"/>
  <c r="I1896" i="357" s="1"/>
  <c r="G1387" i="357"/>
  <c r="I1387" i="357" s="1"/>
  <c r="G882" i="357"/>
  <c r="I882" i="357" s="1"/>
  <c r="H2307" i="357"/>
  <c r="J2307" i="357" s="1"/>
  <c r="I508" i="357"/>
  <c r="I3477" i="357"/>
  <c r="I480" i="357"/>
  <c r="J3379" i="357"/>
  <c r="J3069" i="357"/>
  <c r="J3057" i="357"/>
  <c r="J2846" i="357"/>
  <c r="I366" i="357"/>
  <c r="J3385" i="357"/>
  <c r="I3099" i="357"/>
  <c r="I394" i="357"/>
  <c r="J536" i="357"/>
  <c r="J313" i="357"/>
  <c r="I544" i="357"/>
  <c r="J974" i="357"/>
  <c r="I3410" i="357"/>
  <c r="J3033" i="357"/>
  <c r="I3054" i="357"/>
  <c r="J548" i="357"/>
  <c r="J518" i="357"/>
  <c r="I1055" i="357"/>
  <c r="I424" i="357"/>
  <c r="J353" i="357"/>
  <c r="J314" i="357"/>
  <c r="H2472" i="357"/>
  <c r="J692" i="357"/>
  <c r="J770" i="357"/>
  <c r="J520" i="357"/>
  <c r="I3464" i="357"/>
  <c r="I3438" i="357"/>
  <c r="I955" i="357"/>
  <c r="I764" i="357"/>
  <c r="I528" i="357"/>
  <c r="I492" i="357"/>
  <c r="I406" i="357"/>
  <c r="J417" i="357"/>
  <c r="J3017" i="357"/>
  <c r="J2883" i="357"/>
  <c r="J532" i="357"/>
  <c r="I836" i="357"/>
  <c r="I660" i="357"/>
  <c r="I478" i="357"/>
  <c r="I386" i="357"/>
  <c r="I3290" i="357"/>
  <c r="G2895" i="357"/>
  <c r="I2620" i="357"/>
  <c r="J2620" i="357"/>
  <c r="J3324" i="357"/>
  <c r="I3324" i="357"/>
  <c r="J3420" i="357"/>
  <c r="I3420" i="357"/>
  <c r="J3406" i="357"/>
  <c r="I3406" i="357"/>
  <c r="G3187" i="357"/>
  <c r="J3155" i="357"/>
  <c r="I3155" i="357"/>
  <c r="I3310" i="357"/>
  <c r="J3310" i="357"/>
  <c r="I3274" i="357"/>
  <c r="J3274" i="357"/>
  <c r="H3262" i="357"/>
  <c r="G2897" i="357"/>
  <c r="I2885" i="357"/>
  <c r="J2885" i="357"/>
  <c r="J2973" i="357"/>
  <c r="I2973" i="357"/>
  <c r="J2955" i="357"/>
  <c r="I2955" i="357"/>
  <c r="I2943" i="357"/>
  <c r="J2943" i="357"/>
  <c r="G2894" i="357"/>
  <c r="I2624" i="357"/>
  <c r="J2624" i="357"/>
  <c r="F2677" i="357"/>
  <c r="H2677" i="357" s="1"/>
  <c r="F628" i="357"/>
  <c r="H628" i="357" s="1"/>
  <c r="H2802" i="357"/>
  <c r="H2788" i="357"/>
  <c r="J2776" i="357"/>
  <c r="I2776" i="357"/>
  <c r="J2758" i="357"/>
  <c r="I2758" i="357"/>
  <c r="J2735" i="357"/>
  <c r="I2735" i="357"/>
  <c r="F2639" i="357"/>
  <c r="H2639" i="357" s="1"/>
  <c r="F2697" i="357"/>
  <c r="H2697" i="357" s="1"/>
  <c r="F2725" i="357"/>
  <c r="H2725" i="357" s="1"/>
  <c r="F2687" i="357"/>
  <c r="H2687" i="357" s="1"/>
  <c r="E2398" i="357"/>
  <c r="G2398" i="357" s="1"/>
  <c r="E2342" i="357"/>
  <c r="G2342" i="357" s="1"/>
  <c r="E2374" i="357"/>
  <c r="E2388" i="357"/>
  <c r="E2327" i="357"/>
  <c r="G2327" i="357" s="1"/>
  <c r="E2347" i="357"/>
  <c r="E2352" i="357"/>
  <c r="E2403" i="357"/>
  <c r="G2403" i="357" s="1"/>
  <c r="E2332" i="357"/>
  <c r="E2337" i="357"/>
  <c r="E2393" i="357"/>
  <c r="E2443" i="357"/>
  <c r="G2443" i="357" s="1"/>
  <c r="E2419" i="357"/>
  <c r="G2419" i="357" s="1"/>
  <c r="E2413" i="357"/>
  <c r="E2408" i="357"/>
  <c r="E2357" i="357"/>
  <c r="G2357" i="357" s="1"/>
  <c r="E2383" i="357"/>
  <c r="J1797" i="357"/>
  <c r="I1797" i="357"/>
  <c r="J1773" i="357"/>
  <c r="I1773" i="357"/>
  <c r="H1411" i="357"/>
  <c r="H666" i="357"/>
  <c r="F1525" i="357"/>
  <c r="H1525" i="357" s="1"/>
  <c r="F1129" i="357"/>
  <c r="H1129" i="357" s="1"/>
  <c r="J1045" i="357"/>
  <c r="I1045" i="357"/>
  <c r="J963" i="357"/>
  <c r="I963" i="357"/>
  <c r="H848" i="357"/>
  <c r="H745" i="357"/>
  <c r="H733" i="357"/>
  <c r="G667" i="357"/>
  <c r="I1172" i="357"/>
  <c r="J1172" i="357"/>
  <c r="I1160" i="357"/>
  <c r="J1160" i="357"/>
  <c r="I1006" i="357"/>
  <c r="J1006" i="357"/>
  <c r="F1453" i="357"/>
  <c r="F1392" i="357"/>
  <c r="F1015" i="357"/>
  <c r="F1481" i="357"/>
  <c r="F684" i="357"/>
  <c r="F1466" i="357"/>
  <c r="F994" i="357"/>
  <c r="F1628" i="357"/>
  <c r="F644" i="357"/>
  <c r="I966" i="357"/>
  <c r="J966" i="357"/>
  <c r="I934" i="357"/>
  <c r="J934" i="357"/>
  <c r="H911" i="357"/>
  <c r="H851" i="357"/>
  <c r="J851" i="357" s="1"/>
  <c r="F1764" i="357"/>
  <c r="H1764" i="357" s="1"/>
  <c r="F1520" i="357"/>
  <c r="H1520" i="357" s="1"/>
  <c r="F1486" i="357"/>
  <c r="H1486" i="357" s="1"/>
  <c r="F811" i="357"/>
  <c r="H811" i="357" s="1"/>
  <c r="F1157" i="357"/>
  <c r="H1157" i="357" s="1"/>
  <c r="F1136" i="357"/>
  <c r="H1136" i="357" s="1"/>
  <c r="F1700" i="357"/>
  <c r="F1539" i="357"/>
  <c r="F1458" i="357"/>
  <c r="F1071" i="357"/>
  <c r="F1050" i="357"/>
  <c r="F796" i="357"/>
  <c r="F761" i="357"/>
  <c r="H736" i="357"/>
  <c r="G669" i="357"/>
  <c r="H457" i="357"/>
  <c r="H445" i="357"/>
  <c r="H452" i="357"/>
  <c r="J3306" i="357"/>
  <c r="J3258" i="357"/>
  <c r="J3305" i="357"/>
  <c r="J3273" i="357"/>
  <c r="J2811" i="357"/>
  <c r="J2784" i="357"/>
  <c r="J2768" i="357"/>
  <c r="J2773" i="357"/>
  <c r="J2714" i="357"/>
  <c r="J2528" i="357"/>
  <c r="J2521" i="357"/>
  <c r="I2023" i="357"/>
  <c r="I2151" i="357"/>
  <c r="I2052" i="357"/>
  <c r="I2032" i="357"/>
  <c r="J1633" i="357"/>
  <c r="J694" i="357"/>
  <c r="I3398" i="357"/>
  <c r="I3270" i="357"/>
  <c r="J3367" i="357"/>
  <c r="I3252" i="357"/>
  <c r="I3238" i="357"/>
  <c r="I3066" i="357"/>
  <c r="I3050" i="357"/>
  <c r="I3032" i="357"/>
  <c r="I3016" i="357"/>
  <c r="I2981" i="357"/>
  <c r="I2922" i="357"/>
  <c r="I2794" i="357"/>
  <c r="I2772" i="357"/>
  <c r="I2704" i="357"/>
  <c r="I2660" i="357"/>
  <c r="I2627" i="357"/>
  <c r="I2610" i="357"/>
  <c r="I2516" i="357"/>
  <c r="I2422" i="357"/>
  <c r="I1777" i="357"/>
  <c r="I1681" i="357"/>
  <c r="I1645" i="357"/>
  <c r="I1589" i="357"/>
  <c r="I1573" i="357"/>
  <c r="I1548" i="357"/>
  <c r="I1433" i="357"/>
  <c r="I1159" i="357"/>
  <c r="I1145" i="357"/>
  <c r="I1125" i="357"/>
  <c r="I1075" i="357"/>
  <c r="I1061" i="357"/>
  <c r="I1029" i="357"/>
  <c r="I977" i="357"/>
  <c r="I766" i="357"/>
  <c r="I689" i="357"/>
  <c r="J3138" i="357"/>
  <c r="J3051" i="357"/>
  <c r="J2651" i="357"/>
  <c r="J2628" i="357"/>
  <c r="J2603" i="357"/>
  <c r="J2515" i="357"/>
  <c r="J2063" i="357"/>
  <c r="J2038" i="357"/>
  <c r="J477" i="357"/>
  <c r="I3325" i="357"/>
  <c r="J3242" i="357"/>
  <c r="J3025" i="357"/>
  <c r="J2977" i="357"/>
  <c r="J2910" i="357"/>
  <c r="J2886" i="357"/>
  <c r="J2527" i="357"/>
  <c r="J2474" i="357"/>
  <c r="I2281" i="357"/>
  <c r="J2281" i="357"/>
  <c r="J2258" i="357"/>
  <c r="I2258" i="357"/>
  <c r="I3389" i="357"/>
  <c r="J3389" i="357"/>
  <c r="I3474" i="357"/>
  <c r="J3474" i="357"/>
  <c r="I3399" i="357"/>
  <c r="J3399" i="357"/>
  <c r="I3377" i="357"/>
  <c r="J3377" i="357"/>
  <c r="I3142" i="357"/>
  <c r="I3073" i="357"/>
  <c r="J3073" i="357"/>
  <c r="I3048" i="357"/>
  <c r="I2952" i="357"/>
  <c r="I2879" i="357"/>
  <c r="I2787" i="357"/>
  <c r="I2769" i="357"/>
  <c r="I2708" i="357"/>
  <c r="I2673" i="357"/>
  <c r="I2283" i="357"/>
  <c r="J2283" i="357"/>
  <c r="J2222" i="357"/>
  <c r="I2222" i="357"/>
  <c r="I1943" i="357"/>
  <c r="E2484" i="357"/>
  <c r="I3197" i="357"/>
  <c r="J3072" i="357"/>
  <c r="I3072" i="357"/>
  <c r="I2948" i="357"/>
  <c r="I2875" i="357"/>
  <c r="J2875" i="357"/>
  <c r="I2808" i="357"/>
  <c r="I2783" i="357"/>
  <c r="I2679" i="357"/>
  <c r="I2649" i="357"/>
  <c r="I2291" i="357"/>
  <c r="J2291" i="357"/>
  <c r="I1926" i="357"/>
  <c r="E3503" i="357"/>
  <c r="E3133" i="357"/>
  <c r="J236" i="357"/>
  <c r="I236" i="357"/>
  <c r="J198" i="357"/>
  <c r="I198" i="357"/>
  <c r="I281" i="357"/>
  <c r="J281" i="357"/>
  <c r="I2810" i="357"/>
  <c r="J2810" i="357"/>
  <c r="H2669" i="357"/>
  <c r="H2817" i="357"/>
  <c r="H2800" i="357"/>
  <c r="I2525" i="357"/>
  <c r="J2525" i="357"/>
  <c r="I2507" i="357"/>
  <c r="J2507" i="357"/>
  <c r="E2472" i="357"/>
  <c r="G2472" i="357" s="1"/>
  <c r="E2477" i="357"/>
  <c r="G2477" i="357" s="1"/>
  <c r="E2453" i="357"/>
  <c r="G2453" i="357" s="1"/>
  <c r="E2458" i="357"/>
  <c r="G2458" i="357" s="1"/>
  <c r="E3452" i="357"/>
  <c r="G3452" i="357" s="1"/>
  <c r="E2353" i="357"/>
  <c r="G2353" i="357" s="1"/>
  <c r="J2486" i="357"/>
  <c r="I2486" i="357"/>
  <c r="E3446" i="357"/>
  <c r="E3437" i="357"/>
  <c r="E2348" i="357"/>
  <c r="E1951" i="357"/>
  <c r="H2183" i="357"/>
  <c r="I1774" i="357"/>
  <c r="J1774" i="357"/>
  <c r="I2192" i="357"/>
  <c r="J2192" i="357"/>
  <c r="J1516" i="357"/>
  <c r="I1516" i="357"/>
  <c r="H1374" i="357"/>
  <c r="H662" i="357"/>
  <c r="I961" i="357"/>
  <c r="H858" i="357"/>
  <c r="H846" i="357"/>
  <c r="H743" i="357"/>
  <c r="H731" i="357"/>
  <c r="F1732" i="357"/>
  <c r="F1515" i="357"/>
  <c r="F1470" i="357"/>
  <c r="F1122" i="357"/>
  <c r="F1101" i="357"/>
  <c r="F719" i="357"/>
  <c r="G663" i="357"/>
  <c r="F3021" i="357"/>
  <c r="F2106" i="357"/>
  <c r="F1312" i="357"/>
  <c r="F1194" i="357"/>
  <c r="F2861" i="357"/>
  <c r="F2000" i="357"/>
  <c r="F1524" i="357"/>
  <c r="F186" i="357"/>
  <c r="F2645" i="357"/>
  <c r="F1976" i="357"/>
  <c r="F1485" i="357"/>
  <c r="F143" i="357"/>
  <c r="F2490" i="357"/>
  <c r="F1871" i="357"/>
  <c r="F1332" i="357"/>
  <c r="F11" i="357"/>
  <c r="F3388" i="357"/>
  <c r="F2759" i="357"/>
  <c r="F1424" i="357"/>
  <c r="F1257" i="357"/>
  <c r="F3361" i="357"/>
  <c r="F2734" i="357"/>
  <c r="F1384" i="357"/>
  <c r="F907" i="357"/>
  <c r="H746" i="357"/>
  <c r="H734" i="357"/>
  <c r="G665" i="357"/>
  <c r="H467" i="357"/>
  <c r="H455" i="357"/>
  <c r="H443" i="357"/>
  <c r="H431" i="357"/>
  <c r="J500" i="357"/>
  <c r="I500" i="357"/>
  <c r="H462" i="357"/>
  <c r="H450" i="357"/>
  <c r="H438" i="357"/>
  <c r="J426" i="357"/>
  <c r="I426" i="357"/>
  <c r="J3272" i="357"/>
  <c r="J3271" i="357"/>
  <c r="J2782" i="357"/>
  <c r="J2740" i="357"/>
  <c r="J2726" i="357"/>
  <c r="J2540" i="357"/>
  <c r="J2526" i="357"/>
  <c r="J2535" i="357"/>
  <c r="I2102" i="357"/>
  <c r="I2037" i="357"/>
  <c r="I2050" i="357"/>
  <c r="I2030" i="357"/>
  <c r="J1647" i="357"/>
  <c r="J1631" i="357"/>
  <c r="J1575" i="357"/>
  <c r="I3362" i="357"/>
  <c r="I3268" i="357"/>
  <c r="J3427" i="357"/>
  <c r="I3044" i="357"/>
  <c r="I3014" i="357"/>
  <c r="I2995" i="357"/>
  <c r="I2979" i="357"/>
  <c r="I2939" i="357"/>
  <c r="I2920" i="357"/>
  <c r="I2813" i="357"/>
  <c r="I2792" i="357"/>
  <c r="I2770" i="357"/>
  <c r="I2750" i="357"/>
  <c r="I2702" i="357"/>
  <c r="I2642" i="357"/>
  <c r="I2625" i="357"/>
  <c r="I2604" i="357"/>
  <c r="I2542" i="357"/>
  <c r="I1879" i="357"/>
  <c r="I1807" i="357"/>
  <c r="I1695" i="357"/>
  <c r="I1675" i="357"/>
  <c r="I1659" i="357"/>
  <c r="I1587" i="357"/>
  <c r="I1510" i="357"/>
  <c r="I1482" i="357"/>
  <c r="I1139" i="357"/>
  <c r="I1041" i="357"/>
  <c r="J3345" i="357"/>
  <c r="J3313" i="357"/>
  <c r="J3237" i="357"/>
  <c r="J3045" i="357"/>
  <c r="J3031" i="357"/>
  <c r="J2996" i="357"/>
  <c r="J2980" i="357"/>
  <c r="J2893" i="357"/>
  <c r="J2703" i="357"/>
  <c r="J2626" i="357"/>
  <c r="J2601" i="357"/>
  <c r="J2513" i="357"/>
  <c r="J2493" i="357"/>
  <c r="J2060" i="357"/>
  <c r="J1939" i="357"/>
  <c r="E3483" i="357"/>
  <c r="G3483" i="357" s="1"/>
  <c r="E3473" i="357"/>
  <c r="G3473" i="357" s="1"/>
  <c r="I3473" i="357" s="1"/>
  <c r="I3353" i="357"/>
  <c r="J3353" i="357"/>
  <c r="I3322" i="357"/>
  <c r="I3293" i="357"/>
  <c r="I3269" i="357"/>
  <c r="I3120" i="357"/>
  <c r="J3120" i="357"/>
  <c r="J3093" i="357"/>
  <c r="I3093" i="357"/>
  <c r="J3060" i="357"/>
  <c r="I3060" i="357"/>
  <c r="J2971" i="357"/>
  <c r="H2907" i="357"/>
  <c r="I2865" i="357"/>
  <c r="J2865" i="357"/>
  <c r="I2634" i="357"/>
  <c r="J2634" i="357"/>
  <c r="J2572" i="357"/>
  <c r="I2572" i="357"/>
  <c r="H2548" i="357"/>
  <c r="J2498" i="357"/>
  <c r="J2440" i="357"/>
  <c r="J2410" i="357"/>
  <c r="J2380" i="357"/>
  <c r="I2317" i="357"/>
  <c r="J2317" i="357"/>
  <c r="J2296" i="357"/>
  <c r="I2296" i="357"/>
  <c r="H2207" i="357"/>
  <c r="J1739" i="357"/>
  <c r="I1739" i="357"/>
  <c r="H1222" i="357"/>
  <c r="J3384" i="357"/>
  <c r="I3384" i="357"/>
  <c r="J3396" i="357"/>
  <c r="I3396" i="357"/>
  <c r="J3374" i="357"/>
  <c r="I3184" i="357"/>
  <c r="I3108" i="357"/>
  <c r="J3108" i="357"/>
  <c r="I2946" i="357"/>
  <c r="J2876" i="357"/>
  <c r="I2876" i="357"/>
  <c r="I2705" i="357"/>
  <c r="I2621" i="357"/>
  <c r="I2587" i="357"/>
  <c r="J2587" i="357"/>
  <c r="I2563" i="357"/>
  <c r="J2563" i="357"/>
  <c r="I2257" i="357"/>
  <c r="I1593" i="357"/>
  <c r="I1028" i="357"/>
  <c r="I950" i="357"/>
  <c r="I835" i="357"/>
  <c r="I813" i="357"/>
  <c r="I3134" i="357"/>
  <c r="J3107" i="357"/>
  <c r="I3107" i="357"/>
  <c r="I3034" i="357"/>
  <c r="I2986" i="357"/>
  <c r="I2942" i="357"/>
  <c r="J2850" i="357"/>
  <c r="I2850" i="357"/>
  <c r="I2719" i="357"/>
  <c r="I2701" i="357"/>
  <c r="I2646" i="357"/>
  <c r="I2608" i="357"/>
  <c r="I1897" i="357"/>
  <c r="J3447" i="357"/>
  <c r="I3447" i="357"/>
  <c r="I1471" i="357"/>
  <c r="I539" i="357"/>
  <c r="I521" i="357"/>
  <c r="I481" i="357"/>
  <c r="H2982" i="357"/>
  <c r="G2983" i="357"/>
  <c r="I2779" i="357"/>
  <c r="J2779" i="357"/>
  <c r="J2706" i="357"/>
  <c r="I2706" i="357"/>
  <c r="F3414" i="357"/>
  <c r="H3414" i="357" s="1"/>
  <c r="F3360" i="357"/>
  <c r="H3360" i="357" s="1"/>
  <c r="F3425" i="357"/>
  <c r="H3425" i="357" s="1"/>
  <c r="F3335" i="357"/>
  <c r="H3335" i="357" s="1"/>
  <c r="I3265" i="357"/>
  <c r="J3265" i="357"/>
  <c r="F3145" i="357"/>
  <c r="H3145" i="357" s="1"/>
  <c r="F3165" i="357"/>
  <c r="H3165" i="357" s="1"/>
  <c r="F3132" i="357"/>
  <c r="H3132" i="357" s="1"/>
  <c r="F3170" i="357"/>
  <c r="H3170" i="357" s="1"/>
  <c r="H3190" i="357"/>
  <c r="J3046" i="357"/>
  <c r="I3046" i="357"/>
  <c r="H2962" i="357"/>
  <c r="H2929" i="357"/>
  <c r="I3047" i="357"/>
  <c r="J3047" i="357"/>
  <c r="I3001" i="357"/>
  <c r="J3001" i="357"/>
  <c r="E2618" i="357"/>
  <c r="G2618" i="357" s="1"/>
  <c r="E621" i="357"/>
  <c r="G621" i="357" s="1"/>
  <c r="H2789" i="357"/>
  <c r="H2815" i="357"/>
  <c r="H2798" i="357"/>
  <c r="I2539" i="357"/>
  <c r="J2539" i="357"/>
  <c r="I2487" i="357"/>
  <c r="J2487" i="357"/>
  <c r="J2500" i="357"/>
  <c r="I2500" i="357"/>
  <c r="J2128" i="357"/>
  <c r="I2128" i="357"/>
  <c r="F3256" i="357"/>
  <c r="H3256" i="357" s="1"/>
  <c r="F3232" i="357"/>
  <c r="H3232" i="357" s="1"/>
  <c r="F3330" i="357"/>
  <c r="H3330" i="357" s="1"/>
  <c r="F3309" i="357"/>
  <c r="H3309" i="357" s="1"/>
  <c r="F3222" i="357"/>
  <c r="H3222" i="357" s="1"/>
  <c r="F1942" i="357"/>
  <c r="H1942" i="357" s="1"/>
  <c r="F2343" i="357"/>
  <c r="H2343" i="357" s="1"/>
  <c r="F2089" i="357"/>
  <c r="F1856" i="357"/>
  <c r="F2082" i="357"/>
  <c r="F2073" i="357"/>
  <c r="F2105" i="357"/>
  <c r="F2066" i="357"/>
  <c r="H2066" i="357" s="1"/>
  <c r="H658" i="357"/>
  <c r="J1095" i="357"/>
  <c r="I1095" i="357"/>
  <c r="J1081" i="357"/>
  <c r="I1081" i="357"/>
  <c r="J1011" i="357"/>
  <c r="I1011" i="357"/>
  <c r="H856" i="357"/>
  <c r="H844" i="357"/>
  <c r="H741" i="357"/>
  <c r="G659" i="357"/>
  <c r="H668" i="357"/>
  <c r="H859" i="357"/>
  <c r="H847" i="357"/>
  <c r="H744" i="357"/>
  <c r="H732" i="357"/>
  <c r="G661" i="357"/>
  <c r="I541" i="357"/>
  <c r="J541" i="357"/>
  <c r="I517" i="357"/>
  <c r="J517" i="357"/>
  <c r="I503" i="357"/>
  <c r="J503" i="357"/>
  <c r="H465" i="357"/>
  <c r="J465" i="357" s="1"/>
  <c r="H453" i="357"/>
  <c r="J453" i="357" s="1"/>
  <c r="H441" i="357"/>
  <c r="J441" i="357" s="1"/>
  <c r="F2546" i="357"/>
  <c r="H2546" i="357" s="1"/>
  <c r="F944" i="357"/>
  <c r="H944" i="357" s="1"/>
  <c r="F405" i="357"/>
  <c r="H405" i="357" s="1"/>
  <c r="I339" i="357"/>
  <c r="J339" i="357"/>
  <c r="J510" i="357"/>
  <c r="I510" i="357"/>
  <c r="F2562" i="357"/>
  <c r="F486" i="357"/>
  <c r="H460" i="357"/>
  <c r="H448" i="357"/>
  <c r="H436" i="357"/>
  <c r="J3299" i="357"/>
  <c r="J2780" i="357"/>
  <c r="J2754" i="357"/>
  <c r="J2785" i="357"/>
  <c r="J2533" i="357"/>
  <c r="I2160" i="357"/>
  <c r="I2051" i="357"/>
  <c r="I2044" i="357"/>
  <c r="I2028" i="357"/>
  <c r="J1665" i="357"/>
  <c r="J814" i="357"/>
  <c r="J721" i="357"/>
  <c r="J546" i="357"/>
  <c r="I3500" i="357"/>
  <c r="I3376" i="357"/>
  <c r="I3294" i="357"/>
  <c r="I3280" i="357"/>
  <c r="I3266" i="357"/>
  <c r="J3409" i="357"/>
  <c r="I3234" i="357"/>
  <c r="I3183" i="357"/>
  <c r="I3147" i="357"/>
  <c r="I2993" i="357"/>
  <c r="I2937" i="357"/>
  <c r="I2748" i="357"/>
  <c r="I2716" i="357"/>
  <c r="I2700" i="357"/>
  <c r="I2684" i="357"/>
  <c r="I2623" i="357"/>
  <c r="I2602" i="357"/>
  <c r="I2434" i="357"/>
  <c r="I1893" i="357"/>
  <c r="I1877" i="357"/>
  <c r="I1825" i="357"/>
  <c r="I1693" i="357"/>
  <c r="I1673" i="357"/>
  <c r="I1565" i="357"/>
  <c r="I1508" i="357"/>
  <c r="I1319" i="357"/>
  <c r="I1200" i="357"/>
  <c r="I1137" i="357"/>
  <c r="I1103" i="357"/>
  <c r="I1053" i="357"/>
  <c r="I1039" i="357"/>
  <c r="I989" i="357"/>
  <c r="I685" i="357"/>
  <c r="I624" i="357"/>
  <c r="I590" i="357"/>
  <c r="I490" i="357"/>
  <c r="I470" i="357"/>
  <c r="J3182" i="357"/>
  <c r="J2994" i="357"/>
  <c r="J2891" i="357"/>
  <c r="J2641" i="357"/>
  <c r="J2491" i="357"/>
  <c r="J2405" i="357"/>
  <c r="J2058" i="357"/>
  <c r="J429" i="357"/>
  <c r="J3494" i="357"/>
  <c r="I3494" i="357"/>
  <c r="J3468" i="357"/>
  <c r="I3468" i="357"/>
  <c r="I3407" i="357"/>
  <c r="J3218" i="357"/>
  <c r="F3102" i="357"/>
  <c r="H3102" i="357" s="1"/>
  <c r="J3117" i="357"/>
  <c r="I3117" i="357"/>
  <c r="J3011" i="357"/>
  <c r="J2924" i="357"/>
  <c r="J2880" i="357"/>
  <c r="J2838" i="357"/>
  <c r="I2838" i="357"/>
  <c r="J2293" i="357"/>
  <c r="I2293" i="357"/>
  <c r="I1736" i="357"/>
  <c r="I1716" i="357"/>
  <c r="J1716" i="357"/>
  <c r="I587" i="357"/>
  <c r="J587" i="357"/>
  <c r="J3236" i="357"/>
  <c r="I2940" i="357"/>
  <c r="I2873" i="357"/>
  <c r="J2873" i="357"/>
  <c r="I2851" i="357"/>
  <c r="J2851" i="357"/>
  <c r="I2781" i="357"/>
  <c r="I2647" i="357"/>
  <c r="I2582" i="357"/>
  <c r="J2582" i="357"/>
  <c r="I2068" i="357"/>
  <c r="I1904" i="357"/>
  <c r="I1884" i="357"/>
  <c r="I1812" i="357"/>
  <c r="J1727" i="357"/>
  <c r="I1727" i="357"/>
  <c r="I3243" i="357"/>
  <c r="I3180" i="357"/>
  <c r="I2978" i="357"/>
  <c r="I2797" i="357"/>
  <c r="I2777" i="357"/>
  <c r="I2667" i="357"/>
  <c r="I2599" i="357"/>
  <c r="J2599" i="357"/>
  <c r="I2573" i="357"/>
  <c r="J2573" i="357"/>
  <c r="I2055" i="357"/>
  <c r="I1105" i="357"/>
  <c r="I1083" i="357"/>
  <c r="I1021" i="357"/>
  <c r="J104" i="357"/>
  <c r="I104" i="357"/>
  <c r="J3411" i="357"/>
  <c r="I3411" i="357"/>
  <c r="I3267" i="357"/>
  <c r="J3267" i="357"/>
  <c r="H2793" i="357"/>
  <c r="J3208" i="357"/>
  <c r="I3208" i="357"/>
  <c r="I3300" i="357"/>
  <c r="J3300" i="357"/>
  <c r="I3363" i="357"/>
  <c r="J3363" i="357"/>
  <c r="H3186" i="357"/>
  <c r="I2917" i="357"/>
  <c r="J2917" i="357"/>
  <c r="H2960" i="357"/>
  <c r="H2927" i="357"/>
  <c r="I3013" i="357"/>
  <c r="J3013" i="357"/>
  <c r="G2961" i="357"/>
  <c r="G2906" i="357"/>
  <c r="J2888" i="357"/>
  <c r="I2888" i="357"/>
  <c r="E2687" i="357"/>
  <c r="G2687" i="357" s="1"/>
  <c r="E2639" i="357"/>
  <c r="G2639" i="357" s="1"/>
  <c r="E2697" i="357"/>
  <c r="G2697" i="357" s="1"/>
  <c r="E2725" i="357"/>
  <c r="G2725" i="357" s="1"/>
  <c r="H2801" i="357"/>
  <c r="I2709" i="357"/>
  <c r="J2709" i="357"/>
  <c r="F2403" i="357"/>
  <c r="F2388" i="357"/>
  <c r="F2443" i="357"/>
  <c r="F2419" i="357"/>
  <c r="F2413" i="357"/>
  <c r="F2357" i="357"/>
  <c r="F2342" i="357"/>
  <c r="F2327" i="357"/>
  <c r="F2393" i="357"/>
  <c r="F2383" i="357"/>
  <c r="F2374" i="357"/>
  <c r="F2347" i="357"/>
  <c r="F2332" i="357"/>
  <c r="F2408" i="357"/>
  <c r="F2398" i="357"/>
  <c r="F2352" i="357"/>
  <c r="F2337" i="357"/>
  <c r="H2079" i="357"/>
  <c r="F3304" i="357"/>
  <c r="F3289" i="357"/>
  <c r="F3279" i="357"/>
  <c r="F2409" i="357"/>
  <c r="F2019" i="357"/>
  <c r="F1938" i="357"/>
  <c r="F3211" i="357"/>
  <c r="H3211" i="357" s="1"/>
  <c r="F2439" i="357"/>
  <c r="H2439" i="357" s="1"/>
  <c r="F1921" i="357"/>
  <c r="H1921" i="357" s="1"/>
  <c r="F2328" i="357"/>
  <c r="H2328" i="357" s="1"/>
  <c r="F2011" i="357"/>
  <c r="H2011" i="357" s="1"/>
  <c r="H1875" i="357"/>
  <c r="H2188" i="357"/>
  <c r="H2076" i="357"/>
  <c r="F2437" i="357"/>
  <c r="F2170" i="357"/>
  <c r="F2131" i="357"/>
  <c r="F2095" i="357"/>
  <c r="F2163" i="357"/>
  <c r="F2157" i="357"/>
  <c r="F2121" i="357"/>
  <c r="F1955" i="357"/>
  <c r="H1930" i="357"/>
  <c r="H1499" i="357"/>
  <c r="J1093" i="357"/>
  <c r="I1093" i="357"/>
  <c r="J1023" i="357"/>
  <c r="I1023" i="357"/>
  <c r="J1009" i="357"/>
  <c r="I1009" i="357"/>
  <c r="J937" i="357"/>
  <c r="I937" i="357"/>
  <c r="J879" i="357"/>
  <c r="I879" i="357"/>
  <c r="H854" i="357"/>
  <c r="H739" i="357"/>
  <c r="G655" i="357"/>
  <c r="H664" i="357"/>
  <c r="I1110" i="357"/>
  <c r="J1110" i="357"/>
  <c r="I922" i="357"/>
  <c r="J922" i="357"/>
  <c r="H857" i="357"/>
  <c r="H845" i="357"/>
  <c r="H742" i="357"/>
  <c r="J742" i="357" s="1"/>
  <c r="H730" i="357"/>
  <c r="G657" i="357"/>
  <c r="F2569" i="357"/>
  <c r="H2569" i="357" s="1"/>
  <c r="F515" i="357"/>
  <c r="H515" i="357" s="1"/>
  <c r="H463" i="357"/>
  <c r="H451" i="357"/>
  <c r="H439" i="357"/>
  <c r="F940" i="357"/>
  <c r="H940" i="357" s="1"/>
  <c r="F311" i="357"/>
  <c r="H311" i="357" s="1"/>
  <c r="F72" i="357"/>
  <c r="H72" i="357" s="1"/>
  <c r="F3499" i="357"/>
  <c r="H3499" i="357" s="1"/>
  <c r="F2520" i="357"/>
  <c r="H2520" i="357" s="1"/>
  <c r="H458" i="357"/>
  <c r="H446" i="357"/>
  <c r="F2554" i="357"/>
  <c r="H2554" i="357" s="1"/>
  <c r="F434" i="357"/>
  <c r="H434" i="357" s="1"/>
  <c r="F469" i="357"/>
  <c r="H469" i="357" s="1"/>
  <c r="J3281" i="357"/>
  <c r="J2796" i="357"/>
  <c r="I2177" i="357"/>
  <c r="I2126" i="357"/>
  <c r="I2098" i="357"/>
  <c r="I2084" i="357"/>
  <c r="I2113" i="357"/>
  <c r="J1672" i="357"/>
  <c r="J842" i="357"/>
  <c r="J691" i="357"/>
  <c r="J308" i="357"/>
  <c r="I3404" i="357"/>
  <c r="I3390" i="357"/>
  <c r="I3292" i="357"/>
  <c r="J3507" i="357"/>
  <c r="J3373" i="357"/>
  <c r="I3260" i="357"/>
  <c r="I3181" i="357"/>
  <c r="I3040" i="357"/>
  <c r="I3026" i="357"/>
  <c r="I3006" i="357"/>
  <c r="I2975" i="357"/>
  <c r="I2951" i="357"/>
  <c r="I2890" i="357"/>
  <c r="I2809" i="357"/>
  <c r="I2730" i="357"/>
  <c r="I2652" i="357"/>
  <c r="I2600" i="357"/>
  <c r="I2508" i="357"/>
  <c r="I2492" i="357"/>
  <c r="I1925" i="357"/>
  <c r="I1891" i="357"/>
  <c r="I1803" i="357"/>
  <c r="I1635" i="357"/>
  <c r="I1599" i="357"/>
  <c r="I1347" i="357"/>
  <c r="I1169" i="357"/>
  <c r="I1085" i="357"/>
  <c r="I1003" i="357"/>
  <c r="I983" i="357"/>
  <c r="I921" i="357"/>
  <c r="I800" i="357"/>
  <c r="I729" i="357"/>
  <c r="I540" i="357"/>
  <c r="I382" i="357"/>
  <c r="I348" i="357"/>
  <c r="I334" i="357"/>
  <c r="J3323" i="357"/>
  <c r="J2505" i="357"/>
  <c r="J2385" i="357"/>
  <c r="J2109" i="357"/>
  <c r="J1890" i="357"/>
  <c r="J1868" i="357"/>
  <c r="J1056" i="357"/>
  <c r="J333" i="357"/>
  <c r="J3466" i="357"/>
  <c r="I3466" i="357"/>
  <c r="J3382" i="357"/>
  <c r="I3382" i="357"/>
  <c r="I3341" i="357"/>
  <c r="J3341" i="357"/>
  <c r="I3311" i="357"/>
  <c r="I3285" i="357"/>
  <c r="J3204" i="357"/>
  <c r="J3153" i="357"/>
  <c r="J3049" i="357"/>
  <c r="J2953" i="357"/>
  <c r="I2877" i="357"/>
  <c r="J2877" i="357"/>
  <c r="I2622" i="357"/>
  <c r="J2622" i="357"/>
  <c r="J2514" i="357"/>
  <c r="J2460" i="357"/>
  <c r="I2247" i="357"/>
  <c r="J2247" i="357"/>
  <c r="J1713" i="357"/>
  <c r="I1713" i="357"/>
  <c r="I1358" i="357"/>
  <c r="J1358" i="357"/>
  <c r="F2970" i="357"/>
  <c r="J1266" i="357"/>
  <c r="I1266" i="357"/>
  <c r="F3043" i="357"/>
  <c r="J3224" i="357"/>
  <c r="I3024" i="357"/>
  <c r="I2976" i="357"/>
  <c r="I2749" i="357"/>
  <c r="I2717" i="357"/>
  <c r="I2606" i="357"/>
  <c r="I2231" i="357"/>
  <c r="J2231" i="357"/>
  <c r="I1782" i="357"/>
  <c r="I1668" i="357"/>
  <c r="I1632" i="357"/>
  <c r="I1459" i="357"/>
  <c r="I1432" i="357"/>
  <c r="I3233" i="357"/>
  <c r="I3172" i="357"/>
  <c r="I3061" i="357"/>
  <c r="J3061" i="357"/>
  <c r="I2972" i="357"/>
  <c r="I2919" i="357"/>
  <c r="J2919" i="357"/>
  <c r="I2774" i="357"/>
  <c r="I2741" i="357"/>
  <c r="I2713" i="357"/>
  <c r="I2691" i="357"/>
  <c r="I2632" i="357"/>
  <c r="J2632" i="357"/>
  <c r="J2594" i="357"/>
  <c r="I2594" i="357"/>
  <c r="I2193" i="357"/>
  <c r="E2384" i="357"/>
  <c r="G2384" i="357" s="1"/>
  <c r="I2034" i="357"/>
  <c r="I2014" i="357"/>
  <c r="I1752" i="357"/>
  <c r="J1752" i="357"/>
  <c r="I1694" i="357"/>
  <c r="I1490" i="357"/>
  <c r="E2729" i="357"/>
  <c r="I3317" i="357"/>
  <c r="J3317" i="357"/>
  <c r="I2767" i="357"/>
  <c r="J2767" i="357"/>
  <c r="H3263" i="357"/>
  <c r="J3408" i="357"/>
  <c r="I3408" i="357"/>
  <c r="I3291" i="357"/>
  <c r="J3291" i="357"/>
  <c r="J3167" i="357"/>
  <c r="I3167" i="357"/>
  <c r="J3129" i="357"/>
  <c r="I3129" i="357"/>
  <c r="H3188" i="357"/>
  <c r="I3156" i="357"/>
  <c r="J3156" i="357"/>
  <c r="F3316" i="357"/>
  <c r="H3316" i="357" s="1"/>
  <c r="F3092" i="357"/>
  <c r="H3092" i="357" s="1"/>
  <c r="J3177" i="357"/>
  <c r="I3177" i="357"/>
  <c r="F3451" i="357"/>
  <c r="H3451" i="357" s="1"/>
  <c r="F3456" i="357"/>
  <c r="H3456" i="357" s="1"/>
  <c r="F3178" i="357"/>
  <c r="H3178" i="357" s="1"/>
  <c r="F3113" i="357"/>
  <c r="H3113" i="357" s="1"/>
  <c r="F3445" i="357"/>
  <c r="H3445" i="357" s="1"/>
  <c r="F3303" i="357"/>
  <c r="H3303" i="357" s="1"/>
  <c r="F3431" i="357"/>
  <c r="H3431" i="357" s="1"/>
  <c r="F3436" i="357"/>
  <c r="H3436" i="357" s="1"/>
  <c r="F3297" i="357"/>
  <c r="H3297" i="357" s="1"/>
  <c r="F3329" i="357"/>
  <c r="H3329" i="357" s="1"/>
  <c r="F3250" i="357"/>
  <c r="H3250" i="357" s="1"/>
  <c r="F3288" i="357"/>
  <c r="H3288" i="357" s="1"/>
  <c r="F3278" i="357"/>
  <c r="H3278" i="357" s="1"/>
  <c r="F3202" i="357"/>
  <c r="H3202" i="357" s="1"/>
  <c r="F3255" i="357"/>
  <c r="H3255" i="357" s="1"/>
  <c r="F3221" i="357"/>
  <c r="H3221" i="357" s="1"/>
  <c r="F3462" i="357"/>
  <c r="H3462" i="357" s="1"/>
  <c r="F3231" i="357"/>
  <c r="H3231" i="357" s="1"/>
  <c r="F3150" i="357"/>
  <c r="H3150" i="357" s="1"/>
  <c r="G2959" i="357"/>
  <c r="G2898" i="357"/>
  <c r="I2611" i="357"/>
  <c r="J2611" i="357"/>
  <c r="H2816" i="357"/>
  <c r="H2799" i="357"/>
  <c r="F634" i="357"/>
  <c r="H634" i="357" s="1"/>
  <c r="F2683" i="357"/>
  <c r="H2683" i="357" s="1"/>
  <c r="I2661" i="357"/>
  <c r="J2661" i="357"/>
  <c r="F2676" i="357"/>
  <c r="H2676" i="357" s="1"/>
  <c r="F2483" i="357"/>
  <c r="H2483" i="357" s="1"/>
  <c r="F2682" i="357"/>
  <c r="H2682" i="357" s="1"/>
  <c r="I2499" i="357"/>
  <c r="J2499" i="357"/>
  <c r="E2483" i="357"/>
  <c r="G2483" i="357" s="1"/>
  <c r="E2682" i="357"/>
  <c r="G2682" i="357" s="1"/>
  <c r="E2676" i="357"/>
  <c r="G2676" i="357" s="1"/>
  <c r="E2426" i="357"/>
  <c r="E2431" i="357"/>
  <c r="G2431" i="357" s="1"/>
  <c r="E2369" i="357"/>
  <c r="E2363" i="357"/>
  <c r="E2546" i="357"/>
  <c r="G2546" i="357" s="1"/>
  <c r="E944" i="357"/>
  <c r="G944" i="357" s="1"/>
  <c r="E405" i="357"/>
  <c r="G405" i="357" s="1"/>
  <c r="H2189" i="357"/>
  <c r="H2077" i="357"/>
  <c r="H1931" i="357"/>
  <c r="J1873" i="357"/>
  <c r="I1873" i="357"/>
  <c r="H2186" i="357"/>
  <c r="F2137" i="357"/>
  <c r="F2145" i="357"/>
  <c r="F3446" i="357"/>
  <c r="H3446" i="357" s="1"/>
  <c r="F3437" i="357"/>
  <c r="H3437" i="357" s="1"/>
  <c r="F2348" i="357"/>
  <c r="H2348" i="357" s="1"/>
  <c r="F1951" i="357"/>
  <c r="H1951" i="357" s="1"/>
  <c r="H1928" i="357"/>
  <c r="I1810" i="357"/>
  <c r="J1810" i="357"/>
  <c r="I1666" i="357"/>
  <c r="J1666" i="357"/>
  <c r="I1642" i="357"/>
  <c r="J1642" i="357"/>
  <c r="I1594" i="357"/>
  <c r="J1594" i="357"/>
  <c r="H1414" i="357"/>
  <c r="I1511" i="357"/>
  <c r="J1511" i="357"/>
  <c r="F1568" i="357"/>
  <c r="F1362" i="357"/>
  <c r="H1362" i="357" s="1"/>
  <c r="J877" i="357"/>
  <c r="I877" i="357"/>
  <c r="H852" i="357"/>
  <c r="F1796" i="357"/>
  <c r="F1501" i="357"/>
  <c r="F1547" i="357"/>
  <c r="F826" i="357"/>
  <c r="H826" i="357" s="1"/>
  <c r="F1036" i="357"/>
  <c r="H737" i="357"/>
  <c r="I686" i="357"/>
  <c r="J686" i="357"/>
  <c r="H855" i="357"/>
  <c r="H740" i="357"/>
  <c r="H461" i="357"/>
  <c r="H449" i="357"/>
  <c r="H437" i="357"/>
  <c r="H468" i="357"/>
  <c r="H456" i="357"/>
  <c r="H444" i="357"/>
  <c r="H432" i="357"/>
  <c r="J368" i="357"/>
  <c r="I368" i="357"/>
  <c r="J356" i="357"/>
  <c r="I356" i="357"/>
  <c r="F2524" i="357"/>
  <c r="F920" i="357"/>
  <c r="F330" i="357"/>
  <c r="F92" i="357"/>
  <c r="J3261" i="357"/>
  <c r="J2534" i="357"/>
  <c r="J2543" i="357"/>
  <c r="J2529" i="357"/>
  <c r="I2124" i="357"/>
  <c r="I2091" i="357"/>
  <c r="I2056" i="357"/>
  <c r="I2040" i="357"/>
  <c r="J840" i="357"/>
  <c r="J806" i="357"/>
  <c r="J522" i="357"/>
  <c r="J306" i="357"/>
  <c r="J262" i="357"/>
  <c r="I3496" i="357"/>
  <c r="I3422" i="357"/>
  <c r="I3402" i="357"/>
  <c r="I3326" i="357"/>
  <c r="J3433" i="357"/>
  <c r="J3419" i="357"/>
  <c r="J3405" i="357"/>
  <c r="J3371" i="357"/>
  <c r="J3357" i="357"/>
  <c r="I3228" i="357"/>
  <c r="I3038" i="357"/>
  <c r="I3004" i="357"/>
  <c r="I2949" i="357"/>
  <c r="I2926" i="357"/>
  <c r="I2884" i="357"/>
  <c r="I2712" i="357"/>
  <c r="I2678" i="357"/>
  <c r="I2650" i="357"/>
  <c r="I2636" i="357"/>
  <c r="I2615" i="357"/>
  <c r="I2598" i="357"/>
  <c r="I1801" i="357"/>
  <c r="I1719" i="357"/>
  <c r="I1460" i="357"/>
  <c r="I1441" i="357"/>
  <c r="I1345" i="357"/>
  <c r="I1149" i="357"/>
  <c r="I1115" i="357"/>
  <c r="I1065" i="357"/>
  <c r="I1001" i="357"/>
  <c r="I981" i="357"/>
  <c r="I965" i="357"/>
  <c r="I812" i="357"/>
  <c r="I798" i="357"/>
  <c r="I650" i="357"/>
  <c r="I502" i="357"/>
  <c r="I376" i="357"/>
  <c r="I362" i="357"/>
  <c r="I244" i="357"/>
  <c r="J3337" i="357"/>
  <c r="J3321" i="357"/>
  <c r="J3213" i="357"/>
  <c r="J3199" i="357"/>
  <c r="J3128" i="357"/>
  <c r="J3039" i="357"/>
  <c r="J3005" i="357"/>
  <c r="J2990" i="357"/>
  <c r="J2950" i="357"/>
  <c r="J2881" i="357"/>
  <c r="J2715" i="357"/>
  <c r="J2613" i="357"/>
  <c r="J2349" i="357"/>
  <c r="J2299" i="357"/>
  <c r="J2261" i="357"/>
  <c r="J2048" i="357"/>
  <c r="J2024" i="357"/>
  <c r="J1816" i="357"/>
  <c r="J1768" i="357"/>
  <c r="J1132" i="357"/>
  <c r="J1032" i="357"/>
  <c r="J3506" i="357"/>
  <c r="I3506" i="357"/>
  <c r="I3421" i="357"/>
  <c r="I3401" i="357"/>
  <c r="J3196" i="357"/>
  <c r="J2947" i="357"/>
  <c r="J2918" i="357"/>
  <c r="J2892" i="357"/>
  <c r="J2874" i="357"/>
  <c r="I2874" i="357"/>
  <c r="I2585" i="357"/>
  <c r="J2585" i="357"/>
  <c r="J2509" i="357"/>
  <c r="J2485" i="357"/>
  <c r="I3375" i="357"/>
  <c r="J3375" i="357"/>
  <c r="I3459" i="357"/>
  <c r="J3459" i="357"/>
  <c r="J3212" i="357"/>
  <c r="I3158" i="357"/>
  <c r="J3119" i="357"/>
  <c r="I3119" i="357"/>
  <c r="I3059" i="357"/>
  <c r="J3059" i="357"/>
  <c r="I2795" i="357"/>
  <c r="I2775" i="357"/>
  <c r="I2746" i="357"/>
  <c r="I2692" i="357"/>
  <c r="I2663" i="357"/>
  <c r="J2633" i="357"/>
  <c r="I2633" i="357"/>
  <c r="I1996" i="357"/>
  <c r="I1584" i="357"/>
  <c r="I1165" i="357"/>
  <c r="I3162" i="357"/>
  <c r="I3118" i="357"/>
  <c r="J3118" i="357"/>
  <c r="I3058" i="357"/>
  <c r="I3012" i="357"/>
  <c r="I2863" i="357"/>
  <c r="J2863" i="357"/>
  <c r="I2814" i="357"/>
  <c r="I2771" i="357"/>
  <c r="I2659" i="357"/>
  <c r="I2190" i="357"/>
  <c r="I2070" i="357"/>
  <c r="I1908" i="357"/>
  <c r="I1787" i="357"/>
  <c r="I1351" i="357"/>
  <c r="J1278" i="357"/>
  <c r="I1278" i="357"/>
  <c r="J1229" i="357"/>
  <c r="I1229" i="357"/>
  <c r="E3366" i="357"/>
  <c r="I818" i="357"/>
  <c r="E3037" i="357"/>
  <c r="E3414" i="357"/>
  <c r="G3414" i="357" s="1"/>
  <c r="E3360" i="357"/>
  <c r="G3360" i="357" s="1"/>
  <c r="E3425" i="357"/>
  <c r="G3425" i="357" s="1"/>
  <c r="E3335" i="357"/>
  <c r="G3335" i="357" s="1"/>
  <c r="G3189" i="357"/>
  <c r="I3331" i="357"/>
  <c r="J3331" i="357"/>
  <c r="I3312" i="357"/>
  <c r="J3312" i="357"/>
  <c r="I3264" i="357"/>
  <c r="J3264" i="357"/>
  <c r="G2899" i="357"/>
  <c r="I2887" i="357"/>
  <c r="J2887" i="357"/>
  <c r="I2974" i="357"/>
  <c r="J2974" i="357"/>
  <c r="I2944" i="357"/>
  <c r="J2944" i="357"/>
  <c r="I3023" i="357"/>
  <c r="J3023" i="357"/>
  <c r="J2957" i="357"/>
  <c r="I2957" i="357"/>
  <c r="J2945" i="357"/>
  <c r="I2945" i="357"/>
  <c r="G2928" i="357"/>
  <c r="J2916" i="357"/>
  <c r="I2916" i="357"/>
  <c r="G2896" i="357"/>
  <c r="I2609" i="357"/>
  <c r="J2609" i="357"/>
  <c r="F3488" i="357"/>
  <c r="H3488" i="357" s="1"/>
  <c r="F2728" i="357"/>
  <c r="H2728" i="357" s="1"/>
  <c r="H2668" i="357"/>
  <c r="J2631" i="357"/>
  <c r="I2631" i="357"/>
  <c r="J2619" i="357"/>
  <c r="I2619" i="357"/>
  <c r="I2497" i="357"/>
  <c r="J2497" i="357"/>
  <c r="E3463" i="357"/>
  <c r="G3463" i="357" s="1"/>
  <c r="E2420" i="357"/>
  <c r="G2420" i="357" s="1"/>
  <c r="I2379" i="357"/>
  <c r="J2379" i="357"/>
  <c r="I2339" i="357"/>
  <c r="J2339" i="357"/>
  <c r="J2354" i="357"/>
  <c r="H2187" i="357"/>
  <c r="I2154" i="357"/>
  <c r="F3457" i="357"/>
  <c r="H3457" i="357" s="1"/>
  <c r="F2107" i="357"/>
  <c r="H2107" i="357" s="1"/>
  <c r="F2414" i="357"/>
  <c r="H2414" i="357" s="1"/>
  <c r="H1929" i="357"/>
  <c r="F3146" i="357"/>
  <c r="F2364" i="357"/>
  <c r="F2699" i="357"/>
  <c r="F2165" i="357"/>
  <c r="F3298" i="357"/>
  <c r="F2473" i="357"/>
  <c r="F1913" i="357"/>
  <c r="F3348" i="357"/>
  <c r="F2375" i="357"/>
  <c r="F1239" i="357"/>
  <c r="F3203" i="357"/>
  <c r="F2001" i="357"/>
  <c r="F3015" i="357"/>
  <c r="F2338" i="357"/>
  <c r="F3432" i="357"/>
  <c r="H3432" i="357" s="1"/>
  <c r="F2404" i="357"/>
  <c r="H2404" i="357" s="1"/>
  <c r="F2399" i="357"/>
  <c r="H2399" i="357" s="1"/>
  <c r="F1947" i="357"/>
  <c r="H1947" i="357" s="1"/>
  <c r="I1409" i="357"/>
  <c r="J1409" i="357"/>
  <c r="H1376" i="357"/>
  <c r="J1349" i="357"/>
  <c r="I1349" i="357"/>
  <c r="H670" i="357"/>
  <c r="H909" i="357"/>
  <c r="H850" i="357"/>
  <c r="F2496" i="357"/>
  <c r="F2122" i="357"/>
  <c r="F2090" i="357"/>
  <c r="F972" i="357"/>
  <c r="F760" i="357"/>
  <c r="F3426" i="357"/>
  <c r="F2738" i="357"/>
  <c r="F2074" i="357"/>
  <c r="F1538" i="357"/>
  <c r="F1121" i="357"/>
  <c r="F874" i="357"/>
  <c r="F3029" i="357"/>
  <c r="F2688" i="357"/>
  <c r="F2323" i="357"/>
  <c r="F1534" i="357"/>
  <c r="F1070" i="357"/>
  <c r="F146" i="357"/>
  <c r="F2914" i="357"/>
  <c r="F2438" i="357"/>
  <c r="F2171" i="357"/>
  <c r="F1407" i="357"/>
  <c r="F683" i="357"/>
  <c r="F23" i="357"/>
  <c r="F2698" i="357"/>
  <c r="F2164" i="357"/>
  <c r="F2132" i="357"/>
  <c r="F1302" i="357"/>
  <c r="F1156" i="357"/>
  <c r="F2657" i="357"/>
  <c r="F2158" i="357"/>
  <c r="F2096" i="357"/>
  <c r="F1014" i="357"/>
  <c r="F234" i="357"/>
  <c r="G671" i="357"/>
  <c r="H656" i="357"/>
  <c r="F1505" i="357"/>
  <c r="H1505" i="357" s="1"/>
  <c r="F1493" i="357"/>
  <c r="H1493" i="357" s="1"/>
  <c r="F1431" i="357"/>
  <c r="H1431" i="357" s="1"/>
  <c r="F1092" i="357"/>
  <c r="H1092" i="357" s="1"/>
  <c r="H853" i="357"/>
  <c r="H738" i="357"/>
  <c r="E1481" i="357"/>
  <c r="E1466" i="357"/>
  <c r="E1628" i="357"/>
  <c r="E1453" i="357"/>
  <c r="E1392" i="357"/>
  <c r="E1015" i="357"/>
  <c r="G1015" i="357" s="1"/>
  <c r="E994" i="357"/>
  <c r="E644" i="357"/>
  <c r="E684" i="357"/>
  <c r="I483" i="357"/>
  <c r="J483" i="357"/>
  <c r="H459" i="357"/>
  <c r="J459" i="357" s="1"/>
  <c r="H447" i="357"/>
  <c r="J447" i="357" s="1"/>
  <c r="H435" i="357"/>
  <c r="J435" i="357" s="1"/>
  <c r="I397" i="357"/>
  <c r="J397" i="357"/>
  <c r="I371" i="357"/>
  <c r="J371" i="357"/>
  <c r="I359" i="357"/>
  <c r="J359" i="357"/>
  <c r="I347" i="357"/>
  <c r="J347" i="357"/>
  <c r="J3259" i="357"/>
  <c r="J2843" i="357"/>
  <c r="J2718" i="357"/>
  <c r="I2517" i="357"/>
  <c r="J2541" i="357"/>
  <c r="I2150" i="357"/>
  <c r="I2108" i="357"/>
  <c r="I2061" i="357"/>
  <c r="I2041" i="357"/>
  <c r="J1583" i="357"/>
  <c r="J523" i="357"/>
  <c r="J820" i="357"/>
  <c r="J727" i="357"/>
  <c r="I3416" i="357"/>
  <c r="J3417" i="357"/>
  <c r="J3403" i="357"/>
  <c r="I3198" i="357"/>
  <c r="I3173" i="357"/>
  <c r="I3157" i="357"/>
  <c r="I3052" i="357"/>
  <c r="I3018" i="357"/>
  <c r="I3002" i="357"/>
  <c r="I2967" i="357"/>
  <c r="I2908" i="357"/>
  <c r="I2882" i="357"/>
  <c r="I2778" i="357"/>
  <c r="I2710" i="357"/>
  <c r="I2690" i="357"/>
  <c r="I2662" i="357"/>
  <c r="I2648" i="357"/>
  <c r="I2629" i="357"/>
  <c r="I2612" i="357"/>
  <c r="I2185" i="357"/>
  <c r="I1991" i="357"/>
  <c r="I1952" i="357"/>
  <c r="I1815" i="357"/>
  <c r="I1779" i="357"/>
  <c r="I1147" i="357"/>
  <c r="I1113" i="357"/>
  <c r="I1031" i="357"/>
  <c r="I695" i="357"/>
  <c r="I326" i="357"/>
  <c r="J3053" i="357"/>
  <c r="J3003" i="357"/>
  <c r="J2605" i="357"/>
  <c r="J2501" i="357"/>
  <c r="J2479" i="357"/>
  <c r="J2085" i="357"/>
  <c r="J2022" i="357"/>
  <c r="J1428" i="357"/>
  <c r="J1152" i="357"/>
  <c r="J3504" i="357"/>
  <c r="I3504" i="357"/>
  <c r="I3442" i="357"/>
  <c r="J3442" i="357"/>
  <c r="I3418" i="357"/>
  <c r="I3275" i="357"/>
  <c r="I3257" i="357"/>
  <c r="J3185" i="357"/>
  <c r="F3284" i="357"/>
  <c r="H3284" i="357" s="1"/>
  <c r="F3106" i="357"/>
  <c r="H3106" i="357" s="1"/>
  <c r="J3106" i="357" s="1"/>
  <c r="H2983" i="357"/>
  <c r="J2941" i="357"/>
  <c r="J2889" i="357"/>
  <c r="J2607" i="357"/>
  <c r="J2506" i="357"/>
  <c r="J2360" i="357"/>
  <c r="J2284" i="357"/>
  <c r="I2284" i="357"/>
  <c r="I2223" i="357"/>
  <c r="J2223" i="357"/>
  <c r="J3372" i="357"/>
  <c r="I3152" i="357"/>
  <c r="I3010" i="357"/>
  <c r="I2958" i="357"/>
  <c r="J2864" i="357"/>
  <c r="I2864" i="357"/>
  <c r="I2739" i="357"/>
  <c r="I2711" i="357"/>
  <c r="I2571" i="357"/>
  <c r="J2571" i="357"/>
  <c r="I2020" i="357"/>
  <c r="I1948" i="357"/>
  <c r="I1895" i="357"/>
  <c r="I1738" i="357"/>
  <c r="J1738" i="357"/>
  <c r="I1581" i="357"/>
  <c r="I1559" i="357"/>
  <c r="I1477" i="357"/>
  <c r="I1444" i="357"/>
  <c r="I1372" i="357"/>
  <c r="I1142" i="357"/>
  <c r="I976" i="357"/>
  <c r="I419" i="357"/>
  <c r="I399" i="357"/>
  <c r="I361" i="357"/>
  <c r="E2532" i="357"/>
  <c r="I321" i="357"/>
  <c r="I3154" i="357"/>
  <c r="I2954" i="357"/>
  <c r="I2786" i="357"/>
  <c r="I2707" i="357"/>
  <c r="I2315" i="357"/>
  <c r="J2315" i="357"/>
  <c r="I2046" i="357"/>
  <c r="I1883" i="357"/>
  <c r="I1811" i="357"/>
  <c r="I1784" i="357"/>
  <c r="J16" i="357"/>
  <c r="I16" i="357"/>
  <c r="E3166" i="357"/>
  <c r="I1010" i="357"/>
  <c r="J430" i="357"/>
  <c r="J354" i="357"/>
  <c r="F2618" i="357"/>
  <c r="H2618" i="357" s="1"/>
  <c r="F621" i="357"/>
  <c r="H621" i="357" s="1"/>
  <c r="F2991" i="357"/>
  <c r="F2841" i="357"/>
  <c r="F2484" i="357"/>
  <c r="F2729" i="357"/>
  <c r="F2640" i="357"/>
  <c r="F1994" i="357"/>
  <c r="F1956" i="357"/>
  <c r="F1858" i="357"/>
  <c r="F1475" i="357"/>
  <c r="F1363" i="357"/>
  <c r="F1128" i="357"/>
  <c r="F1044" i="357"/>
  <c r="F1035" i="357"/>
  <c r="F993" i="357"/>
  <c r="F951" i="357"/>
  <c r="F832" i="357"/>
  <c r="F1188" i="357"/>
  <c r="F1100" i="357"/>
  <c r="F1091" i="357"/>
  <c r="F1049" i="357"/>
  <c r="F825" i="357"/>
  <c r="F810" i="357"/>
  <c r="F795" i="357"/>
  <c r="F643" i="357"/>
  <c r="F1177" i="357"/>
  <c r="F718" i="357"/>
  <c r="F1135" i="357"/>
  <c r="F158" i="357"/>
  <c r="F140" i="357"/>
  <c r="G464" i="357"/>
  <c r="E3161" i="357"/>
  <c r="G3161" i="357" s="1"/>
  <c r="E3137" i="357"/>
  <c r="G3137" i="357" s="1"/>
  <c r="E3246" i="357"/>
  <c r="G3246" i="357" s="1"/>
  <c r="E3216" i="357"/>
  <c r="G3216" i="357" s="1"/>
  <c r="E3227" i="357"/>
  <c r="G3227" i="357" s="1"/>
  <c r="E3102" i="357"/>
  <c r="G3102" i="357" s="1"/>
  <c r="I1990" i="357"/>
  <c r="E3432" i="357"/>
  <c r="G3432" i="357" s="1"/>
  <c r="E2404" i="357"/>
  <c r="G2404" i="357" s="1"/>
  <c r="E2399" i="357"/>
  <c r="G2399" i="357" s="1"/>
  <c r="E1947" i="357"/>
  <c r="G1947" i="357" s="1"/>
  <c r="I1820" i="357"/>
  <c r="F3489" i="357"/>
  <c r="F3370" i="357"/>
  <c r="F3503" i="357"/>
  <c r="F3037" i="357"/>
  <c r="F2504" i="357"/>
  <c r="F2083" i="357"/>
  <c r="F2067" i="357"/>
  <c r="F1569" i="357"/>
  <c r="F1544" i="357"/>
  <c r="F1529" i="357"/>
  <c r="F1514" i="357"/>
  <c r="F1519" i="357"/>
  <c r="F914" i="357"/>
  <c r="F280" i="357"/>
  <c r="F149" i="357"/>
  <c r="F29" i="357"/>
  <c r="F3227" i="357"/>
  <c r="H3227" i="357" s="1"/>
  <c r="E1568" i="357"/>
  <c r="E1362" i="357"/>
  <c r="G1362" i="357" s="1"/>
  <c r="E3179" i="357"/>
  <c r="E3336" i="357"/>
  <c r="E3251" i="357"/>
  <c r="E3171" i="357"/>
  <c r="E3009" i="357"/>
  <c r="E2970" i="357"/>
  <c r="E2478" i="357"/>
  <c r="E2689" i="357"/>
  <c r="E2444" i="357"/>
  <c r="E2432" i="357"/>
  <c r="E2159" i="357"/>
  <c r="E1907" i="357"/>
  <c r="E2394" i="357"/>
  <c r="E2324" i="357"/>
  <c r="E1995" i="357"/>
  <c r="E2133" i="357"/>
  <c r="E1985" i="357"/>
  <c r="E1313" i="357"/>
  <c r="E1234" i="357"/>
  <c r="I843" i="357"/>
  <c r="I821" i="357"/>
  <c r="I801" i="357"/>
  <c r="I533" i="357"/>
  <c r="E2569" i="357"/>
  <c r="G2569" i="357" s="1"/>
  <c r="E515" i="357"/>
  <c r="G515" i="357" s="1"/>
  <c r="I495" i="357"/>
  <c r="I475" i="357"/>
  <c r="I421" i="357"/>
  <c r="I363" i="357"/>
  <c r="I345" i="357"/>
  <c r="I303" i="357"/>
  <c r="G3190" i="357"/>
  <c r="G2929" i="357"/>
  <c r="G2801" i="357"/>
  <c r="E2137" i="357"/>
  <c r="G2668" i="357"/>
  <c r="G1374" i="357"/>
  <c r="E2005" i="357"/>
  <c r="G2005" i="357" s="1"/>
  <c r="E1333" i="357"/>
  <c r="E1981" i="357"/>
  <c r="E2666" i="357"/>
  <c r="E3340" i="357"/>
  <c r="E1486" i="357"/>
  <c r="E1458" i="357"/>
  <c r="E973" i="357"/>
  <c r="E810" i="357"/>
  <c r="E643" i="357"/>
  <c r="E1044" i="357"/>
  <c r="E1475" i="357"/>
  <c r="E2841" i="357"/>
  <c r="E1303" i="357"/>
  <c r="E2266" i="357"/>
  <c r="E2747" i="357"/>
  <c r="E3030" i="357"/>
  <c r="E103" i="357"/>
  <c r="E280" i="357"/>
  <c r="E1569" i="357"/>
  <c r="E3370" i="357"/>
  <c r="G2820" i="357"/>
  <c r="F1907" i="357"/>
  <c r="F2432" i="357"/>
  <c r="F3009" i="357"/>
  <c r="F36" i="357"/>
  <c r="F3493" i="357"/>
  <c r="G2982" i="357"/>
  <c r="G2188" i="357"/>
  <c r="G1293" i="357"/>
  <c r="G743" i="357"/>
  <c r="G734" i="357"/>
  <c r="G597" i="357"/>
  <c r="G664" i="357"/>
  <c r="G467" i="357"/>
  <c r="G1499" i="357"/>
  <c r="G858" i="357"/>
  <c r="G846" i="357"/>
  <c r="G666" i="357"/>
  <c r="H665" i="357"/>
  <c r="H1909" i="357"/>
  <c r="J1909" i="357" s="1"/>
  <c r="H1643" i="357"/>
  <c r="H604" i="357"/>
  <c r="H595" i="357"/>
  <c r="J595" i="357" s="1"/>
  <c r="C2332" i="357"/>
  <c r="C2393" i="357"/>
  <c r="C2388" i="357"/>
  <c r="H1574" i="357"/>
  <c r="J1574" i="357" s="1"/>
  <c r="D1453" i="357"/>
  <c r="D1466" i="357"/>
  <c r="D1392" i="357"/>
  <c r="D644" i="357"/>
  <c r="D1015" i="357"/>
  <c r="D994" i="357"/>
  <c r="D1481" i="357"/>
  <c r="D1628" i="357"/>
  <c r="D684" i="357"/>
  <c r="H1173" i="357"/>
  <c r="G2267" i="357"/>
  <c r="J2242" i="357"/>
  <c r="G1986" i="357"/>
  <c r="H1923" i="357"/>
  <c r="G1676" i="357"/>
  <c r="I1676" i="357" s="1"/>
  <c r="C1157" i="357"/>
  <c r="C1136" i="357"/>
  <c r="C1520" i="357"/>
  <c r="C1486" i="357"/>
  <c r="C811" i="357"/>
  <c r="C1764" i="357"/>
  <c r="G1435" i="357"/>
  <c r="I1435" i="357" s="1"/>
  <c r="I1342" i="357"/>
  <c r="G1245" i="357"/>
  <c r="G1150" i="357"/>
  <c r="I1150" i="357" s="1"/>
  <c r="G838" i="357"/>
  <c r="I838" i="357" s="1"/>
  <c r="G586" i="357"/>
  <c r="G473" i="357"/>
  <c r="I473" i="357" s="1"/>
  <c r="G324" i="357"/>
  <c r="I324" i="357" s="1"/>
  <c r="G208" i="357"/>
  <c r="C2439" i="357"/>
  <c r="C2328" i="357"/>
  <c r="C3211" i="357"/>
  <c r="C2011" i="357"/>
  <c r="C1921" i="357"/>
  <c r="G2358" i="357"/>
  <c r="G2295" i="357"/>
  <c r="H2363" i="357"/>
  <c r="G2325" i="357"/>
  <c r="G2149" i="357"/>
  <c r="I2149" i="357" s="1"/>
  <c r="I1489" i="357"/>
  <c r="C2666" i="357"/>
  <c r="C2936" i="357"/>
  <c r="C3340" i="357"/>
  <c r="C1333" i="357"/>
  <c r="C2370" i="357"/>
  <c r="C2256" i="357"/>
  <c r="C2862" i="357"/>
  <c r="C2753" i="357"/>
  <c r="C2123" i="357"/>
  <c r="C2333" i="357"/>
  <c r="C3000" i="357"/>
  <c r="C1981" i="357"/>
  <c r="C1275" i="357"/>
  <c r="C3166" i="357"/>
  <c r="C2459" i="357"/>
  <c r="C1971" i="357"/>
  <c r="C1307" i="357"/>
  <c r="G2421" i="357"/>
  <c r="D2342" i="357"/>
  <c r="D2347" i="357"/>
  <c r="D2443" i="357"/>
  <c r="G2318" i="357"/>
  <c r="G2246" i="357"/>
  <c r="G2179" i="357"/>
  <c r="I2179" i="357" s="1"/>
  <c r="H2141" i="357"/>
  <c r="H2101" i="357"/>
  <c r="G2035" i="357"/>
  <c r="I2035" i="357" s="1"/>
  <c r="G1935" i="357"/>
  <c r="I1935" i="357" s="1"/>
  <c r="G1859" i="357"/>
  <c r="I1859" i="357" s="1"/>
  <c r="H1791" i="357"/>
  <c r="H1766" i="357"/>
  <c r="J1766" i="357" s="1"/>
  <c r="G1702" i="357"/>
  <c r="I1702" i="357" s="1"/>
  <c r="H1535" i="357"/>
  <c r="G1185" i="357"/>
  <c r="G1060" i="357"/>
  <c r="I1060" i="357" s="1"/>
  <c r="G930" i="357"/>
  <c r="I930" i="357" s="1"/>
  <c r="G654" i="357"/>
  <c r="I654" i="357" s="1"/>
  <c r="G505" i="357"/>
  <c r="I505" i="357" s="1"/>
  <c r="G358" i="357"/>
  <c r="I358" i="357" s="1"/>
  <c r="G240" i="357"/>
  <c r="H1894" i="357"/>
  <c r="H1395" i="357"/>
  <c r="H1163" i="357"/>
  <c r="D2512" i="357"/>
  <c r="D36" i="357"/>
  <c r="D3493" i="357"/>
  <c r="D3043" i="357"/>
  <c r="D933" i="357"/>
  <c r="D152" i="357"/>
  <c r="D3415" i="357"/>
  <c r="D296" i="357"/>
  <c r="C1044" i="357"/>
  <c r="D2504" i="357"/>
  <c r="G1320" i="357"/>
  <c r="C1889" i="357"/>
  <c r="G1204" i="357"/>
  <c r="H980" i="357"/>
  <c r="G1507" i="357"/>
  <c r="G723" i="357"/>
  <c r="C2645" i="357"/>
  <c r="C2490" i="357"/>
  <c r="C3388" i="357"/>
  <c r="C2759" i="357"/>
  <c r="C2734" i="357"/>
  <c r="C2106" i="357"/>
  <c r="C2000" i="357"/>
  <c r="C1976" i="357"/>
  <c r="C1524" i="357"/>
  <c r="C1485" i="357"/>
  <c r="C1332" i="357"/>
  <c r="C1194" i="357"/>
  <c r="C3361" i="357"/>
  <c r="C1871" i="357"/>
  <c r="C3021" i="357"/>
  <c r="C2861" i="357"/>
  <c r="C1384" i="357"/>
  <c r="C1257" i="357"/>
  <c r="C907" i="357"/>
  <c r="C1424" i="357"/>
  <c r="C1312" i="357"/>
  <c r="C143" i="357"/>
  <c r="C186" i="357"/>
  <c r="C11" i="357"/>
  <c r="F3352" i="357"/>
  <c r="F3207" i="357"/>
  <c r="F3356" i="357"/>
  <c r="F2384" i="357"/>
  <c r="F2172" i="357"/>
  <c r="F1917" i="357"/>
  <c r="F2005" i="357"/>
  <c r="F1243" i="357"/>
  <c r="F2322" i="357"/>
  <c r="H2322" i="357" s="1"/>
  <c r="F1216" i="357"/>
  <c r="H1216" i="357" s="1"/>
  <c r="F1425" i="357"/>
  <c r="F1385" i="357"/>
  <c r="F1570" i="357"/>
  <c r="F1530" i="357"/>
  <c r="F1476" i="357"/>
  <c r="F875" i="357"/>
  <c r="F833" i="357"/>
  <c r="F952" i="357"/>
  <c r="F973" i="357"/>
  <c r="I1064" i="357"/>
  <c r="I827" i="357"/>
  <c r="I726" i="357"/>
  <c r="E3141" i="357"/>
  <c r="G3141" i="357" s="1"/>
  <c r="I3141" i="357" s="1"/>
  <c r="E3123" i="357"/>
  <c r="G3123" i="357" s="1"/>
  <c r="I3123" i="357" s="1"/>
  <c r="E3256" i="357"/>
  <c r="G3256" i="357" s="1"/>
  <c r="E3232" i="357"/>
  <c r="G3232" i="357" s="1"/>
  <c r="E3330" i="357"/>
  <c r="G3330" i="357" s="1"/>
  <c r="E3309" i="357"/>
  <c r="G3309" i="357" s="1"/>
  <c r="E3222" i="357"/>
  <c r="G3222" i="357" s="1"/>
  <c r="E2343" i="357"/>
  <c r="G2343" i="357" s="1"/>
  <c r="E1942" i="357"/>
  <c r="G1942" i="357" s="1"/>
  <c r="I1640" i="357"/>
  <c r="F3216" i="357"/>
  <c r="H3216" i="357" s="1"/>
  <c r="I1487" i="357"/>
  <c r="E1732" i="357"/>
  <c r="E1515" i="357"/>
  <c r="E1470" i="357"/>
  <c r="E719" i="357"/>
  <c r="E1122" i="357"/>
  <c r="E1101" i="357"/>
  <c r="E3415" i="357"/>
  <c r="E3493" i="357"/>
  <c r="E3043" i="357"/>
  <c r="E2512" i="357"/>
  <c r="E933" i="357"/>
  <c r="E296" i="357"/>
  <c r="E152" i="357"/>
  <c r="G152" i="357" s="1"/>
  <c r="E36" i="357"/>
  <c r="E3388" i="357"/>
  <c r="E3361" i="357"/>
  <c r="E3021" i="357"/>
  <c r="E2861" i="357"/>
  <c r="E2645" i="357"/>
  <c r="E2490" i="357"/>
  <c r="E2759" i="357"/>
  <c r="E2734" i="357"/>
  <c r="E1871" i="357"/>
  <c r="E2106" i="357"/>
  <c r="E2000" i="357"/>
  <c r="E1976" i="357"/>
  <c r="E1424" i="357"/>
  <c r="E1384" i="357"/>
  <c r="E1312" i="357"/>
  <c r="E1524" i="357"/>
  <c r="E1485" i="357"/>
  <c r="E1257" i="357"/>
  <c r="E907" i="357"/>
  <c r="E1332" i="357"/>
  <c r="E1194" i="357"/>
  <c r="E186" i="357"/>
  <c r="E143" i="357"/>
  <c r="E11" i="357"/>
  <c r="G2831" i="357"/>
  <c r="G2798" i="357"/>
  <c r="E3499" i="357"/>
  <c r="E2520" i="357"/>
  <c r="E940" i="357"/>
  <c r="E311" i="357"/>
  <c r="E72" i="357"/>
  <c r="G2549" i="357"/>
  <c r="G2215" i="357"/>
  <c r="G2187" i="357"/>
  <c r="E3356" i="357"/>
  <c r="G3356" i="357" s="1"/>
  <c r="E1307" i="357"/>
  <c r="E2123" i="357"/>
  <c r="E2936" i="357"/>
  <c r="E1216" i="357"/>
  <c r="E1520" i="357"/>
  <c r="E1539" i="357"/>
  <c r="E1476" i="357"/>
  <c r="E825" i="357"/>
  <c r="E718" i="357"/>
  <c r="E1128" i="357"/>
  <c r="E1956" i="357"/>
  <c r="E2991" i="357"/>
  <c r="E1217" i="357"/>
  <c r="E1957" i="357"/>
  <c r="E2454" i="357"/>
  <c r="E3022" i="357"/>
  <c r="E343" i="357"/>
  <c r="E914" i="357"/>
  <c r="E2067" i="357"/>
  <c r="E3489" i="357"/>
  <c r="G3186" i="357"/>
  <c r="G2817" i="357"/>
  <c r="H2898" i="357"/>
  <c r="F2159" i="357"/>
  <c r="F2444" i="357"/>
  <c r="F3171" i="357"/>
  <c r="F296" i="357"/>
  <c r="F3415" i="357"/>
  <c r="G1223" i="357"/>
  <c r="G606" i="357"/>
  <c r="H1296" i="357"/>
  <c r="G859" i="357"/>
  <c r="G850" i="357"/>
  <c r="G741" i="357"/>
  <c r="G463" i="357"/>
  <c r="G454" i="357"/>
  <c r="G445" i="357"/>
  <c r="G436" i="357"/>
  <c r="G461" i="357"/>
  <c r="G452" i="357"/>
  <c r="G443" i="357"/>
  <c r="D2353" i="357"/>
  <c r="H2353" i="357" s="1"/>
  <c r="D3452" i="357"/>
  <c r="H3452" i="357" s="1"/>
  <c r="H2054" i="357"/>
  <c r="D3151" i="357"/>
  <c r="D2936" i="357"/>
  <c r="D1275" i="357"/>
  <c r="D1981" i="357"/>
  <c r="D2370" i="357"/>
  <c r="D2459" i="357"/>
  <c r="D1971" i="357"/>
  <c r="D2256" i="357"/>
  <c r="D2862" i="357"/>
  <c r="D1307" i="357"/>
  <c r="D3340" i="357"/>
  <c r="D2333" i="357"/>
  <c r="D1889" i="357"/>
  <c r="H1597" i="357"/>
  <c r="G1572" i="357"/>
  <c r="I1572" i="357" s="1"/>
  <c r="H1346" i="357"/>
  <c r="H1027" i="357"/>
  <c r="D2453" i="357"/>
  <c r="H2453" i="357" s="1"/>
  <c r="G2262" i="357"/>
  <c r="H2099" i="357"/>
  <c r="H1914" i="357"/>
  <c r="J1914" i="357" s="1"/>
  <c r="H1769" i="357"/>
  <c r="G1664" i="357"/>
  <c r="I1664" i="357" s="1"/>
  <c r="H1588" i="357"/>
  <c r="C3336" i="357"/>
  <c r="C2478" i="357"/>
  <c r="C2394" i="357"/>
  <c r="C3171" i="357"/>
  <c r="C2133" i="357"/>
  <c r="C1985" i="357"/>
  <c r="C1234" i="357"/>
  <c r="C3251" i="357"/>
  <c r="C3009" i="357"/>
  <c r="C2689" i="357"/>
  <c r="C3179" i="357"/>
  <c r="C2159" i="357"/>
  <c r="C1907" i="357"/>
  <c r="C2970" i="357"/>
  <c r="C2444" i="357"/>
  <c r="C2324" i="357"/>
  <c r="C2432" i="357"/>
  <c r="C1995" i="357"/>
  <c r="C1313" i="357"/>
  <c r="G1130" i="357"/>
  <c r="I1130" i="357" s="1"/>
  <c r="G1066" i="357"/>
  <c r="I1066" i="357" s="1"/>
  <c r="G984" i="357"/>
  <c r="I984" i="357" s="1"/>
  <c r="G816" i="357"/>
  <c r="G567" i="357"/>
  <c r="G422" i="357"/>
  <c r="I422" i="357" s="1"/>
  <c r="G304" i="357"/>
  <c r="I304" i="357" s="1"/>
  <c r="G190" i="357"/>
  <c r="H1823" i="357"/>
  <c r="H1595" i="357"/>
  <c r="G1860" i="357"/>
  <c r="I1860" i="357" s="1"/>
  <c r="H1781" i="357"/>
  <c r="J1735" i="357"/>
  <c r="H2369" i="357"/>
  <c r="G2313" i="357"/>
  <c r="G2277" i="357"/>
  <c r="G2184" i="357"/>
  <c r="I2184" i="357" s="1"/>
  <c r="G2134" i="357"/>
  <c r="I2134" i="357" s="1"/>
  <c r="H1902" i="357"/>
  <c r="D2089" i="357"/>
  <c r="D2393" i="357"/>
  <c r="D2374" i="357"/>
  <c r="D2337" i="357"/>
  <c r="G2306" i="357"/>
  <c r="G2100" i="357"/>
  <c r="I2100" i="357" s="1"/>
  <c r="G1880" i="357"/>
  <c r="I1880" i="357" s="1"/>
  <c r="G1817" i="357"/>
  <c r="I1817" i="357" s="1"/>
  <c r="H1691" i="357"/>
  <c r="H1652" i="357"/>
  <c r="J1652" i="357" s="1"/>
  <c r="H1585" i="357"/>
  <c r="H1526" i="357"/>
  <c r="G1454" i="357"/>
  <c r="I1454" i="357" s="1"/>
  <c r="G1164" i="357"/>
  <c r="I1164" i="357" s="1"/>
  <c r="G1038" i="357"/>
  <c r="I1038" i="357" s="1"/>
  <c r="C2683" i="357"/>
  <c r="C634" i="357"/>
  <c r="G487" i="357"/>
  <c r="I487" i="357" s="1"/>
  <c r="G338" i="357"/>
  <c r="I338" i="357" s="1"/>
  <c r="G220" i="357"/>
  <c r="H2031" i="357"/>
  <c r="J2031" i="357" s="1"/>
  <c r="H1876" i="357"/>
  <c r="H1751" i="357"/>
  <c r="G1671" i="357"/>
  <c r="I1671" i="357" s="1"/>
  <c r="J1262" i="357"/>
  <c r="D1333" i="357"/>
  <c r="H1082" i="357"/>
  <c r="C1475" i="357"/>
  <c r="C1228" i="357"/>
  <c r="G1290" i="357"/>
  <c r="H1117" i="357"/>
  <c r="H1000" i="357"/>
  <c r="H357" i="357"/>
  <c r="C3370" i="357"/>
  <c r="E3316" i="357"/>
  <c r="G3316" i="357" s="1"/>
  <c r="E3092" i="357"/>
  <c r="G3092" i="357" s="1"/>
  <c r="E2437" i="357"/>
  <c r="E1955" i="357"/>
  <c r="E2170" i="357"/>
  <c r="E2131" i="357"/>
  <c r="E2095" i="357"/>
  <c r="E2163" i="357"/>
  <c r="E2157" i="357"/>
  <c r="E2121" i="357"/>
  <c r="I1824" i="357"/>
  <c r="I1886" i="357"/>
  <c r="F3246" i="357"/>
  <c r="H3246" i="357" s="1"/>
  <c r="I1426" i="357"/>
  <c r="I1074" i="357"/>
  <c r="I1030" i="357"/>
  <c r="I886" i="357"/>
  <c r="I837" i="357"/>
  <c r="E2524" i="357"/>
  <c r="G2524" i="357" s="1"/>
  <c r="E920" i="357"/>
  <c r="G920" i="357" s="1"/>
  <c r="E330" i="357"/>
  <c r="G330" i="357" s="1"/>
  <c r="E92" i="357"/>
  <c r="G92" i="357" s="1"/>
  <c r="G2821" i="357"/>
  <c r="E2255" i="357"/>
  <c r="H2551" i="357"/>
  <c r="G1875" i="357"/>
  <c r="G1344" i="357"/>
  <c r="E1243" i="357"/>
  <c r="G1243" i="357" s="1"/>
  <c r="E3207" i="357"/>
  <c r="G3207" i="357" s="1"/>
  <c r="E2305" i="357"/>
  <c r="E2256" i="357"/>
  <c r="E3000" i="357"/>
  <c r="E1136" i="357"/>
  <c r="E761" i="357"/>
  <c r="E1700" i="357"/>
  <c r="E1530" i="357"/>
  <c r="E1049" i="357"/>
  <c r="E832" i="357"/>
  <c r="E1135" i="357"/>
  <c r="E1994" i="357"/>
  <c r="E121" i="357"/>
  <c r="E1258" i="357"/>
  <c r="E1977" i="357"/>
  <c r="E2538" i="357"/>
  <c r="E3114" i="357"/>
  <c r="E929" i="357"/>
  <c r="E1519" i="357"/>
  <c r="E2083" i="357"/>
  <c r="G2789" i="357"/>
  <c r="G3263" i="357"/>
  <c r="H2895" i="357"/>
  <c r="F1985" i="357"/>
  <c r="F2689" i="357"/>
  <c r="F3251" i="357"/>
  <c r="F152" i="357"/>
  <c r="G2206" i="357"/>
  <c r="H1412" i="357"/>
  <c r="G740" i="357"/>
  <c r="G731" i="357"/>
  <c r="G594" i="357"/>
  <c r="G670" i="357"/>
  <c r="G605" i="357"/>
  <c r="H2204" i="357"/>
  <c r="J2204" i="357" s="1"/>
  <c r="G855" i="357"/>
  <c r="H671" i="357"/>
  <c r="H2180" i="357"/>
  <c r="H2036" i="357"/>
  <c r="H1866" i="357"/>
  <c r="J1866" i="357" s="1"/>
  <c r="J1717" i="357"/>
  <c r="H1579" i="357"/>
  <c r="H659" i="357"/>
  <c r="H601" i="357"/>
  <c r="H454" i="357"/>
  <c r="H2114" i="357"/>
  <c r="H1153" i="357"/>
  <c r="J1153" i="357" s="1"/>
  <c r="D2477" i="357"/>
  <c r="H2477" i="357" s="1"/>
  <c r="G2344" i="357"/>
  <c r="G2146" i="357"/>
  <c r="I2146" i="357" s="1"/>
  <c r="D2131" i="357"/>
  <c r="D2095" i="357"/>
  <c r="D2437" i="357"/>
  <c r="D1955" i="357"/>
  <c r="D2163" i="357"/>
  <c r="D2121" i="357"/>
  <c r="D2157" i="357"/>
  <c r="D2170" i="357"/>
  <c r="G2049" i="357"/>
  <c r="I2049" i="357" s="1"/>
  <c r="G2007" i="357"/>
  <c r="I2007" i="357" s="1"/>
  <c r="C2348" i="357"/>
  <c r="C3446" i="357"/>
  <c r="C3437" i="357"/>
  <c r="C1951" i="357"/>
  <c r="D3336" i="357"/>
  <c r="D3171" i="357"/>
  <c r="D1995" i="357"/>
  <c r="D1985" i="357"/>
  <c r="D2478" i="357"/>
  <c r="D3251" i="357"/>
  <c r="D2133" i="357"/>
  <c r="D2394" i="357"/>
  <c r="D2689" i="357"/>
  <c r="D1907" i="357"/>
  <c r="D3179" i="357"/>
  <c r="D2432" i="357"/>
  <c r="D2159" i="357"/>
  <c r="D3009" i="357"/>
  <c r="D2444" i="357"/>
  <c r="D1234" i="357"/>
  <c r="H1878" i="357"/>
  <c r="J1878" i="357" s="1"/>
  <c r="H1802" i="357"/>
  <c r="J1802" i="357" s="1"/>
  <c r="H1765" i="357"/>
  <c r="H1655" i="357"/>
  <c r="G1586" i="357"/>
  <c r="I1586" i="357" s="1"/>
  <c r="C1431" i="357"/>
  <c r="C1092" i="357"/>
  <c r="C1493" i="357"/>
  <c r="C1505" i="357"/>
  <c r="G1403" i="357"/>
  <c r="I1403" i="357" s="1"/>
  <c r="C2496" i="357"/>
  <c r="C1070" i="357"/>
  <c r="C2323" i="357"/>
  <c r="C1534" i="357"/>
  <c r="C683" i="357"/>
  <c r="C2657" i="357"/>
  <c r="C1121" i="357"/>
  <c r="C2090" i="357"/>
  <c r="C2074" i="357"/>
  <c r="C1156" i="357"/>
  <c r="G1046" i="357"/>
  <c r="I1046" i="357" s="1"/>
  <c r="C1458" i="357"/>
  <c r="C1071" i="357"/>
  <c r="C1700" i="357"/>
  <c r="C796" i="357"/>
  <c r="C1050" i="357"/>
  <c r="C1539" i="357"/>
  <c r="C761" i="357"/>
  <c r="G549" i="357"/>
  <c r="I549" i="357" s="1"/>
  <c r="G402" i="357"/>
  <c r="I402" i="357" s="1"/>
  <c r="G284" i="357"/>
  <c r="G170" i="357"/>
  <c r="I1910" i="357"/>
  <c r="G1821" i="357"/>
  <c r="I1821" i="357" s="1"/>
  <c r="G1772" i="357"/>
  <c r="I1772" i="357" s="1"/>
  <c r="G1729" i="357"/>
  <c r="H1667" i="357"/>
  <c r="H3463" i="357"/>
  <c r="H1901" i="357"/>
  <c r="G2148" i="357"/>
  <c r="G2468" i="357"/>
  <c r="I2468" i="357" s="1"/>
  <c r="H2426" i="357"/>
  <c r="H2311" i="357"/>
  <c r="G2181" i="357"/>
  <c r="I2181" i="357" s="1"/>
  <c r="H2026" i="357"/>
  <c r="G1900" i="357"/>
  <c r="H1822" i="357"/>
  <c r="G1720" i="357"/>
  <c r="D1732" i="357"/>
  <c r="D1515" i="357"/>
  <c r="D1470" i="357"/>
  <c r="D719" i="357"/>
  <c r="D1122" i="357"/>
  <c r="D1101" i="357"/>
  <c r="D2327" i="357"/>
  <c r="D2383" i="357"/>
  <c r="D2352" i="357"/>
  <c r="G2196" i="357"/>
  <c r="H2125" i="357"/>
  <c r="H1924" i="357"/>
  <c r="J1924" i="357" s="1"/>
  <c r="H1808" i="357"/>
  <c r="J1808" i="357" s="1"/>
  <c r="H1785" i="357"/>
  <c r="J1785" i="357" s="1"/>
  <c r="H1687" i="357"/>
  <c r="G1650" i="357"/>
  <c r="I1650" i="357" s="1"/>
  <c r="G1144" i="357"/>
  <c r="I1144" i="357" s="1"/>
  <c r="G1018" i="357"/>
  <c r="I1018" i="357" s="1"/>
  <c r="G580" i="357"/>
  <c r="C2554" i="357"/>
  <c r="C469" i="357"/>
  <c r="C434" i="357"/>
  <c r="G318" i="357"/>
  <c r="G202" i="357"/>
  <c r="G2029" i="357"/>
  <c r="I2029" i="357" s="1"/>
  <c r="H1792" i="357"/>
  <c r="H1669" i="357"/>
  <c r="H1354" i="357"/>
  <c r="H1037" i="357"/>
  <c r="H1692" i="357"/>
  <c r="J1692" i="357" s="1"/>
  <c r="D2305" i="357"/>
  <c r="C795" i="357"/>
  <c r="C3151" i="357"/>
  <c r="D2538" i="357"/>
  <c r="H13" i="357"/>
  <c r="D2324" i="357"/>
  <c r="G527" i="357"/>
  <c r="H799" i="357"/>
  <c r="C3426" i="357"/>
  <c r="D2861" i="357"/>
  <c r="J2390" i="357"/>
  <c r="F2597" i="357"/>
  <c r="H2597" i="357" s="1"/>
  <c r="F578" i="357"/>
  <c r="H578" i="357" s="1"/>
  <c r="E3211" i="357"/>
  <c r="E2439" i="357"/>
  <c r="E2328" i="357"/>
  <c r="E2011" i="357"/>
  <c r="E1921" i="357"/>
  <c r="I1680" i="357"/>
  <c r="I1662" i="357"/>
  <c r="I1397" i="357"/>
  <c r="I1162" i="357"/>
  <c r="I1118" i="357"/>
  <c r="I1078" i="357"/>
  <c r="I1058" i="357"/>
  <c r="I1016" i="357"/>
  <c r="I996" i="357"/>
  <c r="I926" i="357"/>
  <c r="I769" i="357"/>
  <c r="I381" i="357"/>
  <c r="I1598" i="357"/>
  <c r="I1580" i="357"/>
  <c r="I1558" i="357"/>
  <c r="F2532" i="357"/>
  <c r="F929" i="357"/>
  <c r="F343" i="357"/>
  <c r="F103" i="357"/>
  <c r="F3161" i="357"/>
  <c r="H3161" i="357" s="1"/>
  <c r="E599" i="357"/>
  <c r="E603" i="357"/>
  <c r="G603" i="357" s="1"/>
  <c r="E2562" i="357"/>
  <c r="E486" i="357"/>
  <c r="H3077" i="357"/>
  <c r="G2818" i="357"/>
  <c r="G2550" i="357"/>
  <c r="E2220" i="357"/>
  <c r="E3426" i="357"/>
  <c r="E3029" i="357"/>
  <c r="E2914" i="357"/>
  <c r="E2698" i="357"/>
  <c r="E2657" i="357"/>
  <c r="E2496" i="357"/>
  <c r="E2738" i="357"/>
  <c r="E2438" i="357"/>
  <c r="E2688" i="357"/>
  <c r="E2171" i="357"/>
  <c r="E2132" i="357"/>
  <c r="E2096" i="357"/>
  <c r="E2090" i="357"/>
  <c r="E2164" i="357"/>
  <c r="E2158" i="357"/>
  <c r="E2122" i="357"/>
  <c r="E2074" i="357"/>
  <c r="E2323" i="357"/>
  <c r="E1538" i="357"/>
  <c r="E1534" i="357"/>
  <c r="E1407" i="357"/>
  <c r="E1156" i="357"/>
  <c r="E874" i="357"/>
  <c r="E760" i="357"/>
  <c r="E1302" i="357"/>
  <c r="E1014" i="357"/>
  <c r="E972" i="357"/>
  <c r="E1121" i="357"/>
  <c r="E1070" i="357"/>
  <c r="E683" i="357"/>
  <c r="E234" i="357"/>
  <c r="E146" i="357"/>
  <c r="E23" i="357"/>
  <c r="H2819" i="357"/>
  <c r="G2205" i="357"/>
  <c r="G2079" i="357"/>
  <c r="E1917" i="357"/>
  <c r="G1917" i="357" s="1"/>
  <c r="E3352" i="357"/>
  <c r="G3352" i="357" s="1"/>
  <c r="E2333" i="357"/>
  <c r="E2370" i="357"/>
  <c r="E2862" i="357"/>
  <c r="E1129" i="357"/>
  <c r="G1129" i="357" s="1"/>
  <c r="E1157" i="357"/>
  <c r="E796" i="357"/>
  <c r="E875" i="357"/>
  <c r="E1570" i="357"/>
  <c r="E578" i="357"/>
  <c r="G578" i="357" s="1"/>
  <c r="E140" i="357"/>
  <c r="E1091" i="357"/>
  <c r="E951" i="357"/>
  <c r="E1177" i="357"/>
  <c r="E2640" i="357"/>
  <c r="E374" i="357"/>
  <c r="E2389" i="357"/>
  <c r="E2273" i="357"/>
  <c r="E2760" i="357"/>
  <c r="E3344" i="357"/>
  <c r="E1514" i="357"/>
  <c r="E2504" i="357"/>
  <c r="F2133" i="357"/>
  <c r="F2394" i="357"/>
  <c r="F3336" i="357"/>
  <c r="F933" i="357"/>
  <c r="G1930" i="357"/>
  <c r="G1250" i="357"/>
  <c r="G856" i="357"/>
  <c r="G847" i="357"/>
  <c r="G596" i="357"/>
  <c r="G1411" i="357"/>
  <c r="G738" i="357"/>
  <c r="G460" i="357"/>
  <c r="G451" i="357"/>
  <c r="G442" i="357"/>
  <c r="H440" i="357"/>
  <c r="G458" i="357"/>
  <c r="G449" i="357"/>
  <c r="G440" i="357"/>
  <c r="H2153" i="357"/>
  <c r="H2016" i="357"/>
  <c r="H1814" i="357"/>
  <c r="J1814" i="357" s="1"/>
  <c r="H1697" i="357"/>
  <c r="H1557" i="357"/>
  <c r="C2347" i="357"/>
  <c r="C2413" i="357"/>
  <c r="G2413" i="357" s="1"/>
  <c r="H1958" i="357"/>
  <c r="J1958" i="357" s="1"/>
  <c r="D761" i="357"/>
  <c r="D1700" i="357"/>
  <c r="D1071" i="357"/>
  <c r="D796" i="357"/>
  <c r="D1539" i="357"/>
  <c r="D1458" i="357"/>
  <c r="D1050" i="357"/>
  <c r="H987" i="357"/>
  <c r="D2458" i="357"/>
  <c r="H2458" i="357" s="1"/>
  <c r="H2086" i="357"/>
  <c r="G1903" i="357"/>
  <c r="I1903" i="357" s="1"/>
  <c r="H1646" i="357"/>
  <c r="J1646" i="357" s="1"/>
  <c r="G1108" i="357"/>
  <c r="G1024" i="357"/>
  <c r="I1024" i="357" s="1"/>
  <c r="G964" i="357"/>
  <c r="I964" i="357" s="1"/>
  <c r="G531" i="357"/>
  <c r="I531" i="357" s="1"/>
  <c r="G384" i="357"/>
  <c r="I384" i="357" s="1"/>
  <c r="G264" i="357"/>
  <c r="G147" i="357"/>
  <c r="G1761" i="357"/>
  <c r="H1892" i="357"/>
  <c r="J1892" i="357" s="1"/>
  <c r="G2400" i="357"/>
  <c r="I2400" i="357" s="1"/>
  <c r="G2448" i="357"/>
  <c r="I2448" i="357" s="1"/>
  <c r="H2431" i="357"/>
  <c r="G2167" i="357"/>
  <c r="I2167" i="357" s="1"/>
  <c r="I1582" i="357"/>
  <c r="D2357" i="357"/>
  <c r="D2398" i="357"/>
  <c r="D2388" i="357"/>
  <c r="G2292" i="357"/>
  <c r="G2252" i="357"/>
  <c r="H2152" i="357"/>
  <c r="H2008" i="357"/>
  <c r="H1972" i="357"/>
  <c r="H1874" i="357"/>
  <c r="G1806" i="357"/>
  <c r="I1806" i="357" s="1"/>
  <c r="I1780" i="357"/>
  <c r="J1723" i="357"/>
  <c r="H1682" i="357"/>
  <c r="J1682" i="357" s="1"/>
  <c r="G1478" i="357"/>
  <c r="I1478" i="357" s="1"/>
  <c r="G998" i="357"/>
  <c r="I998" i="357" s="1"/>
  <c r="C2640" i="357"/>
  <c r="C1091" i="357"/>
  <c r="C1363" i="357"/>
  <c r="C718" i="357"/>
  <c r="C810" i="357"/>
  <c r="C1956" i="357"/>
  <c r="C2991" i="357"/>
  <c r="C1035" i="357"/>
  <c r="C1128" i="357"/>
  <c r="C140" i="357"/>
  <c r="C1858" i="357"/>
  <c r="C2841" i="357"/>
  <c r="C993" i="357"/>
  <c r="C1177" i="357"/>
  <c r="C158" i="357"/>
  <c r="C1188" i="357"/>
  <c r="C2729" i="357"/>
  <c r="C951" i="357"/>
  <c r="C1135" i="357"/>
  <c r="G561" i="357"/>
  <c r="G416" i="357"/>
  <c r="I416" i="357" s="1"/>
  <c r="G298" i="357"/>
  <c r="G182" i="357"/>
  <c r="H1742" i="357"/>
  <c r="G1556" i="357"/>
  <c r="I1556" i="357" s="1"/>
  <c r="H1111" i="357"/>
  <c r="D3000" i="357"/>
  <c r="H65" i="357"/>
  <c r="C825" i="357"/>
  <c r="C1100" i="357"/>
  <c r="H1651" i="357"/>
  <c r="D2970" i="357"/>
  <c r="C2532" i="357"/>
  <c r="C929" i="357"/>
  <c r="C343" i="357"/>
  <c r="C103" i="357"/>
  <c r="D2496" i="357"/>
  <c r="F2255" i="357"/>
  <c r="H2255" i="357" s="1"/>
  <c r="F2265" i="357"/>
  <c r="H2265" i="357" s="1"/>
  <c r="F2220" i="357"/>
  <c r="H2220" i="357" s="1"/>
  <c r="F3340" i="357"/>
  <c r="F3166" i="357"/>
  <c r="F3151" i="357"/>
  <c r="F3000" i="357"/>
  <c r="F2936" i="357"/>
  <c r="F2666" i="357"/>
  <c r="F2753" i="357"/>
  <c r="H2753" i="357" s="1"/>
  <c r="F2862" i="357"/>
  <c r="F2333" i="357"/>
  <c r="F2305" i="357"/>
  <c r="F2459" i="357"/>
  <c r="F2370" i="357"/>
  <c r="F2256" i="357"/>
  <c r="F2123" i="357"/>
  <c r="F1981" i="357"/>
  <c r="F1971" i="357"/>
  <c r="F1889" i="357"/>
  <c r="F1307" i="357"/>
  <c r="F1333" i="357"/>
  <c r="F1275" i="357"/>
  <c r="F1228" i="357"/>
  <c r="E3451" i="357"/>
  <c r="G3451" i="357" s="1"/>
  <c r="E3445" i="357"/>
  <c r="G3445" i="357" s="1"/>
  <c r="E3436" i="357"/>
  <c r="G3436" i="357" s="1"/>
  <c r="E3250" i="357"/>
  <c r="G3250" i="357" s="1"/>
  <c r="E3202" i="357"/>
  <c r="G3202" i="357" s="1"/>
  <c r="E3462" i="357"/>
  <c r="G3462" i="357" s="1"/>
  <c r="E3456" i="357"/>
  <c r="G3456" i="357" s="1"/>
  <c r="E3303" i="357"/>
  <c r="G3303" i="357" s="1"/>
  <c r="E3297" i="357"/>
  <c r="G3297" i="357" s="1"/>
  <c r="E3288" i="357"/>
  <c r="G3288" i="357" s="1"/>
  <c r="E3255" i="357"/>
  <c r="G3255" i="357" s="1"/>
  <c r="E3231" i="357"/>
  <c r="G3231" i="357" s="1"/>
  <c r="E3178" i="357"/>
  <c r="G3178" i="357" s="1"/>
  <c r="E3431" i="357"/>
  <c r="G3431" i="357" s="1"/>
  <c r="E3329" i="357"/>
  <c r="G3329" i="357" s="1"/>
  <c r="E3278" i="357"/>
  <c r="G3278" i="357" s="1"/>
  <c r="E3221" i="357"/>
  <c r="G3221" i="357" s="1"/>
  <c r="E3150" i="357"/>
  <c r="G3150" i="357" s="1"/>
  <c r="E3113" i="357"/>
  <c r="G3113" i="357" s="1"/>
  <c r="I1818" i="357"/>
  <c r="I1596" i="357"/>
  <c r="E2554" i="357"/>
  <c r="E434" i="357"/>
  <c r="E469" i="357"/>
  <c r="E3488" i="357"/>
  <c r="G3488" i="357" s="1"/>
  <c r="E2728" i="357"/>
  <c r="G2728" i="357" s="1"/>
  <c r="E2105" i="357"/>
  <c r="E2066" i="357"/>
  <c r="E2089" i="357"/>
  <c r="E2082" i="357"/>
  <c r="G2082" i="357" s="1"/>
  <c r="E2073" i="357"/>
  <c r="E1856" i="357"/>
  <c r="F3366" i="357"/>
  <c r="F3133" i="357"/>
  <c r="F3344" i="357"/>
  <c r="F3114" i="357"/>
  <c r="F3022" i="357"/>
  <c r="F3030" i="357"/>
  <c r="F2915" i="357"/>
  <c r="F2992" i="357"/>
  <c r="F2760" i="357"/>
  <c r="F2538" i="357"/>
  <c r="F2454" i="357"/>
  <c r="F2427" i="357"/>
  <c r="F2747" i="357"/>
  <c r="F2658" i="357"/>
  <c r="F2273" i="357"/>
  <c r="F1977" i="357"/>
  <c r="F1957" i="357"/>
  <c r="F2266" i="357"/>
  <c r="F2221" i="357"/>
  <c r="F2097" i="357"/>
  <c r="F1872" i="357"/>
  <c r="F2389" i="357"/>
  <c r="F1303" i="357"/>
  <c r="F1217" i="357"/>
  <c r="F374" i="357"/>
  <c r="F1258" i="357"/>
  <c r="F925" i="357"/>
  <c r="F121" i="357"/>
  <c r="F3137" i="357"/>
  <c r="H3137" i="357" s="1"/>
  <c r="I880" i="357"/>
  <c r="I728" i="357"/>
  <c r="E2683" i="357"/>
  <c r="E634" i="357"/>
  <c r="I427" i="357"/>
  <c r="I409" i="357"/>
  <c r="I389" i="357"/>
  <c r="I369" i="357"/>
  <c r="I351" i="357"/>
  <c r="I331" i="357"/>
  <c r="E1338" i="357"/>
  <c r="G1338" i="357" s="1"/>
  <c r="E157" i="357"/>
  <c r="H2959" i="357"/>
  <c r="G2815" i="357"/>
  <c r="G2547" i="357"/>
  <c r="F2420" i="357"/>
  <c r="H2420" i="357" s="1"/>
  <c r="G1414" i="357"/>
  <c r="E2172" i="357"/>
  <c r="G2172" i="357" s="1"/>
  <c r="E1228" i="357"/>
  <c r="E1889" i="357"/>
  <c r="E2459" i="357"/>
  <c r="E3151" i="357"/>
  <c r="E811" i="357"/>
  <c r="E1050" i="357"/>
  <c r="E833" i="357"/>
  <c r="E1385" i="357"/>
  <c r="E158" i="357"/>
  <c r="E1100" i="357"/>
  <c r="E993" i="357"/>
  <c r="E1363" i="357"/>
  <c r="E925" i="357"/>
  <c r="E2097" i="357"/>
  <c r="E2427" i="357"/>
  <c r="E2992" i="357"/>
  <c r="E29" i="357"/>
  <c r="E1529" i="357"/>
  <c r="G2960" i="357"/>
  <c r="F1234" i="357"/>
  <c r="F1995" i="357"/>
  <c r="F2478" i="357"/>
  <c r="F3179" i="357"/>
  <c r="F2512" i="357"/>
  <c r="G2203" i="357"/>
  <c r="G746" i="357"/>
  <c r="G737" i="357"/>
  <c r="G600" i="357"/>
  <c r="G658" i="357"/>
  <c r="G602" i="357"/>
  <c r="G1375" i="357"/>
  <c r="H2201" i="357"/>
  <c r="G852" i="357"/>
  <c r="H466" i="357"/>
  <c r="H2127" i="357"/>
  <c r="H1793" i="357"/>
  <c r="H1679" i="357"/>
  <c r="H598" i="357"/>
  <c r="H442" i="357"/>
  <c r="H1783" i="357"/>
  <c r="H1509" i="357"/>
  <c r="H1292" i="357"/>
  <c r="G2312" i="357"/>
  <c r="D2145" i="357"/>
  <c r="D2137" i="357"/>
  <c r="H2078" i="357"/>
  <c r="H2045" i="357"/>
  <c r="H1927" i="357"/>
  <c r="G1790" i="357"/>
  <c r="J1753" i="357"/>
  <c r="H1685" i="357"/>
  <c r="H1641" i="357"/>
  <c r="G1462" i="357"/>
  <c r="I1462" i="357" s="1"/>
  <c r="G1381" i="357"/>
  <c r="I1381" i="357" s="1"/>
  <c r="G1195" i="357"/>
  <c r="C1515" i="357"/>
  <c r="C1470" i="357"/>
  <c r="C1101" i="357"/>
  <c r="C1122" i="357"/>
  <c r="C719" i="357"/>
  <c r="C72" i="357"/>
  <c r="C3499" i="357"/>
  <c r="C2520" i="357"/>
  <c r="C940" i="357"/>
  <c r="C311" i="357"/>
  <c r="G687" i="357"/>
  <c r="I687" i="357" s="1"/>
  <c r="G511" i="357"/>
  <c r="I511" i="357" s="1"/>
  <c r="G364" i="357"/>
  <c r="G246" i="357"/>
  <c r="G1805" i="357"/>
  <c r="I1805" i="357" s="1"/>
  <c r="G1800" i="357"/>
  <c r="I1800" i="357" s="1"/>
  <c r="G1756" i="357"/>
  <c r="H1637" i="357"/>
  <c r="G2462" i="357"/>
  <c r="G2243" i="357"/>
  <c r="I1748" i="357"/>
  <c r="G1674" i="357"/>
  <c r="I1674" i="357" s="1"/>
  <c r="H1638" i="357"/>
  <c r="J1638" i="357" s="1"/>
  <c r="D2408" i="357"/>
  <c r="D2413" i="357"/>
  <c r="H2290" i="357"/>
  <c r="H2191" i="357"/>
  <c r="J2191" i="357" s="1"/>
  <c r="H2147" i="357"/>
  <c r="H2116" i="357"/>
  <c r="G2092" i="357"/>
  <c r="I2092" i="357" s="1"/>
  <c r="H2042" i="357"/>
  <c r="G2006" i="357"/>
  <c r="I2006" i="357" s="1"/>
  <c r="C2437" i="357"/>
  <c r="C2163" i="357"/>
  <c r="C2157" i="357"/>
  <c r="C2121" i="357"/>
  <c r="C1955" i="357"/>
  <c r="C2170" i="357"/>
  <c r="C2131" i="357"/>
  <c r="C2095" i="357"/>
  <c r="H1918" i="357"/>
  <c r="J1918" i="357" s="1"/>
  <c r="H1804" i="357"/>
  <c r="G1770" i="357"/>
  <c r="I1770" i="357" s="1"/>
  <c r="H1677" i="357"/>
  <c r="I1560" i="357"/>
  <c r="G1235" i="357"/>
  <c r="G1102" i="357"/>
  <c r="I1102" i="357" s="1"/>
  <c r="G978" i="357"/>
  <c r="I978" i="357" s="1"/>
  <c r="G768" i="357"/>
  <c r="I768" i="357" s="1"/>
  <c r="G543" i="357"/>
  <c r="I543" i="357" s="1"/>
  <c r="G396" i="357"/>
  <c r="I396" i="357" s="1"/>
  <c r="G276" i="357"/>
  <c r="G164" i="357"/>
  <c r="H2059" i="357"/>
  <c r="G2015" i="357"/>
  <c r="I2015" i="357" s="1"/>
  <c r="H1445" i="357"/>
  <c r="H1322" i="357"/>
  <c r="H1184" i="357"/>
  <c r="H1007" i="357"/>
  <c r="H1678" i="357"/>
  <c r="J1678" i="357" s="1"/>
  <c r="D1228" i="357"/>
  <c r="D2666" i="357"/>
  <c r="G275" i="357"/>
  <c r="C643" i="357"/>
  <c r="C1994" i="357"/>
  <c r="G2216" i="357"/>
  <c r="G1230" i="357"/>
  <c r="E3170" i="357"/>
  <c r="G3170" i="357" s="1"/>
  <c r="E3145" i="357"/>
  <c r="G3145" i="357" s="1"/>
  <c r="E3165" i="357"/>
  <c r="G3165" i="357" s="1"/>
  <c r="E3132" i="357"/>
  <c r="G3132" i="357" s="1"/>
  <c r="I2012" i="357"/>
  <c r="E3304" i="357"/>
  <c r="G3304" i="357" s="1"/>
  <c r="E3289" i="357"/>
  <c r="G3289" i="357" s="1"/>
  <c r="E3279" i="357"/>
  <c r="G3279" i="357" s="1"/>
  <c r="E2019" i="357"/>
  <c r="G2019" i="357" s="1"/>
  <c r="E2409" i="357"/>
  <c r="G2409" i="357" s="1"/>
  <c r="E1938" i="357"/>
  <c r="G1938" i="357" s="1"/>
  <c r="I1389" i="357"/>
  <c r="E1505" i="357"/>
  <c r="E1493" i="357"/>
  <c r="E1431" i="357"/>
  <c r="E1092" i="357"/>
  <c r="I1052" i="357"/>
  <c r="I968" i="357"/>
  <c r="I763" i="357"/>
  <c r="G431" i="357"/>
  <c r="I413" i="357"/>
  <c r="I393" i="357"/>
  <c r="I375" i="357"/>
  <c r="I355" i="357"/>
  <c r="I315" i="357"/>
  <c r="E3457" i="357"/>
  <c r="G3457" i="357" s="1"/>
  <c r="E2414" i="357"/>
  <c r="G2414" i="357" s="1"/>
  <c r="E2107" i="357"/>
  <c r="G2107" i="357" s="1"/>
  <c r="I1543" i="357"/>
  <c r="I1495" i="357"/>
  <c r="E3298" i="357"/>
  <c r="E3146" i="357"/>
  <c r="E3348" i="357"/>
  <c r="E3203" i="357"/>
  <c r="E3015" i="357"/>
  <c r="E2699" i="357"/>
  <c r="E2473" i="357"/>
  <c r="E2364" i="357"/>
  <c r="E2165" i="357"/>
  <c r="E1913" i="357"/>
  <c r="E2375" i="357"/>
  <c r="E2001" i="357"/>
  <c r="E2338" i="357"/>
  <c r="E1239" i="357"/>
  <c r="E1796" i="357"/>
  <c r="G1796" i="357" s="1"/>
  <c r="E1501" i="357"/>
  <c r="G1501" i="357" s="1"/>
  <c r="E1547" i="357"/>
  <c r="G1547" i="357" s="1"/>
  <c r="E1036" i="357"/>
  <c r="G1036" i="357" s="1"/>
  <c r="E826" i="357"/>
  <c r="G826" i="357" s="1"/>
  <c r="E2677" i="357"/>
  <c r="E628" i="357"/>
  <c r="G2925" i="357"/>
  <c r="G2202" i="357"/>
  <c r="G2076" i="357"/>
  <c r="G1929" i="357"/>
  <c r="E1275" i="357"/>
  <c r="E1971" i="357"/>
  <c r="E2753" i="357"/>
  <c r="E952" i="357"/>
  <c r="G952" i="357" s="1"/>
  <c r="E795" i="357"/>
  <c r="E1188" i="357"/>
  <c r="E1035" i="357"/>
  <c r="E1858" i="357"/>
  <c r="E1872" i="357"/>
  <c r="E2221" i="357"/>
  <c r="E2658" i="357"/>
  <c r="E2915" i="357"/>
  <c r="E149" i="357"/>
  <c r="E1544" i="357"/>
  <c r="G2830" i="357"/>
  <c r="G2800" i="357"/>
  <c r="F1313" i="357"/>
  <c r="F2324" i="357"/>
  <c r="G853" i="357"/>
  <c r="G844" i="357"/>
  <c r="G1295" i="357"/>
  <c r="G909" i="357"/>
  <c r="G744" i="357"/>
  <c r="G732" i="357"/>
  <c r="G466" i="357"/>
  <c r="G457" i="357"/>
  <c r="G448" i="357"/>
  <c r="G439" i="357"/>
  <c r="G455" i="357"/>
  <c r="G446" i="357"/>
  <c r="G437" i="357"/>
  <c r="H1944" i="357"/>
  <c r="H1775" i="357"/>
  <c r="H1661" i="357"/>
  <c r="H1367" i="357"/>
  <c r="H1272" i="357"/>
  <c r="H1051" i="357"/>
  <c r="G2279" i="357"/>
  <c r="G1778" i="357"/>
  <c r="I1778" i="357" s="1"/>
  <c r="G1592" i="357"/>
  <c r="I1592" i="357" s="1"/>
  <c r="H1531" i="357"/>
  <c r="G1170" i="357"/>
  <c r="I1170" i="357" s="1"/>
  <c r="G1086" i="357"/>
  <c r="I1086" i="357" s="1"/>
  <c r="G1004" i="357"/>
  <c r="I1004" i="357" s="1"/>
  <c r="G642" i="357"/>
  <c r="G493" i="357"/>
  <c r="I493" i="357" s="1"/>
  <c r="G346" i="357"/>
  <c r="I346" i="357" s="1"/>
  <c r="G226" i="357"/>
  <c r="H1885" i="357"/>
  <c r="J1749" i="357"/>
  <c r="G2316" i="357"/>
  <c r="G1881" i="357"/>
  <c r="I1881" i="357" s="1"/>
  <c r="G2224" i="357"/>
  <c r="J2428" i="357"/>
  <c r="C2265" i="357"/>
  <c r="G2265" i="357" s="1"/>
  <c r="C2220" i="357"/>
  <c r="C2255" i="357"/>
  <c r="G1978" i="357"/>
  <c r="I1978" i="357" s="1"/>
  <c r="G1788" i="357"/>
  <c r="I1788" i="357" s="1"/>
  <c r="H1707" i="357"/>
  <c r="I1636" i="357"/>
  <c r="D1796" i="357"/>
  <c r="D1501" i="357"/>
  <c r="D1036" i="357"/>
  <c r="D1547" i="357"/>
  <c r="G1352" i="357"/>
  <c r="D2332" i="357"/>
  <c r="J2248" i="357"/>
  <c r="C2137" i="357"/>
  <c r="C2145" i="357"/>
  <c r="G2145" i="357" s="1"/>
  <c r="G2111" i="357"/>
  <c r="I2111" i="357" s="1"/>
  <c r="H2002" i="357"/>
  <c r="D3279" i="357"/>
  <c r="D2409" i="357"/>
  <c r="D3304" i="357"/>
  <c r="D3289" i="357"/>
  <c r="D2019" i="357"/>
  <c r="D1938" i="357"/>
  <c r="H1799" i="357"/>
  <c r="J1799" i="357" s="1"/>
  <c r="G1714" i="357"/>
  <c r="G1656" i="357"/>
  <c r="I1656" i="357" s="1"/>
  <c r="G1590" i="357"/>
  <c r="I1590" i="357" s="1"/>
  <c r="G1355" i="357"/>
  <c r="I1355" i="357" s="1"/>
  <c r="G1207" i="357"/>
  <c r="G1080" i="357"/>
  <c r="I1080" i="357" s="1"/>
  <c r="G958" i="357"/>
  <c r="I958" i="357" s="1"/>
  <c r="G525" i="357"/>
  <c r="I525" i="357" s="1"/>
  <c r="G378" i="357"/>
  <c r="I378" i="357" s="1"/>
  <c r="G258" i="357"/>
  <c r="H2043" i="357"/>
  <c r="H1767" i="357"/>
  <c r="I1648" i="357"/>
  <c r="D833" i="357"/>
  <c r="D1476" i="357"/>
  <c r="D1530" i="357"/>
  <c r="D1570" i="357"/>
  <c r="D1425" i="357"/>
  <c r="D973" i="357"/>
  <c r="D1385" i="357"/>
  <c r="D952" i="357"/>
  <c r="D875" i="357"/>
  <c r="G1715" i="357"/>
  <c r="I1715" i="357" s="1"/>
  <c r="D2123" i="357"/>
  <c r="D3166" i="357"/>
  <c r="H767" i="357"/>
  <c r="C832" i="357"/>
  <c r="C2484" i="357"/>
  <c r="H1338" i="357"/>
  <c r="C2305" i="357"/>
  <c r="G975" i="357"/>
  <c r="I975" i="357" s="1"/>
  <c r="H807" i="357"/>
  <c r="I565" i="357"/>
  <c r="G428" i="357"/>
  <c r="I428" i="357" s="1"/>
  <c r="H1357" i="357"/>
  <c r="H878" i="357"/>
  <c r="H542" i="357"/>
  <c r="G242" i="357"/>
  <c r="H32" i="357"/>
  <c r="H1104" i="357"/>
  <c r="G1077" i="357"/>
  <c r="I1077" i="357" s="1"/>
  <c r="G267" i="357"/>
  <c r="H1507" i="357"/>
  <c r="H995" i="357"/>
  <c r="G693" i="357"/>
  <c r="I693" i="357" s="1"/>
  <c r="G560" i="357"/>
  <c r="G357" i="357"/>
  <c r="G320" i="357"/>
  <c r="I320" i="357" s="1"/>
  <c r="G239" i="357"/>
  <c r="G799" i="357"/>
  <c r="G1688" i="357"/>
  <c r="H1577" i="357"/>
  <c r="G1438" i="357"/>
  <c r="H349" i="357"/>
  <c r="D121" i="357"/>
  <c r="D1258" i="357"/>
  <c r="D2266" i="357"/>
  <c r="D2658" i="357"/>
  <c r="D2760" i="357"/>
  <c r="C933" i="357"/>
  <c r="D149" i="357"/>
  <c r="D1529" i="357"/>
  <c r="D3503" i="357"/>
  <c r="H1393" i="357"/>
  <c r="H1325" i="357"/>
  <c r="H1171" i="357"/>
  <c r="H1148" i="357"/>
  <c r="J1148" i="357" s="1"/>
  <c r="G962" i="357"/>
  <c r="I962" i="357" s="1"/>
  <c r="G720" i="357"/>
  <c r="G579" i="357"/>
  <c r="H433" i="357"/>
  <c r="G332" i="357"/>
  <c r="I332" i="357" s="1"/>
  <c r="H547" i="357"/>
  <c r="H512" i="357"/>
  <c r="H400" i="357"/>
  <c r="D157" i="357"/>
  <c r="H157" i="357" s="1"/>
  <c r="G360" i="357"/>
  <c r="I360" i="357" s="1"/>
  <c r="G134" i="357"/>
  <c r="D2532" i="357"/>
  <c r="D929" i="357"/>
  <c r="D343" i="357"/>
  <c r="D103" i="357"/>
  <c r="H47" i="357"/>
  <c r="G1644" i="357"/>
  <c r="H1467" i="357"/>
  <c r="G1386" i="357"/>
  <c r="H1168" i="357"/>
  <c r="J1168" i="357" s="1"/>
  <c r="H1114" i="357"/>
  <c r="J1114" i="357" s="1"/>
  <c r="G1008" i="357"/>
  <c r="I1008" i="357" s="1"/>
  <c r="G945" i="357"/>
  <c r="H883" i="357"/>
  <c r="H819" i="357"/>
  <c r="H722" i="357"/>
  <c r="J722" i="357" s="1"/>
  <c r="G646" i="357"/>
  <c r="C973" i="357"/>
  <c r="G367" i="357"/>
  <c r="J128" i="357"/>
  <c r="C1514" i="357"/>
  <c r="C2504" i="357"/>
  <c r="G263" i="357"/>
  <c r="D186" i="357"/>
  <c r="D2106" i="357"/>
  <c r="D1257" i="357"/>
  <c r="D3021" i="357"/>
  <c r="D1538" i="357"/>
  <c r="D1407" i="357"/>
  <c r="D760" i="357"/>
  <c r="D2122" i="357"/>
  <c r="D2657" i="357"/>
  <c r="H1143" i="357"/>
  <c r="H1059" i="357"/>
  <c r="H967" i="357"/>
  <c r="G1525" i="357"/>
  <c r="G878" i="357"/>
  <c r="G542" i="357"/>
  <c r="H327" i="357"/>
  <c r="H1639" i="357"/>
  <c r="I876" i="357"/>
  <c r="H534" i="357"/>
  <c r="G1496" i="357"/>
  <c r="H1370" i="357"/>
  <c r="G1109" i="357"/>
  <c r="I1109" i="357" s="1"/>
  <c r="H1054" i="357"/>
  <c r="J1054" i="357" s="1"/>
  <c r="I960" i="357"/>
  <c r="G834" i="357"/>
  <c r="I834" i="357" s="1"/>
  <c r="G582" i="357"/>
  <c r="G519" i="357"/>
  <c r="I519" i="357" s="1"/>
  <c r="H415" i="357"/>
  <c r="G312" i="357"/>
  <c r="G204" i="357"/>
  <c r="H407" i="357"/>
  <c r="H1688" i="357"/>
  <c r="H1438" i="357"/>
  <c r="G1285" i="357"/>
  <c r="H496" i="357"/>
  <c r="G349" i="357"/>
  <c r="D374" i="357"/>
  <c r="D2747" i="357"/>
  <c r="D2273" i="357"/>
  <c r="D2915" i="357"/>
  <c r="D2992" i="357"/>
  <c r="C3415" i="357"/>
  <c r="D280" i="357"/>
  <c r="D1544" i="357"/>
  <c r="D3370" i="357"/>
  <c r="G1408" i="357"/>
  <c r="G1141" i="357"/>
  <c r="I1141" i="357" s="1"/>
  <c r="G849" i="357"/>
  <c r="H720" i="357"/>
  <c r="G537" i="357"/>
  <c r="I537" i="357" s="1"/>
  <c r="G433" i="357"/>
  <c r="G398" i="357"/>
  <c r="G270" i="357"/>
  <c r="G201" i="357"/>
  <c r="H581" i="357"/>
  <c r="H425" i="357"/>
  <c r="H307" i="357"/>
  <c r="G193" i="357"/>
  <c r="J83" i="357"/>
  <c r="G507" i="357"/>
  <c r="I507" i="357" s="1"/>
  <c r="G418" i="357"/>
  <c r="I418" i="357" s="1"/>
  <c r="G337" i="357"/>
  <c r="C157" i="357"/>
  <c r="H130" i="357"/>
  <c r="H85" i="357"/>
  <c r="H41" i="357"/>
  <c r="C972" i="357"/>
  <c r="C1538" i="357"/>
  <c r="C2096" i="357"/>
  <c r="C1302" i="357"/>
  <c r="C2698" i="357"/>
  <c r="H1644" i="357"/>
  <c r="H941" i="357"/>
  <c r="G819" i="357"/>
  <c r="H772" i="357"/>
  <c r="C875" i="357"/>
  <c r="C1476" i="357"/>
  <c r="H526" i="357"/>
  <c r="H365" i="357"/>
  <c r="G249" i="357"/>
  <c r="J176" i="357"/>
  <c r="C29" i="357"/>
  <c r="C1529" i="357"/>
  <c r="C2067" i="357"/>
  <c r="G163" i="357"/>
  <c r="D143" i="357"/>
  <c r="D1332" i="357"/>
  <c r="D1312" i="357"/>
  <c r="D3361" i="357"/>
  <c r="D2090" i="357"/>
  <c r="D972" i="357"/>
  <c r="D874" i="357"/>
  <c r="D2158" i="357"/>
  <c r="D2698" i="357"/>
  <c r="G1343" i="357"/>
  <c r="I1343" i="357" s="1"/>
  <c r="G327" i="357"/>
  <c r="C3348" i="357"/>
  <c r="C2364" i="357"/>
  <c r="C2699" i="357"/>
  <c r="C3298" i="357"/>
  <c r="C3203" i="357"/>
  <c r="C2473" i="357"/>
  <c r="C3015" i="357"/>
  <c r="C2165" i="357"/>
  <c r="C1913" i="357"/>
  <c r="C3146" i="357"/>
  <c r="C2375" i="357"/>
  <c r="C2338" i="357"/>
  <c r="C1239" i="357"/>
  <c r="C2001" i="357"/>
  <c r="H841" i="357"/>
  <c r="G765" i="357"/>
  <c r="I765" i="357" s="1"/>
  <c r="C2677" i="357"/>
  <c r="C628" i="357"/>
  <c r="G534" i="357"/>
  <c r="H476" i="357"/>
  <c r="G1658" i="357"/>
  <c r="G1540" i="357"/>
  <c r="H1496" i="357"/>
  <c r="G1443" i="357"/>
  <c r="G1315" i="357"/>
  <c r="H1131" i="357"/>
  <c r="H1106" i="357"/>
  <c r="J1106" i="357" s="1"/>
  <c r="G1072" i="357"/>
  <c r="I1072" i="357" s="1"/>
  <c r="G985" i="357"/>
  <c r="I985" i="357" s="1"/>
  <c r="G822" i="357"/>
  <c r="I822" i="357" s="1"/>
  <c r="G415" i="357"/>
  <c r="G380" i="357"/>
  <c r="I380" i="357" s="1"/>
  <c r="G196" i="357"/>
  <c r="G407" i="357"/>
  <c r="H1020" i="357"/>
  <c r="G496" i="357"/>
  <c r="D1872" i="357"/>
  <c r="D3114" i="357"/>
  <c r="D3022" i="357"/>
  <c r="D3030" i="357"/>
  <c r="D3133" i="357"/>
  <c r="C2512" i="357"/>
  <c r="D1569" i="357"/>
  <c r="D3037" i="357"/>
  <c r="D3489" i="357"/>
  <c r="G1706" i="357"/>
  <c r="C2322" i="357"/>
  <c r="G2322" i="357" s="1"/>
  <c r="C1216" i="357"/>
  <c r="H1166" i="357"/>
  <c r="G1025" i="357"/>
  <c r="I1025" i="357" s="1"/>
  <c r="H957" i="357"/>
  <c r="I529" i="357"/>
  <c r="G489" i="357"/>
  <c r="I489" i="357" s="1"/>
  <c r="G390" i="357"/>
  <c r="I390" i="357" s="1"/>
  <c r="G317" i="357"/>
  <c r="G166" i="357"/>
  <c r="H491" i="357"/>
  <c r="G425" i="357"/>
  <c r="H344" i="357"/>
  <c r="G307" i="357"/>
  <c r="H191" i="357"/>
  <c r="G395" i="357"/>
  <c r="H337" i="357"/>
  <c r="H124" i="357"/>
  <c r="H79" i="357"/>
  <c r="C23" i="357"/>
  <c r="C1014" i="357"/>
  <c r="C2122" i="357"/>
  <c r="C2132" i="357"/>
  <c r="C1407" i="357"/>
  <c r="C2914" i="357"/>
  <c r="H1189" i="357"/>
  <c r="H1067" i="357"/>
  <c r="H817" i="357"/>
  <c r="G690" i="357"/>
  <c r="C1385" i="357"/>
  <c r="C1530" i="357"/>
  <c r="H464" i="357"/>
  <c r="H247" i="357"/>
  <c r="C149" i="357"/>
  <c r="C1544" i="357"/>
  <c r="C3037" i="357"/>
  <c r="G219" i="357"/>
  <c r="D1194" i="357"/>
  <c r="D1871" i="357"/>
  <c r="D1384" i="357"/>
  <c r="D3388" i="357"/>
  <c r="D23" i="357"/>
  <c r="D2096" i="357"/>
  <c r="D1014" i="357"/>
  <c r="D2438" i="357"/>
  <c r="D2164" i="357"/>
  <c r="D2914" i="357"/>
  <c r="D3348" i="357"/>
  <c r="D2364" i="357"/>
  <c r="D3298" i="357"/>
  <c r="D3146" i="357"/>
  <c r="D3015" i="357"/>
  <c r="D2699" i="357"/>
  <c r="D2473" i="357"/>
  <c r="D2338" i="357"/>
  <c r="D3203" i="357"/>
  <c r="D2375" i="357"/>
  <c r="D2001" i="357"/>
  <c r="D2165" i="357"/>
  <c r="D1913" i="357"/>
  <c r="D1239" i="357"/>
  <c r="G1218" i="357"/>
  <c r="G1087" i="357"/>
  <c r="I1087" i="357" s="1"/>
  <c r="G841" i="357"/>
  <c r="H735" i="357"/>
  <c r="G476" i="357"/>
  <c r="H1658" i="357"/>
  <c r="H1540" i="357"/>
  <c r="H1443" i="357"/>
  <c r="C1568" i="357"/>
  <c r="D3207" i="357"/>
  <c r="D3352" i="357"/>
  <c r="D2172" i="357"/>
  <c r="D2384" i="357"/>
  <c r="D3356" i="357"/>
  <c r="D2005" i="357"/>
  <c r="D1917" i="357"/>
  <c r="D1243" i="357"/>
  <c r="G1199" i="357"/>
  <c r="G1097" i="357"/>
  <c r="H1005" i="357"/>
  <c r="H982" i="357"/>
  <c r="G884" i="357"/>
  <c r="I884" i="357" s="1"/>
  <c r="H653" i="357"/>
  <c r="G2597" i="357"/>
  <c r="G504" i="357"/>
  <c r="G370" i="357"/>
  <c r="I370" i="357" s="1"/>
  <c r="G260" i="357"/>
  <c r="G26" i="357"/>
  <c r="H1591" i="357"/>
  <c r="H908" i="357"/>
  <c r="G645" i="357"/>
  <c r="G229" i="357"/>
  <c r="D2097" i="357"/>
  <c r="D1303" i="357"/>
  <c r="D3344" i="357"/>
  <c r="D2427" i="357"/>
  <c r="D3366" i="357"/>
  <c r="C36" i="357"/>
  <c r="C3043" i="357"/>
  <c r="D2067" i="357"/>
  <c r="D1519" i="357"/>
  <c r="G1649" i="357"/>
  <c r="H1161" i="357"/>
  <c r="H1022" i="357"/>
  <c r="J1022" i="357" s="1"/>
  <c r="G829" i="357"/>
  <c r="H524" i="357"/>
  <c r="H317" i="357"/>
  <c r="G31" i="357"/>
  <c r="H423" i="357"/>
  <c r="H379" i="357"/>
  <c r="H305" i="357"/>
  <c r="H224" i="357"/>
  <c r="J39" i="357"/>
  <c r="D2562" i="357"/>
  <c r="D486" i="357"/>
  <c r="H395" i="357"/>
  <c r="G122" i="357"/>
  <c r="H73" i="357"/>
  <c r="C146" i="357"/>
  <c r="C760" i="357"/>
  <c r="C2158" i="357"/>
  <c r="C2171" i="357"/>
  <c r="C2438" i="357"/>
  <c r="C3029" i="357"/>
  <c r="H959" i="357"/>
  <c r="H688" i="357"/>
  <c r="J688" i="357" s="1"/>
  <c r="C1425" i="357"/>
  <c r="C1570" i="357"/>
  <c r="G569" i="357"/>
  <c r="H499" i="357"/>
  <c r="J499" i="357" s="1"/>
  <c r="H383" i="357"/>
  <c r="J383" i="357" s="1"/>
  <c r="C280" i="357"/>
  <c r="C1519" i="357"/>
  <c r="C3503" i="357"/>
  <c r="D1524" i="357"/>
  <c r="D1976" i="357"/>
  <c r="D1424" i="357"/>
  <c r="D2490" i="357"/>
  <c r="D234" i="357"/>
  <c r="D1156" i="357"/>
  <c r="D1121" i="357"/>
  <c r="D2738" i="357"/>
  <c r="D2323" i="357"/>
  <c r="D3029" i="357"/>
  <c r="H1209" i="357"/>
  <c r="H630" i="357"/>
  <c r="H94" i="357"/>
  <c r="G735" i="357"/>
  <c r="G589" i="357"/>
  <c r="G1265" i="357"/>
  <c r="H1124" i="357"/>
  <c r="G936" i="357"/>
  <c r="I936" i="357" s="1"/>
  <c r="G807" i="357"/>
  <c r="G572" i="357"/>
  <c r="H504" i="357"/>
  <c r="G297" i="357"/>
  <c r="G252" i="357"/>
  <c r="G181" i="357"/>
  <c r="G15" i="357"/>
  <c r="H1653" i="357"/>
  <c r="G1423" i="357"/>
  <c r="G908" i="357"/>
  <c r="G552" i="357"/>
  <c r="G287" i="357"/>
  <c r="D1217" i="357"/>
  <c r="D1957" i="357"/>
  <c r="D2221" i="357"/>
  <c r="D2454" i="357"/>
  <c r="C296" i="357"/>
  <c r="C3493" i="357"/>
  <c r="D914" i="357"/>
  <c r="D2083" i="357"/>
  <c r="G1683" i="357"/>
  <c r="H1649" i="357"/>
  <c r="H1502" i="357"/>
  <c r="H1094" i="357"/>
  <c r="J1094" i="357" s="1"/>
  <c r="G988" i="357"/>
  <c r="I988" i="357" s="1"/>
  <c r="H829" i="357"/>
  <c r="G762" i="357"/>
  <c r="G622" i="357"/>
  <c r="G524" i="357"/>
  <c r="G479" i="357"/>
  <c r="I479" i="357" s="1"/>
  <c r="G377" i="357"/>
  <c r="G257" i="357"/>
  <c r="G222" i="357"/>
  <c r="C3366" i="357"/>
  <c r="C3133" i="357"/>
  <c r="C2992" i="357"/>
  <c r="C2760" i="357"/>
  <c r="C2538" i="357"/>
  <c r="C2454" i="357"/>
  <c r="C2427" i="357"/>
  <c r="C3114" i="357"/>
  <c r="C2747" i="357"/>
  <c r="C2658" i="357"/>
  <c r="C3030" i="357"/>
  <c r="C2221" i="357"/>
  <c r="C2097" i="357"/>
  <c r="C1872" i="357"/>
  <c r="C2915" i="357"/>
  <c r="C3344" i="357"/>
  <c r="C3022" i="357"/>
  <c r="C2389" i="357"/>
  <c r="C2273" i="357"/>
  <c r="C2266" i="357"/>
  <c r="C1957" i="357"/>
  <c r="C1258" i="357"/>
  <c r="C925" i="357"/>
  <c r="C1217" i="357"/>
  <c r="C1303" i="357"/>
  <c r="C1977" i="357"/>
  <c r="C121" i="357"/>
  <c r="C374" i="357"/>
  <c r="G18" i="357"/>
  <c r="I553" i="357"/>
  <c r="H516" i="357"/>
  <c r="H259" i="357"/>
  <c r="G530" i="357"/>
  <c r="C2562" i="357"/>
  <c r="C486" i="357"/>
  <c r="G207" i="357"/>
  <c r="H115" i="357"/>
  <c r="H59" i="357"/>
  <c r="C234" i="357"/>
  <c r="C874" i="357"/>
  <c r="C2164" i="357"/>
  <c r="C2688" i="357"/>
  <c r="C2738" i="357"/>
  <c r="H387" i="357"/>
  <c r="H1690" i="357"/>
  <c r="G1365" i="357"/>
  <c r="H1062" i="357"/>
  <c r="H802" i="357"/>
  <c r="C833" i="357"/>
  <c r="H568" i="357"/>
  <c r="I497" i="357"/>
  <c r="H282" i="357"/>
  <c r="H168" i="357"/>
  <c r="D2524" i="357"/>
  <c r="D920" i="357"/>
  <c r="D330" i="357"/>
  <c r="D92" i="357"/>
  <c r="J45" i="357"/>
  <c r="C1569" i="357"/>
  <c r="C2083" i="357"/>
  <c r="C3489" i="357"/>
  <c r="G563" i="357"/>
  <c r="D907" i="357"/>
  <c r="D2000" i="357"/>
  <c r="D2734" i="357"/>
  <c r="D2645" i="357"/>
  <c r="D683" i="357"/>
  <c r="D1302" i="357"/>
  <c r="D2132" i="357"/>
  <c r="D1534" i="357"/>
  <c r="D2688" i="357"/>
  <c r="D3426" i="357"/>
  <c r="G1653" i="357"/>
  <c r="G1577" i="357"/>
  <c r="H1146" i="357"/>
  <c r="G173" i="357"/>
  <c r="D925" i="357"/>
  <c r="D1977" i="357"/>
  <c r="D2389" i="357"/>
  <c r="D29" i="357"/>
  <c r="D1514" i="357"/>
  <c r="H1683" i="357"/>
  <c r="H1440" i="357"/>
  <c r="J1440" i="357" s="1"/>
  <c r="G1393" i="357"/>
  <c r="G1151" i="357"/>
  <c r="I1151" i="357" s="1"/>
  <c r="G1112" i="357"/>
  <c r="I1112" i="357" s="1"/>
  <c r="H1040" i="357"/>
  <c r="J1040" i="357" s="1"/>
  <c r="G881" i="357"/>
  <c r="I881" i="357" s="1"/>
  <c r="G725" i="357"/>
  <c r="I725" i="357" s="1"/>
  <c r="G545" i="357"/>
  <c r="I545" i="357" s="1"/>
  <c r="I471" i="357"/>
  <c r="H377" i="357"/>
  <c r="G340" i="357"/>
  <c r="I340" i="357" s="1"/>
  <c r="G214" i="357"/>
  <c r="G9" i="357"/>
  <c r="G516" i="357"/>
  <c r="H472" i="357"/>
  <c r="H352" i="357"/>
  <c r="H323" i="357"/>
  <c r="J323" i="357" s="1"/>
  <c r="J98" i="357"/>
  <c r="J57" i="357"/>
  <c r="G300" i="357"/>
  <c r="D2484" i="357"/>
  <c r="D2841" i="357"/>
  <c r="D2640" i="357"/>
  <c r="D2991" i="357"/>
  <c r="D2729" i="357"/>
  <c r="D1363" i="357"/>
  <c r="D1128" i="357"/>
  <c r="D1475" i="357"/>
  <c r="D1049" i="357"/>
  <c r="D1956" i="357"/>
  <c r="D1100" i="357"/>
  <c r="D1188" i="357"/>
  <c r="D1091" i="357"/>
  <c r="D1044" i="357"/>
  <c r="D1035" i="357"/>
  <c r="D993" i="357"/>
  <c r="D951" i="357"/>
  <c r="D832" i="357"/>
  <c r="D718" i="357"/>
  <c r="D643" i="357"/>
  <c r="D1994" i="357"/>
  <c r="D1858" i="357"/>
  <c r="D1177" i="357"/>
  <c r="D1135" i="357"/>
  <c r="D825" i="357"/>
  <c r="D810" i="357"/>
  <c r="D795" i="357"/>
  <c r="D140" i="357"/>
  <c r="D158" i="357"/>
  <c r="H109" i="357"/>
  <c r="H53" i="357"/>
  <c r="G8" i="357"/>
  <c r="G387" i="357"/>
  <c r="G211" i="357"/>
  <c r="G1467" i="357"/>
  <c r="G1244" i="357"/>
  <c r="H1057" i="357"/>
  <c r="H990" i="357"/>
  <c r="J990" i="357" s="1"/>
  <c r="H945" i="357"/>
  <c r="H410" i="357"/>
  <c r="H367" i="357"/>
  <c r="H319" i="357"/>
  <c r="H203" i="357"/>
  <c r="C914" i="357"/>
  <c r="J17" i="357"/>
  <c r="I265" i="357"/>
  <c r="D11" i="357"/>
  <c r="D1485" i="357"/>
  <c r="D2759" i="357"/>
  <c r="D146" i="357"/>
  <c r="D2171" i="357"/>
  <c r="D1070" i="357"/>
  <c r="D2074" i="357"/>
  <c r="J1167" i="357" l="1"/>
  <c r="I815" i="357"/>
  <c r="I420" i="357"/>
  <c r="I1740" i="357"/>
  <c r="J1737" i="357"/>
  <c r="I2176" i="357"/>
  <c r="I1686" i="357"/>
  <c r="J2236" i="357"/>
  <c r="I261" i="357"/>
  <c r="J1179" i="357"/>
  <c r="J1368" i="357"/>
  <c r="I1404" i="357"/>
  <c r="I2731" i="357"/>
  <c r="J1696" i="357"/>
  <c r="I849" i="357"/>
  <c r="J1874" i="357"/>
  <c r="I999" i="357"/>
  <c r="J209" i="357"/>
  <c r="I1107" i="357"/>
  <c r="I392" i="357"/>
  <c r="I1097" i="357"/>
  <c r="I2227" i="357"/>
  <c r="I1758" i="357"/>
  <c r="J969" i="357"/>
  <c r="J1063" i="357"/>
  <c r="I956" i="357"/>
  <c r="H186" i="357"/>
  <c r="H907" i="357"/>
  <c r="I509" i="357"/>
  <c r="I30" i="357"/>
  <c r="I629" i="357"/>
  <c r="I2203" i="357"/>
  <c r="I2053" i="357"/>
  <c r="J1561" i="357"/>
  <c r="I780" i="357"/>
  <c r="I1521" i="357"/>
  <c r="I498" i="357"/>
  <c r="J982" i="357"/>
  <c r="I1986" i="357"/>
  <c r="J1654" i="357"/>
  <c r="J271" i="357"/>
  <c r="J1786" i="357"/>
  <c r="I1198" i="357"/>
  <c r="J1287" i="357"/>
  <c r="I805" i="357"/>
  <c r="J1894" i="357"/>
  <c r="J1535" i="357"/>
  <c r="J2117" i="357"/>
  <c r="I174" i="357"/>
  <c r="J290" i="357"/>
  <c r="I2294" i="357"/>
  <c r="I364" i="357"/>
  <c r="I1670" i="357"/>
  <c r="I1434" i="357"/>
  <c r="J1259" i="357"/>
  <c r="I1813" i="357"/>
  <c r="I2069" i="357"/>
  <c r="I1365" i="357"/>
  <c r="J1020" i="357"/>
  <c r="J2002" i="357"/>
  <c r="I2278" i="357"/>
  <c r="J1076" i="357"/>
  <c r="I2314" i="357"/>
  <c r="I108" i="357"/>
  <c r="J1019" i="357"/>
  <c r="J2232" i="357"/>
  <c r="I1790" i="357"/>
  <c r="I1084" i="357"/>
  <c r="J243" i="357"/>
  <c r="I2415" i="357"/>
  <c r="J1158" i="357"/>
  <c r="J2057" i="357"/>
  <c r="I299" i="357"/>
  <c r="I1461" i="357"/>
  <c r="I2447" i="357"/>
  <c r="J81" i="357"/>
  <c r="I1304" i="357"/>
  <c r="J2110" i="357"/>
  <c r="J501" i="357"/>
  <c r="J62" i="357"/>
  <c r="I1708" i="357"/>
  <c r="I1867" i="357"/>
  <c r="J1689" i="357"/>
  <c r="I2250" i="357"/>
  <c r="I195" i="357"/>
  <c r="J1710" i="357"/>
  <c r="I2148" i="357"/>
  <c r="I1366" i="357"/>
  <c r="I1206" i="357"/>
  <c r="I107" i="357"/>
  <c r="I1728" i="357"/>
  <c r="I1488" i="357"/>
  <c r="J1026" i="357"/>
  <c r="I398" i="357"/>
  <c r="I2025" i="357"/>
  <c r="J2297" i="357"/>
  <c r="J30" i="357"/>
  <c r="J1282" i="357"/>
  <c r="I325" i="357"/>
  <c r="J2194" i="357"/>
  <c r="I969" i="357"/>
  <c r="I2178" i="357"/>
  <c r="I223" i="357"/>
  <c r="J1219" i="357"/>
  <c r="I1410" i="357"/>
  <c r="J1690" i="357"/>
  <c r="I1437" i="357"/>
  <c r="I2365" i="357"/>
  <c r="J1002" i="357"/>
  <c r="J1017" i="357"/>
  <c r="I1900" i="357"/>
  <c r="I1399" i="357"/>
  <c r="J554" i="357"/>
  <c r="I1601" i="357"/>
  <c r="I1828" i="357"/>
  <c r="J1657" i="357"/>
  <c r="I431" i="357"/>
  <c r="J2234" i="357"/>
  <c r="J828" i="357"/>
  <c r="J1123" i="357"/>
  <c r="H719" i="357"/>
  <c r="J601" i="357"/>
  <c r="I2047" i="357"/>
  <c r="J1248" i="357"/>
  <c r="J979" i="357"/>
  <c r="J915" i="357"/>
  <c r="I127" i="357"/>
  <c r="J980" i="357"/>
  <c r="I697" i="357"/>
  <c r="I1079" i="357"/>
  <c r="I1836" i="357"/>
  <c r="J997" i="357"/>
  <c r="I335" i="357"/>
  <c r="I1108" i="357"/>
  <c r="I205" i="357"/>
  <c r="J730" i="357"/>
  <c r="I762" i="357"/>
  <c r="I953" i="357"/>
  <c r="I1270" i="357"/>
  <c r="I2216" i="357"/>
  <c r="I527" i="357"/>
  <c r="I1439" i="357"/>
  <c r="I997" i="357"/>
  <c r="J1178" i="357"/>
  <c r="I1684" i="357"/>
  <c r="I1401" i="357"/>
  <c r="I1472" i="357"/>
  <c r="J411" i="357"/>
  <c r="J771" i="357"/>
  <c r="I1281" i="357"/>
  <c r="I1315" i="357"/>
  <c r="I1269" i="357"/>
  <c r="I1704" i="357"/>
  <c r="J1789" i="357"/>
  <c r="J509" i="357"/>
  <c r="I209" i="357"/>
  <c r="I2200" i="357"/>
  <c r="I804" i="357"/>
  <c r="J117" i="357"/>
  <c r="J1191" i="357"/>
  <c r="J2182" i="357"/>
  <c r="I106" i="357"/>
  <c r="J555" i="357"/>
  <c r="J1578" i="357"/>
  <c r="J171" i="357"/>
  <c r="I99" i="357"/>
  <c r="I1616" i="357"/>
  <c r="J2075" i="357"/>
  <c r="I1861" i="357"/>
  <c r="J87" i="357"/>
  <c r="I1388" i="357"/>
  <c r="J1842" i="357"/>
  <c r="J408" i="357"/>
  <c r="J1166" i="357"/>
  <c r="I133" i="357"/>
  <c r="J2446" i="357"/>
  <c r="J2445" i="357"/>
  <c r="J250" i="357"/>
  <c r="J1205" i="357"/>
  <c r="J322" i="357"/>
  <c r="I1571" i="357"/>
  <c r="I1898" i="357"/>
  <c r="J2245" i="357"/>
  <c r="J221" i="357"/>
  <c r="J2376" i="357"/>
  <c r="I1882" i="357"/>
  <c r="J161" i="357"/>
  <c r="J391" i="357"/>
  <c r="I2282" i="357"/>
  <c r="J2300" i="357"/>
  <c r="I1279" i="357"/>
  <c r="J1124" i="357"/>
  <c r="J1225" i="357"/>
  <c r="I935" i="357"/>
  <c r="J1138" i="357"/>
  <c r="J401" i="357"/>
  <c r="J2395" i="357"/>
  <c r="I1246" i="357"/>
  <c r="I412" i="357"/>
  <c r="I10" i="357"/>
  <c r="J1760" i="357"/>
  <c r="J1776" i="357"/>
  <c r="J107" i="357"/>
  <c r="J2282" i="357"/>
  <c r="I230" i="357"/>
  <c r="H2082" i="357"/>
  <c r="I2082" i="357" s="1"/>
  <c r="J888" i="357"/>
  <c r="J1335" i="357"/>
  <c r="H1976" i="357"/>
  <c r="H2106" i="357"/>
  <c r="H1515" i="357"/>
  <c r="I1625" i="357"/>
  <c r="J1837" i="357"/>
  <c r="J885" i="357"/>
  <c r="H2645" i="357"/>
  <c r="G3133" i="357"/>
  <c r="H2490" i="357"/>
  <c r="H3361" i="357"/>
  <c r="G3503" i="357"/>
  <c r="I457" i="357"/>
  <c r="J1189" i="357"/>
  <c r="J1062" i="357"/>
  <c r="I1328" i="357"/>
  <c r="J1410" i="357"/>
  <c r="I1364" i="357"/>
  <c r="I1922" i="357"/>
  <c r="J1724" i="357"/>
  <c r="J1146" i="357"/>
  <c r="I891" i="357"/>
  <c r="J1196" i="357"/>
  <c r="G2484" i="357"/>
  <c r="J69" i="357"/>
  <c r="J653" i="357"/>
  <c r="I1375" i="357"/>
  <c r="J63" i="357"/>
  <c r="I1386" i="357"/>
  <c r="I2205" i="357"/>
  <c r="J2288" i="357"/>
  <c r="J77" i="357"/>
  <c r="J1082" i="357"/>
  <c r="G2066" i="357"/>
  <c r="I2066" i="357" s="1"/>
  <c r="J1220" i="357"/>
  <c r="I1442" i="357"/>
  <c r="H1313" i="357"/>
  <c r="J767" i="357"/>
  <c r="G2073" i="357"/>
  <c r="I1463" i="357"/>
  <c r="J2033" i="357"/>
  <c r="H761" i="357"/>
  <c r="I1334" i="357"/>
  <c r="G2337" i="357"/>
  <c r="I1073" i="357"/>
  <c r="I1606" i="357"/>
  <c r="G2105" i="357"/>
  <c r="I1837" i="357"/>
  <c r="J857" i="357"/>
  <c r="J703" i="357"/>
  <c r="J2280" i="357"/>
  <c r="J1755" i="357"/>
  <c r="I1831" i="357"/>
  <c r="I1283" i="357"/>
  <c r="I1982" i="357"/>
  <c r="G2089" i="357"/>
  <c r="I1506" i="357"/>
  <c r="J845" i="357"/>
  <c r="I1398" i="357"/>
  <c r="J20" i="357"/>
  <c r="J1104" i="357"/>
  <c r="I1295" i="357"/>
  <c r="I1290" i="357"/>
  <c r="J736" i="357"/>
  <c r="I2142" i="357"/>
  <c r="I2021" i="357"/>
  <c r="I1494" i="357"/>
  <c r="I1408" i="357"/>
  <c r="J1296" i="357"/>
  <c r="G1466" i="357"/>
  <c r="J2259" i="357"/>
  <c r="I350" i="357"/>
  <c r="J2186" i="357"/>
  <c r="J1600" i="357"/>
  <c r="I1819" i="357"/>
  <c r="J2272" i="357"/>
  <c r="I2198" i="357"/>
  <c r="I1263" i="357"/>
  <c r="J1334" i="357"/>
  <c r="I1289" i="357"/>
  <c r="G2369" i="357"/>
  <c r="J2369" i="357" s="1"/>
  <c r="I704" i="357"/>
  <c r="I1618" i="357"/>
  <c r="J1182" i="357"/>
  <c r="I1423" i="357"/>
  <c r="J51" i="357"/>
  <c r="J2294" i="357"/>
  <c r="J1836" i="357"/>
  <c r="H1568" i="357"/>
  <c r="J1000" i="357"/>
  <c r="I1899" i="357"/>
  <c r="J1209" i="357"/>
  <c r="J2465" i="357"/>
  <c r="I1249" i="357"/>
  <c r="G1453" i="357"/>
  <c r="J1854" i="357"/>
  <c r="I2956" i="357"/>
  <c r="G2393" i="357"/>
  <c r="H1015" i="357"/>
  <c r="J1015" i="357" s="1"/>
  <c r="H11" i="357"/>
  <c r="H2105" i="357"/>
  <c r="J1833" i="357"/>
  <c r="J1603" i="357"/>
  <c r="J2251" i="357"/>
  <c r="H2089" i="357"/>
  <c r="H2332" i="357"/>
  <c r="J2731" i="357"/>
  <c r="J1521" i="357"/>
  <c r="I1335" i="357"/>
  <c r="I744" i="357"/>
  <c r="I3145" i="357"/>
  <c r="G2347" i="357"/>
  <c r="I1789" i="357"/>
  <c r="I2366" i="357"/>
  <c r="J1750" i="357"/>
  <c r="H3279" i="357"/>
  <c r="I3279" i="357" s="1"/>
  <c r="I2334" i="357"/>
  <c r="J2461" i="357"/>
  <c r="J1630" i="357"/>
  <c r="H2073" i="357"/>
  <c r="J2229" i="357"/>
  <c r="I302" i="357"/>
  <c r="J1612" i="357"/>
  <c r="J2956" i="357"/>
  <c r="I1854" i="357"/>
  <c r="I776" i="357"/>
  <c r="I82" i="357"/>
  <c r="I1786" i="357"/>
  <c r="I2115" i="357"/>
  <c r="I1231" i="357"/>
  <c r="J1660" i="357"/>
  <c r="H1539" i="357"/>
  <c r="H1194" i="357"/>
  <c r="I474" i="357"/>
  <c r="H143" i="357"/>
  <c r="H1257" i="357"/>
  <c r="I144" i="357"/>
  <c r="J638" i="357"/>
  <c r="I2260" i="357"/>
  <c r="J535" i="357"/>
  <c r="G3446" i="357"/>
  <c r="I3446" i="357" s="1"/>
  <c r="H2562" i="357"/>
  <c r="H1424" i="357"/>
  <c r="J648" i="357"/>
  <c r="H1485" i="357"/>
  <c r="H1312" i="357"/>
  <c r="H3289" i="357"/>
  <c r="I3289" i="357" s="1"/>
  <c r="I1842" i="357"/>
  <c r="I1612" i="357"/>
  <c r="J1712" i="357"/>
  <c r="I1726" i="357"/>
  <c r="I844" i="357"/>
  <c r="I188" i="357"/>
  <c r="H2408" i="357"/>
  <c r="I2240" i="357"/>
  <c r="J1291" i="357"/>
  <c r="H3388" i="357"/>
  <c r="H3021" i="357"/>
  <c r="I2039" i="357"/>
  <c r="J2239" i="357"/>
  <c r="I889" i="357"/>
  <c r="G1425" i="357"/>
  <c r="I437" i="357"/>
  <c r="G2348" i="357"/>
  <c r="I2348" i="357" s="1"/>
  <c r="I68" i="357"/>
  <c r="I2166" i="357"/>
  <c r="J2241" i="357"/>
  <c r="H1050" i="357"/>
  <c r="I1848" i="357"/>
  <c r="I3170" i="357"/>
  <c r="H1071" i="357"/>
  <c r="I56" i="357"/>
  <c r="J3227" i="357"/>
  <c r="G2332" i="357"/>
  <c r="J911" i="357"/>
  <c r="J1324" i="357"/>
  <c r="G3437" i="357"/>
  <c r="I3437" i="357" s="1"/>
  <c r="G2388" i="357"/>
  <c r="J1340" i="357"/>
  <c r="I699" i="357"/>
  <c r="J893" i="357"/>
  <c r="J1602" i="357"/>
  <c r="J1841" i="357"/>
  <c r="J696" i="357"/>
  <c r="J1611" i="357"/>
  <c r="J1626" i="357"/>
  <c r="J1838" i="357"/>
  <c r="J2959" i="357"/>
  <c r="J704" i="357"/>
  <c r="I779" i="357"/>
  <c r="J774" i="357"/>
  <c r="J892" i="357"/>
  <c r="J1619" i="357"/>
  <c r="J1846" i="357"/>
  <c r="I782" i="357"/>
  <c r="J1610" i="357"/>
  <c r="J1849" i="357"/>
  <c r="H1384" i="357"/>
  <c r="J1261" i="357"/>
  <c r="I3278" i="357"/>
  <c r="I730" i="357"/>
  <c r="J1708" i="357"/>
  <c r="I62" i="357"/>
  <c r="I826" i="357"/>
  <c r="I845" i="357"/>
  <c r="I1600" i="357"/>
  <c r="I112" i="357"/>
  <c r="I2789" i="357"/>
  <c r="I1930" i="357"/>
  <c r="I1624" i="357"/>
  <c r="I1271" i="357"/>
  <c r="I44" i="357"/>
  <c r="H1938" i="357"/>
  <c r="J1938" i="357" s="1"/>
  <c r="H1122" i="357"/>
  <c r="H1913" i="357"/>
  <c r="H146" i="357"/>
  <c r="H1538" i="357"/>
  <c r="H1628" i="357"/>
  <c r="I1657" i="357"/>
  <c r="I1721" i="357"/>
  <c r="I3165" i="357"/>
  <c r="I1709" i="357"/>
  <c r="H1700" i="357"/>
  <c r="G1951" i="357"/>
  <c r="J1951" i="357" s="1"/>
  <c r="J1722" i="357"/>
  <c r="H486" i="357"/>
  <c r="G1071" i="357"/>
  <c r="J1314" i="357"/>
  <c r="H2734" i="357"/>
  <c r="J2235" i="357"/>
  <c r="I97" i="357"/>
  <c r="H2000" i="357"/>
  <c r="H1871" i="357"/>
  <c r="I1436" i="357"/>
  <c r="I1419" i="357"/>
  <c r="H3298" i="357"/>
  <c r="H760" i="357"/>
  <c r="H1547" i="357"/>
  <c r="I1547" i="357" s="1"/>
  <c r="I732" i="357"/>
  <c r="H1524" i="357"/>
  <c r="H1332" i="357"/>
  <c r="I453" i="357"/>
  <c r="I76" i="357"/>
  <c r="H644" i="357"/>
  <c r="H3146" i="357"/>
  <c r="I3132" i="357"/>
  <c r="H796" i="357"/>
  <c r="H1470" i="357"/>
  <c r="J1830" i="357"/>
  <c r="H2388" i="357"/>
  <c r="J1326" i="357"/>
  <c r="I1830" i="357"/>
  <c r="H2383" i="357"/>
  <c r="H234" i="357"/>
  <c r="H832" i="357"/>
  <c r="H2375" i="357"/>
  <c r="H2157" i="357"/>
  <c r="H2164" i="357"/>
  <c r="I777" i="357"/>
  <c r="J2289" i="357"/>
  <c r="I658" i="357"/>
  <c r="H2357" i="357"/>
  <c r="J2357" i="357" s="1"/>
  <c r="H684" i="357"/>
  <c r="H1453" i="357"/>
  <c r="J889" i="357"/>
  <c r="J1625" i="357"/>
  <c r="I1849" i="357"/>
  <c r="I700" i="357"/>
  <c r="J1601" i="357"/>
  <c r="J1831" i="357"/>
  <c r="J1828" i="357"/>
  <c r="I896" i="357"/>
  <c r="I1850" i="357"/>
  <c r="H2861" i="357"/>
  <c r="G1764" i="357"/>
  <c r="J1764" i="357" s="1"/>
  <c r="I1610" i="357"/>
  <c r="I1929" i="357"/>
  <c r="H1101" i="357"/>
  <c r="I916" i="357"/>
  <c r="J1624" i="357"/>
  <c r="J1740" i="357"/>
  <c r="J1758" i="357"/>
  <c r="I1608" i="357"/>
  <c r="I1847" i="357"/>
  <c r="H1534" i="357"/>
  <c r="I2076" i="357"/>
  <c r="H1036" i="357"/>
  <c r="I1036" i="357" s="1"/>
  <c r="I911" i="357"/>
  <c r="H2759" i="357"/>
  <c r="I1411" i="357"/>
  <c r="H2096" i="357"/>
  <c r="H3304" i="357"/>
  <c r="I3304" i="357" s="1"/>
  <c r="H23" i="357"/>
  <c r="I3178" i="357"/>
  <c r="I3250" i="357"/>
  <c r="H1955" i="357"/>
  <c r="I463" i="357"/>
  <c r="I3150" i="357"/>
  <c r="H1407" i="357"/>
  <c r="H2095" i="357"/>
  <c r="H2019" i="357"/>
  <c r="I2019" i="357" s="1"/>
  <c r="I449" i="357"/>
  <c r="H2738" i="357"/>
  <c r="H2347" i="357"/>
  <c r="H2170" i="357"/>
  <c r="I1771" i="357"/>
  <c r="H3015" i="357"/>
  <c r="H1458" i="357"/>
  <c r="I460" i="357"/>
  <c r="H874" i="357"/>
  <c r="H1796" i="357"/>
  <c r="J1796" i="357" s="1"/>
  <c r="J2237" i="357"/>
  <c r="H1917" i="357"/>
  <c r="J1917" i="357" s="1"/>
  <c r="H2699" i="357"/>
  <c r="I731" i="357"/>
  <c r="I1747" i="357"/>
  <c r="H825" i="357"/>
  <c r="G2137" i="357"/>
  <c r="H1044" i="357"/>
  <c r="H2688" i="357"/>
  <c r="H920" i="357"/>
  <c r="I920" i="357" s="1"/>
  <c r="H2657" i="357"/>
  <c r="I3431" i="357"/>
  <c r="G3037" i="357"/>
  <c r="H2364" i="357"/>
  <c r="H2409" i="357"/>
  <c r="I2409" i="357" s="1"/>
  <c r="H1994" i="357"/>
  <c r="H1121" i="357"/>
  <c r="H1481" i="357"/>
  <c r="I856" i="357"/>
  <c r="H2729" i="357"/>
  <c r="H1100" i="357"/>
  <c r="G280" i="357"/>
  <c r="H1049" i="357"/>
  <c r="H2413" i="357"/>
  <c r="J2413" i="357" s="1"/>
  <c r="I465" i="357"/>
  <c r="H1392" i="357"/>
  <c r="H914" i="357"/>
  <c r="J659" i="357"/>
  <c r="H2342" i="357"/>
  <c r="I2342" i="357" s="1"/>
  <c r="H1858" i="357"/>
  <c r="H3489" i="357"/>
  <c r="H158" i="357"/>
  <c r="J1507" i="357"/>
  <c r="H643" i="357"/>
  <c r="H2132" i="357"/>
  <c r="I1626" i="357"/>
  <c r="I446" i="357"/>
  <c r="G1101" i="357"/>
  <c r="G374" i="357"/>
  <c r="H330" i="357"/>
  <c r="J330" i="357" s="1"/>
  <c r="I909" i="357"/>
  <c r="I445" i="357"/>
  <c r="H1070" i="357"/>
  <c r="J2464" i="357"/>
  <c r="H3348" i="357"/>
  <c r="H2122" i="357"/>
  <c r="H3029" i="357"/>
  <c r="H1501" i="357"/>
  <c r="I1501" i="357" s="1"/>
  <c r="H2001" i="357"/>
  <c r="H1732" i="357"/>
  <c r="H1466" i="357"/>
  <c r="I3221" i="357"/>
  <c r="G3344" i="357"/>
  <c r="I888" i="357"/>
  <c r="I3436" i="357"/>
  <c r="J1566" i="357"/>
  <c r="I3452" i="357"/>
  <c r="G3489" i="357"/>
  <c r="H3203" i="357"/>
  <c r="H2090" i="357"/>
  <c r="H2327" i="357"/>
  <c r="J2327" i="357" s="1"/>
  <c r="I451" i="357"/>
  <c r="H795" i="357"/>
  <c r="H2131" i="357"/>
  <c r="H951" i="357"/>
  <c r="H2484" i="357"/>
  <c r="H683" i="357"/>
  <c r="G1569" i="357"/>
  <c r="H2473" i="357"/>
  <c r="H2970" i="357"/>
  <c r="H2398" i="357"/>
  <c r="J2398" i="357" s="1"/>
  <c r="J777" i="357"/>
  <c r="J780" i="357"/>
  <c r="J1616" i="357"/>
  <c r="J1852" i="357"/>
  <c r="H1128" i="357"/>
  <c r="H1091" i="357"/>
  <c r="H2158" i="357"/>
  <c r="H2524" i="357"/>
  <c r="J2524" i="357" s="1"/>
  <c r="G3366" i="357"/>
  <c r="H2323" i="357"/>
  <c r="H2165" i="357"/>
  <c r="H2698" i="357"/>
  <c r="I3488" i="357"/>
  <c r="H2121" i="357"/>
  <c r="I2186" i="357"/>
  <c r="H2393" i="357"/>
  <c r="I2817" i="357"/>
  <c r="H994" i="357"/>
  <c r="H3037" i="357"/>
  <c r="H2145" i="357"/>
  <c r="I2145" i="357" s="1"/>
  <c r="I3303" i="357"/>
  <c r="I3330" i="357"/>
  <c r="H1239" i="357"/>
  <c r="G1302" i="357"/>
  <c r="H2374" i="357"/>
  <c r="I859" i="357"/>
  <c r="G2383" i="357"/>
  <c r="G1216" i="357"/>
  <c r="I1216" i="357" s="1"/>
  <c r="G2352" i="357"/>
  <c r="G2374" i="357"/>
  <c r="I3222" i="357"/>
  <c r="H952" i="357"/>
  <c r="J952" i="357" s="1"/>
  <c r="G2454" i="357"/>
  <c r="G1955" i="357"/>
  <c r="I3255" i="357"/>
  <c r="H92" i="357"/>
  <c r="J92" i="357" s="1"/>
  <c r="G2266" i="357"/>
  <c r="G719" i="357"/>
  <c r="H2137" i="357"/>
  <c r="I1705" i="357"/>
  <c r="H718" i="357"/>
  <c r="G1217" i="357"/>
  <c r="G296" i="357"/>
  <c r="H3207" i="357"/>
  <c r="J3207" i="357" s="1"/>
  <c r="I3445" i="357"/>
  <c r="H2352" i="357"/>
  <c r="H3043" i="357"/>
  <c r="G2426" i="357"/>
  <c r="I2426" i="357" s="1"/>
  <c r="G2132" i="357"/>
  <c r="G1538" i="357"/>
  <c r="G1481" i="357"/>
  <c r="H1856" i="357"/>
  <c r="I1833" i="357"/>
  <c r="I1841" i="357"/>
  <c r="I2057" i="357"/>
  <c r="I2079" i="357"/>
  <c r="J1845" i="357"/>
  <c r="I778" i="357"/>
  <c r="I455" i="357"/>
  <c r="I775" i="357"/>
  <c r="J2463" i="357"/>
  <c r="I746" i="357"/>
  <c r="I2472" i="357"/>
  <c r="I2815" i="357"/>
  <c r="I893" i="357"/>
  <c r="I448" i="357"/>
  <c r="I736" i="357"/>
  <c r="I458" i="357"/>
  <c r="G1049" i="357"/>
  <c r="I3113" i="357"/>
  <c r="I1845" i="357"/>
  <c r="I3288" i="357"/>
  <c r="J2895" i="357"/>
  <c r="G1856" i="357"/>
  <c r="I1839" i="357"/>
  <c r="I855" i="357"/>
  <c r="I890" i="357"/>
  <c r="I1617" i="357"/>
  <c r="I1844" i="357"/>
  <c r="I439" i="357"/>
  <c r="I2798" i="357"/>
  <c r="I696" i="357"/>
  <c r="I3231" i="357"/>
  <c r="I852" i="357"/>
  <c r="G644" i="357"/>
  <c r="I1414" i="357"/>
  <c r="I2287" i="357"/>
  <c r="I436" i="357"/>
  <c r="I3329" i="357"/>
  <c r="I3456" i="357"/>
  <c r="I857" i="357"/>
  <c r="I1875" i="357"/>
  <c r="I2852" i="357"/>
  <c r="I1607" i="357"/>
  <c r="J1834" i="357"/>
  <c r="I2800" i="357"/>
  <c r="J3137" i="357"/>
  <c r="I3462" i="357"/>
  <c r="I847" i="357"/>
  <c r="I2728" i="357"/>
  <c r="I357" i="357"/>
  <c r="I737" i="357"/>
  <c r="I2960" i="357"/>
  <c r="J698" i="357"/>
  <c r="I894" i="357"/>
  <c r="J895" i="357"/>
  <c r="I1605" i="357"/>
  <c r="J1613" i="357"/>
  <c r="I1604" i="357"/>
  <c r="I1620" i="357"/>
  <c r="J1843" i="357"/>
  <c r="I1851" i="357"/>
  <c r="I1832" i="357"/>
  <c r="J1840" i="357"/>
  <c r="G1392" i="357"/>
  <c r="I1846" i="357"/>
  <c r="I1843" i="357"/>
  <c r="I3263" i="357"/>
  <c r="I1834" i="357"/>
  <c r="I1840" i="357"/>
  <c r="I895" i="357"/>
  <c r="G1732" i="357"/>
  <c r="I1613" i="357"/>
  <c r="I892" i="357"/>
  <c r="J894" i="357"/>
  <c r="I774" i="357"/>
  <c r="I1619" i="357"/>
  <c r="G2363" i="357"/>
  <c r="I2363" i="357" s="1"/>
  <c r="I2464" i="357"/>
  <c r="J1848" i="357"/>
  <c r="J779" i="357"/>
  <c r="G684" i="357"/>
  <c r="J1607" i="357"/>
  <c r="I698" i="357"/>
  <c r="I701" i="357"/>
  <c r="J1604" i="357"/>
  <c r="I1835" i="357"/>
  <c r="J775" i="357"/>
  <c r="I2463" i="357"/>
  <c r="J778" i="357"/>
  <c r="J700" i="357"/>
  <c r="J896" i="357"/>
  <c r="J1850" i="357"/>
  <c r="J1615" i="357"/>
  <c r="J1614" i="357"/>
  <c r="J1829" i="357"/>
  <c r="J1853" i="357"/>
  <c r="J2852" i="357"/>
  <c r="G994" i="357"/>
  <c r="J701" i="357"/>
  <c r="I887" i="357"/>
  <c r="I1129" i="357"/>
  <c r="I741" i="357"/>
  <c r="G1628" i="357"/>
  <c r="I1602" i="357"/>
  <c r="J2853" i="357"/>
  <c r="I1853" i="357"/>
  <c r="I2483" i="357"/>
  <c r="I2682" i="357"/>
  <c r="I3092" i="357"/>
  <c r="G2170" i="357"/>
  <c r="G1122" i="357"/>
  <c r="J2477" i="357"/>
  <c r="H1956" i="357"/>
  <c r="H3426" i="357"/>
  <c r="G1568" i="357"/>
  <c r="H2338" i="357"/>
  <c r="H2914" i="357"/>
  <c r="I435" i="357"/>
  <c r="I3297" i="357"/>
  <c r="I3451" i="357"/>
  <c r="H2437" i="357"/>
  <c r="H2337" i="357"/>
  <c r="H140" i="357"/>
  <c r="H1135" i="357"/>
  <c r="H1188" i="357"/>
  <c r="H1475" i="357"/>
  <c r="H2991" i="357"/>
  <c r="G1303" i="357"/>
  <c r="G2438" i="357"/>
  <c r="G146" i="357"/>
  <c r="H2005" i="357"/>
  <c r="J2005" i="357" s="1"/>
  <c r="H3352" i="357"/>
  <c r="J3352" i="357" s="1"/>
  <c r="H280" i="357"/>
  <c r="G832" i="357"/>
  <c r="H2163" i="357"/>
  <c r="J2898" i="357"/>
  <c r="G3166" i="357"/>
  <c r="I1838" i="357"/>
  <c r="G3114" i="357"/>
  <c r="G2688" i="357"/>
  <c r="G2562" i="357"/>
  <c r="G1977" i="357"/>
  <c r="G2389" i="357"/>
  <c r="G2914" i="357"/>
  <c r="G1570" i="357"/>
  <c r="G1514" i="357"/>
  <c r="G2255" i="357"/>
  <c r="I2255" i="357" s="1"/>
  <c r="G2970" i="357"/>
  <c r="G1530" i="357"/>
  <c r="I3463" i="357"/>
  <c r="G810" i="357"/>
  <c r="J3161" i="357"/>
  <c r="H2074" i="357"/>
  <c r="H810" i="357"/>
  <c r="H1363" i="357"/>
  <c r="H2841" i="357"/>
  <c r="G3493" i="357"/>
  <c r="H2067" i="357"/>
  <c r="H1243" i="357"/>
  <c r="I1243" i="357" s="1"/>
  <c r="H2384" i="357"/>
  <c r="I2384" i="357" s="1"/>
  <c r="H1014" i="357"/>
  <c r="G2512" i="357"/>
  <c r="H972" i="357"/>
  <c r="G972" i="357"/>
  <c r="H2532" i="357"/>
  <c r="H149" i="357"/>
  <c r="H875" i="357"/>
  <c r="G2121" i="357"/>
  <c r="G311" i="357"/>
  <c r="I311" i="357" s="1"/>
  <c r="G2841" i="357"/>
  <c r="G718" i="357"/>
  <c r="G1458" i="357"/>
  <c r="H3009" i="357"/>
  <c r="H1907" i="357"/>
  <c r="I740" i="357"/>
  <c r="I459" i="357"/>
  <c r="I1373" i="357"/>
  <c r="H2171" i="357"/>
  <c r="H993" i="357"/>
  <c r="H1514" i="357"/>
  <c r="G2738" i="357"/>
  <c r="G234" i="357"/>
  <c r="G121" i="357"/>
  <c r="G3030" i="357"/>
  <c r="H1156" i="357"/>
  <c r="G36" i="357"/>
  <c r="G1407" i="357"/>
  <c r="G23" i="357"/>
  <c r="I2546" i="357"/>
  <c r="H1544" i="357"/>
  <c r="H3503" i="357"/>
  <c r="J1290" i="357"/>
  <c r="H1385" i="357"/>
  <c r="H1530" i="357"/>
  <c r="G2163" i="357"/>
  <c r="G2520" i="357"/>
  <c r="I2520" i="357" s="1"/>
  <c r="J2431" i="357"/>
  <c r="I447" i="357"/>
  <c r="I670" i="357"/>
  <c r="J3246" i="357"/>
  <c r="I461" i="357"/>
  <c r="H2443" i="357"/>
  <c r="I2443" i="357" s="1"/>
  <c r="J773" i="357"/>
  <c r="I2465" i="357"/>
  <c r="I1609" i="357"/>
  <c r="J1621" i="357"/>
  <c r="J1827" i="357"/>
  <c r="J1839" i="357"/>
  <c r="J1851" i="357"/>
  <c r="J702" i="357"/>
  <c r="J781" i="357"/>
  <c r="J890" i="357"/>
  <c r="J1605" i="357"/>
  <c r="J1617" i="357"/>
  <c r="J1832" i="357"/>
  <c r="J1844" i="357"/>
  <c r="J705" i="357"/>
  <c r="J887" i="357"/>
  <c r="J1608" i="357"/>
  <c r="J1620" i="357"/>
  <c r="J1835" i="357"/>
  <c r="J1847" i="357"/>
  <c r="H1627" i="357"/>
  <c r="I1627" i="357" s="1"/>
  <c r="G1623" i="357"/>
  <c r="G1622" i="357"/>
  <c r="I1622" i="357" s="1"/>
  <c r="H1623" i="357"/>
  <c r="I3309" i="357"/>
  <c r="G2164" i="357"/>
  <c r="G3022" i="357"/>
  <c r="G2747" i="357"/>
  <c r="G2538" i="357"/>
  <c r="G875" i="357"/>
  <c r="G973" i="357"/>
  <c r="G914" i="357"/>
  <c r="G3029" i="357"/>
  <c r="H2172" i="357"/>
  <c r="J2172" i="357" s="1"/>
  <c r="G1014" i="357"/>
  <c r="G940" i="357"/>
  <c r="J940" i="357" s="1"/>
  <c r="I1615" i="357"/>
  <c r="J1609" i="357"/>
  <c r="G1957" i="357"/>
  <c r="G3043" i="357"/>
  <c r="H3344" i="357"/>
  <c r="G2698" i="357"/>
  <c r="H1570" i="357"/>
  <c r="G2157" i="357"/>
  <c r="I601" i="357"/>
  <c r="I2204" i="357"/>
  <c r="I1296" i="357"/>
  <c r="G2991" i="357"/>
  <c r="I702" i="357"/>
  <c r="I1827" i="357"/>
  <c r="J699" i="357"/>
  <c r="H1177" i="357"/>
  <c r="H1035" i="357"/>
  <c r="H2640" i="357"/>
  <c r="H29" i="357"/>
  <c r="H1302" i="357"/>
  <c r="G2083" i="357"/>
  <c r="G486" i="357"/>
  <c r="G2273" i="357"/>
  <c r="H2083" i="357"/>
  <c r="I980" i="357"/>
  <c r="H1519" i="357"/>
  <c r="H2438" i="357"/>
  <c r="J464" i="357"/>
  <c r="H1569" i="357"/>
  <c r="I1082" i="357"/>
  <c r="I1942" i="357"/>
  <c r="H3370" i="357"/>
  <c r="H929" i="357"/>
  <c r="H1529" i="357"/>
  <c r="G2305" i="357"/>
  <c r="H973" i="357"/>
  <c r="H1476" i="357"/>
  <c r="I853" i="357"/>
  <c r="G1994" i="357"/>
  <c r="G2437" i="357"/>
  <c r="G3499" i="357"/>
  <c r="I3499" i="357" s="1"/>
  <c r="I3202" i="357"/>
  <c r="G2729" i="357"/>
  <c r="I1621" i="357"/>
  <c r="I1603" i="357"/>
  <c r="I773" i="357"/>
  <c r="I2853" i="357"/>
  <c r="H1217" i="357"/>
  <c r="G760" i="357"/>
  <c r="G2504" i="357"/>
  <c r="G103" i="357"/>
  <c r="I1611" i="357"/>
  <c r="H2427" i="357"/>
  <c r="G2122" i="357"/>
  <c r="H3114" i="357"/>
  <c r="G2096" i="357"/>
  <c r="H2992" i="357"/>
  <c r="H2123" i="357"/>
  <c r="G1258" i="357"/>
  <c r="G2171" i="357"/>
  <c r="H3366" i="357"/>
  <c r="H3356" i="357"/>
  <c r="I3356" i="357" s="1"/>
  <c r="H3022" i="357"/>
  <c r="G3415" i="357"/>
  <c r="H103" i="357"/>
  <c r="G933" i="357"/>
  <c r="H3166" i="357"/>
  <c r="H1425" i="357"/>
  <c r="H833" i="357"/>
  <c r="G2220" i="357"/>
  <c r="J2220" i="357" s="1"/>
  <c r="G643" i="357"/>
  <c r="G2095" i="357"/>
  <c r="G72" i="357"/>
  <c r="J72" i="357" s="1"/>
  <c r="G1470" i="357"/>
  <c r="H2496" i="357"/>
  <c r="G1985" i="357"/>
  <c r="I2187" i="357"/>
  <c r="I336" i="357"/>
  <c r="I1614" i="357"/>
  <c r="G343" i="357"/>
  <c r="H2432" i="357"/>
  <c r="G2444" i="357"/>
  <c r="G3179" i="357"/>
  <c r="G2394" i="357"/>
  <c r="G874" i="357"/>
  <c r="G2760" i="357"/>
  <c r="I1000" i="357"/>
  <c r="G1519" i="357"/>
  <c r="G2158" i="357"/>
  <c r="G2067" i="357"/>
  <c r="G1476" i="357"/>
  <c r="H343" i="357"/>
  <c r="G2131" i="357"/>
  <c r="G1515" i="357"/>
  <c r="G2532" i="357"/>
  <c r="I738" i="357"/>
  <c r="G3009" i="357"/>
  <c r="I781" i="357"/>
  <c r="I705" i="357"/>
  <c r="I550" i="357"/>
  <c r="I1829" i="357"/>
  <c r="G2427" i="357"/>
  <c r="H2915" i="357"/>
  <c r="I1652" i="357"/>
  <c r="J1362" i="357"/>
  <c r="J803" i="357"/>
  <c r="H2666" i="357"/>
  <c r="G825" i="357"/>
  <c r="G2689" i="357"/>
  <c r="G929" i="357"/>
  <c r="H2097" i="357"/>
  <c r="G2992" i="357"/>
  <c r="H3171" i="357"/>
  <c r="G3370" i="357"/>
  <c r="G1956" i="357"/>
  <c r="G1475" i="357"/>
  <c r="G2159" i="357"/>
  <c r="G3251" i="357"/>
  <c r="J3216" i="357"/>
  <c r="J2458" i="357"/>
  <c r="I2232" i="357"/>
  <c r="G1907" i="357"/>
  <c r="H2444" i="357"/>
  <c r="G761" i="357"/>
  <c r="G2133" i="357"/>
  <c r="G2432" i="357"/>
  <c r="G3336" i="357"/>
  <c r="G1313" i="357"/>
  <c r="H1977" i="357"/>
  <c r="I3256" i="357"/>
  <c r="H2221" i="357"/>
  <c r="H1303" i="357"/>
  <c r="G157" i="357"/>
  <c r="I157" i="357" s="1"/>
  <c r="H2273" i="357"/>
  <c r="G1135" i="357"/>
  <c r="G1872" i="357"/>
  <c r="H2658" i="357"/>
  <c r="H2389" i="357"/>
  <c r="I2343" i="357"/>
  <c r="G1128" i="357"/>
  <c r="J2353" i="357"/>
  <c r="G2097" i="357"/>
  <c r="H3030" i="357"/>
  <c r="J1683" i="357"/>
  <c r="H1228" i="357"/>
  <c r="G1995" i="357"/>
  <c r="G2478" i="357"/>
  <c r="I516" i="357"/>
  <c r="I1393" i="357"/>
  <c r="H2266" i="357"/>
  <c r="I1467" i="357"/>
  <c r="G2915" i="357"/>
  <c r="G1544" i="357"/>
  <c r="G2221" i="357"/>
  <c r="G1385" i="357"/>
  <c r="H3133" i="357"/>
  <c r="J3133" i="357" s="1"/>
  <c r="G1913" i="357"/>
  <c r="G3203" i="357"/>
  <c r="G1529" i="357"/>
  <c r="H121" i="357"/>
  <c r="G925" i="357"/>
  <c r="H1957" i="357"/>
  <c r="G29" i="357"/>
  <c r="H2760" i="357"/>
  <c r="G1539" i="357"/>
  <c r="H1872" i="357"/>
  <c r="J367" i="357"/>
  <c r="H925" i="357"/>
  <c r="G833" i="357"/>
  <c r="H2454" i="357"/>
  <c r="H2159" i="357"/>
  <c r="G1234" i="357"/>
  <c r="H3493" i="357"/>
  <c r="J2265" i="357"/>
  <c r="G628" i="357"/>
  <c r="J628" i="357" s="1"/>
  <c r="H374" i="357"/>
  <c r="G2640" i="357"/>
  <c r="G1700" i="357"/>
  <c r="H2419" i="357"/>
  <c r="I2419" i="357" s="1"/>
  <c r="G2324" i="357"/>
  <c r="G3171" i="357"/>
  <c r="J2453" i="357"/>
  <c r="G2408" i="357"/>
  <c r="J2329" i="357"/>
  <c r="J2308" i="357"/>
  <c r="J2455" i="357"/>
  <c r="J1140" i="357"/>
  <c r="J671" i="357"/>
  <c r="I3316" i="357"/>
  <c r="I850" i="357"/>
  <c r="J1400" i="357"/>
  <c r="I3186" i="357"/>
  <c r="J1725" i="357"/>
  <c r="I452" i="357"/>
  <c r="J1634" i="357"/>
  <c r="I1634" i="357"/>
  <c r="I1629" i="357"/>
  <c r="J1629" i="357"/>
  <c r="J442" i="357"/>
  <c r="I443" i="357"/>
  <c r="I441" i="357"/>
  <c r="I807" i="357"/>
  <c r="I3232" i="357"/>
  <c r="I799" i="357"/>
  <c r="I2697" i="357"/>
  <c r="J986" i="357"/>
  <c r="J1339" i="357"/>
  <c r="I2107" i="357"/>
  <c r="I767" i="357"/>
  <c r="I1663" i="357"/>
  <c r="J1327" i="357"/>
  <c r="I538" i="357"/>
  <c r="J1896" i="357"/>
  <c r="J882" i="357"/>
  <c r="H2403" i="357"/>
  <c r="I2403" i="357" s="1"/>
  <c r="I2013" i="357"/>
  <c r="J839" i="357"/>
  <c r="I2027" i="357"/>
  <c r="I664" i="357"/>
  <c r="J488" i="357"/>
  <c r="I2112" i="357"/>
  <c r="J954" i="357"/>
  <c r="I743" i="357"/>
  <c r="J1455" i="357"/>
  <c r="I1353" i="357"/>
  <c r="I388" i="357"/>
  <c r="J1394" i="357"/>
  <c r="I1499" i="357"/>
  <c r="I1798" i="357"/>
  <c r="J2983" i="357"/>
  <c r="I3335" i="357"/>
  <c r="J506" i="357"/>
  <c r="I3190" i="357"/>
  <c r="J2371" i="357"/>
  <c r="J2359" i="357"/>
  <c r="I494" i="357"/>
  <c r="J1427" i="357"/>
  <c r="I189" i="357"/>
  <c r="I2668" i="357"/>
  <c r="I3414" i="357"/>
  <c r="J2433" i="357"/>
  <c r="J1190" i="357"/>
  <c r="J1701" i="357"/>
  <c r="J797" i="357"/>
  <c r="J316" i="357"/>
  <c r="I724" i="357"/>
  <c r="I666" i="357"/>
  <c r="I2639" i="357"/>
  <c r="J1096" i="357"/>
  <c r="J1116" i="357"/>
  <c r="I414" i="357"/>
  <c r="I245" i="357"/>
  <c r="J1247" i="357"/>
  <c r="J665" i="357"/>
  <c r="I858" i="357"/>
  <c r="I3360" i="357"/>
  <c r="J1088" i="357"/>
  <c r="I851" i="357"/>
  <c r="I2929" i="357"/>
  <c r="I3425" i="357"/>
  <c r="J2676" i="357"/>
  <c r="I742" i="357"/>
  <c r="I2188" i="357"/>
  <c r="I3102" i="357"/>
  <c r="I2687" i="357"/>
  <c r="J1387" i="357"/>
  <c r="J238" i="357"/>
  <c r="I2307" i="357"/>
  <c r="I846" i="357"/>
  <c r="I467" i="357"/>
  <c r="I1374" i="357"/>
  <c r="I2801" i="357"/>
  <c r="I734" i="357"/>
  <c r="I2982" i="357"/>
  <c r="I2725" i="357"/>
  <c r="J3473" i="357"/>
  <c r="J2244" i="357"/>
  <c r="J1644" i="357"/>
  <c r="H1258" i="357"/>
  <c r="I466" i="357"/>
  <c r="J1252" i="357"/>
  <c r="J1733" i="357"/>
  <c r="J67" i="357"/>
  <c r="J1323" i="357"/>
  <c r="I1746" i="357"/>
  <c r="J3432" i="357"/>
  <c r="J2199" i="357"/>
  <c r="J96" i="357"/>
  <c r="J2226" i="357"/>
  <c r="J194" i="357"/>
  <c r="J562" i="357"/>
  <c r="I562" i="357"/>
  <c r="J945" i="357"/>
  <c r="I307" i="357"/>
  <c r="I534" i="357"/>
  <c r="G2375" i="357"/>
  <c r="J126" i="357"/>
  <c r="I251" i="357"/>
  <c r="J1371" i="357"/>
  <c r="I283" i="357"/>
  <c r="J2274" i="357"/>
  <c r="I647" i="357"/>
  <c r="J14" i="357"/>
  <c r="J180" i="357"/>
  <c r="I179" i="357"/>
  <c r="J1317" i="357"/>
  <c r="J19" i="357"/>
  <c r="J1288" i="357"/>
  <c r="J2314" i="357"/>
  <c r="I2569" i="357"/>
  <c r="J2197" i="357"/>
  <c r="J43" i="357"/>
  <c r="I199" i="357"/>
  <c r="I273" i="357"/>
  <c r="J1264" i="357"/>
  <c r="J2250" i="357"/>
  <c r="I213" i="357"/>
  <c r="J1757" i="357"/>
  <c r="I167" i="357"/>
  <c r="J1402" i="357"/>
  <c r="J1369" i="357"/>
  <c r="I639" i="357"/>
  <c r="J588" i="357"/>
  <c r="I588" i="357"/>
  <c r="J652" i="357"/>
  <c r="I652" i="357"/>
  <c r="I3457" i="357"/>
  <c r="G2658" i="357"/>
  <c r="G2473" i="357"/>
  <c r="G2364" i="357"/>
  <c r="I433" i="357"/>
  <c r="J1688" i="357"/>
  <c r="J2298" i="357"/>
  <c r="J200" i="357"/>
  <c r="J1380" i="357"/>
  <c r="I1744" i="357"/>
  <c r="J218" i="357"/>
  <c r="J1745" i="357"/>
  <c r="J1284" i="357"/>
  <c r="G3015" i="357"/>
  <c r="I819" i="357"/>
  <c r="I524" i="357"/>
  <c r="I1947" i="357"/>
  <c r="G2338" i="357"/>
  <c r="G2165" i="357"/>
  <c r="G3298" i="357"/>
  <c r="J2322" i="357"/>
  <c r="I1443" i="357"/>
  <c r="I720" i="357"/>
  <c r="I1438" i="357"/>
  <c r="G2657" i="357"/>
  <c r="G1070" i="357"/>
  <c r="H1985" i="357"/>
  <c r="G1332" i="357"/>
  <c r="J578" i="357"/>
  <c r="I2399" i="357"/>
  <c r="J387" i="357"/>
  <c r="I735" i="357"/>
  <c r="J2404" i="357"/>
  <c r="I841" i="357"/>
  <c r="J1408" i="357"/>
  <c r="I496" i="357"/>
  <c r="I1540" i="357"/>
  <c r="I515" i="357"/>
  <c r="I327" i="357"/>
  <c r="I349" i="357"/>
  <c r="I542" i="357"/>
  <c r="G951" i="357"/>
  <c r="G1177" i="357"/>
  <c r="J1315" i="357"/>
  <c r="J1658" i="357"/>
  <c r="G3348" i="357"/>
  <c r="I1189" i="357"/>
  <c r="I440" i="357"/>
  <c r="G2074" i="357"/>
  <c r="J454" i="357"/>
  <c r="I395" i="357"/>
  <c r="J425" i="357"/>
  <c r="H3000" i="357"/>
  <c r="H2394" i="357"/>
  <c r="I1866" i="357"/>
  <c r="H1333" i="357"/>
  <c r="G3340" i="357"/>
  <c r="G1520" i="357"/>
  <c r="J1520" i="357" s="1"/>
  <c r="I1649" i="357"/>
  <c r="I1653" i="357"/>
  <c r="I377" i="357"/>
  <c r="I2414" i="357"/>
  <c r="J317" i="357"/>
  <c r="J908" i="357"/>
  <c r="J405" i="357"/>
  <c r="I476" i="357"/>
  <c r="J337" i="357"/>
  <c r="J2618" i="357"/>
  <c r="J1386" i="357"/>
  <c r="I1525" i="357"/>
  <c r="J621" i="357"/>
  <c r="J1577" i="357"/>
  <c r="I1338" i="357"/>
  <c r="G796" i="357"/>
  <c r="H3336" i="357"/>
  <c r="H2256" i="357"/>
  <c r="G1384" i="357"/>
  <c r="G3361" i="357"/>
  <c r="G2734" i="357"/>
  <c r="G2645" i="357"/>
  <c r="G1044" i="357"/>
  <c r="G1981" i="357"/>
  <c r="G1333" i="357"/>
  <c r="J2597" i="357"/>
  <c r="J2420" i="357"/>
  <c r="G143" i="357"/>
  <c r="G1485" i="357"/>
  <c r="G2123" i="357"/>
  <c r="I1146" i="357"/>
  <c r="I829" i="357"/>
  <c r="I504" i="357"/>
  <c r="J407" i="357"/>
  <c r="J415" i="357"/>
  <c r="I1496" i="357"/>
  <c r="I944" i="357"/>
  <c r="J878" i="357"/>
  <c r="G140" i="357"/>
  <c r="G2000" i="357"/>
  <c r="J826" i="357"/>
  <c r="J168" i="357"/>
  <c r="I168" i="357"/>
  <c r="I229" i="357"/>
  <c r="J229" i="357"/>
  <c r="J1591" i="357"/>
  <c r="I1591" i="357"/>
  <c r="J79" i="357"/>
  <c r="I79" i="357"/>
  <c r="J344" i="357"/>
  <c r="I344" i="357"/>
  <c r="J526" i="357"/>
  <c r="I526" i="357"/>
  <c r="J941" i="357"/>
  <c r="I941" i="357"/>
  <c r="I646" i="357"/>
  <c r="J646" i="357"/>
  <c r="J134" i="357"/>
  <c r="I134" i="357"/>
  <c r="J642" i="357"/>
  <c r="I642" i="357"/>
  <c r="J1775" i="357"/>
  <c r="I1775" i="357"/>
  <c r="I319" i="357"/>
  <c r="J319" i="357"/>
  <c r="I1244" i="357"/>
  <c r="J1244" i="357"/>
  <c r="I211" i="357"/>
  <c r="J211" i="357"/>
  <c r="J352" i="357"/>
  <c r="I352" i="357"/>
  <c r="J377" i="357"/>
  <c r="J530" i="357"/>
  <c r="I530" i="357"/>
  <c r="J1653" i="357"/>
  <c r="I297" i="357"/>
  <c r="J297" i="357"/>
  <c r="I1690" i="357"/>
  <c r="I645" i="357"/>
  <c r="J645" i="357"/>
  <c r="I219" i="357"/>
  <c r="J219" i="357"/>
  <c r="J1067" i="357"/>
  <c r="I1067" i="357"/>
  <c r="J124" i="357"/>
  <c r="I124" i="357"/>
  <c r="I425" i="357"/>
  <c r="I407" i="357"/>
  <c r="I578" i="357"/>
  <c r="J1131" i="357"/>
  <c r="I1131" i="357"/>
  <c r="I1658" i="357"/>
  <c r="G2677" i="357"/>
  <c r="I2677" i="357" s="1"/>
  <c r="I2420" i="357"/>
  <c r="J41" i="357"/>
  <c r="I41" i="357"/>
  <c r="I581" i="357"/>
  <c r="J581" i="357"/>
  <c r="I1285" i="357"/>
  <c r="J1285" i="357"/>
  <c r="J1947" i="357"/>
  <c r="J1143" i="357"/>
  <c r="I1143" i="357"/>
  <c r="J47" i="357"/>
  <c r="I47" i="357"/>
  <c r="J400" i="357"/>
  <c r="I400" i="357"/>
  <c r="J433" i="357"/>
  <c r="J1171" i="357"/>
  <c r="I1171" i="357"/>
  <c r="I1688" i="357"/>
  <c r="J242" i="357"/>
  <c r="I242" i="357"/>
  <c r="I1714" i="357"/>
  <c r="J1714" i="357"/>
  <c r="I1531" i="357"/>
  <c r="J1531" i="357"/>
  <c r="J1944" i="357"/>
  <c r="I1944" i="357"/>
  <c r="I1230" i="357"/>
  <c r="J1230" i="357"/>
  <c r="J1184" i="357"/>
  <c r="I1184" i="357"/>
  <c r="I276" i="357"/>
  <c r="J276" i="357"/>
  <c r="J1235" i="357"/>
  <c r="I1235" i="357"/>
  <c r="J2147" i="357"/>
  <c r="I2147" i="357"/>
  <c r="J2462" i="357"/>
  <c r="I2462" i="357"/>
  <c r="J1685" i="357"/>
  <c r="I1685" i="357"/>
  <c r="I1679" i="357"/>
  <c r="J1679" i="357"/>
  <c r="J600" i="357"/>
  <c r="I600" i="357"/>
  <c r="J2107" i="357"/>
  <c r="I298" i="357"/>
  <c r="J298" i="357"/>
  <c r="G1188" i="357"/>
  <c r="J2292" i="357"/>
  <c r="I2292" i="357"/>
  <c r="J1697" i="357"/>
  <c r="I1697" i="357"/>
  <c r="I442" i="357"/>
  <c r="I2550" i="357"/>
  <c r="J2550" i="357"/>
  <c r="G599" i="357"/>
  <c r="G3426" i="357"/>
  <c r="J1129" i="357"/>
  <c r="J202" i="357"/>
  <c r="I202" i="357"/>
  <c r="J1687" i="357"/>
  <c r="I1687" i="357"/>
  <c r="I2196" i="357"/>
  <c r="J2196" i="357"/>
  <c r="I1720" i="357"/>
  <c r="J1720" i="357"/>
  <c r="J1901" i="357"/>
  <c r="I1901" i="357"/>
  <c r="G683" i="357"/>
  <c r="G1505" i="357"/>
  <c r="I1505" i="357" s="1"/>
  <c r="J1765" i="357"/>
  <c r="I1765" i="357"/>
  <c r="H2133" i="357"/>
  <c r="J2205" i="357"/>
  <c r="I1878" i="357"/>
  <c r="G1228" i="357"/>
  <c r="I2313" i="357"/>
  <c r="J2313" i="357"/>
  <c r="I2099" i="357"/>
  <c r="J2099" i="357"/>
  <c r="H1889" i="357"/>
  <c r="H1971" i="357"/>
  <c r="H3151" i="357"/>
  <c r="J402" i="357"/>
  <c r="G2861" i="357"/>
  <c r="G2759" i="357"/>
  <c r="H296" i="357"/>
  <c r="H36" i="357"/>
  <c r="J2141" i="357"/>
  <c r="I2141" i="357"/>
  <c r="G2753" i="357"/>
  <c r="I2753" i="357" s="1"/>
  <c r="G2936" i="357"/>
  <c r="I2325" i="357"/>
  <c r="J2325" i="357"/>
  <c r="G2011" i="357"/>
  <c r="I2011" i="357" s="1"/>
  <c r="G1136" i="357"/>
  <c r="I1136" i="357" s="1"/>
  <c r="J604" i="357"/>
  <c r="I604" i="357"/>
  <c r="I383" i="357"/>
  <c r="I1874" i="357"/>
  <c r="I3161" i="357"/>
  <c r="J738" i="357"/>
  <c r="J909" i="357"/>
  <c r="J3488" i="357"/>
  <c r="J1077" i="357"/>
  <c r="I2816" i="357"/>
  <c r="J2816" i="357"/>
  <c r="I2959" i="357"/>
  <c r="J3255" i="357"/>
  <c r="J3297" i="357"/>
  <c r="J3178" i="357"/>
  <c r="J3316" i="357"/>
  <c r="I499" i="357"/>
  <c r="J358" i="357"/>
  <c r="J664" i="357"/>
  <c r="J854" i="357"/>
  <c r="I854" i="357"/>
  <c r="J1499" i="357"/>
  <c r="J1800" i="357"/>
  <c r="J2035" i="357"/>
  <c r="J1875" i="357"/>
  <c r="J2801" i="357"/>
  <c r="J744" i="357"/>
  <c r="J884" i="357"/>
  <c r="J741" i="357"/>
  <c r="J881" i="357"/>
  <c r="J1025" i="357"/>
  <c r="J1151" i="357"/>
  <c r="J1805" i="357"/>
  <c r="J3145" i="357"/>
  <c r="J3414" i="357"/>
  <c r="I665" i="357"/>
  <c r="J849" i="357"/>
  <c r="J1102" i="357"/>
  <c r="J743" i="357"/>
  <c r="J662" i="357"/>
  <c r="I662" i="357"/>
  <c r="I2669" i="357"/>
  <c r="J2669" i="357"/>
  <c r="I1808" i="357"/>
  <c r="I669" i="357"/>
  <c r="J669" i="357"/>
  <c r="J733" i="357"/>
  <c r="I733" i="357"/>
  <c r="J2015" i="357"/>
  <c r="J2639" i="357"/>
  <c r="J1008" i="357"/>
  <c r="J1978" i="357"/>
  <c r="J487" i="357"/>
  <c r="J998" i="357"/>
  <c r="J762" i="357"/>
  <c r="J1770" i="357"/>
  <c r="J1586" i="357"/>
  <c r="J1046" i="357"/>
  <c r="J687" i="357"/>
  <c r="J300" i="357"/>
  <c r="I300" i="357"/>
  <c r="J252" i="357"/>
  <c r="I252" i="357"/>
  <c r="J1423" i="357"/>
  <c r="I282" i="357"/>
  <c r="J282" i="357"/>
  <c r="I1040" i="357"/>
  <c r="I405" i="357"/>
  <c r="J1365" i="357"/>
  <c r="I387" i="357"/>
  <c r="J515" i="357"/>
  <c r="J472" i="357"/>
  <c r="I472" i="357"/>
  <c r="I173" i="357"/>
  <c r="J173" i="357"/>
  <c r="I1577" i="357"/>
  <c r="J59" i="357"/>
  <c r="I59" i="357"/>
  <c r="J259" i="357"/>
  <c r="I259" i="357"/>
  <c r="I908" i="357"/>
  <c r="J504" i="357"/>
  <c r="I1265" i="357"/>
  <c r="J1265" i="357"/>
  <c r="J94" i="357"/>
  <c r="I94" i="357"/>
  <c r="J395" i="357"/>
  <c r="J224" i="357"/>
  <c r="I224" i="357"/>
  <c r="J524" i="357"/>
  <c r="J26" i="357"/>
  <c r="I26" i="357"/>
  <c r="I2597" i="357"/>
  <c r="I1124" i="357"/>
  <c r="J1443" i="357"/>
  <c r="J735" i="357"/>
  <c r="I491" i="357"/>
  <c r="J491" i="357"/>
  <c r="I2322" i="357"/>
  <c r="I653" i="357"/>
  <c r="J2399" i="357"/>
  <c r="G3146" i="357"/>
  <c r="J85" i="357"/>
  <c r="I85" i="357"/>
  <c r="I201" i="357"/>
  <c r="J201" i="357"/>
  <c r="J720" i="357"/>
  <c r="J1438" i="357"/>
  <c r="J204" i="357"/>
  <c r="I204" i="357"/>
  <c r="J534" i="357"/>
  <c r="I2618" i="357"/>
  <c r="J819" i="357"/>
  <c r="J2569" i="357"/>
  <c r="J512" i="357"/>
  <c r="I512" i="357"/>
  <c r="I579" i="357"/>
  <c r="J579" i="357"/>
  <c r="J1325" i="357"/>
  <c r="I1325" i="357"/>
  <c r="J349" i="357"/>
  <c r="I2404" i="357"/>
  <c r="I267" i="357"/>
  <c r="J267" i="357"/>
  <c r="J542" i="357"/>
  <c r="J1767" i="357"/>
  <c r="I1767" i="357"/>
  <c r="J2224" i="357"/>
  <c r="I2224" i="357"/>
  <c r="J1885" i="357"/>
  <c r="I1885" i="357"/>
  <c r="J1051" i="357"/>
  <c r="I1051" i="357"/>
  <c r="I1104" i="357"/>
  <c r="I275" i="357"/>
  <c r="J275" i="357"/>
  <c r="I1322" i="357"/>
  <c r="J1322" i="357"/>
  <c r="J1637" i="357"/>
  <c r="I1637" i="357"/>
  <c r="I1195" i="357"/>
  <c r="J1195" i="357"/>
  <c r="J1292" i="357"/>
  <c r="I1292" i="357"/>
  <c r="J1793" i="357"/>
  <c r="I1793" i="357"/>
  <c r="J2201" i="357"/>
  <c r="I2201" i="357"/>
  <c r="I2547" i="357"/>
  <c r="J2547" i="357"/>
  <c r="I1362" i="357"/>
  <c r="I1678" i="357"/>
  <c r="G158" i="357"/>
  <c r="G1363" i="357"/>
  <c r="J2086" i="357"/>
  <c r="I2086" i="357"/>
  <c r="J3232" i="357"/>
  <c r="I2818" i="357"/>
  <c r="J2818" i="357"/>
  <c r="J799" i="357"/>
  <c r="G3151" i="357"/>
  <c r="J1037" i="357"/>
  <c r="I1037" i="357"/>
  <c r="I318" i="357"/>
  <c r="J318" i="357"/>
  <c r="I1822" i="357"/>
  <c r="J1822" i="357"/>
  <c r="J3463" i="357"/>
  <c r="J170" i="357"/>
  <c r="I170" i="357"/>
  <c r="G1050" i="357"/>
  <c r="G1156" i="357"/>
  <c r="G1534" i="357"/>
  <c r="G1493" i="357"/>
  <c r="I1493" i="357" s="1"/>
  <c r="H3251" i="357"/>
  <c r="I2477" i="357"/>
  <c r="I595" i="357"/>
  <c r="I605" i="357"/>
  <c r="J605" i="357"/>
  <c r="I594" i="357"/>
  <c r="J594" i="357"/>
  <c r="J1375" i="357"/>
  <c r="I2551" i="357"/>
  <c r="J2551" i="357"/>
  <c r="I990" i="357"/>
  <c r="I1924" i="357"/>
  <c r="J357" i="357"/>
  <c r="J1526" i="357"/>
  <c r="I1526" i="357"/>
  <c r="I1902" i="357"/>
  <c r="J1902" i="357"/>
  <c r="I567" i="357"/>
  <c r="J567" i="357"/>
  <c r="I1588" i="357"/>
  <c r="J1588" i="357"/>
  <c r="J2262" i="357"/>
  <c r="I2262" i="357"/>
  <c r="J1027" i="357"/>
  <c r="I1027" i="357"/>
  <c r="H2333" i="357"/>
  <c r="H2459" i="357"/>
  <c r="J2054" i="357"/>
  <c r="I2054" i="357"/>
  <c r="I2215" i="357"/>
  <c r="J2215" i="357"/>
  <c r="I1022" i="357"/>
  <c r="J324" i="357"/>
  <c r="J416" i="357"/>
  <c r="G1312" i="357"/>
  <c r="G3021" i="357"/>
  <c r="G1524" i="357"/>
  <c r="G3388" i="357"/>
  <c r="J1204" i="357"/>
  <c r="I1204" i="357"/>
  <c r="H3415" i="357"/>
  <c r="H2512" i="357"/>
  <c r="J240" i="357"/>
  <c r="I240" i="357"/>
  <c r="I1185" i="357"/>
  <c r="J1185" i="357"/>
  <c r="J1791" i="357"/>
  <c r="I1791" i="357"/>
  <c r="G1275" i="357"/>
  <c r="G2862" i="357"/>
  <c r="G2666" i="357"/>
  <c r="G3211" i="357"/>
  <c r="I3211" i="357" s="1"/>
  <c r="G1157" i="357"/>
  <c r="I1157" i="357" s="1"/>
  <c r="I2267" i="357"/>
  <c r="J2267" i="357"/>
  <c r="I1643" i="357"/>
  <c r="J1643" i="357"/>
  <c r="I1894" i="357"/>
  <c r="I464" i="357"/>
  <c r="J418" i="357"/>
  <c r="I1114" i="357"/>
  <c r="I1766" i="357"/>
  <c r="I2928" i="357"/>
  <c r="J2928" i="357"/>
  <c r="J3189" i="357"/>
  <c r="I3189" i="357"/>
  <c r="I1814" i="357"/>
  <c r="J444" i="357"/>
  <c r="I444" i="357"/>
  <c r="J437" i="357"/>
  <c r="I688" i="357"/>
  <c r="J958" i="357"/>
  <c r="J737" i="357"/>
  <c r="I1928" i="357"/>
  <c r="J1928" i="357"/>
  <c r="J2077" i="357"/>
  <c r="I2077" i="357"/>
  <c r="J3202" i="357"/>
  <c r="J3436" i="357"/>
  <c r="J3456" i="357"/>
  <c r="I1535" i="357"/>
  <c r="J2400" i="357"/>
  <c r="J370" i="357"/>
  <c r="J451" i="357"/>
  <c r="J527" i="357"/>
  <c r="J1930" i="357"/>
  <c r="J2076" i="357"/>
  <c r="J2079" i="357"/>
  <c r="I1785" i="357"/>
  <c r="J448" i="357"/>
  <c r="J1112" i="357"/>
  <c r="J985" i="357"/>
  <c r="J658" i="357"/>
  <c r="J1817" i="357"/>
  <c r="J2148" i="357"/>
  <c r="J2798" i="357"/>
  <c r="J2929" i="357"/>
  <c r="J3190" i="357"/>
  <c r="J2982" i="357"/>
  <c r="I1638" i="357"/>
  <c r="J2468" i="357"/>
  <c r="J438" i="357"/>
  <c r="I438" i="357"/>
  <c r="J431" i="357"/>
  <c r="J467" i="357"/>
  <c r="J930" i="357"/>
  <c r="J1170" i="357"/>
  <c r="I1892" i="357"/>
  <c r="J445" i="357"/>
  <c r="J1435" i="357"/>
  <c r="J2029" i="357"/>
  <c r="J1821" i="357"/>
  <c r="J2788" i="357"/>
  <c r="I2788" i="357"/>
  <c r="I2897" i="357"/>
  <c r="J2897" i="357"/>
  <c r="J838" i="357"/>
  <c r="J2167" i="357"/>
  <c r="J511" i="357"/>
  <c r="J1024" i="357"/>
  <c r="J489" i="357"/>
  <c r="J2111" i="357"/>
  <c r="J1900" i="357"/>
  <c r="J1060" i="357"/>
  <c r="J1403" i="357"/>
  <c r="I569" i="357"/>
  <c r="J569" i="357"/>
  <c r="I563" i="357"/>
  <c r="J563" i="357"/>
  <c r="I568" i="357"/>
  <c r="J568" i="357"/>
  <c r="I1630" i="357"/>
  <c r="I115" i="357"/>
  <c r="J115" i="357"/>
  <c r="J516" i="357"/>
  <c r="I622" i="357"/>
  <c r="J622" i="357"/>
  <c r="J1502" i="357"/>
  <c r="I1502" i="357"/>
  <c r="J944" i="357"/>
  <c r="I572" i="357"/>
  <c r="J572" i="357"/>
  <c r="I630" i="357"/>
  <c r="J630" i="357"/>
  <c r="I305" i="357"/>
  <c r="J305" i="357"/>
  <c r="I1199" i="357"/>
  <c r="J1199" i="357"/>
  <c r="J1540" i="357"/>
  <c r="J957" i="357"/>
  <c r="I957" i="357"/>
  <c r="J196" i="357"/>
  <c r="I196" i="357"/>
  <c r="J476" i="357"/>
  <c r="J841" i="357"/>
  <c r="G2699" i="357"/>
  <c r="J130" i="357"/>
  <c r="I130" i="357"/>
  <c r="I270" i="357"/>
  <c r="J270" i="357"/>
  <c r="J496" i="357"/>
  <c r="I312" i="357"/>
  <c r="J312" i="357"/>
  <c r="I878" i="357"/>
  <c r="I263" i="357"/>
  <c r="J263" i="357"/>
  <c r="I367" i="357"/>
  <c r="J883" i="357"/>
  <c r="I883" i="357"/>
  <c r="I547" i="357"/>
  <c r="J547" i="357"/>
  <c r="J1393" i="357"/>
  <c r="J2414" i="357"/>
  <c r="I560" i="357"/>
  <c r="J560" i="357"/>
  <c r="I621" i="357"/>
  <c r="J807" i="357"/>
  <c r="J2043" i="357"/>
  <c r="I2043" i="357"/>
  <c r="I1207" i="357"/>
  <c r="J1207" i="357"/>
  <c r="I1352" i="357"/>
  <c r="J1352" i="357"/>
  <c r="J226" i="357"/>
  <c r="I226" i="357"/>
  <c r="J1272" i="357"/>
  <c r="I1272" i="357"/>
  <c r="J1445" i="357"/>
  <c r="I1445" i="357"/>
  <c r="I1677" i="357"/>
  <c r="J1677" i="357"/>
  <c r="J2290" i="357"/>
  <c r="I2290" i="357"/>
  <c r="I1756" i="357"/>
  <c r="J1756" i="357"/>
  <c r="I1509" i="357"/>
  <c r="J1509" i="357"/>
  <c r="J2127" i="357"/>
  <c r="I2127" i="357"/>
  <c r="J466" i="357"/>
  <c r="J1651" i="357"/>
  <c r="I1651" i="357"/>
  <c r="J1111" i="357"/>
  <c r="I1111" i="357"/>
  <c r="I561" i="357"/>
  <c r="J561" i="357"/>
  <c r="G1035" i="357"/>
  <c r="G1091" i="357"/>
  <c r="J1972" i="357"/>
  <c r="I1972" i="357"/>
  <c r="I2016" i="357"/>
  <c r="J2016" i="357"/>
  <c r="J440" i="357"/>
  <c r="I596" i="357"/>
  <c r="J596" i="357"/>
  <c r="I3077" i="357"/>
  <c r="J3077" i="357"/>
  <c r="G795" i="357"/>
  <c r="I1354" i="357"/>
  <c r="J1354" i="357"/>
  <c r="G434" i="357"/>
  <c r="I434" i="357" s="1"/>
  <c r="I1667" i="357"/>
  <c r="J1667" i="357"/>
  <c r="I284" i="357"/>
  <c r="J284" i="357"/>
  <c r="G2323" i="357"/>
  <c r="G1092" i="357"/>
  <c r="I1092" i="357" s="1"/>
  <c r="H3179" i="357"/>
  <c r="H2478" i="357"/>
  <c r="J3330" i="357"/>
  <c r="I2036" i="357"/>
  <c r="J2036" i="357"/>
  <c r="I2206" i="357"/>
  <c r="J2206" i="357"/>
  <c r="I1344" i="357"/>
  <c r="J1344" i="357"/>
  <c r="J1751" i="357"/>
  <c r="I1751" i="357"/>
  <c r="G634" i="357"/>
  <c r="I634" i="357" s="1"/>
  <c r="J1585" i="357"/>
  <c r="I1585" i="357"/>
  <c r="J2306" i="357"/>
  <c r="I2306" i="357"/>
  <c r="I1595" i="357"/>
  <c r="J1595" i="357"/>
  <c r="I816" i="357"/>
  <c r="J816" i="357"/>
  <c r="I1346" i="357"/>
  <c r="J1346" i="357"/>
  <c r="H3340" i="357"/>
  <c r="H2370" i="357"/>
  <c r="J3452" i="357"/>
  <c r="I454" i="357"/>
  <c r="I1223" i="357"/>
  <c r="J1223" i="357"/>
  <c r="I2831" i="357"/>
  <c r="J2831" i="357"/>
  <c r="J338" i="357"/>
  <c r="J428" i="357"/>
  <c r="G1424" i="357"/>
  <c r="G1871" i="357"/>
  <c r="G1976" i="357"/>
  <c r="G2490" i="357"/>
  <c r="G1889" i="357"/>
  <c r="H152" i="357"/>
  <c r="J152" i="357" s="1"/>
  <c r="J1715" i="357"/>
  <c r="J2246" i="357"/>
  <c r="I2246" i="357"/>
  <c r="I2421" i="357"/>
  <c r="J2421" i="357"/>
  <c r="G2256" i="357"/>
  <c r="G2328" i="357"/>
  <c r="I2328" i="357" s="1"/>
  <c r="J586" i="357"/>
  <c r="I586" i="357"/>
  <c r="I722" i="357"/>
  <c r="I3227" i="357"/>
  <c r="J853" i="357"/>
  <c r="I656" i="357"/>
  <c r="J656" i="357"/>
  <c r="J1087" i="357"/>
  <c r="J1702" i="357"/>
  <c r="J740" i="357"/>
  <c r="J1038" i="357"/>
  <c r="J852" i="357"/>
  <c r="J3150" i="357"/>
  <c r="J3278" i="357"/>
  <c r="J3431" i="357"/>
  <c r="J3451" i="357"/>
  <c r="J3263" i="357"/>
  <c r="J384" i="357"/>
  <c r="J446" i="357"/>
  <c r="I657" i="357"/>
  <c r="J657" i="357"/>
  <c r="I655" i="357"/>
  <c r="J655" i="357"/>
  <c r="J1462" i="357"/>
  <c r="J2906" i="357"/>
  <c r="I2906" i="357"/>
  <c r="I2927" i="357"/>
  <c r="J2927" i="357"/>
  <c r="J3186" i="357"/>
  <c r="J3123" i="357"/>
  <c r="J320" i="357"/>
  <c r="I661" i="357"/>
  <c r="J661" i="357"/>
  <c r="J847" i="357"/>
  <c r="I668" i="357"/>
  <c r="J668" i="357"/>
  <c r="J844" i="357"/>
  <c r="J1859" i="357"/>
  <c r="J2181" i="357"/>
  <c r="I1574" i="357"/>
  <c r="I1692" i="357"/>
  <c r="I1909" i="357"/>
  <c r="J1222" i="357"/>
  <c r="I1222" i="357"/>
  <c r="J2207" i="357"/>
  <c r="I2207" i="357"/>
  <c r="J734" i="357"/>
  <c r="J978" i="357"/>
  <c r="I663" i="357"/>
  <c r="J663" i="357"/>
  <c r="J834" i="357"/>
  <c r="J1374" i="357"/>
  <c r="J2800" i="357"/>
  <c r="I1914" i="357"/>
  <c r="I745" i="357"/>
  <c r="J745" i="357"/>
  <c r="J666" i="357"/>
  <c r="J1454" i="357"/>
  <c r="J2100" i="357"/>
  <c r="J1881" i="357"/>
  <c r="J1592" i="357"/>
  <c r="J2184" i="357"/>
  <c r="J525" i="357"/>
  <c r="J1080" i="357"/>
  <c r="J654" i="357"/>
  <c r="J962" i="357"/>
  <c r="J519" i="357"/>
  <c r="J1130" i="357"/>
  <c r="J1590" i="357"/>
  <c r="J122" i="357"/>
  <c r="I122" i="357"/>
  <c r="J31" i="357"/>
  <c r="I31" i="357"/>
  <c r="J1005" i="357"/>
  <c r="I1005" i="357"/>
  <c r="J9" i="357"/>
  <c r="I9" i="357"/>
  <c r="I207" i="357"/>
  <c r="J207" i="357"/>
  <c r="J222" i="357"/>
  <c r="I222" i="357"/>
  <c r="J1649" i="357"/>
  <c r="J959" i="357"/>
  <c r="I959" i="357"/>
  <c r="I379" i="357"/>
  <c r="J379" i="357"/>
  <c r="I260" i="357"/>
  <c r="J260" i="357"/>
  <c r="I193" i="357"/>
  <c r="J193" i="357"/>
  <c r="I3432" i="357"/>
  <c r="I945" i="357"/>
  <c r="J1467" i="357"/>
  <c r="J258" i="357"/>
  <c r="I258" i="357"/>
  <c r="J1707" i="357"/>
  <c r="I1707" i="357"/>
  <c r="I2265" i="357"/>
  <c r="I2279" i="357"/>
  <c r="J2279" i="357"/>
  <c r="J1367" i="357"/>
  <c r="I1367" i="357"/>
  <c r="I2830" i="357"/>
  <c r="J2830" i="357"/>
  <c r="I2202" i="357"/>
  <c r="J2202" i="357"/>
  <c r="J2042" i="357"/>
  <c r="I2042" i="357"/>
  <c r="I2243" i="357"/>
  <c r="J2243" i="357"/>
  <c r="J1927" i="357"/>
  <c r="I1927" i="357"/>
  <c r="J2312" i="357"/>
  <c r="I2312" i="357"/>
  <c r="J602" i="357"/>
  <c r="I602" i="357"/>
  <c r="G1100" i="357"/>
  <c r="G993" i="357"/>
  <c r="I2008" i="357"/>
  <c r="J2008" i="357"/>
  <c r="J1761" i="357"/>
  <c r="I1761" i="357"/>
  <c r="J2153" i="357"/>
  <c r="I2153" i="357"/>
  <c r="H2324" i="357"/>
  <c r="I1669" i="357"/>
  <c r="J1669" i="357"/>
  <c r="G469" i="357"/>
  <c r="I469" i="357" s="1"/>
  <c r="J2026" i="357"/>
  <c r="I2026" i="357"/>
  <c r="J1729" i="357"/>
  <c r="I1729" i="357"/>
  <c r="G2090" i="357"/>
  <c r="G1431" i="357"/>
  <c r="I1431" i="357" s="1"/>
  <c r="H1234" i="357"/>
  <c r="J1942" i="357"/>
  <c r="J2180" i="357"/>
  <c r="I2180" i="357"/>
  <c r="I1054" i="357"/>
  <c r="I1876" i="357"/>
  <c r="J1876" i="357"/>
  <c r="G2683" i="357"/>
  <c r="I2683" i="357" s="1"/>
  <c r="J1823" i="357"/>
  <c r="I1823" i="357"/>
  <c r="J1769" i="357"/>
  <c r="I1769" i="357"/>
  <c r="I2458" i="357"/>
  <c r="H1307" i="357"/>
  <c r="H1981" i="357"/>
  <c r="I2549" i="357"/>
  <c r="J2549" i="357"/>
  <c r="J364" i="357"/>
  <c r="J2546" i="357"/>
  <c r="G907" i="357"/>
  <c r="I907" i="357" s="1"/>
  <c r="I1320" i="357"/>
  <c r="J1320" i="357"/>
  <c r="H933" i="357"/>
  <c r="J1163" i="357"/>
  <c r="I1163" i="357"/>
  <c r="G1307" i="357"/>
  <c r="G3000" i="357"/>
  <c r="G2370" i="357"/>
  <c r="I2295" i="357"/>
  <c r="J2295" i="357"/>
  <c r="G2439" i="357"/>
  <c r="I2439" i="357" s="1"/>
  <c r="G811" i="357"/>
  <c r="I811" i="357" s="1"/>
  <c r="I2353" i="357"/>
  <c r="I323" i="357"/>
  <c r="I3216" i="357"/>
  <c r="J340" i="357"/>
  <c r="I2431" i="357"/>
  <c r="J3284" i="357"/>
  <c r="I3284" i="357"/>
  <c r="J822" i="357"/>
  <c r="J670" i="357"/>
  <c r="J1929" i="357"/>
  <c r="J2668" i="357"/>
  <c r="J2896" i="357"/>
  <c r="I2896" i="357"/>
  <c r="I2031" i="357"/>
  <c r="J456" i="357"/>
  <c r="I456" i="357"/>
  <c r="J449" i="357"/>
  <c r="J1066" i="357"/>
  <c r="J2682" i="357"/>
  <c r="J3231" i="357"/>
  <c r="J3288" i="357"/>
  <c r="J3303" i="357"/>
  <c r="I3188" i="357"/>
  <c r="J3188" i="357"/>
  <c r="J3141" i="357"/>
  <c r="I1958" i="357"/>
  <c r="J304" i="357"/>
  <c r="J396" i="357"/>
  <c r="J463" i="357"/>
  <c r="J1478" i="357"/>
  <c r="J2092" i="357"/>
  <c r="J2146" i="357"/>
  <c r="J360" i="357"/>
  <c r="J460" i="357"/>
  <c r="J1935" i="357"/>
  <c r="J1903" i="357"/>
  <c r="J2815" i="357"/>
  <c r="I2962" i="357"/>
  <c r="J2962" i="357"/>
  <c r="J3170" i="357"/>
  <c r="J3335" i="357"/>
  <c r="I2191" i="357"/>
  <c r="I2548" i="357"/>
  <c r="J2548" i="357"/>
  <c r="I3483" i="357"/>
  <c r="J3483" i="357"/>
  <c r="J450" i="357"/>
  <c r="I450" i="357"/>
  <c r="J443" i="357"/>
  <c r="J479" i="357"/>
  <c r="J1004" i="357"/>
  <c r="J846" i="357"/>
  <c r="J975" i="357"/>
  <c r="J457" i="357"/>
  <c r="J2149" i="357"/>
  <c r="J2134" i="357"/>
  <c r="J2687" i="357"/>
  <c r="J2802" i="357"/>
  <c r="I2802" i="357"/>
  <c r="J2894" i="357"/>
  <c r="I2894" i="357"/>
  <c r="I3262" i="357"/>
  <c r="J3262" i="357"/>
  <c r="I2895" i="357"/>
  <c r="J1664" i="357"/>
  <c r="J1778" i="357"/>
  <c r="J537" i="357"/>
  <c r="J1108" i="357"/>
  <c r="J1671" i="357"/>
  <c r="J988" i="357"/>
  <c r="J531" i="357"/>
  <c r="J1144" i="357"/>
  <c r="J1650" i="357"/>
  <c r="I203" i="357"/>
  <c r="J203" i="357"/>
  <c r="J1057" i="357"/>
  <c r="I1057" i="357"/>
  <c r="J109" i="357"/>
  <c r="I109" i="357"/>
  <c r="J410" i="357"/>
  <c r="I410" i="357"/>
  <c r="J8" i="357"/>
  <c r="I8" i="357"/>
  <c r="I287" i="357"/>
  <c r="J287" i="357"/>
  <c r="J15" i="357"/>
  <c r="I15" i="357"/>
  <c r="I589" i="357"/>
  <c r="J589" i="357"/>
  <c r="G149" i="357"/>
  <c r="I191" i="357"/>
  <c r="J191" i="357"/>
  <c r="J166" i="357"/>
  <c r="I166" i="357"/>
  <c r="I1706" i="357"/>
  <c r="J1706" i="357"/>
  <c r="G2001" i="357"/>
  <c r="I249" i="357"/>
  <c r="J249" i="357"/>
  <c r="I772" i="357"/>
  <c r="J772" i="357"/>
  <c r="J53" i="357"/>
  <c r="I53" i="357"/>
  <c r="J214" i="357"/>
  <c r="I214" i="357"/>
  <c r="I802" i="357"/>
  <c r="J802" i="357"/>
  <c r="J18" i="357"/>
  <c r="I18" i="357"/>
  <c r="I257" i="357"/>
  <c r="J257" i="357"/>
  <c r="J829" i="357"/>
  <c r="I1683" i="357"/>
  <c r="J552" i="357"/>
  <c r="I552" i="357"/>
  <c r="I181" i="357"/>
  <c r="J181" i="357"/>
  <c r="I1062" i="357"/>
  <c r="J73" i="357"/>
  <c r="I73" i="357"/>
  <c r="I423" i="357"/>
  <c r="J423" i="357"/>
  <c r="J1161" i="357"/>
  <c r="I1161" i="357"/>
  <c r="J1218" i="357"/>
  <c r="I1218" i="357"/>
  <c r="I690" i="357"/>
  <c r="J690" i="357"/>
  <c r="I317" i="357"/>
  <c r="I415" i="357"/>
  <c r="J1496" i="357"/>
  <c r="G1239" i="357"/>
  <c r="I163" i="357"/>
  <c r="J163" i="357"/>
  <c r="I365" i="357"/>
  <c r="J365" i="357"/>
  <c r="I337" i="357"/>
  <c r="J307" i="357"/>
  <c r="H2747" i="357"/>
  <c r="I1020" i="357"/>
  <c r="J3457" i="357"/>
  <c r="I1370" i="357"/>
  <c r="J1370" i="357"/>
  <c r="J1639" i="357"/>
  <c r="I1639" i="357"/>
  <c r="J967" i="357"/>
  <c r="I967" i="357"/>
  <c r="I1644" i="357"/>
  <c r="J995" i="357"/>
  <c r="I995" i="357"/>
  <c r="J1525" i="357"/>
  <c r="J2343" i="357"/>
  <c r="J1661" i="357"/>
  <c r="I1661" i="357"/>
  <c r="I2925" i="357"/>
  <c r="J2925" i="357"/>
  <c r="J2059" i="357"/>
  <c r="I2059" i="357"/>
  <c r="I1804" i="357"/>
  <c r="J1804" i="357"/>
  <c r="J2045" i="357"/>
  <c r="I2045" i="357"/>
  <c r="J1783" i="357"/>
  <c r="I1783" i="357"/>
  <c r="I1742" i="357"/>
  <c r="J1742" i="357"/>
  <c r="J2152" i="357"/>
  <c r="I2152" i="357"/>
  <c r="I147" i="357"/>
  <c r="J147" i="357"/>
  <c r="I1250" i="357"/>
  <c r="J1250" i="357"/>
  <c r="J2448" i="357"/>
  <c r="J13" i="357"/>
  <c r="I13" i="357"/>
  <c r="H2305" i="357"/>
  <c r="I1792" i="357"/>
  <c r="J1792" i="357"/>
  <c r="G2554" i="357"/>
  <c r="I2554" i="357" s="1"/>
  <c r="G1121" i="357"/>
  <c r="G2496" i="357"/>
  <c r="H2689" i="357"/>
  <c r="H1995" i="357"/>
  <c r="J2344" i="357"/>
  <c r="I2344" i="357"/>
  <c r="J2114" i="357"/>
  <c r="I2114" i="357"/>
  <c r="J1117" i="357"/>
  <c r="I1117" i="357"/>
  <c r="I1209" i="357"/>
  <c r="I1691" i="357"/>
  <c r="J1691" i="357"/>
  <c r="J190" i="357"/>
  <c r="I190" i="357"/>
  <c r="J3309" i="357"/>
  <c r="I1597" i="357"/>
  <c r="J1597" i="357"/>
  <c r="H2862" i="357"/>
  <c r="H1275" i="357"/>
  <c r="I1106" i="357"/>
  <c r="J378" i="357"/>
  <c r="G11" i="357"/>
  <c r="G1257" i="357"/>
  <c r="G1194" i="357"/>
  <c r="G2106" i="357"/>
  <c r="I723" i="357"/>
  <c r="J723" i="357"/>
  <c r="H2504" i="357"/>
  <c r="I1395" i="357"/>
  <c r="J1395" i="357"/>
  <c r="J2318" i="357"/>
  <c r="I2318" i="357"/>
  <c r="G1971" i="357"/>
  <c r="G2333" i="357"/>
  <c r="J2358" i="357"/>
  <c r="I2358" i="357"/>
  <c r="J2216" i="357"/>
  <c r="G1486" i="357"/>
  <c r="I1486" i="357" s="1"/>
  <c r="J1923" i="357"/>
  <c r="I1923" i="357"/>
  <c r="J3222" i="357"/>
  <c r="I2453" i="357"/>
  <c r="J1295" i="357"/>
  <c r="I1293" i="357"/>
  <c r="J1293" i="357"/>
  <c r="J2203" i="357"/>
  <c r="I1802" i="357"/>
  <c r="I3246" i="357"/>
  <c r="I671" i="357"/>
  <c r="J850" i="357"/>
  <c r="I1376" i="357"/>
  <c r="J1376" i="357"/>
  <c r="J765" i="357"/>
  <c r="J1150" i="357"/>
  <c r="I2676" i="357"/>
  <c r="J2483" i="357"/>
  <c r="I2799" i="357"/>
  <c r="J2799" i="357"/>
  <c r="I2898" i="357"/>
  <c r="J3462" i="357"/>
  <c r="J3250" i="357"/>
  <c r="J3445" i="357"/>
  <c r="I1799" i="357"/>
  <c r="I1168" i="357"/>
  <c r="I2002" i="357"/>
  <c r="J332" i="357"/>
  <c r="J422" i="357"/>
  <c r="J458" i="357"/>
  <c r="I739" i="357"/>
  <c r="J739" i="357"/>
  <c r="J1572" i="357"/>
  <c r="J2188" i="357"/>
  <c r="J2179" i="357"/>
  <c r="J2961" i="357"/>
  <c r="I2961" i="357"/>
  <c r="J2960" i="357"/>
  <c r="I2793" i="357"/>
  <c r="J2793" i="357"/>
  <c r="I1918" i="357"/>
  <c r="J398" i="357"/>
  <c r="J732" i="357"/>
  <c r="J859" i="357"/>
  <c r="I659" i="357"/>
  <c r="J856" i="357"/>
  <c r="J2049" i="357"/>
  <c r="J3132" i="357"/>
  <c r="J3425" i="357"/>
  <c r="I1646" i="357"/>
  <c r="J493" i="357"/>
  <c r="J746" i="357"/>
  <c r="J1018" i="357"/>
  <c r="J731" i="357"/>
  <c r="J1097" i="357"/>
  <c r="J2183" i="357"/>
  <c r="I2183" i="357"/>
  <c r="J2817" i="357"/>
  <c r="I3106" i="357"/>
  <c r="I667" i="357"/>
  <c r="J667" i="357"/>
  <c r="J848" i="357"/>
  <c r="I848" i="357"/>
  <c r="J1381" i="357"/>
  <c r="J1788" i="357"/>
  <c r="J2725" i="357"/>
  <c r="J1676" i="357"/>
  <c r="J1790" i="357"/>
  <c r="J549" i="357"/>
  <c r="J1164" i="357"/>
  <c r="J1556" i="357"/>
  <c r="J1072" i="357"/>
  <c r="J543" i="357"/>
  <c r="J768" i="357"/>
  <c r="J1674" i="357"/>
  <c r="I247" i="357"/>
  <c r="J247" i="357"/>
  <c r="I817" i="357"/>
  <c r="J817" i="357"/>
  <c r="I1166" i="357"/>
  <c r="I582" i="357"/>
  <c r="J582" i="357"/>
  <c r="J327" i="357"/>
  <c r="J1059" i="357"/>
  <c r="I1059" i="357"/>
  <c r="I239" i="357"/>
  <c r="J239" i="357"/>
  <c r="J32" i="357"/>
  <c r="I32" i="357"/>
  <c r="J1357" i="357"/>
  <c r="I1357" i="357"/>
  <c r="J1338" i="357"/>
  <c r="J2316" i="357"/>
  <c r="I2316" i="357"/>
  <c r="J1007" i="357"/>
  <c r="I1007" i="357"/>
  <c r="J164" i="357"/>
  <c r="I164" i="357"/>
  <c r="J2116" i="357"/>
  <c r="I2116" i="357"/>
  <c r="J246" i="357"/>
  <c r="I246" i="357"/>
  <c r="I1641" i="357"/>
  <c r="J1641" i="357"/>
  <c r="J2078" i="357"/>
  <c r="I2078" i="357"/>
  <c r="J3256" i="357"/>
  <c r="J598" i="357"/>
  <c r="I598" i="357"/>
  <c r="I1440" i="357"/>
  <c r="J65" i="357"/>
  <c r="I65" i="357"/>
  <c r="J182" i="357"/>
  <c r="I182" i="357"/>
  <c r="G1858" i="357"/>
  <c r="J2252" i="357"/>
  <c r="I2252" i="357"/>
  <c r="I264" i="357"/>
  <c r="J264" i="357"/>
  <c r="J987" i="357"/>
  <c r="I987" i="357"/>
  <c r="J1557" i="357"/>
  <c r="I1557" i="357"/>
  <c r="J2819" i="357"/>
  <c r="I2819" i="357"/>
  <c r="I603" i="357"/>
  <c r="J603" i="357"/>
  <c r="H2538" i="357"/>
  <c r="J1343" i="357"/>
  <c r="J580" i="357"/>
  <c r="I580" i="357"/>
  <c r="J2125" i="357"/>
  <c r="I2125" i="357"/>
  <c r="I2311" i="357"/>
  <c r="J2311" i="357"/>
  <c r="I1655" i="357"/>
  <c r="J1655" i="357"/>
  <c r="J1579" i="357"/>
  <c r="I1579" i="357"/>
  <c r="J1412" i="357"/>
  <c r="I1412" i="357"/>
  <c r="J2821" i="357"/>
  <c r="I2821" i="357"/>
  <c r="I1094" i="357"/>
  <c r="J220" i="357"/>
  <c r="I220" i="357"/>
  <c r="I2277" i="357"/>
  <c r="J2277" i="357"/>
  <c r="J1781" i="357"/>
  <c r="I1781" i="357"/>
  <c r="H2936" i="357"/>
  <c r="I606" i="357"/>
  <c r="J606" i="357"/>
  <c r="I982" i="357"/>
  <c r="I1148" i="357"/>
  <c r="J390" i="357"/>
  <c r="G186" i="357"/>
  <c r="I186" i="357" s="1"/>
  <c r="I1507" i="357"/>
  <c r="J2101" i="357"/>
  <c r="I2101" i="357"/>
  <c r="G2459" i="357"/>
  <c r="G1921" i="357"/>
  <c r="I1921" i="357" s="1"/>
  <c r="J208" i="357"/>
  <c r="I208" i="357"/>
  <c r="J1245" i="357"/>
  <c r="I1245" i="357"/>
  <c r="J1173" i="357"/>
  <c r="I1173" i="357"/>
  <c r="I597" i="357"/>
  <c r="J597" i="357"/>
  <c r="I2820" i="357"/>
  <c r="J2820" i="357"/>
  <c r="I3137" i="357"/>
  <c r="J380" i="357"/>
  <c r="J1355" i="357"/>
  <c r="J2006" i="357"/>
  <c r="J2187" i="357"/>
  <c r="J2728" i="357"/>
  <c r="I2899" i="357"/>
  <c r="J2899" i="357"/>
  <c r="J432" i="357"/>
  <c r="I432" i="357"/>
  <c r="J468" i="357"/>
  <c r="I468" i="357"/>
  <c r="J461" i="357"/>
  <c r="J855" i="357"/>
  <c r="J1414" i="357"/>
  <c r="J1931" i="357"/>
  <c r="I1931" i="357"/>
  <c r="J2189" i="357"/>
  <c r="I2189" i="357"/>
  <c r="J3221" i="357"/>
  <c r="J3329" i="357"/>
  <c r="J3113" i="357"/>
  <c r="J3092" i="357"/>
  <c r="J346" i="357"/>
  <c r="J439" i="357"/>
  <c r="J1656" i="357"/>
  <c r="J2007" i="357"/>
  <c r="J3102" i="357"/>
  <c r="J436" i="357"/>
  <c r="J1109" i="357"/>
  <c r="J1772" i="357"/>
  <c r="J2789" i="357"/>
  <c r="J3165" i="357"/>
  <c r="J3360" i="357"/>
  <c r="I2983" i="357"/>
  <c r="I1682" i="357"/>
  <c r="I2907" i="357"/>
  <c r="J2907" i="357"/>
  <c r="J462" i="357"/>
  <c r="I462" i="357"/>
  <c r="J455" i="357"/>
  <c r="J505" i="357"/>
  <c r="J1086" i="357"/>
  <c r="J858" i="357"/>
  <c r="J1141" i="357"/>
  <c r="J2472" i="357"/>
  <c r="I1153" i="357"/>
  <c r="J452" i="357"/>
  <c r="J507" i="357"/>
  <c r="J1411" i="357"/>
  <c r="J1860" i="357"/>
  <c r="J2697" i="357"/>
  <c r="J3187" i="357"/>
  <c r="I3187" i="357"/>
  <c r="J936" i="357"/>
  <c r="J1880" i="357"/>
  <c r="J473" i="357"/>
  <c r="J984" i="357"/>
  <c r="J725" i="357"/>
  <c r="J1986" i="357"/>
  <c r="J693" i="357"/>
  <c r="J964" i="357"/>
  <c r="J545" i="357"/>
  <c r="J1806" i="357"/>
  <c r="J2645" i="357" l="1"/>
  <c r="J2082" i="357"/>
  <c r="I2490" i="357"/>
  <c r="I1976" i="357"/>
  <c r="J719" i="357"/>
  <c r="J2332" i="357"/>
  <c r="J1515" i="357"/>
  <c r="J3361" i="357"/>
  <c r="I2106" i="357"/>
  <c r="I3503" i="357"/>
  <c r="I2073" i="357"/>
  <c r="J2066" i="357"/>
  <c r="I2484" i="357"/>
  <c r="J1313" i="357"/>
  <c r="J761" i="357"/>
  <c r="J2337" i="357"/>
  <c r="I1015" i="357"/>
  <c r="I2347" i="357"/>
  <c r="I2105" i="357"/>
  <c r="I1466" i="357"/>
  <c r="I2089" i="357"/>
  <c r="I2861" i="357"/>
  <c r="J2393" i="357"/>
  <c r="I2369" i="357"/>
  <c r="I1453" i="357"/>
  <c r="J2089" i="357"/>
  <c r="I1568" i="357"/>
  <c r="J2105" i="357"/>
  <c r="I11" i="357"/>
  <c r="J2073" i="357"/>
  <c r="J2348" i="357"/>
  <c r="J3446" i="357"/>
  <c r="I1257" i="357"/>
  <c r="J3289" i="357"/>
  <c r="J3279" i="357"/>
  <c r="J1539" i="357"/>
  <c r="I1312" i="357"/>
  <c r="J143" i="357"/>
  <c r="J1485" i="357"/>
  <c r="I1050" i="357"/>
  <c r="I1194" i="357"/>
  <c r="I2562" i="357"/>
  <c r="I1424" i="357"/>
  <c r="I3021" i="357"/>
  <c r="J2408" i="357"/>
  <c r="J1425" i="357"/>
  <c r="I3388" i="357"/>
  <c r="J3437" i="357"/>
  <c r="J1453" i="357"/>
  <c r="I1071" i="357"/>
  <c r="I234" i="357"/>
  <c r="I2332" i="357"/>
  <c r="J2388" i="357"/>
  <c r="I1049" i="357"/>
  <c r="I2357" i="357"/>
  <c r="I832" i="357"/>
  <c r="I2164" i="357"/>
  <c r="I1481" i="357"/>
  <c r="I1384" i="357"/>
  <c r="I644" i="357"/>
  <c r="I1871" i="357"/>
  <c r="J1332" i="357"/>
  <c r="J2657" i="357"/>
  <c r="I1764" i="357"/>
  <c r="I2699" i="357"/>
  <c r="J3298" i="357"/>
  <c r="J1628" i="357"/>
  <c r="J486" i="357"/>
  <c r="I1534" i="357"/>
  <c r="J1700" i="357"/>
  <c r="J796" i="357"/>
  <c r="J1913" i="357"/>
  <c r="J3304" i="357"/>
  <c r="J1547" i="357"/>
  <c r="I1938" i="357"/>
  <c r="I1122" i="357"/>
  <c r="I3037" i="357"/>
  <c r="I1458" i="357"/>
  <c r="I2095" i="357"/>
  <c r="I1951" i="357"/>
  <c r="J2000" i="357"/>
  <c r="J2375" i="357"/>
  <c r="I1470" i="357"/>
  <c r="J146" i="357"/>
  <c r="I1524" i="357"/>
  <c r="J2157" i="357"/>
  <c r="I2157" i="357"/>
  <c r="J1538" i="357"/>
  <c r="J1071" i="357"/>
  <c r="J2734" i="357"/>
  <c r="I760" i="357"/>
  <c r="I2383" i="357"/>
  <c r="I3146" i="357"/>
  <c r="I2388" i="357"/>
  <c r="J2019" i="357"/>
  <c r="J23" i="357"/>
  <c r="I1955" i="357"/>
  <c r="J3348" i="357"/>
  <c r="I684" i="357"/>
  <c r="J1101" i="357"/>
  <c r="J3015" i="357"/>
  <c r="J2729" i="357"/>
  <c r="I1407" i="357"/>
  <c r="J2096" i="357"/>
  <c r="J2145" i="357"/>
  <c r="J1044" i="357"/>
  <c r="J2383" i="357"/>
  <c r="I2413" i="357"/>
  <c r="I158" i="357"/>
  <c r="I2759" i="357"/>
  <c r="J2158" i="357"/>
  <c r="I2170" i="357"/>
  <c r="J1036" i="357"/>
  <c r="I1796" i="357"/>
  <c r="J2122" i="357"/>
  <c r="J1994" i="357"/>
  <c r="I2738" i="357"/>
  <c r="I2473" i="357"/>
  <c r="I374" i="357"/>
  <c r="J684" i="357"/>
  <c r="J2347" i="357"/>
  <c r="J2364" i="357"/>
  <c r="J280" i="357"/>
  <c r="I1858" i="357"/>
  <c r="I1101" i="357"/>
  <c r="J825" i="357"/>
  <c r="I2427" i="357"/>
  <c r="I3489" i="357"/>
  <c r="J2409" i="357"/>
  <c r="I874" i="357"/>
  <c r="I2137" i="357"/>
  <c r="J3489" i="357"/>
  <c r="I3344" i="357"/>
  <c r="J2352" i="357"/>
  <c r="I1917" i="357"/>
  <c r="J920" i="357"/>
  <c r="J1216" i="357"/>
  <c r="I2688" i="357"/>
  <c r="I92" i="357"/>
  <c r="I1121" i="357"/>
  <c r="J1392" i="357"/>
  <c r="J1481" i="357"/>
  <c r="I330" i="357"/>
  <c r="J2132" i="357"/>
  <c r="I643" i="357"/>
  <c r="I3207" i="357"/>
  <c r="I2398" i="357"/>
  <c r="J1501" i="357"/>
  <c r="I2131" i="357"/>
  <c r="I1392" i="357"/>
  <c r="J2266" i="357"/>
  <c r="I914" i="357"/>
  <c r="I2524" i="357"/>
  <c r="I719" i="357"/>
  <c r="I2132" i="357"/>
  <c r="I2001" i="357"/>
  <c r="J1302" i="357"/>
  <c r="J2342" i="357"/>
  <c r="J1070" i="357"/>
  <c r="I1100" i="357"/>
  <c r="I3029" i="357"/>
  <c r="I2970" i="357"/>
  <c r="I795" i="357"/>
  <c r="I2121" i="357"/>
  <c r="I1091" i="357"/>
  <c r="I2393" i="357"/>
  <c r="I2327" i="357"/>
  <c r="J2121" i="357"/>
  <c r="J3503" i="357"/>
  <c r="I2352" i="357"/>
  <c r="I1239" i="357"/>
  <c r="I2172" i="357"/>
  <c r="I3352" i="357"/>
  <c r="J2137" i="357"/>
  <c r="I3366" i="357"/>
  <c r="I1732" i="357"/>
  <c r="J2374" i="357"/>
  <c r="J951" i="357"/>
  <c r="J1466" i="357"/>
  <c r="J2484" i="357"/>
  <c r="J2454" i="357"/>
  <c r="J1475" i="357"/>
  <c r="I1628" i="357"/>
  <c r="I2090" i="357"/>
  <c r="I683" i="357"/>
  <c r="I2374" i="357"/>
  <c r="I2165" i="357"/>
  <c r="I3043" i="357"/>
  <c r="J718" i="357"/>
  <c r="I994" i="357"/>
  <c r="I2323" i="357"/>
  <c r="I952" i="357"/>
  <c r="J3203" i="357"/>
  <c r="J1243" i="357"/>
  <c r="J2738" i="357"/>
  <c r="J2426" i="357"/>
  <c r="J3037" i="357"/>
  <c r="J1128" i="357"/>
  <c r="I1569" i="357"/>
  <c r="J2698" i="357"/>
  <c r="J2163" i="357"/>
  <c r="I1856" i="357"/>
  <c r="J1955" i="357"/>
  <c r="J1049" i="357"/>
  <c r="I1217" i="357"/>
  <c r="J2255" i="357"/>
  <c r="I1303" i="357"/>
  <c r="J296" i="357"/>
  <c r="J1177" i="357"/>
  <c r="I1538" i="357"/>
  <c r="J1856" i="357"/>
  <c r="J3344" i="357"/>
  <c r="J2363" i="357"/>
  <c r="I2991" i="357"/>
  <c r="J1014" i="357"/>
  <c r="J1122" i="357"/>
  <c r="I2163" i="357"/>
  <c r="J2074" i="357"/>
  <c r="J2991" i="357"/>
  <c r="J994" i="357"/>
  <c r="J2562" i="357"/>
  <c r="I3166" i="357"/>
  <c r="J1530" i="357"/>
  <c r="J36" i="357"/>
  <c r="I2067" i="357"/>
  <c r="J2478" i="357"/>
  <c r="J2394" i="357"/>
  <c r="J1135" i="357"/>
  <c r="J644" i="357"/>
  <c r="J2427" i="357"/>
  <c r="I2338" i="357"/>
  <c r="J3370" i="357"/>
  <c r="I3009" i="357"/>
  <c r="I825" i="357"/>
  <c r="J3022" i="357"/>
  <c r="I146" i="357"/>
  <c r="I343" i="357"/>
  <c r="I280" i="357"/>
  <c r="I1977" i="357"/>
  <c r="I2220" i="357"/>
  <c r="J3493" i="357"/>
  <c r="I2666" i="357"/>
  <c r="I2005" i="357"/>
  <c r="J2443" i="357"/>
  <c r="I993" i="357"/>
  <c r="J1568" i="357"/>
  <c r="J140" i="357"/>
  <c r="J1384" i="357"/>
  <c r="J1458" i="357"/>
  <c r="J1732" i="357"/>
  <c r="I2171" i="357"/>
  <c r="J234" i="357"/>
  <c r="J311" i="357"/>
  <c r="J973" i="357"/>
  <c r="I2096" i="357"/>
  <c r="I833" i="357"/>
  <c r="I1956" i="357"/>
  <c r="I1156" i="357"/>
  <c r="I1363" i="357"/>
  <c r="J2437" i="357"/>
  <c r="I1302" i="357"/>
  <c r="I973" i="357"/>
  <c r="J2538" i="357"/>
  <c r="I1872" i="357"/>
  <c r="J3499" i="357"/>
  <c r="J2504" i="357"/>
  <c r="I3022" i="357"/>
  <c r="I1539" i="357"/>
  <c r="J1985" i="357"/>
  <c r="I2841" i="357"/>
  <c r="J2403" i="357"/>
  <c r="J2520" i="357"/>
  <c r="J1622" i="357"/>
  <c r="J875" i="357"/>
  <c r="I1188" i="357"/>
  <c r="I1385" i="357"/>
  <c r="J1956" i="357"/>
  <c r="I1570" i="357"/>
  <c r="I1530" i="357"/>
  <c r="J972" i="357"/>
  <c r="I1907" i="357"/>
  <c r="J643" i="357"/>
  <c r="J2438" i="357"/>
  <c r="I875" i="357"/>
  <c r="I1623" i="357"/>
  <c r="J3166" i="357"/>
  <c r="J2914" i="357"/>
  <c r="J2841" i="357"/>
  <c r="I972" i="357"/>
  <c r="J832" i="357"/>
  <c r="J2170" i="357"/>
  <c r="I718" i="357"/>
  <c r="I1544" i="357"/>
  <c r="I2337" i="357"/>
  <c r="J1514" i="357"/>
  <c r="J1569" i="357"/>
  <c r="J2384" i="357"/>
  <c r="I3426" i="357"/>
  <c r="J1977" i="357"/>
  <c r="I1519" i="357"/>
  <c r="I2640" i="357"/>
  <c r="J2067" i="357"/>
  <c r="I810" i="357"/>
  <c r="J914" i="357"/>
  <c r="J1627" i="357"/>
  <c r="I1014" i="357"/>
  <c r="J2123" i="357"/>
  <c r="I2914" i="357"/>
  <c r="J2688" i="357"/>
  <c r="I2760" i="357"/>
  <c r="J3030" i="357"/>
  <c r="I1514" i="357"/>
  <c r="I149" i="357"/>
  <c r="J1570" i="357"/>
  <c r="I23" i="357"/>
  <c r="I486" i="357"/>
  <c r="J1217" i="357"/>
  <c r="J1623" i="357"/>
  <c r="J2640" i="357"/>
  <c r="J1519" i="357"/>
  <c r="J2970" i="357"/>
  <c r="I2122" i="357"/>
  <c r="J2512" i="357"/>
  <c r="I1515" i="357"/>
  <c r="J1957" i="357"/>
  <c r="I1529" i="357"/>
  <c r="J1544" i="357"/>
  <c r="I3000" i="357"/>
  <c r="J760" i="357"/>
  <c r="I1520" i="357"/>
  <c r="I1994" i="357"/>
  <c r="I3015" i="357"/>
  <c r="I2729" i="357"/>
  <c r="J3029" i="357"/>
  <c r="J2532" i="357"/>
  <c r="J874" i="357"/>
  <c r="I121" i="357"/>
  <c r="J1407" i="357"/>
  <c r="J2389" i="357"/>
  <c r="I3114" i="357"/>
  <c r="I3493" i="357"/>
  <c r="I2532" i="357"/>
  <c r="J810" i="357"/>
  <c r="J1995" i="357"/>
  <c r="I940" i="357"/>
  <c r="I1135" i="357"/>
  <c r="I72" i="357"/>
  <c r="J3356" i="357"/>
  <c r="I2389" i="357"/>
  <c r="J2164" i="357"/>
  <c r="I1425" i="357"/>
  <c r="I1476" i="357"/>
  <c r="I2496" i="357"/>
  <c r="I2408" i="357"/>
  <c r="I1957" i="357"/>
  <c r="J2171" i="357"/>
  <c r="I2083" i="357"/>
  <c r="I103" i="357"/>
  <c r="I29" i="357"/>
  <c r="J1303" i="357"/>
  <c r="J2131" i="357"/>
  <c r="J3179" i="357"/>
  <c r="J2095" i="357"/>
  <c r="I2158" i="357"/>
  <c r="I3203" i="357"/>
  <c r="I2438" i="357"/>
  <c r="I2266" i="357"/>
  <c r="I1258" i="357"/>
  <c r="J3009" i="357"/>
  <c r="J2432" i="357"/>
  <c r="J2992" i="357"/>
  <c r="J2444" i="357"/>
  <c r="I2437" i="357"/>
  <c r="J1476" i="357"/>
  <c r="J1470" i="357"/>
  <c r="J2324" i="357"/>
  <c r="I2698" i="357"/>
  <c r="J2133" i="357"/>
  <c r="J3366" i="357"/>
  <c r="J343" i="357"/>
  <c r="J374" i="357"/>
  <c r="J3043" i="357"/>
  <c r="J2747" i="357"/>
  <c r="I2364" i="357"/>
  <c r="I1070" i="357"/>
  <c r="J2760" i="357"/>
  <c r="J2083" i="357"/>
  <c r="I1313" i="357"/>
  <c r="I1228" i="357"/>
  <c r="J3114" i="357"/>
  <c r="J157" i="357"/>
  <c r="J2689" i="357"/>
  <c r="J2305" i="357"/>
  <c r="J933" i="357"/>
  <c r="I1700" i="357"/>
  <c r="I2454" i="357"/>
  <c r="I1035" i="357"/>
  <c r="J3415" i="357"/>
  <c r="I1128" i="357"/>
  <c r="J2165" i="357"/>
  <c r="I761" i="357"/>
  <c r="J29" i="357"/>
  <c r="I2915" i="357"/>
  <c r="I2273" i="357"/>
  <c r="I2444" i="357"/>
  <c r="I929" i="357"/>
  <c r="J103" i="357"/>
  <c r="I2734" i="357"/>
  <c r="I3133" i="357"/>
  <c r="J2097" i="357"/>
  <c r="J925" i="357"/>
  <c r="J1234" i="357"/>
  <c r="J833" i="357"/>
  <c r="I3348" i="357"/>
  <c r="J2419" i="357"/>
  <c r="J2273" i="357"/>
  <c r="J3340" i="357"/>
  <c r="J2915" i="357"/>
  <c r="J121" i="357"/>
  <c r="J2658" i="357"/>
  <c r="J3171" i="357"/>
  <c r="J2159" i="357"/>
  <c r="J2221" i="357"/>
  <c r="I2432" i="357"/>
  <c r="J1529" i="357"/>
  <c r="I2992" i="357"/>
  <c r="J1907" i="357"/>
  <c r="J929" i="357"/>
  <c r="J1385" i="357"/>
  <c r="I925" i="357"/>
  <c r="J3426" i="357"/>
  <c r="I3171" i="357"/>
  <c r="I2159" i="357"/>
  <c r="I1475" i="357"/>
  <c r="I2000" i="357"/>
  <c r="I1985" i="357"/>
  <c r="J1872" i="357"/>
  <c r="I1971" i="357"/>
  <c r="I1913" i="357"/>
  <c r="I628" i="357"/>
  <c r="I2221" i="357"/>
  <c r="I3030" i="357"/>
  <c r="J3251" i="357"/>
  <c r="I3370" i="357"/>
  <c r="I2097" i="357"/>
  <c r="I2658" i="357"/>
  <c r="J3336" i="357"/>
  <c r="I2256" i="357"/>
  <c r="I2645" i="357"/>
  <c r="J1157" i="357"/>
  <c r="J2862" i="357"/>
  <c r="I3336" i="357"/>
  <c r="J2338" i="357"/>
  <c r="I143" i="357"/>
  <c r="I951" i="357"/>
  <c r="I2133" i="357"/>
  <c r="I3298" i="357"/>
  <c r="J2473" i="357"/>
  <c r="I1307" i="357"/>
  <c r="I1333" i="357"/>
  <c r="I1332" i="357"/>
  <c r="J1188" i="357"/>
  <c r="I1177" i="357"/>
  <c r="J1981" i="357"/>
  <c r="I1889" i="357"/>
  <c r="I2394" i="357"/>
  <c r="I296" i="357"/>
  <c r="I3361" i="357"/>
  <c r="I796" i="357"/>
  <c r="J2677" i="357"/>
  <c r="I1044" i="357"/>
  <c r="J2936" i="357"/>
  <c r="I2657" i="357"/>
  <c r="J1493" i="357"/>
  <c r="J3146" i="357"/>
  <c r="I2074" i="357"/>
  <c r="I2123" i="357"/>
  <c r="J1258" i="357"/>
  <c r="I1485" i="357"/>
  <c r="I2375" i="357"/>
  <c r="J2683" i="357"/>
  <c r="J811" i="357"/>
  <c r="I3251" i="357"/>
  <c r="J1035" i="357"/>
  <c r="I140" i="357"/>
  <c r="J434" i="357"/>
  <c r="I3340" i="357"/>
  <c r="I2478" i="357"/>
  <c r="J1275" i="357"/>
  <c r="J1871" i="357"/>
  <c r="I2538" i="357"/>
  <c r="J2328" i="357"/>
  <c r="J1524" i="357"/>
  <c r="J2370" i="357"/>
  <c r="J2496" i="357"/>
  <c r="J1239" i="357"/>
  <c r="I3151" i="357"/>
  <c r="J3211" i="357"/>
  <c r="I2333" i="357"/>
  <c r="J1092" i="357"/>
  <c r="J1091" i="357"/>
  <c r="J2554" i="357"/>
  <c r="J1228" i="357"/>
  <c r="I2512" i="357"/>
  <c r="J1121" i="357"/>
  <c r="J2256" i="357"/>
  <c r="J2861" i="357"/>
  <c r="J2459" i="357"/>
  <c r="J1333" i="357"/>
  <c r="J469" i="357"/>
  <c r="J186" i="357"/>
  <c r="J2011" i="357"/>
  <c r="I2862" i="357"/>
  <c r="J3388" i="357"/>
  <c r="J2333" i="357"/>
  <c r="I2459" i="357"/>
  <c r="J2490" i="357"/>
  <c r="J1921" i="357"/>
  <c r="J2001" i="357"/>
  <c r="J795" i="357"/>
  <c r="I1275" i="357"/>
  <c r="J3021" i="357"/>
  <c r="J1976" i="357"/>
  <c r="J907" i="357"/>
  <c r="J634" i="357"/>
  <c r="J1050" i="357"/>
  <c r="J149" i="357"/>
  <c r="J1100" i="357"/>
  <c r="J1889" i="357"/>
  <c r="J1156" i="357"/>
  <c r="I2305" i="357"/>
  <c r="J1505" i="357"/>
  <c r="J1312" i="357"/>
  <c r="I2370" i="357"/>
  <c r="J1307" i="357"/>
  <c r="I2689" i="357"/>
  <c r="I2504" i="357"/>
  <c r="J683" i="357"/>
  <c r="J2699" i="357"/>
  <c r="J993" i="357"/>
  <c r="J158" i="357"/>
  <c r="I2936" i="357"/>
  <c r="J3151" i="357"/>
  <c r="J2439" i="357"/>
  <c r="J1534" i="357"/>
  <c r="J11" i="357"/>
  <c r="J1363" i="357"/>
  <c r="J2759" i="357"/>
  <c r="J1136" i="357"/>
  <c r="J1194" i="357"/>
  <c r="I2324" i="357"/>
  <c r="J2106" i="357"/>
  <c r="I1981" i="357"/>
  <c r="I3179" i="357"/>
  <c r="I152" i="357"/>
  <c r="J2666" i="357"/>
  <c r="J1257" i="357"/>
  <c r="J2090" i="357"/>
  <c r="I1995" i="357"/>
  <c r="I933" i="357"/>
  <c r="J1858" i="357"/>
  <c r="J2323" i="357"/>
  <c r="J1971" i="357"/>
  <c r="I1234" i="357"/>
  <c r="I599" i="357"/>
  <c r="J599" i="357"/>
  <c r="I3415" i="357"/>
  <c r="J1486" i="357"/>
  <c r="J1431" i="357"/>
  <c r="J3000" i="357"/>
  <c r="J1424" i="357"/>
  <c r="I2747" i="357"/>
  <c r="I36" i="357"/>
  <c r="J2753" i="357"/>
  <c r="R40" i="142"/>
  <c r="R39" i="142"/>
  <c r="C124" i="212" l="1"/>
  <c r="N27" i="185" s="1"/>
  <c r="E18" i="284" l="1"/>
  <c r="L71" i="83"/>
  <c r="I91" i="212" l="1"/>
  <c r="I93" i="212" s="1"/>
  <c r="I109" i="149"/>
  <c r="D109" i="149"/>
  <c r="I107" i="149"/>
  <c r="D107" i="149"/>
  <c r="P38" i="148" l="1"/>
  <c r="N39" i="148" l="1"/>
  <c r="P39" i="148" s="1"/>
  <c r="N40" i="148" s="1"/>
  <c r="D6" i="9"/>
  <c r="J20" i="162"/>
  <c r="J21" i="162"/>
  <c r="J22" i="162"/>
  <c r="J23" i="162"/>
  <c r="J24" i="162"/>
  <c r="J25" i="162"/>
  <c r="J26" i="162"/>
  <c r="J27" i="162"/>
  <c r="J19" i="162"/>
  <c r="I19" i="162"/>
  <c r="I20" i="162"/>
  <c r="I21" i="162"/>
  <c r="I22" i="162"/>
  <c r="I23" i="162"/>
  <c r="I24" i="162"/>
  <c r="I25" i="162"/>
  <c r="I26" i="162"/>
  <c r="I27" i="162"/>
  <c r="B141" i="83"/>
  <c r="L72" i="83"/>
  <c r="J71" i="83"/>
  <c r="G129" i="83"/>
  <c r="G82" i="169"/>
  <c r="I82" i="169" s="1"/>
  <c r="J82" i="169" s="1"/>
  <c r="G83" i="169"/>
  <c r="I83" i="169" s="1"/>
  <c r="J83" i="169" s="1"/>
  <c r="G84" i="169"/>
  <c r="I84" i="169" s="1"/>
  <c r="J84" i="169" s="1"/>
  <c r="J23" i="169" l="1"/>
  <c r="I23" i="169"/>
  <c r="G23" i="169"/>
  <c r="F23" i="169"/>
  <c r="D23" i="169"/>
  <c r="P40" i="148"/>
  <c r="P41" i="148" s="1"/>
  <c r="B23" i="169" l="1"/>
  <c r="Q40" i="148"/>
  <c r="R40" i="148" l="1"/>
  <c r="Q41" i="148" s="1"/>
  <c r="C23" i="169"/>
  <c r="E23" i="169" s="1"/>
  <c r="H23" i="169" s="1"/>
  <c r="K23" i="169" s="1"/>
  <c r="F183" i="212"/>
  <c r="I189" i="212" s="1"/>
  <c r="AD33" i="144"/>
  <c r="AD21" i="144"/>
  <c r="N10" i="144"/>
  <c r="M113" i="149"/>
  <c r="Q113" i="149" s="1"/>
  <c r="D105" i="149"/>
  <c r="T40" i="148" l="1"/>
  <c r="R41" i="148"/>
  <c r="T41" i="148" s="1"/>
  <c r="R23" i="169"/>
  <c r="T23" i="169" s="1"/>
  <c r="AD34" i="144"/>
  <c r="K27" i="144" s="1"/>
  <c r="R113" i="149"/>
  <c r="V23" i="169" l="1"/>
  <c r="C3508" i="357" l="1"/>
  <c r="D3508" i="357"/>
  <c r="C248" i="142"/>
  <c r="E212" i="142"/>
  <c r="E216" i="142" s="1"/>
  <c r="F207" i="142"/>
  <c r="D40" i="185" l="1"/>
  <c r="C40" i="185"/>
  <c r="F9" i="198" l="1"/>
  <c r="N15" i="149" l="1"/>
  <c r="E23" i="83"/>
  <c r="Q84" i="83"/>
  <c r="G105" i="149"/>
  <c r="H105" i="149" s="1"/>
  <c r="G109" i="149"/>
  <c r="R61" i="319" l="1"/>
  <c r="Q49" i="148"/>
  <c r="R49" i="148" s="1"/>
  <c r="C7" i="285" l="1"/>
  <c r="B15" i="144"/>
  <c r="B14" i="144"/>
  <c r="B13" i="144"/>
  <c r="B12" i="144"/>
  <c r="B10" i="144"/>
  <c r="AB34" i="144"/>
  <c r="AA33" i="144"/>
  <c r="AA34" i="144" s="1"/>
  <c r="Z33" i="144"/>
  <c r="Y33" i="144"/>
  <c r="X33" i="144"/>
  <c r="W33" i="144"/>
  <c r="V33" i="144"/>
  <c r="U33" i="144"/>
  <c r="T33" i="144"/>
  <c r="S33" i="144"/>
  <c r="R33" i="144"/>
  <c r="Q33" i="144"/>
  <c r="Z21" i="144"/>
  <c r="Y21" i="144"/>
  <c r="X21" i="144"/>
  <c r="W21" i="144"/>
  <c r="U21" i="144"/>
  <c r="T21" i="144"/>
  <c r="S21" i="144"/>
  <c r="R21" i="144"/>
  <c r="Q21" i="144"/>
  <c r="W34" i="144" l="1"/>
  <c r="S34" i="144"/>
  <c r="D30" i="144" s="1"/>
  <c r="V21" i="144"/>
  <c r="V34" i="144" s="1"/>
  <c r="Q34" i="144"/>
  <c r="B30" i="144" s="1"/>
  <c r="U34" i="144"/>
  <c r="F30" i="144" s="1"/>
  <c r="Y34" i="144"/>
  <c r="T34" i="144"/>
  <c r="E30" i="144" s="1"/>
  <c r="X34" i="144"/>
  <c r="R34" i="144"/>
  <c r="C30" i="144" s="1"/>
  <c r="Z34" i="144"/>
  <c r="F197" i="142"/>
  <c r="E54" i="242" l="1"/>
  <c r="E47" i="242"/>
  <c r="E44" i="242"/>
  <c r="E36" i="242"/>
  <c r="D54" i="242"/>
  <c r="D45" i="242"/>
  <c r="D47" i="242"/>
  <c r="D44" i="242"/>
  <c r="D36" i="242"/>
  <c r="C54" i="242"/>
  <c r="C45" i="242"/>
  <c r="C44" i="242"/>
  <c r="F21" i="358"/>
  <c r="G21" i="358"/>
  <c r="K96" i="83" l="1"/>
  <c r="G123" i="83"/>
  <c r="H123" i="83"/>
  <c r="J123" i="83"/>
  <c r="K123" i="83"/>
  <c r="M66" i="83"/>
  <c r="K63" i="83"/>
  <c r="J33" i="83"/>
  <c r="F175" i="212"/>
  <c r="I188" i="212" s="1"/>
  <c r="F166" i="212"/>
  <c r="I187" i="212" s="1"/>
  <c r="J91" i="212"/>
  <c r="J93" i="212" s="1"/>
  <c r="C10" i="212"/>
  <c r="C12" i="212" s="1"/>
  <c r="C13" i="212" s="1"/>
  <c r="D103" i="142"/>
  <c r="D102" i="142"/>
  <c r="D101" i="142"/>
  <c r="F30" i="225" l="1"/>
  <c r="I190" i="212"/>
  <c r="C30" i="225"/>
  <c r="D30" i="225"/>
  <c r="E30" i="225"/>
  <c r="C14" i="212"/>
  <c r="V48" i="148"/>
  <c r="B52" i="138"/>
  <c r="B50" i="138"/>
  <c r="B51" i="138"/>
  <c r="S49" i="148" l="1"/>
  <c r="T49" i="148"/>
  <c r="T50" i="148" s="1"/>
  <c r="B11" i="138"/>
  <c r="V49" i="148" l="1"/>
  <c r="S50" i="148"/>
  <c r="V50" i="148" s="1"/>
  <c r="N107" i="149"/>
  <c r="L105" i="149"/>
  <c r="M105" i="149" s="1"/>
  <c r="H148" i="149"/>
  <c r="H147" i="149"/>
  <c r="L74" i="149"/>
  <c r="H83" i="149"/>
  <c r="H84" i="149"/>
  <c r="L84" i="149" s="1"/>
  <c r="N84" i="149" s="1"/>
  <c r="H85" i="149"/>
  <c r="L85" i="149" s="1"/>
  <c r="G174" i="149" l="1"/>
  <c r="G176" i="149"/>
  <c r="Q105" i="149"/>
  <c r="R105" i="149" s="1"/>
  <c r="H13" i="350" l="1"/>
  <c r="F13" i="350"/>
  <c r="H12" i="350"/>
  <c r="F12" i="350"/>
  <c r="D11" i="350"/>
  <c r="F11" i="350" s="1"/>
  <c r="C11" i="350"/>
  <c r="H10" i="350"/>
  <c r="F10" i="350"/>
  <c r="H9" i="350"/>
  <c r="F9" i="350"/>
  <c r="F7" i="350" l="1"/>
  <c r="H7" i="350" s="1"/>
  <c r="C7" i="350"/>
  <c r="H5" i="350"/>
  <c r="B5" i="350"/>
  <c r="E70" i="332"/>
  <c r="H67" i="332"/>
  <c r="H66" i="332"/>
  <c r="H64" i="332"/>
  <c r="H62" i="332"/>
  <c r="H60" i="332"/>
  <c r="H58" i="332"/>
  <c r="H57" i="332"/>
  <c r="H56" i="332"/>
  <c r="H54" i="332"/>
  <c r="H52" i="332"/>
  <c r="H50" i="332"/>
  <c r="H48" i="332"/>
  <c r="H45" i="332"/>
  <c r="H44" i="332"/>
  <c r="H40" i="332"/>
  <c r="H38" i="332"/>
  <c r="H32" i="332"/>
  <c r="H29" i="332"/>
  <c r="H25" i="332"/>
  <c r="H23" i="332"/>
  <c r="H22" i="332"/>
  <c r="H17" i="332"/>
  <c r="H11" i="332"/>
  <c r="H8" i="332"/>
  <c r="H5" i="332"/>
  <c r="E14" i="135"/>
  <c r="L33" i="160"/>
  <c r="K33" i="160"/>
  <c r="J33" i="160"/>
  <c r="G33" i="160"/>
  <c r="F33" i="160"/>
  <c r="E33" i="160"/>
  <c r="H28" i="160"/>
  <c r="H70" i="332" l="1"/>
  <c r="L17" i="160"/>
  <c r="K17" i="160"/>
  <c r="J17" i="160"/>
  <c r="G17" i="160"/>
  <c r="F17" i="160"/>
  <c r="E17" i="160"/>
  <c r="H12" i="160"/>
  <c r="J27" i="161"/>
  <c r="M12" i="160" l="1"/>
  <c r="D27" i="161"/>
  <c r="H26" i="161" l="1"/>
  <c r="H25" i="161"/>
  <c r="H24" i="161"/>
  <c r="H23" i="161"/>
  <c r="H21" i="161"/>
  <c r="H20" i="161"/>
  <c r="J15" i="161" l="1"/>
  <c r="D15" i="161"/>
  <c r="H14" i="161"/>
  <c r="H13" i="161"/>
  <c r="H12" i="161"/>
  <c r="H11" i="161"/>
  <c r="H9" i="161"/>
  <c r="H8" i="161"/>
  <c r="K13" i="161" l="1"/>
  <c r="B25" i="161" s="1"/>
  <c r="K8" i="161"/>
  <c r="B20" i="161" s="1"/>
  <c r="K12" i="161"/>
  <c r="B24" i="161" s="1"/>
  <c r="K24" i="161" s="1"/>
  <c r="K25" i="161"/>
  <c r="K11" i="161"/>
  <c r="B23" i="161" s="1"/>
  <c r="K23" i="161" s="1"/>
  <c r="G73" i="19" l="1"/>
  <c r="G72" i="19"/>
  <c r="F68" i="19" l="1"/>
  <c r="E68" i="19"/>
  <c r="D68" i="19"/>
  <c r="F67" i="19"/>
  <c r="E67" i="19"/>
  <c r="G67" i="19" s="1"/>
  <c r="D67" i="19"/>
  <c r="G68" i="19" l="1"/>
  <c r="G66" i="19"/>
  <c r="F66" i="19"/>
  <c r="E66" i="19"/>
  <c r="D66" i="19"/>
  <c r="H65" i="19" l="1"/>
  <c r="D65" i="19"/>
  <c r="D61" i="19" l="1"/>
  <c r="F60" i="19"/>
  <c r="E60" i="19"/>
  <c r="D60" i="19"/>
  <c r="G60" i="19" l="1"/>
  <c r="D36" i="19"/>
  <c r="D31" i="19"/>
  <c r="E13" i="19" l="1"/>
  <c r="D13" i="19"/>
  <c r="F9" i="19"/>
  <c r="F23" i="19" s="1"/>
  <c r="E9" i="19"/>
  <c r="D9" i="19"/>
  <c r="D23" i="19" s="1"/>
  <c r="F13" i="19" s="1"/>
  <c r="G9" i="19" l="1"/>
  <c r="E23" i="19"/>
  <c r="G22" i="349"/>
  <c r="D22" i="349"/>
  <c r="F22" i="349" l="1"/>
  <c r="C22" i="349"/>
  <c r="L10" i="349"/>
  <c r="E10" i="349"/>
  <c r="B8" i="349"/>
  <c r="B4" i="349"/>
  <c r="E4" i="349" s="1"/>
  <c r="I17" i="349" l="1"/>
  <c r="E5" i="349"/>
  <c r="L8" i="349"/>
  <c r="E9" i="349"/>
  <c r="H9" i="349" s="1"/>
  <c r="E14" i="349"/>
  <c r="H14" i="349" s="1"/>
  <c r="E7" i="349"/>
  <c r="H7" i="349" s="1"/>
  <c r="E8" i="349"/>
  <c r="H8" i="349" s="1"/>
  <c r="H10" i="349"/>
  <c r="E12" i="349"/>
  <c r="H12" i="349" s="1"/>
  <c r="E13" i="349"/>
  <c r="H13" i="349" s="1"/>
  <c r="E6" i="349"/>
  <c r="H6" i="349" s="1"/>
  <c r="E11" i="349"/>
  <c r="H11" i="349" s="1"/>
  <c r="L5" i="349"/>
  <c r="H4" i="349"/>
  <c r="J17" i="349"/>
  <c r="G17" i="349"/>
  <c r="F17" i="349"/>
  <c r="D17" i="349"/>
  <c r="C17" i="349"/>
  <c r="AE105" i="169"/>
  <c r="AE103" i="169"/>
  <c r="AF95" i="169"/>
  <c r="AE92" i="169"/>
  <c r="AE87" i="169"/>
  <c r="AE76" i="169"/>
  <c r="AD76" i="169"/>
  <c r="AE75" i="169"/>
  <c r="AD75" i="169"/>
  <c r="D70" i="169"/>
  <c r="C70" i="169"/>
  <c r="G69" i="169"/>
  <c r="C12" i="138" s="1"/>
  <c r="H69" i="169"/>
  <c r="D12" i="138" s="1"/>
  <c r="O63" i="169"/>
  <c r="G62" i="169"/>
  <c r="AD59" i="169"/>
  <c r="F59" i="169"/>
  <c r="E59" i="169"/>
  <c r="C59" i="169"/>
  <c r="B59" i="169"/>
  <c r="AD58" i="169"/>
  <c r="H58" i="169"/>
  <c r="AD56" i="169"/>
  <c r="G56" i="169"/>
  <c r="G59" i="169" s="1"/>
  <c r="G32" i="132" s="1"/>
  <c r="C53" i="138" s="1"/>
  <c r="AD55" i="169"/>
  <c r="AD54" i="169"/>
  <c r="AD53" i="169"/>
  <c r="AD52" i="169"/>
  <c r="AD51" i="169"/>
  <c r="AD50" i="169"/>
  <c r="AD49" i="169"/>
  <c r="AC49" i="169"/>
  <c r="AA50" i="169" s="1"/>
  <c r="AD77" i="169" l="1"/>
  <c r="AF96" i="169"/>
  <c r="AC50" i="169"/>
  <c r="AE102" i="169"/>
  <c r="AE88" i="169"/>
  <c r="AE90" i="169" s="1"/>
  <c r="AE94" i="169" s="1"/>
  <c r="C68" i="169"/>
  <c r="H5" i="349"/>
  <c r="AE106" i="169"/>
  <c r="B17" i="349"/>
  <c r="E3" i="349"/>
  <c r="AA51" i="169" l="1"/>
  <c r="AC51" i="169" s="1"/>
  <c r="AE50" i="169"/>
  <c r="AF50" i="169" s="1"/>
  <c r="E17" i="349"/>
  <c r="H3" i="349"/>
  <c r="H17" i="349" s="1"/>
  <c r="V31" i="169"/>
  <c r="R31" i="169"/>
  <c r="S31" i="169" s="1"/>
  <c r="N31" i="169"/>
  <c r="O31" i="169" s="1"/>
  <c r="P31" i="169" s="1"/>
  <c r="J31" i="169"/>
  <c r="G31" i="169"/>
  <c r="D31" i="169"/>
  <c r="N29" i="169"/>
  <c r="O29" i="169" s="1"/>
  <c r="AE51" i="169" l="1"/>
  <c r="AA52" i="169"/>
  <c r="AC52" i="169" s="1"/>
  <c r="O45" i="169"/>
  <c r="T31" i="169"/>
  <c r="D29" i="169"/>
  <c r="C29" i="169"/>
  <c r="B29" i="169"/>
  <c r="N27" i="169"/>
  <c r="P27" i="169" s="1"/>
  <c r="D27" i="169"/>
  <c r="C27" i="169"/>
  <c r="B27" i="169"/>
  <c r="D25" i="169"/>
  <c r="D21" i="169"/>
  <c r="I19" i="169"/>
  <c r="F19" i="169"/>
  <c r="I17" i="169"/>
  <c r="F17" i="169"/>
  <c r="C17" i="169"/>
  <c r="AF15" i="169"/>
  <c r="I15" i="169"/>
  <c r="F15" i="169"/>
  <c r="D15" i="169"/>
  <c r="AE52" i="169" l="1"/>
  <c r="AA53" i="169"/>
  <c r="I13" i="169"/>
  <c r="AF52" i="169" l="1"/>
  <c r="AC53" i="169"/>
  <c r="F13" i="169"/>
  <c r="D13" i="169"/>
  <c r="AE53" i="169" l="1"/>
  <c r="AF53" i="169" s="1"/>
  <c r="AA54" i="169"/>
  <c r="AC54" i="169" s="1"/>
  <c r="AB12" i="169"/>
  <c r="AD12" i="169" s="1"/>
  <c r="AC11" i="169"/>
  <c r="AC15" i="169" s="1"/>
  <c r="AB11" i="169"/>
  <c r="AB15" i="169" s="1"/>
  <c r="AA15" i="169" s="1"/>
  <c r="AA11" i="169"/>
  <c r="I11" i="169"/>
  <c r="F11" i="169"/>
  <c r="D11" i="169"/>
  <c r="V9" i="169"/>
  <c r="R9" i="169"/>
  <c r="T9" i="169" s="1"/>
  <c r="N9" i="169"/>
  <c r="P9" i="169" s="1"/>
  <c r="AD11" i="169" l="1"/>
  <c r="AD15" i="169" s="1"/>
  <c r="AE54" i="169"/>
  <c r="AA55" i="169"/>
  <c r="I9" i="169"/>
  <c r="F9" i="169"/>
  <c r="D9" i="169"/>
  <c r="G83" i="17"/>
  <c r="D77" i="17"/>
  <c r="E76" i="17"/>
  <c r="E73" i="17"/>
  <c r="G55" i="17"/>
  <c r="F76" i="17" l="1"/>
  <c r="AF54" i="169"/>
  <c r="AC55" i="169"/>
  <c r="F73" i="17"/>
  <c r="E35" i="17"/>
  <c r="AA56" i="169" l="1"/>
  <c r="AE55" i="169"/>
  <c r="AF55" i="169" s="1"/>
  <c r="E38" i="19"/>
  <c r="G29" i="17"/>
  <c r="E29" i="17" s="1"/>
  <c r="G18" i="17"/>
  <c r="H56" i="169" l="1"/>
  <c r="H59" i="169" s="1"/>
  <c r="G34" i="17" s="1"/>
  <c r="AC56" i="169"/>
  <c r="F29" i="17"/>
  <c r="G82" i="132"/>
  <c r="D77" i="132"/>
  <c r="E34" i="17" l="1"/>
  <c r="F34" i="17" s="1"/>
  <c r="AE56" i="169"/>
  <c r="AF56" i="169" s="1"/>
  <c r="AA58" i="169"/>
  <c r="AC58" i="169" s="1"/>
  <c r="E34" i="132"/>
  <c r="D34" i="132"/>
  <c r="G27" i="132"/>
  <c r="E27" i="132" s="1"/>
  <c r="G17" i="132"/>
  <c r="AA59" i="169" l="1"/>
  <c r="AC59" i="169" s="1"/>
  <c r="AE58" i="169"/>
  <c r="AF58" i="169" s="1"/>
  <c r="I34" i="132"/>
  <c r="E32" i="132"/>
  <c r="F32" i="132" s="1"/>
  <c r="F27" i="132"/>
  <c r="AE59" i="169" l="1"/>
  <c r="AA60" i="169"/>
  <c r="D8" i="285"/>
  <c r="C8" i="285"/>
  <c r="D7" i="285"/>
  <c r="C5" i="285"/>
  <c r="D15" i="285" l="1"/>
  <c r="AF59" i="169"/>
  <c r="AC60" i="169"/>
  <c r="AD60" i="169"/>
  <c r="AE60" i="169"/>
  <c r="D18" i="285"/>
  <c r="D28" i="284"/>
  <c r="C28" i="284"/>
  <c r="B49" i="138" s="1"/>
  <c r="D15" i="284"/>
  <c r="C15" i="284"/>
  <c r="B48" i="138" s="1"/>
  <c r="D10" i="284"/>
  <c r="C10" i="284"/>
  <c r="AF60" i="169" l="1"/>
  <c r="D33" i="284"/>
  <c r="C33" i="284"/>
  <c r="G11" i="283"/>
  <c r="G13" i="283"/>
  <c r="C8" i="283" s="1"/>
  <c r="F6" i="283"/>
  <c r="N96" i="138"/>
  <c r="N95" i="138"/>
  <c r="D95" i="138"/>
  <c r="N93" i="138"/>
  <c r="D93" i="138"/>
  <c r="L82" i="138"/>
  <c r="L76" i="138"/>
  <c r="L66" i="138"/>
  <c r="N97" i="138" l="1"/>
  <c r="F9" i="284"/>
  <c r="G12" i="283"/>
  <c r="C7" i="283" s="1"/>
  <c r="E9" i="284"/>
  <c r="K36" i="138"/>
  <c r="J36" i="138"/>
  <c r="L35" i="138"/>
  <c r="L34" i="138"/>
  <c r="N33" i="138"/>
  <c r="L33" i="138"/>
  <c r="L32" i="138"/>
  <c r="L31" i="138" l="1"/>
  <c r="L30" i="138"/>
  <c r="G30" i="138"/>
  <c r="L29" i="138"/>
  <c r="L28" i="138"/>
  <c r="I26" i="138"/>
  <c r="G26" i="138"/>
  <c r="I13" i="138"/>
  <c r="I12" i="138"/>
  <c r="L36" i="138" l="1"/>
  <c r="E6" i="283"/>
  <c r="H6" i="283"/>
  <c r="B8" i="138"/>
  <c r="F26" i="136"/>
  <c r="H8" i="136"/>
  <c r="J39" i="137"/>
  <c r="J34" i="137"/>
  <c r="G34" i="137"/>
  <c r="F14" i="135"/>
  <c r="J31" i="137"/>
  <c r="G31" i="137"/>
  <c r="G29" i="137"/>
  <c r="J25" i="137"/>
  <c r="G14" i="137" l="1"/>
  <c r="J16" i="137"/>
  <c r="J14" i="137"/>
  <c r="G12" i="137"/>
  <c r="F12" i="137"/>
  <c r="E22" i="147" l="1"/>
  <c r="D22" i="147"/>
  <c r="M11" i="95" l="1"/>
  <c r="F10" i="282"/>
  <c r="E10" i="282"/>
  <c r="C10" i="282"/>
  <c r="E27" i="162"/>
  <c r="E26" i="162"/>
  <c r="E25" i="162"/>
  <c r="E24" i="162"/>
  <c r="E23" i="162"/>
  <c r="E22" i="162"/>
  <c r="E21" i="162"/>
  <c r="E20" i="162"/>
  <c r="C23" i="144"/>
  <c r="C32" i="144" s="1"/>
  <c r="M10" i="95" l="1"/>
  <c r="D53" i="82"/>
  <c r="B53" i="82"/>
  <c r="F51" i="82"/>
  <c r="F50" i="82"/>
  <c r="F49" i="82"/>
  <c r="F48" i="82"/>
  <c r="F47" i="82"/>
  <c r="F46" i="82"/>
  <c r="F45" i="82"/>
  <c r="F44" i="82"/>
  <c r="F43" i="82"/>
  <c r="E43" i="82"/>
  <c r="C43" i="82"/>
  <c r="I35" i="95" l="1"/>
  <c r="M35" i="95" s="1"/>
  <c r="H48" i="82"/>
  <c r="H50" i="82" s="1"/>
  <c r="E44" i="82"/>
  <c r="C44" i="82" s="1"/>
  <c r="L28" i="82"/>
  <c r="F28" i="82"/>
  <c r="E28" i="82"/>
  <c r="O30" i="82" l="1"/>
  <c r="E45" i="82"/>
  <c r="D16" i="82"/>
  <c r="C45" i="82" l="1"/>
  <c r="E46" i="82"/>
  <c r="F260" i="142"/>
  <c r="E257" i="142"/>
  <c r="F256" i="142"/>
  <c r="F255" i="142"/>
  <c r="F254" i="142"/>
  <c r="F253" i="142"/>
  <c r="F252" i="142"/>
  <c r="F251" i="142"/>
  <c r="F250" i="142"/>
  <c r="F249" i="142"/>
  <c r="F248" i="142"/>
  <c r="F247" i="142"/>
  <c r="F246" i="142"/>
  <c r="F245" i="142"/>
  <c r="H239" i="142"/>
  <c r="F239" i="142"/>
  <c r="E236" i="142"/>
  <c r="F235" i="142"/>
  <c r="F234" i="142"/>
  <c r="F233" i="142"/>
  <c r="F232" i="142"/>
  <c r="F226" i="142"/>
  <c r="F225" i="142"/>
  <c r="F224" i="142"/>
  <c r="F223" i="142"/>
  <c r="F222" i="142"/>
  <c r="F221" i="142"/>
  <c r="H215" i="142"/>
  <c r="F215" i="142"/>
  <c r="F211" i="142"/>
  <c r="F210" i="142"/>
  <c r="F209" i="142"/>
  <c r="F208" i="142"/>
  <c r="F206" i="142"/>
  <c r="F205" i="142"/>
  <c r="F204" i="142"/>
  <c r="F203" i="142"/>
  <c r="E199" i="142"/>
  <c r="F198" i="142"/>
  <c r="F199" i="142" s="1"/>
  <c r="H197" i="142"/>
  <c r="H199" i="142" s="1"/>
  <c r="E193" i="142"/>
  <c r="F191" i="142"/>
  <c r="F190" i="142"/>
  <c r="F189" i="142"/>
  <c r="F188" i="142"/>
  <c r="F187" i="142"/>
  <c r="F186" i="142"/>
  <c r="F185" i="142"/>
  <c r="F183" i="142"/>
  <c r="E171" i="142"/>
  <c r="D163" i="142"/>
  <c r="E141" i="142"/>
  <c r="E139" i="142"/>
  <c r="E137" i="142"/>
  <c r="E135" i="142"/>
  <c r="C46" i="82" l="1"/>
  <c r="E47" i="82"/>
  <c r="F236" i="142"/>
  <c r="F237" i="142" s="1"/>
  <c r="F257" i="142"/>
  <c r="G257" i="142" s="1"/>
  <c r="E200" i="142"/>
  <c r="F267" i="142" s="1"/>
  <c r="F212" i="142"/>
  <c r="F193" i="142"/>
  <c r="E132" i="142"/>
  <c r="E130" i="142"/>
  <c r="E127" i="142"/>
  <c r="M133" i="142"/>
  <c r="K133" i="142"/>
  <c r="K121" i="142"/>
  <c r="H120" i="142"/>
  <c r="F213" i="142" l="1"/>
  <c r="G212" i="142"/>
  <c r="F194" i="142"/>
  <c r="G193" i="142"/>
  <c r="C47" i="82"/>
  <c r="E48" i="82"/>
  <c r="G236" i="142"/>
  <c r="F258" i="142"/>
  <c r="F261" i="142"/>
  <c r="F216" i="142"/>
  <c r="E261" i="142"/>
  <c r="F200" i="142"/>
  <c r="F201" i="142" s="1"/>
  <c r="H200" i="142"/>
  <c r="K153" i="142"/>
  <c r="L133" i="142"/>
  <c r="K148" i="142"/>
  <c r="J133" i="142"/>
  <c r="G117" i="142"/>
  <c r="C48" i="82" l="1"/>
  <c r="E49" i="82"/>
  <c r="F263" i="142"/>
  <c r="F217" i="142"/>
  <c r="G216" i="142"/>
  <c r="N133" i="142"/>
  <c r="G200" i="142"/>
  <c r="C267" i="142" s="1"/>
  <c r="M132" i="142"/>
  <c r="K132" i="142"/>
  <c r="H112" i="142"/>
  <c r="C49" i="82" l="1"/>
  <c r="E50" i="82"/>
  <c r="K140" i="142"/>
  <c r="J132" i="142"/>
  <c r="L132" i="142"/>
  <c r="K141" i="142"/>
  <c r="C111" i="142"/>
  <c r="D110" i="142"/>
  <c r="E110" i="142" s="1"/>
  <c r="F109" i="142"/>
  <c r="G109" i="142" s="1"/>
  <c r="E109" i="142"/>
  <c r="D108" i="142"/>
  <c r="F108" i="142" s="1"/>
  <c r="P106" i="142"/>
  <c r="P105" i="142"/>
  <c r="F110" i="142" l="1"/>
  <c r="E108" i="142"/>
  <c r="E111" i="142" s="1"/>
  <c r="N132" i="142"/>
  <c r="C50" i="82"/>
  <c r="E51" i="82"/>
  <c r="G108" i="142"/>
  <c r="P107" i="142"/>
  <c r="P109" i="142"/>
  <c r="L140" i="142" s="1"/>
  <c r="P110" i="142"/>
  <c r="F103" i="142"/>
  <c r="C103" i="142"/>
  <c r="E103" i="142" s="1"/>
  <c r="F102" i="142"/>
  <c r="G102" i="142" s="1"/>
  <c r="E102" i="142"/>
  <c r="F101" i="142"/>
  <c r="G101" i="142" s="1"/>
  <c r="E101" i="142"/>
  <c r="E100" i="142"/>
  <c r="AD94" i="142"/>
  <c r="P87" i="142"/>
  <c r="P86" i="142"/>
  <c r="G103" i="142" l="1"/>
  <c r="G104" i="142" s="1"/>
  <c r="K106" i="142"/>
  <c r="K110" i="142" s="1"/>
  <c r="L139" i="142" s="1"/>
  <c r="C104" i="142"/>
  <c r="E104" i="142"/>
  <c r="C51" i="82"/>
  <c r="P88" i="142"/>
  <c r="L141" i="142"/>
  <c r="P111" i="142"/>
  <c r="G110" i="142"/>
  <c r="G111" i="142" s="1"/>
  <c r="K105" i="142"/>
  <c r="G114" i="142" l="1"/>
  <c r="G116" i="142" s="1"/>
  <c r="G118" i="142" s="1"/>
  <c r="K107" i="142"/>
  <c r="K109" i="142"/>
  <c r="L138" i="142" s="1"/>
  <c r="K111" i="142" l="1"/>
  <c r="L70" i="142" l="1"/>
  <c r="P65" i="142"/>
  <c r="O65" i="142"/>
  <c r="N65" i="142"/>
  <c r="M65" i="142"/>
  <c r="G65" i="142"/>
  <c r="M130" i="142"/>
  <c r="K130" i="142"/>
  <c r="Q65" i="142" l="1"/>
  <c r="K147" i="142"/>
  <c r="K87" i="142" s="1"/>
  <c r="L130" i="142"/>
  <c r="K146" i="142"/>
  <c r="K86" i="142" s="1"/>
  <c r="K92" i="142" s="1"/>
  <c r="J130" i="142"/>
  <c r="K88" i="142" l="1"/>
  <c r="N130" i="142"/>
  <c r="Q32" i="142" l="1"/>
  <c r="Q31" i="142" l="1"/>
  <c r="Q30" i="142"/>
  <c r="M129" i="142"/>
  <c r="K139" i="142"/>
  <c r="L129" i="142"/>
  <c r="K129" i="142"/>
  <c r="K138" i="142"/>
  <c r="J129" i="142"/>
  <c r="L65" i="142" l="1"/>
  <c r="N129" i="142"/>
  <c r="Y25" i="142"/>
  <c r="O24" i="142" l="1"/>
  <c r="I24" i="142" l="1"/>
  <c r="H24" i="142"/>
  <c r="Z22" i="142" l="1"/>
  <c r="N24" i="142"/>
  <c r="M24" i="142" l="1"/>
  <c r="Y22" i="142"/>
  <c r="M128" i="142"/>
  <c r="M131" i="142" s="1"/>
  <c r="AB22" i="142"/>
  <c r="L128" i="142"/>
  <c r="L131" i="142" s="1"/>
  <c r="AA22" i="142"/>
  <c r="K128" i="142"/>
  <c r="F67" i="142" l="1"/>
  <c r="F38" i="142"/>
  <c r="C67" i="142"/>
  <c r="C38" i="142"/>
  <c r="D67" i="142"/>
  <c r="D38" i="142"/>
  <c r="E67" i="142"/>
  <c r="E38" i="142"/>
  <c r="L24" i="142"/>
  <c r="J128" i="142"/>
  <c r="K131" i="142"/>
  <c r="J24" i="142"/>
  <c r="D10" i="143"/>
  <c r="D11" i="143" s="1"/>
  <c r="G71" i="142" l="1"/>
  <c r="C11" i="143"/>
  <c r="F11" i="143" s="1"/>
  <c r="J10" i="143"/>
  <c r="G67" i="142"/>
  <c r="D87" i="142"/>
  <c r="C87" i="142"/>
  <c r="AC22" i="142"/>
  <c r="F10" i="143"/>
  <c r="C35" i="143" s="1"/>
  <c r="C36" i="143" s="1"/>
  <c r="J131" i="142"/>
  <c r="N128" i="142"/>
  <c r="N131" i="142" s="1"/>
  <c r="N134" i="142" s="1"/>
  <c r="M134" i="142"/>
  <c r="L134" i="142" s="1"/>
  <c r="K134" i="142" s="1"/>
  <c r="C17" i="143" l="1"/>
  <c r="F16" i="143"/>
  <c r="J134" i="142"/>
  <c r="C12" i="141"/>
  <c r="D17" i="143" l="1"/>
  <c r="F17" i="143" s="1"/>
  <c r="D26" i="143"/>
  <c r="F26" i="143" s="1"/>
  <c r="C41" i="143" s="1"/>
  <c r="F35" i="143"/>
  <c r="C61" i="143" s="1"/>
  <c r="C62" i="143" s="1"/>
  <c r="G28" i="23"/>
  <c r="G16" i="23"/>
  <c r="C51" i="143" l="1"/>
  <c r="C42" i="143"/>
  <c r="F42" i="143" s="1"/>
  <c r="F41" i="143"/>
  <c r="F36" i="143"/>
  <c r="F61" i="143"/>
  <c r="G10" i="23"/>
  <c r="F10" i="23"/>
  <c r="F39" i="157"/>
  <c r="F51" i="143" l="1"/>
  <c r="C67" i="143" s="1"/>
  <c r="C77" i="143" s="1"/>
  <c r="F62" i="143"/>
  <c r="M29" i="157"/>
  <c r="F67" i="143" l="1"/>
  <c r="C68" i="143"/>
  <c r="F68" i="143" s="1"/>
  <c r="K29" i="157"/>
  <c r="N57" i="185" l="1"/>
  <c r="J57" i="185"/>
  <c r="K30" i="185" l="1"/>
  <c r="G30" i="185"/>
  <c r="C30" i="185"/>
  <c r="S24" i="185"/>
  <c r="H23" i="185" l="1"/>
  <c r="D41" i="242"/>
  <c r="L23" i="185"/>
  <c r="E41" i="242"/>
  <c r="C19" i="358"/>
  <c r="I23" i="185"/>
  <c r="M23" i="185"/>
  <c r="F21" i="185"/>
  <c r="C39" i="242" s="1"/>
  <c r="F19" i="358" l="1"/>
  <c r="G19" i="358"/>
  <c r="R18" i="185"/>
  <c r="P18" i="185"/>
  <c r="O18" i="185"/>
  <c r="V15" i="185"/>
  <c r="V13" i="185" l="1"/>
  <c r="C7" i="358" l="1"/>
  <c r="G7" i="358" s="1"/>
  <c r="E28" i="242"/>
  <c r="F14" i="284"/>
  <c r="D28" i="242"/>
  <c r="G9" i="133"/>
  <c r="D9" i="133"/>
  <c r="D13" i="133" l="1"/>
  <c r="D15" i="133" s="1"/>
  <c r="P36" i="10" l="1"/>
  <c r="I29" i="10"/>
  <c r="L9" i="133" s="1"/>
  <c r="C29" i="10"/>
  <c r="I33" i="10" l="1"/>
  <c r="I39" i="10" s="1"/>
  <c r="C33" i="10"/>
  <c r="I22" i="10"/>
  <c r="E22" i="10"/>
  <c r="C22" i="10"/>
  <c r="I21" i="10"/>
  <c r="I20" i="10"/>
  <c r="I19" i="10"/>
  <c r="E19" i="10"/>
  <c r="C19" i="10"/>
  <c r="I37" i="10" l="1"/>
  <c r="I41" i="10"/>
  <c r="N9" i="185" s="1"/>
  <c r="O9" i="133"/>
  <c r="I36" i="10"/>
  <c r="I40" i="10" s="1"/>
  <c r="G84" i="17"/>
  <c r="G8" i="17"/>
  <c r="H8" i="17"/>
  <c r="D12" i="136"/>
  <c r="S57" i="148"/>
  <c r="V57" i="148" s="1"/>
  <c r="N57" i="148"/>
  <c r="B31" i="169"/>
  <c r="S53" i="148"/>
  <c r="V53" i="148" s="1"/>
  <c r="G29" i="169"/>
  <c r="N53" i="148"/>
  <c r="V27" i="169"/>
  <c r="X27" i="169" s="1"/>
  <c r="R27" i="169"/>
  <c r="T27" i="169" s="1"/>
  <c r="Q50" i="148"/>
  <c r="R50" i="148" s="1"/>
  <c r="G27" i="169"/>
  <c r="N49" i="148"/>
  <c r="AC46" i="148"/>
  <c r="F7" i="285" l="1"/>
  <c r="I43" i="10"/>
  <c r="G24" i="132"/>
  <c r="H24" i="132"/>
  <c r="Q54" i="148"/>
  <c r="R29" i="169"/>
  <c r="S29" i="169" s="1"/>
  <c r="P49" i="148"/>
  <c r="N50" i="148" s="1"/>
  <c r="F53" i="148"/>
  <c r="L8" i="17"/>
  <c r="I8" i="17"/>
  <c r="P29" i="169"/>
  <c r="V29" i="169"/>
  <c r="J27" i="169"/>
  <c r="J29" i="169"/>
  <c r="I31" i="169"/>
  <c r="F27" i="169"/>
  <c r="P53" i="148"/>
  <c r="N54" i="148" s="1"/>
  <c r="I25" i="169"/>
  <c r="AC45" i="148"/>
  <c r="G25" i="169"/>
  <c r="B25" i="169"/>
  <c r="I21" i="169"/>
  <c r="B21" i="169"/>
  <c r="B19" i="169" l="1"/>
  <c r="F29" i="169"/>
  <c r="E29" i="169" s="1"/>
  <c r="F54" i="148"/>
  <c r="P54" i="148"/>
  <c r="J25" i="169"/>
  <c r="P50" i="148"/>
  <c r="F25" i="169"/>
  <c r="T29" i="169"/>
  <c r="G26" i="132" s="1"/>
  <c r="E27" i="169"/>
  <c r="I27" i="169"/>
  <c r="W29" i="169"/>
  <c r="G17" i="169"/>
  <c r="AH20" i="148"/>
  <c r="AC20" i="148"/>
  <c r="G15" i="169"/>
  <c r="P19" i="148"/>
  <c r="N20" i="148" s="1"/>
  <c r="P20" i="148" s="1"/>
  <c r="R11" i="169"/>
  <c r="G11" i="169"/>
  <c r="P11" i="148"/>
  <c r="N12" i="148" s="1"/>
  <c r="G9" i="169"/>
  <c r="B11" i="169" l="1"/>
  <c r="X9" i="169" s="1"/>
  <c r="B13" i="169"/>
  <c r="B15" i="169"/>
  <c r="AI20" i="148"/>
  <c r="H27" i="169"/>
  <c r="K27" i="169" s="1"/>
  <c r="G13" i="169"/>
  <c r="I29" i="169"/>
  <c r="H29" i="169" s="1"/>
  <c r="K29" i="169" s="1"/>
  <c r="P12" i="148"/>
  <c r="N13" i="148" s="1"/>
  <c r="X29" i="169"/>
  <c r="G27" i="17" s="1"/>
  <c r="V11" i="169"/>
  <c r="N21" i="148"/>
  <c r="J15" i="169"/>
  <c r="T11" i="169"/>
  <c r="H19" i="132" s="1"/>
  <c r="K17" i="9"/>
  <c r="D66" i="138" s="1"/>
  <c r="J17" i="9"/>
  <c r="D31" i="138" s="1"/>
  <c r="D17" i="9"/>
  <c r="B17" i="9"/>
  <c r="C66" i="138" l="1"/>
  <c r="X11" i="169"/>
  <c r="C31" i="138"/>
  <c r="E27" i="17"/>
  <c r="J15" i="9"/>
  <c r="D30" i="138" s="1"/>
  <c r="B15" i="9"/>
  <c r="C5" i="284" l="1"/>
  <c r="C34" i="284" s="1"/>
  <c r="E36" i="284" s="1"/>
  <c r="F27" i="17"/>
  <c r="D36" i="138" l="1"/>
  <c r="M13" i="9"/>
  <c r="D32" i="138" l="1"/>
  <c r="D74" i="138"/>
  <c r="C32" i="138"/>
  <c r="B32" i="138"/>
  <c r="E12" i="137" l="1"/>
  <c r="J12" i="137"/>
  <c r="J11" i="9"/>
  <c r="D29" i="138" s="1"/>
  <c r="G11" i="9"/>
  <c r="B11" i="9"/>
  <c r="C29" i="138" l="1"/>
  <c r="N13" i="9"/>
  <c r="H12" i="137"/>
  <c r="B62" i="138" l="1"/>
  <c r="D35" i="138"/>
  <c r="G62" i="138" s="1"/>
  <c r="C60" i="138"/>
  <c r="C35" i="138"/>
  <c r="N34" i="138" s="1"/>
  <c r="D59" i="138" l="1"/>
  <c r="D28" i="138"/>
  <c r="D18" i="138"/>
  <c r="C18" i="138" s="1"/>
  <c r="C28" i="138" l="1"/>
  <c r="F50" i="169"/>
  <c r="C59" i="138"/>
  <c r="G19" i="198"/>
  <c r="E19" i="198"/>
  <c r="D19" i="198"/>
  <c r="L8" i="198"/>
  <c r="G7" i="198"/>
  <c r="F7" i="198"/>
  <c r="D7" i="198"/>
  <c r="G5" i="198"/>
  <c r="E5" i="198"/>
  <c r="E10" i="198" s="1"/>
  <c r="P121" i="142"/>
  <c r="P119" i="142"/>
  <c r="Q120" i="142" s="1"/>
  <c r="P120" i="142"/>
  <c r="E14" i="242"/>
  <c r="D14" i="242"/>
  <c r="E12" i="242"/>
  <c r="E11" i="242"/>
  <c r="E10" i="242"/>
  <c r="D8" i="242"/>
  <c r="D7" i="242"/>
  <c r="D381" i="212"/>
  <c r="D380" i="212"/>
  <c r="D377" i="212"/>
  <c r="D376" i="212"/>
  <c r="D375" i="212"/>
  <c r="D372" i="212"/>
  <c r="D369" i="212"/>
  <c r="D367" i="212"/>
  <c r="L330" i="212"/>
  <c r="K330" i="212"/>
  <c r="J330" i="212"/>
  <c r="I330" i="212"/>
  <c r="H330" i="212"/>
  <c r="G330" i="212"/>
  <c r="F330" i="212"/>
  <c r="E330" i="212"/>
  <c r="L321" i="212"/>
  <c r="K321" i="212"/>
  <c r="J321" i="212"/>
  <c r="I321" i="212"/>
  <c r="H321" i="212"/>
  <c r="G321" i="212"/>
  <c r="F321" i="212"/>
  <c r="E321" i="212"/>
  <c r="D321" i="212"/>
  <c r="C300" i="212"/>
  <c r="D299" i="212"/>
  <c r="C295" i="212"/>
  <c r="G281" i="212"/>
  <c r="D281" i="212"/>
  <c r="C281" i="212"/>
  <c r="G280" i="212"/>
  <c r="F280" i="212"/>
  <c r="F279" i="212"/>
  <c r="F278" i="212"/>
  <c r="G277" i="212"/>
  <c r="G276" i="212"/>
  <c r="F276" i="212"/>
  <c r="C301" i="212" l="1"/>
  <c r="C302" i="212" s="1"/>
  <c r="F380" i="212"/>
  <c r="Q119" i="142"/>
  <c r="F282" i="212"/>
  <c r="H280" i="212"/>
  <c r="H276" i="212"/>
  <c r="D301" i="212"/>
  <c r="G10" i="198"/>
  <c r="I5" i="198"/>
  <c r="J6" i="198" s="1"/>
  <c r="J7" i="198" s="1"/>
  <c r="C261" i="212"/>
  <c r="C260" i="212"/>
  <c r="C259" i="212"/>
  <c r="G255" i="212"/>
  <c r="C252" i="212"/>
  <c r="D225" i="212"/>
  <c r="D224" i="212"/>
  <c r="D223" i="212"/>
  <c r="D222" i="212"/>
  <c r="D216" i="212"/>
  <c r="D215" i="212"/>
  <c r="D214" i="212"/>
  <c r="D213" i="212"/>
  <c r="D205" i="212"/>
  <c r="C205" i="212"/>
  <c r="D204" i="212"/>
  <c r="C204" i="212"/>
  <c r="E199" i="212"/>
  <c r="D199" i="212"/>
  <c r="E198" i="212"/>
  <c r="D198" i="212"/>
  <c r="E197" i="212"/>
  <c r="D197" i="212"/>
  <c r="E196" i="212"/>
  <c r="D196" i="212"/>
  <c r="E191" i="212"/>
  <c r="D191" i="212" s="1"/>
  <c r="C191" i="212" s="1"/>
  <c r="C189" i="212"/>
  <c r="D188" i="212"/>
  <c r="C188" i="212" s="1"/>
  <c r="F187" i="212"/>
  <c r="E187" i="212" s="1"/>
  <c r="D187" i="212"/>
  <c r="C187" i="212" s="1"/>
  <c r="E182" i="212"/>
  <c r="D182" i="212"/>
  <c r="E181" i="212"/>
  <c r="D181" i="212" s="1"/>
  <c r="J151" i="212"/>
  <c r="J150" i="212"/>
  <c r="I149" i="212"/>
  <c r="G149" i="212"/>
  <c r="F149" i="212"/>
  <c r="E149" i="212"/>
  <c r="D149" i="212"/>
  <c r="D134" i="212" s="1"/>
  <c r="C149" i="212"/>
  <c r="D135" i="212" s="1"/>
  <c r="K148" i="212"/>
  <c r="J148" i="212"/>
  <c r="I148" i="212"/>
  <c r="G148" i="212"/>
  <c r="F148" i="212"/>
  <c r="E148" i="212"/>
  <c r="D148" i="212"/>
  <c r="C148" i="212"/>
  <c r="K147" i="212"/>
  <c r="I147" i="212"/>
  <c r="G147" i="212"/>
  <c r="F147" i="212"/>
  <c r="E147" i="212"/>
  <c r="D147" i="212"/>
  <c r="C147" i="212"/>
  <c r="K146" i="212"/>
  <c r="I146" i="212"/>
  <c r="G146" i="212"/>
  <c r="F146" i="212"/>
  <c r="E146" i="212"/>
  <c r="D146" i="212"/>
  <c r="C146" i="212"/>
  <c r="D114" i="212"/>
  <c r="I182" i="212" l="1"/>
  <c r="D153" i="142"/>
  <c r="C135" i="212"/>
  <c r="C134" i="212" s="1"/>
  <c r="G187" i="212"/>
  <c r="E205" i="212"/>
  <c r="D207" i="212"/>
  <c r="C190" i="212"/>
  <c r="I181" i="212"/>
  <c r="C207" i="212"/>
  <c r="E204" i="212"/>
  <c r="E213" i="212"/>
  <c r="E216" i="212"/>
  <c r="E215" i="212"/>
  <c r="E214" i="212"/>
  <c r="H92" i="212"/>
  <c r="F81" i="212" s="1"/>
  <c r="G92" i="212"/>
  <c r="E81" i="212" s="1"/>
  <c r="F92" i="212"/>
  <c r="F14" i="242" s="1"/>
  <c r="C92" i="212"/>
  <c r="C81" i="212" s="1"/>
  <c r="D91" i="212"/>
  <c r="H89" i="212"/>
  <c r="G89" i="212"/>
  <c r="D81" i="212"/>
  <c r="C74" i="212"/>
  <c r="E67" i="212"/>
  <c r="D67" i="212"/>
  <c r="F67" i="212" s="1"/>
  <c r="C66" i="212"/>
  <c r="C60" i="212"/>
  <c r="E47" i="212"/>
  <c r="G46" i="212"/>
  <c r="E45" i="212"/>
  <c r="F40" i="212"/>
  <c r="F34" i="212"/>
  <c r="D374" i="212"/>
  <c r="C57" i="212"/>
  <c r="E10" i="225"/>
  <c r="D5" i="212"/>
  <c r="E372" i="212" s="1"/>
  <c r="F372" i="212" s="1"/>
  <c r="I23" i="225"/>
  <c r="H23" i="225"/>
  <c r="G23" i="225"/>
  <c r="F23" i="225"/>
  <c r="E23" i="225"/>
  <c r="D23" i="225"/>
  <c r="C23" i="225"/>
  <c r="E11" i="225"/>
  <c r="C11" i="225"/>
  <c r="C10" i="225"/>
  <c r="F24" i="284" l="1"/>
  <c r="E207" i="212"/>
  <c r="H146" i="212"/>
  <c r="E9" i="225"/>
  <c r="C9" i="225" s="1"/>
  <c r="E5" i="212"/>
  <c r="D378" i="212"/>
  <c r="D373" i="212"/>
  <c r="E373" i="212" s="1"/>
  <c r="C39" i="212"/>
  <c r="D364" i="212"/>
  <c r="E10" i="197"/>
  <c r="G14" i="242"/>
  <c r="C89" i="212"/>
  <c r="H7" i="242"/>
  <c r="E100" i="212"/>
  <c r="G7" i="242"/>
  <c r="D100" i="212"/>
  <c r="C14" i="242"/>
  <c r="D10" i="197"/>
  <c r="H14" i="242"/>
  <c r="F10" i="197"/>
  <c r="V64" i="330"/>
  <c r="O64" i="330"/>
  <c r="N64" i="330"/>
  <c r="AM64" i="330" s="1"/>
  <c r="M64" i="330"/>
  <c r="L64" i="330"/>
  <c r="K64" i="330"/>
  <c r="AD64" i="330" s="1"/>
  <c r="J64" i="330"/>
  <c r="I64" i="330"/>
  <c r="V63" i="330"/>
  <c r="O63" i="330"/>
  <c r="N63" i="330"/>
  <c r="AM63" i="330" s="1"/>
  <c r="M63" i="330"/>
  <c r="L63" i="330"/>
  <c r="K63" i="330"/>
  <c r="AD63" i="330" s="1"/>
  <c r="J63" i="330"/>
  <c r="I63" i="330"/>
  <c r="X62" i="330"/>
  <c r="V62" i="330"/>
  <c r="S62" i="330"/>
  <c r="Q62" i="330"/>
  <c r="O62" i="330"/>
  <c r="N62" i="330"/>
  <c r="AM62" i="330" s="1"/>
  <c r="M62" i="330"/>
  <c r="L62" i="330"/>
  <c r="K62" i="330"/>
  <c r="AD62" i="330" s="1"/>
  <c r="J62" i="330"/>
  <c r="I62" i="330"/>
  <c r="X61" i="330"/>
  <c r="V61" i="330"/>
  <c r="S61" i="330"/>
  <c r="Q61" i="330"/>
  <c r="O61" i="330"/>
  <c r="N61" i="330"/>
  <c r="AM61" i="330" s="1"/>
  <c r="M61" i="330"/>
  <c r="L61" i="330"/>
  <c r="K61" i="330"/>
  <c r="AD61" i="330" s="1"/>
  <c r="J61" i="330"/>
  <c r="I61" i="330"/>
  <c r="H61" i="330"/>
  <c r="X60" i="330"/>
  <c r="W60" i="330"/>
  <c r="V60" i="330"/>
  <c r="S60" i="330"/>
  <c r="Q60" i="330"/>
  <c r="P60" i="330"/>
  <c r="O60" i="330"/>
  <c r="N60" i="330"/>
  <c r="AM60" i="330" s="1"/>
  <c r="M60" i="330"/>
  <c r="L60" i="330"/>
  <c r="K60" i="330"/>
  <c r="AD60" i="330" s="1"/>
  <c r="J60" i="330"/>
  <c r="I60" i="330"/>
  <c r="X59" i="330"/>
  <c r="V59" i="330"/>
  <c r="S59" i="330"/>
  <c r="O59" i="330"/>
  <c r="N59" i="330"/>
  <c r="AM59" i="330" s="1"/>
  <c r="M59" i="330"/>
  <c r="L59" i="330"/>
  <c r="K59" i="330"/>
  <c r="AD59" i="330" s="1"/>
  <c r="J59" i="330"/>
  <c r="I59" i="330"/>
  <c r="X58" i="330"/>
  <c r="W58" i="330"/>
  <c r="V58" i="330"/>
  <c r="S58" i="330"/>
  <c r="Q58" i="330"/>
  <c r="P58" i="330"/>
  <c r="O58" i="330"/>
  <c r="N58" i="330"/>
  <c r="AM58" i="330" s="1"/>
  <c r="AL58" i="330" s="1"/>
  <c r="M58" i="330"/>
  <c r="L58" i="330"/>
  <c r="K58" i="330"/>
  <c r="J58" i="330"/>
  <c r="I58" i="330"/>
  <c r="X57" i="330"/>
  <c r="V57" i="330"/>
  <c r="S57" i="330"/>
  <c r="O57" i="330"/>
  <c r="N57" i="330"/>
  <c r="AM57" i="330" s="1"/>
  <c r="M57" i="330"/>
  <c r="L57" i="330"/>
  <c r="K57" i="330"/>
  <c r="AD57" i="330" s="1"/>
  <c r="J57" i="330"/>
  <c r="I57" i="330"/>
  <c r="X56" i="330"/>
  <c r="V56" i="330"/>
  <c r="S56" i="330"/>
  <c r="O56" i="330"/>
  <c r="N56" i="330"/>
  <c r="AM56" i="330" s="1"/>
  <c r="M56" i="330"/>
  <c r="L56" i="330"/>
  <c r="K56" i="330"/>
  <c r="J56" i="330"/>
  <c r="I56" i="330"/>
  <c r="X55" i="330"/>
  <c r="W55" i="330"/>
  <c r="V55" i="330"/>
  <c r="S55" i="330"/>
  <c r="Q55" i="330"/>
  <c r="AJ55" i="330" s="1"/>
  <c r="P55" i="330"/>
  <c r="O55" i="330"/>
  <c r="N55" i="330"/>
  <c r="AG55" i="330" s="1"/>
  <c r="M55" i="330"/>
  <c r="L55" i="330"/>
  <c r="K55" i="330"/>
  <c r="J55" i="330"/>
  <c r="I55" i="330"/>
  <c r="E55" i="330"/>
  <c r="AA54" i="330"/>
  <c r="AU54" i="330" s="1"/>
  <c r="AT54" i="330" s="1"/>
  <c r="Z54" i="330"/>
  <c r="X54" i="330"/>
  <c r="W54" i="330"/>
  <c r="V54" i="330"/>
  <c r="U54" i="330"/>
  <c r="T54" i="330"/>
  <c r="S54" i="330"/>
  <c r="R54" i="330"/>
  <c r="AK54" i="330" s="1"/>
  <c r="Q54" i="330"/>
  <c r="P54" i="330"/>
  <c r="O54" i="330"/>
  <c r="N54" i="330"/>
  <c r="AG54" i="330" s="1"/>
  <c r="M54" i="330"/>
  <c r="L54" i="330"/>
  <c r="K54" i="330"/>
  <c r="J54" i="330"/>
  <c r="I54" i="330"/>
  <c r="H54" i="330"/>
  <c r="G54" i="330"/>
  <c r="F54" i="330"/>
  <c r="V53" i="330"/>
  <c r="O53" i="330"/>
  <c r="N53" i="330"/>
  <c r="AG53" i="330" s="1"/>
  <c r="M53" i="330"/>
  <c r="L53" i="330"/>
  <c r="AE53" i="330" s="1"/>
  <c r="K53" i="330"/>
  <c r="AD53" i="330" s="1"/>
  <c r="J53" i="330"/>
  <c r="I53" i="330"/>
  <c r="AL60" i="330" l="1"/>
  <c r="AL62" i="330"/>
  <c r="L147" i="212"/>
  <c r="AF55" i="330"/>
  <c r="AE55" i="330" s="1"/>
  <c r="AD55" i="330" s="1"/>
  <c r="AC57" i="330"/>
  <c r="AG59" i="330"/>
  <c r="AL61" i="330"/>
  <c r="AG61" i="330"/>
  <c r="AC61" i="330"/>
  <c r="AB61" i="330" s="1"/>
  <c r="AC62" i="330"/>
  <c r="AB62" i="330" s="1"/>
  <c r="AL56" i="330"/>
  <c r="AJ54" i="330"/>
  <c r="AL57" i="330"/>
  <c r="AF53" i="330"/>
  <c r="AF54" i="330"/>
  <c r="AE54" i="330" s="1"/>
  <c r="AD54" i="330" s="1"/>
  <c r="AC54" i="330" s="1"/>
  <c r="AB54" i="330" s="1"/>
  <c r="AS54" i="330"/>
  <c r="AJ58" i="330"/>
  <c r="AI58" i="330" s="1"/>
  <c r="AH58" i="330" s="1"/>
  <c r="AG58" i="330" s="1"/>
  <c r="AL59" i="330"/>
  <c r="AC53" i="330"/>
  <c r="AB53" i="330" s="1"/>
  <c r="AF58" i="330"/>
  <c r="AE58" i="330" s="1"/>
  <c r="AC60" i="330"/>
  <c r="AB60" i="330" s="1"/>
  <c r="AC64" i="330"/>
  <c r="AB64" i="330" s="1"/>
  <c r="AC55" i="330"/>
  <c r="AB55" i="330" s="1"/>
  <c r="AB57" i="330"/>
  <c r="AC59" i="330"/>
  <c r="AB59" i="330" s="1"/>
  <c r="F373" i="212"/>
  <c r="E7" i="197"/>
  <c r="AI55" i="330"/>
  <c r="AH55" i="330" s="1"/>
  <c r="AD56" i="330"/>
  <c r="AC56" i="330" s="1"/>
  <c r="AB56" i="330" s="1"/>
  <c r="AD58" i="330"/>
  <c r="AC58" i="330" s="1"/>
  <c r="AB58" i="330" s="1"/>
  <c r="AJ61" i="330"/>
  <c r="AJ62" i="330"/>
  <c r="AJ60" i="330"/>
  <c r="AI60" i="330" s="1"/>
  <c r="AH60" i="330" s="1"/>
  <c r="AG60" i="330" s="1"/>
  <c r="AF60" i="330" s="1"/>
  <c r="AE60" i="330" s="1"/>
  <c r="AF61" i="330"/>
  <c r="AE61" i="330" s="1"/>
  <c r="AC63" i="330"/>
  <c r="AB63" i="330" s="1"/>
  <c r="C7" i="242"/>
  <c r="C100" i="212"/>
  <c r="AM53" i="330"/>
  <c r="G8" i="283"/>
  <c r="I8" i="283" s="1"/>
  <c r="J147" i="212"/>
  <c r="H147" i="212"/>
  <c r="AI54" i="330"/>
  <c r="AH54" i="330" s="1"/>
  <c r="AF59" i="330"/>
  <c r="AE59" i="330" s="1"/>
  <c r="X52" i="330"/>
  <c r="V52" i="330"/>
  <c r="S52" i="330"/>
  <c r="Q52" i="330"/>
  <c r="O52" i="330"/>
  <c r="N52" i="330"/>
  <c r="AM52" i="330" s="1"/>
  <c r="M52" i="330"/>
  <c r="L52" i="330"/>
  <c r="K52" i="330"/>
  <c r="AD52" i="330" s="1"/>
  <c r="J52" i="330"/>
  <c r="I52" i="330"/>
  <c r="E52" i="330"/>
  <c r="X51" i="330"/>
  <c r="W51" i="330"/>
  <c r="V51" i="330"/>
  <c r="S51" i="330"/>
  <c r="Q51" i="330"/>
  <c r="P51" i="330"/>
  <c r="O51" i="330"/>
  <c r="N51" i="330"/>
  <c r="AM51" i="330" s="1"/>
  <c r="AL51" i="330" s="1"/>
  <c r="M51" i="330"/>
  <c r="L51" i="330"/>
  <c r="K51" i="330"/>
  <c r="J51" i="330"/>
  <c r="I51" i="330"/>
  <c r="E51" i="330"/>
  <c r="X50" i="330"/>
  <c r="W50" i="330"/>
  <c r="V50" i="330"/>
  <c r="S50" i="330"/>
  <c r="Q50" i="330"/>
  <c r="P50" i="330"/>
  <c r="O50" i="330"/>
  <c r="N50" i="330"/>
  <c r="AG50" i="330" s="1"/>
  <c r="M50" i="330"/>
  <c r="L50" i="330"/>
  <c r="K50" i="330"/>
  <c r="J50" i="330"/>
  <c r="I50" i="330"/>
  <c r="E50" i="330"/>
  <c r="X49" i="330"/>
  <c r="W49" i="330"/>
  <c r="V49" i="330"/>
  <c r="S49" i="330"/>
  <c r="Q49" i="330"/>
  <c r="P49" i="330"/>
  <c r="O49" i="330"/>
  <c r="N49" i="330"/>
  <c r="AG49" i="330" s="1"/>
  <c r="M49" i="330"/>
  <c r="L49" i="330"/>
  <c r="K49" i="330"/>
  <c r="J49" i="330"/>
  <c r="I49" i="330"/>
  <c r="E49" i="330"/>
  <c r="X48" i="330"/>
  <c r="W48" i="330"/>
  <c r="V48" i="330"/>
  <c r="S48" i="330"/>
  <c r="P48" i="330"/>
  <c r="O48" i="330"/>
  <c r="N48" i="330"/>
  <c r="AG48" i="330" s="1"/>
  <c r="M48" i="330"/>
  <c r="L48" i="330"/>
  <c r="K48" i="330"/>
  <c r="AD48" i="330" s="1"/>
  <c r="J48" i="330"/>
  <c r="I48" i="330"/>
  <c r="E48" i="330"/>
  <c r="X47" i="330"/>
  <c r="V47" i="330"/>
  <c r="S47" i="330"/>
  <c r="O47" i="330"/>
  <c r="N47" i="330"/>
  <c r="AM47" i="330" s="1"/>
  <c r="M47" i="330"/>
  <c r="L47" i="330"/>
  <c r="K47" i="330"/>
  <c r="J47" i="330"/>
  <c r="I47" i="330"/>
  <c r="E47" i="330"/>
  <c r="Z46" i="330"/>
  <c r="X46" i="330"/>
  <c r="V46" i="330"/>
  <c r="S46" i="330"/>
  <c r="O46" i="330"/>
  <c r="N46" i="330"/>
  <c r="AG46" i="330" s="1"/>
  <c r="M46" i="330"/>
  <c r="L46" i="330"/>
  <c r="K46" i="330"/>
  <c r="J46" i="330"/>
  <c r="I46" i="330"/>
  <c r="E46" i="330"/>
  <c r="X45" i="330"/>
  <c r="V45" i="330"/>
  <c r="S45" i="330"/>
  <c r="O45" i="330"/>
  <c r="N45" i="330"/>
  <c r="AM45" i="330" s="1"/>
  <c r="M45" i="330"/>
  <c r="L45" i="330"/>
  <c r="K45" i="330"/>
  <c r="J45" i="330"/>
  <c r="I45" i="330"/>
  <c r="E45" i="330"/>
  <c r="X44" i="330"/>
  <c r="V44" i="330"/>
  <c r="S44" i="330"/>
  <c r="O44" i="330"/>
  <c r="N44" i="330"/>
  <c r="AM44" i="330" s="1"/>
  <c r="M44" i="330"/>
  <c r="L44" i="330"/>
  <c r="K44" i="330"/>
  <c r="AD44" i="330" s="1"/>
  <c r="J44" i="330"/>
  <c r="I44" i="330"/>
  <c r="E44" i="330"/>
  <c r="Z43" i="330"/>
  <c r="X43" i="330"/>
  <c r="V43" i="330"/>
  <c r="S43" i="330"/>
  <c r="O43" i="330"/>
  <c r="N43" i="330"/>
  <c r="AM43" i="330" s="1"/>
  <c r="M43" i="330"/>
  <c r="L43" i="330"/>
  <c r="K43" i="330"/>
  <c r="J43" i="330"/>
  <c r="I43" i="330"/>
  <c r="E43" i="330"/>
  <c r="X42" i="330"/>
  <c r="V42" i="330"/>
  <c r="S42" i="330"/>
  <c r="O42" i="330"/>
  <c r="N42" i="330"/>
  <c r="AG42" i="330" s="1"/>
  <c r="M42" i="330"/>
  <c r="L42" i="330"/>
  <c r="K42" i="330"/>
  <c r="AD42" i="330" s="1"/>
  <c r="J42" i="330"/>
  <c r="I42" i="330"/>
  <c r="E42" i="330"/>
  <c r="X41" i="330"/>
  <c r="V41" i="330"/>
  <c r="S41" i="330"/>
  <c r="O41" i="330"/>
  <c r="N41" i="330"/>
  <c r="AG41" i="330" s="1"/>
  <c r="M41" i="330"/>
  <c r="L41" i="330"/>
  <c r="K41" i="330"/>
  <c r="J41" i="330"/>
  <c r="I41" i="330"/>
  <c r="E41" i="330"/>
  <c r="Z40" i="330"/>
  <c r="V40" i="330"/>
  <c r="S40" i="330"/>
  <c r="O40" i="330"/>
  <c r="N40" i="330"/>
  <c r="AG40" i="330" s="1"/>
  <c r="M40" i="330"/>
  <c r="L40" i="330"/>
  <c r="K40" i="330"/>
  <c r="AD40" i="330" s="1"/>
  <c r="J40" i="330"/>
  <c r="I40" i="330"/>
  <c r="E40" i="330"/>
  <c r="Z39" i="330"/>
  <c r="W39" i="330"/>
  <c r="V39" i="330"/>
  <c r="S39" i="330"/>
  <c r="P39" i="330"/>
  <c r="O39" i="330"/>
  <c r="N39" i="330"/>
  <c r="AM39" i="330" s="1"/>
  <c r="M39" i="330"/>
  <c r="L39" i="330"/>
  <c r="K39" i="330"/>
  <c r="AD39" i="330" s="1"/>
  <c r="J39" i="330"/>
  <c r="I39" i="330"/>
  <c r="E39" i="330"/>
  <c r="A39" i="330"/>
  <c r="A40" i="330" s="1"/>
  <c r="Z38" i="330"/>
  <c r="V38" i="330"/>
  <c r="S38" i="330"/>
  <c r="O38" i="330"/>
  <c r="N38" i="330"/>
  <c r="AG38" i="330" s="1"/>
  <c r="M38" i="330"/>
  <c r="L38" i="330"/>
  <c r="K38" i="330"/>
  <c r="AD38" i="330" s="1"/>
  <c r="J38" i="330"/>
  <c r="I38" i="330"/>
  <c r="E38" i="330"/>
  <c r="AA37" i="330"/>
  <c r="AU37" i="330" s="1"/>
  <c r="AT37" i="330" s="1"/>
  <c r="Z37" i="330"/>
  <c r="Y37" i="330"/>
  <c r="X37" i="330"/>
  <c r="W37" i="330"/>
  <c r="V37" i="330"/>
  <c r="U37" i="330"/>
  <c r="T37" i="330"/>
  <c r="S37" i="330"/>
  <c r="R37" i="330"/>
  <c r="AK37" i="330" s="1"/>
  <c r="Q37" i="330"/>
  <c r="P37" i="330"/>
  <c r="O37" i="330"/>
  <c r="N37" i="330"/>
  <c r="AG37" i="330" s="1"/>
  <c r="M37" i="330"/>
  <c r="L37" i="330"/>
  <c r="K37" i="330"/>
  <c r="J37" i="330"/>
  <c r="I37" i="330"/>
  <c r="H37" i="330"/>
  <c r="G37" i="330"/>
  <c r="F37" i="330"/>
  <c r="E37" i="330"/>
  <c r="V36" i="330"/>
  <c r="O36" i="330"/>
  <c r="N36" i="330"/>
  <c r="AM36" i="330" s="1"/>
  <c r="M36" i="330"/>
  <c r="L36" i="330"/>
  <c r="K36" i="330"/>
  <c r="J36" i="330"/>
  <c r="I36" i="330"/>
  <c r="E36" i="330"/>
  <c r="X35" i="330"/>
  <c r="V35" i="330"/>
  <c r="O35" i="330"/>
  <c r="N35" i="330"/>
  <c r="AM35" i="330" s="1"/>
  <c r="M35" i="330"/>
  <c r="L35" i="330"/>
  <c r="K35" i="330"/>
  <c r="AD35" i="330" s="1"/>
  <c r="J35" i="330"/>
  <c r="I35" i="330"/>
  <c r="E35" i="330"/>
  <c r="X34" i="330"/>
  <c r="V34" i="330"/>
  <c r="O34" i="330"/>
  <c r="N34" i="330"/>
  <c r="AM34" i="330" s="1"/>
  <c r="M34" i="330"/>
  <c r="L34" i="330"/>
  <c r="K34" i="330"/>
  <c r="AD34" i="330" s="1"/>
  <c r="J34" i="330"/>
  <c r="I34" i="330"/>
  <c r="E34" i="330"/>
  <c r="Z33" i="330"/>
  <c r="V33" i="330"/>
  <c r="O33" i="330"/>
  <c r="N33" i="330"/>
  <c r="AG33" i="330" s="1"/>
  <c r="M33" i="330"/>
  <c r="L33" i="330"/>
  <c r="K33" i="330"/>
  <c r="AD33" i="330" s="1"/>
  <c r="J33" i="330"/>
  <c r="I33" i="330"/>
  <c r="E33" i="330"/>
  <c r="Z32" i="330"/>
  <c r="V32" i="330"/>
  <c r="T32" i="330"/>
  <c r="Q32" i="330"/>
  <c r="O32" i="330"/>
  <c r="N32" i="330"/>
  <c r="AG32" i="330" s="1"/>
  <c r="M32" i="330"/>
  <c r="L32" i="330"/>
  <c r="K32" i="330"/>
  <c r="AD32" i="330" s="1"/>
  <c r="J32" i="330"/>
  <c r="I32" i="330"/>
  <c r="E32" i="330"/>
  <c r="X31" i="330"/>
  <c r="V31" i="330"/>
  <c r="T31" i="330"/>
  <c r="Q31" i="330"/>
  <c r="O31" i="330"/>
  <c r="N31" i="330"/>
  <c r="AM31" i="330" s="1"/>
  <c r="M31" i="330"/>
  <c r="L31" i="330"/>
  <c r="K31" i="330"/>
  <c r="AD31" i="330" s="1"/>
  <c r="J31" i="330"/>
  <c r="I31" i="330"/>
  <c r="E31" i="330"/>
  <c r="X30" i="330"/>
  <c r="V30" i="330"/>
  <c r="T30" i="330"/>
  <c r="Q30" i="330"/>
  <c r="O30" i="330"/>
  <c r="N30" i="330"/>
  <c r="AM30" i="330" s="1"/>
  <c r="M30" i="330"/>
  <c r="L30" i="330"/>
  <c r="K30" i="330"/>
  <c r="AD30" i="330" s="1"/>
  <c r="J30" i="330"/>
  <c r="I30" i="330"/>
  <c r="E30" i="330"/>
  <c r="Z29" i="330"/>
  <c r="V29" i="330"/>
  <c r="T29" i="330"/>
  <c r="Q29" i="330"/>
  <c r="O29" i="330"/>
  <c r="N29" i="330"/>
  <c r="AG29" i="330" s="1"/>
  <c r="M29" i="330"/>
  <c r="L29" i="330"/>
  <c r="K29" i="330"/>
  <c r="J29" i="330"/>
  <c r="I29" i="330"/>
  <c r="E29" i="330"/>
  <c r="X28" i="330"/>
  <c r="V28" i="330"/>
  <c r="T28" i="330"/>
  <c r="Q28" i="330"/>
  <c r="O28" i="330"/>
  <c r="N28" i="330"/>
  <c r="AG28" i="330" s="1"/>
  <c r="M28" i="330"/>
  <c r="L28" i="330"/>
  <c r="K28" i="330"/>
  <c r="AD28" i="330" s="1"/>
  <c r="J28" i="330"/>
  <c r="I28" i="330"/>
  <c r="E28" i="330"/>
  <c r="Z27" i="330"/>
  <c r="V27" i="330"/>
  <c r="AO27" i="330" s="1"/>
  <c r="T27" i="330"/>
  <c r="Q27" i="330"/>
  <c r="O27" i="330"/>
  <c r="N27" i="330"/>
  <c r="AG27" i="330" s="1"/>
  <c r="M27" i="330"/>
  <c r="L27" i="330"/>
  <c r="K27" i="330"/>
  <c r="AD27" i="330" s="1"/>
  <c r="J27" i="330"/>
  <c r="I27" i="330"/>
  <c r="E27" i="330"/>
  <c r="Z26" i="330"/>
  <c r="V26" i="330"/>
  <c r="T26" i="330"/>
  <c r="Q26" i="330"/>
  <c r="O26" i="330"/>
  <c r="N26" i="330"/>
  <c r="AM26" i="330" s="1"/>
  <c r="M26" i="330"/>
  <c r="L26" i="330"/>
  <c r="K26" i="330"/>
  <c r="AD26" i="330" s="1"/>
  <c r="J26" i="330"/>
  <c r="I26" i="330"/>
  <c r="E26" i="330"/>
  <c r="A26" i="330"/>
  <c r="Z25" i="330"/>
  <c r="V25" i="330"/>
  <c r="T25" i="330"/>
  <c r="Q25" i="330"/>
  <c r="O25" i="330"/>
  <c r="N25" i="330"/>
  <c r="AM25" i="330" s="1"/>
  <c r="M25" i="330"/>
  <c r="L25" i="330"/>
  <c r="K25" i="330"/>
  <c r="AD25" i="330" s="1"/>
  <c r="J25" i="330"/>
  <c r="I25" i="330"/>
  <c r="E25" i="330"/>
  <c r="Z24" i="330"/>
  <c r="V24" i="330"/>
  <c r="T24" i="330"/>
  <c r="Q24" i="330"/>
  <c r="O24" i="330"/>
  <c r="N24" i="330"/>
  <c r="AM24" i="330" s="1"/>
  <c r="M24" i="330"/>
  <c r="L24" i="330"/>
  <c r="K24" i="330"/>
  <c r="AD24" i="330" s="1"/>
  <c r="J24" i="330"/>
  <c r="I24" i="330"/>
  <c r="E24" i="330"/>
  <c r="AA23" i="330"/>
  <c r="AT23" i="330" s="1"/>
  <c r="Z23" i="330"/>
  <c r="W23" i="330"/>
  <c r="V23" i="330"/>
  <c r="T23" i="330"/>
  <c r="S23" i="330"/>
  <c r="AL23" i="330" s="1"/>
  <c r="Q23" i="330"/>
  <c r="P23" i="330"/>
  <c r="O23" i="330"/>
  <c r="N23" i="330"/>
  <c r="AM23" i="330" s="1"/>
  <c r="M23" i="330"/>
  <c r="L23" i="330"/>
  <c r="K23" i="330"/>
  <c r="AD23" i="330" s="1"/>
  <c r="J23" i="330"/>
  <c r="I23" i="330"/>
  <c r="H23" i="330"/>
  <c r="G23" i="330"/>
  <c r="F23" i="330"/>
  <c r="E23" i="330"/>
  <c r="AA22" i="330"/>
  <c r="AT22" i="330" s="1"/>
  <c r="Z22" i="330"/>
  <c r="W22" i="330"/>
  <c r="V22" i="330"/>
  <c r="T22" i="330"/>
  <c r="S22" i="330"/>
  <c r="Q22" i="330"/>
  <c r="P22" i="330"/>
  <c r="O22" i="330"/>
  <c r="N22" i="330"/>
  <c r="AG22" i="330" s="1"/>
  <c r="M22" i="330"/>
  <c r="L22" i="330"/>
  <c r="K22" i="330"/>
  <c r="J22" i="330"/>
  <c r="I22" i="330"/>
  <c r="H22" i="330"/>
  <c r="G22" i="330"/>
  <c r="F22" i="330"/>
  <c r="E22" i="330"/>
  <c r="AA21" i="330"/>
  <c r="AU21" i="330" s="1"/>
  <c r="AT21" i="330" s="1"/>
  <c r="Z21" i="330"/>
  <c r="W21" i="330"/>
  <c r="V21" i="330"/>
  <c r="T21" i="330"/>
  <c r="S21" i="330"/>
  <c r="Q21" i="330"/>
  <c r="P21" i="330"/>
  <c r="O21" i="330"/>
  <c r="N21" i="330"/>
  <c r="AM21" i="330" s="1"/>
  <c r="AL21" i="330" s="1"/>
  <c r="M21" i="330"/>
  <c r="L21" i="330"/>
  <c r="K21" i="330"/>
  <c r="J21" i="330"/>
  <c r="I21" i="330"/>
  <c r="H21" i="330"/>
  <c r="G21" i="330"/>
  <c r="F21" i="330"/>
  <c r="E21" i="330"/>
  <c r="AA20" i="330"/>
  <c r="AU20" i="330" s="1"/>
  <c r="AT20" i="330" s="1"/>
  <c r="Z20" i="330"/>
  <c r="W20" i="330"/>
  <c r="V20" i="330"/>
  <c r="T20" i="330"/>
  <c r="R20" i="330"/>
  <c r="AK20" i="330" s="1"/>
  <c r="Q20" i="330"/>
  <c r="P20" i="330"/>
  <c r="O20" i="330"/>
  <c r="N20" i="330"/>
  <c r="AM20" i="330" s="1"/>
  <c r="M20" i="330"/>
  <c r="L20" i="330"/>
  <c r="K20" i="330"/>
  <c r="AD20" i="330" s="1"/>
  <c r="J20" i="330"/>
  <c r="I20" i="330"/>
  <c r="E20" i="330"/>
  <c r="Z19" i="330"/>
  <c r="V19" i="330"/>
  <c r="T19" i="330"/>
  <c r="Q19" i="330"/>
  <c r="O19" i="330"/>
  <c r="N19" i="330"/>
  <c r="AM19" i="330" s="1"/>
  <c r="M19" i="330"/>
  <c r="L19" i="330"/>
  <c r="K19" i="330"/>
  <c r="AD19" i="330" s="1"/>
  <c r="J19" i="330"/>
  <c r="I19" i="330"/>
  <c r="E19" i="330"/>
  <c r="AA18" i="330"/>
  <c r="AT18" i="330" s="1"/>
  <c r="Z18" i="330"/>
  <c r="Y18" i="330"/>
  <c r="X18" i="330"/>
  <c r="W18" i="330"/>
  <c r="V18" i="330"/>
  <c r="U18" i="330"/>
  <c r="T18" i="330"/>
  <c r="S18" i="330"/>
  <c r="R18" i="330"/>
  <c r="AK18" i="330" s="1"/>
  <c r="Q18" i="330"/>
  <c r="P18" i="330"/>
  <c r="O18" i="330"/>
  <c r="N18" i="330"/>
  <c r="AG18" i="330" s="1"/>
  <c r="M18" i="330"/>
  <c r="L18" i="330"/>
  <c r="K18" i="330"/>
  <c r="AD18" i="330" s="1"/>
  <c r="J18" i="330"/>
  <c r="I18" i="330"/>
  <c r="H18" i="330"/>
  <c r="G18" i="330"/>
  <c r="F18" i="330"/>
  <c r="E18" i="330"/>
  <c r="AA17" i="330"/>
  <c r="AT17" i="330" s="1"/>
  <c r="Z17" i="330"/>
  <c r="Y17" i="330"/>
  <c r="X17" i="330"/>
  <c r="W17" i="330"/>
  <c r="V17" i="330"/>
  <c r="T17" i="330"/>
  <c r="S17" i="330"/>
  <c r="Q17" i="330"/>
  <c r="P17" i="330"/>
  <c r="O17" i="330"/>
  <c r="N17" i="330"/>
  <c r="AM17" i="330" s="1"/>
  <c r="AL17" i="330" s="1"/>
  <c r="M17" i="330"/>
  <c r="L17" i="330"/>
  <c r="K17" i="330"/>
  <c r="AD17" i="330" s="1"/>
  <c r="J17" i="330"/>
  <c r="I17" i="330"/>
  <c r="H17" i="330"/>
  <c r="G17" i="330"/>
  <c r="F17" i="330"/>
  <c r="E17" i="330"/>
  <c r="AA16" i="330"/>
  <c r="AT16" i="330" s="1"/>
  <c r="Z16" i="330"/>
  <c r="Y16" i="330"/>
  <c r="X16" i="330"/>
  <c r="W16" i="330"/>
  <c r="V16" i="330"/>
  <c r="T16" i="330"/>
  <c r="S16" i="330"/>
  <c r="Q16" i="330"/>
  <c r="P16" i="330"/>
  <c r="O16" i="330"/>
  <c r="N16" i="330"/>
  <c r="AG16" i="330" s="1"/>
  <c r="M16" i="330"/>
  <c r="L16" i="330"/>
  <c r="K16" i="330"/>
  <c r="AD16" i="330" s="1"/>
  <c r="J16" i="330"/>
  <c r="I16" i="330"/>
  <c r="H16" i="330"/>
  <c r="G16" i="330"/>
  <c r="F16" i="330"/>
  <c r="E16" i="330"/>
  <c r="AA15" i="330"/>
  <c r="AT15" i="330" s="1"/>
  <c r="Z15" i="330"/>
  <c r="Y15" i="330"/>
  <c r="X15" i="330"/>
  <c r="W15" i="330"/>
  <c r="V15" i="330"/>
  <c r="T15" i="330"/>
  <c r="S15" i="330"/>
  <c r="Q15" i="330"/>
  <c r="P15" i="330"/>
  <c r="O15" i="330"/>
  <c r="N15" i="330"/>
  <c r="AG15" i="330" s="1"/>
  <c r="M15" i="330"/>
  <c r="L15" i="330"/>
  <c r="K15" i="330"/>
  <c r="J15" i="330"/>
  <c r="I15" i="330"/>
  <c r="H15" i="330"/>
  <c r="G15" i="330"/>
  <c r="F15" i="330"/>
  <c r="E15" i="330"/>
  <c r="AA14" i="330"/>
  <c r="AU14" i="330" s="1"/>
  <c r="AT14" i="330" s="1"/>
  <c r="Z14" i="330"/>
  <c r="Y14" i="330"/>
  <c r="X14" i="330"/>
  <c r="W14" i="330"/>
  <c r="V14" i="330"/>
  <c r="T14" i="330"/>
  <c r="S14" i="330"/>
  <c r="Q14" i="330"/>
  <c r="P14" i="330"/>
  <c r="O14" i="330"/>
  <c r="N14" i="330"/>
  <c r="AM14" i="330" s="1"/>
  <c r="AL14" i="330" s="1"/>
  <c r="M14" i="330"/>
  <c r="L14" i="330"/>
  <c r="K14" i="330"/>
  <c r="J14" i="330"/>
  <c r="I14" i="330"/>
  <c r="H14" i="330"/>
  <c r="G14" i="330"/>
  <c r="F14" i="330"/>
  <c r="E14" i="330"/>
  <c r="Z13" i="330"/>
  <c r="V13" i="330"/>
  <c r="T13" i="330"/>
  <c r="Q13" i="330"/>
  <c r="O13" i="330"/>
  <c r="N13" i="330"/>
  <c r="AM13" i="330" s="1"/>
  <c r="M13" i="330"/>
  <c r="L13" i="330"/>
  <c r="K13" i="330"/>
  <c r="J13" i="330"/>
  <c r="I13" i="330"/>
  <c r="E13" i="330"/>
  <c r="Z12" i="330"/>
  <c r="Y12" i="330"/>
  <c r="X12" i="330"/>
  <c r="V12" i="330"/>
  <c r="T12" i="330"/>
  <c r="R12" i="330"/>
  <c r="AK12" i="330" s="1"/>
  <c r="Q12" i="330"/>
  <c r="O12" i="330"/>
  <c r="N12" i="330"/>
  <c r="AG12" i="330" s="1"/>
  <c r="M12" i="330"/>
  <c r="L12" i="330"/>
  <c r="K12" i="330"/>
  <c r="J12" i="330"/>
  <c r="I12" i="330"/>
  <c r="H12" i="330"/>
  <c r="E12" i="330"/>
  <c r="X64" i="329"/>
  <c r="Y64" i="329" s="1"/>
  <c r="S64" i="329"/>
  <c r="Y63" i="329"/>
  <c r="G63" i="329"/>
  <c r="G62" i="330" s="1"/>
  <c r="F63" i="329"/>
  <c r="T63" i="329" s="1"/>
  <c r="Y62" i="329"/>
  <c r="G62" i="329"/>
  <c r="G61" i="330" s="1"/>
  <c r="F62" i="329"/>
  <c r="F61" i="330" s="1"/>
  <c r="R62" i="329"/>
  <c r="AD62" i="329" s="1"/>
  <c r="AC62" i="329" s="1"/>
  <c r="AE61" i="329"/>
  <c r="Y61" i="329"/>
  <c r="G61" i="329"/>
  <c r="F61" i="329"/>
  <c r="T61" i="329" s="1"/>
  <c r="R61" i="329"/>
  <c r="AD61" i="329" s="1"/>
  <c r="Y60" i="329"/>
  <c r="F60" i="329"/>
  <c r="F59" i="330" s="1"/>
  <c r="AE59" i="329"/>
  <c r="Y59" i="329"/>
  <c r="G59" i="329"/>
  <c r="F59" i="329"/>
  <c r="F58" i="330" s="1"/>
  <c r="R59" i="329"/>
  <c r="AD59" i="329" s="1"/>
  <c r="Y58" i="329"/>
  <c r="G58" i="329"/>
  <c r="F58" i="329"/>
  <c r="T58" i="329" s="1"/>
  <c r="Y57" i="329"/>
  <c r="F57" i="329"/>
  <c r="F56" i="330" s="1"/>
  <c r="AE56" i="329"/>
  <c r="Y56" i="329"/>
  <c r="G56" i="329"/>
  <c r="F56" i="329"/>
  <c r="Y55" i="329"/>
  <c r="Y54" i="330" s="1"/>
  <c r="S54" i="329"/>
  <c r="S53" i="330" s="1"/>
  <c r="G57" i="330" l="1"/>
  <c r="Q58" i="329"/>
  <c r="R60" i="329"/>
  <c r="AD60" i="329" s="1"/>
  <c r="AC60" i="329" s="1"/>
  <c r="AL47" i="330"/>
  <c r="F57" i="330"/>
  <c r="AL52" i="330"/>
  <c r="AS37" i="330"/>
  <c r="AC30" i="330"/>
  <c r="AL53" i="330"/>
  <c r="AJ37" i="330"/>
  <c r="AI37" i="330" s="1"/>
  <c r="AH37" i="330" s="1"/>
  <c r="AR37" i="330"/>
  <c r="AQ37" i="330" s="1"/>
  <c r="AR54" i="330"/>
  <c r="AQ54" i="330" s="1"/>
  <c r="AP54" i="330" s="1"/>
  <c r="AO54" i="330" s="1"/>
  <c r="AN54" i="330" s="1"/>
  <c r="AM54" i="330" s="1"/>
  <c r="AL54" i="330" s="1"/>
  <c r="AG19" i="330"/>
  <c r="AP37" i="330"/>
  <c r="AO37" i="330" s="1"/>
  <c r="AN37" i="330" s="1"/>
  <c r="AM37" i="330" s="1"/>
  <c r="AL37" i="330" s="1"/>
  <c r="AL43" i="330"/>
  <c r="AL44" i="330"/>
  <c r="AC19" i="330"/>
  <c r="AJ22" i="330"/>
  <c r="AI22" i="330" s="1"/>
  <c r="AH22" i="330" s="1"/>
  <c r="AC26" i="330"/>
  <c r="AC28" i="330"/>
  <c r="AL45" i="330"/>
  <c r="AS16" i="330"/>
  <c r="AF22" i="330"/>
  <c r="AE22" i="330" s="1"/>
  <c r="AC23" i="330"/>
  <c r="AB23" i="330" s="1"/>
  <c r="AS23" i="330"/>
  <c r="AC24" i="330"/>
  <c r="J146" i="212"/>
  <c r="AC16" i="330"/>
  <c r="AF46" i="330"/>
  <c r="AE46" i="330" s="1"/>
  <c r="AF49" i="330"/>
  <c r="AJ15" i="330"/>
  <c r="AR16" i="330"/>
  <c r="AQ16" i="330" s="1"/>
  <c r="AP16" i="330" s="1"/>
  <c r="AO16" i="330" s="1"/>
  <c r="AC27" i="330"/>
  <c r="AB27" i="330" s="1"/>
  <c r="AB28" i="330"/>
  <c r="AC17" i="330"/>
  <c r="AX17" i="330" s="1"/>
  <c r="AF18" i="330"/>
  <c r="AE18" i="330" s="1"/>
  <c r="AC20" i="330"/>
  <c r="AB20" i="330" s="1"/>
  <c r="AF27" i="330"/>
  <c r="AE27" i="330" s="1"/>
  <c r="AC40" i="330"/>
  <c r="AB40" i="330" s="1"/>
  <c r="AM40" i="330"/>
  <c r="AL40" i="330" s="1"/>
  <c r="AC42" i="330"/>
  <c r="AB42" i="330" s="1"/>
  <c r="AC44" i="330"/>
  <c r="AB44" i="330" s="1"/>
  <c r="AG45" i="330"/>
  <c r="AJ49" i="330"/>
  <c r="AJ51" i="330"/>
  <c r="AM48" i="330"/>
  <c r="AI49" i="330"/>
  <c r="AH49" i="330" s="1"/>
  <c r="AI51" i="330"/>
  <c r="AH51" i="330" s="1"/>
  <c r="AG51" i="330" s="1"/>
  <c r="AF51" i="330" s="1"/>
  <c r="AE51" i="330" s="1"/>
  <c r="AJ24" i="330"/>
  <c r="AB30" i="330"/>
  <c r="AE49" i="330"/>
  <c r="AG52" i="330"/>
  <c r="D55" i="330"/>
  <c r="R56" i="329"/>
  <c r="AD56" i="329" s="1"/>
  <c r="F64" i="329"/>
  <c r="F63" i="330" s="1"/>
  <c r="AI15" i="330"/>
  <c r="AH15" i="330" s="1"/>
  <c r="AJ12" i="330"/>
  <c r="AB16" i="330"/>
  <c r="T60" i="329"/>
  <c r="H61" i="329"/>
  <c r="H60" i="330" s="1"/>
  <c r="G60" i="330" s="1"/>
  <c r="F60" i="330" s="1"/>
  <c r="AJ14" i="330"/>
  <c r="AI14" i="330" s="1"/>
  <c r="AH14" i="330" s="1"/>
  <c r="AG14" i="330" s="1"/>
  <c r="AF14" i="330" s="1"/>
  <c r="AF16" i="330"/>
  <c r="AE16" i="330" s="1"/>
  <c r="AM16" i="330"/>
  <c r="AS20" i="330"/>
  <c r="AJ21" i="330"/>
  <c r="AI21" i="330" s="1"/>
  <c r="AH21" i="330" s="1"/>
  <c r="AG21" i="330" s="1"/>
  <c r="AS21" i="330"/>
  <c r="AC35" i="330"/>
  <c r="AB35" i="330" s="1"/>
  <c r="AC38" i="330"/>
  <c r="AB38" i="330" s="1"/>
  <c r="AL39" i="330"/>
  <c r="AJ50" i="330"/>
  <c r="AI50" i="330" s="1"/>
  <c r="AH50" i="330" s="1"/>
  <c r="E56" i="330"/>
  <c r="E64" i="329"/>
  <c r="E63" i="330" s="1"/>
  <c r="AD22" i="330"/>
  <c r="AC22" i="330" s="1"/>
  <c r="AB22" i="330" s="1"/>
  <c r="AD46" i="330"/>
  <c r="AC46" i="330" s="1"/>
  <c r="AB46" i="330" s="1"/>
  <c r="AD49" i="330"/>
  <c r="AC49" i="330" s="1"/>
  <c r="AB49" i="330" s="1"/>
  <c r="AJ17" i="330"/>
  <c r="AF21" i="330"/>
  <c r="AE21" i="330" s="1"/>
  <c r="AD21" i="330" s="1"/>
  <c r="AC21" i="330" s="1"/>
  <c r="AB21" i="330" s="1"/>
  <c r="AC25" i="330"/>
  <c r="AB25" i="330" s="1"/>
  <c r="AF29" i="330"/>
  <c r="AE29" i="330" s="1"/>
  <c r="AD29" i="330" s="1"/>
  <c r="AC29" i="330" s="1"/>
  <c r="AB29" i="330" s="1"/>
  <c r="AF32" i="330"/>
  <c r="AE32" i="330" s="1"/>
  <c r="AF33" i="330"/>
  <c r="AE33" i="330" s="1"/>
  <c r="AC34" i="330"/>
  <c r="AB34" i="330" s="1"/>
  <c r="AC39" i="330"/>
  <c r="AB39" i="330" s="1"/>
  <c r="AD47" i="330"/>
  <c r="AC48" i="330"/>
  <c r="AB48" i="330" s="1"/>
  <c r="AF50" i="330"/>
  <c r="AE50" i="330" s="1"/>
  <c r="AD50" i="330" s="1"/>
  <c r="AC50" i="330" s="1"/>
  <c r="AB50" i="330" s="1"/>
  <c r="AJ52" i="330"/>
  <c r="AE14" i="330"/>
  <c r="AD14" i="330" s="1"/>
  <c r="AC14" i="330" s="1"/>
  <c r="AB14" i="330" s="1"/>
  <c r="AB17" i="330"/>
  <c r="AB19" i="330"/>
  <c r="AJ23" i="330"/>
  <c r="AI23" i="330" s="1"/>
  <c r="AH23" i="330" s="1"/>
  <c r="AG23" i="330" s="1"/>
  <c r="AF23" i="330" s="1"/>
  <c r="AE23" i="330" s="1"/>
  <c r="AC32" i="330"/>
  <c r="AB32" i="330" s="1"/>
  <c r="AF40" i="330"/>
  <c r="AE40" i="330" s="1"/>
  <c r="AF41" i="330"/>
  <c r="AE41" i="330" s="1"/>
  <c r="AD41" i="330" s="1"/>
  <c r="AC41" i="330" s="1"/>
  <c r="AB41" i="330" s="1"/>
  <c r="AF42" i="330"/>
  <c r="AE42" i="330" s="1"/>
  <c r="AC52" i="330"/>
  <c r="AB52" i="330" s="1"/>
  <c r="T62" i="329"/>
  <c r="R61" i="330" s="1"/>
  <c r="AK61" i="330" s="1"/>
  <c r="H63" i="329"/>
  <c r="H62" i="330" s="1"/>
  <c r="AS17" i="330"/>
  <c r="AR17" i="330" s="1"/>
  <c r="AQ17" i="330" s="1"/>
  <c r="AP17" i="330" s="1"/>
  <c r="AO17" i="330" s="1"/>
  <c r="AS22" i="330"/>
  <c r="R60" i="330"/>
  <c r="AK60" i="330" s="1"/>
  <c r="U61" i="329"/>
  <c r="H56" i="329"/>
  <c r="H59" i="329"/>
  <c r="H58" i="330" s="1"/>
  <c r="G58" i="330" s="1"/>
  <c r="E59" i="330"/>
  <c r="F62" i="330"/>
  <c r="AU17" i="330"/>
  <c r="AV17" i="330" s="1"/>
  <c r="AJ19" i="330"/>
  <c r="AJ25" i="330"/>
  <c r="AM27" i="330"/>
  <c r="AJ30" i="330"/>
  <c r="AM32" i="330"/>
  <c r="AD37" i="330"/>
  <c r="AC37" i="330" s="1"/>
  <c r="AB37" i="330" s="1"/>
  <c r="AD43" i="330"/>
  <c r="AC43" i="330" s="1"/>
  <c r="AB43" i="330" s="1"/>
  <c r="AD51" i="330"/>
  <c r="AC51" i="330" s="1"/>
  <c r="AB51" i="330" s="1"/>
  <c r="D61" i="330"/>
  <c r="L146" i="212"/>
  <c r="AF12" i="330"/>
  <c r="AE12" i="330" s="1"/>
  <c r="AD12" i="330" s="1"/>
  <c r="AC12" i="330" s="1"/>
  <c r="AB12" i="330" s="1"/>
  <c r="AS14" i="330"/>
  <c r="AR14" i="330" s="1"/>
  <c r="AQ14" i="330" s="1"/>
  <c r="AP14" i="330" s="1"/>
  <c r="AO14" i="330" s="1"/>
  <c r="AF15" i="330"/>
  <c r="AE15" i="330" s="1"/>
  <c r="AD15" i="330" s="1"/>
  <c r="AC15" i="330" s="1"/>
  <c r="AB15" i="330" s="1"/>
  <c r="AL16" i="330"/>
  <c r="AJ16" i="330" s="1"/>
  <c r="AI16" i="330" s="1"/>
  <c r="AH16" i="330" s="1"/>
  <c r="AS18" i="330"/>
  <c r="AR18" i="330" s="1"/>
  <c r="AQ18" i="330" s="1"/>
  <c r="AP18" i="330" s="1"/>
  <c r="AO18" i="330" s="1"/>
  <c r="AN18" i="330" s="1"/>
  <c r="AM18" i="330" s="1"/>
  <c r="AL18" i="330" s="1"/>
  <c r="AJ18" i="330" s="1"/>
  <c r="AI18" i="330" s="1"/>
  <c r="AH18" i="330" s="1"/>
  <c r="AF19" i="330"/>
  <c r="AE19" i="330" s="1"/>
  <c r="AM22" i="330"/>
  <c r="AL22" i="330" s="1"/>
  <c r="AF28" i="330"/>
  <c r="AE28" i="330" s="1"/>
  <c r="AJ29" i="330"/>
  <c r="AC33" i="330"/>
  <c r="AB33" i="330" s="1"/>
  <c r="AF38" i="330"/>
  <c r="AE38" i="330" s="1"/>
  <c r="AF45" i="330"/>
  <c r="AE45" i="330" s="1"/>
  <c r="AD45" i="330" s="1"/>
  <c r="AC45" i="330" s="1"/>
  <c r="AB45" i="330" s="1"/>
  <c r="AC47" i="330"/>
  <c r="AB47" i="330" s="1"/>
  <c r="AF48" i="330"/>
  <c r="AE48" i="330" s="1"/>
  <c r="D60" i="330"/>
  <c r="D58" i="330"/>
  <c r="D59" i="330"/>
  <c r="T59" i="329"/>
  <c r="T56" i="329"/>
  <c r="T57" i="329"/>
  <c r="H58" i="329"/>
  <c r="H57" i="330" s="1"/>
  <c r="AJ20" i="330"/>
  <c r="AI20" i="330" s="1"/>
  <c r="AH20" i="330" s="1"/>
  <c r="AG20" i="330" s="1"/>
  <c r="AF20" i="330" s="1"/>
  <c r="AE20" i="330" s="1"/>
  <c r="AJ13" i="330"/>
  <c r="AS15" i="330"/>
  <c r="AR15" i="330" s="1"/>
  <c r="AQ15" i="330" s="1"/>
  <c r="AP15" i="330" s="1"/>
  <c r="AO15" i="330" s="1"/>
  <c r="AI17" i="330"/>
  <c r="AH17" i="330" s="1"/>
  <c r="AG17" i="330" s="1"/>
  <c r="AF17" i="330" s="1"/>
  <c r="AE17" i="330" s="1"/>
  <c r="AC18" i="330"/>
  <c r="AB18" i="330" s="1"/>
  <c r="AB24" i="330"/>
  <c r="AB26" i="330"/>
  <c r="AC31" i="330"/>
  <c r="AB31" i="330" s="1"/>
  <c r="AF37" i="330"/>
  <c r="AE37" i="330" s="1"/>
  <c r="AL48" i="330"/>
  <c r="AF52" i="330"/>
  <c r="AE52" i="330" s="1"/>
  <c r="E54" i="329"/>
  <c r="E53" i="330" s="1"/>
  <c r="Y53" i="329"/>
  <c r="G53" i="329"/>
  <c r="F53" i="329"/>
  <c r="F52" i="330" s="1"/>
  <c r="AE52" i="329"/>
  <c r="Y52" i="329"/>
  <c r="G52" i="329"/>
  <c r="G51" i="330" s="1"/>
  <c r="F52" i="329"/>
  <c r="R52" i="329"/>
  <c r="AD52" i="329" s="1"/>
  <c r="AE51" i="329"/>
  <c r="R59" i="330" l="1"/>
  <c r="AK59" i="330" s="1"/>
  <c r="H52" i="329"/>
  <c r="H51" i="330" s="1"/>
  <c r="AW17" i="330"/>
  <c r="U62" i="329"/>
  <c r="T52" i="329"/>
  <c r="H53" i="329"/>
  <c r="H52" i="330" s="1"/>
  <c r="G52" i="330" s="1"/>
  <c r="F51" i="330"/>
  <c r="E65" i="329"/>
  <c r="R58" i="330"/>
  <c r="AK58" i="330" s="1"/>
  <c r="U59" i="329"/>
  <c r="D51" i="330"/>
  <c r="T55" i="330"/>
  <c r="T64" i="329"/>
  <c r="U60" i="330"/>
  <c r="T60" i="330" s="1"/>
  <c r="Z61" i="329"/>
  <c r="AA61" i="329" s="1"/>
  <c r="AA60" i="330" s="1"/>
  <c r="T53" i="329"/>
  <c r="H55" i="330"/>
  <c r="G55" i="330" s="1"/>
  <c r="F55" i="330" s="1"/>
  <c r="Y51" i="329"/>
  <c r="G51" i="329"/>
  <c r="F51" i="329"/>
  <c r="F50" i="330" s="1"/>
  <c r="R51" i="329"/>
  <c r="AD51" i="329" s="1"/>
  <c r="AE50" i="329"/>
  <c r="Y50" i="329"/>
  <c r="G50" i="329"/>
  <c r="F50" i="329"/>
  <c r="F49" i="330" s="1"/>
  <c r="R50" i="329"/>
  <c r="AD50" i="329" s="1"/>
  <c r="AE49" i="329"/>
  <c r="Y49" i="329"/>
  <c r="G49" i="329"/>
  <c r="G48" i="330" s="1"/>
  <c r="F49" i="329"/>
  <c r="F48" i="330" s="1"/>
  <c r="R49" i="329"/>
  <c r="AD49" i="329" s="1"/>
  <c r="Y48" i="329"/>
  <c r="G48" i="329"/>
  <c r="F48" i="329"/>
  <c r="T48" i="329" s="1"/>
  <c r="Y47" i="329"/>
  <c r="Y46" i="330" s="1"/>
  <c r="G47" i="330" l="1"/>
  <c r="Q48" i="329"/>
  <c r="P62" i="329"/>
  <c r="P61" i="330" s="1"/>
  <c r="AI61" i="330" s="1"/>
  <c r="AH61" i="330" s="1"/>
  <c r="U61" i="330"/>
  <c r="T61" i="330" s="1"/>
  <c r="F47" i="330"/>
  <c r="H51" i="329"/>
  <c r="H50" i="330" s="1"/>
  <c r="G50" i="330" s="1"/>
  <c r="Z62" i="329"/>
  <c r="AA62" i="329" s="1"/>
  <c r="W62" i="329" s="1"/>
  <c r="Z60" i="330"/>
  <c r="Y60" i="330" s="1"/>
  <c r="AT60" i="330"/>
  <c r="AU60" i="330"/>
  <c r="R50" i="330"/>
  <c r="AK50" i="330" s="1"/>
  <c r="R55" i="330"/>
  <c r="AK55" i="330" s="1"/>
  <c r="U56" i="329"/>
  <c r="H49" i="329"/>
  <c r="H48" i="330" s="1"/>
  <c r="H50" i="329"/>
  <c r="H49" i="330" s="1"/>
  <c r="G49" i="330" s="1"/>
  <c r="H48" i="329"/>
  <c r="H47" i="330" s="1"/>
  <c r="T63" i="330"/>
  <c r="S63" i="330" s="1"/>
  <c r="D48" i="330"/>
  <c r="D49" i="330"/>
  <c r="D155" i="142"/>
  <c r="R51" i="330"/>
  <c r="AK51" i="330" s="1"/>
  <c r="U52" i="329"/>
  <c r="U58" i="330"/>
  <c r="T58" i="330" s="1"/>
  <c r="Z59" i="329"/>
  <c r="AA59" i="329" s="1"/>
  <c r="AA58" i="330" s="1"/>
  <c r="T49" i="329"/>
  <c r="D50" i="330"/>
  <c r="G47" i="329"/>
  <c r="G46" i="330" s="1"/>
  <c r="F47" i="329"/>
  <c r="T47" i="329" s="1"/>
  <c r="Y46" i="329"/>
  <c r="F46" i="329"/>
  <c r="F45" i="330" s="1"/>
  <c r="Y45" i="329"/>
  <c r="G45" i="329"/>
  <c r="F45" i="329"/>
  <c r="T45" i="329" s="1"/>
  <c r="Y44" i="329"/>
  <c r="Y43" i="330" s="1"/>
  <c r="G44" i="329"/>
  <c r="G43" i="330" s="1"/>
  <c r="F44" i="329"/>
  <c r="Y43" i="329"/>
  <c r="G43" i="329"/>
  <c r="G42" i="330" s="1"/>
  <c r="F43" i="329"/>
  <c r="F42" i="330" s="1"/>
  <c r="Y42" i="329"/>
  <c r="Y41" i="330" s="1"/>
  <c r="G42" i="329"/>
  <c r="G41" i="330" s="1"/>
  <c r="F42" i="329"/>
  <c r="T42" i="329" s="1"/>
  <c r="G41" i="329"/>
  <c r="G40" i="330" s="1"/>
  <c r="F41" i="329"/>
  <c r="F40" i="330" s="1"/>
  <c r="AE40" i="329"/>
  <c r="G40" i="329"/>
  <c r="G39" i="330" s="1"/>
  <c r="F40" i="329"/>
  <c r="A40" i="329"/>
  <c r="G39" i="329"/>
  <c r="F39" i="329"/>
  <c r="Y36" i="329"/>
  <c r="G36" i="329"/>
  <c r="G35" i="330" s="1"/>
  <c r="F36" i="329"/>
  <c r="F35" i="330" s="1"/>
  <c r="Y35" i="329"/>
  <c r="G35" i="329"/>
  <c r="G34" i="330" s="1"/>
  <c r="F35" i="329"/>
  <c r="F34" i="330" s="1"/>
  <c r="F34" i="329"/>
  <c r="F33" i="330" s="1"/>
  <c r="F33" i="329"/>
  <c r="Y32" i="329"/>
  <c r="F32" i="329"/>
  <c r="Y31" i="329"/>
  <c r="F31" i="329"/>
  <c r="G30" i="329"/>
  <c r="Y29" i="329"/>
  <c r="Y28" i="330" s="1"/>
  <c r="G29" i="329"/>
  <c r="G28" i="330" s="1"/>
  <c r="F29" i="329"/>
  <c r="F28" i="329"/>
  <c r="F27" i="329"/>
  <c r="A27" i="329"/>
  <c r="A28" i="329" s="1"/>
  <c r="G25" i="329"/>
  <c r="G24" i="330" s="1"/>
  <c r="F25" i="329"/>
  <c r="F24" i="330" s="1"/>
  <c r="X21" i="329"/>
  <c r="X20" i="330" s="1"/>
  <c r="G21" i="329"/>
  <c r="F21" i="329" s="1"/>
  <c r="G13" i="329"/>
  <c r="G12" i="330" s="1"/>
  <c r="F13" i="329"/>
  <c r="F12" i="330" s="1"/>
  <c r="X64" i="328"/>
  <c r="Y64" i="328" s="1"/>
  <c r="S64" i="328"/>
  <c r="E64" i="328"/>
  <c r="Y63" i="328"/>
  <c r="G63" i="328"/>
  <c r="F63" i="328"/>
  <c r="Y62" i="328"/>
  <c r="G62" i="328"/>
  <c r="F62" i="328"/>
  <c r="AE61" i="328"/>
  <c r="Y61" i="328"/>
  <c r="G61" i="328"/>
  <c r="F61" i="328"/>
  <c r="Y60" i="328"/>
  <c r="G60" i="328"/>
  <c r="F60" i="328"/>
  <c r="AE59" i="328"/>
  <c r="Y59" i="328"/>
  <c r="G59" i="328"/>
  <c r="F59" i="328"/>
  <c r="Y58" i="328"/>
  <c r="G58" i="328"/>
  <c r="F58" i="328"/>
  <c r="T58" i="328" s="1"/>
  <c r="Y57" i="328"/>
  <c r="G57" i="328"/>
  <c r="F57" i="328"/>
  <c r="AE56" i="328"/>
  <c r="Y56" i="328"/>
  <c r="G56" i="328"/>
  <c r="F56" i="328"/>
  <c r="T56" i="328" s="1"/>
  <c r="Y55" i="328"/>
  <c r="S54" i="328"/>
  <c r="Y53" i="328"/>
  <c r="G53" i="328"/>
  <c r="F53" i="328"/>
  <c r="T53" i="328" s="1"/>
  <c r="AE52" i="328"/>
  <c r="Y52" i="328"/>
  <c r="G52" i="328"/>
  <c r="F52" i="328"/>
  <c r="AE51" i="328"/>
  <c r="Y51" i="328"/>
  <c r="G51" i="328"/>
  <c r="F51" i="328"/>
  <c r="AE50" i="328"/>
  <c r="Y50" i="328"/>
  <c r="G50" i="328"/>
  <c r="F50" i="328"/>
  <c r="AE49" i="328"/>
  <c r="Y49" i="328"/>
  <c r="G49" i="328"/>
  <c r="F49" i="328"/>
  <c r="G44" i="330" l="1"/>
  <c r="Q45" i="329"/>
  <c r="Y21" i="329"/>
  <c r="Y20" i="330" s="1"/>
  <c r="AR20" i="330" s="1"/>
  <c r="AQ20" i="330" s="1"/>
  <c r="AP20" i="330" s="1"/>
  <c r="AO20" i="330" s="1"/>
  <c r="F41" i="330"/>
  <c r="H52" i="328"/>
  <c r="T46" i="329"/>
  <c r="H57" i="328"/>
  <c r="H59" i="328"/>
  <c r="H39" i="329"/>
  <c r="H38" i="330" s="1"/>
  <c r="H49" i="328"/>
  <c r="H60" i="328"/>
  <c r="H61" i="328"/>
  <c r="AD50" i="328"/>
  <c r="AD60" i="328"/>
  <c r="AC60" i="328" s="1"/>
  <c r="AD61" i="328"/>
  <c r="H58" i="328"/>
  <c r="F44" i="330"/>
  <c r="AD49" i="328"/>
  <c r="AD52" i="328"/>
  <c r="AD59" i="328"/>
  <c r="D39" i="330"/>
  <c r="R40" i="329"/>
  <c r="H50" i="328"/>
  <c r="AD62" i="328"/>
  <c r="AC62" i="328" s="1"/>
  <c r="AD51" i="328"/>
  <c r="U56" i="328"/>
  <c r="Z56" i="328" s="1"/>
  <c r="H53" i="328"/>
  <c r="X40" i="329"/>
  <c r="X39" i="330" s="1"/>
  <c r="AA61" i="330"/>
  <c r="AT61" i="330" s="1"/>
  <c r="H40" i="329"/>
  <c r="H39" i="330" s="1"/>
  <c r="H44" i="329"/>
  <c r="H43" i="330" s="1"/>
  <c r="T43" i="329"/>
  <c r="Q44" i="329"/>
  <c r="H29" i="329"/>
  <c r="H28" i="330" s="1"/>
  <c r="T35" i="329"/>
  <c r="H41" i="329"/>
  <c r="H40" i="330" s="1"/>
  <c r="F46" i="330"/>
  <c r="G64" i="328"/>
  <c r="F64" i="328"/>
  <c r="Z58" i="330"/>
  <c r="Y58" i="330" s="1"/>
  <c r="AT58" i="330"/>
  <c r="AU58" i="330"/>
  <c r="F38" i="330"/>
  <c r="F54" i="329"/>
  <c r="H56" i="328"/>
  <c r="S13" i="329"/>
  <c r="H25" i="329"/>
  <c r="F28" i="330"/>
  <c r="T39" i="329"/>
  <c r="F39" i="330"/>
  <c r="H42" i="329"/>
  <c r="H41" i="330" s="1"/>
  <c r="F43" i="330"/>
  <c r="T44" i="329"/>
  <c r="Q47" i="330"/>
  <c r="Z61" i="330"/>
  <c r="Y61" i="330" s="1"/>
  <c r="U55" i="330"/>
  <c r="Z56" i="329"/>
  <c r="AA56" i="329" s="1"/>
  <c r="AS60" i="330"/>
  <c r="AR60" i="330" s="1"/>
  <c r="AQ60" i="330" s="1"/>
  <c r="AP60" i="330" s="1"/>
  <c r="AO60" i="330" s="1"/>
  <c r="AN60" i="330" s="1"/>
  <c r="AV60" i="330"/>
  <c r="H36" i="329"/>
  <c r="H35" i="330" s="1"/>
  <c r="Q49" i="329"/>
  <c r="R48" i="330"/>
  <c r="AK48" i="330" s="1"/>
  <c r="W61" i="330"/>
  <c r="AE62" i="329"/>
  <c r="H35" i="329"/>
  <c r="H34" i="330" s="1"/>
  <c r="T40" i="329"/>
  <c r="Q42" i="329"/>
  <c r="H43" i="329"/>
  <c r="H42" i="330" s="1"/>
  <c r="H45" i="329"/>
  <c r="H44" i="330" s="1"/>
  <c r="H47" i="329"/>
  <c r="H46" i="330" s="1"/>
  <c r="G38" i="330"/>
  <c r="R49" i="330"/>
  <c r="AK49" i="330" s="1"/>
  <c r="U51" i="330"/>
  <c r="T51" i="330" s="1"/>
  <c r="Z52" i="329"/>
  <c r="AA52" i="329" s="1"/>
  <c r="AA51" i="330" s="1"/>
  <c r="AL63" i="330"/>
  <c r="T41" i="329"/>
  <c r="Y48" i="328"/>
  <c r="F48" i="328"/>
  <c r="Y47" i="328"/>
  <c r="F47" i="328"/>
  <c r="Y46" i="328"/>
  <c r="G46" i="328"/>
  <c r="F46" i="328"/>
  <c r="Y45" i="328"/>
  <c r="G45" i="328"/>
  <c r="F45" i="328"/>
  <c r="Y44" i="328"/>
  <c r="G44" i="328"/>
  <c r="F44" i="328"/>
  <c r="Y43" i="328"/>
  <c r="G43" i="328"/>
  <c r="F43" i="328"/>
  <c r="Y42" i="328"/>
  <c r="G42" i="328"/>
  <c r="Q42" i="328" s="1"/>
  <c r="F42" i="328"/>
  <c r="F41" i="328"/>
  <c r="AE40" i="328"/>
  <c r="G40" i="328"/>
  <c r="F40" i="328"/>
  <c r="A40" i="328"/>
  <c r="G39" i="328"/>
  <c r="F39" i="328"/>
  <c r="Y36" i="328"/>
  <c r="G36" i="328"/>
  <c r="F36" i="328"/>
  <c r="Y35" i="328"/>
  <c r="F35" i="328"/>
  <c r="F34" i="328"/>
  <c r="F33" i="328"/>
  <c r="Y32" i="328"/>
  <c r="F32" i="328"/>
  <c r="Y31" i="328"/>
  <c r="F31" i="328"/>
  <c r="F30" i="328"/>
  <c r="Y29" i="328"/>
  <c r="F29" i="328"/>
  <c r="F28" i="328"/>
  <c r="F27" i="328"/>
  <c r="A27" i="328"/>
  <c r="A28" i="328" s="1"/>
  <c r="G26" i="328"/>
  <c r="F26" i="328"/>
  <c r="F25" i="328"/>
  <c r="X21" i="328"/>
  <c r="Y21" i="328" s="1"/>
  <c r="G21" i="328"/>
  <c r="F21" i="328"/>
  <c r="F14" i="328"/>
  <c r="F13" i="328"/>
  <c r="L91" i="319"/>
  <c r="K91" i="319"/>
  <c r="K80" i="319"/>
  <c r="K78" i="319"/>
  <c r="M77" i="319"/>
  <c r="A63" i="319"/>
  <c r="A64" i="319" s="1"/>
  <c r="E18" i="10"/>
  <c r="A35" i="319"/>
  <c r="A36" i="319" s="1"/>
  <c r="F30" i="329"/>
  <c r="A22" i="319"/>
  <c r="A23" i="319" s="1"/>
  <c r="A24" i="319" s="1"/>
  <c r="A25" i="319" s="1"/>
  <c r="A26" i="319" s="1"/>
  <c r="A27" i="319" s="1"/>
  <c r="A28" i="319" s="1"/>
  <c r="A29" i="319" s="1"/>
  <c r="A30" i="319" s="1"/>
  <c r="A31" i="319" s="1"/>
  <c r="F20" i="328" l="1"/>
  <c r="H26" i="328"/>
  <c r="H39" i="328"/>
  <c r="E16" i="10"/>
  <c r="H40" i="328"/>
  <c r="H42" i="328"/>
  <c r="C13" i="10"/>
  <c r="C15" i="10"/>
  <c r="I71" i="319"/>
  <c r="S36" i="329"/>
  <c r="C175" i="212"/>
  <c r="J188" i="212" s="1"/>
  <c r="A37" i="319"/>
  <c r="A38" i="319" s="1"/>
  <c r="AD56" i="328"/>
  <c r="D172" i="212"/>
  <c r="Y40" i="329"/>
  <c r="Y39" i="330" s="1"/>
  <c r="C7" i="10"/>
  <c r="C159" i="212"/>
  <c r="G159" i="212" s="1"/>
  <c r="X40" i="328"/>
  <c r="H44" i="328"/>
  <c r="AU61" i="330"/>
  <c r="AV61" i="330" s="1"/>
  <c r="S29" i="329"/>
  <c r="S28" i="330" s="1"/>
  <c r="F29" i="330"/>
  <c r="H30" i="329"/>
  <c r="H29" i="330" s="1"/>
  <c r="G29" i="330" s="1"/>
  <c r="F54" i="328"/>
  <c r="H45" i="328"/>
  <c r="H46" i="328"/>
  <c r="H36" i="328"/>
  <c r="H43" i="328"/>
  <c r="E14" i="10"/>
  <c r="E15" i="10"/>
  <c r="D30" i="328"/>
  <c r="R30" i="328" s="1"/>
  <c r="D33" i="328"/>
  <c r="R33" i="328" s="1"/>
  <c r="D78" i="142"/>
  <c r="G18" i="10"/>
  <c r="D180" i="212"/>
  <c r="D36" i="328"/>
  <c r="R36" i="328" s="1"/>
  <c r="C8" i="10"/>
  <c r="C160" i="212"/>
  <c r="G160" i="212" s="1"/>
  <c r="C9" i="10"/>
  <c r="C161" i="212"/>
  <c r="C11" i="10"/>
  <c r="C165" i="212"/>
  <c r="G165" i="212" s="1"/>
  <c r="C172" i="212"/>
  <c r="G172" i="212" s="1"/>
  <c r="C20" i="10"/>
  <c r="C181" i="212"/>
  <c r="D5" i="198"/>
  <c r="D10" i="198" s="1"/>
  <c r="Q48" i="330"/>
  <c r="AJ48" i="330" s="1"/>
  <c r="AI48" i="330" s="1"/>
  <c r="AH48" i="330" s="1"/>
  <c r="U49" i="329"/>
  <c r="Z55" i="330"/>
  <c r="Y55" i="330" s="1"/>
  <c r="AJ47" i="330"/>
  <c r="S12" i="330"/>
  <c r="U13" i="329"/>
  <c r="E10" i="10"/>
  <c r="C171" i="212"/>
  <c r="C179" i="212"/>
  <c r="T39" i="328"/>
  <c r="S35" i="329"/>
  <c r="C10" i="10"/>
  <c r="C162" i="212"/>
  <c r="H51" i="328"/>
  <c r="T38" i="330"/>
  <c r="H24" i="330"/>
  <c r="H21" i="329"/>
  <c r="A39" i="319"/>
  <c r="A40" i="319" s="1"/>
  <c r="A41" i="319" s="1"/>
  <c r="A42" i="319" s="1"/>
  <c r="A43" i="319" s="1"/>
  <c r="C173" i="212"/>
  <c r="G173" i="212" s="1"/>
  <c r="Q40" i="329"/>
  <c r="U40" i="329" s="1"/>
  <c r="R39" i="330"/>
  <c r="AK39" i="330" s="1"/>
  <c r="AA56" i="328"/>
  <c r="E13" i="10"/>
  <c r="E23" i="10"/>
  <c r="S25" i="329"/>
  <c r="C12" i="10"/>
  <c r="C163" i="212"/>
  <c r="G163" i="212" s="1"/>
  <c r="C16" i="10"/>
  <c r="C164" i="212"/>
  <c r="G164" i="212" s="1"/>
  <c r="C18" i="10"/>
  <c r="C180" i="212"/>
  <c r="G180" i="212" s="1"/>
  <c r="C21" i="10"/>
  <c r="C182" i="212"/>
  <c r="C23" i="10"/>
  <c r="G29" i="10"/>
  <c r="E29" i="10"/>
  <c r="K29" i="10"/>
  <c r="F5" i="198"/>
  <c r="F10" i="198" s="1"/>
  <c r="F89" i="212"/>
  <c r="Z51" i="330"/>
  <c r="Y51" i="330" s="1"/>
  <c r="AT51" i="330"/>
  <c r="AU51" i="330"/>
  <c r="Q41" i="330"/>
  <c r="AA55" i="330"/>
  <c r="AS61" i="330"/>
  <c r="AR61" i="330" s="1"/>
  <c r="AQ61" i="330" s="1"/>
  <c r="AP61" i="330" s="1"/>
  <c r="AO61" i="330" s="1"/>
  <c r="AN61" i="330" s="1"/>
  <c r="AS58" i="330"/>
  <c r="AR58" i="330" s="1"/>
  <c r="AQ58" i="330" s="1"/>
  <c r="AP58" i="330" s="1"/>
  <c r="AO58" i="330" s="1"/>
  <c r="AN58" i="330" s="1"/>
  <c r="AV58" i="330"/>
  <c r="S30" i="329"/>
  <c r="AD58" i="328" l="1"/>
  <c r="AC58" i="328" s="1"/>
  <c r="AD33" i="328"/>
  <c r="AC33" i="328" s="1"/>
  <c r="AD43" i="328"/>
  <c r="AC43" i="328" s="1"/>
  <c r="AD30" i="328"/>
  <c r="AC30" i="328" s="1"/>
  <c r="AD36" i="328"/>
  <c r="AC36" i="328" s="1"/>
  <c r="G182" i="212"/>
  <c r="H182" i="212"/>
  <c r="H172" i="212"/>
  <c r="D54" i="185"/>
  <c r="E17" i="133"/>
  <c r="C158" i="212"/>
  <c r="G158" i="212" s="1"/>
  <c r="AD46" i="328"/>
  <c r="AC46" i="328" s="1"/>
  <c r="AD48" i="328"/>
  <c r="AC48" i="328" s="1"/>
  <c r="AD44" i="328"/>
  <c r="AC44" i="328" s="1"/>
  <c r="AD63" i="328"/>
  <c r="AC63" i="328" s="1"/>
  <c r="C6" i="10"/>
  <c r="Q39" i="330"/>
  <c r="AJ39" i="330" s="1"/>
  <c r="AI39" i="330" s="1"/>
  <c r="AH39" i="330" s="1"/>
  <c r="AG39" i="330" s="1"/>
  <c r="AF39" i="330" s="1"/>
  <c r="AE39" i="330" s="1"/>
  <c r="C157" i="212"/>
  <c r="G157" i="212" s="1"/>
  <c r="E172" i="212"/>
  <c r="I172" i="212" s="1"/>
  <c r="R46" i="329"/>
  <c r="AD46" i="329" s="1"/>
  <c r="AC46" i="329" s="1"/>
  <c r="E33" i="10"/>
  <c r="E39" i="10" s="1"/>
  <c r="L29" i="10"/>
  <c r="AT55" i="330"/>
  <c r="AU55" i="330"/>
  <c r="AS51" i="330"/>
  <c r="AR51" i="330" s="1"/>
  <c r="AQ51" i="330" s="1"/>
  <c r="AP51" i="330" s="1"/>
  <c r="AO51" i="330" s="1"/>
  <c r="AN51" i="330" s="1"/>
  <c r="AV51" i="330"/>
  <c r="U39" i="330"/>
  <c r="T39" i="330" s="1"/>
  <c r="AA40" i="329"/>
  <c r="AA39" i="330" s="1"/>
  <c r="C78" i="142"/>
  <c r="C54" i="185"/>
  <c r="D17" i="133"/>
  <c r="F71" i="319"/>
  <c r="G171" i="212"/>
  <c r="D161" i="212"/>
  <c r="H161" i="212" s="1"/>
  <c r="D27" i="328"/>
  <c r="R27" i="328" s="1"/>
  <c r="G175" i="212"/>
  <c r="C174" i="212"/>
  <c r="G174" i="212" s="1"/>
  <c r="C103" i="212"/>
  <c r="X33" i="328"/>
  <c r="C167" i="212"/>
  <c r="G13" i="10"/>
  <c r="D31" i="328"/>
  <c r="R31" i="328" s="1"/>
  <c r="U12" i="330"/>
  <c r="AA13" i="329"/>
  <c r="R43" i="329"/>
  <c r="AD43" i="329" s="1"/>
  <c r="AC43" i="329" s="1"/>
  <c r="X30" i="328"/>
  <c r="S29" i="330"/>
  <c r="S24" i="330"/>
  <c r="AL24" i="330" s="1"/>
  <c r="AJ41" i="330"/>
  <c r="F7" i="242"/>
  <c r="E7" i="242" s="1"/>
  <c r="G33" i="10"/>
  <c r="D162" i="212"/>
  <c r="H162" i="212" s="1"/>
  <c r="D28" i="328"/>
  <c r="R28" i="328" s="1"/>
  <c r="C183" i="212"/>
  <c r="J189" i="212" s="1"/>
  <c r="G179" i="212"/>
  <c r="D165" i="212"/>
  <c r="H165" i="212" s="1"/>
  <c r="D29" i="328"/>
  <c r="R29" i="328" s="1"/>
  <c r="R44" i="329"/>
  <c r="AD44" i="329" s="1"/>
  <c r="AC44" i="329" s="1"/>
  <c r="D36" i="329"/>
  <c r="R36" i="329" s="1"/>
  <c r="AD36" i="329" s="1"/>
  <c r="AC36" i="329" s="1"/>
  <c r="R63" i="329"/>
  <c r="AD63" i="329" s="1"/>
  <c r="AC63" i="329" s="1"/>
  <c r="I18" i="10"/>
  <c r="E180" i="212"/>
  <c r="I180" i="212" s="1"/>
  <c r="R58" i="329"/>
  <c r="D30" i="329"/>
  <c r="R30" i="329" s="1"/>
  <c r="AD30" i="329" s="1"/>
  <c r="AC30" i="329" s="1"/>
  <c r="H180" i="212"/>
  <c r="D163" i="212"/>
  <c r="H163" i="212" s="1"/>
  <c r="H20" i="330"/>
  <c r="G20" i="330" s="1"/>
  <c r="F20" i="330" s="1"/>
  <c r="S21" i="329"/>
  <c r="D179" i="212"/>
  <c r="H179" i="212" s="1"/>
  <c r="I17" i="10"/>
  <c r="D159" i="212"/>
  <c r="H159" i="212" s="1"/>
  <c r="D32" i="328"/>
  <c r="R32" i="328" s="1"/>
  <c r="D160" i="212"/>
  <c r="H160" i="212" s="1"/>
  <c r="D26" i="328"/>
  <c r="U48" i="330"/>
  <c r="T48" i="330" s="1"/>
  <c r="Z49" i="329"/>
  <c r="AA49" i="329" s="1"/>
  <c r="AA48" i="330" s="1"/>
  <c r="G181" i="212"/>
  <c r="H181" i="212"/>
  <c r="D33" i="329"/>
  <c r="R33" i="329" s="1"/>
  <c r="AD33" i="329" s="1"/>
  <c r="AC33" i="329" s="1"/>
  <c r="G39" i="10" l="1"/>
  <c r="H13" i="284" s="1"/>
  <c r="H12" i="284"/>
  <c r="G41" i="10"/>
  <c r="R26" i="328"/>
  <c r="AD26" i="328" s="1"/>
  <c r="AC26" i="328" s="1"/>
  <c r="AD58" i="329"/>
  <c r="AC58" i="329" s="1"/>
  <c r="C166" i="212"/>
  <c r="D45" i="330"/>
  <c r="F17" i="133"/>
  <c r="G17" i="133" s="1"/>
  <c r="F70" i="319"/>
  <c r="E78" i="142"/>
  <c r="F78" i="142" s="1"/>
  <c r="G69" i="142" s="1"/>
  <c r="E54" i="185"/>
  <c r="F54" i="185" s="1"/>
  <c r="AD31" i="328"/>
  <c r="AC31" i="328" s="1"/>
  <c r="A29" i="328"/>
  <c r="A30" i="328" s="1"/>
  <c r="A31" i="328" s="1"/>
  <c r="A32" i="328" s="1"/>
  <c r="A33" i="328" s="1"/>
  <c r="AD29" i="328"/>
  <c r="AC29" i="328" s="1"/>
  <c r="AD32" i="328"/>
  <c r="AC32" i="328" s="1"/>
  <c r="X27" i="328"/>
  <c r="AD27" i="328"/>
  <c r="AC27" i="328" s="1"/>
  <c r="E163" i="212"/>
  <c r="I163" i="212" s="1"/>
  <c r="X28" i="328"/>
  <c r="AD28" i="328"/>
  <c r="AC28" i="328" s="1"/>
  <c r="AD57" i="328"/>
  <c r="R64" i="328"/>
  <c r="Z48" i="330"/>
  <c r="Y48" i="330" s="1"/>
  <c r="AT48" i="330"/>
  <c r="AU48" i="330"/>
  <c r="S20" i="330"/>
  <c r="AL20" i="330" s="1"/>
  <c r="U21" i="329"/>
  <c r="E162" i="212"/>
  <c r="I162" i="212" s="1"/>
  <c r="D28" i="329"/>
  <c r="R28" i="329" s="1"/>
  <c r="AD28" i="329" s="1"/>
  <c r="AC28" i="329" s="1"/>
  <c r="Q43" i="328"/>
  <c r="X26" i="328"/>
  <c r="D82" i="132"/>
  <c r="H78" i="142"/>
  <c r="G54" i="185"/>
  <c r="H17" i="133"/>
  <c r="F12" i="242"/>
  <c r="D11" i="212"/>
  <c r="K71" i="319"/>
  <c r="R45" i="330"/>
  <c r="AK45" i="330" s="1"/>
  <c r="E161" i="212"/>
  <c r="I161" i="212" s="1"/>
  <c r="D27" i="329"/>
  <c r="R27" i="329" s="1"/>
  <c r="AD27" i="329" s="1"/>
  <c r="AC27" i="329" s="1"/>
  <c r="I8" i="10"/>
  <c r="E160" i="212"/>
  <c r="I160" i="212" s="1"/>
  <c r="D26" i="329"/>
  <c r="R26" i="329" s="1"/>
  <c r="AD26" i="329" s="1"/>
  <c r="AC26" i="329" s="1"/>
  <c r="D35" i="330"/>
  <c r="G36" i="10"/>
  <c r="R29" i="330"/>
  <c r="AK29" i="330" s="1"/>
  <c r="U30" i="329"/>
  <c r="D42" i="330"/>
  <c r="C11" i="242"/>
  <c r="C98" i="212"/>
  <c r="F103" i="212"/>
  <c r="AS55" i="330"/>
  <c r="AR55" i="330" s="1"/>
  <c r="AQ55" i="330" s="1"/>
  <c r="AP55" i="330" s="1"/>
  <c r="AO55" i="330" s="1"/>
  <c r="AN55" i="330" s="1"/>
  <c r="AM55" i="330" s="1"/>
  <c r="AL55" i="330" s="1"/>
  <c r="AV55" i="330"/>
  <c r="E179" i="212"/>
  <c r="D62" i="330"/>
  <c r="D43" i="330"/>
  <c r="D32" i="330"/>
  <c r="X33" i="329"/>
  <c r="Q36" i="328"/>
  <c r="E159" i="212"/>
  <c r="I159" i="212" s="1"/>
  <c r="D32" i="329"/>
  <c r="R32" i="329" s="1"/>
  <c r="AD32" i="329" s="1"/>
  <c r="AC32" i="329" s="1"/>
  <c r="D64" i="328"/>
  <c r="D29" i="330"/>
  <c r="X30" i="329"/>
  <c r="D57" i="330"/>
  <c r="G183" i="212"/>
  <c r="C104" i="212"/>
  <c r="Q58" i="328"/>
  <c r="U58" i="328" s="1"/>
  <c r="Z58" i="328" s="1"/>
  <c r="E9" i="133"/>
  <c r="E13" i="133" s="1"/>
  <c r="AT39" i="330"/>
  <c r="AU39" i="330"/>
  <c r="I11" i="10"/>
  <c r="E165" i="212"/>
  <c r="I165" i="212" s="1"/>
  <c r="D29" i="329"/>
  <c r="R29" i="329" s="1"/>
  <c r="AD29" i="329" s="1"/>
  <c r="AC29" i="329" s="1"/>
  <c r="AA12" i="330"/>
  <c r="I13" i="10"/>
  <c r="D31" i="329"/>
  <c r="K9" i="133"/>
  <c r="E36" i="10"/>
  <c r="B135" i="83"/>
  <c r="B136" i="83" s="1"/>
  <c r="L134" i="83"/>
  <c r="A133" i="83"/>
  <c r="G131" i="83"/>
  <c r="K130" i="83"/>
  <c r="J130" i="83"/>
  <c r="J129" i="83"/>
  <c r="H129" i="83"/>
  <c r="K129" i="83" s="1"/>
  <c r="K124" i="83"/>
  <c r="L123" i="83"/>
  <c r="M123" i="83" s="1"/>
  <c r="M124" i="83" s="1"/>
  <c r="E13" i="284" l="1"/>
  <c r="J9" i="185"/>
  <c r="G40" i="10"/>
  <c r="C36" i="10"/>
  <c r="D27" i="242"/>
  <c r="E7" i="285"/>
  <c r="C102" i="212"/>
  <c r="F102" i="212" s="1"/>
  <c r="J187" i="212"/>
  <c r="J190" i="212" s="1"/>
  <c r="G166" i="212"/>
  <c r="I7" i="10"/>
  <c r="B9" i="169"/>
  <c r="AC57" i="328"/>
  <c r="AD64" i="328"/>
  <c r="R48" i="329"/>
  <c r="D47" i="330"/>
  <c r="R64" i="329"/>
  <c r="AD57" i="329"/>
  <c r="D30" i="330"/>
  <c r="R31" i="329"/>
  <c r="AD31" i="329" s="1"/>
  <c r="AC31" i="329" s="1"/>
  <c r="L130" i="83"/>
  <c r="L129" i="83"/>
  <c r="I129" i="83"/>
  <c r="J131" i="83"/>
  <c r="I123" i="83"/>
  <c r="J124" i="83"/>
  <c r="L124" i="83"/>
  <c r="C62" i="169"/>
  <c r="G70" i="142"/>
  <c r="J56" i="185"/>
  <c r="C12" i="242"/>
  <c r="C99" i="212"/>
  <c r="F104" i="212"/>
  <c r="R43" i="330"/>
  <c r="U44" i="329"/>
  <c r="H6" i="132"/>
  <c r="G37" i="10"/>
  <c r="D27" i="330"/>
  <c r="A27" i="330" s="1"/>
  <c r="X28" i="329"/>
  <c r="AS39" i="330"/>
  <c r="AR39" i="330" s="1"/>
  <c r="AQ39" i="330" s="1"/>
  <c r="AP39" i="330" s="1"/>
  <c r="AO39" i="330" s="1"/>
  <c r="AN39" i="330" s="1"/>
  <c r="AV39" i="330"/>
  <c r="AA58" i="328"/>
  <c r="W58" i="328" s="1"/>
  <c r="AE58" i="328" s="1"/>
  <c r="R57" i="330"/>
  <c r="AK57" i="330" s="1"/>
  <c r="R62" i="330"/>
  <c r="AK62" i="330" s="1"/>
  <c r="U63" i="329"/>
  <c r="P63" i="329" s="1"/>
  <c r="D83" i="17"/>
  <c r="M78" i="142"/>
  <c r="K54" i="185"/>
  <c r="L17" i="133"/>
  <c r="O71" i="319"/>
  <c r="D25" i="330"/>
  <c r="X26" i="329"/>
  <c r="E11" i="212"/>
  <c r="U20" i="330"/>
  <c r="AN20" i="330" s="1"/>
  <c r="AT12" i="330"/>
  <c r="AU12" i="330"/>
  <c r="X29" i="330"/>
  <c r="Y30" i="329"/>
  <c r="Y29" i="330" s="1"/>
  <c r="X32" i="330"/>
  <c r="Y33" i="329"/>
  <c r="Y32" i="330" s="1"/>
  <c r="I179" i="212"/>
  <c r="E183" i="212"/>
  <c r="L189" i="212" s="1"/>
  <c r="Q43" i="329"/>
  <c r="R42" i="330"/>
  <c r="AK42" i="330" s="1"/>
  <c r="U29" i="330"/>
  <c r="P30" i="329"/>
  <c r="P29" i="330" s="1"/>
  <c r="AI29" i="330" s="1"/>
  <c r="AH29" i="330" s="1"/>
  <c r="Q36" i="329"/>
  <c r="R35" i="330"/>
  <c r="AK35" i="330" s="1"/>
  <c r="H100" i="212"/>
  <c r="D26" i="330"/>
  <c r="X27" i="329"/>
  <c r="AS48" i="330"/>
  <c r="AR48" i="330" s="1"/>
  <c r="AQ48" i="330" s="1"/>
  <c r="AP48" i="330" s="1"/>
  <c r="AO48" i="330" s="1"/>
  <c r="AN48" i="330" s="1"/>
  <c r="AV48" i="330"/>
  <c r="A29" i="329"/>
  <c r="A30" i="329" s="1"/>
  <c r="A31" i="329" s="1"/>
  <c r="A32" i="329" s="1"/>
  <c r="A33" i="329" s="1"/>
  <c r="D28" i="330"/>
  <c r="A28" i="330" s="1"/>
  <c r="A29" i="330" s="1"/>
  <c r="G13" i="133"/>
  <c r="D31" i="330"/>
  <c r="D56" i="330"/>
  <c r="D64" i="329"/>
  <c r="K118" i="83"/>
  <c r="J118" i="83"/>
  <c r="H117" i="83"/>
  <c r="K117" i="83" s="1"/>
  <c r="G117" i="83"/>
  <c r="J110" i="83"/>
  <c r="B106" i="83"/>
  <c r="F105" i="83"/>
  <c r="C10" i="242" l="1"/>
  <c r="E12" i="284"/>
  <c r="G43" i="10"/>
  <c r="L131" i="83"/>
  <c r="K131" i="83" s="1"/>
  <c r="I117" i="83"/>
  <c r="L118" i="83"/>
  <c r="C105" i="212"/>
  <c r="C110" i="212" s="1"/>
  <c r="A30" i="330"/>
  <c r="A31" i="330" s="1"/>
  <c r="A32" i="330" s="1"/>
  <c r="AD64" i="329"/>
  <c r="AC57" i="329"/>
  <c r="AC64" i="328"/>
  <c r="G63" i="169"/>
  <c r="G65" i="169" s="1"/>
  <c r="G75" i="169" s="1"/>
  <c r="AD48" i="329"/>
  <c r="AC48" i="329" s="1"/>
  <c r="U48" i="329"/>
  <c r="R47" i="330"/>
  <c r="AK47" i="330" s="1"/>
  <c r="I5" i="358"/>
  <c r="F5" i="358" s="1"/>
  <c r="I6" i="358"/>
  <c r="F6" i="358" s="1"/>
  <c r="I7" i="358"/>
  <c r="Q43" i="330"/>
  <c r="AJ43" i="330" s="1"/>
  <c r="AK43" i="330"/>
  <c r="I104" i="83"/>
  <c r="I110" i="83" s="1"/>
  <c r="J117" i="83"/>
  <c r="L117" i="83" s="1"/>
  <c r="L119" i="83" s="1"/>
  <c r="K119" i="83" s="1"/>
  <c r="I131" i="83"/>
  <c r="H131" i="83" s="1"/>
  <c r="G119" i="83"/>
  <c r="I124" i="83"/>
  <c r="H124" i="83" s="1"/>
  <c r="G124" i="83" s="1"/>
  <c r="U43" i="330"/>
  <c r="T43" i="330" s="1"/>
  <c r="P44" i="329"/>
  <c r="P43" i="330" s="1"/>
  <c r="AA44" i="329"/>
  <c r="R28" i="330"/>
  <c r="AK28" i="330" s="1"/>
  <c r="U29" i="329"/>
  <c r="X26" i="330"/>
  <c r="Y27" i="329"/>
  <c r="Y26" i="330" s="1"/>
  <c r="Q35" i="330"/>
  <c r="X25" i="330"/>
  <c r="Y26" i="329"/>
  <c r="Y25" i="330" s="1"/>
  <c r="D63" i="330"/>
  <c r="D70" i="329"/>
  <c r="Q57" i="330"/>
  <c r="U58" i="329"/>
  <c r="P58" i="329" s="1"/>
  <c r="D183" i="212"/>
  <c r="K189" i="212" s="1"/>
  <c r="H12" i="242"/>
  <c r="E104" i="212"/>
  <c r="R56" i="330"/>
  <c r="AK56" i="330" s="1"/>
  <c r="G11" i="133"/>
  <c r="G15" i="133"/>
  <c r="Q42" i="330"/>
  <c r="U43" i="329"/>
  <c r="AS12" i="330"/>
  <c r="AR12" i="330" s="1"/>
  <c r="AQ12" i="330" s="1"/>
  <c r="AV12" i="330"/>
  <c r="U62" i="330"/>
  <c r="T62" i="330" s="1"/>
  <c r="P62" i="330"/>
  <c r="AI62" i="330" s="1"/>
  <c r="AH62" i="330" s="1"/>
  <c r="AG62" i="330" s="1"/>
  <c r="AF62" i="330" s="1"/>
  <c r="AE62" i="330" s="1"/>
  <c r="Z63" i="329"/>
  <c r="Z62" i="330" s="1"/>
  <c r="Y62" i="330" s="1"/>
  <c r="X27" i="330"/>
  <c r="Y28" i="329"/>
  <c r="Y27" i="330" s="1"/>
  <c r="G6" i="132"/>
  <c r="E37" i="10"/>
  <c r="AA30" i="329"/>
  <c r="G100" i="212"/>
  <c r="D84" i="17"/>
  <c r="D8" i="17" s="1"/>
  <c r="D27" i="19" s="1"/>
  <c r="C109" i="212"/>
  <c r="C97" i="212"/>
  <c r="P102" i="83"/>
  <c r="N102" i="83"/>
  <c r="H16" i="284" l="1"/>
  <c r="F105" i="212"/>
  <c r="J119" i="83"/>
  <c r="I119" i="83" s="1"/>
  <c r="H119" i="83" s="1"/>
  <c r="F8" i="358"/>
  <c r="AC64" i="329"/>
  <c r="E27" i="242"/>
  <c r="C6" i="358"/>
  <c r="G6" i="358" s="1"/>
  <c r="Z48" i="329"/>
  <c r="P48" i="329"/>
  <c r="P47" i="330" s="1"/>
  <c r="AI47" i="330" s="1"/>
  <c r="AH47" i="330" s="1"/>
  <c r="AG47" i="330" s="1"/>
  <c r="AF47" i="330" s="1"/>
  <c r="AE47" i="330" s="1"/>
  <c r="U47" i="330"/>
  <c r="T47" i="330" s="1"/>
  <c r="AI43" i="330"/>
  <c r="AH43" i="330" s="1"/>
  <c r="AG43" i="330" s="1"/>
  <c r="AF43" i="330" s="1"/>
  <c r="AE43" i="330" s="1"/>
  <c r="AA63" i="329"/>
  <c r="W63" i="329" s="1"/>
  <c r="F100" i="212"/>
  <c r="G12" i="242"/>
  <c r="H183" i="212"/>
  <c r="D104" i="212"/>
  <c r="U57" i="330"/>
  <c r="T57" i="330" s="1"/>
  <c r="P57" i="330"/>
  <c r="Z58" i="329"/>
  <c r="Z57" i="330" s="1"/>
  <c r="Y57" i="330" s="1"/>
  <c r="AJ35" i="330"/>
  <c r="U28" i="330"/>
  <c r="P29" i="329"/>
  <c r="P28" i="330" s="1"/>
  <c r="Z29" i="329"/>
  <c r="AA29" i="329" s="1"/>
  <c r="AA43" i="330"/>
  <c r="W44" i="329"/>
  <c r="AA29" i="330"/>
  <c r="W30" i="329"/>
  <c r="G83" i="132"/>
  <c r="I6" i="132"/>
  <c r="N56" i="185"/>
  <c r="G23" i="19"/>
  <c r="U42" i="330"/>
  <c r="T42" i="330" s="1"/>
  <c r="Z43" i="329"/>
  <c r="Z42" i="330" s="1"/>
  <c r="Y42" i="330" s="1"/>
  <c r="P43" i="329"/>
  <c r="P42" i="330" s="1"/>
  <c r="I183" i="212"/>
  <c r="R63" i="330"/>
  <c r="AK63" i="330" s="1"/>
  <c r="E99" i="212"/>
  <c r="H104" i="212"/>
  <c r="H99" i="212" s="1"/>
  <c r="H109" i="212" s="1"/>
  <c r="AJ57" i="330"/>
  <c r="P101" i="83"/>
  <c r="N101" i="83"/>
  <c r="N100" i="83"/>
  <c r="I100" i="83"/>
  <c r="N99" i="83"/>
  <c r="K99" i="83" s="1"/>
  <c r="N98" i="83"/>
  <c r="K98" i="83" s="1"/>
  <c r="N97" i="83"/>
  <c r="K97" i="83" s="1"/>
  <c r="P96" i="83"/>
  <c r="N96" i="83"/>
  <c r="K95" i="83"/>
  <c r="J88" i="83"/>
  <c r="I88" i="83"/>
  <c r="P97" i="83" s="1"/>
  <c r="D26" i="242" l="1"/>
  <c r="D29" i="242" s="1"/>
  <c r="E8" i="285"/>
  <c r="AA48" i="329"/>
  <c r="Z47" i="330"/>
  <c r="K100" i="83"/>
  <c r="AA62" i="330"/>
  <c r="AT62" i="330" s="1"/>
  <c r="AI57" i="330"/>
  <c r="AH57" i="330" s="1"/>
  <c r="AG57" i="330" s="1"/>
  <c r="AF57" i="330" s="1"/>
  <c r="AE57" i="330" s="1"/>
  <c r="AT43" i="330"/>
  <c r="AU43" i="330"/>
  <c r="AU29" i="330"/>
  <c r="AT29" i="330"/>
  <c r="W43" i="330"/>
  <c r="AE44" i="329"/>
  <c r="AA28" i="330"/>
  <c r="W29" i="329"/>
  <c r="D99" i="212"/>
  <c r="G104" i="212"/>
  <c r="G99" i="212" s="1"/>
  <c r="J55" i="185"/>
  <c r="J11" i="185"/>
  <c r="E109" i="212"/>
  <c r="F13" i="284"/>
  <c r="W29" i="330"/>
  <c r="AE30" i="329"/>
  <c r="AA43" i="329"/>
  <c r="C83" i="132"/>
  <c r="D84" i="132"/>
  <c r="Z28" i="330"/>
  <c r="W62" i="330"/>
  <c r="AE63" i="329"/>
  <c r="AA58" i="329"/>
  <c r="W58" i="329" s="1"/>
  <c r="Q81" i="83"/>
  <c r="Q80" i="83"/>
  <c r="Q79" i="83"/>
  <c r="C12" i="136" l="1"/>
  <c r="K20" i="133" s="1"/>
  <c r="G45" i="10"/>
  <c r="C48" i="138"/>
  <c r="C91" i="138" s="1"/>
  <c r="E15" i="285"/>
  <c r="Q83" i="83"/>
  <c r="W48" i="329"/>
  <c r="AA47" i="330"/>
  <c r="AU47" i="330" s="1"/>
  <c r="AT47" i="330" s="1"/>
  <c r="Y47" i="330"/>
  <c r="AS47" i="330"/>
  <c r="S82" i="83"/>
  <c r="R85" i="83"/>
  <c r="AU62" i="330"/>
  <c r="AV62" i="330" s="1"/>
  <c r="AS62" i="330"/>
  <c r="AR62" i="330" s="1"/>
  <c r="AQ62" i="330" s="1"/>
  <c r="AP62" i="330" s="1"/>
  <c r="AO62" i="330" s="1"/>
  <c r="AN62" i="330" s="1"/>
  <c r="E374" i="212"/>
  <c r="F374" i="212" s="1"/>
  <c r="AU28" i="330"/>
  <c r="AT28" i="330"/>
  <c r="D6" i="132"/>
  <c r="AA42" i="330"/>
  <c r="W43" i="329"/>
  <c r="W28" i="330"/>
  <c r="AE29" i="329"/>
  <c r="AS29" i="330"/>
  <c r="AR29" i="330" s="1"/>
  <c r="AQ29" i="330" s="1"/>
  <c r="AP29" i="330" s="1"/>
  <c r="AO29" i="330" s="1"/>
  <c r="AN29" i="330" s="1"/>
  <c r="AM29" i="330" s="1"/>
  <c r="AL29" i="330" s="1"/>
  <c r="AV29" i="330"/>
  <c r="AS43" i="330"/>
  <c r="AR43" i="330" s="1"/>
  <c r="AQ43" i="330" s="1"/>
  <c r="AP43" i="330" s="1"/>
  <c r="AO43" i="330" s="1"/>
  <c r="AN43" i="330" s="1"/>
  <c r="AV43" i="330"/>
  <c r="AA57" i="330"/>
  <c r="F99" i="212"/>
  <c r="G109" i="212"/>
  <c r="D109" i="212"/>
  <c r="J20" i="133" l="1"/>
  <c r="I20" i="133" s="1"/>
  <c r="H20" i="133"/>
  <c r="AR47" i="330"/>
  <c r="AQ47" i="330" s="1"/>
  <c r="AE48" i="329"/>
  <c r="W47" i="330"/>
  <c r="AP47" i="330" s="1"/>
  <c r="AO47" i="330" s="1"/>
  <c r="AN47" i="330" s="1"/>
  <c r="AU57" i="330"/>
  <c r="AT57" i="330"/>
  <c r="AS28" i="330"/>
  <c r="AR28" i="330" s="1"/>
  <c r="AQ28" i="330" s="1"/>
  <c r="AP28" i="330" s="1"/>
  <c r="AO28" i="330" s="1"/>
  <c r="AN28" i="330" s="1"/>
  <c r="AM28" i="330" s="1"/>
  <c r="AL28" i="330" s="1"/>
  <c r="AJ28" i="330" s="1"/>
  <c r="AI28" i="330" s="1"/>
  <c r="AH28" i="330" s="1"/>
  <c r="AV28" i="330"/>
  <c r="W57" i="330"/>
  <c r="AE58" i="329"/>
  <c r="F109" i="212"/>
  <c r="AT42" i="330"/>
  <c r="AU42" i="330"/>
  <c r="W42" i="330"/>
  <c r="AE43" i="329"/>
  <c r="Q75" i="83"/>
  <c r="AS57" i="330" l="1"/>
  <c r="AR57" i="330" s="1"/>
  <c r="AQ57" i="330" s="1"/>
  <c r="AP57" i="330" s="1"/>
  <c r="AO57" i="330" s="1"/>
  <c r="AN57" i="330" s="1"/>
  <c r="AV57" i="330"/>
  <c r="AS42" i="330"/>
  <c r="AR42" i="330" s="1"/>
  <c r="AQ42" i="330" s="1"/>
  <c r="AP42" i="330" s="1"/>
  <c r="AO42" i="330" s="1"/>
  <c r="AN42" i="330" s="1"/>
  <c r="AM42" i="330" s="1"/>
  <c r="AL42" i="330" s="1"/>
  <c r="AJ42" i="330" s="1"/>
  <c r="AI42" i="330" s="1"/>
  <c r="AH42" i="330" s="1"/>
  <c r="AV42" i="330"/>
  <c r="K73" i="83"/>
  <c r="K77" i="83" s="1"/>
  <c r="P99" i="83" s="1"/>
  <c r="I77" i="83"/>
  <c r="O99" i="83" s="1"/>
  <c r="J72" i="83"/>
  <c r="Q70" i="83" l="1"/>
  <c r="Q69" i="83"/>
  <c r="Q68" i="83"/>
  <c r="Q67" i="83"/>
  <c r="Q66" i="83"/>
  <c r="Q65" i="83"/>
  <c r="Q64" i="83"/>
  <c r="Q63" i="83"/>
  <c r="Q62" i="83"/>
  <c r="Q61" i="83"/>
  <c r="Q71" i="83" l="1"/>
  <c r="P95" i="83" s="1"/>
  <c r="C76" i="83"/>
  <c r="D56" i="83"/>
  <c r="I51" i="83"/>
  <c r="J51" i="83" l="1"/>
  <c r="F52" i="83"/>
  <c r="S75" i="83"/>
  <c r="M49" i="83"/>
  <c r="J44" i="83"/>
  <c r="M43" i="83"/>
  <c r="J40" i="83"/>
  <c r="I40" i="83"/>
  <c r="M36" i="83"/>
  <c r="J36" i="83"/>
  <c r="I36" i="83"/>
  <c r="F36" i="83"/>
  <c r="D50" i="83"/>
  <c r="I32" i="83"/>
  <c r="D33" i="83"/>
  <c r="D27" i="83"/>
  <c r="N23" i="83"/>
  <c r="M22" i="83"/>
  <c r="J22" i="83"/>
  <c r="J23" i="83" s="1"/>
  <c r="N24" i="83" l="1"/>
  <c r="I22" i="83"/>
  <c r="I23" i="83" s="1"/>
  <c r="M19" i="83"/>
  <c r="M20" i="83" s="1"/>
  <c r="D19" i="83"/>
  <c r="J17" i="83"/>
  <c r="I15" i="83"/>
  <c r="J9" i="83"/>
  <c r="D12" i="83" l="1"/>
  <c r="F23" i="83"/>
  <c r="J10" i="83"/>
  <c r="I17" i="83"/>
  <c r="K24" i="142" l="1"/>
  <c r="O177" i="149" l="1"/>
  <c r="D177" i="149" l="1"/>
  <c r="D176" i="149"/>
  <c r="C176" i="149"/>
  <c r="D175" i="149" l="1"/>
  <c r="D174" i="149"/>
  <c r="C174" i="149"/>
  <c r="D173" i="149"/>
  <c r="D172" i="149"/>
  <c r="C172" i="149"/>
  <c r="C171" i="149" l="1"/>
  <c r="G170" i="149"/>
  <c r="D170" i="149"/>
  <c r="C170" i="149"/>
  <c r="C168" i="149" l="1"/>
  <c r="M167" i="149"/>
  <c r="L167" i="149"/>
  <c r="J167" i="149"/>
  <c r="D167" i="149"/>
  <c r="C167" i="149"/>
  <c r="R166" i="149" l="1"/>
  <c r="N166" i="149"/>
  <c r="D166" i="149" l="1"/>
  <c r="N165" i="149" l="1"/>
  <c r="D165" i="149"/>
  <c r="C165" i="149"/>
  <c r="N164" i="149"/>
  <c r="N163" i="149"/>
  <c r="D163" i="149"/>
  <c r="C163" i="149"/>
  <c r="N162" i="149"/>
  <c r="D162" i="149"/>
  <c r="C162" i="149"/>
  <c r="N161" i="149"/>
  <c r="D161" i="149"/>
  <c r="C161" i="149"/>
  <c r="N160" i="149"/>
  <c r="D160" i="149"/>
  <c r="C160" i="149"/>
  <c r="N159" i="149"/>
  <c r="N158" i="149"/>
  <c r="N157" i="149"/>
  <c r="C157" i="149"/>
  <c r="N156" i="149"/>
  <c r="C156" i="149"/>
  <c r="O155" i="149"/>
  <c r="D155" i="149"/>
  <c r="C155" i="149"/>
  <c r="T150" i="149"/>
  <c r="I149" i="149"/>
  <c r="H149" i="149"/>
  <c r="H150" i="149" s="1"/>
  <c r="I148" i="149"/>
  <c r="I147" i="149"/>
  <c r="N167" i="149" l="1"/>
  <c r="I150" i="149"/>
  <c r="N73" i="149" s="1"/>
  <c r="G150" i="149" l="1"/>
  <c r="H152" i="149" s="1"/>
  <c r="I145" i="149"/>
  <c r="S139" i="149"/>
  <c r="N139" i="149"/>
  <c r="M139" i="149"/>
  <c r="Q137" i="149"/>
  <c r="O137" i="149"/>
  <c r="O139" i="149" s="1"/>
  <c r="H136" i="149"/>
  <c r="Q134" i="149"/>
  <c r="R134" i="149" s="1"/>
  <c r="O131" i="149"/>
  <c r="R130" i="149"/>
  <c r="R129" i="149"/>
  <c r="H129" i="149"/>
  <c r="G129" i="149" s="1"/>
  <c r="Q126" i="149"/>
  <c r="Q125" i="149"/>
  <c r="Q124" i="149"/>
  <c r="H124" i="149"/>
  <c r="H123" i="149" s="1"/>
  <c r="E124" i="149"/>
  <c r="G119" i="149"/>
  <c r="E119" i="149"/>
  <c r="I117" i="149"/>
  <c r="O115" i="149"/>
  <c r="J115" i="149"/>
  <c r="I115" i="149"/>
  <c r="E115" i="149"/>
  <c r="D115" i="149"/>
  <c r="C115" i="149"/>
  <c r="M111" i="149"/>
  <c r="Q111" i="149" s="1"/>
  <c r="Q129" i="149" l="1"/>
  <c r="S129" i="149" s="1"/>
  <c r="S130" i="149" s="1"/>
  <c r="R137" i="149"/>
  <c r="R111" i="149"/>
  <c r="Q130" i="149"/>
  <c r="Q131" i="149" s="1"/>
  <c r="H125" i="149"/>
  <c r="H126" i="149" s="1"/>
  <c r="G123" i="149"/>
  <c r="G124" i="149"/>
  <c r="H128" i="149"/>
  <c r="H109" i="149"/>
  <c r="T107" i="149"/>
  <c r="H107" i="149"/>
  <c r="G128" i="149" l="1"/>
  <c r="H130" i="149"/>
  <c r="Q138" i="149"/>
  <c r="V134" i="149"/>
  <c r="T134" i="149" s="1"/>
  <c r="T129" i="149"/>
  <c r="H132" i="149"/>
  <c r="H131" i="149" s="1"/>
  <c r="H138" i="149"/>
  <c r="L107" i="149"/>
  <c r="M107" i="149" s="1"/>
  <c r="L109" i="149"/>
  <c r="H115" i="149"/>
  <c r="G115" i="149"/>
  <c r="I29" i="82" s="1"/>
  <c r="T130" i="149" l="1"/>
  <c r="H133" i="149"/>
  <c r="T137" i="149"/>
  <c r="H137" i="149"/>
  <c r="H139" i="149" s="1"/>
  <c r="R138" i="149"/>
  <c r="Q139" i="149"/>
  <c r="Q107" i="149"/>
  <c r="R107" i="149" s="1"/>
  <c r="L115" i="149"/>
  <c r="M109" i="149"/>
  <c r="E95" i="149"/>
  <c r="R139" i="149" l="1"/>
  <c r="T138" i="149"/>
  <c r="M115" i="149"/>
  <c r="M85" i="149" l="1"/>
  <c r="Q85" i="149" s="1"/>
  <c r="M83" i="149"/>
  <c r="Q83" i="149" s="1"/>
  <c r="G175" i="149" l="1"/>
  <c r="C175" i="149"/>
  <c r="H176" i="149"/>
  <c r="H174" i="149"/>
  <c r="D82" i="149"/>
  <c r="H82" i="149" s="1"/>
  <c r="L82" i="149" s="1"/>
  <c r="R85" i="149" l="1"/>
  <c r="M84" i="149"/>
  <c r="Q84" i="149" s="1"/>
  <c r="R83" i="149"/>
  <c r="G172" i="149"/>
  <c r="M82" i="149"/>
  <c r="R84" i="149" l="1"/>
  <c r="H175" i="149"/>
  <c r="Q82" i="149"/>
  <c r="R82" i="149" s="1"/>
  <c r="H81" i="149"/>
  <c r="S79" i="149"/>
  <c r="L81" i="149" l="1"/>
  <c r="M81" i="149" s="1"/>
  <c r="Q81" i="149" s="1"/>
  <c r="H173" i="149" s="1"/>
  <c r="H172" i="149"/>
  <c r="H79" i="149"/>
  <c r="L79" i="149" s="1"/>
  <c r="G163" i="149" s="1"/>
  <c r="H78" i="149"/>
  <c r="L78" i="149" s="1"/>
  <c r="G171" i="149" s="1"/>
  <c r="N77" i="149"/>
  <c r="G173" i="149" l="1"/>
  <c r="M79" i="149"/>
  <c r="Q79" i="149" s="1"/>
  <c r="H163" i="149" s="1"/>
  <c r="M78" i="149"/>
  <c r="R81" i="149"/>
  <c r="D168" i="149"/>
  <c r="H77" i="149"/>
  <c r="L77" i="149" s="1"/>
  <c r="G168" i="149" s="1"/>
  <c r="R79" i="149" l="1"/>
  <c r="M77" i="149"/>
  <c r="Q77" i="149" s="1"/>
  <c r="R77" i="149" s="1"/>
  <c r="O76" i="149"/>
  <c r="J76" i="149" l="1"/>
  <c r="I76" i="149"/>
  <c r="C166" i="149" s="1"/>
  <c r="H75" i="149"/>
  <c r="L75" i="149" s="1"/>
  <c r="M74" i="149"/>
  <c r="O73" i="149"/>
  <c r="J73" i="149"/>
  <c r="O70" i="149"/>
  <c r="J70" i="149"/>
  <c r="P17" i="149"/>
  <c r="P19" i="149" s="1"/>
  <c r="M75" i="149" l="1"/>
  <c r="Q75" i="149" s="1"/>
  <c r="H162" i="149" s="1"/>
  <c r="G162" i="149" s="1"/>
  <c r="G76" i="169"/>
  <c r="G77" i="169" s="1"/>
  <c r="C15" i="138" s="1"/>
  <c r="C164" i="149"/>
  <c r="Q74" i="149"/>
  <c r="H170" i="149" s="1"/>
  <c r="H72" i="149"/>
  <c r="L72" i="149" s="1"/>
  <c r="I17" i="160"/>
  <c r="D169" i="149"/>
  <c r="K17" i="149"/>
  <c r="K19" i="149" s="1"/>
  <c r="F17" i="149"/>
  <c r="F19" i="149" s="1"/>
  <c r="E17" i="149"/>
  <c r="E19" i="149" s="1"/>
  <c r="D158" i="149"/>
  <c r="C158" i="149"/>
  <c r="D157" i="149"/>
  <c r="L13" i="149"/>
  <c r="D156" i="149"/>
  <c r="L12" i="149"/>
  <c r="Q11" i="149"/>
  <c r="H155" i="149" s="1"/>
  <c r="L11" i="149"/>
  <c r="G155" i="149" s="1"/>
  <c r="D164" i="149" l="1"/>
  <c r="L14" i="149"/>
  <c r="G158" i="149" s="1"/>
  <c r="R75" i="149"/>
  <c r="D10" i="160"/>
  <c r="G156" i="149"/>
  <c r="D13" i="160"/>
  <c r="G157" i="149"/>
  <c r="R74" i="149"/>
  <c r="G164" i="149"/>
  <c r="Q12" i="149"/>
  <c r="H156" i="149" s="1"/>
  <c r="Q13" i="149"/>
  <c r="Q14" i="149"/>
  <c r="H158" i="149" s="1"/>
  <c r="B16" i="138"/>
  <c r="B17" i="138"/>
  <c r="I33" i="160" l="1"/>
  <c r="D14" i="160"/>
  <c r="P31" i="148"/>
  <c r="N32" i="148" s="1"/>
  <c r="P32" i="148" s="1"/>
  <c r="N33" i="148" s="1"/>
  <c r="P33" i="148" s="1"/>
  <c r="B17" i="169"/>
  <c r="B45" i="169" s="1"/>
  <c r="B33" i="138"/>
  <c r="M72" i="149"/>
  <c r="Q72" i="149" s="1"/>
  <c r="D29" i="160"/>
  <c r="M28" i="160" s="1"/>
  <c r="H157" i="149"/>
  <c r="E27" i="142"/>
  <c r="F27" i="142" l="1"/>
  <c r="V11" i="148"/>
  <c r="N23" i="169"/>
  <c r="P23" i="169" s="1"/>
  <c r="S39" i="148"/>
  <c r="V39" i="148" s="1"/>
  <c r="C27" i="142"/>
  <c r="D27" i="142"/>
  <c r="O43" i="83"/>
  <c r="R72" i="149"/>
  <c r="C31" i="142"/>
  <c r="B65" i="138"/>
  <c r="S41" i="148" l="1"/>
  <c r="V41" i="148" s="1"/>
  <c r="S40" i="148"/>
  <c r="V40" i="148" s="1"/>
  <c r="S13" i="148"/>
  <c r="V13" i="148" s="1"/>
  <c r="V27" i="148"/>
  <c r="H164" i="149"/>
  <c r="F33" i="142"/>
  <c r="C15" i="142"/>
  <c r="D15" i="142"/>
  <c r="E15" i="142"/>
  <c r="F15" i="142"/>
  <c r="F31" i="142"/>
  <c r="D31" i="142"/>
  <c r="E31" i="142"/>
  <c r="V23" i="148"/>
  <c r="S24" i="148" s="1"/>
  <c r="N11" i="169"/>
  <c r="C29" i="142"/>
  <c r="D29" i="142"/>
  <c r="E29" i="142"/>
  <c r="F29" i="142"/>
  <c r="C33" i="142" l="1"/>
  <c r="D33" i="142"/>
  <c r="E33" i="142"/>
  <c r="N19" i="169"/>
  <c r="P19" i="169" s="1"/>
  <c r="M21" i="83"/>
  <c r="M24" i="83" s="1"/>
  <c r="J8" i="83" s="1"/>
  <c r="J11" i="83" s="1"/>
  <c r="M27" i="83"/>
  <c r="G35" i="142"/>
  <c r="F26" i="142"/>
  <c r="C26" i="142"/>
  <c r="D26" i="142"/>
  <c r="E26" i="142"/>
  <c r="C9" i="137"/>
  <c r="P11" i="169"/>
  <c r="N17" i="169"/>
  <c r="P17" i="169" s="1"/>
  <c r="E32" i="142"/>
  <c r="F32" i="142"/>
  <c r="D32" i="142"/>
  <c r="C32" i="142"/>
  <c r="B142" i="83" l="1"/>
  <c r="F18" i="142"/>
  <c r="E19" i="185"/>
  <c r="D19" i="185"/>
  <c r="C37" i="242"/>
  <c r="E35" i="142"/>
  <c r="F35" i="142"/>
  <c r="C35" i="142"/>
  <c r="D35" i="142"/>
  <c r="Q33" i="142" l="1"/>
  <c r="E18" i="142"/>
  <c r="C9" i="285"/>
  <c r="C18" i="285" s="1"/>
  <c r="E7" i="357"/>
  <c r="H76" i="149"/>
  <c r="F7" i="357"/>
  <c r="G15" i="132"/>
  <c r="E12" i="83"/>
  <c r="H80" i="149" l="1"/>
  <c r="H7" i="357"/>
  <c r="H3508" i="357" s="1"/>
  <c r="G7" i="357"/>
  <c r="G3508" i="357" s="1"/>
  <c r="L76" i="149"/>
  <c r="G166" i="149" s="1"/>
  <c r="F36" i="142"/>
  <c r="C36" i="142"/>
  <c r="D36" i="142"/>
  <c r="E36" i="142"/>
  <c r="C279" i="212"/>
  <c r="G15" i="17"/>
  <c r="H15" i="17" s="1"/>
  <c r="F12" i="83"/>
  <c r="O15" i="237"/>
  <c r="O14" i="237"/>
  <c r="Q12" i="237"/>
  <c r="Q21" i="237" s="1"/>
  <c r="P12" i="237"/>
  <c r="O12" i="237"/>
  <c r="J7" i="237"/>
  <c r="O20" i="238"/>
  <c r="O19" i="238"/>
  <c r="Q17" i="238"/>
  <c r="P17" i="238"/>
  <c r="O17" i="238"/>
  <c r="K16" i="238"/>
  <c r="K15" i="238"/>
  <c r="K14" i="238"/>
  <c r="K13" i="238"/>
  <c r="K12" i="238"/>
  <c r="K11" i="238"/>
  <c r="K10" i="238"/>
  <c r="K9" i="238"/>
  <c r="K8" i="238"/>
  <c r="K7" i="238"/>
  <c r="K6" i="238"/>
  <c r="K5" i="238"/>
  <c r="H63" i="239"/>
  <c r="G63" i="239"/>
  <c r="F63" i="239"/>
  <c r="E63" i="239"/>
  <c r="H52" i="239"/>
  <c r="G52" i="239"/>
  <c r="F52" i="239"/>
  <c r="E38" i="239"/>
  <c r="G34" i="239"/>
  <c r="F34" i="239"/>
  <c r="H31" i="239"/>
  <c r="E31" i="239"/>
  <c r="E14" i="239"/>
  <c r="H63" i="240"/>
  <c r="G63" i="240"/>
  <c r="F63" i="240"/>
  <c r="E63" i="240"/>
  <c r="H52" i="240"/>
  <c r="G52" i="240"/>
  <c r="F52" i="240"/>
  <c r="E52" i="240"/>
  <c r="H34" i="240"/>
  <c r="G34" i="240"/>
  <c r="F34" i="240"/>
  <c r="E14" i="240"/>
  <c r="L65" i="241"/>
  <c r="K65" i="241"/>
  <c r="J65" i="241"/>
  <c r="I65" i="241"/>
  <c r="H65" i="241"/>
  <c r="G65" i="241"/>
  <c r="F65" i="241"/>
  <c r="E65" i="241"/>
  <c r="L54" i="241"/>
  <c r="K54" i="241"/>
  <c r="J54" i="241"/>
  <c r="H54" i="241"/>
  <c r="G54" i="241"/>
  <c r="F54" i="241"/>
  <c r="I47" i="241"/>
  <c r="E40" i="241"/>
  <c r="L36" i="241"/>
  <c r="L66" i="241" s="1"/>
  <c r="J36" i="241"/>
  <c r="I36" i="241"/>
  <c r="H36" i="241"/>
  <c r="F36" i="241"/>
  <c r="E36" i="241"/>
  <c r="K33" i="241"/>
  <c r="K36" i="241" s="1"/>
  <c r="G33" i="241"/>
  <c r="G64" i="239" l="1"/>
  <c r="G3509" i="357"/>
  <c r="K66" i="241"/>
  <c r="J66" i="241" s="1"/>
  <c r="E34" i="239"/>
  <c r="H64" i="240"/>
  <c r="G64" i="240"/>
  <c r="O21" i="238"/>
  <c r="E52" i="239"/>
  <c r="P21" i="237"/>
  <c r="E54" i="241"/>
  <c r="E66" i="241" s="1"/>
  <c r="F64" i="240"/>
  <c r="O18" i="237"/>
  <c r="O21" i="237" s="1"/>
  <c r="E34" i="240"/>
  <c r="E64" i="240" s="1"/>
  <c r="F64" i="239"/>
  <c r="I54" i="241"/>
  <c r="I66" i="241" s="1"/>
  <c r="H66" i="241" s="1"/>
  <c r="H34" i="239"/>
  <c r="H64" i="239" s="1"/>
  <c r="G36" i="241"/>
  <c r="G66" i="241" s="1"/>
  <c r="F66" i="241" s="1"/>
  <c r="K7" i="237"/>
  <c r="G165" i="149"/>
  <c r="J7" i="357"/>
  <c r="J3508" i="357" s="1"/>
  <c r="I7" i="357"/>
  <c r="I3508" i="357" s="1"/>
  <c r="M76" i="149"/>
  <c r="Q76" i="149" s="1"/>
  <c r="H166" i="149" s="1"/>
  <c r="E64" i="239" l="1"/>
  <c r="E29" i="309"/>
  <c r="I3509" i="357"/>
  <c r="B2" i="357" s="1"/>
  <c r="M80" i="149"/>
  <c r="H165" i="149" s="1"/>
  <c r="R76" i="149"/>
  <c r="R80" i="149" l="1"/>
  <c r="D30" i="160"/>
  <c r="H30" i="160" s="1"/>
  <c r="M30" i="160" s="1"/>
  <c r="H29" i="160"/>
  <c r="M29" i="160" s="1"/>
  <c r="C58" i="138" l="1"/>
  <c r="I11" i="137" s="1"/>
  <c r="G20" i="17"/>
  <c r="O49" i="83"/>
  <c r="AX51" i="330"/>
  <c r="AW51" i="330"/>
  <c r="AX12" i="330"/>
  <c r="AW12" i="330"/>
  <c r="AX34" i="330"/>
  <c r="AW34" i="330"/>
  <c r="AX38" i="330"/>
  <c r="AW38" i="330"/>
  <c r="AX39" i="330"/>
  <c r="AW39" i="330"/>
  <c r="AX49" i="330"/>
  <c r="AW49" i="330"/>
  <c r="AX50" i="330"/>
  <c r="AW50" i="330"/>
  <c r="AX25" i="330"/>
  <c r="AW25" i="330"/>
  <c r="AX26" i="330"/>
  <c r="AW26" i="330"/>
  <c r="AX35" i="330"/>
  <c r="AW35" i="330"/>
  <c r="AX36" i="330"/>
  <c r="AW36" i="330"/>
  <c r="AX48" i="330"/>
  <c r="AW48" i="330"/>
  <c r="AX52" i="330"/>
  <c r="AW52" i="330"/>
  <c r="AX24" i="330"/>
  <c r="AW24" i="330"/>
  <c r="AX28" i="330"/>
  <c r="AW28" i="330"/>
  <c r="AX30" i="330"/>
  <c r="AW30" i="330"/>
  <c r="AX31" i="330"/>
  <c r="AW31" i="330"/>
  <c r="AX32" i="330"/>
  <c r="AW32" i="330"/>
  <c r="AX45" i="330"/>
  <c r="AW45" i="330"/>
  <c r="AX47" i="330"/>
  <c r="AW47" i="330"/>
  <c r="AV47" i="330"/>
  <c r="AX19" i="330"/>
  <c r="AW19" i="330"/>
  <c r="AX27" i="330"/>
  <c r="AW27" i="330"/>
  <c r="AX29" i="330"/>
  <c r="AW29" i="330"/>
  <c r="AX33" i="330"/>
  <c r="AW33" i="330"/>
  <c r="AX40" i="330"/>
  <c r="AW40" i="330"/>
  <c r="AX41" i="330"/>
  <c r="AW41" i="330"/>
  <c r="AX42" i="330"/>
  <c r="AW42" i="330"/>
  <c r="AX43" i="330"/>
  <c r="AW43" i="330"/>
  <c r="AX44" i="330"/>
  <c r="AW44" i="330"/>
  <c r="AX46" i="330"/>
  <c r="AW46" i="330"/>
  <c r="AX58" i="330"/>
  <c r="AW58" i="330"/>
  <c r="AX55" i="330"/>
  <c r="AW55" i="330"/>
  <c r="AX56" i="330"/>
  <c r="AW56" i="330"/>
  <c r="AX60" i="330"/>
  <c r="AW60" i="330"/>
  <c r="AX63" i="330"/>
  <c r="AW63" i="330"/>
  <c r="C41" i="212"/>
  <c r="C43" i="212" s="1"/>
  <c r="C55" i="212" s="1"/>
  <c r="AX53" i="330"/>
  <c r="AW53" i="330"/>
  <c r="AX57" i="330"/>
  <c r="AW57" i="330"/>
  <c r="AX59" i="330"/>
  <c r="AW59" i="330"/>
  <c r="AX61" i="330"/>
  <c r="AW61" i="330"/>
  <c r="AX62" i="330"/>
  <c r="AW62" i="330"/>
  <c r="AX64" i="330"/>
  <c r="AW64" i="330"/>
  <c r="D69" i="330"/>
  <c r="C349" i="212"/>
  <c r="C347" i="212"/>
  <c r="M12" i="9"/>
  <c r="E26" i="132"/>
  <c r="F26" i="132" s="1"/>
  <c r="P21" i="148"/>
  <c r="E24" i="132"/>
  <c r="F24" i="132" s="1"/>
  <c r="O20" i="133"/>
  <c r="D70" i="328"/>
  <c r="P98" i="83"/>
  <c r="O98" i="83"/>
  <c r="O103" i="83" s="1"/>
  <c r="I15" i="149" s="1"/>
  <c r="C123" i="212"/>
  <c r="D123" i="212" s="1"/>
  <c r="B15" i="350"/>
  <c r="E20" i="17" l="1"/>
  <c r="F20" i="17" s="1"/>
  <c r="E44" i="309"/>
  <c r="N12" i="9"/>
  <c r="L20" i="133"/>
  <c r="M20" i="133"/>
  <c r="N20" i="133"/>
  <c r="C9" i="185" l="1"/>
  <c r="D9" i="185"/>
  <c r="E9" i="185"/>
  <c r="E10" i="185"/>
  <c r="D10" i="185"/>
  <c r="C10" i="185"/>
  <c r="E8" i="185"/>
  <c r="C8" i="185"/>
  <c r="D8" i="185"/>
  <c r="E11" i="185" l="1"/>
  <c r="D11" i="185"/>
  <c r="F10" i="185"/>
  <c r="C28" i="242" s="1"/>
  <c r="F8" i="185"/>
  <c r="C11" i="185"/>
  <c r="F9" i="185"/>
  <c r="C27" i="242" s="1"/>
  <c r="C26" i="242" l="1"/>
  <c r="C29" i="242" s="1"/>
  <c r="F11" i="185"/>
  <c r="Q8" i="185"/>
  <c r="C39" i="10" l="1"/>
  <c r="C37" i="10" s="1"/>
  <c r="C338" i="212"/>
  <c r="B12" i="136"/>
  <c r="C17" i="9"/>
  <c r="I36" i="95"/>
  <c r="G38" i="17"/>
  <c r="H38" i="17" s="1"/>
  <c r="E28" i="185"/>
  <c r="E30" i="185" s="1"/>
  <c r="G36" i="132"/>
  <c r="G12" i="83"/>
  <c r="G15" i="310"/>
  <c r="C94" i="149"/>
  <c r="O178" i="149"/>
  <c r="L177" i="149" s="1"/>
  <c r="D26" i="160"/>
  <c r="H26" i="160" s="1"/>
  <c r="M26" i="160" s="1"/>
  <c r="D25" i="160"/>
  <c r="H25" i="160" s="1"/>
  <c r="M25" i="160" s="1"/>
  <c r="K14" i="161"/>
  <c r="B26" i="161" s="1"/>
  <c r="K26" i="161" s="1"/>
  <c r="K54" i="138"/>
  <c r="H10" i="160"/>
  <c r="M10" i="160" s="1"/>
  <c r="H141" i="149"/>
  <c r="Q140" i="149"/>
  <c r="O140" i="149"/>
  <c r="N140" i="149"/>
  <c r="N109" i="149" s="1"/>
  <c r="M140" i="149"/>
  <c r="T139" i="149"/>
  <c r="O36" i="83"/>
  <c r="B9" i="138"/>
  <c r="H281" i="212"/>
  <c r="G20" i="198"/>
  <c r="F20" i="198"/>
  <c r="E20" i="198"/>
  <c r="D20" i="198"/>
  <c r="V8" i="148"/>
  <c r="S9" i="148" s="1"/>
  <c r="V9" i="148" s="1"/>
  <c r="AF51" i="169"/>
  <c r="P57" i="148"/>
  <c r="O12" i="141"/>
  <c r="F77" i="143"/>
  <c r="H279" i="212"/>
  <c r="F268" i="142"/>
  <c r="C268" i="142"/>
  <c r="F270" i="142"/>
  <c r="E30" i="82"/>
  <c r="D53" i="138"/>
  <c r="C266" i="212" s="1"/>
  <c r="B22" i="9"/>
  <c r="B30" i="9" s="1"/>
  <c r="C22" i="147"/>
  <c r="H11" i="350"/>
  <c r="R27" i="148" l="1"/>
  <c r="C15" i="285"/>
  <c r="G20" i="133"/>
  <c r="D20" i="133" s="1"/>
  <c r="D24" i="133" s="1"/>
  <c r="B7" i="138"/>
  <c r="L74" i="138"/>
  <c r="L78" i="138" s="1"/>
  <c r="L79" i="138" s="1"/>
  <c r="L80" i="138" s="1"/>
  <c r="L81" i="138" s="1"/>
  <c r="L83" i="138" s="1"/>
  <c r="C47" i="242"/>
  <c r="D89" i="149"/>
  <c r="C177" i="149"/>
  <c r="N115" i="149"/>
  <c r="Q109" i="149"/>
  <c r="Q115" i="149" s="1"/>
  <c r="N78" i="149"/>
  <c r="C16" i="142"/>
  <c r="D16" i="142"/>
  <c r="E16" i="142"/>
  <c r="F16" i="142"/>
  <c r="B28" i="9"/>
  <c r="C25" i="169"/>
  <c r="E25" i="169" s="1"/>
  <c r="H25" i="169" s="1"/>
  <c r="K25" i="169" s="1"/>
  <c r="D28" i="185"/>
  <c r="D30" i="185" s="1"/>
  <c r="P23" i="148"/>
  <c r="N24" i="148" s="1"/>
  <c r="P24" i="148" s="1"/>
  <c r="N25" i="148" s="1"/>
  <c r="D17" i="169"/>
  <c r="E17" i="169" s="1"/>
  <c r="H17" i="169" s="1"/>
  <c r="R23" i="148"/>
  <c r="Q24" i="148" s="1"/>
  <c r="D19" i="169"/>
  <c r="P27" i="148"/>
  <c r="N28" i="148" s="1"/>
  <c r="F30" i="185"/>
  <c r="C351" i="212"/>
  <c r="C46" i="242"/>
  <c r="B60" i="138"/>
  <c r="P100" i="83"/>
  <c r="P103" i="83" s="1"/>
  <c r="O56" i="83"/>
  <c r="E17" i="9"/>
  <c r="B31" i="138"/>
  <c r="M36" i="95"/>
  <c r="D11" i="9"/>
  <c r="B61" i="138" s="1"/>
  <c r="R15" i="148"/>
  <c r="T15" i="148" s="1"/>
  <c r="C19" i="7"/>
  <c r="E32" i="309"/>
  <c r="C17" i="149"/>
  <c r="C19" i="149" s="1"/>
  <c r="G23" i="310"/>
  <c r="G28" i="310" s="1"/>
  <c r="G34" i="310" s="1"/>
  <c r="P171" i="142"/>
  <c r="R169" i="142" s="1"/>
  <c r="C12" i="83"/>
  <c r="B70" i="138"/>
  <c r="B11" i="392" l="1"/>
  <c r="Q28" i="148"/>
  <c r="R28" i="148" s="1"/>
  <c r="Q86" i="148"/>
  <c r="E27" i="9" s="1"/>
  <c r="F20" i="133"/>
  <c r="E20" i="133"/>
  <c r="C48" i="242"/>
  <c r="M79" i="138"/>
  <c r="G24" i="133"/>
  <c r="R170" i="142"/>
  <c r="G19" i="7"/>
  <c r="L84" i="138"/>
  <c r="C89" i="149"/>
  <c r="C19" i="169"/>
  <c r="E19" i="169" s="1"/>
  <c r="C11" i="9"/>
  <c r="E11" i="9" s="1"/>
  <c r="F70" i="138"/>
  <c r="H73" i="149"/>
  <c r="E39" i="309"/>
  <c r="E45" i="309" s="1"/>
  <c r="V19" i="148"/>
  <c r="S20" i="148" s="1"/>
  <c r="N15" i="169"/>
  <c r="P15" i="169" s="1"/>
  <c r="B29" i="136"/>
  <c r="D171" i="149"/>
  <c r="Q78" i="149"/>
  <c r="R78" i="149" s="1"/>
  <c r="R109" i="149"/>
  <c r="R115" i="149" s="1"/>
  <c r="D11" i="95"/>
  <c r="O11" i="95" s="1"/>
  <c r="D11" i="149"/>
  <c r="H11" i="149" s="1"/>
  <c r="M11" i="149" s="1"/>
  <c r="R11" i="149" s="1"/>
  <c r="R24" i="148"/>
  <c r="D45" i="169"/>
  <c r="C3509" i="357"/>
  <c r="F16" i="83"/>
  <c r="C37" i="20"/>
  <c r="I17" i="9"/>
  <c r="F17" i="9"/>
  <c r="B12" i="138"/>
  <c r="C8" i="137"/>
  <c r="E14" i="309"/>
  <c r="E22" i="309" s="1"/>
  <c r="H11" i="9"/>
  <c r="G19" i="169"/>
  <c r="P28" i="148"/>
  <c r="N29" i="148" s="1"/>
  <c r="D22" i="9"/>
  <c r="G39" i="310"/>
  <c r="C20" i="7"/>
  <c r="B24" i="392" l="1"/>
  <c r="D32" i="7"/>
  <c r="C11" i="392"/>
  <c r="C13" i="392" s="1"/>
  <c r="B13" i="392"/>
  <c r="T28" i="148"/>
  <c r="V28" i="148" s="1"/>
  <c r="Q29" i="148"/>
  <c r="R29" i="148" s="1"/>
  <c r="N21" i="169"/>
  <c r="P21" i="169" s="1"/>
  <c r="V31" i="148"/>
  <c r="S32" i="148" s="1"/>
  <c r="V32" i="148" s="1"/>
  <c r="D8" i="192"/>
  <c r="D11" i="192" s="1"/>
  <c r="G32" i="133" s="1"/>
  <c r="E32" i="133" s="1"/>
  <c r="D8" i="137"/>
  <c r="N25" i="169"/>
  <c r="P25" i="169" s="1"/>
  <c r="V43" i="148"/>
  <c r="S44" i="148" s="1"/>
  <c r="V44" i="148" s="1"/>
  <c r="R171" i="142"/>
  <c r="E48" i="309"/>
  <c r="E50" i="309" s="1"/>
  <c r="F50" i="309" s="1"/>
  <c r="H39" i="310"/>
  <c r="R56" i="148"/>
  <c r="C36" i="242"/>
  <c r="Q18" i="185"/>
  <c r="C346" i="212"/>
  <c r="E18" i="185"/>
  <c r="D18" i="185"/>
  <c r="D14" i="149"/>
  <c r="H14" i="149" s="1"/>
  <c r="M14" i="149" s="1"/>
  <c r="R14" i="149" s="1"/>
  <c r="C14" i="137"/>
  <c r="D14" i="137" s="1"/>
  <c r="G89" i="169" s="1"/>
  <c r="H89" i="169" s="1"/>
  <c r="C21" i="137"/>
  <c r="I28" i="309"/>
  <c r="C34" i="7"/>
  <c r="C56" i="83"/>
  <c r="G27" i="83"/>
  <c r="F21" i="310"/>
  <c r="B16" i="136" s="1"/>
  <c r="M17" i="9"/>
  <c r="M12" i="149"/>
  <c r="R12" i="149" s="1"/>
  <c r="F37" i="142"/>
  <c r="C37" i="142"/>
  <c r="D37" i="142"/>
  <c r="E37" i="142"/>
  <c r="C95" i="149"/>
  <c r="C90" i="149"/>
  <c r="Q25" i="148"/>
  <c r="O25" i="148"/>
  <c r="G33" i="83"/>
  <c r="T24" i="148"/>
  <c r="L17" i="9"/>
  <c r="J11" i="169"/>
  <c r="P13" i="148"/>
  <c r="R25" i="169"/>
  <c r="T25" i="169" s="1"/>
  <c r="B53" i="138"/>
  <c r="I10" i="82"/>
  <c r="H11" i="95"/>
  <c r="N11" i="95" s="1"/>
  <c r="C8" i="138"/>
  <c r="B54" i="138"/>
  <c r="B10" i="138" s="1"/>
  <c r="D37" i="20"/>
  <c r="F55" i="83"/>
  <c r="G49" i="17" s="1"/>
  <c r="H49" i="17" s="1"/>
  <c r="G47" i="132"/>
  <c r="D15" i="95"/>
  <c r="R7" i="148"/>
  <c r="C61" i="138"/>
  <c r="I11" i="9"/>
  <c r="F11" i="9"/>
  <c r="H19" i="169"/>
  <c r="O17" i="148"/>
  <c r="C13" i="169"/>
  <c r="E13" i="169" s="1"/>
  <c r="H13" i="169" s="1"/>
  <c r="C27" i="83"/>
  <c r="C280" i="212"/>
  <c r="K119" i="142"/>
  <c r="K123" i="142" s="1"/>
  <c r="C19" i="83"/>
  <c r="G19" i="83"/>
  <c r="C50" i="83"/>
  <c r="C33" i="83"/>
  <c r="S45" i="148" l="1"/>
  <c r="S46" i="148"/>
  <c r="D61" i="95"/>
  <c r="N17" i="9"/>
  <c r="C24" i="392"/>
  <c r="F72" i="148" s="1"/>
  <c r="B37" i="392"/>
  <c r="E32" i="7"/>
  <c r="T29" i="148"/>
  <c r="V29" i="148" s="1"/>
  <c r="S34" i="148"/>
  <c r="V34" i="148" s="1"/>
  <c r="S33" i="148"/>
  <c r="V33" i="148" s="1"/>
  <c r="B15" i="138"/>
  <c r="D8" i="138"/>
  <c r="D85" i="138" s="1"/>
  <c r="V45" i="148"/>
  <c r="D32" i="133"/>
  <c r="F32" i="133"/>
  <c r="D43" i="20"/>
  <c r="G79" i="19" s="1"/>
  <c r="F8" i="137"/>
  <c r="E8" i="137"/>
  <c r="H8" i="137" s="1"/>
  <c r="F57" i="148"/>
  <c r="F31" i="169" s="1"/>
  <c r="Q57" i="148"/>
  <c r="M19" i="95"/>
  <c r="I44" i="95" s="1"/>
  <c r="C41" i="242"/>
  <c r="F17" i="185"/>
  <c r="E17" i="185" s="1"/>
  <c r="R11" i="148"/>
  <c r="G34" i="132"/>
  <c r="G23" i="132"/>
  <c r="E23" i="132" s="1"/>
  <c r="F23" i="132" s="1"/>
  <c r="H23" i="132"/>
  <c r="F70" i="169"/>
  <c r="H72" i="169" s="1"/>
  <c r="R25" i="148"/>
  <c r="M8" i="9" s="1"/>
  <c r="J17" i="169"/>
  <c r="K17" i="169" s="1"/>
  <c r="P25" i="148"/>
  <c r="C6" i="283"/>
  <c r="G6" i="283" s="1"/>
  <c r="C14" i="142"/>
  <c r="D14" i="142"/>
  <c r="E14" i="142"/>
  <c r="F14" i="142"/>
  <c r="R19" i="169"/>
  <c r="T19" i="169" s="1"/>
  <c r="R17" i="169"/>
  <c r="T17" i="169" s="1"/>
  <c r="G21" i="132" s="1"/>
  <c r="V24" i="148"/>
  <c r="S25" i="148" s="1"/>
  <c r="D58" i="138"/>
  <c r="B41" i="138"/>
  <c r="B45" i="138" s="1"/>
  <c r="D19" i="95"/>
  <c r="O19" i="95" s="1"/>
  <c r="F53" i="83"/>
  <c r="F56" i="83" s="1"/>
  <c r="H15" i="95"/>
  <c r="D13" i="95"/>
  <c r="H13" i="95" s="1"/>
  <c r="B36" i="95"/>
  <c r="D36" i="95" s="1"/>
  <c r="H36" i="95" s="1"/>
  <c r="D22" i="185"/>
  <c r="I14" i="82"/>
  <c r="D16" i="95"/>
  <c r="E8" i="192"/>
  <c r="E11" i="192" s="1"/>
  <c r="C352" i="212"/>
  <c r="E23" i="185"/>
  <c r="D23" i="185"/>
  <c r="P15" i="148"/>
  <c r="N16" i="148" s="1"/>
  <c r="P16" i="148" s="1"/>
  <c r="N17" i="148" s="1"/>
  <c r="Q16" i="148"/>
  <c r="R16" i="148" s="1"/>
  <c r="E14" i="137"/>
  <c r="F14" i="137"/>
  <c r="E6" i="9"/>
  <c r="C9" i="169"/>
  <c r="F18" i="83"/>
  <c r="F19" i="83" s="1"/>
  <c r="E19" i="83"/>
  <c r="E27" i="83"/>
  <c r="G40" i="132"/>
  <c r="M13" i="149"/>
  <c r="F33" i="83"/>
  <c r="E33" i="83"/>
  <c r="D17" i="95"/>
  <c r="O17" i="95" s="1"/>
  <c r="M17" i="95"/>
  <c r="I42" i="95" s="1"/>
  <c r="I73" i="149"/>
  <c r="G60" i="83"/>
  <c r="C31" i="169"/>
  <c r="E31" i="169" s="1"/>
  <c r="E50" i="83"/>
  <c r="F50" i="83"/>
  <c r="D14" i="95"/>
  <c r="C77" i="83"/>
  <c r="O15" i="136" l="1"/>
  <c r="B15" i="136"/>
  <c r="C98" i="83" s="1"/>
  <c r="B38" i="95"/>
  <c r="B40" i="95"/>
  <c r="D40" i="95" s="1"/>
  <c r="H40" i="95" s="1"/>
  <c r="U15" i="136"/>
  <c r="P15" i="136"/>
  <c r="C37" i="392"/>
  <c r="C39" i="392" s="1"/>
  <c r="F73" i="148" s="1"/>
  <c r="B39" i="392"/>
  <c r="I13" i="82"/>
  <c r="R57" i="148"/>
  <c r="Q58" i="148" s="1"/>
  <c r="R58" i="148" s="1"/>
  <c r="F8" i="192"/>
  <c r="F11" i="192" s="1"/>
  <c r="O30" i="185" s="1"/>
  <c r="P30" i="185" s="1"/>
  <c r="E8" i="138"/>
  <c r="V46" i="148"/>
  <c r="D17" i="185"/>
  <c r="C345" i="212"/>
  <c r="C35" i="242"/>
  <c r="L73" i="149"/>
  <c r="Q12" i="148"/>
  <c r="R12" i="148" s="1"/>
  <c r="Q13" i="148" s="1"/>
  <c r="R13" i="148" s="1"/>
  <c r="M9" i="9" s="1"/>
  <c r="R19" i="148"/>
  <c r="G22" i="132"/>
  <c r="E22" i="132" s="1"/>
  <c r="F22" i="132" s="1"/>
  <c r="H22" i="132"/>
  <c r="H14" i="137"/>
  <c r="I89" i="169"/>
  <c r="J89" i="169" s="1"/>
  <c r="B56" i="138"/>
  <c r="V25" i="169"/>
  <c r="X25" i="169" s="1"/>
  <c r="I6" i="283"/>
  <c r="I85" i="169" s="1"/>
  <c r="J85" i="169" s="1"/>
  <c r="G85" i="169"/>
  <c r="H85" i="169" s="1"/>
  <c r="D12" i="95"/>
  <c r="I11" i="82" s="1"/>
  <c r="G72" i="169"/>
  <c r="O64" i="169" s="1"/>
  <c r="G70" i="169"/>
  <c r="H70" i="169" s="1"/>
  <c r="J70" i="169" s="1"/>
  <c r="V15" i="148"/>
  <c r="T25" i="148"/>
  <c r="V17" i="169" s="1"/>
  <c r="X17" i="169" s="1"/>
  <c r="G22" i="17" s="1"/>
  <c r="I23" i="17" s="1"/>
  <c r="D60" i="138"/>
  <c r="N8" i="9"/>
  <c r="P17" i="148"/>
  <c r="E21" i="132"/>
  <c r="J13" i="169"/>
  <c r="K13" i="169" s="1"/>
  <c r="J9" i="169"/>
  <c r="Q17" i="148"/>
  <c r="R17" i="148" s="1"/>
  <c r="T16" i="148"/>
  <c r="N13" i="169"/>
  <c r="I18" i="82"/>
  <c r="C40" i="242"/>
  <c r="E56" i="83"/>
  <c r="C31" i="137"/>
  <c r="D31" i="137" s="1"/>
  <c r="E31" i="137" s="1"/>
  <c r="C30" i="137"/>
  <c r="E10" i="135" s="1"/>
  <c r="I12" i="82"/>
  <c r="N36" i="95"/>
  <c r="J10" i="82"/>
  <c r="O36" i="95"/>
  <c r="G55" i="83"/>
  <c r="D18" i="95"/>
  <c r="O18" i="95" s="1"/>
  <c r="M18" i="95"/>
  <c r="I43" i="95" s="1"/>
  <c r="H31" i="169"/>
  <c r="K31" i="169" s="1"/>
  <c r="D62" i="95"/>
  <c r="I15" i="82"/>
  <c r="I24" i="82" s="1"/>
  <c r="H16" i="95"/>
  <c r="K56" i="95"/>
  <c r="C36" i="138"/>
  <c r="I16" i="82"/>
  <c r="Q8" i="148"/>
  <c r="R8" i="148" s="1"/>
  <c r="P7" i="148"/>
  <c r="N8" i="148" s="1"/>
  <c r="P8" i="148" s="1"/>
  <c r="N9" i="148" s="1"/>
  <c r="P9" i="148" s="1"/>
  <c r="F15" i="185"/>
  <c r="C33" i="242" s="1"/>
  <c r="H55" i="83"/>
  <c r="D64" i="95"/>
  <c r="D60" i="95"/>
  <c r="F52" i="169"/>
  <c r="G42" i="17"/>
  <c r="H42" i="17" s="1"/>
  <c r="F27" i="83"/>
  <c r="E9" i="169"/>
  <c r="K54" i="95"/>
  <c r="D38" i="95"/>
  <c r="H38" i="95" s="1"/>
  <c r="R13" i="149"/>
  <c r="B41" i="95" l="1"/>
  <c r="K57" i="95" s="1"/>
  <c r="C102" i="83"/>
  <c r="E39" i="392"/>
  <c r="G22" i="392" s="1"/>
  <c r="G23" i="392" s="1"/>
  <c r="K22" i="95"/>
  <c r="J17" i="185" s="1"/>
  <c r="M14" i="9"/>
  <c r="N14" i="9" s="1"/>
  <c r="F28" i="162"/>
  <c r="B63" i="138"/>
  <c r="B76" i="138"/>
  <c r="I73" i="95"/>
  <c r="I75" i="95" s="1"/>
  <c r="I77" i="95" s="1"/>
  <c r="C11" i="169"/>
  <c r="E11" i="169" s="1"/>
  <c r="H11" i="169" s="1"/>
  <c r="K11" i="169" s="1"/>
  <c r="H26" i="144"/>
  <c r="C29" i="137"/>
  <c r="D29" i="137" s="1"/>
  <c r="C15" i="169"/>
  <c r="E15" i="169" s="1"/>
  <c r="H15" i="169" s="1"/>
  <c r="K15" i="169" s="1"/>
  <c r="Q20" i="148"/>
  <c r="R20" i="148" s="1"/>
  <c r="M26" i="144"/>
  <c r="M23" i="144"/>
  <c r="G36" i="17"/>
  <c r="J12" i="23"/>
  <c r="F34" i="132"/>
  <c r="D40" i="242"/>
  <c r="I20" i="82"/>
  <c r="H12" i="95"/>
  <c r="E22" i="17"/>
  <c r="F22" i="17" s="1"/>
  <c r="C28" i="137"/>
  <c r="G26" i="144" s="1"/>
  <c r="V25" i="148"/>
  <c r="R13" i="169"/>
  <c r="T13" i="169" s="1"/>
  <c r="G31" i="132" s="1"/>
  <c r="E31" i="132" s="1"/>
  <c r="F31" i="132" s="1"/>
  <c r="V16" i="148"/>
  <c r="D62" i="138"/>
  <c r="F63" i="138" s="1"/>
  <c r="G14" i="7"/>
  <c r="G20" i="7" s="1"/>
  <c r="P13" i="169"/>
  <c r="P45" i="169" s="1"/>
  <c r="N45" i="169"/>
  <c r="N50" i="169" s="1"/>
  <c r="M10" i="9"/>
  <c r="N10" i="9" s="1"/>
  <c r="T17" i="148"/>
  <c r="F21" i="132"/>
  <c r="C9" i="138"/>
  <c r="C7" i="138" s="1"/>
  <c r="B78" i="138"/>
  <c r="C44" i="309"/>
  <c r="C34" i="137" s="1"/>
  <c r="D34" i="137" s="1"/>
  <c r="E34" i="137" s="1"/>
  <c r="D41" i="95"/>
  <c r="E11" i="135"/>
  <c r="I17" i="82"/>
  <c r="I21" i="82" s="1"/>
  <c r="C343" i="212"/>
  <c r="C15" i="185"/>
  <c r="D15" i="185" s="1"/>
  <c r="I6" i="9"/>
  <c r="F6" i="9"/>
  <c r="J14" i="82"/>
  <c r="F62" i="95"/>
  <c r="I16" i="95" s="1"/>
  <c r="O16" i="95" s="1"/>
  <c r="F61" i="95"/>
  <c r="I15" i="95" s="1"/>
  <c r="O15" i="95" s="1"/>
  <c r="Q9" i="148"/>
  <c r="R9" i="148" s="1"/>
  <c r="M6" i="9" s="1"/>
  <c r="H9" i="169"/>
  <c r="F60" i="95"/>
  <c r="I14" i="95" s="1"/>
  <c r="O14" i="95" s="1"/>
  <c r="D69" i="95"/>
  <c r="J12" i="82"/>
  <c r="J15" i="82" l="1"/>
  <c r="J24" i="82" s="1"/>
  <c r="H41" i="95"/>
  <c r="B37" i="95"/>
  <c r="D37" i="95" s="1"/>
  <c r="H37" i="95" s="1"/>
  <c r="C10" i="23"/>
  <c r="E40" i="242"/>
  <c r="S21" i="185"/>
  <c r="F40" i="185"/>
  <c r="C356" i="212" s="1"/>
  <c r="G45" i="132"/>
  <c r="K24" i="95"/>
  <c r="G21" i="137"/>
  <c r="C16" i="136"/>
  <c r="C18" i="358"/>
  <c r="G18" i="358" s="1"/>
  <c r="G177" i="149"/>
  <c r="C34" i="20"/>
  <c r="T20" i="148"/>
  <c r="Q21" i="148"/>
  <c r="R21" i="148" s="1"/>
  <c r="C36" i="20"/>
  <c r="M28" i="144"/>
  <c r="R26" i="185"/>
  <c r="C54" i="138"/>
  <c r="K53" i="95"/>
  <c r="M22" i="185"/>
  <c r="H22" i="185"/>
  <c r="L22" i="185"/>
  <c r="C30" i="23"/>
  <c r="D36" i="17"/>
  <c r="F35" i="17" s="1"/>
  <c r="D54" i="138"/>
  <c r="C262" i="212" s="1"/>
  <c r="E36" i="17"/>
  <c r="F36" i="17"/>
  <c r="C23" i="137"/>
  <c r="C25" i="137" s="1"/>
  <c r="H94" i="149" s="1"/>
  <c r="E8" i="135"/>
  <c r="C42" i="23"/>
  <c r="V13" i="169"/>
  <c r="C253" i="212" s="1"/>
  <c r="V17" i="148"/>
  <c r="F34" i="137"/>
  <c r="E9" i="135"/>
  <c r="E15" i="135"/>
  <c r="E18" i="135" s="1"/>
  <c r="C36" i="137"/>
  <c r="C39" i="309"/>
  <c r="D45" i="309" s="1"/>
  <c r="I19" i="82"/>
  <c r="F31" i="137"/>
  <c r="F11" i="135"/>
  <c r="F15" i="135"/>
  <c r="F18" i="135" s="1"/>
  <c r="M14" i="95"/>
  <c r="I39" i="95" s="1"/>
  <c r="M15" i="95"/>
  <c r="G169" i="149"/>
  <c r="C169" i="149"/>
  <c r="L6" i="9"/>
  <c r="F9" i="135"/>
  <c r="T44" i="141"/>
  <c r="F29" i="137"/>
  <c r="O18" i="141"/>
  <c r="S38" i="141" s="1"/>
  <c r="E15" i="185"/>
  <c r="K9" i="169"/>
  <c r="M16" i="95"/>
  <c r="D68" i="95"/>
  <c r="J11" i="82"/>
  <c r="I41" i="95" l="1"/>
  <c r="N16" i="95"/>
  <c r="I40" i="95"/>
  <c r="N15" i="95"/>
  <c r="C58" i="242"/>
  <c r="C61" i="242" s="1"/>
  <c r="C64" i="242" s="1"/>
  <c r="F18" i="358"/>
  <c r="F60" i="185"/>
  <c r="E60" i="185" s="1"/>
  <c r="E40" i="185" s="1"/>
  <c r="D34" i="20"/>
  <c r="N9" i="9"/>
  <c r="D36" i="20"/>
  <c r="M7" i="9"/>
  <c r="T21" i="148"/>
  <c r="V15" i="169" s="1"/>
  <c r="R15" i="169"/>
  <c r="T15" i="169" s="1"/>
  <c r="V20" i="148"/>
  <c r="S21" i="148" s="1"/>
  <c r="G17" i="23"/>
  <c r="D8" i="23"/>
  <c r="C12" i="23"/>
  <c r="H11" i="23" s="1"/>
  <c r="C37" i="23"/>
  <c r="F17" i="23"/>
  <c r="C39" i="23"/>
  <c r="J14" i="23" s="1"/>
  <c r="G16" i="137"/>
  <c r="E12" i="135"/>
  <c r="E19" i="135" s="1"/>
  <c r="X13" i="169"/>
  <c r="G33" i="17" s="1"/>
  <c r="K9" i="161"/>
  <c r="B21" i="161" s="1"/>
  <c r="H31" i="137"/>
  <c r="G11" i="135"/>
  <c r="H35" i="137"/>
  <c r="G15" i="135"/>
  <c r="M73" i="149"/>
  <c r="D70" i="95"/>
  <c r="F69" i="95" s="1"/>
  <c r="I13" i="95" s="1"/>
  <c r="O13" i="95" s="1"/>
  <c r="U32" i="141"/>
  <c r="J20" i="82"/>
  <c r="N6" i="9"/>
  <c r="O14" i="141"/>
  <c r="C24" i="141"/>
  <c r="O24" i="141" l="1"/>
  <c r="S34" i="141"/>
  <c r="S44" i="141" s="1"/>
  <c r="N7" i="9"/>
  <c r="V21" i="148"/>
  <c r="H20" i="132"/>
  <c r="G20" i="132"/>
  <c r="C254" i="212"/>
  <c r="X15" i="169"/>
  <c r="G21" i="17" s="1"/>
  <c r="E33" i="17"/>
  <c r="F33" i="17" s="1"/>
  <c r="H31" i="132"/>
  <c r="C43" i="23"/>
  <c r="K20" i="161"/>
  <c r="K21" i="161"/>
  <c r="G17" i="138"/>
  <c r="Q73" i="149"/>
  <c r="M40" i="95"/>
  <c r="N40" i="95" s="1"/>
  <c r="O40" i="95"/>
  <c r="F68" i="95"/>
  <c r="I12" i="95" s="1"/>
  <c r="M13" i="95"/>
  <c r="N13" i="95" s="1"/>
  <c r="M41" i="95"/>
  <c r="N41" i="95" s="1"/>
  <c r="O41" i="95"/>
  <c r="D12" i="141"/>
  <c r="D24" i="141" s="1"/>
  <c r="E12" i="141" s="1"/>
  <c r="E24" i="141" s="1"/>
  <c r="F12" i="141" s="1"/>
  <c r="F24" i="141" s="1"/>
  <c r="G12" i="141" s="1"/>
  <c r="G24" i="141" s="1"/>
  <c r="H12" i="141" s="1"/>
  <c r="H24" i="141" s="1"/>
  <c r="I12" i="141" s="1"/>
  <c r="I24" i="141" s="1"/>
  <c r="J12" i="141" s="1"/>
  <c r="J24" i="141" s="1"/>
  <c r="K12" i="141" s="1"/>
  <c r="K24" i="141" s="1"/>
  <c r="L12" i="141" s="1"/>
  <c r="L24" i="141" s="1"/>
  <c r="M12" i="141" s="1"/>
  <c r="M24" i="141" s="1"/>
  <c r="N12" i="141" s="1"/>
  <c r="N24" i="141" s="1"/>
  <c r="I22" i="95" l="1"/>
  <c r="I24" i="95" s="1"/>
  <c r="O12" i="95"/>
  <c r="T32" i="141"/>
  <c r="C32" i="141" s="1"/>
  <c r="O32" i="141" s="1"/>
  <c r="S46" i="141"/>
  <c r="E21" i="17"/>
  <c r="F21" i="17" s="1"/>
  <c r="R73" i="149"/>
  <c r="E20" i="132"/>
  <c r="G19" i="132" s="1"/>
  <c r="H169" i="149"/>
  <c r="P24" i="141"/>
  <c r="I38" i="95"/>
  <c r="M12" i="95"/>
  <c r="N12" i="95" s="1"/>
  <c r="E19" i="132" l="1"/>
  <c r="F19" i="132" s="1"/>
  <c r="F20" i="132"/>
  <c r="M38" i="95"/>
  <c r="N38" i="95" s="1"/>
  <c r="O38" i="95"/>
  <c r="I37" i="95"/>
  <c r="M37" i="95" l="1"/>
  <c r="O37" i="95"/>
  <c r="N37" i="95" l="1"/>
  <c r="L15" i="149"/>
  <c r="H14" i="160"/>
  <c r="M14" i="160" s="1"/>
  <c r="H17" i="95" s="1"/>
  <c r="N17" i="95" s="1"/>
  <c r="H13" i="160"/>
  <c r="M13" i="160" s="1"/>
  <c r="H18" i="95" s="1"/>
  <c r="M21" i="95"/>
  <c r="J29" i="82"/>
  <c r="E15" i="133"/>
  <c r="F9" i="133" s="1"/>
  <c r="F13" i="133" s="1"/>
  <c r="I22" i="82"/>
  <c r="Q57" i="328"/>
  <c r="T57" i="328"/>
  <c r="T59" i="328"/>
  <c r="U59" i="328" s="1"/>
  <c r="Z59" i="328" s="1"/>
  <c r="Q60" i="328"/>
  <c r="T60" i="328"/>
  <c r="T61" i="328"/>
  <c r="U61" i="328" s="1"/>
  <c r="Z61" i="328" s="1"/>
  <c r="T62" i="328"/>
  <c r="U62" i="328" s="1"/>
  <c r="Z62" i="328" s="1"/>
  <c r="T63" i="328"/>
  <c r="Q39" i="328"/>
  <c r="Q40" i="328"/>
  <c r="T40" i="328"/>
  <c r="Y40" i="328"/>
  <c r="G41" i="328"/>
  <c r="Q41" i="328" s="1"/>
  <c r="AD41" i="328"/>
  <c r="AC41" i="328" s="1"/>
  <c r="T41" i="328"/>
  <c r="T42" i="328"/>
  <c r="T43" i="328"/>
  <c r="U43" i="328" s="1"/>
  <c r="Q44" i="328"/>
  <c r="T44" i="328"/>
  <c r="Q45" i="328"/>
  <c r="T45" i="328"/>
  <c r="Q46" i="328"/>
  <c r="T46" i="328"/>
  <c r="G47" i="328"/>
  <c r="Q47" i="328" s="1"/>
  <c r="T47" i="328"/>
  <c r="G48" i="328"/>
  <c r="Q48" i="328" s="1"/>
  <c r="T48" i="328"/>
  <c r="Q49" i="328"/>
  <c r="T49" i="328"/>
  <c r="T50" i="328"/>
  <c r="U50" i="328" s="1"/>
  <c r="Z50" i="328" s="1"/>
  <c r="T51" i="328"/>
  <c r="U51" i="328" s="1"/>
  <c r="Z51" i="328" s="1"/>
  <c r="T52" i="328"/>
  <c r="G14" i="328"/>
  <c r="H14" i="328" s="1"/>
  <c r="S13" i="328"/>
  <c r="U13" i="328" s="1"/>
  <c r="AA13" i="328" s="1"/>
  <c r="G25" i="328"/>
  <c r="H25" i="328" s="1"/>
  <c r="S26" i="328"/>
  <c r="Y26" i="328"/>
  <c r="G27" i="328"/>
  <c r="H27" i="328" s="1"/>
  <c r="S27" i="328" s="1"/>
  <c r="Y27" i="328"/>
  <c r="G28" i="328"/>
  <c r="H28" i="328" s="1"/>
  <c r="S28" i="328" s="1"/>
  <c r="Y28" i="328"/>
  <c r="G29" i="328"/>
  <c r="H29" i="328" s="1"/>
  <c r="S29" i="328" s="1"/>
  <c r="G30" i="328"/>
  <c r="H30" i="328" s="1"/>
  <c r="S30" i="328" s="1"/>
  <c r="U30" i="328" s="1"/>
  <c r="Y30" i="328"/>
  <c r="G31" i="328"/>
  <c r="H31" i="328" s="1"/>
  <c r="S31" i="328" s="1"/>
  <c r="G32" i="328"/>
  <c r="H32" i="328" s="1"/>
  <c r="S32" i="328" s="1"/>
  <c r="G33" i="328"/>
  <c r="H33" i="328" s="1"/>
  <c r="S33" i="328" s="1"/>
  <c r="Y33" i="328"/>
  <c r="G34" i="328"/>
  <c r="Q34" i="328" s="1"/>
  <c r="T34" i="328"/>
  <c r="G35" i="328"/>
  <c r="Q35" i="328" s="1"/>
  <c r="D35" i="328"/>
  <c r="R35" i="328" s="1"/>
  <c r="T35" i="328"/>
  <c r="S36" i="328"/>
  <c r="T36" i="328"/>
  <c r="G57" i="329"/>
  <c r="Q57" i="329" s="1"/>
  <c r="G60" i="329"/>
  <c r="Q39" i="329"/>
  <c r="Q38" i="330" s="1"/>
  <c r="AJ38" i="330" s="1"/>
  <c r="Q41" i="329"/>
  <c r="Q40" i="330" s="1"/>
  <c r="AJ40" i="330" s="1"/>
  <c r="Q44" i="330"/>
  <c r="AJ44" i="330" s="1"/>
  <c r="G46" i="329"/>
  <c r="Q46" i="329" s="1"/>
  <c r="Q47" i="329"/>
  <c r="Q46" i="330" s="1"/>
  <c r="AJ46" i="330" s="1"/>
  <c r="T50" i="329"/>
  <c r="U50" i="329" s="1"/>
  <c r="T51" i="329"/>
  <c r="U51" i="329" s="1"/>
  <c r="F14" i="329"/>
  <c r="F13" i="330" s="1"/>
  <c r="G14" i="329"/>
  <c r="H14" i="329" s="1"/>
  <c r="R25" i="330"/>
  <c r="AK25" i="330" s="1"/>
  <c r="F26" i="329"/>
  <c r="F25" i="330" s="1"/>
  <c r="G26" i="329"/>
  <c r="G25" i="330" s="1"/>
  <c r="G27" i="329"/>
  <c r="H27" i="329" s="1"/>
  <c r="G28" i="329"/>
  <c r="H28" i="329" s="1"/>
  <c r="G31" i="329"/>
  <c r="H31" i="329" s="1"/>
  <c r="S31" i="329" s="1"/>
  <c r="G32" i="329"/>
  <c r="H32" i="329" s="1"/>
  <c r="G33" i="329"/>
  <c r="H33" i="329" s="1"/>
  <c r="G34" i="329"/>
  <c r="Q34" i="329" s="1"/>
  <c r="T34" i="329"/>
  <c r="Q35" i="329"/>
  <c r="Q34" i="330" s="1"/>
  <c r="AJ34" i="330" s="1"/>
  <c r="T36" i="329"/>
  <c r="U36" i="329" s="1"/>
  <c r="Z36" i="329" s="1"/>
  <c r="Z35" i="330" s="1"/>
  <c r="AS35" i="330" s="1"/>
  <c r="W31" i="169"/>
  <c r="X31" i="169" s="1"/>
  <c r="C34" i="242"/>
  <c r="Q15" i="149"/>
  <c r="M70" i="149"/>
  <c r="C278" i="212"/>
  <c r="H277" i="212"/>
  <c r="D9" i="160"/>
  <c r="H9" i="160" s="1"/>
  <c r="M9" i="160" s="1"/>
  <c r="D31" i="212"/>
  <c r="E31" i="212" s="1"/>
  <c r="D42" i="212"/>
  <c r="E42" i="212" s="1"/>
  <c r="L13" i="133"/>
  <c r="L24" i="133" s="1"/>
  <c r="E18" i="17"/>
  <c r="F18" i="17" s="1"/>
  <c r="F36" i="19" s="1"/>
  <c r="H9" i="133"/>
  <c r="H13" i="133" s="1"/>
  <c r="AX23" i="330"/>
  <c r="AW23" i="330"/>
  <c r="AU23" i="330"/>
  <c r="AV23" i="330" s="1"/>
  <c r="G167" i="149"/>
  <c r="F38" i="19"/>
  <c r="G38" i="19" s="1"/>
  <c r="D42" i="19"/>
  <c r="E42" i="19"/>
  <c r="F42" i="19"/>
  <c r="E17" i="132"/>
  <c r="F17" i="132" s="1"/>
  <c r="A41" i="330"/>
  <c r="A42" i="330" s="1"/>
  <c r="A43" i="330" s="1"/>
  <c r="A44" i="330" s="1"/>
  <c r="A45" i="330" s="1"/>
  <c r="A46" i="330" s="1"/>
  <c r="A47" i="330" s="1"/>
  <c r="A48" i="330" s="1"/>
  <c r="A49" i="330" s="1"/>
  <c r="A50" i="330" s="1"/>
  <c r="A51" i="330" s="1"/>
  <c r="A52" i="330" s="1"/>
  <c r="A55" i="330" s="1"/>
  <c r="AX37" i="330"/>
  <c r="AW37" i="330"/>
  <c r="AV37" i="330"/>
  <c r="A33" i="330"/>
  <c r="A34" i="330" s="1"/>
  <c r="A35" i="330" s="1"/>
  <c r="AX18" i="330"/>
  <c r="AW18" i="330"/>
  <c r="AU18" i="330"/>
  <c r="AV18" i="330" s="1"/>
  <c r="Y44" i="330"/>
  <c r="AR44" i="330" s="1"/>
  <c r="AQ44" i="330"/>
  <c r="AO44" i="330"/>
  <c r="D159" i="149"/>
  <c r="Y50" i="330"/>
  <c r="AR50" i="330" s="1"/>
  <c r="AQ50" i="330"/>
  <c r="AP50" i="330"/>
  <c r="AO50" i="330"/>
  <c r="AM50" i="330"/>
  <c r="AL50" i="330"/>
  <c r="AC13" i="330"/>
  <c r="AX13" i="330" s="1"/>
  <c r="AB13" i="330"/>
  <c r="AW13" i="330" s="1"/>
  <c r="F98" i="212"/>
  <c r="F97" i="212" s="1"/>
  <c r="F107" i="212" s="1"/>
  <c r="E5" i="286"/>
  <c r="AH35" i="330"/>
  <c r="AG35" i="330"/>
  <c r="AF35" i="330"/>
  <c r="AE35" i="330"/>
  <c r="AO12" i="330"/>
  <c r="AN12" i="330"/>
  <c r="AM12" i="330"/>
  <c r="AL12" i="330"/>
  <c r="D158" i="212"/>
  <c r="F110" i="212"/>
  <c r="AH41" i="330"/>
  <c r="E6" i="10"/>
  <c r="E7" i="10"/>
  <c r="E8" i="10"/>
  <c r="G8" i="10" s="1"/>
  <c r="E9" i="10"/>
  <c r="E11" i="10"/>
  <c r="G11" i="10" s="1"/>
  <c r="E12" i="10"/>
  <c r="G12" i="10" s="1"/>
  <c r="G14" i="10"/>
  <c r="G15" i="10"/>
  <c r="E17" i="10"/>
  <c r="G17" i="10" s="1"/>
  <c r="G19" i="10"/>
  <c r="E20" i="10"/>
  <c r="G20" i="10" s="1"/>
  <c r="E21" i="10"/>
  <c r="G21" i="10" s="1"/>
  <c r="G22" i="10"/>
  <c r="C168" i="212"/>
  <c r="AH63" i="330"/>
  <c r="AG63" i="330"/>
  <c r="AF63" i="330"/>
  <c r="AE63" i="330"/>
  <c r="F37" i="328"/>
  <c r="F65" i="328" s="1"/>
  <c r="E65" i="328"/>
  <c r="F72" i="319"/>
  <c r="I70" i="319"/>
  <c r="I72" i="319" s="1"/>
  <c r="H48" i="328"/>
  <c r="G13" i="328"/>
  <c r="A34" i="328"/>
  <c r="A35" i="328" s="1"/>
  <c r="A36" i="328" s="1"/>
  <c r="A41" i="328"/>
  <c r="A42" i="328" s="1"/>
  <c r="A43" i="328" s="1"/>
  <c r="A44" i="328" s="1"/>
  <c r="A45" i="328" s="1"/>
  <c r="A46" i="328" s="1"/>
  <c r="A47" i="328" s="1"/>
  <c r="A48" i="328" s="1"/>
  <c r="A49" i="328" s="1"/>
  <c r="A50" i="328" s="1"/>
  <c r="A51" i="328" s="1"/>
  <c r="A52" i="328" s="1"/>
  <c r="A53" i="328" s="1"/>
  <c r="A56" i="328" s="1"/>
  <c r="A57" i="328" s="1"/>
  <c r="A58" i="328" s="1"/>
  <c r="A59" i="328" s="1"/>
  <c r="A60" i="328" s="1"/>
  <c r="A61" i="328" s="1"/>
  <c r="A62" i="328" s="1"/>
  <c r="A63" i="328" s="1"/>
  <c r="H63" i="328"/>
  <c r="H64" i="328" s="1"/>
  <c r="AH40" i="330"/>
  <c r="AJ27" i="330"/>
  <c r="AH27" i="330"/>
  <c r="AM15" i="330"/>
  <c r="AL15" i="330"/>
  <c r="AP22" i="330"/>
  <c r="AO22" i="330"/>
  <c r="AH13" i="330"/>
  <c r="AG13" i="330"/>
  <c r="AF13" i="330"/>
  <c r="AE13" i="330"/>
  <c r="AD13" i="330"/>
  <c r="AH44" i="330"/>
  <c r="AG44" i="330"/>
  <c r="AF44" i="330"/>
  <c r="AE44" i="330"/>
  <c r="AH25" i="330"/>
  <c r="AG25" i="330"/>
  <c r="AF25" i="330"/>
  <c r="AE25" i="330"/>
  <c r="AJ32" i="330"/>
  <c r="AH32" i="330"/>
  <c r="AH19" i="330"/>
  <c r="AH30" i="330"/>
  <c r="AG30" i="330"/>
  <c r="AF30" i="330"/>
  <c r="AE30" i="330"/>
  <c r="AH46" i="330"/>
  <c r="AH12" i="330"/>
  <c r="AJ31" i="330"/>
  <c r="AH31" i="330"/>
  <c r="AG31" i="330"/>
  <c r="AF31" i="330"/>
  <c r="AE31" i="330"/>
  <c r="AJ26" i="330"/>
  <c r="AH26" i="330"/>
  <c r="AG26" i="330"/>
  <c r="AF26" i="330"/>
  <c r="AE26" i="330"/>
  <c r="AH24" i="330"/>
  <c r="AG24" i="330"/>
  <c r="AF24" i="330"/>
  <c r="AE24" i="330"/>
  <c r="AH45" i="330"/>
  <c r="S34" i="330"/>
  <c r="AL34" i="330" s="1"/>
  <c r="AU22" i="330"/>
  <c r="AV22" i="330" s="1"/>
  <c r="S35" i="330"/>
  <c r="AL35" i="330" s="1"/>
  <c r="AH34" i="330"/>
  <c r="AG34" i="330"/>
  <c r="AF34" i="330"/>
  <c r="AE34" i="330"/>
  <c r="AP23" i="330"/>
  <c r="AO23" i="330"/>
  <c r="AP21" i="330"/>
  <c r="AO21" i="330"/>
  <c r="AH53" i="330"/>
  <c r="AH52" i="330"/>
  <c r="AX14" i="330"/>
  <c r="AW14" i="330"/>
  <c r="AV14" i="330"/>
  <c r="AS19" i="330"/>
  <c r="AO19" i="330"/>
  <c r="AS25" i="330"/>
  <c r="AR25" i="330"/>
  <c r="AQ25" i="330"/>
  <c r="AO25" i="330"/>
  <c r="F26" i="330"/>
  <c r="F27" i="330"/>
  <c r="AS27" i="330"/>
  <c r="AR27" i="330"/>
  <c r="AQ27" i="330"/>
  <c r="Y30" i="330"/>
  <c r="AR30" i="330" s="1"/>
  <c r="AQ30" i="330"/>
  <c r="AO30" i="330"/>
  <c r="F31" i="330"/>
  <c r="F32" i="330"/>
  <c r="A34" i="329"/>
  <c r="A35" i="329" s="1"/>
  <c r="A36" i="329" s="1"/>
  <c r="AO36" i="330"/>
  <c r="T41" i="330"/>
  <c r="Y45" i="330"/>
  <c r="AR45" i="330" s="1"/>
  <c r="AQ45" i="330"/>
  <c r="AO45" i="330"/>
  <c r="AS46" i="330"/>
  <c r="AR46" i="330"/>
  <c r="AQ46" i="330"/>
  <c r="AO46" i="330"/>
  <c r="AM46" i="330"/>
  <c r="AL46" i="330"/>
  <c r="AH64" i="330"/>
  <c r="AG64" i="330"/>
  <c r="AF64" i="330"/>
  <c r="AE64" i="330"/>
  <c r="E64" i="330"/>
  <c r="AH59" i="330"/>
  <c r="AX21" i="330"/>
  <c r="AW21" i="330"/>
  <c r="AV21" i="330"/>
  <c r="Y31" i="330"/>
  <c r="AR31" i="330" s="1"/>
  <c r="AS32" i="330"/>
  <c r="AR32" i="330"/>
  <c r="AQ32" i="330"/>
  <c r="AO32" i="330"/>
  <c r="AS33" i="330"/>
  <c r="AO33" i="330"/>
  <c r="AM33" i="330"/>
  <c r="AH33" i="330"/>
  <c r="Y34" i="330"/>
  <c r="AR34" i="330" s="1"/>
  <c r="AQ34" i="330"/>
  <c r="AO34" i="330"/>
  <c r="Y35" i="330"/>
  <c r="AR35" i="330" s="1"/>
  <c r="AQ35" i="330"/>
  <c r="AO35" i="330"/>
  <c r="T40" i="330"/>
  <c r="AR41" i="330"/>
  <c r="AQ41" i="330"/>
  <c r="AO41" i="330"/>
  <c r="AM41" i="330"/>
  <c r="AL41" i="330"/>
  <c r="T44" i="330"/>
  <c r="Y49" i="330"/>
  <c r="AR49" i="330" s="1"/>
  <c r="AQ49" i="330"/>
  <c r="AP49" i="330"/>
  <c r="AO49" i="330"/>
  <c r="AM49" i="330"/>
  <c r="AL49" i="330"/>
  <c r="T52" i="330"/>
  <c r="Y52" i="330"/>
  <c r="AH56" i="330"/>
  <c r="AG56" i="330"/>
  <c r="AF56" i="330"/>
  <c r="AE56" i="330"/>
  <c r="AX15" i="330"/>
  <c r="AW15" i="330"/>
  <c r="AU15" i="330"/>
  <c r="AV15" i="330" s="1"/>
  <c r="AX22" i="330"/>
  <c r="AW22" i="330"/>
  <c r="AS24" i="330"/>
  <c r="AO24" i="330"/>
  <c r="R31" i="330"/>
  <c r="AK31" i="330" s="1"/>
  <c r="AS38" i="330"/>
  <c r="AO38" i="330"/>
  <c r="AM38" i="330"/>
  <c r="AL38" i="330"/>
  <c r="AH38" i="330"/>
  <c r="AS40" i="330"/>
  <c r="AO40" i="330"/>
  <c r="T46" i="330"/>
  <c r="D66" i="212"/>
  <c r="C90" i="212" s="1"/>
  <c r="C91" i="212" s="1"/>
  <c r="AS13" i="330"/>
  <c r="AO13" i="330"/>
  <c r="AX16" i="330"/>
  <c r="AW16" i="330"/>
  <c r="AU16" i="330"/>
  <c r="AV16" i="330" s="1"/>
  <c r="AX20" i="330"/>
  <c r="AW20" i="330"/>
  <c r="AV20" i="330"/>
  <c r="AS26" i="330"/>
  <c r="AR26" i="330"/>
  <c r="AQ26" i="330"/>
  <c r="AO26" i="330"/>
  <c r="F30" i="330"/>
  <c r="AQ31" i="330"/>
  <c r="AO31" i="330"/>
  <c r="T34" i="330"/>
  <c r="A41" i="329"/>
  <c r="A42" i="329" s="1"/>
  <c r="A43" i="329" s="1"/>
  <c r="A44" i="329" s="1"/>
  <c r="A45" i="329" s="1"/>
  <c r="A46" i="329" s="1"/>
  <c r="A47" i="329" s="1"/>
  <c r="A48" i="329" s="1"/>
  <c r="A49" i="329" s="1"/>
  <c r="A50" i="329" s="1"/>
  <c r="A51" i="329" s="1"/>
  <c r="A52" i="329" s="1"/>
  <c r="A53" i="329" s="1"/>
  <c r="A56" i="329" s="1"/>
  <c r="A57" i="329" s="1"/>
  <c r="A58" i="329" s="1"/>
  <c r="A59" i="329" s="1"/>
  <c r="A60" i="329" s="1"/>
  <c r="A61" i="329" s="1"/>
  <c r="A62" i="329" s="1"/>
  <c r="A63" i="329" s="1"/>
  <c r="T45" i="330"/>
  <c r="AR52" i="330"/>
  <c r="AQ52" i="330"/>
  <c r="AO52" i="330"/>
  <c r="T56" i="330"/>
  <c r="Y56" i="330"/>
  <c r="AR56" i="330" s="1"/>
  <c r="T59" i="330"/>
  <c r="Y59" i="330"/>
  <c r="AR59" i="330" s="1"/>
  <c r="Y63" i="330"/>
  <c r="AR63" i="330" s="1"/>
  <c r="X63" i="330"/>
  <c r="AQ63" i="330" s="1"/>
  <c r="AO63" i="330"/>
  <c r="AO64" i="330"/>
  <c r="F53" i="330"/>
  <c r="AO53" i="330"/>
  <c r="AQ56" i="330"/>
  <c r="AO56" i="330"/>
  <c r="AQ59" i="330"/>
  <c r="AO59" i="330"/>
  <c r="F10" i="225"/>
  <c r="D189" i="212"/>
  <c r="D190" i="212" s="1"/>
  <c r="E188" i="212"/>
  <c r="E189" i="212"/>
  <c r="F188" i="212"/>
  <c r="F189" i="212"/>
  <c r="F9" i="225"/>
  <c r="F11" i="225"/>
  <c r="F12" i="225"/>
  <c r="C25" i="212"/>
  <c r="C20" i="212" s="1"/>
  <c r="C68" i="212"/>
  <c r="F191" i="212"/>
  <c r="G191" i="212" s="1"/>
  <c r="D93" i="212"/>
  <c r="C108" i="212"/>
  <c r="C107" i="212"/>
  <c r="C192" i="212"/>
  <c r="C193" i="212" s="1"/>
  <c r="D192" i="212"/>
  <c r="E192" i="212"/>
  <c r="F192" i="212"/>
  <c r="D13" i="242"/>
  <c r="D15" i="242" s="1"/>
  <c r="D371" i="212"/>
  <c r="F10" i="242"/>
  <c r="E91" i="212"/>
  <c r="D80" i="212" s="1"/>
  <c r="C17" i="10"/>
  <c r="C14" i="10"/>
  <c r="I12" i="10"/>
  <c r="I14" i="10"/>
  <c r="D168" i="142"/>
  <c r="G7" i="283"/>
  <c r="I7" i="283" s="1"/>
  <c r="G59" i="330" l="1"/>
  <c r="Q60" i="329"/>
  <c r="B43" i="95"/>
  <c r="N18" i="95"/>
  <c r="D15" i="160"/>
  <c r="I46" i="95"/>
  <c r="M22" i="95"/>
  <c r="K61" i="95"/>
  <c r="K74" i="95"/>
  <c r="L74" i="95" s="1"/>
  <c r="H57" i="329"/>
  <c r="H56" i="330" s="1"/>
  <c r="D178" i="149"/>
  <c r="N94" i="149" s="1"/>
  <c r="M71" i="149"/>
  <c r="H160" i="149" s="1"/>
  <c r="L89" i="149"/>
  <c r="H41" i="328"/>
  <c r="F8" i="285"/>
  <c r="AD35" i="328"/>
  <c r="AC35" i="328" s="1"/>
  <c r="AD45" i="328"/>
  <c r="AC45" i="328" s="1"/>
  <c r="U42" i="328"/>
  <c r="Z42" i="328" s="1"/>
  <c r="D10" i="95"/>
  <c r="Q64" i="328"/>
  <c r="G27" i="330"/>
  <c r="G20" i="328"/>
  <c r="G37" i="328" s="1"/>
  <c r="G56" i="330"/>
  <c r="T35" i="330"/>
  <c r="T37" i="329"/>
  <c r="T36" i="330" s="1"/>
  <c r="G20" i="329"/>
  <c r="G37" i="329" s="1"/>
  <c r="G36" i="330" s="1"/>
  <c r="G30" i="330"/>
  <c r="L29" i="82"/>
  <c r="G160" i="149"/>
  <c r="AX54" i="330"/>
  <c r="AW54" i="330" s="1"/>
  <c r="AV54" i="330" s="1"/>
  <c r="A56" i="330"/>
  <c r="A57" i="330" s="1"/>
  <c r="A58" i="330" s="1"/>
  <c r="A59" i="330" s="1"/>
  <c r="A60" i="330" s="1"/>
  <c r="A61" i="330" s="1"/>
  <c r="A62" i="330" s="1"/>
  <c r="E381" i="212"/>
  <c r="F381" i="212" s="1"/>
  <c r="C159" i="149"/>
  <c r="G33" i="330"/>
  <c r="T50" i="330"/>
  <c r="H26" i="329"/>
  <c r="S26" i="329" s="1"/>
  <c r="S25" i="330" s="1"/>
  <c r="AL25" i="330" s="1"/>
  <c r="G26" i="330"/>
  <c r="G13" i="330"/>
  <c r="G31" i="330"/>
  <c r="D68" i="212"/>
  <c r="D69" i="212" s="1"/>
  <c r="E36" i="19"/>
  <c r="G36" i="19" s="1"/>
  <c r="D154" i="142"/>
  <c r="D156" i="142" s="1"/>
  <c r="D158" i="142" s="1"/>
  <c r="D164" i="142" s="1"/>
  <c r="D193" i="212"/>
  <c r="F190" i="212"/>
  <c r="F193" i="212" s="1"/>
  <c r="E190" i="212"/>
  <c r="E193" i="212" s="1"/>
  <c r="G161" i="149"/>
  <c r="G189" i="212"/>
  <c r="T54" i="328"/>
  <c r="G54" i="328"/>
  <c r="H47" i="328"/>
  <c r="M21" i="149"/>
  <c r="AA30" i="328"/>
  <c r="W30" i="328" s="1"/>
  <c r="AE30" i="328" s="1"/>
  <c r="U48" i="328"/>
  <c r="Z48" i="328" s="1"/>
  <c r="F66" i="212"/>
  <c r="E16" i="185"/>
  <c r="D23" i="328"/>
  <c r="R23" i="328" s="1"/>
  <c r="U49" i="328"/>
  <c r="Z49" i="328" s="1"/>
  <c r="U60" i="328"/>
  <c r="Z60" i="328" s="1"/>
  <c r="G54" i="329"/>
  <c r="G53" i="330" s="1"/>
  <c r="E45" i="132"/>
  <c r="H35" i="328"/>
  <c r="S35" i="328" s="1"/>
  <c r="G28" i="17"/>
  <c r="B42" i="95"/>
  <c r="H148" i="212"/>
  <c r="X41" i="329"/>
  <c r="X40" i="330" s="1"/>
  <c r="AQ40" i="330" s="1"/>
  <c r="R41" i="329"/>
  <c r="AD41" i="329" s="1"/>
  <c r="AC41" i="329" s="1"/>
  <c r="Z43" i="328"/>
  <c r="AA43" i="328" s="1"/>
  <c r="W43" i="328" s="1"/>
  <c r="AE43" i="328" s="1"/>
  <c r="D22" i="329"/>
  <c r="R22" i="329" s="1"/>
  <c r="G192" i="212"/>
  <c r="G188" i="212"/>
  <c r="Q37" i="328"/>
  <c r="N55" i="185"/>
  <c r="E26" i="242"/>
  <c r="E29" i="242" s="1"/>
  <c r="C5" i="358"/>
  <c r="T37" i="328"/>
  <c r="D6" i="197"/>
  <c r="X39" i="328"/>
  <c r="Y39" i="328" s="1"/>
  <c r="C344" i="212"/>
  <c r="U36" i="328"/>
  <c r="Z36" i="328" s="1"/>
  <c r="G42" i="19"/>
  <c r="H15" i="160"/>
  <c r="M15" i="160" s="1"/>
  <c r="H19" i="95" s="1"/>
  <c r="M15" i="149"/>
  <c r="R15" i="149" s="1"/>
  <c r="G159" i="149"/>
  <c r="H159" i="149"/>
  <c r="D31" i="160"/>
  <c r="H31" i="160" s="1"/>
  <c r="M31" i="160" s="1"/>
  <c r="U27" i="328"/>
  <c r="AA27" i="328" s="1"/>
  <c r="W27" i="328" s="1"/>
  <c r="AE27" i="328" s="1"/>
  <c r="U26" i="328"/>
  <c r="AA26" i="328" s="1"/>
  <c r="W26" i="328" s="1"/>
  <c r="AE26" i="328" s="1"/>
  <c r="H32" i="330"/>
  <c r="S33" i="329"/>
  <c r="S32" i="330" s="1"/>
  <c r="AL32" i="330" s="1"/>
  <c r="U31" i="329"/>
  <c r="Z31" i="329" s="1"/>
  <c r="Z30" i="330" s="1"/>
  <c r="AS30" i="330" s="1"/>
  <c r="S30" i="330"/>
  <c r="AL30" i="330" s="1"/>
  <c r="U50" i="330"/>
  <c r="AN50" i="330" s="1"/>
  <c r="Z51" i="329"/>
  <c r="Z50" i="330" s="1"/>
  <c r="AS50" i="330" s="1"/>
  <c r="Q33" i="330"/>
  <c r="AJ33" i="330" s="1"/>
  <c r="Q37" i="329"/>
  <c r="Q36" i="330" s="1"/>
  <c r="AJ36" i="330" s="1"/>
  <c r="H27" i="330"/>
  <c r="S28" i="329"/>
  <c r="S32" i="329"/>
  <c r="H31" i="330"/>
  <c r="S27" i="329"/>
  <c r="S26" i="330" s="1"/>
  <c r="AL26" i="330" s="1"/>
  <c r="H26" i="330"/>
  <c r="U49" i="330"/>
  <c r="AN49" i="330" s="1"/>
  <c r="Z50" i="329"/>
  <c r="Z49" i="330" s="1"/>
  <c r="AS49" i="330" s="1"/>
  <c r="U57" i="329"/>
  <c r="Q56" i="330"/>
  <c r="AJ56" i="330" s="1"/>
  <c r="Q54" i="329"/>
  <c r="Q53" i="330" s="1"/>
  <c r="AJ53" i="330" s="1"/>
  <c r="Q45" i="330"/>
  <c r="AJ45" i="330" s="1"/>
  <c r="U46" i="329"/>
  <c r="P46" i="329" s="1"/>
  <c r="P45" i="330" s="1"/>
  <c r="AI45" i="330" s="1"/>
  <c r="H13" i="330"/>
  <c r="H20" i="329"/>
  <c r="H19" i="330" s="1"/>
  <c r="T33" i="330"/>
  <c r="G45" i="330"/>
  <c r="R32" i="330"/>
  <c r="AK32" i="330" s="1"/>
  <c r="T49" i="330"/>
  <c r="G64" i="329"/>
  <c r="F20" i="329"/>
  <c r="H34" i="329"/>
  <c r="U31" i="328"/>
  <c r="U28" i="328"/>
  <c r="AA28" i="328" s="1"/>
  <c r="W28" i="328" s="1"/>
  <c r="AE28" i="328" s="1"/>
  <c r="U40" i="328"/>
  <c r="AA40" i="328" s="1"/>
  <c r="H30" i="330"/>
  <c r="H60" i="329"/>
  <c r="H59" i="330" s="1"/>
  <c r="Q64" i="329"/>
  <c r="G32" i="330"/>
  <c r="H46" i="329"/>
  <c r="T54" i="329"/>
  <c r="U32" i="328"/>
  <c r="U52" i="328"/>
  <c r="H21" i="328"/>
  <c r="S21" i="328" s="1"/>
  <c r="U21" i="328" s="1"/>
  <c r="S25" i="328"/>
  <c r="AA61" i="328"/>
  <c r="AA59" i="328"/>
  <c r="S14" i="328"/>
  <c r="S20" i="328" s="1"/>
  <c r="H20" i="328"/>
  <c r="AA62" i="328"/>
  <c r="W62" i="328" s="1"/>
  <c r="AE62" i="328" s="1"/>
  <c r="Q54" i="328"/>
  <c r="T64" i="328"/>
  <c r="AA51" i="328"/>
  <c r="U57" i="328"/>
  <c r="Z57" i="328" s="1"/>
  <c r="H34" i="328"/>
  <c r="S34" i="328" s="1"/>
  <c r="U33" i="328"/>
  <c r="AA33" i="328" s="1"/>
  <c r="W33" i="328" s="1"/>
  <c r="AE33" i="328" s="1"/>
  <c r="U44" i="328"/>
  <c r="AA44" i="328" s="1"/>
  <c r="W44" i="328" s="1"/>
  <c r="H62" i="169"/>
  <c r="Q70" i="142"/>
  <c r="AA50" i="328"/>
  <c r="R8" i="185"/>
  <c r="N11" i="185"/>
  <c r="L15" i="133"/>
  <c r="M9" i="133" s="1"/>
  <c r="M13" i="133" s="1"/>
  <c r="M15" i="133" s="1"/>
  <c r="O8" i="185"/>
  <c r="P8" i="185" s="1"/>
  <c r="C8" i="242"/>
  <c r="C13" i="242" s="1"/>
  <c r="C15" i="242" s="1"/>
  <c r="S14" i="329"/>
  <c r="D16" i="328"/>
  <c r="R16" i="328" s="1"/>
  <c r="E15" i="284"/>
  <c r="H15" i="284" s="1"/>
  <c r="H17" i="284" s="1"/>
  <c r="E25" i="10"/>
  <c r="F8" i="10" s="1"/>
  <c r="I9" i="10"/>
  <c r="R27" i="330"/>
  <c r="AK27" i="330" s="1"/>
  <c r="U35" i="330"/>
  <c r="AN35" i="330" s="1"/>
  <c r="U29" i="328"/>
  <c r="I15" i="10"/>
  <c r="C25" i="10"/>
  <c r="F108" i="212"/>
  <c r="D17" i="328"/>
  <c r="R17" i="328" s="1"/>
  <c r="X41" i="328"/>
  <c r="Y41" i="328" s="1"/>
  <c r="U41" i="328"/>
  <c r="D34" i="329"/>
  <c r="R34" i="329" s="1"/>
  <c r="AD34" i="329" s="1"/>
  <c r="AC34" i="329" s="1"/>
  <c r="E164" i="212"/>
  <c r="G10" i="10"/>
  <c r="D15" i="328"/>
  <c r="R15" i="328" s="1"/>
  <c r="G16" i="10"/>
  <c r="D34" i="328"/>
  <c r="R34" i="328" s="1"/>
  <c r="G9" i="10"/>
  <c r="D164" i="212"/>
  <c r="C80" i="212"/>
  <c r="C93" i="212"/>
  <c r="C82" i="212" s="1"/>
  <c r="F11" i="133"/>
  <c r="F15" i="133"/>
  <c r="R45" i="329"/>
  <c r="AD45" i="329" s="1"/>
  <c r="AC45" i="329" s="1"/>
  <c r="D171" i="212"/>
  <c r="H171" i="212" s="1"/>
  <c r="U46" i="328"/>
  <c r="Z46" i="328" s="1"/>
  <c r="U63" i="328"/>
  <c r="Z63" i="328" s="1"/>
  <c r="F5" i="286"/>
  <c r="G6" i="10"/>
  <c r="AD53" i="328"/>
  <c r="AC53" i="328" s="1"/>
  <c r="R26" i="330"/>
  <c r="AK26" i="330" s="1"/>
  <c r="G23" i="10"/>
  <c r="D13" i="328"/>
  <c r="U45" i="328"/>
  <c r="Z45" i="328" s="1"/>
  <c r="AA36" i="329"/>
  <c r="P36" i="329"/>
  <c r="P35" i="330" s="1"/>
  <c r="AI35" i="330" s="1"/>
  <c r="D35" i="329"/>
  <c r="R35" i="329" s="1"/>
  <c r="AD35" i="329" s="1"/>
  <c r="AC35" i="329" s="1"/>
  <c r="R30" i="330"/>
  <c r="AK30" i="330" s="1"/>
  <c r="I16" i="10"/>
  <c r="D173" i="212"/>
  <c r="H173" i="212" s="1"/>
  <c r="E173" i="212"/>
  <c r="D40" i="330"/>
  <c r="H15" i="133"/>
  <c r="I9" i="133" s="1"/>
  <c r="H24" i="133"/>
  <c r="G7" i="10"/>
  <c r="F11" i="242"/>
  <c r="D22" i="328"/>
  <c r="R22" i="328" s="1"/>
  <c r="H158" i="212"/>
  <c r="D23" i="329"/>
  <c r="R23" i="329" s="1"/>
  <c r="D366" i="212"/>
  <c r="F36" i="212"/>
  <c r="C28" i="212"/>
  <c r="E93" i="212"/>
  <c r="D82" i="212" s="1"/>
  <c r="E8" i="242"/>
  <c r="E13" i="242" s="1"/>
  <c r="E15" i="242" s="1"/>
  <c r="K25" i="82"/>
  <c r="E21" i="82" s="1"/>
  <c r="I27" i="82"/>
  <c r="I30" i="82" s="1"/>
  <c r="I31" i="82" s="1"/>
  <c r="D43" i="95"/>
  <c r="H43" i="95" s="1"/>
  <c r="D21" i="137"/>
  <c r="C12" i="350"/>
  <c r="D35" i="242"/>
  <c r="H54" i="328" l="1"/>
  <c r="P57" i="329"/>
  <c r="P56" i="330" s="1"/>
  <c r="AI56" i="330" s="1"/>
  <c r="B44" i="95"/>
  <c r="N19" i="95"/>
  <c r="M45" i="95"/>
  <c r="D22" i="95"/>
  <c r="G69" i="132" s="1"/>
  <c r="D48" i="138"/>
  <c r="D91" i="138" s="1"/>
  <c r="D96" i="138" s="1"/>
  <c r="D11" i="138" s="1"/>
  <c r="I44" i="10"/>
  <c r="I45" i="10" s="1"/>
  <c r="D22" i="10"/>
  <c r="D6" i="10"/>
  <c r="D44" i="95"/>
  <c r="R71" i="149"/>
  <c r="M43" i="95"/>
  <c r="K59" i="95"/>
  <c r="M42" i="95"/>
  <c r="K58" i="95"/>
  <c r="C178" i="149"/>
  <c r="I94" i="149" s="1"/>
  <c r="G178" i="149"/>
  <c r="F15" i="285"/>
  <c r="F12" i="284"/>
  <c r="F15" i="284" s="1"/>
  <c r="H167" i="149"/>
  <c r="U35" i="328"/>
  <c r="Z35" i="328" s="1"/>
  <c r="H10" i="95"/>
  <c r="N10" i="95" s="1"/>
  <c r="K27" i="82"/>
  <c r="O10" i="95"/>
  <c r="O22" i="95" s="1"/>
  <c r="I9" i="82"/>
  <c r="AD42" i="328"/>
  <c r="AC42" i="328" s="1"/>
  <c r="U23" i="328"/>
  <c r="AD34" i="328"/>
  <c r="AC34" i="328" s="1"/>
  <c r="G19" i="330"/>
  <c r="G65" i="328"/>
  <c r="L148" i="212"/>
  <c r="F25" i="284"/>
  <c r="F26" i="284" s="1"/>
  <c r="I10" i="161"/>
  <c r="D166" i="142"/>
  <c r="H25" i="330"/>
  <c r="AA60" i="328"/>
  <c r="W60" i="328" s="1"/>
  <c r="AE60" i="328" s="1"/>
  <c r="AA49" i="328"/>
  <c r="AA48" i="328"/>
  <c r="W48" i="328" s="1"/>
  <c r="AE48" i="328" s="1"/>
  <c r="U27" i="329"/>
  <c r="U26" i="330" s="1"/>
  <c r="AN26" i="330" s="1"/>
  <c r="Z46" i="329"/>
  <c r="Z45" i="330" s="1"/>
  <c r="AS45" i="330" s="1"/>
  <c r="Y41" i="329"/>
  <c r="Y40" i="330" s="1"/>
  <c r="AR40" i="330" s="1"/>
  <c r="Q65" i="328"/>
  <c r="T65" i="328"/>
  <c r="X22" i="329"/>
  <c r="X21" i="330" s="1"/>
  <c r="AQ21" i="330" s="1"/>
  <c r="D13" i="10"/>
  <c r="D24" i="329"/>
  <c r="D23" i="330" s="1"/>
  <c r="D21" i="330"/>
  <c r="AA36" i="328"/>
  <c r="W36" i="328" s="1"/>
  <c r="AE36" i="328" s="1"/>
  <c r="D24" i="328"/>
  <c r="R24" i="328" s="1"/>
  <c r="G20" i="137"/>
  <c r="G22" i="137" s="1"/>
  <c r="L17" i="149"/>
  <c r="L19" i="149" s="1"/>
  <c r="H36" i="19"/>
  <c r="F45" i="132"/>
  <c r="D42" i="95"/>
  <c r="G190" i="212"/>
  <c r="H161" i="149"/>
  <c r="H177" i="149"/>
  <c r="X23" i="328"/>
  <c r="Y23" i="328" s="1"/>
  <c r="F14" i="10"/>
  <c r="G193" i="212"/>
  <c r="U47" i="328"/>
  <c r="AA47" i="328" s="1"/>
  <c r="W47" i="328" s="1"/>
  <c r="AE47" i="328" s="1"/>
  <c r="Z31" i="328"/>
  <c r="AA31" i="328" s="1"/>
  <c r="W31" i="328" s="1"/>
  <c r="AE31" i="328" s="1"/>
  <c r="G5" i="358"/>
  <c r="G8" i="358" s="1"/>
  <c r="C8" i="358"/>
  <c r="H63" i="169"/>
  <c r="H65" i="169" s="1"/>
  <c r="AD39" i="328"/>
  <c r="P122" i="142"/>
  <c r="P123" i="142" s="1"/>
  <c r="H149" i="212"/>
  <c r="E28" i="17"/>
  <c r="F28" i="17" s="1"/>
  <c r="Z64" i="328"/>
  <c r="Z32" i="328"/>
  <c r="AA32" i="328" s="1"/>
  <c r="W32" i="328" s="1"/>
  <c r="AE32" i="328" s="1"/>
  <c r="R70" i="149"/>
  <c r="U17" i="328"/>
  <c r="Z29" i="328"/>
  <c r="U16" i="328"/>
  <c r="Z52" i="328"/>
  <c r="H37" i="328"/>
  <c r="H65" i="328" s="1"/>
  <c r="Z57" i="329"/>
  <c r="AA57" i="329" s="1"/>
  <c r="W57" i="329" s="1"/>
  <c r="P31" i="329"/>
  <c r="P30" i="330" s="1"/>
  <c r="AI30" i="330" s="1"/>
  <c r="U30" i="330"/>
  <c r="AN30" i="330" s="1"/>
  <c r="U26" i="329"/>
  <c r="P26" i="329" s="1"/>
  <c r="P25" i="330" s="1"/>
  <c r="AI25" i="330" s="1"/>
  <c r="U33" i="329"/>
  <c r="P33" i="329" s="1"/>
  <c r="P32" i="330" s="1"/>
  <c r="AI32" i="330" s="1"/>
  <c r="S37" i="328"/>
  <c r="S65" i="328" s="1"/>
  <c r="F11" i="10"/>
  <c r="E27" i="10"/>
  <c r="F27" i="10" s="1"/>
  <c r="F6" i="10"/>
  <c r="Q63" i="330"/>
  <c r="AJ63" i="330" s="1"/>
  <c r="Q65" i="329"/>
  <c r="Q64" i="330" s="1"/>
  <c r="AJ64" i="330" s="1"/>
  <c r="S31" i="330"/>
  <c r="AL31" i="330" s="1"/>
  <c r="U32" i="329"/>
  <c r="S34" i="329"/>
  <c r="S33" i="330" s="1"/>
  <c r="AL33" i="330" s="1"/>
  <c r="H33" i="330"/>
  <c r="U28" i="329"/>
  <c r="S27" i="330"/>
  <c r="AL27" i="330" s="1"/>
  <c r="T53" i="330"/>
  <c r="T65" i="329"/>
  <c r="T64" i="330" s="1"/>
  <c r="U60" i="329"/>
  <c r="P60" i="329" s="1"/>
  <c r="Q59" i="330"/>
  <c r="AJ59" i="330" s="1"/>
  <c r="U56" i="330"/>
  <c r="AN56" i="330" s="1"/>
  <c r="AA31" i="329"/>
  <c r="AA30" i="330" s="1"/>
  <c r="U45" i="330"/>
  <c r="AN45" i="330" s="1"/>
  <c r="H37" i="329"/>
  <c r="H36" i="330" s="1"/>
  <c r="F19" i="330"/>
  <c r="F37" i="329"/>
  <c r="H45" i="330"/>
  <c r="H54" i="329"/>
  <c r="H53" i="330" s="1"/>
  <c r="G63" i="330"/>
  <c r="G65" i="329"/>
  <c r="G64" i="330" s="1"/>
  <c r="AA51" i="329"/>
  <c r="AA50" i="330" s="1"/>
  <c r="H64" i="329"/>
  <c r="AA50" i="329"/>
  <c r="AA49" i="330" s="1"/>
  <c r="AE44" i="328"/>
  <c r="AA57" i="328"/>
  <c r="W57" i="328" s="1"/>
  <c r="AE57" i="328" s="1"/>
  <c r="D8" i="10"/>
  <c r="S13" i="330"/>
  <c r="AL13" i="330" s="1"/>
  <c r="S20" i="329"/>
  <c r="F9" i="10"/>
  <c r="F16" i="10"/>
  <c r="F17" i="10"/>
  <c r="F10" i="10"/>
  <c r="F7" i="10"/>
  <c r="F22" i="10"/>
  <c r="F19" i="10"/>
  <c r="F20" i="10"/>
  <c r="F21" i="10"/>
  <c r="F13" i="10"/>
  <c r="F12" i="10"/>
  <c r="F18" i="10"/>
  <c r="F15" i="10"/>
  <c r="F23" i="10"/>
  <c r="D16" i="10"/>
  <c r="AA41" i="328"/>
  <c r="W41" i="328" s="1"/>
  <c r="AE41" i="328" s="1"/>
  <c r="D21" i="10"/>
  <c r="D10" i="10"/>
  <c r="D18" i="10"/>
  <c r="R47" i="329"/>
  <c r="X54" i="328"/>
  <c r="Y54" i="328" s="1"/>
  <c r="D7" i="10"/>
  <c r="D14" i="10"/>
  <c r="D11" i="10"/>
  <c r="D12" i="10"/>
  <c r="D17" i="10"/>
  <c r="D23" i="10"/>
  <c r="D9" i="10"/>
  <c r="E158" i="212"/>
  <c r="I158" i="212" s="1"/>
  <c r="D20" i="10"/>
  <c r="D15" i="10"/>
  <c r="C27" i="10"/>
  <c r="D27" i="10" s="1"/>
  <c r="D19" i="10"/>
  <c r="D14" i="329"/>
  <c r="X34" i="329"/>
  <c r="D33" i="330"/>
  <c r="I173" i="212"/>
  <c r="D54" i="328"/>
  <c r="D69" i="328" s="1"/>
  <c r="I164" i="212"/>
  <c r="H164" i="212"/>
  <c r="R42" i="329"/>
  <c r="AD42" i="329" s="1"/>
  <c r="AC42" i="329" s="1"/>
  <c r="I10" i="10"/>
  <c r="X34" i="328"/>
  <c r="Y34" i="328" s="1"/>
  <c r="U39" i="328"/>
  <c r="E157" i="212"/>
  <c r="I6" i="10"/>
  <c r="D18" i="328"/>
  <c r="R18" i="328" s="1"/>
  <c r="U53" i="328"/>
  <c r="Z53" i="328" s="1"/>
  <c r="D157" i="212"/>
  <c r="R53" i="329"/>
  <c r="AD53" i="329" s="1"/>
  <c r="AC53" i="329" s="1"/>
  <c r="I23" i="10"/>
  <c r="E171" i="212"/>
  <c r="I171" i="212" s="1"/>
  <c r="I78" i="142"/>
  <c r="E82" i="132"/>
  <c r="D9" i="212"/>
  <c r="C83" i="83"/>
  <c r="D175" i="212"/>
  <c r="K188" i="212" s="1"/>
  <c r="H54" i="185"/>
  <c r="I17" i="133"/>
  <c r="AA45" i="328"/>
  <c r="W45" i="328" s="1"/>
  <c r="AE45" i="328" s="1"/>
  <c r="D13" i="329"/>
  <c r="D44" i="330"/>
  <c r="W36" i="329"/>
  <c r="AA35" i="330"/>
  <c r="AA46" i="328"/>
  <c r="W46" i="328" s="1"/>
  <c r="AE46" i="328" s="1"/>
  <c r="D34" i="330"/>
  <c r="U41" i="329"/>
  <c r="R40" i="330"/>
  <c r="AK40" i="330" s="1"/>
  <c r="R39" i="329"/>
  <c r="G5" i="286"/>
  <c r="U64" i="328"/>
  <c r="AA42" i="328"/>
  <c r="W42" i="328" s="1"/>
  <c r="R21" i="330"/>
  <c r="AK21" i="330" s="1"/>
  <c r="U22" i="329"/>
  <c r="I13" i="133"/>
  <c r="I15" i="133" s="1"/>
  <c r="X23" i="329"/>
  <c r="D22" i="330"/>
  <c r="X22" i="328"/>
  <c r="K25" i="10"/>
  <c r="L25" i="10" s="1"/>
  <c r="F90" i="212"/>
  <c r="G25" i="10"/>
  <c r="H7" i="10" s="1"/>
  <c r="D365" i="212"/>
  <c r="E12" i="225"/>
  <c r="C12" i="225" s="1"/>
  <c r="D368" i="212"/>
  <c r="C44" i="212"/>
  <c r="C54" i="212"/>
  <c r="O43" i="95"/>
  <c r="J17" i="82"/>
  <c r="E377" i="212"/>
  <c r="F377" i="212" s="1"/>
  <c r="D37" i="212"/>
  <c r="E37" i="212" s="1"/>
  <c r="I17" i="185"/>
  <c r="H17" i="185"/>
  <c r="Q17" i="185"/>
  <c r="C31" i="20"/>
  <c r="F21" i="137"/>
  <c r="H3" i="82" l="1"/>
  <c r="S54" i="319"/>
  <c r="D13" i="330"/>
  <c r="X14" i="329"/>
  <c r="F8" i="284"/>
  <c r="J16" i="82"/>
  <c r="H42" i="95"/>
  <c r="N42" i="95" s="1"/>
  <c r="O44" i="95"/>
  <c r="H44" i="95"/>
  <c r="J28" i="185"/>
  <c r="D46" i="242" s="1"/>
  <c r="D48" i="242" s="1"/>
  <c r="E69" i="132"/>
  <c r="F69" i="132" s="1"/>
  <c r="F77" i="132" s="1"/>
  <c r="G77" i="132"/>
  <c r="C29" i="136" s="1"/>
  <c r="D9" i="137" s="1"/>
  <c r="J18" i="82"/>
  <c r="J21" i="82" s="1"/>
  <c r="N43" i="95"/>
  <c r="O24" i="95"/>
  <c r="O25" i="95" s="1"/>
  <c r="H75" i="169"/>
  <c r="H76" i="169" s="1"/>
  <c r="H77" i="169" s="1"/>
  <c r="D15" i="138" s="1"/>
  <c r="M44" i="95"/>
  <c r="K60" i="95"/>
  <c r="Q89" i="149"/>
  <c r="I28" i="185"/>
  <c r="I30" i="185" s="1"/>
  <c r="B35" i="95"/>
  <c r="D35" i="95" s="1"/>
  <c r="O35" i="95" s="1"/>
  <c r="AE42" i="328"/>
  <c r="U24" i="328"/>
  <c r="I15" i="161"/>
  <c r="O16" i="161" s="1"/>
  <c r="C137" i="212"/>
  <c r="L149" i="212"/>
  <c r="Q122" i="142"/>
  <c r="P27" i="329"/>
  <c r="P26" i="330" s="1"/>
  <c r="AI26" i="330" s="1"/>
  <c r="AA27" i="329"/>
  <c r="W27" i="329" s="1"/>
  <c r="AA46" i="329"/>
  <c r="AA45" i="330" s="1"/>
  <c r="AU45" i="330" s="1"/>
  <c r="D25" i="329"/>
  <c r="D24" i="330" s="1"/>
  <c r="X24" i="329"/>
  <c r="X23" i="330" s="1"/>
  <c r="AQ23" i="330" s="1"/>
  <c r="W31" i="329"/>
  <c r="AE31" i="329" s="1"/>
  <c r="R24" i="329"/>
  <c r="R25" i="329" s="1"/>
  <c r="AD25" i="329" s="1"/>
  <c r="AA26" i="329"/>
  <c r="AA25" i="330" s="1"/>
  <c r="Y22" i="329"/>
  <c r="Y21" i="330" s="1"/>
  <c r="AR21" i="330" s="1"/>
  <c r="U25" i="330"/>
  <c r="AN25" i="330" s="1"/>
  <c r="D25" i="328"/>
  <c r="Z37" i="328"/>
  <c r="R25" i="328"/>
  <c r="AD25" i="328" s="1"/>
  <c r="X24" i="328"/>
  <c r="Y24" i="328" s="1"/>
  <c r="O42" i="95"/>
  <c r="E77" i="132"/>
  <c r="R21" i="149"/>
  <c r="G9" i="137"/>
  <c r="R54" i="328"/>
  <c r="C10" i="159"/>
  <c r="I9" i="137"/>
  <c r="Z54" i="328"/>
  <c r="Y14" i="329"/>
  <c r="Y13" i="330" s="1"/>
  <c r="AR13" i="330" s="1"/>
  <c r="R54" i="329"/>
  <c r="AD39" i="329"/>
  <c r="AD54" i="328"/>
  <c r="AC39" i="328"/>
  <c r="AA52" i="328"/>
  <c r="AA29" i="328"/>
  <c r="W29" i="328" s="1"/>
  <c r="AE29" i="328" s="1"/>
  <c r="J149" i="212"/>
  <c r="R14" i="328"/>
  <c r="R20" i="328" s="1"/>
  <c r="L123" i="142"/>
  <c r="AA56" i="330"/>
  <c r="AT56" i="330" s="1"/>
  <c r="Z56" i="330"/>
  <c r="AS56" i="330" s="1"/>
  <c r="AA33" i="329"/>
  <c r="AA32" i="330" s="1"/>
  <c r="U32" i="330"/>
  <c r="AN32" i="330" s="1"/>
  <c r="F65" i="329"/>
  <c r="F64" i="330" s="1"/>
  <c r="F36" i="330"/>
  <c r="Z60" i="329"/>
  <c r="AA60" i="329" s="1"/>
  <c r="W60" i="329" s="1"/>
  <c r="P59" i="330"/>
  <c r="AI59" i="330" s="1"/>
  <c r="U59" i="330"/>
  <c r="AN59" i="330" s="1"/>
  <c r="AA28" i="329"/>
  <c r="U27" i="330"/>
  <c r="AN27" i="330" s="1"/>
  <c r="P28" i="329"/>
  <c r="P27" i="330" s="1"/>
  <c r="AI27" i="330" s="1"/>
  <c r="AT50" i="330"/>
  <c r="AU50" i="330"/>
  <c r="AT49" i="330"/>
  <c r="AU49" i="330"/>
  <c r="D46" i="330"/>
  <c r="U64" i="329"/>
  <c r="P64" i="329" s="1"/>
  <c r="P32" i="329"/>
  <c r="P31" i="330" s="1"/>
  <c r="AI31" i="330" s="1"/>
  <c r="Z32" i="329"/>
  <c r="U31" i="330"/>
  <c r="AN31" i="330" s="1"/>
  <c r="H63" i="330"/>
  <c r="H65" i="329"/>
  <c r="H64" i="330" s="1"/>
  <c r="G11" i="19"/>
  <c r="D8" i="136"/>
  <c r="G12" i="138" s="1"/>
  <c r="H12" i="138" s="1"/>
  <c r="S19" i="330"/>
  <c r="AL19" i="330" s="1"/>
  <c r="S37" i="329"/>
  <c r="D25" i="10"/>
  <c r="F25" i="10"/>
  <c r="J9" i="133"/>
  <c r="D15" i="329"/>
  <c r="R15" i="329" s="1"/>
  <c r="D14" i="328"/>
  <c r="X14" i="328" s="1"/>
  <c r="D16" i="329"/>
  <c r="R16" i="329" s="1"/>
  <c r="D17" i="329"/>
  <c r="R17" i="329" s="1"/>
  <c r="Y34" i="329"/>
  <c r="Y33" i="330" s="1"/>
  <c r="AR33" i="330" s="1"/>
  <c r="X33" i="330"/>
  <c r="AQ33" i="330" s="1"/>
  <c r="R33" i="330"/>
  <c r="AK33" i="330" s="1"/>
  <c r="U34" i="329"/>
  <c r="U34" i="328"/>
  <c r="AA34" i="328" s="1"/>
  <c r="W34" i="328" s="1"/>
  <c r="D41" i="330"/>
  <c r="P41" i="329"/>
  <c r="P40" i="330" s="1"/>
  <c r="AI40" i="330" s="1"/>
  <c r="AA41" i="329"/>
  <c r="U40" i="330"/>
  <c r="AN40" i="330" s="1"/>
  <c r="D52" i="330"/>
  <c r="H157" i="212"/>
  <c r="D166" i="212"/>
  <c r="K187" i="212" s="1"/>
  <c r="K190" i="212" s="1"/>
  <c r="E166" i="212"/>
  <c r="L187" i="212" s="1"/>
  <c r="J157" i="212"/>
  <c r="I157" i="212"/>
  <c r="R34" i="330"/>
  <c r="AK34" i="330" s="1"/>
  <c r="U35" i="329"/>
  <c r="D12" i="330"/>
  <c r="P13" i="329"/>
  <c r="P12" i="330" s="1"/>
  <c r="AI12" i="330" s="1"/>
  <c r="W13" i="329"/>
  <c r="D103" i="212"/>
  <c r="G11" i="242"/>
  <c r="H175" i="212"/>
  <c r="D174" i="212"/>
  <c r="H174" i="212" s="1"/>
  <c r="E84" i="132"/>
  <c r="E6" i="132" s="1"/>
  <c r="F82" i="132"/>
  <c r="F84" i="132" s="1"/>
  <c r="J17" i="133"/>
  <c r="K17" i="133" s="1"/>
  <c r="D8" i="212"/>
  <c r="E8" i="212" s="1"/>
  <c r="D167" i="212"/>
  <c r="I54" i="185"/>
  <c r="J54" i="185" s="1"/>
  <c r="K70" i="319"/>
  <c r="K72" i="319" s="1"/>
  <c r="L72" i="319" s="1"/>
  <c r="E83" i="83"/>
  <c r="F83" i="83" s="1"/>
  <c r="J78" i="142"/>
  <c r="K78" i="142" s="1"/>
  <c r="I25" i="10"/>
  <c r="AA39" i="328"/>
  <c r="U54" i="328"/>
  <c r="H5" i="286"/>
  <c r="R46" i="330"/>
  <c r="AK46" i="330" s="1"/>
  <c r="U47" i="329"/>
  <c r="E9" i="212"/>
  <c r="D20" i="329"/>
  <c r="D19" i="330" s="1"/>
  <c r="AA63" i="328"/>
  <c r="D54" i="329"/>
  <c r="X39" i="329"/>
  <c r="D38" i="330"/>
  <c r="AU35" i="330"/>
  <c r="AT35" i="330"/>
  <c r="L54" i="185"/>
  <c r="C91" i="83"/>
  <c r="E83" i="17"/>
  <c r="M17" i="133"/>
  <c r="E175" i="212"/>
  <c r="L188" i="212" s="1"/>
  <c r="N78" i="142"/>
  <c r="E7" i="286"/>
  <c r="AT30" i="330"/>
  <c r="AU30" i="330"/>
  <c r="AE36" i="329"/>
  <c r="W35" i="330"/>
  <c r="AP35" i="330" s="1"/>
  <c r="R44" i="330"/>
  <c r="AK44" i="330" s="1"/>
  <c r="U45" i="329"/>
  <c r="W56" i="330"/>
  <c r="AP56" i="330" s="1"/>
  <c r="AE57" i="329"/>
  <c r="D18" i="329"/>
  <c r="R18" i="329" s="1"/>
  <c r="O78" i="142"/>
  <c r="P20" i="286"/>
  <c r="N20" i="286"/>
  <c r="L20" i="286"/>
  <c r="J20" i="286"/>
  <c r="H20" i="286"/>
  <c r="F20" i="286"/>
  <c r="E167" i="212"/>
  <c r="M54" i="185"/>
  <c r="E91" i="83"/>
  <c r="F91" i="83" s="1"/>
  <c r="P21" i="286"/>
  <c r="N21" i="286"/>
  <c r="L21" i="286"/>
  <c r="J21" i="286"/>
  <c r="H21" i="286"/>
  <c r="F21" i="286"/>
  <c r="O70" i="319"/>
  <c r="O72" i="319" s="1"/>
  <c r="N17" i="133"/>
  <c r="M20" i="286"/>
  <c r="I20" i="286"/>
  <c r="E20" i="286"/>
  <c r="K20" i="286"/>
  <c r="I21" i="286"/>
  <c r="O21" i="286"/>
  <c r="K21" i="286"/>
  <c r="G21" i="286"/>
  <c r="O20" i="286"/>
  <c r="G20" i="286"/>
  <c r="M21" i="286"/>
  <c r="E21" i="286"/>
  <c r="AA35" i="328"/>
  <c r="W35" i="328" s="1"/>
  <c r="AE35" i="328" s="1"/>
  <c r="U22" i="328"/>
  <c r="R22" i="330"/>
  <c r="AK22" i="330" s="1"/>
  <c r="U23" i="329"/>
  <c r="U22" i="330" s="1"/>
  <c r="AN22" i="330" s="1"/>
  <c r="F8" i="242"/>
  <c r="F13" i="242" s="1"/>
  <c r="F15" i="242" s="1"/>
  <c r="F91" i="212"/>
  <c r="F93" i="212" s="1"/>
  <c r="Y23" i="329"/>
  <c r="Y22" i="330" s="1"/>
  <c r="AR22" i="330" s="1"/>
  <c r="X22" i="330"/>
  <c r="AQ22" i="330" s="1"/>
  <c r="U21" i="330"/>
  <c r="AN21" i="330" s="1"/>
  <c r="H18" i="10"/>
  <c r="H22" i="10"/>
  <c r="G27" i="10"/>
  <c r="H27" i="10" s="1"/>
  <c r="H23" i="10"/>
  <c r="H16" i="10"/>
  <c r="H14" i="10"/>
  <c r="H10" i="10"/>
  <c r="H13" i="10"/>
  <c r="H19" i="10"/>
  <c r="H21" i="10"/>
  <c r="H15" i="10"/>
  <c r="H9" i="10"/>
  <c r="H11" i="10"/>
  <c r="H20" i="10"/>
  <c r="H17" i="10"/>
  <c r="H8" i="10"/>
  <c r="H6" i="10"/>
  <c r="H12" i="10"/>
  <c r="Y22" i="328"/>
  <c r="U15" i="328"/>
  <c r="C61" i="212"/>
  <c r="C46" i="212"/>
  <c r="C48" i="212" s="1"/>
  <c r="C56" i="212"/>
  <c r="C58" i="212" s="1"/>
  <c r="D370" i="212"/>
  <c r="E16" i="82"/>
  <c r="P69" i="328" l="1"/>
  <c r="J30" i="185"/>
  <c r="E379" i="212"/>
  <c r="F379" i="212" s="1"/>
  <c r="H28" i="185"/>
  <c r="H30" i="185" s="1"/>
  <c r="N44" i="95"/>
  <c r="H35" i="95"/>
  <c r="N35" i="95" s="1"/>
  <c r="J9" i="82"/>
  <c r="G180" i="149"/>
  <c r="H21" i="160"/>
  <c r="J6" i="10"/>
  <c r="C14" i="136"/>
  <c r="C9" i="350" s="1"/>
  <c r="E29" i="284"/>
  <c r="U25" i="328"/>
  <c r="R23" i="330"/>
  <c r="AK23" i="330" s="1"/>
  <c r="L190" i="212"/>
  <c r="W26" i="329"/>
  <c r="W25" i="330" s="1"/>
  <c r="AP25" i="330" s="1"/>
  <c r="W30" i="330"/>
  <c r="AP30" i="330" s="1"/>
  <c r="AA26" i="330"/>
  <c r="AU26" i="330" s="1"/>
  <c r="AT45" i="330"/>
  <c r="AV45" i="330" s="1"/>
  <c r="W46" i="329"/>
  <c r="AC25" i="329"/>
  <c r="X25" i="329"/>
  <c r="X24" i="330" s="1"/>
  <c r="AQ24" i="330" s="1"/>
  <c r="Y24" i="329"/>
  <c r="Y23" i="330" s="1"/>
  <c r="AR23" i="330" s="1"/>
  <c r="U24" i="329"/>
  <c r="U23" i="330" s="1"/>
  <c r="AN23" i="330" s="1"/>
  <c r="X25" i="328"/>
  <c r="Y25" i="328" s="1"/>
  <c r="AC25" i="328"/>
  <c r="Z65" i="328"/>
  <c r="X13" i="330"/>
  <c r="AQ13" i="330" s="1"/>
  <c r="X20" i="329"/>
  <c r="Y20" i="329" s="1"/>
  <c r="Y19" i="330" s="1"/>
  <c r="AR19" i="330" s="1"/>
  <c r="U18" i="328"/>
  <c r="K149" i="212"/>
  <c r="Q121" i="142"/>
  <c r="Q123" i="142" s="1"/>
  <c r="D165" i="142"/>
  <c r="D167" i="142" s="1"/>
  <c r="D169" i="142" s="1"/>
  <c r="R37" i="328"/>
  <c r="R65" i="328" s="1"/>
  <c r="AD20" i="328"/>
  <c r="J152" i="212"/>
  <c r="D280" i="212"/>
  <c r="AC54" i="328"/>
  <c r="W33" i="329"/>
  <c r="W32" i="330" s="1"/>
  <c r="AP32" i="330" s="1"/>
  <c r="L120" i="142"/>
  <c r="L121" i="142"/>
  <c r="L119" i="142"/>
  <c r="AD54" i="329"/>
  <c r="AC39" i="329"/>
  <c r="R14" i="329"/>
  <c r="AU56" i="330"/>
  <c r="AV56" i="330" s="1"/>
  <c r="F9" i="138"/>
  <c r="U63" i="330"/>
  <c r="AN63" i="330" s="1"/>
  <c r="D15" i="330"/>
  <c r="AE34" i="328"/>
  <c r="AV50" i="330"/>
  <c r="AT32" i="330"/>
  <c r="AU32" i="330"/>
  <c r="AA27" i="330"/>
  <c r="W28" i="329"/>
  <c r="AA59" i="330"/>
  <c r="AA64" i="329"/>
  <c r="W64" i="329" s="1"/>
  <c r="Z31" i="330"/>
  <c r="AS31" i="330" s="1"/>
  <c r="AA32" i="329"/>
  <c r="Z59" i="330"/>
  <c r="AS59" i="330" s="1"/>
  <c r="Z64" i="329"/>
  <c r="Z63" i="330" s="1"/>
  <c r="AS63" i="330" s="1"/>
  <c r="AV49" i="330"/>
  <c r="D11" i="19"/>
  <c r="E11" i="19"/>
  <c r="S65" i="329"/>
  <c r="S64" i="330" s="1"/>
  <c r="AL64" i="330" s="1"/>
  <c r="S36" i="330"/>
  <c r="AL36" i="330" s="1"/>
  <c r="D168" i="212"/>
  <c r="D20" i="328"/>
  <c r="D37" i="328" s="1"/>
  <c r="J23" i="10"/>
  <c r="AA53" i="328"/>
  <c r="W53" i="328" s="1"/>
  <c r="AE53" i="328" s="1"/>
  <c r="F19" i="286"/>
  <c r="N19" i="286"/>
  <c r="P78" i="142"/>
  <c r="E168" i="212"/>
  <c r="D16" i="330"/>
  <c r="D14" i="330"/>
  <c r="K19" i="286"/>
  <c r="O19" i="286"/>
  <c r="I19" i="286"/>
  <c r="L19" i="286"/>
  <c r="N54" i="185"/>
  <c r="M10" i="185" s="1"/>
  <c r="U33" i="330"/>
  <c r="AN33" i="330" s="1"/>
  <c r="P34" i="329"/>
  <c r="P33" i="330" s="1"/>
  <c r="AI33" i="330" s="1"/>
  <c r="AA34" i="329"/>
  <c r="R41" i="330"/>
  <c r="AK41" i="330" s="1"/>
  <c r="U42" i="329"/>
  <c r="M19" i="286"/>
  <c r="J13" i="133"/>
  <c r="J11" i="133" s="1"/>
  <c r="P72" i="319"/>
  <c r="E10" i="212"/>
  <c r="U39" i="329"/>
  <c r="R38" i="330"/>
  <c r="AK38" i="330" s="1"/>
  <c r="R53" i="330"/>
  <c r="AK53" i="330" s="1"/>
  <c r="W41" i="329"/>
  <c r="AA40" i="330"/>
  <c r="G90" i="212"/>
  <c r="K69" i="319"/>
  <c r="E66" i="212"/>
  <c r="E68" i="212" s="1"/>
  <c r="O17" i="133"/>
  <c r="N9" i="133"/>
  <c r="H90" i="212"/>
  <c r="O69" i="319"/>
  <c r="C73" i="212"/>
  <c r="C75" i="212" s="1"/>
  <c r="W63" i="328"/>
  <c r="AE63" i="328" s="1"/>
  <c r="AA64" i="328"/>
  <c r="W39" i="328"/>
  <c r="AE39" i="328" s="1"/>
  <c r="K32" i="133"/>
  <c r="K13" i="133"/>
  <c r="P35" i="329"/>
  <c r="P34" i="330" s="1"/>
  <c r="AI34" i="330" s="1"/>
  <c r="U34" i="330"/>
  <c r="AN34" i="330" s="1"/>
  <c r="Z35" i="329"/>
  <c r="AE27" i="329"/>
  <c r="W26" i="330"/>
  <c r="AP26" i="330" s="1"/>
  <c r="H19" i="286"/>
  <c r="P19" i="286"/>
  <c r="D17" i="330"/>
  <c r="P45" i="329"/>
  <c r="P44" i="330" s="1"/>
  <c r="AI44" i="330" s="1"/>
  <c r="Z45" i="329"/>
  <c r="AA45" i="329" s="1"/>
  <c r="U44" i="330"/>
  <c r="AN44" i="330" s="1"/>
  <c r="F7" i="286"/>
  <c r="E8" i="286"/>
  <c r="E9" i="286" s="1"/>
  <c r="E10" i="286" s="1"/>
  <c r="F83" i="17"/>
  <c r="F84" i="17" s="1"/>
  <c r="F8" i="17" s="1"/>
  <c r="F27" i="19" s="1"/>
  <c r="E84" i="17"/>
  <c r="E8" i="17" s="1"/>
  <c r="E27" i="19" s="1"/>
  <c r="AE13" i="329"/>
  <c r="W12" i="330"/>
  <c r="AP12" i="330" s="1"/>
  <c r="AU25" i="330"/>
  <c r="AT25" i="330"/>
  <c r="E103" i="212"/>
  <c r="E174" i="212"/>
  <c r="I174" i="212" s="1"/>
  <c r="I175" i="212"/>
  <c r="H11" i="242"/>
  <c r="D53" i="330"/>
  <c r="D68" i="330" s="1"/>
  <c r="D69" i="329"/>
  <c r="U46" i="330"/>
  <c r="AN46" i="330" s="1"/>
  <c r="AA47" i="329"/>
  <c r="P47" i="329"/>
  <c r="P46" i="330" s="1"/>
  <c r="AI46" i="330" s="1"/>
  <c r="G103" i="212"/>
  <c r="D98" i="212"/>
  <c r="D102" i="212"/>
  <c r="H166" i="212"/>
  <c r="G10" i="242"/>
  <c r="X54" i="329"/>
  <c r="Y39" i="329"/>
  <c r="Y38" i="330" s="1"/>
  <c r="AR38" i="330" s="1"/>
  <c r="X38" i="330"/>
  <c r="AQ38" i="330" s="1"/>
  <c r="I5" i="286"/>
  <c r="J10" i="10"/>
  <c r="J7" i="10"/>
  <c r="J17" i="10"/>
  <c r="J19" i="10"/>
  <c r="J14" i="10"/>
  <c r="J13" i="10"/>
  <c r="J18" i="10"/>
  <c r="I27" i="10"/>
  <c r="J27" i="10" s="1"/>
  <c r="J9" i="10"/>
  <c r="J11" i="10"/>
  <c r="J22" i="10"/>
  <c r="J21" i="10"/>
  <c r="J20" i="10"/>
  <c r="J12" i="10"/>
  <c r="J8" i="10"/>
  <c r="J15" i="10"/>
  <c r="J16" i="10"/>
  <c r="G10" i="185"/>
  <c r="I8" i="185"/>
  <c r="G8" i="185"/>
  <c r="I9" i="185"/>
  <c r="H9" i="185"/>
  <c r="H10" i="185"/>
  <c r="G9" i="185"/>
  <c r="I10" i="185"/>
  <c r="H8" i="185"/>
  <c r="G84" i="132"/>
  <c r="F6" i="132"/>
  <c r="E102" i="212"/>
  <c r="H10" i="242"/>
  <c r="I166" i="212"/>
  <c r="J166" i="212"/>
  <c r="U53" i="329"/>
  <c r="R52" i="330"/>
  <c r="AK52" i="330" s="1"/>
  <c r="E13" i="286"/>
  <c r="E12" i="286" s="1"/>
  <c r="D10" i="212"/>
  <c r="D37" i="329"/>
  <c r="D68" i="329" s="1"/>
  <c r="G19" i="286"/>
  <c r="E19" i="286"/>
  <c r="J19" i="286"/>
  <c r="AV30" i="330"/>
  <c r="AV35" i="330"/>
  <c r="R24" i="330"/>
  <c r="AK24" i="330" s="1"/>
  <c r="Y14" i="328"/>
  <c r="X20" i="328"/>
  <c r="H25" i="10"/>
  <c r="U14" i="328"/>
  <c r="R15" i="330"/>
  <c r="AK15" i="330" s="1"/>
  <c r="U16" i="329"/>
  <c r="U15" i="330" s="1"/>
  <c r="AN15" i="330" s="1"/>
  <c r="D382" i="212"/>
  <c r="T38" i="141"/>
  <c r="M38" i="141" s="1"/>
  <c r="G10" i="132"/>
  <c r="E10" i="132" s="1"/>
  <c r="F10" i="132" s="1"/>
  <c r="H10" i="132"/>
  <c r="J14" i="185"/>
  <c r="C7" i="367" s="1"/>
  <c r="C51" i="138"/>
  <c r="D65" i="328" l="1"/>
  <c r="P63" i="330"/>
  <c r="AI63" i="330" s="1"/>
  <c r="E22" i="82"/>
  <c r="E23" i="82" s="1"/>
  <c r="AA25" i="328"/>
  <c r="W25" i="328" s="1"/>
  <c r="AE25" i="328" s="1"/>
  <c r="K60" i="185"/>
  <c r="K40" i="185" s="1"/>
  <c r="G60" i="185"/>
  <c r="G40" i="185" s="1"/>
  <c r="D75" i="212"/>
  <c r="E76" i="83"/>
  <c r="E77" i="83" s="1"/>
  <c r="E102" i="83" s="1"/>
  <c r="E221" i="83" s="1"/>
  <c r="D76" i="83"/>
  <c r="D77" i="83" s="1"/>
  <c r="AE26" i="329"/>
  <c r="AT26" i="330"/>
  <c r="AV26" i="330" s="1"/>
  <c r="AE46" i="329"/>
  <c r="W45" i="330"/>
  <c r="AP45" i="330" s="1"/>
  <c r="Y25" i="329"/>
  <c r="Y24" i="330" s="1"/>
  <c r="AR24" i="330" s="1"/>
  <c r="X19" i="330"/>
  <c r="AQ19" i="330" s="1"/>
  <c r="X37" i="329"/>
  <c r="Y37" i="329" s="1"/>
  <c r="Y36" i="330" s="1"/>
  <c r="AR36" i="330" s="1"/>
  <c r="U25" i="329"/>
  <c r="U24" i="330" s="1"/>
  <c r="AN24" i="330" s="1"/>
  <c r="L9" i="185"/>
  <c r="M8" i="185"/>
  <c r="AE33" i="329"/>
  <c r="D172" i="142"/>
  <c r="E172" i="142" s="1"/>
  <c r="D174" i="142"/>
  <c r="D32" i="242"/>
  <c r="R20" i="329"/>
  <c r="AD14" i="329"/>
  <c r="AC14" i="329" s="1"/>
  <c r="AD37" i="328"/>
  <c r="AC20" i="328"/>
  <c r="AC54" i="329"/>
  <c r="C136" i="212"/>
  <c r="C138" i="212" s="1"/>
  <c r="C139" i="212" s="1"/>
  <c r="C38" i="141"/>
  <c r="K38" i="141"/>
  <c r="AV32" i="330"/>
  <c r="AA63" i="330"/>
  <c r="AU27" i="330"/>
  <c r="AT27" i="330"/>
  <c r="W27" i="330"/>
  <c r="AP27" i="330" s="1"/>
  <c r="AE28" i="329"/>
  <c r="AE60" i="329"/>
  <c r="W59" i="330"/>
  <c r="AP59" i="330" s="1"/>
  <c r="F11" i="19"/>
  <c r="AA31" i="330"/>
  <c r="W32" i="329"/>
  <c r="AU59" i="330"/>
  <c r="AT59" i="330"/>
  <c r="D68" i="328"/>
  <c r="D71" i="328" s="1"/>
  <c r="D65" i="329"/>
  <c r="D64" i="330" s="1"/>
  <c r="D36" i="330"/>
  <c r="D67" i="330" s="1"/>
  <c r="D70" i="330" s="1"/>
  <c r="M9" i="185"/>
  <c r="J15" i="133"/>
  <c r="K9" i="185"/>
  <c r="AA54" i="328"/>
  <c r="R16" i="330"/>
  <c r="AK16" i="330" s="1"/>
  <c r="U17" i="329"/>
  <c r="U16" i="330" s="1"/>
  <c r="AN16" i="330" s="1"/>
  <c r="U15" i="329"/>
  <c r="U14" i="330" s="1"/>
  <c r="AN14" i="330" s="1"/>
  <c r="R14" i="330"/>
  <c r="AK14" i="330" s="1"/>
  <c r="J25" i="10"/>
  <c r="K10" i="185"/>
  <c r="AA33" i="330"/>
  <c r="W34" i="329"/>
  <c r="P42" i="329"/>
  <c r="P41" i="330" s="1"/>
  <c r="AI41" i="330" s="1"/>
  <c r="U41" i="330"/>
  <c r="AN41" i="330" s="1"/>
  <c r="Z42" i="329"/>
  <c r="Z41" i="330" s="1"/>
  <c r="AS41" i="330" s="1"/>
  <c r="D71" i="329"/>
  <c r="AV25" i="330"/>
  <c r="K8" i="185"/>
  <c r="L8" i="185"/>
  <c r="L10" i="185"/>
  <c r="Y54" i="329"/>
  <c r="Y53" i="330" s="1"/>
  <c r="AR53" i="330" s="1"/>
  <c r="X53" i="330"/>
  <c r="AQ53" i="330" s="1"/>
  <c r="AT40" i="330"/>
  <c r="AU40" i="330"/>
  <c r="E105" i="212"/>
  <c r="H102" i="212"/>
  <c r="G102" i="212"/>
  <c r="G98" i="212" s="1"/>
  <c r="D105" i="212"/>
  <c r="G7" i="286"/>
  <c r="F8" i="286"/>
  <c r="F13" i="286"/>
  <c r="F12" i="286" s="1"/>
  <c r="W45" i="329"/>
  <c r="AA44" i="330"/>
  <c r="Z34" i="330"/>
  <c r="AS34" i="330" s="1"/>
  <c r="Z37" i="329"/>
  <c r="Z36" i="330" s="1"/>
  <c r="AS36" i="330" s="1"/>
  <c r="K24" i="133"/>
  <c r="K15" i="133"/>
  <c r="K11" i="133"/>
  <c r="H91" i="212"/>
  <c r="H8" i="242"/>
  <c r="H13" i="242" s="1"/>
  <c r="H15" i="242" s="1"/>
  <c r="O32" i="133"/>
  <c r="O15" i="133"/>
  <c r="O11" i="133"/>
  <c r="O13" i="133"/>
  <c r="O24" i="133" s="1"/>
  <c r="E6" i="197"/>
  <c r="G91" i="212"/>
  <c r="G8" i="242"/>
  <c r="G13" i="242" s="1"/>
  <c r="G15" i="242" s="1"/>
  <c r="G16" i="242" s="1"/>
  <c r="D97" i="212"/>
  <c r="D107" i="212" s="1"/>
  <c r="D108" i="212"/>
  <c r="N11" i="133"/>
  <c r="N13" i="133" s="1"/>
  <c r="N15" i="133" s="1"/>
  <c r="G11" i="185"/>
  <c r="G27" i="19"/>
  <c r="H11" i="185"/>
  <c r="AA35" i="329"/>
  <c r="Z53" i="329"/>
  <c r="Z52" i="330" s="1"/>
  <c r="AS52" i="330" s="1"/>
  <c r="P53" i="329"/>
  <c r="P52" i="330" s="1"/>
  <c r="AI52" i="330" s="1"/>
  <c r="U52" i="330"/>
  <c r="AN52" i="330" s="1"/>
  <c r="E98" i="212"/>
  <c r="H103" i="212"/>
  <c r="H32" i="133"/>
  <c r="I32" i="133"/>
  <c r="J32" i="133"/>
  <c r="D14" i="212"/>
  <c r="E14" i="212" s="1"/>
  <c r="D12" i="212"/>
  <c r="J5" i="286"/>
  <c r="W47" i="329"/>
  <c r="AA46" i="330"/>
  <c r="E15" i="286"/>
  <c r="E22" i="286" s="1"/>
  <c r="E23" i="286" s="1"/>
  <c r="Z44" i="330"/>
  <c r="AS44" i="330" s="1"/>
  <c r="R17" i="330"/>
  <c r="AK17" i="330" s="1"/>
  <c r="U18" i="329"/>
  <c r="U17" i="330" s="1"/>
  <c r="AN17" i="330" s="1"/>
  <c r="D24" i="212"/>
  <c r="D19" i="212" s="1"/>
  <c r="W64" i="328"/>
  <c r="F6" i="197"/>
  <c r="E69" i="212"/>
  <c r="AE41" i="329"/>
  <c r="W40" i="330"/>
  <c r="AP40" i="330" s="1"/>
  <c r="U54" i="329"/>
  <c r="U38" i="330"/>
  <c r="AN38" i="330" s="1"/>
  <c r="P39" i="329"/>
  <c r="P38" i="330" s="1"/>
  <c r="AI38" i="330" s="1"/>
  <c r="AA39" i="329"/>
  <c r="I11" i="185"/>
  <c r="U20" i="328"/>
  <c r="AA14" i="328"/>
  <c r="X37" i="328"/>
  <c r="Y20" i="328"/>
  <c r="F38" i="141"/>
  <c r="D34" i="212"/>
  <c r="E34" i="212" s="1"/>
  <c r="G38" i="141"/>
  <c r="I14" i="185"/>
  <c r="J38" i="141"/>
  <c r="L38" i="141"/>
  <c r="T46" i="141"/>
  <c r="H38" i="141"/>
  <c r="D38" i="141"/>
  <c r="T34" i="141"/>
  <c r="M34" i="141" s="1"/>
  <c r="H14" i="185"/>
  <c r="N38" i="141"/>
  <c r="I38" i="141"/>
  <c r="E38" i="141"/>
  <c r="I55" i="83" l="1"/>
  <c r="I56" i="83" s="1"/>
  <c r="E30" i="284"/>
  <c r="H16" i="242"/>
  <c r="B85" i="83"/>
  <c r="G11" i="132"/>
  <c r="J11" i="132" s="1"/>
  <c r="J15" i="185"/>
  <c r="D33" i="242" s="1"/>
  <c r="C15" i="136"/>
  <c r="E98" i="83" s="1"/>
  <c r="F85" i="83"/>
  <c r="C50" i="138"/>
  <c r="H11" i="132"/>
  <c r="D34" i="141"/>
  <c r="X36" i="330"/>
  <c r="AQ36" i="330" s="1"/>
  <c r="W54" i="328"/>
  <c r="AE54" i="328" s="1"/>
  <c r="H60" i="185"/>
  <c r="X65" i="329"/>
  <c r="X64" i="330" s="1"/>
  <c r="AQ64" i="330" s="1"/>
  <c r="AA25" i="329"/>
  <c r="W25" i="329" s="1"/>
  <c r="M11" i="185"/>
  <c r="P25" i="329"/>
  <c r="P24" i="330" s="1"/>
  <c r="AI24" i="330" s="1"/>
  <c r="H34" i="141"/>
  <c r="M123" i="142"/>
  <c r="AC37" i="328"/>
  <c r="AD65" i="328"/>
  <c r="AC65" i="328" s="1"/>
  <c r="N34" i="141"/>
  <c r="AD20" i="329"/>
  <c r="R37" i="329"/>
  <c r="R65" i="329" s="1"/>
  <c r="E174" i="142"/>
  <c r="D173" i="142"/>
  <c r="E173" i="142" s="1"/>
  <c r="AV59" i="330"/>
  <c r="H11" i="225"/>
  <c r="AE64" i="329"/>
  <c r="W63" i="330"/>
  <c r="AP63" i="330" s="1"/>
  <c r="AE32" i="329"/>
  <c r="W31" i="330"/>
  <c r="AP31" i="330" s="1"/>
  <c r="AU63" i="330"/>
  <c r="AT63" i="330"/>
  <c r="D23" i="212"/>
  <c r="AU31" i="330"/>
  <c r="AT31" i="330"/>
  <c r="AV27" i="330"/>
  <c r="K11" i="185"/>
  <c r="L11" i="185"/>
  <c r="U14" i="329"/>
  <c r="R13" i="330"/>
  <c r="AK13" i="330" s="1"/>
  <c r="AU33" i="330"/>
  <c r="AT33" i="330"/>
  <c r="AA42" i="329"/>
  <c r="E16" i="286"/>
  <c r="E17" i="286" s="1"/>
  <c r="H98" i="212"/>
  <c r="H108" i="212" s="1"/>
  <c r="W33" i="330"/>
  <c r="AP33" i="330" s="1"/>
  <c r="AE34" i="329"/>
  <c r="E97" i="212"/>
  <c r="E107" i="212" s="1"/>
  <c r="E108" i="212"/>
  <c r="W44" i="330"/>
  <c r="AP44" i="330" s="1"/>
  <c r="AE45" i="329"/>
  <c r="H7" i="286"/>
  <c r="G8" i="286"/>
  <c r="G13" i="286"/>
  <c r="G12" i="286" s="1"/>
  <c r="H105" i="212"/>
  <c r="H110" i="212" s="1"/>
  <c r="E110" i="212"/>
  <c r="AE64" i="328"/>
  <c r="G11" i="225"/>
  <c r="N32" i="133"/>
  <c r="M32" i="133"/>
  <c r="L32" i="133"/>
  <c r="AU44" i="330"/>
  <c r="AT44" i="330"/>
  <c r="W46" i="330"/>
  <c r="AP46" i="330" s="1"/>
  <c r="AE47" i="329"/>
  <c r="E364" i="212"/>
  <c r="E12" i="212"/>
  <c r="D13" i="212"/>
  <c r="E13" i="212" s="1"/>
  <c r="AA34" i="330"/>
  <c r="W35" i="329"/>
  <c r="G97" i="212"/>
  <c r="G107" i="212" s="1"/>
  <c r="G108" i="212"/>
  <c r="Z54" i="329"/>
  <c r="AA53" i="329"/>
  <c r="F9" i="286"/>
  <c r="F10" i="286" s="1"/>
  <c r="AV40" i="330"/>
  <c r="P54" i="329"/>
  <c r="P53" i="330" s="1"/>
  <c r="AI53" i="330" s="1"/>
  <c r="U53" i="330"/>
  <c r="AN53" i="330" s="1"/>
  <c r="E24" i="212"/>
  <c r="W39" i="329"/>
  <c r="AA38" i="330"/>
  <c r="AT46" i="330"/>
  <c r="AU46" i="330"/>
  <c r="K5" i="286"/>
  <c r="G93" i="212"/>
  <c r="E82" i="212" s="1"/>
  <c r="E80" i="212"/>
  <c r="F80" i="212"/>
  <c r="H93" i="212"/>
  <c r="F82" i="212" s="1"/>
  <c r="G105" i="212"/>
  <c r="G110" i="212" s="1"/>
  <c r="D110" i="212"/>
  <c r="Y37" i="328"/>
  <c r="X65" i="328"/>
  <c r="Y65" i="328" s="1"/>
  <c r="X1" i="328" s="1"/>
  <c r="AA20" i="328"/>
  <c r="U37" i="328"/>
  <c r="F34" i="141"/>
  <c r="J34" i="141"/>
  <c r="L34" i="141"/>
  <c r="K34" i="141"/>
  <c r="G34" i="141"/>
  <c r="C34" i="141"/>
  <c r="C44" i="141" s="1"/>
  <c r="O38" i="141"/>
  <c r="I34" i="141"/>
  <c r="E34" i="141"/>
  <c r="E99" i="83" l="1"/>
  <c r="U65" i="328"/>
  <c r="E85" i="83"/>
  <c r="E87" i="83" s="1"/>
  <c r="G10" i="225"/>
  <c r="I11" i="132"/>
  <c r="D33" i="212"/>
  <c r="E33" i="212" s="1"/>
  <c r="C85" i="83"/>
  <c r="C87" i="83" s="1"/>
  <c r="B87" i="83"/>
  <c r="D47" i="132" s="1"/>
  <c r="Q15" i="185"/>
  <c r="H40" i="185"/>
  <c r="Y65" i="329"/>
  <c r="AA24" i="330"/>
  <c r="AU24" i="330" s="1"/>
  <c r="R36" i="330"/>
  <c r="AK36" i="330" s="1"/>
  <c r="H97" i="212"/>
  <c r="H107" i="212" s="1"/>
  <c r="AD37" i="329"/>
  <c r="AC20" i="329"/>
  <c r="J51" i="17"/>
  <c r="M119" i="142"/>
  <c r="M121" i="142"/>
  <c r="M120" i="142"/>
  <c r="D18" i="212"/>
  <c r="E18" i="212" s="1"/>
  <c r="AV31" i="330"/>
  <c r="E23" i="212"/>
  <c r="AV63" i="330"/>
  <c r="R64" i="330"/>
  <c r="AK64" i="330" s="1"/>
  <c r="F15" i="286"/>
  <c r="P14" i="329"/>
  <c r="P13" i="330" s="1"/>
  <c r="AI13" i="330" s="1"/>
  <c r="AA14" i="329"/>
  <c r="U20" i="329"/>
  <c r="U13" i="330"/>
  <c r="AN13" i="330" s="1"/>
  <c r="R19" i="330"/>
  <c r="AK19" i="330" s="1"/>
  <c r="AA41" i="330"/>
  <c r="W42" i="329"/>
  <c r="AV33" i="330"/>
  <c r="AV44" i="330"/>
  <c r="AE39" i="329"/>
  <c r="W38" i="330"/>
  <c r="AP38" i="330" s="1"/>
  <c r="Z53" i="330"/>
  <c r="AS53" i="330" s="1"/>
  <c r="Z65" i="329"/>
  <c r="Z64" i="330" s="1"/>
  <c r="AS64" i="330" s="1"/>
  <c r="AE35" i="329"/>
  <c r="W34" i="330"/>
  <c r="AP34" i="330" s="1"/>
  <c r="F364" i="212"/>
  <c r="E371" i="212"/>
  <c r="F371" i="212" s="1"/>
  <c r="AU38" i="330"/>
  <c r="AT38" i="330"/>
  <c r="AA52" i="330"/>
  <c r="W53" i="329"/>
  <c r="D57" i="212"/>
  <c r="E57" i="212" s="1"/>
  <c r="E19" i="212"/>
  <c r="AT34" i="330"/>
  <c r="AU34" i="330"/>
  <c r="AV46" i="330"/>
  <c r="I7" i="286"/>
  <c r="H13" i="286"/>
  <c r="H12" i="286" s="1"/>
  <c r="H8" i="286"/>
  <c r="H9" i="286" s="1"/>
  <c r="H10" i="286" s="1"/>
  <c r="F83" i="212"/>
  <c r="E83" i="212"/>
  <c r="L5" i="286"/>
  <c r="AA54" i="329"/>
  <c r="G9" i="286"/>
  <c r="G10" i="286" s="1"/>
  <c r="AA37" i="328"/>
  <c r="W20" i="328"/>
  <c r="AE20" i="328" s="1"/>
  <c r="W24" i="330"/>
  <c r="AP24" i="330" s="1"/>
  <c r="AE25" i="329"/>
  <c r="O34" i="141"/>
  <c r="O44" i="141" s="1"/>
  <c r="C53" i="141" s="1"/>
  <c r="O53" i="141" s="1"/>
  <c r="D32" i="141"/>
  <c r="D44" i="141" s="1"/>
  <c r="E32" i="141" s="1"/>
  <c r="E44" i="141" s="1"/>
  <c r="F32" i="141" s="1"/>
  <c r="F44" i="141" s="1"/>
  <c r="G32" i="141" s="1"/>
  <c r="G44" i="141" s="1"/>
  <c r="H32" i="141" s="1"/>
  <c r="H44" i="141" s="1"/>
  <c r="I32" i="141" s="1"/>
  <c r="I44" i="141" s="1"/>
  <c r="J32" i="141" s="1"/>
  <c r="J44" i="141" s="1"/>
  <c r="K32" i="141" s="1"/>
  <c r="K44" i="141" s="1"/>
  <c r="L32" i="141" s="1"/>
  <c r="L44" i="141" s="1"/>
  <c r="M32" i="141" s="1"/>
  <c r="M44" i="141" s="1"/>
  <c r="N32" i="141" s="1"/>
  <c r="N44" i="141" s="1"/>
  <c r="Y64" i="330" l="1"/>
  <c r="AR64" i="330" s="1"/>
  <c r="T1" i="329"/>
  <c r="L60" i="185"/>
  <c r="E40" i="132"/>
  <c r="I60" i="185"/>
  <c r="I40" i="185" s="1"/>
  <c r="F11" i="132"/>
  <c r="F52" i="132"/>
  <c r="F15" i="132"/>
  <c r="F47" i="132"/>
  <c r="I15" i="185"/>
  <c r="F36" i="132"/>
  <c r="F40" i="132"/>
  <c r="E47" i="132"/>
  <c r="E36" i="132"/>
  <c r="E52" i="132"/>
  <c r="H15" i="185"/>
  <c r="E11" i="132"/>
  <c r="F87" i="83"/>
  <c r="G15" i="185"/>
  <c r="E15" i="132"/>
  <c r="D52" i="132"/>
  <c r="D40" i="132"/>
  <c r="D36" i="132"/>
  <c r="D15" i="132"/>
  <c r="D11" i="132"/>
  <c r="AT24" i="330"/>
  <c r="AV24" i="330" s="1"/>
  <c r="L40" i="185"/>
  <c r="AC37" i="329"/>
  <c r="AD65" i="329"/>
  <c r="AC65" i="329" s="1"/>
  <c r="F22" i="286"/>
  <c r="F23" i="286" s="1"/>
  <c r="F16" i="286"/>
  <c r="F17" i="286" s="1"/>
  <c r="W14" i="329"/>
  <c r="AA13" i="330"/>
  <c r="U37" i="329"/>
  <c r="P20" i="329"/>
  <c r="P19" i="330" s="1"/>
  <c r="AI19" i="330" s="1"/>
  <c r="AA20" i="329"/>
  <c r="U19" i="330"/>
  <c r="AN19" i="330" s="1"/>
  <c r="AT41" i="330"/>
  <c r="AU41" i="330"/>
  <c r="AE42" i="329"/>
  <c r="W41" i="330"/>
  <c r="AP41" i="330" s="1"/>
  <c r="AV38" i="330"/>
  <c r="AV34" i="330"/>
  <c r="H15" i="286"/>
  <c r="H22" i="286" s="1"/>
  <c r="H23" i="286" s="1"/>
  <c r="G15" i="286"/>
  <c r="M5" i="286"/>
  <c r="J7" i="286"/>
  <c r="I13" i="286"/>
  <c r="I12" i="286" s="1"/>
  <c r="I8" i="286"/>
  <c r="AU52" i="330"/>
  <c r="AT52" i="330"/>
  <c r="AA53" i="330"/>
  <c r="W54" i="329"/>
  <c r="AE53" i="329"/>
  <c r="W52" i="330"/>
  <c r="AP52" i="330" s="1"/>
  <c r="W37" i="328"/>
  <c r="D22" i="212"/>
  <c r="D17" i="212" s="1"/>
  <c r="AA65" i="328"/>
  <c r="P44" i="141"/>
  <c r="C19" i="20" s="1"/>
  <c r="G28" i="137" l="1"/>
  <c r="G38" i="132"/>
  <c r="J60" i="185"/>
  <c r="H16" i="286"/>
  <c r="H17" i="286" s="1"/>
  <c r="U65" i="329"/>
  <c r="P37" i="329"/>
  <c r="U36" i="330"/>
  <c r="AN36" i="330" s="1"/>
  <c r="AA37" i="329"/>
  <c r="AA19" i="330"/>
  <c r="W20" i="329"/>
  <c r="AE14" i="329"/>
  <c r="W13" i="330"/>
  <c r="AP13" i="330" s="1"/>
  <c r="AU13" i="330"/>
  <c r="AT13" i="330"/>
  <c r="AV41" i="330"/>
  <c r="AV52" i="330"/>
  <c r="AT53" i="330"/>
  <c r="AU53" i="330"/>
  <c r="N5" i="286"/>
  <c r="AE54" i="329"/>
  <c r="W53" i="330"/>
  <c r="AP53" i="330" s="1"/>
  <c r="H10" i="225"/>
  <c r="K7" i="286"/>
  <c r="J13" i="286"/>
  <c r="J12" i="286" s="1"/>
  <c r="J8" i="286"/>
  <c r="J9" i="286" s="1"/>
  <c r="J10" i="286" s="1"/>
  <c r="G22" i="286"/>
  <c r="G23" i="286" s="1"/>
  <c r="G16" i="286"/>
  <c r="G17" i="286" s="1"/>
  <c r="I9" i="286"/>
  <c r="I10" i="286" s="1"/>
  <c r="J40" i="185"/>
  <c r="W65" i="328"/>
  <c r="G9" i="225"/>
  <c r="AE37" i="328"/>
  <c r="E22" i="212"/>
  <c r="E25" i="212" s="1"/>
  <c r="D25" i="212"/>
  <c r="D20" i="212" s="1"/>
  <c r="E17" i="212"/>
  <c r="P65" i="329" l="1"/>
  <c r="N40" i="185"/>
  <c r="D58" i="242"/>
  <c r="C7" i="136"/>
  <c r="C10" i="138" s="1"/>
  <c r="P36" i="330"/>
  <c r="AI36" i="330" s="1"/>
  <c r="E5" i="285"/>
  <c r="M60" i="185"/>
  <c r="M40" i="185" s="1"/>
  <c r="D61" i="242"/>
  <c r="D64" i="242" s="1"/>
  <c r="AV13" i="330"/>
  <c r="AV53" i="330"/>
  <c r="W37" i="329"/>
  <c r="AA65" i="329"/>
  <c r="AA36" i="330"/>
  <c r="AU19" i="330"/>
  <c r="AT19" i="330"/>
  <c r="U64" i="330"/>
  <c r="AN64" i="330" s="1"/>
  <c r="P64" i="330"/>
  <c r="AI64" i="330" s="1"/>
  <c r="AE20" i="329"/>
  <c r="W19" i="330"/>
  <c r="AP19" i="330" s="1"/>
  <c r="J15" i="286"/>
  <c r="J22" i="286" s="1"/>
  <c r="J23" i="286" s="1"/>
  <c r="L7" i="286"/>
  <c r="K13" i="286"/>
  <c r="K12" i="286" s="1"/>
  <c r="K8" i="286"/>
  <c r="I15" i="286"/>
  <c r="O5" i="286"/>
  <c r="E20" i="212"/>
  <c r="D34" i="242"/>
  <c r="F38" i="132"/>
  <c r="G13" i="136"/>
  <c r="G16" i="136" s="1"/>
  <c r="E365" i="212"/>
  <c r="F365" i="212" s="1"/>
  <c r="E7" i="136"/>
  <c r="E10" i="138"/>
  <c r="E366" i="212"/>
  <c r="F366" i="212" s="1"/>
  <c r="Q40" i="185"/>
  <c r="AE65" i="328"/>
  <c r="G12" i="225"/>
  <c r="L27" i="82"/>
  <c r="P27" i="82" s="1"/>
  <c r="N60" i="185" l="1"/>
  <c r="D17" i="136"/>
  <c r="G40" i="17"/>
  <c r="AV19" i="330"/>
  <c r="D7" i="136"/>
  <c r="W65" i="329"/>
  <c r="AA64" i="330"/>
  <c r="AU36" i="330"/>
  <c r="AT36" i="330"/>
  <c r="W36" i="330"/>
  <c r="AP36" i="330" s="1"/>
  <c r="AE37" i="329"/>
  <c r="H9" i="225"/>
  <c r="P5" i="286"/>
  <c r="I22" i="286"/>
  <c r="I23" i="286" s="1"/>
  <c r="I16" i="286"/>
  <c r="I17" i="286" s="1"/>
  <c r="M7" i="286"/>
  <c r="L13" i="286"/>
  <c r="L12" i="286" s="1"/>
  <c r="L8" i="286"/>
  <c r="L9" i="286" s="1"/>
  <c r="L10" i="286" s="1"/>
  <c r="K9" i="286"/>
  <c r="K10" i="286" s="1"/>
  <c r="J16" i="286"/>
  <c r="J17" i="286" s="1"/>
  <c r="I16" i="185"/>
  <c r="E367" i="212"/>
  <c r="Q16" i="185"/>
  <c r="D36" i="212"/>
  <c r="F10" i="138"/>
  <c r="E7" i="284"/>
  <c r="E18" i="285"/>
  <c r="F16" i="82"/>
  <c r="D10" i="138" l="1"/>
  <c r="F5" i="285" s="1"/>
  <c r="E58" i="242"/>
  <c r="E61" i="242" s="1"/>
  <c r="E64" i="242" s="1"/>
  <c r="AV36" i="330"/>
  <c r="R40" i="185"/>
  <c r="O40" i="185"/>
  <c r="P40" i="185" s="1"/>
  <c r="H9" i="19"/>
  <c r="I9" i="19" s="1"/>
  <c r="C126" i="212"/>
  <c r="D126" i="212" s="1"/>
  <c r="AT64" i="330"/>
  <c r="AU64" i="330"/>
  <c r="D10" i="136"/>
  <c r="G10" i="138"/>
  <c r="F5" i="136"/>
  <c r="F7" i="136"/>
  <c r="H13" i="136"/>
  <c r="H16" i="136" s="1"/>
  <c r="F40" i="17"/>
  <c r="F46" i="19" s="1"/>
  <c r="G46" i="19" s="1"/>
  <c r="W64" i="330"/>
  <c r="AP64" i="330" s="1"/>
  <c r="AE65" i="329"/>
  <c r="H12" i="225"/>
  <c r="L15" i="286"/>
  <c r="L22" i="286" s="1"/>
  <c r="L23" i="286" s="1"/>
  <c r="N7" i="286"/>
  <c r="M13" i="286"/>
  <c r="M12" i="286" s="1"/>
  <c r="M8" i="286"/>
  <c r="K15" i="286"/>
  <c r="E36" i="212"/>
  <c r="G36" i="212"/>
  <c r="H36" i="212" s="1"/>
  <c r="E368" i="212"/>
  <c r="F367" i="212"/>
  <c r="F76" i="83"/>
  <c r="F77" i="83" s="1"/>
  <c r="D51" i="138"/>
  <c r="D14" i="136"/>
  <c r="F11" i="285" s="1"/>
  <c r="N14" i="185"/>
  <c r="D7" i="367" s="1"/>
  <c r="G12" i="17"/>
  <c r="U38" i="141"/>
  <c r="F21" i="82"/>
  <c r="G77" i="83" l="1"/>
  <c r="C12" i="358"/>
  <c r="G12" i="358" s="1"/>
  <c r="E32" i="242"/>
  <c r="E34" i="242"/>
  <c r="C13" i="358"/>
  <c r="AV64" i="330"/>
  <c r="C129" i="212" s="1"/>
  <c r="L16" i="286"/>
  <c r="L17" i="286" s="1"/>
  <c r="H10" i="138"/>
  <c r="M16" i="185"/>
  <c r="P16" i="185"/>
  <c r="R16" i="185"/>
  <c r="O16" i="185"/>
  <c r="F7" i="284"/>
  <c r="F10" i="284" s="1"/>
  <c r="K22" i="286"/>
  <c r="K23" i="286" s="1"/>
  <c r="K16" i="286"/>
  <c r="K17" i="286" s="1"/>
  <c r="O7" i="286"/>
  <c r="N13" i="286"/>
  <c r="N12" i="286" s="1"/>
  <c r="N8" i="286"/>
  <c r="N9" i="286" s="1"/>
  <c r="N10" i="286" s="1"/>
  <c r="M9" i="286"/>
  <c r="M10" i="286" s="1"/>
  <c r="F368" i="212"/>
  <c r="D50" i="138"/>
  <c r="F93" i="83"/>
  <c r="G13" i="17"/>
  <c r="D15" i="136"/>
  <c r="J55" i="83"/>
  <c r="J56" i="83" s="1"/>
  <c r="B93" i="83"/>
  <c r="N15" i="185"/>
  <c r="E12" i="17"/>
  <c r="F12" i="17" s="1"/>
  <c r="L12" i="17"/>
  <c r="C59" i="141"/>
  <c r="D59" i="141"/>
  <c r="E59" i="141"/>
  <c r="F59" i="141"/>
  <c r="G59" i="141"/>
  <c r="H59" i="141"/>
  <c r="I59" i="141"/>
  <c r="J59" i="141"/>
  <c r="K59" i="141"/>
  <c r="L59" i="141"/>
  <c r="M59" i="141"/>
  <c r="N59" i="141"/>
  <c r="F22" i="82"/>
  <c r="F29" i="284"/>
  <c r="L14" i="185"/>
  <c r="O14" i="185"/>
  <c r="P14" i="185"/>
  <c r="R14" i="185"/>
  <c r="M14" i="185"/>
  <c r="E33" i="242" l="1"/>
  <c r="H5" i="17"/>
  <c r="F23" i="82"/>
  <c r="G19" i="82"/>
  <c r="G21" i="82" s="1"/>
  <c r="B95" i="83"/>
  <c r="D42" i="17" s="1"/>
  <c r="D48" i="19" s="1"/>
  <c r="N46" i="185"/>
  <c r="D129" i="212"/>
  <c r="F12" i="358"/>
  <c r="G13" i="358"/>
  <c r="F13" i="358"/>
  <c r="C11" i="358"/>
  <c r="P7" i="286"/>
  <c r="O13" i="286"/>
  <c r="O12" i="286" s="1"/>
  <c r="O8" i="286"/>
  <c r="O9" i="286" s="1"/>
  <c r="O10" i="286" s="1"/>
  <c r="N15" i="286"/>
  <c r="N22" i="286" s="1"/>
  <c r="N23" i="286" s="1"/>
  <c r="M15" i="286"/>
  <c r="F31" i="19"/>
  <c r="O59" i="141"/>
  <c r="E31" i="19"/>
  <c r="C93" i="83"/>
  <c r="C95" i="83" s="1"/>
  <c r="E93" i="83"/>
  <c r="E95" i="83" s="1"/>
  <c r="R15" i="185"/>
  <c r="P15" i="185"/>
  <c r="O15" i="185"/>
  <c r="L13" i="17"/>
  <c r="F30" i="284"/>
  <c r="F98" i="83"/>
  <c r="F99" i="83" l="1"/>
  <c r="F102" i="83"/>
  <c r="F13" i="17"/>
  <c r="F32" i="19" s="1"/>
  <c r="E13" i="17"/>
  <c r="E32" i="19" s="1"/>
  <c r="D38" i="17"/>
  <c r="D44" i="19" s="1"/>
  <c r="D49" i="17"/>
  <c r="D54" i="19" s="1"/>
  <c r="D15" i="17"/>
  <c r="D34" i="19" s="1"/>
  <c r="D13" i="17"/>
  <c r="D32" i="19" s="1"/>
  <c r="D53" i="17"/>
  <c r="D58" i="19" s="1"/>
  <c r="K15" i="185"/>
  <c r="G11" i="358"/>
  <c r="F11" i="358"/>
  <c r="P13" i="286"/>
  <c r="P12" i="286" s="1"/>
  <c r="P8" i="286"/>
  <c r="P9" i="286" s="1"/>
  <c r="P10" i="286" s="1"/>
  <c r="M22" i="286"/>
  <c r="M23" i="286" s="1"/>
  <c r="M16" i="286"/>
  <c r="M17" i="286" s="1"/>
  <c r="O15" i="286"/>
  <c r="O22" i="286" s="1"/>
  <c r="O23" i="286" s="1"/>
  <c r="N16" i="286"/>
  <c r="N17" i="286" s="1"/>
  <c r="G31" i="19"/>
  <c r="E38" i="17"/>
  <c r="E44" i="19" s="1"/>
  <c r="E49" i="17"/>
  <c r="E54" i="19" s="1"/>
  <c r="E53" i="17"/>
  <c r="E58" i="19" s="1"/>
  <c r="E15" i="17"/>
  <c r="E34" i="19" s="1"/>
  <c r="E42" i="17"/>
  <c r="E48" i="19" s="1"/>
  <c r="F38" i="17"/>
  <c r="F44" i="19" s="1"/>
  <c r="F49" i="17"/>
  <c r="F54" i="19" s="1"/>
  <c r="F53" i="17"/>
  <c r="F58" i="19" s="1"/>
  <c r="F42" i="17"/>
  <c r="F48" i="19" s="1"/>
  <c r="F15" i="17"/>
  <c r="F34" i="19" s="1"/>
  <c r="F95" i="83"/>
  <c r="L15" i="185"/>
  <c r="M15" i="185"/>
  <c r="G32" i="19" l="1"/>
  <c r="G34" i="19"/>
  <c r="P15" i="286"/>
  <c r="P22" i="286" s="1"/>
  <c r="P23" i="286" s="1"/>
  <c r="O16" i="286"/>
  <c r="O17" i="286" s="1"/>
  <c r="G58" i="19"/>
  <c r="G54" i="19"/>
  <c r="G44" i="19"/>
  <c r="G48" i="19"/>
  <c r="P16" i="286" l="1"/>
  <c r="P17" i="286" s="1"/>
  <c r="H168" i="149" l="1"/>
  <c r="H171" i="149"/>
  <c r="H178" i="149" l="1"/>
  <c r="Q17" i="149"/>
  <c r="I22" i="161"/>
  <c r="J20" i="137"/>
  <c r="Q19" i="149" l="1"/>
  <c r="F51" i="95" s="1"/>
  <c r="I27" i="161"/>
  <c r="O27" i="161" s="1"/>
  <c r="H180" i="149" l="1"/>
  <c r="H36" i="160"/>
  <c r="F53" i="95"/>
  <c r="D21" i="142"/>
  <c r="D24" i="142" s="1"/>
  <c r="E21" i="142"/>
  <c r="E24" i="142" s="1"/>
  <c r="F21" i="142"/>
  <c r="F24" i="142" s="1"/>
  <c r="C21" i="142"/>
  <c r="C24" i="142" s="1"/>
  <c r="G24" i="142"/>
  <c r="H23" i="144" l="1"/>
  <c r="H28" i="144" s="1"/>
  <c r="D5" i="284" l="1"/>
  <c r="E5" i="284" s="1"/>
  <c r="C36" i="284"/>
  <c r="D34" i="284" l="1"/>
  <c r="F3508" i="357" l="1"/>
  <c r="B19" i="136" l="1"/>
  <c r="E3508" i="357"/>
  <c r="B8" i="136"/>
  <c r="F34" i="185" s="1"/>
  <c r="F27" i="310" l="1"/>
  <c r="F20" i="185"/>
  <c r="B21" i="136"/>
  <c r="E3509" i="357"/>
  <c r="E3513" i="357"/>
  <c r="F15" i="310"/>
  <c r="B10" i="136"/>
  <c r="C38" i="242" l="1"/>
  <c r="F40" i="242" s="1"/>
  <c r="D20" i="185"/>
  <c r="C348" i="212"/>
  <c r="E20" i="185"/>
  <c r="E34" i="185"/>
  <c r="C52" i="242"/>
  <c r="D34" i="185"/>
  <c r="C34" i="185"/>
  <c r="C354" i="212"/>
  <c r="G49" i="83" l="1"/>
  <c r="G59" i="83" s="1"/>
  <c r="G61" i="83" s="1"/>
  <c r="G50" i="83" l="1"/>
  <c r="C16" i="137" l="1"/>
  <c r="D16" i="137" s="1"/>
  <c r="E16" i="137" s="1"/>
  <c r="C11" i="20" l="1"/>
  <c r="F16" i="137"/>
  <c r="H216" i="142" l="1"/>
  <c r="I216" i="142" s="1"/>
  <c r="H240" i="142"/>
  <c r="F240" i="142"/>
  <c r="G240" i="142" s="1"/>
  <c r="C269" i="142" s="1"/>
  <c r="H261" i="142"/>
  <c r="I261" i="142" s="1"/>
  <c r="G261" i="142"/>
  <c r="C270" i="142" s="1"/>
  <c r="E240" i="142"/>
  <c r="I263" i="142" l="1"/>
  <c r="G263" i="142"/>
  <c r="F269" i="142"/>
  <c r="F271" i="142" s="1"/>
  <c r="E263" i="142"/>
  <c r="H263" i="142"/>
  <c r="C271" i="142"/>
  <c r="F241" i="142"/>
  <c r="G19" i="142" l="1"/>
  <c r="I264" i="142"/>
  <c r="H264" i="142"/>
  <c r="C12" i="142" l="1"/>
  <c r="C276" i="212"/>
  <c r="C282" i="212" s="1"/>
  <c r="C286" i="212" s="1"/>
  <c r="C288" i="212" s="1"/>
  <c r="D12" i="142"/>
  <c r="F13" i="142"/>
  <c r="C13" i="142"/>
  <c r="D13" i="142"/>
  <c r="E13" i="142"/>
  <c r="E12" i="142"/>
  <c r="F12" i="142"/>
  <c r="C273" i="142"/>
  <c r="D267" i="142" s="1"/>
  <c r="G264" i="142"/>
  <c r="Q13" i="142"/>
  <c r="F18" i="284" s="1"/>
  <c r="D19" i="142" l="1"/>
  <c r="D39" i="142" s="1"/>
  <c r="C88" i="142"/>
  <c r="D88" i="142"/>
  <c r="D91" i="142" s="1"/>
  <c r="D92" i="142" s="1"/>
  <c r="C19" i="142"/>
  <c r="C39" i="142" s="1"/>
  <c r="E19" i="142"/>
  <c r="E39" i="142" s="1"/>
  <c r="F19" i="142"/>
  <c r="F39" i="142" s="1"/>
  <c r="P138" i="142"/>
  <c r="P148" i="142" s="1"/>
  <c r="O138" i="142"/>
  <c r="O148" i="142" s="1"/>
  <c r="Q138" i="142"/>
  <c r="Q148" i="142" s="1"/>
  <c r="N138" i="142"/>
  <c r="N148" i="142" s="1"/>
  <c r="C73" i="142"/>
  <c r="D73" i="142"/>
  <c r="P143" i="142"/>
  <c r="Q143" i="142"/>
  <c r="N143" i="142"/>
  <c r="F73" i="142"/>
  <c r="O143" i="142"/>
  <c r="G39" i="142"/>
  <c r="D269" i="142"/>
  <c r="H269" i="142" s="1"/>
  <c r="G269" i="142" s="1"/>
  <c r="E73" i="142"/>
  <c r="D268" i="142"/>
  <c r="E268" i="142" s="1"/>
  <c r="D270" i="142"/>
  <c r="H270" i="142" s="1"/>
  <c r="G270" i="142" s="1"/>
  <c r="D271" i="142"/>
  <c r="D273" i="142" s="1"/>
  <c r="E267" i="142"/>
  <c r="H267" i="142"/>
  <c r="G267" i="142" s="1"/>
  <c r="E88" i="142" l="1"/>
  <c r="D89" i="142" s="1"/>
  <c r="K98" i="142"/>
  <c r="K100" i="142" s="1"/>
  <c r="C91" i="142"/>
  <c r="C92" i="142" s="1"/>
  <c r="P139" i="142"/>
  <c r="P142" i="142" s="1"/>
  <c r="C40" i="142"/>
  <c r="C41" i="142" s="1"/>
  <c r="C10" i="394" s="1"/>
  <c r="Q139" i="142"/>
  <c r="Q142" i="142" s="1"/>
  <c r="Q144" i="142" s="1"/>
  <c r="Q145" i="142" s="1"/>
  <c r="O139" i="142"/>
  <c r="O142" i="142" s="1"/>
  <c r="O144" i="142" s="1"/>
  <c r="O145" i="142" s="1"/>
  <c r="N153" i="142"/>
  <c r="R148" i="142"/>
  <c r="P153" i="142"/>
  <c r="P156" i="142" s="1"/>
  <c r="Q153" i="142"/>
  <c r="Q156" i="142" s="1"/>
  <c r="O153" i="142"/>
  <c r="O156" i="142" s="1"/>
  <c r="E40" i="142"/>
  <c r="E41" i="142" s="1"/>
  <c r="E10" i="394" s="1"/>
  <c r="G41" i="142"/>
  <c r="O13" i="136" s="1"/>
  <c r="F40" i="142"/>
  <c r="F41" i="142" s="1"/>
  <c r="F10" i="394" s="1"/>
  <c r="E269" i="142"/>
  <c r="D40" i="142"/>
  <c r="D41" i="142" s="1"/>
  <c r="D10" i="394" s="1"/>
  <c r="E270" i="142"/>
  <c r="H268" i="142"/>
  <c r="G268" i="142" s="1"/>
  <c r="R138" i="142"/>
  <c r="R143" i="142"/>
  <c r="N139" i="142"/>
  <c r="P13" i="136" l="1"/>
  <c r="U13" i="136"/>
  <c r="G45" i="142"/>
  <c r="G47" i="142" s="1"/>
  <c r="G10" i="394"/>
  <c r="P90" i="142"/>
  <c r="P98" i="142" s="1"/>
  <c r="P100" i="142" s="1"/>
  <c r="K93" i="142"/>
  <c r="L147" i="142" s="1"/>
  <c r="E223" i="212" s="1"/>
  <c r="K97" i="142"/>
  <c r="K99" i="142" s="1"/>
  <c r="K101" i="142" s="1"/>
  <c r="C89" i="142"/>
  <c r="F79" i="142"/>
  <c r="R139" i="142"/>
  <c r="R153" i="142"/>
  <c r="F80" i="142"/>
  <c r="E80" i="142" s="1"/>
  <c r="N156" i="142"/>
  <c r="N142" i="142"/>
  <c r="N144" i="142" s="1"/>
  <c r="N145" i="142" s="1"/>
  <c r="P144" i="142"/>
  <c r="P145" i="142" s="1"/>
  <c r="F13" i="185" l="1"/>
  <c r="B13" i="136"/>
  <c r="P93" i="142"/>
  <c r="L153" i="142" s="1"/>
  <c r="E225" i="212" s="1"/>
  <c r="D79" i="142"/>
  <c r="C79" i="142"/>
  <c r="C81" i="142" s="1"/>
  <c r="P92" i="142"/>
  <c r="P97" i="142"/>
  <c r="P99" i="142" s="1"/>
  <c r="L146" i="142"/>
  <c r="E222" i="212" s="1"/>
  <c r="K94" i="142"/>
  <c r="K103" i="142" s="1"/>
  <c r="T145" i="142"/>
  <c r="D80" i="142"/>
  <c r="E79" i="142"/>
  <c r="E81" i="142" s="1"/>
  <c r="F81" i="142"/>
  <c r="R145" i="142"/>
  <c r="S145" i="142" s="1"/>
  <c r="R156" i="142"/>
  <c r="R142" i="142"/>
  <c r="R144" i="142"/>
  <c r="F22" i="136" l="1"/>
  <c r="E13" i="136"/>
  <c r="G74" i="142"/>
  <c r="G75" i="142" s="1"/>
  <c r="C341" i="212"/>
  <c r="C31" i="242"/>
  <c r="P94" i="142"/>
  <c r="D81" i="142"/>
  <c r="D82" i="142" s="1"/>
  <c r="L148" i="142"/>
  <c r="E224" i="212" s="1"/>
  <c r="P101" i="142"/>
  <c r="U145" i="142"/>
  <c r="E82" i="142"/>
  <c r="C82" i="142"/>
  <c r="E13" i="185" l="1"/>
  <c r="D13" i="185"/>
  <c r="C13" i="185"/>
  <c r="C24" i="185" s="1"/>
  <c r="C32" i="185" s="1"/>
  <c r="D22" i="133" s="1"/>
  <c r="D26" i="133" s="1"/>
  <c r="D28" i="133" s="1"/>
  <c r="D30" i="133" s="1"/>
  <c r="E24" i="133" s="1"/>
  <c r="P103" i="142"/>
  <c r="F82" i="142"/>
  <c r="D34" i="133" l="1"/>
  <c r="D38" i="133" s="1"/>
  <c r="D39" i="133"/>
  <c r="C38" i="185"/>
  <c r="C42" i="185" s="1"/>
  <c r="P24" i="142" l="1"/>
  <c r="Q21" i="142" l="1"/>
  <c r="Q24" i="142" s="1"/>
  <c r="G25" i="17" l="1"/>
  <c r="C256" i="212"/>
  <c r="G21" i="169"/>
  <c r="G45" i="169" s="1"/>
  <c r="C65" i="138"/>
  <c r="G38" i="138" s="1"/>
  <c r="E25" i="17" l="1"/>
  <c r="G24" i="17" s="1"/>
  <c r="E24" i="17" s="1"/>
  <c r="F24" i="17" s="1"/>
  <c r="H22" i="9"/>
  <c r="G47" i="169" s="1"/>
  <c r="G48" i="169" s="1"/>
  <c r="F25" i="17" l="1"/>
  <c r="K15" i="9" l="1"/>
  <c r="D65" i="138" s="1"/>
  <c r="J21" i="169"/>
  <c r="F21" i="169"/>
  <c r="C30" i="138" l="1"/>
  <c r="F62" i="138" l="1"/>
  <c r="F64" i="138" s="1"/>
  <c r="G11" i="137"/>
  <c r="G17" i="137" s="1"/>
  <c r="J19" i="169" l="1"/>
  <c r="J45" i="169" s="1"/>
  <c r="P29" i="148"/>
  <c r="K11" i="9"/>
  <c r="L11" i="9" s="1"/>
  <c r="D61" i="138" l="1"/>
  <c r="G50" i="169" s="1"/>
  <c r="G51" i="169" s="1"/>
  <c r="K22" i="9"/>
  <c r="J47" i="169" s="1"/>
  <c r="J48" i="169" s="1"/>
  <c r="V19" i="169"/>
  <c r="K19" i="169"/>
  <c r="M11" i="9"/>
  <c r="N11" i="9" s="1"/>
  <c r="G63" i="138" l="1"/>
  <c r="G64" i="138" s="1"/>
  <c r="J11" i="137"/>
  <c r="C255" i="212"/>
  <c r="X19" i="169"/>
  <c r="G23" i="17" l="1"/>
  <c r="E23" i="17" l="1"/>
  <c r="F23" i="17" s="1"/>
  <c r="A65" i="319" l="1"/>
  <c r="A66" i="319" s="1"/>
  <c r="N58" i="148"/>
  <c r="P58" i="148" s="1"/>
  <c r="AE49" i="169"/>
  <c r="AF49" i="169" s="1"/>
  <c r="AA61" i="169"/>
  <c r="AE61" i="169" s="1"/>
  <c r="O24" i="238"/>
  <c r="O25" i="238" s="1"/>
  <c r="O26" i="238" s="1"/>
  <c r="A44" i="319"/>
  <c r="A45" i="319" s="1"/>
  <c r="A46" i="319" s="1"/>
  <c r="A47" i="319" s="1"/>
  <c r="A48" i="319" s="1"/>
  <c r="A51" i="319" s="1"/>
  <c r="A52" i="319" s="1"/>
  <c r="A53" i="319" s="1"/>
  <c r="A54" i="319" s="1"/>
  <c r="A55" i="319" s="1"/>
  <c r="A56" i="319" s="1"/>
  <c r="A57" i="319" s="1"/>
  <c r="A58" i="319" s="1"/>
  <c r="M80" i="319"/>
  <c r="M81" i="319" s="1"/>
  <c r="M82" i="319" s="1"/>
  <c r="K81" i="319"/>
  <c r="G278" i="212"/>
  <c r="G282" i="212" s="1"/>
  <c r="H282" i="212" s="1"/>
  <c r="C303" i="212"/>
  <c r="C304" i="212" s="1"/>
  <c r="C305" i="212" s="1"/>
  <c r="AE77" i="169"/>
  <c r="H38" i="82"/>
  <c r="H39" i="82" s="1"/>
  <c r="H40" i="82" s="1"/>
  <c r="H41" i="82" s="1"/>
  <c r="H42" i="82" s="1"/>
  <c r="H43" i="82" s="1"/>
  <c r="H44" i="82" s="1"/>
  <c r="H45" i="82" s="1"/>
  <c r="H46" i="82" s="1"/>
  <c r="H47" i="82" s="1"/>
  <c r="AE97" i="169"/>
  <c r="AE98" i="169" s="1"/>
  <c r="AD62" i="169" l="1"/>
  <c r="AC61" i="169"/>
  <c r="AA62" i="169" s="1"/>
  <c r="AC62" i="169" s="1"/>
  <c r="AA63" i="169" s="1"/>
  <c r="AE63" i="169" s="1"/>
  <c r="AD61" i="169"/>
  <c r="M64" i="142"/>
  <c r="AD63" i="169"/>
  <c r="AE62" i="169"/>
  <c r="AF62" i="169" s="1"/>
  <c r="N82" i="319"/>
  <c r="M83" i="319"/>
  <c r="H16" i="142"/>
  <c r="H67" i="142"/>
  <c r="N64" i="142"/>
  <c r="O64" i="142"/>
  <c r="H278" i="212"/>
  <c r="P64" i="142"/>
  <c r="AD70" i="169" l="1"/>
  <c r="AD78" i="169" s="1"/>
  <c r="AD17" i="169" s="1"/>
  <c r="P38" i="142"/>
  <c r="H38" i="142"/>
  <c r="I16" i="142"/>
  <c r="M38" i="142"/>
  <c r="AF63" i="169"/>
  <c r="K67" i="142"/>
  <c r="K12" i="142" s="1"/>
  <c r="K38" i="142"/>
  <c r="J16" i="142"/>
  <c r="J38" i="142"/>
  <c r="I67" i="142"/>
  <c r="I12" i="142" s="1"/>
  <c r="I38" i="142"/>
  <c r="M16" i="142"/>
  <c r="N38" i="142"/>
  <c r="O38" i="142"/>
  <c r="I37" i="142"/>
  <c r="H12" i="142"/>
  <c r="H37" i="142"/>
  <c r="Y103" i="142"/>
  <c r="K37" i="142"/>
  <c r="K16" i="142"/>
  <c r="J37" i="142"/>
  <c r="J67" i="142"/>
  <c r="J12" i="142" s="1"/>
  <c r="AE70" i="169"/>
  <c r="AE78" i="169" s="1"/>
  <c r="M67" i="142"/>
  <c r="AC63" i="169"/>
  <c r="AF61" i="169"/>
  <c r="L13" i="142"/>
  <c r="P37" i="142"/>
  <c r="P16" i="142"/>
  <c r="P67" i="142"/>
  <c r="P12" i="142" s="1"/>
  <c r="O37" i="142"/>
  <c r="O67" i="142"/>
  <c r="O12" i="142" s="1"/>
  <c r="O16" i="142"/>
  <c r="N83" i="319"/>
  <c r="M84" i="319"/>
  <c r="N37" i="142"/>
  <c r="N16" i="142"/>
  <c r="N67" i="142"/>
  <c r="N12" i="142" s="1"/>
  <c r="M37" i="142"/>
  <c r="AF70" i="169" l="1"/>
  <c r="AD16" i="169" s="1"/>
  <c r="AD21" i="169" s="1"/>
  <c r="J15" i="142"/>
  <c r="J14" i="142"/>
  <c r="K15" i="142"/>
  <c r="K14" i="142"/>
  <c r="K35" i="142" s="1"/>
  <c r="P15" i="142"/>
  <c r="P14" i="142"/>
  <c r="L69" i="142"/>
  <c r="L71" i="142"/>
  <c r="I15" i="142"/>
  <c r="I14" i="142"/>
  <c r="I19" i="142" s="1"/>
  <c r="O15" i="142"/>
  <c r="O14" i="142"/>
  <c r="N15" i="142"/>
  <c r="N14" i="142"/>
  <c r="Q69" i="142"/>
  <c r="Q71" i="142"/>
  <c r="H15" i="142"/>
  <c r="H14" i="142"/>
  <c r="N157" i="142" s="1"/>
  <c r="N158" i="142" s="1"/>
  <c r="N159" i="142" s="1"/>
  <c r="AG70" i="169"/>
  <c r="E22" i="284"/>
  <c r="N136" i="142"/>
  <c r="I27" i="83"/>
  <c r="M12" i="142"/>
  <c r="Q67" i="142"/>
  <c r="L67" i="142"/>
  <c r="M85" i="319"/>
  <c r="N84" i="319"/>
  <c r="AE21" i="169"/>
  <c r="AE45" i="169" s="1"/>
  <c r="AF21" i="169"/>
  <c r="O157" i="142" l="1"/>
  <c r="O158" i="142" s="1"/>
  <c r="O159" i="142" s="1"/>
  <c r="H35" i="142"/>
  <c r="H19" i="142"/>
  <c r="M15" i="142"/>
  <c r="F20" i="284" s="1"/>
  <c r="M14" i="142"/>
  <c r="E17" i="284"/>
  <c r="Q29" i="142"/>
  <c r="I35" i="142"/>
  <c r="Q157" i="142"/>
  <c r="Q158" i="142" s="1"/>
  <c r="Q159" i="142" s="1"/>
  <c r="E19" i="284"/>
  <c r="F17" i="284"/>
  <c r="F21" i="284" s="1"/>
  <c r="E20" i="284"/>
  <c r="J27" i="83"/>
  <c r="E21" i="284"/>
  <c r="P157" i="142"/>
  <c r="P158" i="142" s="1"/>
  <c r="P159" i="142" s="1"/>
  <c r="J35" i="142"/>
  <c r="N19" i="142"/>
  <c r="N85" i="319"/>
  <c r="M86" i="319"/>
  <c r="P35" i="142"/>
  <c r="O35" i="142"/>
  <c r="N35" i="142"/>
  <c r="L35" i="142" l="1"/>
  <c r="F19" i="284"/>
  <c r="M35" i="142"/>
  <c r="M19" i="142"/>
  <c r="R159" i="142"/>
  <c r="T158" i="142"/>
  <c r="T159" i="142" s="1"/>
  <c r="R157" i="142"/>
  <c r="R158" i="142"/>
  <c r="S158" i="142" s="1"/>
  <c r="S159" i="142" s="1"/>
  <c r="Q35" i="142"/>
  <c r="M87" i="319"/>
  <c r="N86" i="319"/>
  <c r="F23" i="284"/>
  <c r="J52" i="17"/>
  <c r="D278" i="212" l="1"/>
  <c r="U158" i="142"/>
  <c r="U159" i="142" s="1"/>
  <c r="N87" i="319"/>
  <c r="M88" i="319"/>
  <c r="M89" i="319" l="1"/>
  <c r="N88" i="319"/>
  <c r="N89" i="319" l="1"/>
  <c r="M90" i="319"/>
  <c r="N90" i="319" s="1"/>
  <c r="N92" i="319" l="1"/>
  <c r="N91" i="319"/>
  <c r="N93" i="319" l="1"/>
  <c r="D22" i="309" l="1"/>
  <c r="C15" i="9"/>
  <c r="C21" i="169"/>
  <c r="B84" i="138" l="1"/>
  <c r="E15" i="9"/>
  <c r="E29" i="9"/>
  <c r="E21" i="169"/>
  <c r="C45" i="169"/>
  <c r="C22" i="9"/>
  <c r="B85" i="138" l="1"/>
  <c r="H32" i="138"/>
  <c r="C33" i="20"/>
  <c r="E22" i="9"/>
  <c r="F15" i="9"/>
  <c r="F22" i="9" s="1"/>
  <c r="I15" i="9"/>
  <c r="H21" i="169"/>
  <c r="E45" i="169"/>
  <c r="C40" i="20" l="1"/>
  <c r="E36" i="20"/>
  <c r="K21" i="169"/>
  <c r="E47" i="169"/>
  <c r="E48" i="169" s="1"/>
  <c r="E50" i="169"/>
  <c r="E28" i="9"/>
  <c r="E39" i="20"/>
  <c r="E30" i="9"/>
  <c r="D33" i="20"/>
  <c r="L15" i="9"/>
  <c r="R21" i="169" l="1"/>
  <c r="F36" i="20"/>
  <c r="M15" i="9" l="1"/>
  <c r="N15" i="9" s="1"/>
  <c r="G19" i="136"/>
  <c r="T21" i="169"/>
  <c r="G25" i="132" l="1"/>
  <c r="H25" i="132"/>
  <c r="C16" i="358"/>
  <c r="V21" i="169"/>
  <c r="C17" i="358" l="1"/>
  <c r="H19" i="136"/>
  <c r="G16" i="358"/>
  <c r="F16" i="358"/>
  <c r="C257" i="212"/>
  <c r="X21" i="169"/>
  <c r="E25" i="132"/>
  <c r="F17" i="358" l="1"/>
  <c r="G17" i="358"/>
  <c r="F25" i="132"/>
  <c r="E45" i="242" l="1"/>
  <c r="D124" i="212" l="1"/>
  <c r="L27" i="185" l="1"/>
  <c r="M27" i="185"/>
  <c r="C22" i="358"/>
  <c r="F22" i="358" l="1"/>
  <c r="G22" i="358"/>
  <c r="K23" i="144" l="1"/>
  <c r="K28" i="144" s="1"/>
  <c r="E28" i="162"/>
  <c r="E19" i="162"/>
  <c r="E23" i="144" l="1"/>
  <c r="E32" i="144" s="1"/>
  <c r="D23" i="144"/>
  <c r="D32" i="144" s="1"/>
  <c r="F23" i="144" l="1"/>
  <c r="F32" i="144" s="1"/>
  <c r="G23" i="144"/>
  <c r="G24" i="144" s="1"/>
  <c r="I23" i="144" l="1"/>
  <c r="G28" i="144"/>
  <c r="N23" i="144" s="1"/>
  <c r="B23" i="144"/>
  <c r="B32" i="144" s="1"/>
  <c r="C99" i="83"/>
  <c r="F23" i="310" l="1"/>
  <c r="F28" i="310" s="1"/>
  <c r="F34" i="310" s="1"/>
  <c r="F39" i="310" s="1"/>
  <c r="D48" i="309" s="1"/>
  <c r="B38" i="136" l="1"/>
  <c r="J39" i="310"/>
  <c r="K19" i="142"/>
  <c r="P19" i="142"/>
  <c r="J19" i="142"/>
  <c r="L18" i="142"/>
  <c r="L19" i="142" s="1"/>
  <c r="O19" i="142"/>
  <c r="Q18" i="142"/>
  <c r="Q19" i="142" s="1"/>
  <c r="C17" i="137" l="1"/>
  <c r="B10" i="159"/>
  <c r="E10" i="159" s="1"/>
  <c r="B23" i="159" s="1"/>
  <c r="D276" i="212"/>
  <c r="E27" i="284" l="1"/>
  <c r="E28" i="284" s="1"/>
  <c r="L39" i="142"/>
  <c r="J36" i="142"/>
  <c r="J39" i="142" s="1"/>
  <c r="D279" i="212"/>
  <c r="D282" i="212" s="1"/>
  <c r="D286" i="212" s="1"/>
  <c r="I36" i="142"/>
  <c r="I39" i="142" s="1"/>
  <c r="K36" i="142"/>
  <c r="K39" i="142" s="1"/>
  <c r="H36" i="142"/>
  <c r="H39" i="142" s="1"/>
  <c r="H9" i="132" l="1"/>
  <c r="L41" i="142"/>
  <c r="L46" i="142" s="1"/>
  <c r="G56" i="17"/>
  <c r="G28" i="284" l="1"/>
  <c r="N19" i="185"/>
  <c r="D25" i="367" s="1"/>
  <c r="D27" i="367" s="1"/>
  <c r="E56" i="17"/>
  <c r="E61" i="19" s="1"/>
  <c r="K40" i="142"/>
  <c r="K41" i="142" s="1"/>
  <c r="K10" i="394" s="1"/>
  <c r="H40" i="142"/>
  <c r="H41" i="142" s="1"/>
  <c r="G54" i="132"/>
  <c r="I40" i="142"/>
  <c r="I41" i="142" s="1"/>
  <c r="J40" i="142"/>
  <c r="J41" i="142" s="1"/>
  <c r="J10" i="394" s="1"/>
  <c r="D29" i="367" l="1"/>
  <c r="N87" i="149"/>
  <c r="N89" i="149" s="1"/>
  <c r="K80" i="142"/>
  <c r="I80" i="142" s="1"/>
  <c r="K79" i="142"/>
  <c r="J19" i="185"/>
  <c r="E54" i="132"/>
  <c r="F54" i="132" s="1"/>
  <c r="M19" i="185"/>
  <c r="P19" i="185"/>
  <c r="E37" i="242"/>
  <c r="O19" i="185"/>
  <c r="L19" i="185"/>
  <c r="F56" i="17"/>
  <c r="F61" i="19" s="1"/>
  <c r="G61" i="19" s="1"/>
  <c r="D33" i="367" l="1"/>
  <c r="D38" i="367" s="1"/>
  <c r="D39" i="367" s="1"/>
  <c r="D30" i="367"/>
  <c r="D31" i="367" s="1"/>
  <c r="F22" i="161"/>
  <c r="E22" i="161"/>
  <c r="N17" i="149"/>
  <c r="N19" i="149" s="1"/>
  <c r="J20" i="9"/>
  <c r="I37" i="169"/>
  <c r="R19" i="185"/>
  <c r="C25" i="367"/>
  <c r="C27" i="367" s="1"/>
  <c r="C29" i="367" s="1"/>
  <c r="J80" i="142"/>
  <c r="D37" i="242"/>
  <c r="D40" i="212"/>
  <c r="I19" i="185"/>
  <c r="Q19" i="185"/>
  <c r="H19" i="185"/>
  <c r="K81" i="142"/>
  <c r="K82" i="142" s="1"/>
  <c r="H79" i="142"/>
  <c r="H81" i="142" s="1"/>
  <c r="I79" i="142"/>
  <c r="I81" i="142" s="1"/>
  <c r="J79" i="142"/>
  <c r="G20" i="9" l="1"/>
  <c r="R72" i="148"/>
  <c r="C22" i="161"/>
  <c r="C27" i="161" s="1"/>
  <c r="F37" i="169"/>
  <c r="J81" i="142"/>
  <c r="J82" i="142" s="1"/>
  <c r="D180" i="149"/>
  <c r="N95" i="149"/>
  <c r="W37" i="169"/>
  <c r="W45" i="169" s="1"/>
  <c r="I45" i="169"/>
  <c r="D37" i="138"/>
  <c r="J22" i="9"/>
  <c r="I47" i="169" s="1"/>
  <c r="C30" i="367"/>
  <c r="C31" i="367" s="1"/>
  <c r="I87" i="149" s="1"/>
  <c r="D34" i="367"/>
  <c r="D35" i="367" s="1"/>
  <c r="C33" i="367"/>
  <c r="H82" i="142"/>
  <c r="E40" i="212"/>
  <c r="I82" i="142"/>
  <c r="Q73" i="148" l="1"/>
  <c r="R73" i="148" s="1"/>
  <c r="H76" i="148" s="1"/>
  <c r="Q87" i="148"/>
  <c r="I27" i="9" s="1"/>
  <c r="C51" i="368"/>
  <c r="I89" i="149"/>
  <c r="R21" i="185"/>
  <c r="T72" i="148"/>
  <c r="H37" i="169"/>
  <c r="F45" i="169"/>
  <c r="F51" i="169" s="1"/>
  <c r="C37" i="138"/>
  <c r="I20" i="9"/>
  <c r="G22" i="9"/>
  <c r="F47" i="169" s="1"/>
  <c r="I48" i="169"/>
  <c r="C268" i="212"/>
  <c r="D20" i="136"/>
  <c r="C35" i="367"/>
  <c r="C37" i="367"/>
  <c r="C39" i="367" s="1"/>
  <c r="F49" i="132"/>
  <c r="D9" i="132"/>
  <c r="D50" i="132"/>
  <c r="F50" i="132"/>
  <c r="F53" i="132"/>
  <c r="D53" i="132"/>
  <c r="F9" i="132"/>
  <c r="D49" i="132"/>
  <c r="E49" i="132"/>
  <c r="E50" i="132"/>
  <c r="E9" i="132"/>
  <c r="E53" i="132"/>
  <c r="M20" i="9" l="1"/>
  <c r="Q88" i="148"/>
  <c r="L27" i="9" s="1"/>
  <c r="F48" i="169"/>
  <c r="I22" i="9"/>
  <c r="L20" i="9"/>
  <c r="R37" i="169"/>
  <c r="V72" i="148"/>
  <c r="F38" i="138"/>
  <c r="H38" i="138" s="1"/>
  <c r="D11" i="137"/>
  <c r="S37" i="169"/>
  <c r="S45" i="169" s="1"/>
  <c r="H21" i="95"/>
  <c r="N21" i="95" s="1"/>
  <c r="H45" i="169"/>
  <c r="H52" i="169" s="1"/>
  <c r="K37" i="169"/>
  <c r="K45" i="169" s="1"/>
  <c r="I17" i="149"/>
  <c r="I19" i="149" s="1"/>
  <c r="F10" i="161"/>
  <c r="F15" i="161" s="1"/>
  <c r="E10" i="161"/>
  <c r="E15" i="161" s="1"/>
  <c r="T73" i="148"/>
  <c r="V37" i="169" s="1"/>
  <c r="O87" i="149"/>
  <c r="F268" i="212"/>
  <c r="G268" i="212" s="1"/>
  <c r="G49" i="132"/>
  <c r="D55" i="132"/>
  <c r="D78" i="132" s="1"/>
  <c r="D80" i="132" s="1"/>
  <c r="G50" i="132"/>
  <c r="G53" i="132"/>
  <c r="G9" i="132"/>
  <c r="L22" i="9" l="1"/>
  <c r="K47" i="169" s="1"/>
  <c r="K48" i="169" s="1"/>
  <c r="N20" i="9"/>
  <c r="C10" i="161"/>
  <c r="C15" i="161" s="1"/>
  <c r="I29" i="9"/>
  <c r="I30" i="9" s="1"/>
  <c r="F11" i="137"/>
  <c r="E37" i="20"/>
  <c r="E38" i="20" s="1"/>
  <c r="E11" i="137"/>
  <c r="V73" i="148"/>
  <c r="X37" i="169"/>
  <c r="G32" i="17" s="1"/>
  <c r="V45" i="169"/>
  <c r="D52" i="138" s="1"/>
  <c r="T37" i="169"/>
  <c r="R45" i="169"/>
  <c r="D45" i="95"/>
  <c r="H45" i="95" s="1"/>
  <c r="H50" i="169"/>
  <c r="H47" i="169"/>
  <c r="H48" i="169" s="1"/>
  <c r="F39" i="20"/>
  <c r="I28" i="9"/>
  <c r="E39" i="242"/>
  <c r="M21" i="185"/>
  <c r="L21" i="185"/>
  <c r="P21" i="185"/>
  <c r="O21" i="185"/>
  <c r="O89" i="149"/>
  <c r="L28" i="9" l="1"/>
  <c r="C265" i="212"/>
  <c r="I95" i="149"/>
  <c r="C180" i="149"/>
  <c r="J87" i="149"/>
  <c r="L29" i="9"/>
  <c r="L30" i="9" s="1"/>
  <c r="H11" i="137"/>
  <c r="F37" i="20"/>
  <c r="F38" i="20" s="1"/>
  <c r="C52" i="138"/>
  <c r="R50" i="169"/>
  <c r="O45" i="95"/>
  <c r="N45" i="95"/>
  <c r="G30" i="132"/>
  <c r="T45" i="169"/>
  <c r="D56" i="138"/>
  <c r="F56" i="138" s="1"/>
  <c r="G22" i="161"/>
  <c r="H22" i="161" s="1"/>
  <c r="O17" i="149"/>
  <c r="O19" i="149" s="1"/>
  <c r="E33" i="7"/>
  <c r="E30" i="132" l="1"/>
  <c r="I27" i="132"/>
  <c r="T50" i="169" s="1"/>
  <c r="T51" i="169" s="1"/>
  <c r="G55" i="132"/>
  <c r="D39" i="242"/>
  <c r="H21" i="185"/>
  <c r="I21" i="185"/>
  <c r="J89" i="149"/>
  <c r="M87" i="149"/>
  <c r="F52" i="138"/>
  <c r="E19" i="136"/>
  <c r="H27" i="161"/>
  <c r="G27" i="161" s="1"/>
  <c r="F27" i="161" s="1"/>
  <c r="E27" i="161" s="1"/>
  <c r="E39" i="138"/>
  <c r="E44" i="138" s="1"/>
  <c r="D45" i="138"/>
  <c r="F57" i="138"/>
  <c r="F58" i="138" s="1"/>
  <c r="G56" i="138"/>
  <c r="G78" i="132" l="1"/>
  <c r="G80" i="132" s="1"/>
  <c r="R87" i="149"/>
  <c r="G10" i="161"/>
  <c r="J17" i="149"/>
  <c r="J19" i="149" s="1"/>
  <c r="D33" i="7"/>
  <c r="C56" i="138"/>
  <c r="F30" i="132"/>
  <c r="F55" i="132" s="1"/>
  <c r="F78" i="132" s="1"/>
  <c r="F80" i="132" s="1"/>
  <c r="E55" i="132"/>
  <c r="E78" i="132" s="1"/>
  <c r="E80" i="132" s="1"/>
  <c r="D11" i="20"/>
  <c r="H16" i="137"/>
  <c r="D27" i="160" l="1"/>
  <c r="D11" i="160"/>
  <c r="G15" i="161"/>
  <c r="H10" i="161"/>
  <c r="C258" i="212"/>
  <c r="C267" i="212" s="1"/>
  <c r="H11" i="160" l="1"/>
  <c r="D17" i="160"/>
  <c r="H15" i="161"/>
  <c r="H27" i="160"/>
  <c r="D33" i="160"/>
  <c r="X23" i="169"/>
  <c r="X45" i="169" s="1"/>
  <c r="C269" i="212"/>
  <c r="H255" i="212"/>
  <c r="H17" i="160" l="1"/>
  <c r="H22" i="160" s="1"/>
  <c r="M11" i="160"/>
  <c r="H33" i="160"/>
  <c r="H37" i="160" s="1"/>
  <c r="M27" i="160"/>
  <c r="G26" i="17"/>
  <c r="H36" i="17" s="1"/>
  <c r="H33" i="17" l="1"/>
  <c r="X50" i="169" s="1"/>
  <c r="X51" i="169" s="1"/>
  <c r="F22" i="95"/>
  <c r="F25" i="95" s="1"/>
  <c r="M17" i="160"/>
  <c r="D19" i="136"/>
  <c r="Q21" i="185"/>
  <c r="S22" i="185" s="1"/>
  <c r="F46" i="95"/>
  <c r="F52" i="95" s="1"/>
  <c r="M33" i="160"/>
  <c r="P33" i="160" s="1"/>
  <c r="E26" i="17"/>
  <c r="F26" i="17" s="1"/>
  <c r="F19" i="136"/>
  <c r="P17" i="160" l="1"/>
  <c r="L94" i="149"/>
  <c r="H14" i="95"/>
  <c r="D21" i="136"/>
  <c r="F31" i="284" s="1"/>
  <c r="F267" i="212"/>
  <c r="G267" i="212" s="1"/>
  <c r="I17" i="358"/>
  <c r="H21" i="136"/>
  <c r="H22" i="95" l="1"/>
  <c r="N14" i="95"/>
  <c r="F269" i="212"/>
  <c r="G269" i="212" s="1"/>
  <c r="D51" i="95"/>
  <c r="B39" i="95"/>
  <c r="N22" i="95"/>
  <c r="B46" i="95" l="1"/>
  <c r="D39" i="95"/>
  <c r="H39" i="95" s="1"/>
  <c r="D46" i="95" l="1"/>
  <c r="O39" i="95"/>
  <c r="O46" i="95" s="1"/>
  <c r="J13" i="82"/>
  <c r="K55" i="95"/>
  <c r="K46" i="95"/>
  <c r="K73" i="95"/>
  <c r="M39" i="95"/>
  <c r="M46" i="95" s="1"/>
  <c r="L73" i="95" l="1"/>
  <c r="L75" i="95" s="1"/>
  <c r="K75" i="95"/>
  <c r="K77" i="95" s="1"/>
  <c r="D16" i="136"/>
  <c r="L51" i="95"/>
  <c r="L52" i="95" s="1"/>
  <c r="G47" i="17"/>
  <c r="L53" i="95"/>
  <c r="H46" i="95"/>
  <c r="N39" i="95"/>
  <c r="N46" i="95" s="1"/>
  <c r="J22" i="82"/>
  <c r="J27" i="82" s="1"/>
  <c r="J19" i="82"/>
  <c r="G69" i="17"/>
  <c r="D52" i="95"/>
  <c r="E47" i="17" l="1"/>
  <c r="F47" i="17" s="1"/>
  <c r="D29" i="136"/>
  <c r="E69" i="17"/>
  <c r="E71" i="19" s="1"/>
  <c r="N28" i="185"/>
  <c r="E21" i="137"/>
  <c r="N17" i="185"/>
  <c r="J21" i="137"/>
  <c r="J22" i="137" s="1"/>
  <c r="J36" i="82"/>
  <c r="K36" i="82" s="1"/>
  <c r="J30" i="82"/>
  <c r="F69" i="17" l="1"/>
  <c r="F71" i="19" s="1"/>
  <c r="G71" i="19" s="1"/>
  <c r="O29" i="82"/>
  <c r="P29" i="82" s="1"/>
  <c r="O21" i="82"/>
  <c r="P21" i="82" s="1"/>
  <c r="O23" i="82"/>
  <c r="P23" i="82" s="1"/>
  <c r="O24" i="82"/>
  <c r="P24" i="82" s="1"/>
  <c r="L30" i="82"/>
  <c r="O22" i="82"/>
  <c r="P22" i="82" s="1"/>
  <c r="O20" i="82"/>
  <c r="P20" i="82" s="1"/>
  <c r="O28" i="82"/>
  <c r="P28" i="82" s="1"/>
  <c r="L28" i="185"/>
  <c r="L30" i="185" s="1"/>
  <c r="M28" i="185"/>
  <c r="M30" i="185" s="1"/>
  <c r="H71" i="19"/>
  <c r="C23" i="358"/>
  <c r="E46" i="242"/>
  <c r="E48" i="242" s="1"/>
  <c r="O28" i="185"/>
  <c r="P28" i="185" s="1"/>
  <c r="N30" i="185"/>
  <c r="C23" i="159"/>
  <c r="E23" i="159" s="1"/>
  <c r="J9" i="137"/>
  <c r="J17" i="137" s="1"/>
  <c r="F52" i="19"/>
  <c r="D31" i="20"/>
  <c r="D40" i="20" s="1"/>
  <c r="H21" i="137"/>
  <c r="O17" i="185"/>
  <c r="P17" i="185"/>
  <c r="L17" i="185"/>
  <c r="R17" i="185"/>
  <c r="M17" i="185"/>
  <c r="C14" i="358"/>
  <c r="E35" i="242"/>
  <c r="Q44" i="185"/>
  <c r="E52" i="19"/>
  <c r="P30" i="82" l="1"/>
  <c r="I71" i="19"/>
  <c r="G52" i="19"/>
  <c r="G23" i="358"/>
  <c r="F23" i="358"/>
  <c r="F14" i="358"/>
  <c r="G14" i="358"/>
  <c r="C96" i="138" l="1"/>
  <c r="C45" i="138" s="1"/>
  <c r="J34" i="185" l="1"/>
  <c r="C8" i="136" s="1"/>
  <c r="E8" i="284"/>
  <c r="E10" i="284" s="1"/>
  <c r="E12" i="138" l="1"/>
  <c r="C10" i="136"/>
  <c r="H34" i="185"/>
  <c r="D52" i="242"/>
  <c r="E369" i="212"/>
  <c r="I34" i="185"/>
  <c r="G34" i="185"/>
  <c r="D27" i="212"/>
  <c r="Q34" i="185"/>
  <c r="D28" i="212" l="1"/>
  <c r="E27" i="212"/>
  <c r="E28" i="212" s="1"/>
  <c r="F12" i="138"/>
  <c r="F13" i="138" s="1"/>
  <c r="E13" i="138"/>
  <c r="F369" i="212"/>
  <c r="E370" i="212"/>
  <c r="F370" i="212" l="1"/>
  <c r="D54" i="212"/>
  <c r="E9" i="137" l="1"/>
  <c r="E54" i="212"/>
  <c r="F9" i="137" l="1"/>
  <c r="F17" i="137" s="1"/>
  <c r="D17" i="137"/>
  <c r="H9" i="137" l="1"/>
  <c r="H17" i="137" s="1"/>
  <c r="E17" i="137"/>
  <c r="G14" i="135" l="1"/>
  <c r="G18" i="135" s="1"/>
  <c r="H34" i="137"/>
  <c r="J29" i="137"/>
  <c r="E29" i="137"/>
  <c r="G9" i="135" s="1"/>
  <c r="U44" i="141" l="1"/>
  <c r="U46" i="141" s="1"/>
  <c r="H29" i="137"/>
  <c r="U34" i="141" l="1"/>
  <c r="I55" i="141" s="1"/>
  <c r="G55" i="141" l="1"/>
  <c r="M55" i="141"/>
  <c r="F55" i="141"/>
  <c r="K55" i="141"/>
  <c r="J55" i="141"/>
  <c r="H55" i="141"/>
  <c r="C55" i="141"/>
  <c r="C65" i="141" s="1"/>
  <c r="D55" i="141"/>
  <c r="E55" i="141"/>
  <c r="N55" i="141"/>
  <c r="L55" i="141"/>
  <c r="O55" i="141" l="1"/>
  <c r="O65" i="141" s="1"/>
  <c r="D53" i="141"/>
  <c r="D65" i="141" s="1"/>
  <c r="E53" i="141" s="1"/>
  <c r="E65" i="141" s="1"/>
  <c r="F53" i="141" s="1"/>
  <c r="F65" i="141" s="1"/>
  <c r="G53" i="141" s="1"/>
  <c r="G65" i="141" s="1"/>
  <c r="H53" i="141" s="1"/>
  <c r="H65" i="141" s="1"/>
  <c r="I53" i="141" s="1"/>
  <c r="I65" i="141" s="1"/>
  <c r="J53" i="141" s="1"/>
  <c r="J65" i="141" s="1"/>
  <c r="K53" i="141" s="1"/>
  <c r="K65" i="141" s="1"/>
  <c r="L53" i="141" s="1"/>
  <c r="L65" i="141" s="1"/>
  <c r="M53" i="141" s="1"/>
  <c r="M65" i="141" s="1"/>
  <c r="N53" i="141" s="1"/>
  <c r="N65" i="141" s="1"/>
  <c r="P65" i="141" l="1"/>
  <c r="D19" i="20" s="1"/>
  <c r="E23" i="384" l="1"/>
  <c r="C26" i="309" s="1"/>
  <c r="S15" i="384"/>
  <c r="S23" i="384" s="1"/>
  <c r="G19" i="149"/>
  <c r="C23" i="384"/>
  <c r="C110" i="384" l="1"/>
  <c r="C27" i="7"/>
  <c r="D14" i="7" s="1"/>
  <c r="E14" i="7" s="1"/>
  <c r="C20" i="137"/>
  <c r="C29" i="309"/>
  <c r="D32" i="309" s="1"/>
  <c r="D50" i="309" s="1"/>
  <c r="F51" i="309" s="1"/>
  <c r="H86" i="149" l="1"/>
  <c r="G89" i="149"/>
  <c r="C33" i="7" s="1"/>
  <c r="C38" i="7" s="1"/>
  <c r="I33" i="82"/>
  <c r="I34" i="82" s="1"/>
  <c r="C22" i="137"/>
  <c r="D20" i="137"/>
  <c r="B24" i="95"/>
  <c r="C44" i="7" l="1"/>
  <c r="D19" i="7"/>
  <c r="E19" i="7" s="1"/>
  <c r="M86" i="149"/>
  <c r="H89" i="149"/>
  <c r="H17" i="149" s="1"/>
  <c r="D17" i="149" s="1"/>
  <c r="D19" i="149" s="1"/>
  <c r="J33" i="82"/>
  <c r="J34" i="82" s="1"/>
  <c r="E20" i="137"/>
  <c r="D22" i="137"/>
  <c r="C10" i="20"/>
  <c r="F20" i="137"/>
  <c r="G27" i="7"/>
  <c r="G38" i="7" s="1"/>
  <c r="G42" i="7" s="1"/>
  <c r="I19" i="7" l="1"/>
  <c r="D20" i="7"/>
  <c r="D38" i="7" s="1"/>
  <c r="I14" i="7"/>
  <c r="H14" i="7"/>
  <c r="D10" i="20"/>
  <c r="H20" i="137"/>
  <c r="E22" i="137"/>
  <c r="F22" i="137"/>
  <c r="H95" i="149"/>
  <c r="H19" i="149"/>
  <c r="C11" i="160"/>
  <c r="C17" i="160" s="1"/>
  <c r="B10" i="161"/>
  <c r="D24" i="137"/>
  <c r="M89" i="149"/>
  <c r="R86" i="149"/>
  <c r="F24" i="137" l="1"/>
  <c r="H22" i="137"/>
  <c r="K10" i="161"/>
  <c r="B15" i="161"/>
  <c r="M17" i="149"/>
  <c r="M19" i="149" s="1"/>
  <c r="C27" i="160"/>
  <c r="C33" i="160" s="1"/>
  <c r="D23" i="137"/>
  <c r="F23" i="137" s="1"/>
  <c r="G23" i="137"/>
  <c r="G25" i="137" s="1"/>
  <c r="R89" i="149"/>
  <c r="E24" i="137"/>
  <c r="R17" i="149" l="1"/>
  <c r="R19" i="149" s="1"/>
  <c r="E23" i="137"/>
  <c r="H23" i="137" s="1"/>
  <c r="H24" i="137"/>
  <c r="K15" i="161"/>
  <c r="P16" i="161" s="1"/>
  <c r="B22" i="161"/>
  <c r="K22" i="137"/>
  <c r="D25" i="137"/>
  <c r="K22" i="161" l="1"/>
  <c r="K27" i="161" s="1"/>
  <c r="P27" i="161" s="1"/>
  <c r="B27" i="161"/>
  <c r="E25" i="137"/>
  <c r="C14" i="20"/>
  <c r="F25" i="137"/>
  <c r="E20" i="7"/>
  <c r="E38" i="7" s="1"/>
  <c r="M94" i="149"/>
  <c r="M95" i="149" s="1"/>
  <c r="D44" i="7"/>
  <c r="R94" i="149" l="1"/>
  <c r="R95" i="149" s="1"/>
  <c r="H25" i="137"/>
  <c r="D14" i="20"/>
  <c r="E44" i="7"/>
  <c r="E19" i="394" l="1"/>
  <c r="D19" i="394" l="1"/>
  <c r="E12" i="23" l="1"/>
  <c r="D12" i="23" l="1"/>
  <c r="D27" i="23"/>
  <c r="D16" i="23"/>
  <c r="D39" i="23" l="1"/>
  <c r="D28" i="137" s="1"/>
  <c r="E8" i="23"/>
  <c r="E16" i="23" s="1"/>
  <c r="D37" i="23"/>
  <c r="D30" i="23"/>
  <c r="F27" i="23"/>
  <c r="E27" i="23"/>
  <c r="G27" i="23" l="1"/>
  <c r="E30" i="23"/>
  <c r="E37" i="23"/>
  <c r="E39" i="23"/>
  <c r="E28" i="137" s="1"/>
  <c r="F8" i="135"/>
  <c r="F28" i="137"/>
  <c r="D42" i="23"/>
  <c r="D43" i="23" s="1"/>
  <c r="H28" i="137" l="1"/>
  <c r="G8" i="135"/>
  <c r="E42" i="23"/>
  <c r="E43" i="23" s="1"/>
  <c r="C16" i="82" l="1"/>
  <c r="C21" i="82" s="1"/>
  <c r="O14" i="136" l="1"/>
  <c r="P14" i="136" s="1"/>
  <c r="P16" i="136" s="1"/>
  <c r="B14" i="136"/>
  <c r="F14" i="185"/>
  <c r="C342" i="212" s="1"/>
  <c r="C350" i="212" s="1"/>
  <c r="C353" i="212" s="1"/>
  <c r="C355" i="212" s="1"/>
  <c r="C357" i="212" s="1"/>
  <c r="C359" i="212" s="1"/>
  <c r="O16" i="136"/>
  <c r="B18" i="136"/>
  <c r="B22" i="136" s="1"/>
  <c r="B24" i="136" s="1"/>
  <c r="B26" i="136" s="1"/>
  <c r="B36" i="136" s="1"/>
  <c r="D14" i="185"/>
  <c r="D24" i="185" s="1"/>
  <c r="D32" i="185" s="1"/>
  <c r="E22" i="133" s="1"/>
  <c r="E26" i="133" s="1"/>
  <c r="E28" i="133" s="1"/>
  <c r="E30" i="133" s="1"/>
  <c r="F24" i="133" s="1"/>
  <c r="Q14" i="185"/>
  <c r="G51" i="142"/>
  <c r="U14" i="136"/>
  <c r="U16" i="136" s="1"/>
  <c r="F24" i="185" l="1"/>
  <c r="C32" i="242"/>
  <c r="C42" i="242" s="1"/>
  <c r="E14" i="185"/>
  <c r="E24" i="185" s="1"/>
  <c r="E32" i="185" s="1"/>
  <c r="F22" i="133" s="1"/>
  <c r="F26" i="133" s="1"/>
  <c r="F28" i="133" s="1"/>
  <c r="F30" i="133" s="1"/>
  <c r="F34" i="133" s="1"/>
  <c r="F38" i="133" s="1"/>
  <c r="C115" i="212"/>
  <c r="D115" i="212" s="1"/>
  <c r="D38" i="185"/>
  <c r="D42" i="185" s="1"/>
  <c r="E38" i="185"/>
  <c r="E42" i="185" s="1"/>
  <c r="C22" i="82"/>
  <c r="C23" i="82" s="1"/>
  <c r="G52" i="142"/>
  <c r="G53" i="142" s="1"/>
  <c r="B43" i="136"/>
  <c r="T8" i="185"/>
  <c r="T13" i="185" s="1"/>
  <c r="C38" i="137"/>
  <c r="C39" i="137" s="1"/>
  <c r="C43" i="137" s="1"/>
  <c r="E39" i="133"/>
  <c r="B39" i="136"/>
  <c r="F32" i="185"/>
  <c r="T24" i="185"/>
  <c r="V25" i="185"/>
  <c r="E34" i="133"/>
  <c r="E38" i="133" s="1"/>
  <c r="C50" i="242" l="1"/>
  <c r="F42" i="242"/>
  <c r="F43" i="242" s="1"/>
  <c r="G43" i="133"/>
  <c r="G22" i="133"/>
  <c r="G26" i="133" s="1"/>
  <c r="G28" i="133" s="1"/>
  <c r="G30" i="133" s="1"/>
  <c r="G34" i="133" s="1"/>
  <c r="F38" i="185"/>
  <c r="G38" i="133"/>
  <c r="G45" i="133" s="1"/>
  <c r="F39" i="133"/>
  <c r="G39" i="133" s="1"/>
  <c r="G40" i="133" l="1"/>
  <c r="C56" i="242"/>
  <c r="F50" i="242"/>
  <c r="F42" i="185"/>
  <c r="F44" i="185" s="1"/>
  <c r="C60" i="242" l="1"/>
  <c r="C63" i="242" s="1"/>
  <c r="C65" i="242" s="1"/>
  <c r="C66" i="242" s="1"/>
  <c r="F56" i="242"/>
  <c r="C62" i="242"/>
  <c r="O34" i="185" l="1"/>
  <c r="C127" i="212"/>
  <c r="P34" i="185"/>
  <c r="H11" i="19"/>
  <c r="I11" i="19" s="1"/>
  <c r="C27" i="358"/>
  <c r="E52" i="242"/>
  <c r="K34" i="185"/>
  <c r="L34" i="185"/>
  <c r="M34" i="185"/>
  <c r="R34" i="185"/>
  <c r="D127" i="212" l="1"/>
  <c r="F27" i="284" l="1"/>
  <c r="F28" i="284" s="1"/>
  <c r="O36" i="142"/>
  <c r="P36" i="142"/>
  <c r="Q39" i="142"/>
  <c r="N36" i="142"/>
  <c r="M36" i="142"/>
  <c r="D13" i="136" l="1"/>
  <c r="Q41" i="142"/>
  <c r="H11" i="17"/>
  <c r="R41" i="142"/>
  <c r="P39" i="142"/>
  <c r="P40" i="142"/>
  <c r="N40" i="142"/>
  <c r="N39" i="142"/>
  <c r="O39" i="142"/>
  <c r="O40" i="142"/>
  <c r="M39" i="142"/>
  <c r="M40" i="142"/>
  <c r="H28" i="284"/>
  <c r="F33" i="284"/>
  <c r="N41" i="142" l="1"/>
  <c r="P41" i="142"/>
  <c r="Q46" i="142"/>
  <c r="F12" i="285"/>
  <c r="F18" i="285" s="1"/>
  <c r="J11" i="17"/>
  <c r="M41" i="142"/>
  <c r="P79" i="142" s="1"/>
  <c r="O41" i="142"/>
  <c r="I11" i="136"/>
  <c r="E17" i="136"/>
  <c r="E18" i="136" s="1"/>
  <c r="D18" i="136"/>
  <c r="D22" i="136" s="1"/>
  <c r="D8" i="350"/>
  <c r="Q74" i="142"/>
  <c r="Q75" i="142" s="1"/>
  <c r="P80" i="142" l="1"/>
  <c r="N80" i="142" s="1"/>
  <c r="N81" i="142" s="1"/>
  <c r="Q22" i="185"/>
  <c r="P20" i="185"/>
  <c r="I36" i="19"/>
  <c r="J36" i="19" s="1"/>
  <c r="L20" i="185"/>
  <c r="O20" i="185"/>
  <c r="M20" i="185"/>
  <c r="E38" i="242"/>
  <c r="H40" i="242" s="1"/>
  <c r="D26" i="136"/>
  <c r="D24" i="136"/>
  <c r="H25" i="136" s="1"/>
  <c r="H28" i="136" s="1"/>
  <c r="H8" i="350"/>
  <c r="H15" i="350" s="1"/>
  <c r="D15" i="350"/>
  <c r="F8" i="350"/>
  <c r="M79" i="142"/>
  <c r="M81" i="142" s="1"/>
  <c r="N79" i="142"/>
  <c r="O79" i="142"/>
  <c r="O80" i="142" l="1"/>
  <c r="O81" i="142" s="1"/>
  <c r="P81" i="142"/>
  <c r="P82" i="142" s="1"/>
  <c r="O82" i="142" l="1"/>
  <c r="M82" i="142"/>
  <c r="N82" i="142"/>
  <c r="D52" i="17"/>
  <c r="D51" i="17"/>
  <c r="D11" i="17"/>
  <c r="E52" i="17" l="1"/>
  <c r="G52" i="17" s="1"/>
  <c r="E11" i="17"/>
  <c r="E51" i="17"/>
  <c r="E56" i="19" s="1"/>
  <c r="F11" i="17"/>
  <c r="F51" i="17"/>
  <c r="F56" i="19" s="1"/>
  <c r="F52" i="17"/>
  <c r="I13" i="393"/>
  <c r="I15" i="393" s="1"/>
  <c r="I17" i="393" s="1"/>
  <c r="I10" i="394" s="1"/>
  <c r="H13" i="393"/>
  <c r="H15" i="393" s="1"/>
  <c r="H17" i="393" s="1"/>
  <c r="H10" i="394" s="1"/>
  <c r="L15" i="393"/>
  <c r="D30" i="19"/>
  <c r="D57" i="17"/>
  <c r="D78" i="17" s="1"/>
  <c r="D81" i="17" s="1"/>
  <c r="G11" i="17"/>
  <c r="D56" i="19"/>
  <c r="G56" i="19" s="1"/>
  <c r="G51" i="17"/>
  <c r="F57" i="17" l="1"/>
  <c r="F30" i="19"/>
  <c r="E57" i="17"/>
  <c r="E30" i="19"/>
  <c r="G30" i="19" s="1"/>
  <c r="G62" i="19" s="1"/>
  <c r="L11" i="17"/>
  <c r="G57" i="17"/>
  <c r="L17" i="393"/>
  <c r="L10" i="394" l="1"/>
  <c r="J13" i="185" s="1"/>
  <c r="C13" i="136"/>
  <c r="C19" i="136"/>
  <c r="C21" i="136" s="1"/>
  <c r="Q20" i="185"/>
  <c r="I20" i="185"/>
  <c r="H20" i="185"/>
  <c r="D38" i="242"/>
  <c r="G40" i="242" s="1"/>
  <c r="E376" i="212"/>
  <c r="F376" i="212" s="1"/>
  <c r="D38" i="212"/>
  <c r="E38" i="212" s="1"/>
  <c r="R20" i="185"/>
  <c r="N14" i="393"/>
  <c r="M14" i="393"/>
  <c r="J14" i="393" s="1"/>
  <c r="M13" i="393" l="1"/>
  <c r="Q15" i="393"/>
  <c r="Q17" i="393" s="1"/>
  <c r="Q10" i="394" s="1"/>
  <c r="N13" i="185" s="1"/>
  <c r="N13" i="393"/>
  <c r="N15" i="393" s="1"/>
  <c r="N17" i="393" s="1"/>
  <c r="G52" i="138"/>
  <c r="H52" i="138" s="1"/>
  <c r="E21" i="136"/>
  <c r="C13" i="350"/>
  <c r="E31" i="284"/>
  <c r="E33" i="284" s="1"/>
  <c r="E34" i="284" s="1"/>
  <c r="C8" i="350"/>
  <c r="C15" i="350" s="1"/>
  <c r="L74" i="142"/>
  <c r="L75" i="142" s="1"/>
  <c r="F13" i="136"/>
  <c r="C18" i="136"/>
  <c r="C22" i="136" s="1"/>
  <c r="Q13" i="185"/>
  <c r="I13" i="185"/>
  <c r="I24" i="185" s="1"/>
  <c r="I32" i="185" s="1"/>
  <c r="J24" i="185"/>
  <c r="H13" i="185"/>
  <c r="H24" i="185" s="1"/>
  <c r="H32" i="185" s="1"/>
  <c r="G13" i="185"/>
  <c r="G24" i="185" s="1"/>
  <c r="G32" i="185" s="1"/>
  <c r="C6" i="367"/>
  <c r="D31" i="242"/>
  <c r="D42" i="242" s="1"/>
  <c r="E375" i="212"/>
  <c r="D32" i="212"/>
  <c r="C49" i="138"/>
  <c r="F5" i="284" l="1"/>
  <c r="F34" i="284" s="1"/>
  <c r="E37" i="284"/>
  <c r="H55" i="132"/>
  <c r="I55" i="132" s="1"/>
  <c r="J32" i="185"/>
  <c r="Q24" i="185"/>
  <c r="J22" i="133"/>
  <c r="I38" i="185"/>
  <c r="I42" i="185" s="1"/>
  <c r="G38" i="185"/>
  <c r="G42" i="185" s="1"/>
  <c r="H22" i="133"/>
  <c r="H26" i="133" s="1"/>
  <c r="H28" i="133" s="1"/>
  <c r="H30" i="133" s="1"/>
  <c r="H38" i="185"/>
  <c r="H42" i="185" s="1"/>
  <c r="I22" i="133"/>
  <c r="C26" i="136"/>
  <c r="C24" i="136"/>
  <c r="E12" i="136"/>
  <c r="G12" i="136" s="1"/>
  <c r="C76" i="138"/>
  <c r="G42" i="242"/>
  <c r="G43" i="242" s="1"/>
  <c r="D50" i="242"/>
  <c r="R13" i="185"/>
  <c r="K13" i="185"/>
  <c r="K24" i="185" s="1"/>
  <c r="K32" i="185" s="1"/>
  <c r="S19" i="185"/>
  <c r="C10" i="358"/>
  <c r="L13" i="185"/>
  <c r="L24" i="185" s="1"/>
  <c r="L32" i="185" s="1"/>
  <c r="P13" i="185"/>
  <c r="P24" i="185" s="1"/>
  <c r="P32" i="185" s="1"/>
  <c r="P38" i="185" s="1"/>
  <c r="P42" i="185" s="1"/>
  <c r="O13" i="185"/>
  <c r="O24" i="185" s="1"/>
  <c r="O32" i="185" s="1"/>
  <c r="O38" i="185" s="1"/>
  <c r="O42" i="185" s="1"/>
  <c r="D49" i="138"/>
  <c r="N24" i="185"/>
  <c r="M13" i="185"/>
  <c r="M24" i="185" s="1"/>
  <c r="M32" i="185" s="1"/>
  <c r="E31" i="242"/>
  <c r="E42" i="242" s="1"/>
  <c r="D6" i="367"/>
  <c r="D39" i="212"/>
  <c r="D41" i="212" s="1"/>
  <c r="D43" i="212" s="1"/>
  <c r="G34" i="212"/>
  <c r="H34" i="212" s="1"/>
  <c r="E32" i="212"/>
  <c r="E39" i="212" s="1"/>
  <c r="E41" i="212" s="1"/>
  <c r="E43" i="212" s="1"/>
  <c r="H46" i="212"/>
  <c r="I46" i="212" s="1"/>
  <c r="G40" i="212"/>
  <c r="F375" i="212"/>
  <c r="E378" i="212"/>
  <c r="J13" i="393"/>
  <c r="M15" i="393"/>
  <c r="M17" i="393" s="1"/>
  <c r="C84" i="138" l="1"/>
  <c r="C78" i="138"/>
  <c r="G30" i="137"/>
  <c r="G36" i="137" s="1"/>
  <c r="F10" i="358"/>
  <c r="F24" i="358" s="1"/>
  <c r="G10" i="358"/>
  <c r="G24" i="358" s="1"/>
  <c r="C24" i="358"/>
  <c r="M22" i="133"/>
  <c r="L38" i="185"/>
  <c r="L42" i="185" s="1"/>
  <c r="E382" i="212"/>
  <c r="C116" i="212" s="1"/>
  <c r="F378" i="212"/>
  <c r="F382" i="212" s="1"/>
  <c r="H42" i="242"/>
  <c r="H43" i="242" s="1"/>
  <c r="E50" i="242"/>
  <c r="C36" i="136"/>
  <c r="G38" i="137"/>
  <c r="K43" i="133"/>
  <c r="K22" i="133"/>
  <c r="K26" i="133" s="1"/>
  <c r="K28" i="133" s="1"/>
  <c r="K30" i="133" s="1"/>
  <c r="K34" i="133" s="1"/>
  <c r="J38" i="185"/>
  <c r="Q32" i="185"/>
  <c r="D44" i="212"/>
  <c r="D55" i="212"/>
  <c r="L22" i="133"/>
  <c r="L26" i="133" s="1"/>
  <c r="L28" i="133" s="1"/>
  <c r="L30" i="133" s="1"/>
  <c r="K38" i="185"/>
  <c r="K42" i="185" s="1"/>
  <c r="N22" i="133"/>
  <c r="M38" i="185"/>
  <c r="M42" i="185" s="1"/>
  <c r="R24" i="185"/>
  <c r="H57" i="17"/>
  <c r="C122" i="212"/>
  <c r="H62" i="19"/>
  <c r="I62" i="19" s="1"/>
  <c r="H78" i="17"/>
  <c r="N32" i="185"/>
  <c r="F12" i="136"/>
  <c r="H12" i="136" s="1"/>
  <c r="D76" i="138"/>
  <c r="E54" i="138"/>
  <c r="F54" i="138" s="1"/>
  <c r="G50" i="242"/>
  <c r="D56" i="242"/>
  <c r="H39" i="133"/>
  <c r="I24" i="133"/>
  <c r="I26" i="133" s="1"/>
  <c r="I28" i="133" s="1"/>
  <c r="I30" i="133" s="1"/>
  <c r="H34" i="133"/>
  <c r="H38" i="133" s="1"/>
  <c r="S32" i="185" l="1"/>
  <c r="O43" i="133"/>
  <c r="Q31" i="185"/>
  <c r="N51" i="185"/>
  <c r="T32" i="185"/>
  <c r="I24" i="358"/>
  <c r="O22" i="133"/>
  <c r="O26" i="133" s="1"/>
  <c r="O28" i="133" s="1"/>
  <c r="O30" i="133" s="1"/>
  <c r="O34" i="133" s="1"/>
  <c r="G70" i="330" s="1"/>
  <c r="BF64" i="330" s="1"/>
  <c r="R32" i="185"/>
  <c r="N38" i="185"/>
  <c r="F45" i="138"/>
  <c r="D84" i="138"/>
  <c r="D28" i="136"/>
  <c r="D36" i="136" s="1"/>
  <c r="D38" i="137"/>
  <c r="F38" i="137" s="1"/>
  <c r="I34" i="133"/>
  <c r="I38" i="133" s="1"/>
  <c r="E69" i="328" s="1"/>
  <c r="G69" i="328" s="1"/>
  <c r="J24" i="133"/>
  <c r="J26" i="133" s="1"/>
  <c r="J28" i="133" s="1"/>
  <c r="J30" i="133" s="1"/>
  <c r="I39" i="133"/>
  <c r="J24" i="358"/>
  <c r="E70" i="328"/>
  <c r="G70" i="328" s="1"/>
  <c r="D122" i="212"/>
  <c r="D125" i="212" s="1"/>
  <c r="D128" i="212" s="1"/>
  <c r="D130" i="212" s="1"/>
  <c r="C125" i="212"/>
  <c r="C128" i="212" s="1"/>
  <c r="C130" i="212" s="1"/>
  <c r="D46" i="212"/>
  <c r="D48" i="212" s="1"/>
  <c r="E44" i="212"/>
  <c r="D56" i="212"/>
  <c r="E55" i="212"/>
  <c r="H56" i="17"/>
  <c r="I55" i="17" s="1"/>
  <c r="I57" i="17"/>
  <c r="I58" i="17" s="1"/>
  <c r="D30" i="137"/>
  <c r="D9" i="138"/>
  <c r="C88" i="138"/>
  <c r="L39" i="133"/>
  <c r="M24" i="133"/>
  <c r="M26" i="133" s="1"/>
  <c r="M28" i="133" s="1"/>
  <c r="M30" i="133" s="1"/>
  <c r="L34" i="133"/>
  <c r="H50" i="242"/>
  <c r="E56" i="242"/>
  <c r="D62" i="242"/>
  <c r="G56" i="242"/>
  <c r="D60" i="242"/>
  <c r="D63" i="242" s="1"/>
  <c r="D65" i="242" s="1"/>
  <c r="D66" i="242" s="1"/>
  <c r="J42" i="185"/>
  <c r="C5" i="367"/>
  <c r="C9" i="367" s="1"/>
  <c r="C17" i="367" s="1"/>
  <c r="Q38" i="185"/>
  <c r="D116" i="212"/>
  <c r="D117" i="212" s="1"/>
  <c r="C118" i="212" s="1"/>
  <c r="G61" i="17" s="1"/>
  <c r="C117" i="212"/>
  <c r="E130" i="212" l="1"/>
  <c r="E38" i="137"/>
  <c r="H39" i="137" s="1"/>
  <c r="D38" i="136"/>
  <c r="D39" i="136" s="1"/>
  <c r="E60" i="242"/>
  <c r="E63" i="242" s="1"/>
  <c r="E65" i="242" s="1"/>
  <c r="E66" i="242" s="1"/>
  <c r="E62" i="242"/>
  <c r="H56" i="242"/>
  <c r="J34" i="133"/>
  <c r="J38" i="133" s="1"/>
  <c r="E68" i="328" s="1"/>
  <c r="J39" i="133"/>
  <c r="K39" i="133" s="1"/>
  <c r="F10" i="135"/>
  <c r="F12" i="135" s="1"/>
  <c r="F19" i="135" s="1"/>
  <c r="D36" i="137"/>
  <c r="F30" i="137"/>
  <c r="C22" i="20"/>
  <c r="C27" i="20" s="1"/>
  <c r="C42" i="20" s="1"/>
  <c r="D49" i="212"/>
  <c r="D50" i="212" s="1"/>
  <c r="J44" i="185"/>
  <c r="C67" i="367"/>
  <c r="C68" i="367" s="1"/>
  <c r="C69" i="367" s="1"/>
  <c r="C73" i="367" s="1"/>
  <c r="C74" i="367" s="1"/>
  <c r="D66" i="367" s="1"/>
  <c r="Q42" i="185"/>
  <c r="E46" i="212"/>
  <c r="E48" i="212" s="1"/>
  <c r="G65" i="19"/>
  <c r="G77" i="17"/>
  <c r="G78" i="17" s="1"/>
  <c r="E61" i="17"/>
  <c r="L38" i="133"/>
  <c r="G69" i="330"/>
  <c r="K24" i="358"/>
  <c r="D5" i="367"/>
  <c r="D9" i="367" s="1"/>
  <c r="D17" i="367" s="1"/>
  <c r="N49" i="185"/>
  <c r="Q51" i="185"/>
  <c r="N42" i="185"/>
  <c r="S40" i="185"/>
  <c r="R38" i="185"/>
  <c r="D78" i="138"/>
  <c r="D7" i="138"/>
  <c r="M39" i="133"/>
  <c r="M34" i="133"/>
  <c r="N24" i="133"/>
  <c r="N26" i="133" s="1"/>
  <c r="N28" i="133" s="1"/>
  <c r="N30" i="133" s="1"/>
  <c r="E56" i="212"/>
  <c r="D58" i="212"/>
  <c r="E58" i="212" s="1"/>
  <c r="K38" i="133" l="1"/>
  <c r="E70" i="329"/>
  <c r="G70" i="329" s="1"/>
  <c r="K40" i="133"/>
  <c r="K45" i="133"/>
  <c r="F61" i="17"/>
  <c r="E77" i="17"/>
  <c r="E78" i="17" s="1"/>
  <c r="E81" i="17" s="1"/>
  <c r="E65" i="19"/>
  <c r="N34" i="133"/>
  <c r="N39" i="133"/>
  <c r="O39" i="133" s="1"/>
  <c r="I65" i="19"/>
  <c r="G75" i="19"/>
  <c r="G77" i="19" s="1"/>
  <c r="G81" i="19" s="1"/>
  <c r="G81" i="17"/>
  <c r="I78" i="17"/>
  <c r="M38" i="133"/>
  <c r="E69" i="329" s="1"/>
  <c r="G69" i="329" s="1"/>
  <c r="G68" i="330"/>
  <c r="F36" i="137"/>
  <c r="F40" i="137" s="1"/>
  <c r="F41" i="137" s="1"/>
  <c r="D39" i="137"/>
  <c r="D43" i="137" s="1"/>
  <c r="I26" i="136"/>
  <c r="I28" i="136" s="1"/>
  <c r="N44" i="185"/>
  <c r="H81" i="19"/>
  <c r="H77" i="19"/>
  <c r="I77" i="19" s="1"/>
  <c r="R42" i="185"/>
  <c r="J30" i="137"/>
  <c r="J37" i="137" s="1"/>
  <c r="J40" i="137" s="1"/>
  <c r="J41" i="137" s="1"/>
  <c r="D88" i="138"/>
  <c r="D89" i="138" s="1"/>
  <c r="D86" i="138"/>
  <c r="E78" i="138"/>
  <c r="E30" i="137"/>
  <c r="BF55" i="330"/>
  <c r="E69" i="330"/>
  <c r="BF61" i="330"/>
  <c r="BF58" i="330"/>
  <c r="BF56" i="330"/>
  <c r="BF63" i="330"/>
  <c r="BF59" i="330"/>
  <c r="BF62" i="330"/>
  <c r="BF60" i="330"/>
  <c r="BF57" i="330"/>
  <c r="G382" i="212"/>
  <c r="C38" i="136"/>
  <c r="C39" i="136" s="1"/>
  <c r="E71" i="328"/>
  <c r="G71" i="328" s="1"/>
  <c r="G68" i="328"/>
  <c r="I81" i="19" l="1"/>
  <c r="J81" i="19" s="1"/>
  <c r="G67" i="330"/>
  <c r="N38" i="133"/>
  <c r="E68" i="329" s="1"/>
  <c r="BF40" i="330"/>
  <c r="BF53" i="330"/>
  <c r="BF41" i="330"/>
  <c r="BF46" i="330"/>
  <c r="BF51" i="330"/>
  <c r="BF39" i="330"/>
  <c r="BF44" i="330"/>
  <c r="BF42" i="330"/>
  <c r="BF50" i="330"/>
  <c r="BF47" i="330"/>
  <c r="BF38" i="330"/>
  <c r="E68" i="330"/>
  <c r="BF52" i="330"/>
  <c r="BF45" i="330"/>
  <c r="BF49" i="330"/>
  <c r="BF43" i="330"/>
  <c r="BF48" i="330"/>
  <c r="AB54" i="329"/>
  <c r="AZ53" i="330" s="1"/>
  <c r="BA53" i="330" s="1"/>
  <c r="E37" i="157" s="1"/>
  <c r="AB41" i="329"/>
  <c r="AZ40" i="330" s="1"/>
  <c r="BA40" i="330" s="1"/>
  <c r="E15" i="157" s="1"/>
  <c r="AB48" i="329"/>
  <c r="AZ47" i="330" s="1"/>
  <c r="BA47" i="330" s="1"/>
  <c r="E26" i="157" s="1"/>
  <c r="AB45" i="329"/>
  <c r="AZ44" i="330" s="1"/>
  <c r="BA44" i="330" s="1"/>
  <c r="E23" i="157" s="1"/>
  <c r="AB50" i="329"/>
  <c r="AZ49" i="330" s="1"/>
  <c r="BA49" i="330" s="1"/>
  <c r="AB47" i="329"/>
  <c r="AZ46" i="330" s="1"/>
  <c r="BA46" i="330" s="1"/>
  <c r="E25" i="157" s="1"/>
  <c r="AB53" i="329"/>
  <c r="AZ52" i="330" s="1"/>
  <c r="BA52" i="330" s="1"/>
  <c r="E31" i="157" s="1"/>
  <c r="AB49" i="329"/>
  <c r="AZ48" i="330" s="1"/>
  <c r="BA48" i="330" s="1"/>
  <c r="AB44" i="329"/>
  <c r="AZ43" i="330" s="1"/>
  <c r="BA43" i="330" s="1"/>
  <c r="E19" i="157" s="1"/>
  <c r="AB51" i="329"/>
  <c r="AZ50" i="330" s="1"/>
  <c r="BA50" i="330" s="1"/>
  <c r="AB46" i="329"/>
  <c r="AZ45" i="330" s="1"/>
  <c r="BA45" i="330" s="1"/>
  <c r="E20" i="157" s="1"/>
  <c r="AB39" i="329"/>
  <c r="AZ38" i="330" s="1"/>
  <c r="BA38" i="330" s="1"/>
  <c r="E12" i="157" s="1"/>
  <c r="AB52" i="329"/>
  <c r="AZ51" i="330" s="1"/>
  <c r="BA51" i="330" s="1"/>
  <c r="AB43" i="329"/>
  <c r="AZ42" i="330" s="1"/>
  <c r="BA42" i="330" s="1"/>
  <c r="E22" i="157" s="1"/>
  <c r="AB42" i="329"/>
  <c r="AZ41" i="330" s="1"/>
  <c r="BA41" i="330" s="1"/>
  <c r="E16" i="157" s="1"/>
  <c r="AB40" i="329"/>
  <c r="AZ39" i="330" s="1"/>
  <c r="BA39" i="330" s="1"/>
  <c r="F77" i="17"/>
  <c r="F78" i="17" s="1"/>
  <c r="F81" i="17" s="1"/>
  <c r="F65" i="19"/>
  <c r="G10" i="135"/>
  <c r="G12" i="135" s="1"/>
  <c r="G19" i="135" s="1"/>
  <c r="E36" i="137"/>
  <c r="H30" i="137"/>
  <c r="H36" i="137" s="1"/>
  <c r="D22" i="20"/>
  <c r="D27" i="20" s="1"/>
  <c r="D42" i="20" s="1"/>
  <c r="D67" i="367"/>
  <c r="D68" i="367" s="1"/>
  <c r="D69" i="367" s="1"/>
  <c r="D73" i="367" s="1"/>
  <c r="D74" i="367" s="1"/>
  <c r="N47" i="185"/>
  <c r="N48" i="185" s="1"/>
  <c r="F47" i="138"/>
  <c r="N45" i="185"/>
  <c r="Q45" i="185" s="1"/>
  <c r="Q43" i="185"/>
  <c r="O38" i="133"/>
  <c r="AB63" i="329"/>
  <c r="AZ62" i="330" s="1"/>
  <c r="BA62" i="330" s="1"/>
  <c r="B31" i="157" s="1"/>
  <c r="AB56" i="329"/>
  <c r="AZ55" i="330" s="1"/>
  <c r="BA55" i="330" s="1"/>
  <c r="AB57" i="329"/>
  <c r="AZ56" i="330" s="1"/>
  <c r="BA56" i="330" s="1"/>
  <c r="B26" i="157" s="1"/>
  <c r="AB61" i="329"/>
  <c r="AZ60" i="330" s="1"/>
  <c r="BA60" i="330" s="1"/>
  <c r="AB60" i="329"/>
  <c r="AZ59" i="330" s="1"/>
  <c r="BA59" i="330" s="1"/>
  <c r="B29" i="157" s="1"/>
  <c r="AB64" i="329"/>
  <c r="AZ63" i="330" s="1"/>
  <c r="BA63" i="330" s="1"/>
  <c r="B37" i="157" s="1"/>
  <c r="AB62" i="329"/>
  <c r="AZ61" i="330" s="1"/>
  <c r="BA61" i="330" s="1"/>
  <c r="B33" i="157" s="1"/>
  <c r="AB58" i="329"/>
  <c r="AZ57" i="330" s="1"/>
  <c r="BA57" i="330" s="1"/>
  <c r="B27" i="157" s="1"/>
  <c r="K27" i="157" s="1"/>
  <c r="AB59" i="329"/>
  <c r="AZ58" i="330" s="1"/>
  <c r="BA58" i="330" s="1"/>
  <c r="E39" i="137" l="1"/>
  <c r="E43" i="137" s="1"/>
  <c r="H37" i="137"/>
  <c r="H40" i="137" s="1"/>
  <c r="H41" i="137" s="1"/>
  <c r="E71" i="329"/>
  <c r="G71" i="329" s="1"/>
  <c r="AB65" i="329" s="1"/>
  <c r="AZ64" i="330" s="1"/>
  <c r="BA64" i="330" s="1"/>
  <c r="K37" i="157" s="1"/>
  <c r="G68" i="329"/>
  <c r="O40" i="133"/>
  <c r="O45" i="133"/>
  <c r="BF19" i="330"/>
  <c r="BF26" i="330"/>
  <c r="E67" i="330"/>
  <c r="E70" i="330" s="1"/>
  <c r="D71" i="330" s="1"/>
  <c r="BG47" i="330" s="1"/>
  <c r="BF12" i="330"/>
  <c r="BF24" i="330"/>
  <c r="BF28" i="330"/>
  <c r="BF27" i="330"/>
  <c r="BF32" i="330"/>
  <c r="BF30" i="330"/>
  <c r="BF29" i="330"/>
  <c r="BF36" i="330"/>
  <c r="BF33" i="330"/>
  <c r="BF13" i="330"/>
  <c r="BF25" i="330"/>
  <c r="BF34" i="330"/>
  <c r="BF35" i="330"/>
  <c r="BF31" i="330"/>
  <c r="BH47" i="330" l="1"/>
  <c r="G26" i="157" s="1"/>
  <c r="F26" i="157"/>
  <c r="BG29" i="330"/>
  <c r="BG31" i="330"/>
  <c r="BG32" i="330"/>
  <c r="BG42" i="330"/>
  <c r="BG53" i="330"/>
  <c r="BG26" i="330"/>
  <c r="BG49" i="330"/>
  <c r="BG45" i="330"/>
  <c r="BG43" i="330"/>
  <c r="BG52" i="330"/>
  <c r="BG64" i="330"/>
  <c r="BG55" i="330"/>
  <c r="BG62" i="330"/>
  <c r="BG59" i="330"/>
  <c r="BG56" i="330"/>
  <c r="BG61" i="330"/>
  <c r="BG57" i="330"/>
  <c r="BG60" i="330"/>
  <c r="BG63" i="330"/>
  <c r="BG58" i="330"/>
  <c r="BG44" i="330"/>
  <c r="BG35" i="330"/>
  <c r="BG34" i="330"/>
  <c r="BG25" i="330"/>
  <c r="BG28" i="330"/>
  <c r="BG51" i="330"/>
  <c r="BG41" i="330"/>
  <c r="BG36" i="330"/>
  <c r="BG19" i="330"/>
  <c r="BG39" i="330"/>
  <c r="BG13" i="330"/>
  <c r="BH13" i="330" s="1"/>
  <c r="BG24" i="330"/>
  <c r="BG40" i="330"/>
  <c r="BG38" i="330"/>
  <c r="BG48" i="330"/>
  <c r="BG30" i="330"/>
  <c r="BG27" i="330"/>
  <c r="BG33" i="330"/>
  <c r="BG12" i="330"/>
  <c r="BH12" i="330" s="1"/>
  <c r="AB27" i="329"/>
  <c r="AZ26" i="330" s="1"/>
  <c r="BA26" i="330" s="1"/>
  <c r="H15" i="157" s="1"/>
  <c r="AB14" i="329"/>
  <c r="AZ13" i="330" s="1"/>
  <c r="BA13" i="330" s="1"/>
  <c r="AB20" i="329"/>
  <c r="AZ19" i="330" s="1"/>
  <c r="BA19" i="330" s="1"/>
  <c r="H12" i="157" s="1"/>
  <c r="AB25" i="329"/>
  <c r="AZ24" i="330" s="1"/>
  <c r="BA24" i="330" s="1"/>
  <c r="H13" i="157" s="1"/>
  <c r="AB32" i="329"/>
  <c r="AZ31" i="330" s="1"/>
  <c r="BA31" i="330" s="1"/>
  <c r="H21" i="157" s="1"/>
  <c r="AB31" i="329"/>
  <c r="AZ30" i="330" s="1"/>
  <c r="BA30" i="330" s="1"/>
  <c r="H20" i="157" s="1"/>
  <c r="AB34" i="329"/>
  <c r="AZ33" i="330" s="1"/>
  <c r="BA33" i="330" s="1"/>
  <c r="H25" i="157" s="1"/>
  <c r="AB36" i="329"/>
  <c r="AZ35" i="330" s="1"/>
  <c r="BA35" i="330" s="1"/>
  <c r="H26" i="157" s="1"/>
  <c r="AB28" i="329"/>
  <c r="AZ27" i="330" s="1"/>
  <c r="BA27" i="330" s="1"/>
  <c r="H16" i="157" s="1"/>
  <c r="AB26" i="329"/>
  <c r="AZ25" i="330" s="1"/>
  <c r="BA25" i="330" s="1"/>
  <c r="H14" i="157" s="1"/>
  <c r="AB13" i="329"/>
  <c r="AZ12" i="330" s="1"/>
  <c r="BA12" i="330" s="1"/>
  <c r="AB37" i="329"/>
  <c r="AZ36" i="330" s="1"/>
  <c r="BA36" i="330" s="1"/>
  <c r="H37" i="157" s="1"/>
  <c r="AB29" i="329"/>
  <c r="AZ28" i="330" s="1"/>
  <c r="BA28" i="330" s="1"/>
  <c r="H17" i="157" s="1"/>
  <c r="AB30" i="329"/>
  <c r="AZ29" i="330" s="1"/>
  <c r="BA29" i="330" s="1"/>
  <c r="H18" i="157" s="1"/>
  <c r="AB33" i="329"/>
  <c r="AZ32" i="330" s="1"/>
  <c r="BA32" i="330" s="1"/>
  <c r="H24" i="157" s="1"/>
  <c r="K24" i="157" s="1"/>
  <c r="AB35" i="329"/>
  <c r="AZ34" i="330" s="1"/>
  <c r="BA34" i="330" s="1"/>
  <c r="H23" i="157" s="1"/>
  <c r="BG50" i="330"/>
  <c r="BG46" i="330"/>
  <c r="I25" i="157" l="1"/>
  <c r="BH33" i="330"/>
  <c r="J25" i="157" s="1"/>
  <c r="I26" i="157"/>
  <c r="BH35" i="330"/>
  <c r="J26" i="157" s="1"/>
  <c r="C29" i="157"/>
  <c r="L29" i="157" s="1"/>
  <c r="BH59" i="330"/>
  <c r="D29" i="157" s="1"/>
  <c r="BH26" i="330"/>
  <c r="J15" i="157" s="1"/>
  <c r="I15" i="157"/>
  <c r="I16" i="157"/>
  <c r="BH27" i="330"/>
  <c r="J16" i="157" s="1"/>
  <c r="I12" i="157"/>
  <c r="BH19" i="330"/>
  <c r="J12" i="157" s="1"/>
  <c r="BH44" i="330"/>
  <c r="G23" i="157" s="1"/>
  <c r="F23" i="157"/>
  <c r="BH62" i="330"/>
  <c r="D31" i="157" s="1"/>
  <c r="C31" i="157"/>
  <c r="L31" i="157" s="1"/>
  <c r="BH53" i="330"/>
  <c r="G37" i="157" s="1"/>
  <c r="F37" i="157"/>
  <c r="F40" i="157" s="1"/>
  <c r="BH30" i="330"/>
  <c r="J20" i="157" s="1"/>
  <c r="I20" i="157"/>
  <c r="I37" i="157"/>
  <c r="BH36" i="330"/>
  <c r="J37" i="157" s="1"/>
  <c r="BH42" i="330"/>
  <c r="G22" i="157" s="1"/>
  <c r="M22" i="157" s="1"/>
  <c r="F22" i="157"/>
  <c r="L22" i="157" s="1"/>
  <c r="BH41" i="330"/>
  <c r="G16" i="157" s="1"/>
  <c r="F16" i="157"/>
  <c r="L16" i="157" s="1"/>
  <c r="C37" i="157"/>
  <c r="BH63" i="330"/>
  <c r="D37" i="157" s="1"/>
  <c r="L37" i="157"/>
  <c r="BH64" i="330"/>
  <c r="M37" i="157" s="1"/>
  <c r="BH32" i="330"/>
  <c r="J24" i="157" s="1"/>
  <c r="M24" i="157" s="1"/>
  <c r="I24" i="157"/>
  <c r="L24" i="157" s="1"/>
  <c r="F12" i="157"/>
  <c r="L12" i="157" s="1"/>
  <c r="BH38" i="330"/>
  <c r="G12" i="157" s="1"/>
  <c r="F31" i="157"/>
  <c r="G31" i="157"/>
  <c r="BH52" i="330"/>
  <c r="BH31" i="330"/>
  <c r="J21" i="157" s="1"/>
  <c r="M21" i="157" s="1"/>
  <c r="I21" i="157"/>
  <c r="L21" i="157" s="1"/>
  <c r="F25" i="157"/>
  <c r="L25" i="157" s="1"/>
  <c r="BH46" i="330"/>
  <c r="G25" i="157" s="1"/>
  <c r="BH40" i="330"/>
  <c r="G15" i="157" s="1"/>
  <c r="F15" i="157"/>
  <c r="I17" i="157"/>
  <c r="L17" i="157" s="1"/>
  <c r="BH28" i="330"/>
  <c r="J17" i="157" s="1"/>
  <c r="M17" i="157" s="1"/>
  <c r="BH57" i="330"/>
  <c r="D27" i="157" s="1"/>
  <c r="M27" i="157" s="1"/>
  <c r="C27" i="157"/>
  <c r="L27" i="157" s="1"/>
  <c r="BH43" i="330"/>
  <c r="G19" i="157" s="1"/>
  <c r="F19" i="157"/>
  <c r="L19" i="157" s="1"/>
  <c r="I18" i="157"/>
  <c r="L18" i="157" s="1"/>
  <c r="BH29" i="330"/>
  <c r="J18" i="157" s="1"/>
  <c r="M18" i="157" s="1"/>
  <c r="I13" i="157"/>
  <c r="L13" i="157" s="1"/>
  <c r="BH24" i="330"/>
  <c r="J13" i="157" s="1"/>
  <c r="M13" i="157" s="1"/>
  <c r="BH25" i="330"/>
  <c r="J14" i="157" s="1"/>
  <c r="M14" i="157" s="1"/>
  <c r="I14" i="157"/>
  <c r="L14" i="157" s="1"/>
  <c r="BH61" i="330"/>
  <c r="D33" i="157" s="1"/>
  <c r="C33" i="157"/>
  <c r="L33" i="157" s="1"/>
  <c r="BH45" i="330"/>
  <c r="G20" i="157" s="1"/>
  <c r="F20" i="157"/>
  <c r="L20" i="157" s="1"/>
  <c r="BH34" i="330"/>
  <c r="J23" i="157" s="1"/>
  <c r="I23" i="157"/>
  <c r="BH56" i="330"/>
  <c r="D26" i="157" s="1"/>
  <c r="C26" i="157"/>
  <c r="L26" i="157" s="1"/>
  <c r="L15" i="157" l="1"/>
  <c r="L23" i="157"/>
</calcChain>
</file>

<file path=xl/sharedStrings.xml><?xml version="1.0" encoding="utf-8"?>
<sst xmlns="http://schemas.openxmlformats.org/spreadsheetml/2006/main" count="23046" uniqueCount="8515">
  <si>
    <t>2A</t>
  </si>
  <si>
    <t>Special Appropriation</t>
  </si>
  <si>
    <t>Return on equity</t>
  </si>
  <si>
    <t>Revenue subsidy from the Govt.</t>
  </si>
  <si>
    <t>Total Revenue Requirement (5 - 6 - 7)</t>
  </si>
  <si>
    <t>Revenue from tariffs (full year)</t>
  </si>
  <si>
    <t>EHT metering arrangement without meter</t>
  </si>
  <si>
    <t>RECONNECTION CHARGES</t>
  </si>
  <si>
    <t>Three phase L.T. consumer</t>
  </si>
  <si>
    <t>BASIS OF CALCULATION OF MONTHLY METER RENT</t>
  </si>
  <si>
    <t>RATE MAKING</t>
  </si>
  <si>
    <t>(D)</t>
  </si>
  <si>
    <t>Purchase of Inventory</t>
  </si>
  <si>
    <t>Difference</t>
  </si>
  <si>
    <t>Purchase of Capital Stock</t>
  </si>
  <si>
    <t>Kutir Jyoti Consumers</t>
  </si>
  <si>
    <t>3500-92(5)-3960-103(6)-4578-118(18)-6720</t>
  </si>
  <si>
    <t>Amorisation of RA/ Special Appro</t>
  </si>
  <si>
    <t xml:space="preserve">3. AT &amp; C Loss </t>
  </si>
  <si>
    <t xml:space="preserve">Proposed </t>
  </si>
  <si>
    <t>Approved</t>
  </si>
  <si>
    <t>Actual for 1st Six Month</t>
  </si>
  <si>
    <t xml:space="preserve">Revised Estimate </t>
  </si>
  <si>
    <t>Input MU</t>
  </si>
  <si>
    <t>Sale MU</t>
  </si>
  <si>
    <t>T&amp;D Loss</t>
  </si>
  <si>
    <t>AT &amp; C Loss</t>
  </si>
  <si>
    <t>SOUTHCO</t>
  </si>
  <si>
    <t>Incentive for arrear Collection</t>
  </si>
  <si>
    <t>CONSOLIDATED REPORT ON CAPITAL WORK-IN-PROGRESS</t>
  </si>
  <si>
    <t>Scheme/ Job description</t>
  </si>
  <si>
    <t>Opening balance</t>
  </si>
  <si>
    <t>Additions</t>
  </si>
  <si>
    <t xml:space="preserve">Capitalisa-tion </t>
  </si>
  <si>
    <t>Adjust-ments</t>
  </si>
  <si>
    <t>Closing balance</t>
  </si>
  <si>
    <t>Last activity month</t>
  </si>
  <si>
    <t>Int.</t>
  </si>
  <si>
    <t>Network Assets</t>
  </si>
  <si>
    <t>Note : The scheme/jobs may be grouped as stated in statement II of Annexure V to Indian Electricity Rules, 1956.</t>
  </si>
  <si>
    <t>CONSOLIDATED REPORT ON INVENTORY HOLDING</t>
  </si>
  <si>
    <t>Stock as at</t>
  </si>
  <si>
    <t>Inventory Holding</t>
  </si>
  <si>
    <t>For the Quarter/month</t>
  </si>
  <si>
    <t>Year to date</t>
  </si>
  <si>
    <t>(in months)</t>
  </si>
  <si>
    <t>Transmission business</t>
  </si>
  <si>
    <t>Transformers</t>
  </si>
  <si>
    <t>Shareholders’ Funds</t>
  </si>
  <si>
    <t>Share Capital</t>
  </si>
  <si>
    <t>Reserves and Surplus</t>
  </si>
  <si>
    <t>Loan Funds</t>
  </si>
  <si>
    <t>Secured Loans</t>
  </si>
  <si>
    <t>(ii) Average cash and bank balance</t>
  </si>
  <si>
    <t xml:space="preserve">(i) Average cost of stores </t>
  </si>
  <si>
    <t>1.01.2012</t>
  </si>
  <si>
    <t xml:space="preserve">M/s JCL </t>
  </si>
  <si>
    <t>1.04.2011</t>
  </si>
  <si>
    <t>made</t>
  </si>
  <si>
    <t>( C ) Sales projection for the existing HT industries with CD&gt;=1MVA as well as those awaiting to avail additional power during FY 2011-12</t>
  </si>
  <si>
    <t>1.09.2011</t>
  </si>
  <si>
    <t>Existing consumer Load reduced due to Force majeure Condition</t>
  </si>
  <si>
    <t>Load will be shifted to 132 KV from Dec-10</t>
  </si>
  <si>
    <t>Tata Steel Limited</t>
  </si>
  <si>
    <t>Excess or deficit of clear profit over reasonable return</t>
  </si>
  <si>
    <t>No. of  BPL HH to be Electrified</t>
  </si>
  <si>
    <t>No. of Block to be Electrified</t>
  </si>
  <si>
    <t>9350-325-14550</t>
  </si>
  <si>
    <t>E-4</t>
  </si>
  <si>
    <t>8000-275-13500</t>
  </si>
  <si>
    <t>E-3</t>
  </si>
  <si>
    <t>6500-225-11000</t>
  </si>
  <si>
    <t>E-2</t>
  </si>
  <si>
    <t>Junior Manager</t>
  </si>
  <si>
    <t>5000-150-8000</t>
  </si>
  <si>
    <t>E-1</t>
  </si>
  <si>
    <t>Management Trainee</t>
  </si>
  <si>
    <t>Int. at the end of  the year</t>
  </si>
  <si>
    <t>CAPEX</t>
  </si>
  <si>
    <t>Calculation of Differential interest</t>
  </si>
  <si>
    <t>30.09.2000 to 31.03.2001</t>
  </si>
  <si>
    <t>Receivable from  GRIDCO</t>
  </si>
  <si>
    <t>Arrear Salary(6th Pay &amp; Wage Board)</t>
  </si>
  <si>
    <t xml:space="preserve">Employee Cost </t>
  </si>
  <si>
    <t>1st Instalment due on</t>
  </si>
  <si>
    <t>Ensuing year with existing tariffs - Approved</t>
  </si>
  <si>
    <t>Loans &amp; Advances Paid</t>
  </si>
  <si>
    <t>Closing Balance</t>
  </si>
  <si>
    <t>Form No. F. 39</t>
  </si>
  <si>
    <t>Additional Financial Informations</t>
  </si>
  <si>
    <t xml:space="preserve">Working Capital </t>
  </si>
  <si>
    <t>Current assets</t>
  </si>
  <si>
    <t>a</t>
  </si>
  <si>
    <t>Receivable from sale of power</t>
  </si>
  <si>
    <t>b</t>
  </si>
  <si>
    <t>Inventory (O&amp;M)</t>
  </si>
  <si>
    <t>c</t>
  </si>
  <si>
    <t>d</t>
  </si>
  <si>
    <t>Other receivables</t>
  </si>
  <si>
    <t>The amount of loan -  APDRP</t>
  </si>
  <si>
    <t>The amount of REC  Loan  for counterfund funding for  APDRP</t>
  </si>
  <si>
    <t>Circuit Breaker</t>
  </si>
  <si>
    <t>Rs. in Crore</t>
  </si>
  <si>
    <t>For 2009-10</t>
  </si>
  <si>
    <t>01.10.2001 to 31.03.2002</t>
  </si>
  <si>
    <t>01.04.2002 to 30.09.2002</t>
  </si>
  <si>
    <t>3210-73(7)-3721-83(8)-4385-93(12)-5501</t>
  </si>
  <si>
    <t>Skilled- A</t>
  </si>
  <si>
    <t>Skilled- B</t>
  </si>
  <si>
    <t>Skilled- C</t>
  </si>
  <si>
    <t>3670-103(5)-4185-118(5)-4775-128(18)-7079</t>
  </si>
  <si>
    <t>4090-118(5)-4680-128(5)-5320-138(19)-7942</t>
  </si>
  <si>
    <t>Unskilled</t>
  </si>
  <si>
    <t>2620-57(7)-3010-65(8)-3639-73(19)-4926</t>
  </si>
  <si>
    <t>Tariff filing data</t>
  </si>
  <si>
    <t>RIMS data</t>
  </si>
  <si>
    <t>Others</t>
  </si>
  <si>
    <t>Insurance</t>
  </si>
  <si>
    <t>Depreciation</t>
  </si>
  <si>
    <t>Buildings</t>
  </si>
  <si>
    <t>Overhead lines</t>
  </si>
  <si>
    <t>Vehicles</t>
  </si>
  <si>
    <t>Bad debt</t>
  </si>
  <si>
    <t>Revised estimate for Current Financial Year</t>
  </si>
  <si>
    <t>OERC</t>
  </si>
  <si>
    <t>INFORMATION ON BLOCK CAPITAL</t>
  </si>
  <si>
    <t>A.</t>
  </si>
  <si>
    <t xml:space="preserve">STATEMENT OF SHARE CAPITAL </t>
  </si>
  <si>
    <t>Description of capital</t>
  </si>
  <si>
    <t>Balance at the beginning of the year</t>
  </si>
  <si>
    <t>Receipts during the year</t>
  </si>
  <si>
    <t>Redeemed during the year</t>
  </si>
  <si>
    <t>Head Clerk</t>
  </si>
  <si>
    <t>Clerk-A</t>
  </si>
  <si>
    <t>Jr. Acct</t>
  </si>
  <si>
    <t>Dftary</t>
  </si>
  <si>
    <t>L.T. Consumers(S.D)</t>
  </si>
  <si>
    <t>HT &amp; EHT (SD)</t>
  </si>
  <si>
    <t>Collection Efficiency</t>
  </si>
  <si>
    <t>Reasonable Return</t>
  </si>
  <si>
    <t>Demmurage and Wharfage on materials</t>
  </si>
  <si>
    <t>STATEMENT OF FIXED ASSET AND DEPRECIATION</t>
  </si>
  <si>
    <t>Fixed Assets</t>
  </si>
  <si>
    <t>Note : The above list may be made applicable only to assets costing above  a predetermined limit to be set by OERC.</t>
  </si>
  <si>
    <t xml:space="preserve">Capitalised out of Op. CWIP </t>
  </si>
  <si>
    <t>31st March</t>
  </si>
  <si>
    <t>MONTHLY METER RENT</t>
  </si>
  <si>
    <t>Existing</t>
  </si>
  <si>
    <t>Revenue Relief due to prompt payment rebate (Rs. Lakhs)</t>
  </si>
  <si>
    <t>Revenue relief due to power factor incentive (Rs. Lakhs)</t>
  </si>
  <si>
    <t>Revenue from Power factor penalty (Rs. Lakhs)</t>
  </si>
  <si>
    <t>Revenue from DPS (Rs. Lakhs)</t>
  </si>
  <si>
    <t>Manually Entered Data</t>
  </si>
  <si>
    <t>Data from RIMS</t>
  </si>
  <si>
    <t>Securitisation amount excluding DPS</t>
  </si>
  <si>
    <t>Yearly instalment</t>
  </si>
  <si>
    <t>Jeypore Circle</t>
  </si>
  <si>
    <t xml:space="preserve"> TOTAL SALE</t>
  </si>
  <si>
    <t>TOTAL                         REVENUE BILLED FOR EACH CATEGORY</t>
  </si>
  <si>
    <t>AVERAGE                     REVENUE  BILLED</t>
  </si>
  <si>
    <t>IN MU</t>
  </si>
  <si>
    <t>LT Category (A.C.)</t>
  </si>
  <si>
    <t>Direct Current Services</t>
  </si>
  <si>
    <t>OTHERS</t>
  </si>
  <si>
    <t>Sale By Special Agreement</t>
  </si>
  <si>
    <t>Interstate Sale</t>
  </si>
  <si>
    <t>TOTAL SALE</t>
  </si>
  <si>
    <t>T&amp;D LOSS (MU)</t>
  </si>
  <si>
    <t>T&amp;D LOSS (%)</t>
  </si>
  <si>
    <t>HT</t>
  </si>
  <si>
    <t>Allocation of Expenditure</t>
  </si>
  <si>
    <t>Distribution of Power Cost</t>
  </si>
  <si>
    <t>Units Consumed by diff. categories(Ref.F-7)</t>
  </si>
  <si>
    <t>Employee cost      (Ref. F-21)</t>
  </si>
  <si>
    <t xml:space="preserve">A&amp;G Expenditure   (Ref. F-23) </t>
  </si>
  <si>
    <t>Repair &amp; Maintenance Exp.:-</t>
  </si>
  <si>
    <t>Pariculars</t>
  </si>
  <si>
    <t>Unit (MU)</t>
  </si>
  <si>
    <t>OERC (Approval)</t>
  </si>
  <si>
    <t>Estt.</t>
  </si>
  <si>
    <t>Diff.</t>
  </si>
  <si>
    <t>No. of Units - Sale</t>
  </si>
  <si>
    <t>RST per unit</t>
  </si>
  <si>
    <t>Less : Bad Debts</t>
  </si>
  <si>
    <t>Net Sales</t>
  </si>
  <si>
    <t>Total Income</t>
  </si>
  <si>
    <t>Distribution Loss</t>
  </si>
  <si>
    <t>No.of Units-Purchase</t>
  </si>
  <si>
    <t>BST per Unit</t>
  </si>
  <si>
    <t>Distribution Expenses</t>
  </si>
  <si>
    <t>Contigency Reserve</t>
  </si>
  <si>
    <t>Excess/(Deficit)</t>
  </si>
  <si>
    <t>Rs./Kwh</t>
  </si>
  <si>
    <t>Nos</t>
  </si>
  <si>
    <t>RTI EXPENDITURE</t>
  </si>
  <si>
    <t>1. Furniture &amp; Fixtures</t>
  </si>
  <si>
    <t>Rs.</t>
  </si>
  <si>
    <t>(a) Chair</t>
  </si>
  <si>
    <t>(b) Table</t>
  </si>
  <si>
    <t>© Steel Alirah</t>
  </si>
  <si>
    <t>(d) Partition</t>
  </si>
  <si>
    <t>2. Office Equipment</t>
  </si>
  <si>
    <t>(a) Computer</t>
  </si>
  <si>
    <t>(b) Printer</t>
  </si>
  <si>
    <t>© Scanner</t>
  </si>
  <si>
    <t>(d) Internet</t>
  </si>
  <si>
    <t>3. Operational Expenses</t>
  </si>
  <si>
    <t>(a) Electricity  (Rs.500*12)</t>
  </si>
  <si>
    <t>(b) Telephone (Rs.500*12)</t>
  </si>
  <si>
    <t>© Printing &amp; stationary(Rs.1000*12)</t>
  </si>
  <si>
    <t>Addl. A&amp;G Exp.</t>
  </si>
  <si>
    <t>4. Training Expenses</t>
  </si>
  <si>
    <t>Training Schedule-oneday-Two Session</t>
  </si>
  <si>
    <t>5. Awareness Programme</t>
  </si>
  <si>
    <t>ABT Operation &amp; Maintenance Expenses</t>
  </si>
  <si>
    <t>Maintenance of SCADA System</t>
  </si>
  <si>
    <t>Actuals for previous Financial Year</t>
  </si>
  <si>
    <t>Estimates for Ensuing Year</t>
  </si>
  <si>
    <t>2005-06</t>
  </si>
  <si>
    <t>RE / MNP</t>
  </si>
  <si>
    <t>Increment cost  (Rs./kwh)</t>
  </si>
  <si>
    <t>Element of Profit (Rs./kwh) (RROR)</t>
  </si>
  <si>
    <t>Total Cost with profit element</t>
  </si>
  <si>
    <t>Spares</t>
  </si>
  <si>
    <t>Total Cost without profit element</t>
  </si>
  <si>
    <t>Balance (RR)</t>
  </si>
  <si>
    <t>APDRP</t>
  </si>
  <si>
    <t>Steel</t>
  </si>
  <si>
    <t>S &amp; I</t>
  </si>
  <si>
    <t xml:space="preserve">Provision for natural calamities </t>
  </si>
  <si>
    <t>Amount spent</t>
  </si>
  <si>
    <t>Other current liabilities &amp; Provisions</t>
  </si>
  <si>
    <t>Current Liabilities &amp; Provisions</t>
  </si>
  <si>
    <t>Miscellaneous Expenditure to the extent not written-off or adjusted</t>
  </si>
  <si>
    <t>Carrying cost of Past Losses @ 10 % on                    Rs. 40971.66 Lakhs</t>
  </si>
  <si>
    <t>Manpower recruitment</t>
  </si>
  <si>
    <t>Nos. to be recruited</t>
  </si>
  <si>
    <t>Financial impact (Rs. Lacs)</t>
  </si>
  <si>
    <t>Form No. F. 28</t>
  </si>
  <si>
    <t>APDRP Loan</t>
  </si>
  <si>
    <t xml:space="preserve">Overall Distribution Loss (%) </t>
  </si>
  <si>
    <t>Reduction</t>
  </si>
  <si>
    <t>Sales</t>
  </si>
  <si>
    <t>Specified Public Purpose</t>
  </si>
  <si>
    <t>L.T. Industrial</t>
  </si>
  <si>
    <t xml:space="preserve">L.T. </t>
  </si>
  <si>
    <t>Large Industy</t>
  </si>
  <si>
    <t>Power Intensive</t>
  </si>
  <si>
    <t xml:space="preserve">General Purpose </t>
  </si>
  <si>
    <t>LT Industrial (S) Supply</t>
  </si>
  <si>
    <t>LT Industrial (M) Supply</t>
  </si>
  <si>
    <t>Bulk Supply</t>
  </si>
  <si>
    <t>Interest charged to Revenue Account</t>
  </si>
  <si>
    <t>Total Interest</t>
  </si>
  <si>
    <t>01.10.2007</t>
  </si>
  <si>
    <t>2nd Instalment due on</t>
  </si>
  <si>
    <t>3rd Instalment due on</t>
  </si>
  <si>
    <t>No of Con. Billed (Oct-07 to Sep-08)</t>
  </si>
  <si>
    <t>Con. Avai. Rebate</t>
  </si>
  <si>
    <t>Con. Not paid with in rebate date</t>
  </si>
  <si>
    <t>Misc. Colln@ Rs.5/-</t>
  </si>
  <si>
    <t>Permanent</t>
  </si>
  <si>
    <t>DET</t>
  </si>
  <si>
    <t>Jr.Acct</t>
  </si>
  <si>
    <t>Consumer service maintenance</t>
  </si>
  <si>
    <t>Street lighting maintenance</t>
  </si>
  <si>
    <t>Audited</t>
  </si>
  <si>
    <t>As per existing Tariff</t>
  </si>
  <si>
    <t>(G)</t>
  </si>
  <si>
    <t>T&amp;D Loss (%)</t>
  </si>
  <si>
    <t>Taking HT loss 8%</t>
  </si>
  <si>
    <t>Taking HT net work loss 8%</t>
  </si>
  <si>
    <t>% Growth</t>
  </si>
  <si>
    <t>No of employees retiring</t>
  </si>
  <si>
    <t>iii) REC (S.I. )</t>
  </si>
  <si>
    <t>iv) SBI</t>
  </si>
  <si>
    <t>v) WESCO &amp; NESCO</t>
  </si>
  <si>
    <t>vi) UBI</t>
  </si>
  <si>
    <t>vii) REC- CAPEX</t>
  </si>
  <si>
    <t>viii) GoO- CAPEX</t>
  </si>
  <si>
    <t>iii) REC</t>
  </si>
  <si>
    <t>iv) REC (S.I)</t>
  </si>
  <si>
    <t>v) SBI</t>
  </si>
  <si>
    <t>vi) WESCO &amp; NESCO</t>
  </si>
  <si>
    <t>vii) UBI</t>
  </si>
  <si>
    <t>viii) REC- CAPEX</t>
  </si>
  <si>
    <t>ix) GoO- CAPEX</t>
  </si>
  <si>
    <t>Not made</t>
  </si>
  <si>
    <t>SR. DIV. ELECT. ENGG. (TR)</t>
  </si>
  <si>
    <t>Narendrapur</t>
  </si>
  <si>
    <t>MALIGUDA TSS</t>
  </si>
  <si>
    <t>Jaynagar-   Machkund</t>
  </si>
  <si>
    <t>JEYPORE TSS</t>
  </si>
  <si>
    <t>CHARMULA &amp; KUSUMI TSS</t>
  </si>
  <si>
    <t>MANABAR TSS</t>
  </si>
  <si>
    <t>MACHHKUND TSS</t>
  </si>
  <si>
    <t>PADWA TSS</t>
  </si>
  <si>
    <t>M/S H. A. L</t>
  </si>
  <si>
    <t>sunabeda</t>
  </si>
  <si>
    <t>J. K. CORP</t>
  </si>
  <si>
    <t>Therubali</t>
  </si>
  <si>
    <t>Bal. of loan at the beginning of the year</t>
  </si>
  <si>
    <t>Bal. of loan at the end of the year</t>
  </si>
  <si>
    <t>Exchange fluctuation</t>
  </si>
  <si>
    <t>Creation of Capital Assets.</t>
  </si>
  <si>
    <t>Total Revenue</t>
  </si>
  <si>
    <t>Cost of Power</t>
  </si>
  <si>
    <t>Emp Cost</t>
  </si>
  <si>
    <t>R&amp;M</t>
  </si>
  <si>
    <t>Prov for Bad Debt</t>
  </si>
  <si>
    <t>Dep.</t>
  </si>
  <si>
    <t>Int. chargeable to Revenue</t>
  </si>
  <si>
    <t>Sub total</t>
  </si>
  <si>
    <t>Less Exp Capitalised</t>
  </si>
  <si>
    <t>Total of Exp</t>
  </si>
  <si>
    <t>ROE</t>
  </si>
  <si>
    <t>Total Requirement</t>
  </si>
  <si>
    <t>Total GAP</t>
  </si>
  <si>
    <t>Without EHT</t>
  </si>
  <si>
    <t>EHT -Subsidy</t>
  </si>
  <si>
    <t>Total Gap</t>
  </si>
  <si>
    <t>Industrial Small</t>
  </si>
  <si>
    <t>Receivable from GRIDCO</t>
  </si>
  <si>
    <t>Opening Balance</t>
  </si>
  <si>
    <t xml:space="preserve">Police Station </t>
  </si>
  <si>
    <t>Berhampur</t>
  </si>
  <si>
    <t>Chatrapur</t>
  </si>
  <si>
    <t>Kms run</t>
  </si>
  <si>
    <t>Bhanjanagar</t>
  </si>
  <si>
    <t>Boudh</t>
  </si>
  <si>
    <t>Khandamal</t>
  </si>
  <si>
    <t>Gajapati</t>
  </si>
  <si>
    <t>Koraput</t>
  </si>
  <si>
    <t>Rayagada</t>
  </si>
  <si>
    <t>2003-04</t>
  </si>
  <si>
    <t>FORM  F.2</t>
  </si>
  <si>
    <t>Loan repayment to Union Bank of India</t>
  </si>
  <si>
    <t>Semi Skilled -B</t>
  </si>
  <si>
    <t>Total Kms</t>
  </si>
  <si>
    <t>Telephone</t>
  </si>
  <si>
    <t xml:space="preserve">Revenue Reliefs and Penalties </t>
  </si>
  <si>
    <t>Capital cost</t>
  </si>
  <si>
    <t>Rev. Cost</t>
  </si>
  <si>
    <t>Automated Meter Reading System</t>
  </si>
  <si>
    <t>Category</t>
  </si>
  <si>
    <t>Arrear for the FY 2010-11                  (3/7th of diffential amount)</t>
  </si>
  <si>
    <t>Retirement of Manpower</t>
  </si>
  <si>
    <t>Sl No</t>
  </si>
  <si>
    <t>Rank</t>
  </si>
  <si>
    <t>3 Phase Static Trivector Meter</t>
  </si>
  <si>
    <t>3 Phase Static bivector meter</t>
  </si>
  <si>
    <t>General Manager</t>
  </si>
  <si>
    <t>Technical Non-Executive</t>
  </si>
  <si>
    <t>Non-Technical  Non-Executive</t>
  </si>
  <si>
    <t>Lineman-A</t>
  </si>
  <si>
    <t>Lineman-B</t>
  </si>
  <si>
    <t>Lineman-C</t>
  </si>
  <si>
    <t>Jr. Technician</t>
  </si>
  <si>
    <t>Helper</t>
  </si>
  <si>
    <t>Accountant</t>
  </si>
  <si>
    <t>Stenographer</t>
  </si>
  <si>
    <t>Head Asst</t>
  </si>
  <si>
    <t>1st Asst.</t>
  </si>
  <si>
    <t>Particulars of Exp.</t>
  </si>
  <si>
    <t>CWIP trs. To Fix. Assets</t>
  </si>
  <si>
    <t>Capital employed during the year</t>
  </si>
  <si>
    <t>C.</t>
  </si>
  <si>
    <t>Pension</t>
  </si>
  <si>
    <t>Asset withdrawn, if any</t>
  </si>
  <si>
    <t>Note :</t>
  </si>
  <si>
    <t>Balance at the end of the year</t>
  </si>
  <si>
    <t>Remarks</t>
  </si>
  <si>
    <t>Share capital</t>
  </si>
  <si>
    <t>Authorised capital</t>
  </si>
  <si>
    <t>Ordinary shares of Rs.10 Each</t>
  </si>
  <si>
    <t>% preference shares of Rs. Each</t>
  </si>
  <si>
    <t>Issued capital</t>
  </si>
  <si>
    <t>Ordinary shares of Rs. Each</t>
  </si>
  <si>
    <t>Subscribed capital</t>
  </si>
  <si>
    <t>Called-up capital</t>
  </si>
  <si>
    <t>Less calls in arrears</t>
  </si>
  <si>
    <t>Paid up capital</t>
  </si>
  <si>
    <t>Total paid up capital</t>
  </si>
  <si>
    <t>Return on Equity (in Rs. Lakhs)</t>
  </si>
  <si>
    <t>Equity Capital</t>
  </si>
  <si>
    <t>Rate of Return</t>
  </si>
  <si>
    <t>Return on Equity</t>
  </si>
  <si>
    <t>Employee Costs</t>
  </si>
  <si>
    <t>A&amp;G Expenses</t>
  </si>
  <si>
    <t>Cost allocation at various voltages</t>
  </si>
  <si>
    <t>by State Government</t>
  </si>
  <si>
    <t>Total of (I to VI)</t>
  </si>
  <si>
    <t>Total (A+B)</t>
  </si>
  <si>
    <t>Energy Police  Station</t>
  </si>
  <si>
    <t>FY: 2011-12</t>
  </si>
  <si>
    <t>Nos. of E.P.S</t>
  </si>
  <si>
    <t>ENERGY POLICE STATION: SALARY &amp; WAGES</t>
  </si>
  <si>
    <t>Telephone &amp; Mobile expenses</t>
  </si>
  <si>
    <t>Manning</t>
  </si>
  <si>
    <t>Financial impact</t>
  </si>
  <si>
    <t xml:space="preserve">Salary &amp; wages </t>
  </si>
  <si>
    <t>Inspector</t>
  </si>
  <si>
    <t>Sub-Inspector</t>
  </si>
  <si>
    <t>Asst. Sub-Inspector</t>
  </si>
  <si>
    <t>Habildar</t>
  </si>
  <si>
    <t>Constable</t>
  </si>
  <si>
    <t>Driver</t>
  </si>
  <si>
    <t>Followed Orderly</t>
  </si>
  <si>
    <t>Franchisee Expenses</t>
  </si>
  <si>
    <t>Training expenses for the staff 7 days in a year</t>
  </si>
  <si>
    <t>Cash Collection Centre</t>
  </si>
  <si>
    <t>Input based &amp; Collection based franchisee</t>
  </si>
  <si>
    <t>Collection Efficiency (%)</t>
  </si>
  <si>
    <t>Power Purchase Cost</t>
  </si>
  <si>
    <t>Months to be specified</t>
  </si>
  <si>
    <t>Power Purchase from GRIDCO</t>
  </si>
  <si>
    <t>Energy purchased (in MU)</t>
  </si>
  <si>
    <t xml:space="preserve">Bulk Supply Tariff (Rs. Per kWh) </t>
  </si>
  <si>
    <t>Maximum Demand (in MVA)</t>
  </si>
  <si>
    <t>Demand Charge (in Rupees per kVA)</t>
  </si>
  <si>
    <t>Other charges (in Rs. Lakhs)</t>
  </si>
  <si>
    <t>Total Power Purchase Cost</t>
  </si>
  <si>
    <t>2010-11(SIX MONTH)</t>
  </si>
  <si>
    <t>Allied Agricultural</t>
  </si>
  <si>
    <t>Agro Industrial</t>
  </si>
  <si>
    <t>2010-11(1st Six month)</t>
  </si>
  <si>
    <t>Rate</t>
  </si>
  <si>
    <t>(Rs in Lakh)</t>
  </si>
  <si>
    <t>Description</t>
  </si>
  <si>
    <t>Diff</t>
  </si>
  <si>
    <t>Sy. Loss</t>
  </si>
  <si>
    <t>Sy. Loss LT &amp; HT</t>
  </si>
  <si>
    <t>CD0607</t>
  </si>
  <si>
    <t>CD0707</t>
  </si>
  <si>
    <t>Avg Charge</t>
  </si>
  <si>
    <t>Billing Value</t>
  </si>
  <si>
    <t>LT Category Total-----&gt;</t>
  </si>
  <si>
    <t>==&gt; To Pension Fund ( 75.807 )</t>
  </si>
  <si>
    <t>==&gt; To Gratuity Fund ( 75.806 )</t>
  </si>
  <si>
    <t>==&gt; To Leave Encashment ( 75.890 )</t>
  </si>
  <si>
    <t>Gross receipt from Sale of energy less discounts applicable thereto.</t>
  </si>
  <si>
    <t>ii)</t>
  </si>
  <si>
    <t>Rental of meters and other apparatus hired to consumers.</t>
  </si>
  <si>
    <t>iii)</t>
  </si>
  <si>
    <t>iv)</t>
  </si>
  <si>
    <t>Rents</t>
  </si>
  <si>
    <t>v)</t>
  </si>
  <si>
    <t>Transfer fees</t>
  </si>
  <si>
    <t>vi)</t>
  </si>
  <si>
    <t>Interest on investment</t>
  </si>
  <si>
    <t>vii)</t>
  </si>
  <si>
    <t xml:space="preserve">Loss Details - Distribution Loss and Collection Efficiency </t>
  </si>
  <si>
    <t>Distribution Loss (%)</t>
  </si>
  <si>
    <t>Ensuing year</t>
  </si>
  <si>
    <t>As per the ARR submitted by utility</t>
  </si>
  <si>
    <t>RTI Expenses</t>
  </si>
  <si>
    <t>2. The principle followed for allocation of capital expenditure to completed</t>
  </si>
  <si>
    <t xml:space="preserve">    assets and work in progress should be stated.</t>
  </si>
  <si>
    <t>Source :</t>
  </si>
  <si>
    <t>CATEGORYWISE SALE</t>
  </si>
  <si>
    <t>%</t>
  </si>
  <si>
    <t>MU</t>
  </si>
  <si>
    <t>DOMESTIC</t>
  </si>
  <si>
    <t>Skilled</t>
  </si>
  <si>
    <t>Voltage of Supply</t>
  </si>
  <si>
    <t>Kutir Jyoti (&lt;=30KWH)</t>
  </si>
  <si>
    <t>D.D. Charges</t>
  </si>
  <si>
    <t>Man Power position</t>
  </si>
  <si>
    <t>Categories of employees</t>
  </si>
  <si>
    <t>Executive (Nos)</t>
  </si>
  <si>
    <t>Payment to Associates Companies (WESCO &amp; NESCO)</t>
  </si>
  <si>
    <t>Nabarangpur</t>
  </si>
  <si>
    <t>Malkangiri</t>
  </si>
  <si>
    <t xml:space="preserve">Diesel </t>
  </si>
  <si>
    <t>Hire charge</t>
  </si>
  <si>
    <t>Bad Debt</t>
  </si>
  <si>
    <t>Billing as per Actual Meter Reading</t>
  </si>
  <si>
    <t>Arrear Salary</t>
  </si>
  <si>
    <t>Basic Pay, DP &amp; DA</t>
  </si>
  <si>
    <t>Other employee cost</t>
  </si>
  <si>
    <t>FY- 2009-10</t>
  </si>
  <si>
    <t>Actual paid for FY 2009-10</t>
  </si>
  <si>
    <t xml:space="preserve">Differential amount </t>
  </si>
  <si>
    <t>Unmetered supply</t>
  </si>
  <si>
    <t>supply with defective meters</t>
  </si>
  <si>
    <t>Category of Consumers</t>
  </si>
  <si>
    <t>5000/-, 6500/-</t>
  </si>
  <si>
    <t>Highly Skilled -A</t>
  </si>
  <si>
    <t>Highly Skilled -B</t>
  </si>
  <si>
    <t>4830-153(5)-5595-163(5)-6410-173(20)-9870</t>
  </si>
  <si>
    <t>4870-137(5)-5155-153(5)-5920-163(16)-8528</t>
  </si>
  <si>
    <t>ADDITIONAL  A &amp; G EXPENSES</t>
  </si>
  <si>
    <t>Peon/watchman/ Sweeper</t>
  </si>
  <si>
    <t>Store Keeper</t>
  </si>
  <si>
    <t>Draughtsman</t>
  </si>
  <si>
    <t>Fitter</t>
  </si>
  <si>
    <t>Mech. Operator</t>
  </si>
  <si>
    <t>T&amp; P</t>
  </si>
  <si>
    <t>EXECUTIVE</t>
  </si>
  <si>
    <t>TECHNICAL</t>
  </si>
  <si>
    <t>NON-TECH</t>
  </si>
  <si>
    <t>Non-EXECUTIVE</t>
  </si>
  <si>
    <t>Distribution line repairs &amp; maintenance</t>
  </si>
  <si>
    <t>01.10.2002 to 31.03.2003</t>
  </si>
  <si>
    <t>01.04.2003 to 30.09.2003</t>
  </si>
  <si>
    <t>01.10.2003 to 31.03.2004</t>
  </si>
  <si>
    <t>01.04.2004 to 30.09.2004</t>
  </si>
  <si>
    <t>01.10.2004 to 31.03.2005</t>
  </si>
  <si>
    <t>01.04.2005 to 30.09.2005</t>
  </si>
  <si>
    <t>31.12.2005</t>
  </si>
  <si>
    <t>uotp 31.03.2006</t>
  </si>
  <si>
    <t>Less : Payment Made</t>
  </si>
  <si>
    <t>Period</t>
  </si>
  <si>
    <t>Principal</t>
  </si>
  <si>
    <t xml:space="preserve">Repayment </t>
  </si>
  <si>
    <t>Balance Interest Payable</t>
  </si>
  <si>
    <t>Interest Payable upto 31.3.06</t>
  </si>
  <si>
    <t>Employees cost</t>
  </si>
  <si>
    <t>(b)</t>
  </si>
  <si>
    <t>(c)</t>
  </si>
  <si>
    <t>Admn. &amp; General Expenses</t>
  </si>
  <si>
    <t>III.</t>
  </si>
  <si>
    <t xml:space="preserve">Rent, rates and taxes other than all </t>
  </si>
  <si>
    <t>taxed on income &amp; profits</t>
  </si>
  <si>
    <t>IV.</t>
  </si>
  <si>
    <t>Interest on loans, advanced by Gridco</t>
  </si>
  <si>
    <t>Interest on loan borrowed from organisation</t>
  </si>
  <si>
    <t xml:space="preserve">Estimated payment </t>
  </si>
  <si>
    <t>Less: Amount  to be paid</t>
  </si>
  <si>
    <t>Financial Year</t>
  </si>
  <si>
    <t xml:space="preserve">Previous Year </t>
  </si>
  <si>
    <t xml:space="preserve">Current Year </t>
  </si>
  <si>
    <t>Ensuing Year Projected</t>
  </si>
  <si>
    <t>Valuation by OERC                    (M/s Bhudev Chaterjee)</t>
  </si>
  <si>
    <t>Com. Pen: Exe</t>
  </si>
  <si>
    <t>Com. Pen:N- Exe</t>
  </si>
  <si>
    <t>Gratuity: Exec</t>
  </si>
  <si>
    <t>Gratuity: N-Exec</t>
  </si>
  <si>
    <t>Com. Pen:N-Exe</t>
  </si>
  <si>
    <t>Public Lighting</t>
  </si>
  <si>
    <t>Traction</t>
  </si>
  <si>
    <t xml:space="preserve">PURCHASE OF POWER </t>
  </si>
  <si>
    <t>GRIDCO</t>
  </si>
  <si>
    <t>B</t>
  </si>
  <si>
    <t>C</t>
  </si>
  <si>
    <t>D</t>
  </si>
  <si>
    <t>Staff Welfare Expenses</t>
  </si>
  <si>
    <t>(Consumption &gt;100, &lt;=300 Units /month)</t>
  </si>
  <si>
    <t>(Consumption &gt;300 Units /month)</t>
  </si>
  <si>
    <t>Public Lighting (Street Lighting)</t>
  </si>
  <si>
    <t xml:space="preserve">LT General Purpose </t>
  </si>
  <si>
    <t>Sl. No.</t>
  </si>
  <si>
    <t>Over 24 months</t>
  </si>
  <si>
    <t>Other special appropriation permitted</t>
  </si>
  <si>
    <t>Status of clearance from OPTCL</t>
  </si>
  <si>
    <t>L.F considered</t>
  </si>
  <si>
    <t>Agreement</t>
  </si>
  <si>
    <t>P_STATUS</t>
  </si>
  <si>
    <t>U0406</t>
  </si>
  <si>
    <t>(3=1-2)</t>
  </si>
  <si>
    <t xml:space="preserve">Large Industry </t>
  </si>
  <si>
    <t xml:space="preserve">Specified Public Purpose </t>
  </si>
  <si>
    <t>HT Category Total-----&gt;</t>
  </si>
  <si>
    <t>(Consumption &lt;=100 Units /month)</t>
  </si>
  <si>
    <t>Year</t>
  </si>
  <si>
    <t>Carring cost of interest</t>
  </si>
  <si>
    <t>Calculation of Carring cost of SOUTHCO Bond Liability for the yaer 2007-08 ARR</t>
  </si>
  <si>
    <t>Transitional Provision</t>
  </si>
  <si>
    <t>OB</t>
  </si>
  <si>
    <t>Purchase</t>
  </si>
  <si>
    <t>Issue</t>
  </si>
  <si>
    <t>CB</t>
  </si>
  <si>
    <t>Reimbursement of Medical Expenses</t>
  </si>
  <si>
    <t>Leave Travel Concession</t>
  </si>
  <si>
    <t>Reimbursement of House Rent</t>
  </si>
  <si>
    <t>Interest on Security Deposit</t>
  </si>
  <si>
    <t>SECURITISATION OF BST &amp;INTEREST</t>
  </si>
  <si>
    <t>Interst</t>
  </si>
  <si>
    <t>BST dues</t>
  </si>
  <si>
    <t>Interim Relief to Staff</t>
  </si>
  <si>
    <t>Honorarium</t>
  </si>
  <si>
    <t>Payment under Workmen compensation Act</t>
  </si>
  <si>
    <t>No. of Employees per MKWh sold</t>
  </si>
  <si>
    <t xml:space="preserve"> No. of employees per 1000 consumers</t>
  </si>
  <si>
    <t>MU sold</t>
  </si>
  <si>
    <t>Ex.salary</t>
  </si>
  <si>
    <t>Non Ex.Salary</t>
  </si>
  <si>
    <t>GoI/GoO Assets</t>
  </si>
  <si>
    <t>Building &amp; other Construction Workers Welfare Cess</t>
  </si>
  <si>
    <t>Avg. Salary</t>
  </si>
  <si>
    <t>Misc. Income</t>
  </si>
  <si>
    <t xml:space="preserve">Investment as on </t>
  </si>
  <si>
    <t>viii)</t>
  </si>
  <si>
    <t>Auditors fees</t>
  </si>
  <si>
    <t>ix)</t>
  </si>
  <si>
    <t>Management including managing agents remuneration</t>
  </si>
  <si>
    <t>x)</t>
  </si>
  <si>
    <t>Revenue billed for the year</t>
  </si>
  <si>
    <t>Collection for the year</t>
  </si>
  <si>
    <t xml:space="preserve">           Against current dues</t>
  </si>
  <si>
    <t>Counterpart Funding(REC/ PFC Capex Counterpart funding) @13%</t>
  </si>
  <si>
    <t>Expenditure properly incurred on :</t>
  </si>
  <si>
    <t>Generation &amp; purchase of energy</t>
  </si>
  <si>
    <t>Distribution and sale of energy</t>
  </si>
  <si>
    <t>a)  Employees cost</t>
  </si>
  <si>
    <t>c)  A&amp;G expenses</t>
  </si>
  <si>
    <t>Cost at system end (Rs./kwh)</t>
  </si>
  <si>
    <t>(D) Sales projection for up coming HT industrial consumers with CD&gt;=1MVA during FY 2010-11</t>
  </si>
  <si>
    <t>Total HT (Additional +  New) Industry</t>
  </si>
  <si>
    <t>TOTAL HT SALES</t>
  </si>
  <si>
    <t>D. E. S. E RAILWAY</t>
  </si>
  <si>
    <t>Railway</t>
  </si>
  <si>
    <t>Yes</t>
  </si>
  <si>
    <t>1.a</t>
  </si>
  <si>
    <t>1.b</t>
  </si>
  <si>
    <t>SL.NO.</t>
  </si>
  <si>
    <t>Executive</t>
  </si>
  <si>
    <t>Non-Executive</t>
  </si>
  <si>
    <t xml:space="preserve">Technical      </t>
  </si>
  <si>
    <t xml:space="preserve"> Non-Tech.</t>
  </si>
  <si>
    <t xml:space="preserve">Technical        </t>
  </si>
  <si>
    <t>Terminal Benefits(P.F./ PENSION)</t>
  </si>
  <si>
    <t>Terminal Benefits(GRATUITY)</t>
  </si>
  <si>
    <t>ADDITIONAL INFORMATION</t>
  </si>
  <si>
    <t>No. of Employees as on :</t>
  </si>
  <si>
    <t>INDIAN RARE EARTHS LTD.</t>
  </si>
  <si>
    <t>(B) Sales projection for up coming EHT industrial consumers during FY 2010-11</t>
  </si>
  <si>
    <t>1.01.2011</t>
  </si>
  <si>
    <t>TITANIUM DIOXIDE PLANT</t>
  </si>
  <si>
    <t>GOPALPUR PORTS LIMITED</t>
  </si>
  <si>
    <t xml:space="preserve">Total EHT (Additional +  New) </t>
  </si>
  <si>
    <t>TOTAL EHT SALES</t>
  </si>
  <si>
    <t xml:space="preserve">CALCULATION OF CLEAR PROFIT FOR THE ENSUING FINANCIAL YEAR </t>
  </si>
  <si>
    <t>AS PER THE SCHEDULE VI OF ELECTRICITY SUPPLY ACT, 1948</t>
  </si>
  <si>
    <t>PARA  - XVII (2)</t>
  </si>
  <si>
    <t>(A)</t>
  </si>
  <si>
    <t>Income derived from :</t>
  </si>
  <si>
    <t>i)</t>
  </si>
  <si>
    <t>Revenue as % of cost</t>
  </si>
  <si>
    <t>Allocated for last year</t>
  </si>
  <si>
    <t>Rents, rates &amp; taxes, other than all taxed on income and profit</t>
  </si>
  <si>
    <t>iv.a)</t>
  </si>
  <si>
    <t>iv.b)</t>
  </si>
  <si>
    <t>Bad debts</t>
  </si>
  <si>
    <t>Other special appropriation permitted by the State Govt.</t>
  </si>
  <si>
    <t>Training Expenses</t>
  </si>
  <si>
    <t>Special Tariff</t>
  </si>
  <si>
    <t>SPECIAL TARIFF</t>
  </si>
  <si>
    <t>CLEAR PROFIT (A-B-C)</t>
  </si>
  <si>
    <t>Net Debtors as per Balance Sheet</t>
  </si>
  <si>
    <t>Reasonable Return (Form No. F.14)</t>
  </si>
  <si>
    <t>Form No. F.14</t>
  </si>
  <si>
    <t>C.D.In KW</t>
  </si>
  <si>
    <t>1.0</t>
  </si>
  <si>
    <t>2.0</t>
  </si>
  <si>
    <t>3.0</t>
  </si>
  <si>
    <t>SUB-TOTAL</t>
  </si>
  <si>
    <t>No of Kutir Jyoti Cons.</t>
  </si>
  <si>
    <t>Consumption/KJ conn.</t>
  </si>
  <si>
    <t xml:space="preserve">Total Consmption(KJ) </t>
  </si>
  <si>
    <t>RURAL</t>
  </si>
  <si>
    <t>TOTAL (Urban + Rural)</t>
  </si>
  <si>
    <t>The amount carried forward (at the beginning of the year of accounting) in the accounts of the Licensee for distribution to the consumers.</t>
  </si>
  <si>
    <t>Total of B:</t>
  </si>
  <si>
    <t>Capital Base (A-B)</t>
  </si>
  <si>
    <t>Rs. Lakhs</t>
  </si>
  <si>
    <t>Domestic</t>
  </si>
  <si>
    <t>Irrigation</t>
  </si>
  <si>
    <t>Street Lighting</t>
  </si>
  <si>
    <t>Public Institution</t>
  </si>
  <si>
    <t>General Purpose</t>
  </si>
  <si>
    <t>Debt redemption and obligation for the year 2007-08</t>
  </si>
  <si>
    <t>Amount</t>
  </si>
  <si>
    <t>Particulars of Loan raised (Loan wise)</t>
  </si>
  <si>
    <t>Amt. Sanctioned</t>
  </si>
  <si>
    <t>Date of Sanction</t>
  </si>
  <si>
    <t>Date of Drawal</t>
  </si>
  <si>
    <t>Tenure of Loan</t>
  </si>
  <si>
    <t>Moratorium Period</t>
  </si>
  <si>
    <t>Summary of Interest Expenses</t>
  </si>
  <si>
    <t>REC-Counterpart &amp; SI Scheme</t>
  </si>
  <si>
    <t>Other Interest</t>
  </si>
  <si>
    <t>Less: Interest Capitalised</t>
  </si>
  <si>
    <t>Net Interest for ARR</t>
  </si>
  <si>
    <t>State Bank of India</t>
  </si>
  <si>
    <t>Other Equip.</t>
  </si>
  <si>
    <t>Subsidy Rs/kwh</t>
  </si>
  <si>
    <t>Rs/kwh</t>
  </si>
  <si>
    <t>Customer Class:</t>
  </si>
  <si>
    <t>Ministeel Plant</t>
  </si>
  <si>
    <t>Colony consumption</t>
  </si>
  <si>
    <t>1999-00</t>
  </si>
  <si>
    <t>Funds receivable from GRIDCO (Pension + Gratuity)</t>
  </si>
  <si>
    <t>Total Funding available (1+2+3)</t>
  </si>
  <si>
    <t>(II)</t>
  </si>
  <si>
    <t>(III)</t>
  </si>
  <si>
    <t>Transmitted through the system in MU</t>
  </si>
  <si>
    <t>Sale at system voltage in MU</t>
  </si>
  <si>
    <t>CD0807</t>
  </si>
  <si>
    <t>CD0907</t>
  </si>
  <si>
    <t>CD1007</t>
  </si>
  <si>
    <t>CD1107</t>
  </si>
  <si>
    <t>CD1207</t>
  </si>
  <si>
    <t>CD0108</t>
  </si>
  <si>
    <t>CD0208</t>
  </si>
  <si>
    <t>CD0308</t>
  </si>
  <si>
    <t>CD0408</t>
  </si>
  <si>
    <t>CD0508</t>
  </si>
  <si>
    <t>CD0608</t>
  </si>
  <si>
    <t>CD0708</t>
  </si>
  <si>
    <t>CD0808</t>
  </si>
  <si>
    <t>U67</t>
  </si>
  <si>
    <t>U78</t>
  </si>
  <si>
    <t>U89</t>
  </si>
  <si>
    <t>DIV_NEW</t>
  </si>
  <si>
    <t>M/S BALLARPUR INDUSTRIES LTD.</t>
  </si>
  <si>
    <t>B. I. L. T</t>
  </si>
  <si>
    <t>M/S TOSALI CEMENT PVT. LTD.</t>
  </si>
  <si>
    <t>No</t>
  </si>
  <si>
    <t xml:space="preserve">Not made with enhanced load </t>
  </si>
  <si>
    <t>MANGALAM TIMBER PVT. LTD.</t>
  </si>
  <si>
    <t>M/S HY GRADE PELLETS LTD.</t>
  </si>
  <si>
    <t>Other general receipts accountable for income tax and arising from and ancillary or incidental to business of electricity supply.</t>
  </si>
  <si>
    <t>Total of (A) (i to vii)</t>
  </si>
  <si>
    <t>(B)</t>
  </si>
  <si>
    <t>CD0806</t>
  </si>
  <si>
    <t>CD0906</t>
  </si>
  <si>
    <t>CD1006</t>
  </si>
  <si>
    <t>CD1106</t>
  </si>
  <si>
    <t>CD1206</t>
  </si>
  <si>
    <t>CD0107</t>
  </si>
  <si>
    <t>CD0207</t>
  </si>
  <si>
    <t>CD0307</t>
  </si>
  <si>
    <t>CD0407</t>
  </si>
  <si>
    <t>CD0507</t>
  </si>
  <si>
    <t>Pension &amp;</t>
  </si>
  <si>
    <t>Interest on debenture issued by licensee</t>
  </si>
  <si>
    <t>V.</t>
  </si>
  <si>
    <t>Interest on security deposit</t>
  </si>
  <si>
    <t>VI.</t>
  </si>
  <si>
    <t>Legal charges</t>
  </si>
  <si>
    <t>VII.</t>
  </si>
  <si>
    <t>Other charges like finance charges, committment charges</t>
  </si>
  <si>
    <t>S.D recd up to Oct'08</t>
  </si>
  <si>
    <t>SD expected from H.T. Consumer</t>
  </si>
  <si>
    <t>Target by Commission</t>
  </si>
  <si>
    <t>Interest during construction</t>
  </si>
  <si>
    <t>Transfer to fixed assets</t>
  </si>
  <si>
    <t xml:space="preserve">Land </t>
  </si>
  <si>
    <t>Civil &amp; Buildings</t>
  </si>
  <si>
    <r>
      <t xml:space="preserve">OERC </t>
    </r>
    <r>
      <rPr>
        <b/>
        <u/>
        <sz val="10"/>
        <rFont val="Arial"/>
        <family val="2"/>
      </rPr>
      <t>Form No. F. 33</t>
    </r>
  </si>
  <si>
    <t>F&amp;F</t>
  </si>
  <si>
    <t>Vehicle</t>
  </si>
  <si>
    <t>Other Equipment</t>
  </si>
  <si>
    <t>Sub-Total</t>
  </si>
  <si>
    <t>PMU</t>
  </si>
  <si>
    <t>TOTAL ---&gt;</t>
  </si>
  <si>
    <t>RGGVY</t>
  </si>
  <si>
    <t>Watch &amp; Ward / Anti-theft Security</t>
  </si>
  <si>
    <t>Net Prior Period Credit / (Charges)</t>
  </si>
  <si>
    <t>U0506</t>
  </si>
  <si>
    <t>U0606</t>
  </si>
  <si>
    <t>U0706</t>
  </si>
  <si>
    <t>U0806</t>
  </si>
  <si>
    <t>U0906</t>
  </si>
  <si>
    <t>U1006</t>
  </si>
  <si>
    <t>U1106</t>
  </si>
  <si>
    <t>U1206</t>
  </si>
  <si>
    <t>U0107</t>
  </si>
  <si>
    <t>U0207</t>
  </si>
  <si>
    <t>U0307</t>
  </si>
  <si>
    <t>U0407</t>
  </si>
  <si>
    <t>U0507</t>
  </si>
  <si>
    <t>U0607</t>
  </si>
  <si>
    <t>U0707</t>
  </si>
  <si>
    <t>U0807</t>
  </si>
  <si>
    <t>U0907</t>
  </si>
  <si>
    <t>U1007</t>
  </si>
  <si>
    <t>U1107</t>
  </si>
  <si>
    <t>U1207</t>
  </si>
  <si>
    <t>U0108</t>
  </si>
  <si>
    <t>U0208</t>
  </si>
  <si>
    <t>U0308</t>
  </si>
  <si>
    <t>U0408</t>
  </si>
  <si>
    <t>U0508</t>
  </si>
  <si>
    <t>U0608</t>
  </si>
  <si>
    <t>U0708</t>
  </si>
  <si>
    <t>U0808</t>
  </si>
  <si>
    <t>CD0406</t>
  </si>
  <si>
    <t>CD0506</t>
  </si>
  <si>
    <t>CD0606</t>
  </si>
  <si>
    <t>CD0706</t>
  </si>
  <si>
    <t>VIII.</t>
  </si>
  <si>
    <t>Auditor's fees</t>
  </si>
  <si>
    <t>IX.</t>
  </si>
  <si>
    <t>Management including managing</t>
  </si>
  <si>
    <t>agents remuneration</t>
  </si>
  <si>
    <t>X.</t>
  </si>
  <si>
    <t>XI.</t>
  </si>
  <si>
    <t>Other expenses</t>
  </si>
  <si>
    <t>XII.</t>
  </si>
  <si>
    <t>Gratuity</t>
  </si>
  <si>
    <t>Expenses on training &amp; other</t>
  </si>
  <si>
    <t>training scheme</t>
  </si>
  <si>
    <t>Bonus</t>
  </si>
  <si>
    <t>(Total expenses I to XII)</t>
  </si>
  <si>
    <t>Special appropriation to cover</t>
  </si>
  <si>
    <t>Para XVII Clause 2(c)</t>
  </si>
  <si>
    <t>All taxes on income &amp; profits</t>
  </si>
  <si>
    <t>Loan from REC (S.I)</t>
  </si>
  <si>
    <t>Installments of written down account</t>
  </si>
  <si>
    <t>in respect of intangible assets and</t>
  </si>
  <si>
    <t>new capital issue expenses</t>
  </si>
  <si>
    <t>Contribution of contingency reserve</t>
  </si>
  <si>
    <t>Contribution towards arrear depreciation</t>
  </si>
  <si>
    <t>Contribution to development reserve</t>
  </si>
  <si>
    <t>Debt redemption and obligation</t>
  </si>
  <si>
    <t>Existing Load in KVA</t>
  </si>
  <si>
    <t>Proposed Addl.Load in KVA</t>
  </si>
  <si>
    <t>Total load in KVA</t>
  </si>
  <si>
    <t>Expected date  of  drawl</t>
  </si>
  <si>
    <t xml:space="preserve">No.of months </t>
  </si>
  <si>
    <t>JAYSHREE CHEMICALS LIMITED</t>
  </si>
  <si>
    <t>Sl no</t>
  </si>
  <si>
    <t>Amt. of loan redeemed upto the beginning of the year</t>
  </si>
  <si>
    <t>Loan redeemed during the year</t>
  </si>
  <si>
    <t>Total loan redeemed upto the end of the year</t>
  </si>
  <si>
    <t>xi)</t>
  </si>
  <si>
    <t>xii)</t>
  </si>
  <si>
    <t>Contribution to P.F., staff pension and gratuity</t>
  </si>
  <si>
    <t>Other Interest and Finance Charges</t>
  </si>
  <si>
    <t>( c )</t>
  </si>
  <si>
    <t>xiv)</t>
  </si>
  <si>
    <t>Differanccial Interest</t>
  </si>
  <si>
    <t>Total Amortisation</t>
  </si>
  <si>
    <t>Ensuing Year with proposed tariffs</t>
  </si>
  <si>
    <t>Interest on working capital</t>
  </si>
  <si>
    <t>Contribution to P.F., Staff pension,</t>
  </si>
  <si>
    <t>Rs. in crores</t>
  </si>
  <si>
    <t>Adjustment Factor</t>
  </si>
  <si>
    <t>Repayment of APDRP Loan</t>
  </si>
  <si>
    <t>Irrigation Pumping &amp; Agriculture</t>
  </si>
  <si>
    <t>Allied Agricultural Activities</t>
  </si>
  <si>
    <t>Allied Agro Industrial Activities</t>
  </si>
  <si>
    <t>Net Rebate</t>
  </si>
  <si>
    <t>Statutory reserves and Appropriations</t>
  </si>
  <si>
    <t>S &amp; I (REC loan)</t>
  </si>
  <si>
    <t>Additional revenue with proposed tariff</t>
  </si>
  <si>
    <t>Allocation of A &amp; G Expenses.</t>
  </si>
  <si>
    <t>MU Sold</t>
  </si>
  <si>
    <t>INCOME</t>
  </si>
  <si>
    <t>Revenue from Sale of Power</t>
  </si>
  <si>
    <t>Other Revenue</t>
  </si>
  <si>
    <t>SMD</t>
  </si>
  <si>
    <t>EXPENDITURE</t>
  </si>
  <si>
    <t>Purchase of Power</t>
  </si>
  <si>
    <t>The amount of any loan advanced by GRIDCO and others</t>
  </si>
  <si>
    <t>Repair &amp; Maintenance Expenses</t>
  </si>
  <si>
    <t>Average rate of interest</t>
  </si>
  <si>
    <t>WORLD BANK</t>
  </si>
  <si>
    <t>Note :The above figures are excluding interest</t>
  </si>
  <si>
    <t>COLONY CONSUMPTION</t>
  </si>
  <si>
    <t>Cost of Supply</t>
  </si>
  <si>
    <t>Revenue Gap</t>
  </si>
  <si>
    <t>A. Loan Balance</t>
  </si>
  <si>
    <t>Sub-Total (A)</t>
  </si>
  <si>
    <t>B. Outstanding BST dues with DPS</t>
  </si>
  <si>
    <t>Opening balance as on 01.04.99</t>
  </si>
  <si>
    <t>Arrear from 01.04.99 to 31.03.05</t>
  </si>
  <si>
    <t>DPS on above</t>
  </si>
  <si>
    <t>Sub-Total (B)</t>
  </si>
  <si>
    <t>Grand Total (A+ B)</t>
  </si>
  <si>
    <t xml:space="preserve">           2) Similarly the securitisation amount towards the BST outstanding and GRIDCO loan is proposed to be paid in the susequnt year to </t>
  </si>
  <si>
    <t>2008-09</t>
  </si>
  <si>
    <t>FORM T-4</t>
  </si>
  <si>
    <t>Total Miscellaneous Receipt</t>
  </si>
  <si>
    <t>DIV_CODE</t>
  </si>
  <si>
    <t>CONS_NO</t>
  </si>
  <si>
    <t>NAME</t>
  </si>
  <si>
    <t>ADDR1</t>
  </si>
  <si>
    <t>Supply voltage (KV)</t>
  </si>
  <si>
    <t>Grid S/S</t>
  </si>
  <si>
    <t>Insurance (Third party &amp; New P.T)</t>
  </si>
  <si>
    <t>SPECIFIED PUBLIC PURPOSE</t>
  </si>
  <si>
    <t>Industrial (S) supply</t>
  </si>
  <si>
    <t>Industrial (M) supply</t>
  </si>
  <si>
    <t>General Purpose =&gt;110KVA</t>
  </si>
  <si>
    <t>Specified Public Pupose=&gt;110KVA</t>
  </si>
  <si>
    <t>xii.a)</t>
  </si>
  <si>
    <t>Loan from Union Bank of India</t>
  </si>
  <si>
    <t>Large Industry</t>
  </si>
  <si>
    <t>Railway Traction</t>
  </si>
  <si>
    <t>Heavy Industry</t>
  </si>
  <si>
    <t>Power Intensive Industry</t>
  </si>
  <si>
    <t>Sl.</t>
  </si>
  <si>
    <t>Particulars</t>
  </si>
  <si>
    <t>Other Income</t>
  </si>
  <si>
    <t>Previous Year</t>
  </si>
  <si>
    <t>Current Year</t>
  </si>
  <si>
    <t>Ensuing Year</t>
  </si>
  <si>
    <t>No.</t>
  </si>
  <si>
    <t>Deposit Works</t>
  </si>
  <si>
    <t xml:space="preserve">Biju Gram Jyoti </t>
  </si>
  <si>
    <t>01.04.2006 to 30.09.2006</t>
  </si>
  <si>
    <t>01.10.2006 to 31.03.2007</t>
  </si>
  <si>
    <t>Total Bond Value</t>
  </si>
  <si>
    <t>Ajustment</t>
  </si>
  <si>
    <t>ATE Order</t>
  </si>
  <si>
    <t>Govt Debtors</t>
  </si>
  <si>
    <t>Gross Block</t>
  </si>
  <si>
    <t>Net Block</t>
  </si>
  <si>
    <t>Additions during the Year</t>
  </si>
  <si>
    <t>Sales / Adjustments during the year</t>
  </si>
  <si>
    <t>During the year</t>
  </si>
  <si>
    <t xml:space="preserve">Adjustment / withdrawals </t>
  </si>
  <si>
    <t>Depreciated &lt;90%</t>
  </si>
  <si>
    <t>Depreciated &gt;90%</t>
  </si>
  <si>
    <t>Freehold</t>
  </si>
  <si>
    <t>Lease hold</t>
  </si>
  <si>
    <t>Other Civil Works</t>
  </si>
  <si>
    <t>Underground Cable Network</t>
  </si>
  <si>
    <t>Meters and other apparatus at customer’s premises</t>
  </si>
  <si>
    <t>Office Equipment</t>
  </si>
  <si>
    <t>Land and Rights</t>
  </si>
  <si>
    <t>Furniture, Fixtures</t>
  </si>
  <si>
    <t>Note:</t>
  </si>
  <si>
    <t>Single phase electro-magnetic KWH meter</t>
  </si>
  <si>
    <t>3 Phase electro-magnetic KWH meter</t>
  </si>
  <si>
    <t>3 Phase electro-magnetic Trivector Meter</t>
  </si>
  <si>
    <t>Trivector Meter for Railway Traction</t>
  </si>
  <si>
    <t>Int. rate</t>
  </si>
  <si>
    <t>Avg. Investment</t>
  </si>
  <si>
    <t>REC (Counter part)</t>
  </si>
  <si>
    <t>Non-Technical</t>
  </si>
  <si>
    <t xml:space="preserve">Public Lighting </t>
  </si>
  <si>
    <t>Power Factor Incentive &amp; PowerFactor Penalty</t>
  </si>
  <si>
    <t>(H)</t>
  </si>
  <si>
    <t xml:space="preserve">Rebate &amp; prompt payment Incentive </t>
  </si>
  <si>
    <t>(I)</t>
  </si>
  <si>
    <t>Nos. of employee retiring</t>
  </si>
  <si>
    <t>Saving on account of retirement</t>
  </si>
  <si>
    <t>FY-12-13</t>
  </si>
  <si>
    <t xml:space="preserve"> </t>
  </si>
  <si>
    <t>(.c)</t>
  </si>
  <si>
    <t>Biju Gram Jyoti</t>
  </si>
  <si>
    <t>2009-10</t>
  </si>
  <si>
    <t>2010-11</t>
  </si>
  <si>
    <t>2011-12</t>
  </si>
  <si>
    <t>Nos.</t>
  </si>
  <si>
    <t>G. Total</t>
  </si>
  <si>
    <t>DPR Approved</t>
  </si>
  <si>
    <t>Supervision Charges</t>
  </si>
  <si>
    <t>Net asset</t>
  </si>
  <si>
    <t>Project Cost</t>
  </si>
  <si>
    <t>April</t>
  </si>
  <si>
    <t>Value</t>
  </si>
  <si>
    <t>Additional</t>
  </si>
  <si>
    <t>Total Domestic</t>
  </si>
  <si>
    <t>General Purpose ( &lt;100 KW  )</t>
  </si>
  <si>
    <t>Total General Purpose ( &lt;100 KW  )</t>
  </si>
  <si>
    <t>Income to be recovered in future Tariff Determination</t>
  </si>
  <si>
    <t>Technical</t>
  </si>
  <si>
    <t>ITI Apprentices</t>
  </si>
  <si>
    <t>ITI Techicians</t>
  </si>
  <si>
    <t>Contribution to contingency reserve</t>
  </si>
  <si>
    <t>Contribution to Development Reserve, referred to in para</t>
  </si>
  <si>
    <t>Debt redemption obligation</t>
  </si>
  <si>
    <t>Total HT----&gt;</t>
  </si>
  <si>
    <t>L.T.Industrial (S) Supply</t>
  </si>
  <si>
    <t>L.T.Industrial (M) Supply</t>
  </si>
  <si>
    <t>I)</t>
  </si>
  <si>
    <t>&lt;100KW</t>
  </si>
  <si>
    <t>II)</t>
  </si>
  <si>
    <t>=&gt;100KW</t>
  </si>
  <si>
    <t>General Purpose ( =&gt; 110 KVA  )</t>
  </si>
  <si>
    <t>Total LT----&gt;</t>
  </si>
  <si>
    <t>General Purpose ( &lt;110 KVA  )</t>
  </si>
  <si>
    <t>H.T.Industrial (M) (Medium Industry)</t>
  </si>
  <si>
    <t>31.05.09</t>
  </si>
  <si>
    <t>On the basis of Asset value i.e, 60% to HT &amp; 40% to LT.</t>
  </si>
  <si>
    <t>Deputy General Manager</t>
  </si>
  <si>
    <t>12000-375-16500</t>
  </si>
  <si>
    <t>E-6</t>
  </si>
  <si>
    <t>Asst. General Manager</t>
  </si>
  <si>
    <t>10650-325-15850</t>
  </si>
  <si>
    <t>E-5</t>
  </si>
  <si>
    <t>As per the electricity sales revenues from various categories</t>
  </si>
  <si>
    <t>UTKAL ALUMINA INTERNATIONAL</t>
  </si>
  <si>
    <t>Specified Public Pupose&lt;110KVA</t>
  </si>
  <si>
    <t>General Purpose&lt; 110KVA</t>
  </si>
  <si>
    <t>Public Water Works, CD&lt;110KVA</t>
  </si>
  <si>
    <t>Gridco Loan as on 31-3-06</t>
  </si>
  <si>
    <t>BST outstanding as on 31-3-05</t>
  </si>
  <si>
    <t>Add:-Billing during 05-06</t>
  </si>
  <si>
    <t>Arrear Liability (5/7th of differential)</t>
  </si>
  <si>
    <t>Nos of villages</t>
  </si>
  <si>
    <t>Oct-10-Mar-11</t>
  </si>
  <si>
    <t>Distribution Costs</t>
  </si>
  <si>
    <t>Current Assets, Loans and Advances</t>
  </si>
  <si>
    <t>Sundry Debtors</t>
  </si>
  <si>
    <t>Inventories</t>
  </si>
  <si>
    <t>Cash and Bank Balances</t>
  </si>
  <si>
    <t xml:space="preserve">Expenditure incurred </t>
  </si>
  <si>
    <t>CAPEX( )</t>
  </si>
  <si>
    <t>Public Water Works &amp; Swerage Pumping</t>
  </si>
  <si>
    <t>Total Public Water Works &amp; Swerage Pumping</t>
  </si>
  <si>
    <t>Revenue Relief due to TOD Benefit (Rs. Lakhs)</t>
  </si>
  <si>
    <t>Meter Rent Received  (1ph)</t>
  </si>
  <si>
    <t>Meter Rent Received  (3ph)</t>
  </si>
  <si>
    <t>Over Drawal Penalty</t>
  </si>
  <si>
    <t>Average Revenue Billed</t>
  </si>
  <si>
    <t>Service charge</t>
  </si>
  <si>
    <t>Additional Revenue from the Proposed Tariff</t>
  </si>
  <si>
    <t>Balance Gap after proposed tariff</t>
  </si>
  <si>
    <t>GAP with Current Tariff before Amortisation</t>
  </si>
  <si>
    <t>GAP Before Amortisation after proposed tariff</t>
  </si>
  <si>
    <t>SUBSIDY ON AVERAGE COST BASIS BY CUSTOMER CLASS AND SERVICE LEVEL FOR THE ENSUING FINANCIAL YEAR</t>
  </si>
  <si>
    <t>Consumers’ Security Deposits</t>
  </si>
  <si>
    <t>APPLICATION OF FUNDS</t>
  </si>
  <si>
    <t>Less: Accumulated Depreciation</t>
  </si>
  <si>
    <t>Capital Work in Progress</t>
  </si>
  <si>
    <t>Capital Stock</t>
  </si>
  <si>
    <t>Total C.W.I.P.</t>
  </si>
  <si>
    <t>Investments</t>
  </si>
  <si>
    <t>Printing &amp; Stationery</t>
  </si>
  <si>
    <t>Advertisement</t>
  </si>
  <si>
    <t>POLICE STATION EXPENSES, (Hire charge &amp; Telephone)</t>
  </si>
  <si>
    <t>Valuation by OERC(M/s Bhudev Chaterjee)</t>
  </si>
  <si>
    <t>9=5+6-7+8</t>
  </si>
  <si>
    <t>Receivable from SOUTHCO</t>
  </si>
  <si>
    <t>Int. Recn-F-27</t>
  </si>
  <si>
    <t>Int. Recn-F-3</t>
  </si>
  <si>
    <t>01.04.2001 to 30.09.2001</t>
  </si>
  <si>
    <t>One time Set up Cost</t>
  </si>
  <si>
    <t>Replacement &amp; Shifting of meters</t>
  </si>
  <si>
    <t>Cost of  Villages to be Electrified</t>
  </si>
  <si>
    <t>Cost of  Kutir Joity Connections</t>
  </si>
  <si>
    <t>Cost of  Energization of Pump Sets</t>
  </si>
  <si>
    <t>Nos. of Block</t>
  </si>
  <si>
    <t>Rate/ Block</t>
  </si>
  <si>
    <t>Receipt of Fund</t>
  </si>
  <si>
    <t>Designation</t>
  </si>
  <si>
    <t>Existing Pay</t>
  </si>
  <si>
    <t>E-9</t>
  </si>
  <si>
    <t>Sr. General Manger</t>
  </si>
  <si>
    <t>15100-400-19500</t>
  </si>
  <si>
    <t>E-8</t>
  </si>
  <si>
    <t>General Manger</t>
  </si>
  <si>
    <t>14300-400-18300</t>
  </si>
  <si>
    <t>E-7</t>
  </si>
  <si>
    <t>Dearness Allowance</t>
  </si>
  <si>
    <t>DA %</t>
  </si>
  <si>
    <t>PENSION,GRATUITY,UUL ALLOCATION</t>
  </si>
  <si>
    <t>Cash Flow</t>
  </si>
  <si>
    <t>Semi Skilled -A</t>
  </si>
  <si>
    <t>Jr. Artician</t>
  </si>
  <si>
    <t>Driver-A</t>
  </si>
  <si>
    <t>Driver-B</t>
  </si>
  <si>
    <t>Blacksmith</t>
  </si>
  <si>
    <t xml:space="preserve"> MT(NT)</t>
  </si>
  <si>
    <t>GET</t>
  </si>
  <si>
    <t>Executive Tech</t>
  </si>
  <si>
    <t>Executive  Non-Tech</t>
  </si>
  <si>
    <t>Non-Executive Tech</t>
  </si>
  <si>
    <t>Non- Executive  Non-Tech</t>
  </si>
  <si>
    <t>33 KV Metering Unit without meter</t>
  </si>
  <si>
    <t>Investment  Plan for next 4 years</t>
  </si>
  <si>
    <t>Single phase Static KWH meter</t>
  </si>
  <si>
    <t>3 Phase Static KWH meter</t>
  </si>
  <si>
    <t>Recruitment of Manpower</t>
  </si>
  <si>
    <t>FY</t>
  </si>
  <si>
    <t xml:space="preserve">Nos to be recruited </t>
  </si>
  <si>
    <t>Financial impact (Rs. in lacs)</t>
  </si>
  <si>
    <t>Non Executive</t>
  </si>
  <si>
    <t>PARTICULARS</t>
  </si>
  <si>
    <t>Technical -Executive</t>
  </si>
  <si>
    <t>Telex, Teleprinter Charges, Telefax</t>
  </si>
  <si>
    <t>Courier Charges</t>
  </si>
  <si>
    <t>Other</t>
  </si>
  <si>
    <t xml:space="preserve">Interest </t>
  </si>
  <si>
    <t>Travelling expenses</t>
  </si>
  <si>
    <t>Hire charges of vehicle</t>
  </si>
  <si>
    <t>Fees &amp; Subscription</t>
  </si>
  <si>
    <t>Books &amp; Periodicals</t>
  </si>
  <si>
    <t>Non-Tariff Income</t>
  </si>
  <si>
    <t xml:space="preserve">Executive </t>
  </si>
  <si>
    <t>Non-executives</t>
  </si>
  <si>
    <t xml:space="preserve">Statement of Contingencies Reserves </t>
  </si>
  <si>
    <t>Appropriation during the year</t>
  </si>
  <si>
    <t xml:space="preserve"> In case of distribution business High voltage assets and Medium &amp; Low voltage assets should be shown separately.</t>
  </si>
  <si>
    <t>(Rs. in Lacs.)</t>
  </si>
  <si>
    <t>COMMUNICATION</t>
  </si>
  <si>
    <t>PROFESSIONAL CHARGES</t>
  </si>
  <si>
    <t>Audit fees</t>
  </si>
  <si>
    <t>OTHER EXPENSES</t>
  </si>
  <si>
    <t>Entertainment</t>
  </si>
  <si>
    <t>Clearing &amp; forwarding charges</t>
  </si>
  <si>
    <t>Less consumers contribution</t>
  </si>
  <si>
    <t xml:space="preserve">Original cost of fixed asset </t>
  </si>
  <si>
    <t>MATERIAL RELATED EXPENSES</t>
  </si>
  <si>
    <t>Total</t>
  </si>
  <si>
    <t>TOTAL</t>
  </si>
  <si>
    <t>A</t>
  </si>
  <si>
    <t>Spot Billing</t>
  </si>
  <si>
    <t>S.E -I/ DGM</t>
  </si>
  <si>
    <t>SE-II/ AGM</t>
  </si>
  <si>
    <t>E.E/ Manager</t>
  </si>
  <si>
    <t>AEE/ Dy. Manager</t>
  </si>
  <si>
    <t>A.E/ Asst. Manager</t>
  </si>
  <si>
    <t>J.E/ Jr. Manager</t>
  </si>
  <si>
    <t>Non-Technical -Executive</t>
  </si>
  <si>
    <t>Manager</t>
  </si>
  <si>
    <t>Dy. Manager</t>
  </si>
  <si>
    <t>Asst. Manager</t>
  </si>
  <si>
    <t>Jr. Manager</t>
  </si>
  <si>
    <t>GET/ MT(NT)</t>
  </si>
  <si>
    <t>Jr. Tech. Trainee</t>
  </si>
  <si>
    <t>GoO Funding- 0% Interest</t>
  </si>
  <si>
    <t>GoO Funding- 4% Interest</t>
  </si>
  <si>
    <t>Purchase of Energy</t>
  </si>
  <si>
    <t>Repair and Maintenance cost</t>
  </si>
  <si>
    <t>BASIS OF FIXATION OF LOAD FACTOR FOR VARIOUS CATEGORIES OF CONSUMERS WITH DEFECTIVE METERS</t>
  </si>
  <si>
    <t>(E)</t>
  </si>
  <si>
    <t>BASIS OF FIXATION OF MINIMUM CHARGE</t>
  </si>
  <si>
    <t>(F)</t>
  </si>
  <si>
    <t>BASIS OF FIXATION OF MAXIMUM DEMAND CHARGE</t>
  </si>
  <si>
    <t xml:space="preserve">Deposit Works </t>
  </si>
  <si>
    <t>Interest on / Carrying Cost on Regulatory Assets</t>
  </si>
  <si>
    <t>PMGY / MNP Deposits</t>
  </si>
  <si>
    <t>SBI</t>
  </si>
  <si>
    <t>Repayment of REC Loan (S.I.)</t>
  </si>
  <si>
    <t>Total Revenue gap (with Proposed tariff)</t>
  </si>
  <si>
    <t>Total Revenue gap (with existing tariff)</t>
  </si>
  <si>
    <t>Energy Sales in MU</t>
  </si>
  <si>
    <t>Energy Purchsed in MU</t>
  </si>
  <si>
    <t>Non-Executive (Nos)</t>
  </si>
  <si>
    <t>Total (Nos)</t>
  </si>
  <si>
    <t>Repayment of REC Loan (APDRP Counter-part)</t>
  </si>
  <si>
    <t>(Rs. in Crore)</t>
  </si>
  <si>
    <t xml:space="preserve"> R&amp; M Expenses (Audited)</t>
  </si>
  <si>
    <t>Cum. R&amp; M Expenses (Actual)</t>
  </si>
  <si>
    <t>R &amp; M Expenses allowed</t>
  </si>
  <si>
    <t>Cum. R&amp; M Expenses allowed</t>
  </si>
  <si>
    <t>Difference for the year</t>
  </si>
  <si>
    <t>Cumulative difference of                   R &amp; M Expenses</t>
  </si>
  <si>
    <t>1999-2000</t>
  </si>
  <si>
    <t>Truing-up  R &amp; M Expenses from 1999-2000 to 2007-08</t>
  </si>
  <si>
    <t>Electrical Fittings</t>
  </si>
  <si>
    <t>Current liabilities</t>
  </si>
  <si>
    <t>Account payble</t>
  </si>
  <si>
    <t>Less: Current Liabilities and Provisions</t>
  </si>
  <si>
    <t>Accounts Payable</t>
  </si>
  <si>
    <t>PMGY</t>
  </si>
  <si>
    <t>NH</t>
  </si>
  <si>
    <t xml:space="preserve">NET CURRENT ASSETS </t>
  </si>
  <si>
    <t>Opening Cash balance</t>
  </si>
  <si>
    <t>Security Deposit from Consumers</t>
  </si>
  <si>
    <t>Consumer Contribution</t>
  </si>
  <si>
    <t>Loans &amp; Advances Recovered</t>
  </si>
  <si>
    <t>APPLICATIONS</t>
  </si>
  <si>
    <t>Suit filed</t>
  </si>
  <si>
    <t>Provision made</t>
  </si>
  <si>
    <t>Loan from SBI</t>
  </si>
  <si>
    <t>Repayment of loan to SBI</t>
  </si>
  <si>
    <t>EHT :</t>
  </si>
  <si>
    <t>HT :</t>
  </si>
  <si>
    <t>LT :</t>
  </si>
  <si>
    <t>Sub Total :</t>
  </si>
  <si>
    <t>(b) On works in progress</t>
  </si>
  <si>
    <t>B.</t>
  </si>
  <si>
    <t>Miscellaneous expenses</t>
  </si>
  <si>
    <t>Categories of Consumer/Region</t>
  </si>
  <si>
    <t>0 – 2 m</t>
  </si>
  <si>
    <t>2 – 6 m</t>
  </si>
  <si>
    <t>6 – 12 m</t>
  </si>
  <si>
    <t>12 – 24 m</t>
  </si>
  <si>
    <t>No. of Days of Sales</t>
  </si>
  <si>
    <t>Disputed Amount</t>
  </si>
  <si>
    <t>Less-Paid during 05-06 during 05-06</t>
  </si>
  <si>
    <t>Less-Additional Payment during 05-06</t>
  </si>
  <si>
    <t>Amount available for Securitisation</t>
  </si>
  <si>
    <t>EMI for 06-07</t>
  </si>
  <si>
    <t>EMI for 07-08</t>
  </si>
  <si>
    <t>Installments of Securitisation</t>
  </si>
  <si>
    <t xml:space="preserve">Carrying cost </t>
  </si>
  <si>
    <t>Total GAP with amortisation</t>
  </si>
  <si>
    <t xml:space="preserve">Total Payment of Securitisation </t>
  </si>
  <si>
    <t>From BST Due</t>
  </si>
  <si>
    <t>From Loan</t>
  </si>
  <si>
    <t>Public Water Works, CD=&gt;110KVA</t>
  </si>
  <si>
    <t>Expenses on apprentice &amp; other training scheme</t>
  </si>
  <si>
    <t>xiii)</t>
  </si>
  <si>
    <t>Total expenditure i.e. total of (B) (i to xiii)</t>
  </si>
  <si>
    <t>(C)</t>
  </si>
  <si>
    <t>Special appropriation to cover :</t>
  </si>
  <si>
    <t>All tax on income and profits</t>
  </si>
  <si>
    <t>Instalments of written down amounts in respect of intangible asset and new capital issue expenses</t>
  </si>
  <si>
    <t>I) World Bank</t>
  </si>
  <si>
    <t>ii) APDRP</t>
  </si>
  <si>
    <t>iii) REC- Counterpart</t>
  </si>
  <si>
    <t>Total-(30-9-11 to 31-3-12)</t>
  </si>
  <si>
    <t>Industrial Medium</t>
  </si>
  <si>
    <t>Industrial Large</t>
  </si>
  <si>
    <t>Industrial Power Intensive</t>
  </si>
  <si>
    <t>Bank Charges L.C.</t>
  </si>
  <si>
    <t>Sl No.</t>
  </si>
  <si>
    <t>Description of the Project/Scheme</t>
  </si>
  <si>
    <t>Expn. during the year</t>
  </si>
  <si>
    <t>Spl. Additional  Expenses</t>
  </si>
  <si>
    <t>Balance of profit and loss account  brought forward from last year</t>
  </si>
  <si>
    <t>Rebate on BST @ 2% from 01.4.2006 to 30.09.2006</t>
  </si>
  <si>
    <t>Negotiation &amp; RN Charges</t>
  </si>
  <si>
    <t>Interest on LC</t>
  </si>
  <si>
    <t>Civil repairs &amp; maintenance</t>
  </si>
  <si>
    <t>Transmission line repairs &amp; maintenance</t>
  </si>
  <si>
    <t>Accounts Figure</t>
  </si>
  <si>
    <t>Delayed Payment Surcharge</t>
  </si>
  <si>
    <t>Amortisation of Regulatory Asset</t>
  </si>
  <si>
    <t>Transformer maintenance</t>
  </si>
  <si>
    <t>Other repairs &amp; maintenance</t>
  </si>
  <si>
    <t>(Rs. in Lacs)</t>
  </si>
  <si>
    <t>PROPERTY RELATED EXPENSES</t>
  </si>
  <si>
    <t>Licence Fees</t>
  </si>
  <si>
    <t>Contribution to accident reserve fund</t>
  </si>
  <si>
    <t>Sub total :</t>
  </si>
  <si>
    <t>Telephone &amp; Trunk Call</t>
  </si>
  <si>
    <t>Postage &amp; Telegram</t>
  </si>
  <si>
    <t>Withdrawals during the year (Purpose to be indicated in the remark column)</t>
  </si>
  <si>
    <t>REC (S.I. loan)</t>
  </si>
  <si>
    <t>Form No. F. 29</t>
  </si>
  <si>
    <t>CONSOLIDATED REPORT ON ADDITIONS TO FIXED ASSETS DURING THE YEAR</t>
  </si>
  <si>
    <t>Asset Description</t>
  </si>
  <si>
    <t>Asset code</t>
  </si>
  <si>
    <t>Meter &amp; Metering Equipment</t>
  </si>
  <si>
    <t>Cost</t>
  </si>
  <si>
    <t>Interest</t>
  </si>
  <si>
    <t>Finance Charges</t>
  </si>
  <si>
    <t>Pre-operative expenses</t>
  </si>
  <si>
    <t>Date of commissioning</t>
  </si>
  <si>
    <t>Op CWIP for Capitalisation</t>
  </si>
  <si>
    <t>Material</t>
  </si>
  <si>
    <t>Labour</t>
  </si>
  <si>
    <t>Contractor</t>
  </si>
  <si>
    <t>Land</t>
  </si>
  <si>
    <t>Building</t>
  </si>
  <si>
    <t>Net Work Assets</t>
  </si>
  <si>
    <t>Overhead Lines</t>
  </si>
  <si>
    <t>Employee Cost</t>
  </si>
  <si>
    <t>Adminstrative &amp; General Expenses</t>
  </si>
  <si>
    <t>Capital Expendiuture</t>
  </si>
  <si>
    <t>Union Bank of India</t>
  </si>
  <si>
    <t>Towers</t>
  </si>
  <si>
    <t>Switch gears</t>
  </si>
  <si>
    <t>Cables</t>
  </si>
  <si>
    <t>----------</t>
  </si>
  <si>
    <t>Distribution business</t>
  </si>
  <si>
    <t>Cables &amp; Conductors</t>
  </si>
  <si>
    <t>Insulators</t>
  </si>
  <si>
    <t>[In accordance with para XVII of Schedule VI of Electricity (Supply) Act, 1948]</t>
  </si>
  <si>
    <t>Cost of intangible asset</t>
  </si>
  <si>
    <t>The original cost of Work in progress</t>
  </si>
  <si>
    <t>(d)</t>
  </si>
  <si>
    <t>RE Subsidy</t>
  </si>
  <si>
    <t>The amount of investment compulsorily made under para-IV</t>
  </si>
  <si>
    <t>(e)</t>
  </si>
  <si>
    <t>Total EHT-----&gt;</t>
  </si>
  <si>
    <t>LT &amp; HT</t>
  </si>
  <si>
    <t>INPUT</t>
  </si>
  <si>
    <t>FORM T-3</t>
  </si>
  <si>
    <t>Consultancy charges</t>
  </si>
  <si>
    <t>Interest Deducted by GOO/ Adjusted on Gridco A/c</t>
  </si>
  <si>
    <t>&gt;100-300KWH</t>
  </si>
  <si>
    <t>&gt;300KWH</t>
  </si>
  <si>
    <t>Unfunded liability (II) -(I)</t>
  </si>
  <si>
    <t>Total Expenditure</t>
  </si>
  <si>
    <t>Demand Charge (in Rupees per KVA)</t>
  </si>
  <si>
    <t>Induction/Regl</t>
  </si>
  <si>
    <t>Retirment</t>
  </si>
  <si>
    <t>AGM</t>
  </si>
  <si>
    <t>F &amp; F</t>
  </si>
  <si>
    <t>Insurance charges for Power Transformer</t>
  </si>
  <si>
    <t>B.sheet</t>
  </si>
  <si>
    <t>Opening Stock</t>
  </si>
  <si>
    <t>Purchase during the month</t>
  </si>
  <si>
    <t>2007-08</t>
  </si>
  <si>
    <t>Issue for consumption</t>
  </si>
  <si>
    <t>Adjustment</t>
  </si>
  <si>
    <t>(Write-off)</t>
  </si>
  <si>
    <t>Bhanjanagar Circle</t>
  </si>
  <si>
    <t>2004-05</t>
  </si>
  <si>
    <t>Avg. Bal.</t>
  </si>
  <si>
    <t>Billing in MU</t>
  </si>
  <si>
    <t>Additional revenue</t>
  </si>
  <si>
    <t>(Rs. In lacs)</t>
  </si>
  <si>
    <t>b)  Repair and Maintenance</t>
  </si>
  <si>
    <t>Iterest on SD</t>
  </si>
  <si>
    <t>SD as on</t>
  </si>
  <si>
    <t>No.of Consumer</t>
  </si>
  <si>
    <t>LT Consumers</t>
  </si>
  <si>
    <t xml:space="preserve">Consumption/Billing figures for IRRIGATION &amp; AGRICULTURAL Consumers </t>
  </si>
  <si>
    <t>(a) On completed works</t>
  </si>
  <si>
    <t>Rs. Crore</t>
  </si>
  <si>
    <t>Additions during the year</t>
  </si>
  <si>
    <t>GoI/GoI Capital Expenditure</t>
  </si>
  <si>
    <t>Cost Parameters</t>
  </si>
  <si>
    <t>As per the consumption</t>
  </si>
  <si>
    <t>Executive Staff salaries allocated as per Licensee assumption</t>
  </si>
  <si>
    <t>Non Executive staff salaries allocated only to HT and LT as per Licensee assumption</t>
  </si>
  <si>
    <t>On the basis of asset value</t>
  </si>
  <si>
    <t>Allocated as per Licensee assumption</t>
  </si>
  <si>
    <t>Interest and Finance charges</t>
  </si>
  <si>
    <t>Other Allowance</t>
  </si>
  <si>
    <t>OTHER STAFF COST</t>
  </si>
  <si>
    <t>As per the electricity sales revenues from various categories - Allocated only to HT and LT categories</t>
  </si>
  <si>
    <t>Licencee:-SOUTHCO LTD.</t>
  </si>
  <si>
    <t xml:space="preserve">Capital employed at the </t>
  </si>
  <si>
    <t>beginning of the year</t>
  </si>
  <si>
    <t>PA</t>
  </si>
  <si>
    <t>(1/12th of the sum of the stores materials and suppliers</t>
  </si>
  <si>
    <t>including fuel in hand at the end of each month of the year)</t>
  </si>
  <si>
    <t>Other Miscellaneous Income</t>
  </si>
  <si>
    <t>Total of (C) (i to v)</t>
  </si>
  <si>
    <t xml:space="preserve">Permanently Disconnected </t>
  </si>
  <si>
    <t>Kutirjyoti&lt;=30KWH</t>
  </si>
  <si>
    <t>0&lt;=100KWH</t>
  </si>
  <si>
    <t>&gt;100&lt;=200</t>
  </si>
  <si>
    <t>More than 200 KWH (SLAB)</t>
  </si>
  <si>
    <t>Total-----&gt;</t>
  </si>
  <si>
    <t>All Units if  cons. within</t>
  </si>
  <si>
    <t>0-100 KWH</t>
  </si>
  <si>
    <t>&gt;100&lt;=300</t>
  </si>
  <si>
    <t>More than 300 KWH(SLAB)</t>
  </si>
  <si>
    <t>Public Water Works</t>
  </si>
  <si>
    <t>HT Category</t>
  </si>
  <si>
    <t>Bulk Supply - Domestic</t>
  </si>
  <si>
    <t>Commercial</t>
  </si>
  <si>
    <t>Mini Steel Plant</t>
  </si>
  <si>
    <t>Colony Consumption</t>
  </si>
  <si>
    <t>EHT Category</t>
  </si>
  <si>
    <t>Emerg. Supply to CPP</t>
  </si>
  <si>
    <t>GRAND TOTAL</t>
  </si>
  <si>
    <t>Licencee:-SOUTHCO  LTD.</t>
  </si>
  <si>
    <t>World Bank Loan Received</t>
  </si>
  <si>
    <t>APDRP Grant</t>
  </si>
  <si>
    <t>Licencee:-SOUTHCO LTD.                                                                                                                                                OERC FORM  F.12</t>
  </si>
  <si>
    <t>Installment of deficit funding approved by Commission</t>
  </si>
  <si>
    <t>Biju Gram Jyoti (R.E)</t>
  </si>
  <si>
    <t>No. of Village</t>
  </si>
  <si>
    <t>No. of Blocks</t>
  </si>
  <si>
    <t>Biju Gram Jyoti (RE)</t>
  </si>
  <si>
    <t>S.DEPOSIT</t>
  </si>
  <si>
    <t>Power Purchase from other sources</t>
  </si>
  <si>
    <t>Current Year Approved</t>
  </si>
  <si>
    <t>FY: 2012-13</t>
  </si>
  <si>
    <t>A&amp;G Exp</t>
  </si>
  <si>
    <t>A&amp;G</t>
  </si>
  <si>
    <t># 2% of total A&amp;G expenditure has been allocated to EHT Consumers &amp; balacne allocated to</t>
  </si>
  <si>
    <t xml:space="preserve">  HT &amp; LT consumers on the basis of MU sold.</t>
  </si>
  <si>
    <t>OERC FORM T-6</t>
  </si>
  <si>
    <t>Net Interest &amp; Finance charges</t>
  </si>
  <si>
    <t>2001-02</t>
  </si>
  <si>
    <t>ASSESSMENT OF CONSUMPTION FOR THE  ENSUING YEAR</t>
  </si>
  <si>
    <t>VOLTAGE</t>
  </si>
  <si>
    <t>Consumption</t>
  </si>
  <si>
    <t>OF</t>
  </si>
  <si>
    <t>SUPPLY</t>
  </si>
  <si>
    <t>Licencee:-SOUTHCO LTD.                                                                                                                                                                 OERC FORM  F.13</t>
  </si>
  <si>
    <t>ALLIED AGRICULTURAL ACTIVITIES</t>
  </si>
  <si>
    <t>ALLIED AGRO INDUSTRIAL ACTIVITIES</t>
  </si>
  <si>
    <t>Monthly Pen</t>
  </si>
  <si>
    <t>COMMERCIAL</t>
  </si>
  <si>
    <t>IRRIGATION</t>
  </si>
  <si>
    <t>STREET LIGHT</t>
  </si>
  <si>
    <t>SMALL INDUSTRY</t>
  </si>
  <si>
    <t>MEDIUM INDUSTRY</t>
  </si>
  <si>
    <t xml:space="preserve">GEN PURPOSE </t>
  </si>
  <si>
    <t>PWW</t>
  </si>
  <si>
    <t>LARGE INDUSTRY</t>
  </si>
  <si>
    <t>RLY TRACTION</t>
  </si>
  <si>
    <t>HEAVY INDUSTRY</t>
  </si>
  <si>
    <t>POWER INT IND</t>
  </si>
  <si>
    <t>MINISTEEL PLANT</t>
  </si>
  <si>
    <t>T&amp;D LOSS</t>
  </si>
  <si>
    <t>©</t>
  </si>
  <si>
    <t>Less : Expenses Capitalised</t>
  </si>
  <si>
    <t>Rural electrification</t>
  </si>
  <si>
    <t>IPR</t>
  </si>
  <si>
    <t>Other subsidies</t>
  </si>
  <si>
    <t>Carrying cost of Past Losses</t>
  </si>
  <si>
    <t>On the basis of sales value  i.e, 29.5% to HT &amp; 70.5% to LT.</t>
  </si>
  <si>
    <t>On the basis of sales value  i.e, 28.3% to HT &amp; 71.7% to LT.</t>
  </si>
  <si>
    <t>TERMS</t>
  </si>
  <si>
    <t>AMOUNT OF LOAN REDEEMED</t>
  </si>
  <si>
    <t>BALANCE OF LOAN</t>
  </si>
  <si>
    <t>COST</t>
  </si>
  <si>
    <t>Source (Institution wise/Bankwise</t>
  </si>
  <si>
    <t>Purpose</t>
  </si>
  <si>
    <t>Rebate on BST Payment</t>
  </si>
  <si>
    <t>Outstanding dues as on 31.03.12</t>
  </si>
  <si>
    <t>Supplies in Bulk to Control Stations</t>
  </si>
  <si>
    <t>Supplies in Bulk to Others</t>
  </si>
  <si>
    <t xml:space="preserve">An amount on account of working capital equal to the sum of </t>
  </si>
  <si>
    <t>Estimated consumption in (MU) (Addl)</t>
  </si>
  <si>
    <t>FY 2010-11 (Total )</t>
  </si>
  <si>
    <t>E</t>
  </si>
  <si>
    <t>F</t>
  </si>
  <si>
    <t>G</t>
  </si>
  <si>
    <t>H</t>
  </si>
  <si>
    <t>I</t>
  </si>
  <si>
    <t>J</t>
  </si>
  <si>
    <t>K</t>
  </si>
  <si>
    <t>L</t>
  </si>
  <si>
    <t>M</t>
  </si>
  <si>
    <t>TOTAL POWER PURCHASE</t>
  </si>
  <si>
    <t>Expenditure</t>
  </si>
  <si>
    <t>Para XVII Clause-2 (b) of Schedule VI of Elec. (Supply) Act 1948</t>
  </si>
  <si>
    <t>I.</t>
  </si>
  <si>
    <t xml:space="preserve"> Purchase of Energy</t>
  </si>
  <si>
    <t>II.</t>
  </si>
  <si>
    <t>Distribution &amp; Sale of Energy</t>
  </si>
  <si>
    <t>(a)</t>
  </si>
  <si>
    <t>Balance to be Adj.against 2nd inst.</t>
  </si>
  <si>
    <t>01.10.2005</t>
  </si>
  <si>
    <t>01.10.2006</t>
  </si>
  <si>
    <t>Balance Adj. of 1st Inst.</t>
  </si>
  <si>
    <t>Balance to pay</t>
  </si>
  <si>
    <t>Total Cost with Profit(Rs./kwh)</t>
  </si>
  <si>
    <t>Unit---------------&gt;</t>
  </si>
  <si>
    <t>Interest on Term Loans</t>
  </si>
  <si>
    <t>Repayment of  World Bank Loan</t>
  </si>
  <si>
    <t>C.D.In KW UP TO</t>
  </si>
  <si>
    <t>Outstanding dues 01.04.06 to 31.03.10</t>
  </si>
  <si>
    <t>AT&amp;C loss</t>
  </si>
  <si>
    <t>Total capex</t>
  </si>
  <si>
    <t>PROPOSED</t>
  </si>
  <si>
    <t>Leave Encashment</t>
  </si>
  <si>
    <t>Total Corpus</t>
  </si>
  <si>
    <t>Return on Investment</t>
  </si>
  <si>
    <t>Payment of Pension and Gratuity</t>
  </si>
  <si>
    <t>Existiong Employees</t>
  </si>
  <si>
    <t>For Employees retiring during the year</t>
  </si>
  <si>
    <t>Amortisation of Regulatory Assets</t>
  </si>
  <si>
    <t>Inspection fees</t>
  </si>
  <si>
    <t>Other professional charges &amp; expenses</t>
  </si>
  <si>
    <t>Organisational Development Expenses  (Inc. Electricity Charges )</t>
  </si>
  <si>
    <t>FORM T-5</t>
  </si>
  <si>
    <t xml:space="preserve">Dearness Allowance </t>
  </si>
  <si>
    <t>Cash &amp; Bank balance</t>
  </si>
  <si>
    <t>0-50 KWH</t>
  </si>
  <si>
    <t>&gt;400KWH</t>
  </si>
  <si>
    <t>Aska Circle</t>
  </si>
  <si>
    <t>LT General Purpose &lt; 110 KVA</t>
  </si>
  <si>
    <t>General Purpose &gt; 70 KVA &lt; 110 KVA</t>
  </si>
  <si>
    <t>(Consumption &lt;=50 Units /month)</t>
  </si>
  <si>
    <t>(Consumption &gt;50, &lt;=200 Units /month)</t>
  </si>
  <si>
    <t>(Consumption &gt;200, &lt;=400 Units /month)</t>
  </si>
  <si>
    <t>(Consumption &gt;400 Units /month)</t>
  </si>
  <si>
    <t>Public Water Works &lt; 110 KVA</t>
  </si>
  <si>
    <t>Public Water Works &gt;= 110 KVA</t>
  </si>
  <si>
    <t>General Purpose &gt;= 110 KVA</t>
  </si>
  <si>
    <t>HT Industrial (M) Supply</t>
  </si>
  <si>
    <t>General Purpose =&gt; 110 KVA</t>
  </si>
  <si>
    <t>Emergeny Supply to CGP</t>
  </si>
  <si>
    <t>Emerg. Supply to CGP</t>
  </si>
  <si>
    <t>Subsidy Rs. Lacs</t>
  </si>
  <si>
    <t>(A) Sales projection for the existing EHT industries as well as those  awaiting to avail power at higher load during FY 2011-12</t>
  </si>
  <si>
    <t>FY 2011-12 (Total )</t>
  </si>
  <si>
    <t>FY 2010-11 (April-Sept)</t>
  </si>
  <si>
    <t xml:space="preserve">Ex-gratia </t>
  </si>
  <si>
    <t>Less: Appoval in ARR 2008-09 &amp; 2009-10</t>
  </si>
  <si>
    <t xml:space="preserve">Securitisation </t>
  </si>
  <si>
    <t>No. of Villages to be Electrified (UE/DE/PE)</t>
  </si>
  <si>
    <t>FY-2011-12</t>
  </si>
  <si>
    <t>COST AT SYSTEM VOLTAGE</t>
  </si>
  <si>
    <t>(1/12th of the sum of cash and bank balance whether credit</t>
  </si>
  <si>
    <t>or debit and call and short term deposits at the end of each</t>
  </si>
  <si>
    <t>2000-01</t>
  </si>
  <si>
    <t>month of the year)</t>
  </si>
  <si>
    <t>Total of A:</t>
  </si>
  <si>
    <t>Berhampur City Circle</t>
  </si>
  <si>
    <t>Rayagada Circle</t>
  </si>
  <si>
    <t>Less</t>
  </si>
  <si>
    <t>of fixed assets.</t>
  </si>
  <si>
    <t>ii-a)</t>
  </si>
  <si>
    <t>The amount of any loans borrowed from organisations or institutions approved by the State Govt.</t>
  </si>
  <si>
    <t>ii-b)</t>
  </si>
  <si>
    <t>The amount of any debenture issued by the licensee.</t>
  </si>
  <si>
    <t>The amount standing to the credit of the Development reserve at the close of the year.</t>
  </si>
  <si>
    <t xml:space="preserve">              ensuing year.</t>
  </si>
  <si>
    <t xml:space="preserve">              paid  in the subsequent years to ensuing year</t>
  </si>
  <si>
    <t xml:space="preserve">Note  : 1) As per the subsription agreement the amount paybale to GRIDCO towards Power bonds is Rs.123.81crore which is assumed to be </t>
  </si>
  <si>
    <t>Reasonable return on Equity (Rs. 3766.00 Lakhs)</t>
  </si>
  <si>
    <t>Contribution to P.F., Staff pension</t>
  </si>
  <si>
    <t>Previous loss</t>
  </si>
  <si>
    <t>EHT</t>
  </si>
  <si>
    <t xml:space="preserve">HT </t>
  </si>
  <si>
    <t>LT</t>
  </si>
  <si>
    <t>Units Received into the system in MU</t>
  </si>
  <si>
    <t>Total Loss in the system in %</t>
  </si>
  <si>
    <t xml:space="preserve">Provision for Taxation </t>
  </si>
  <si>
    <t>Current Year Actuals</t>
  </si>
  <si>
    <t>Other sources</t>
  </si>
  <si>
    <t>FORM T-2</t>
  </si>
  <si>
    <t>Domestic Consumers</t>
  </si>
  <si>
    <t>URBAN</t>
  </si>
  <si>
    <t>UNITS BILLED IN MU</t>
  </si>
  <si>
    <t>AVERAGE</t>
  </si>
  <si>
    <t>* MONTHLY CONSUMPTION SLAB</t>
  </si>
  <si>
    <t>Sale in the slab rates -&gt;</t>
  </si>
  <si>
    <t>Consumption at LT</t>
  </si>
  <si>
    <t>Inspection Fees</t>
  </si>
  <si>
    <t>Consumption at HT</t>
  </si>
  <si>
    <t>Consumption at EHT</t>
  </si>
  <si>
    <t>Biju Saharanchal Vidyutikaran Yojana(BSVY)</t>
  </si>
  <si>
    <t>Nos. to be recruited/ induction</t>
  </si>
  <si>
    <t>Capital contributions from consumers/ GoO</t>
  </si>
  <si>
    <t xml:space="preserve">Others </t>
  </si>
  <si>
    <t>Revenue</t>
  </si>
  <si>
    <t xml:space="preserve">Depreciation </t>
  </si>
  <si>
    <t>2002-03</t>
  </si>
  <si>
    <t>Interest on loan advanced by GRIDCO and others</t>
  </si>
  <si>
    <t>Total Cost</t>
  </si>
  <si>
    <t>Net working capital (1-2)</t>
  </si>
  <si>
    <t>Sources of funding &amp; rate of interest</t>
  </si>
  <si>
    <t>Provision for bad and doubtful debts</t>
  </si>
  <si>
    <t>Other Expenses</t>
  </si>
  <si>
    <t>Special Appropriations</t>
  </si>
  <si>
    <t>Payment against Purchase of Power</t>
  </si>
  <si>
    <t>Interest at the beginning of  the year</t>
  </si>
  <si>
    <t xml:space="preserve"> Interest for the year</t>
  </si>
  <si>
    <t>Contingency reserve</t>
  </si>
  <si>
    <t>IT  &amp; AUTOMATION</t>
  </si>
  <si>
    <t>Computer</t>
  </si>
  <si>
    <t>Amount(Rs.)</t>
  </si>
  <si>
    <t>Laser Printer</t>
  </si>
  <si>
    <t>Line Printer</t>
  </si>
  <si>
    <t>Anti-virus</t>
  </si>
  <si>
    <t>Swith</t>
  </si>
  <si>
    <t>Scanner</t>
  </si>
  <si>
    <t>Printer Dot-Matrix</t>
  </si>
  <si>
    <t>Billing Server</t>
  </si>
  <si>
    <t>Load Balance server</t>
  </si>
  <si>
    <t>SAN server</t>
  </si>
  <si>
    <t>HARDWARE</t>
  </si>
  <si>
    <t>SOFTWARE</t>
  </si>
  <si>
    <t>Upgradation of Oracle for IT billing from 8i to Oracle 11g</t>
  </si>
  <si>
    <t>Recurring Expenses</t>
  </si>
  <si>
    <t>Manpower</t>
  </si>
  <si>
    <t xml:space="preserve">Internet Usage </t>
  </si>
  <si>
    <t>Dedicated Hosted Server</t>
  </si>
  <si>
    <t>Details</t>
  </si>
  <si>
    <t xml:space="preserve">Cost </t>
  </si>
  <si>
    <t>Per Annum</t>
  </si>
  <si>
    <t>Emergency Power supply to CPP</t>
  </si>
  <si>
    <t>2006-07</t>
  </si>
  <si>
    <t>Repair &amp; Maintainance</t>
  </si>
  <si>
    <t>DC Service:</t>
  </si>
  <si>
    <t>Consumer Commercial Information</t>
  </si>
  <si>
    <t>I)From World Bank</t>
  </si>
  <si>
    <t>(Rs. in lacs)</t>
  </si>
  <si>
    <t>INVESTMENT</t>
  </si>
  <si>
    <t>Contribution required for 2007-08</t>
  </si>
  <si>
    <t>Less: Monthly contribution from company</t>
  </si>
  <si>
    <t>Amount of terminal liability for 2007-08</t>
  </si>
  <si>
    <t>Corpus as on 31.03.08</t>
  </si>
  <si>
    <t>Add: Return on investment</t>
  </si>
  <si>
    <t xml:space="preserve">Less Amount paid </t>
  </si>
  <si>
    <t>Pension as on 31.03.09</t>
  </si>
  <si>
    <t>Liability as on 31.03.09</t>
  </si>
  <si>
    <t>Contribution required for 2008-09</t>
  </si>
  <si>
    <t>Add: TB Allowed  In ARR</t>
  </si>
  <si>
    <t>Profit/(Loss) (before interest &amp; finance charges)</t>
  </si>
  <si>
    <t>Profit/(Loss) before tax for the year</t>
  </si>
  <si>
    <t>Profit/(Loss) After Tax</t>
  </si>
  <si>
    <t>(Rs. in lacs.)</t>
  </si>
  <si>
    <t>Previous Yr.</t>
  </si>
  <si>
    <t>Current Yr.</t>
  </si>
  <si>
    <t>Ensuing Yr.</t>
  </si>
  <si>
    <t>SOURCES OF FUNDS</t>
  </si>
  <si>
    <t xml:space="preserve">Cash Collection Charges </t>
  </si>
  <si>
    <t>The amounts written off or set aside on account of depreciation</t>
  </si>
  <si>
    <t>CONSUMERS</t>
  </si>
  <si>
    <t>CATEGORY</t>
  </si>
  <si>
    <t>Income from Regulatory assets</t>
  </si>
  <si>
    <t>Grand Total</t>
  </si>
  <si>
    <t>1.05.2011</t>
  </si>
  <si>
    <t xml:space="preserve">Not made  </t>
  </si>
  <si>
    <t>Aditya Aluminium Limited</t>
  </si>
  <si>
    <t>TOTAL ASSETS</t>
  </si>
  <si>
    <t>Unsecured Loans</t>
  </si>
  <si>
    <t>Other Funds</t>
  </si>
  <si>
    <t>TOTAL Investment</t>
  </si>
  <si>
    <t>2012-13</t>
  </si>
  <si>
    <t>Hire charges  &amp; Fuel Exp of P.Station</t>
  </si>
  <si>
    <t>Total Payment</t>
  </si>
  <si>
    <t>Contribution required:</t>
  </si>
  <si>
    <t>Total Corpus as on 31.03.07</t>
  </si>
  <si>
    <t>Add: return on investment</t>
  </si>
  <si>
    <t>Less: Amount paid</t>
  </si>
  <si>
    <t>Pension as on 31.03.08</t>
  </si>
  <si>
    <t>Liability as on 31.03.08</t>
  </si>
  <si>
    <t>Transfer to Contingency Reserve</t>
  </si>
  <si>
    <t>Units Consumed by diff. categories(Ref.F-6)</t>
  </si>
  <si>
    <t>Form No. F.10</t>
  </si>
  <si>
    <t>Rs. in Lacs</t>
  </si>
  <si>
    <t>Interest &amp; Finance Charges</t>
  </si>
  <si>
    <t>Staffing of Police Stations</t>
  </si>
  <si>
    <t>Sanctioned Strength</t>
  </si>
  <si>
    <t>Phulbani</t>
  </si>
  <si>
    <t>Nawarangapur</t>
  </si>
  <si>
    <t>(i) Inspector</t>
  </si>
  <si>
    <t>(ii)Sub Inspector</t>
  </si>
  <si>
    <t>(iii) Asst. Subinspector</t>
  </si>
  <si>
    <t>(iv) Head Constable</t>
  </si>
  <si>
    <t>(v) Follower Orderly</t>
  </si>
  <si>
    <t>(vi) Asst. Driver</t>
  </si>
  <si>
    <t>(vii) Constable</t>
  </si>
  <si>
    <t>Parlakhemundi</t>
  </si>
  <si>
    <t>Progress of Energy Police Stations</t>
  </si>
  <si>
    <t>FIRs Filed</t>
  </si>
  <si>
    <t>Up to 2009</t>
  </si>
  <si>
    <t>2011(up to Oct-11)</t>
  </si>
  <si>
    <t>FIRs Registered</t>
  </si>
  <si>
    <t>No. of Cases Charge sheet filed</t>
  </si>
  <si>
    <t>Distribtion Loss</t>
  </si>
  <si>
    <t>AT&amp;C Loss</t>
  </si>
  <si>
    <t>Sl. No</t>
  </si>
  <si>
    <t>Rs. In Crores</t>
  </si>
  <si>
    <t>Cost of Power Purchase</t>
  </si>
  <si>
    <t xml:space="preserve">(a) Employee Costs </t>
  </si>
  <si>
    <t>(b)Repair &amp; Maintenance Costs</t>
  </si>
  <si>
    <t>(c) Administrative and General Expenses</t>
  </si>
  <si>
    <t>(d) Provision for Bad &amp; Doubtful Debts</t>
  </si>
  <si>
    <t>(e) Depreciation</t>
  </si>
  <si>
    <t>(f) Other expenses including Prior Period income/charges</t>
  </si>
  <si>
    <t>Less : Expenses Capitalised ( Employee Cost A&amp;G &amp; R&amp;M)</t>
  </si>
  <si>
    <t>(g) Interest &amp; Finance Charges</t>
  </si>
  <si>
    <t>Less :Interest capitalised</t>
  </si>
  <si>
    <t>Total Expenses (a+b+c+d+e+f-g+h-i)</t>
  </si>
  <si>
    <t>TOTAL(1+2A+3+4)</t>
  </si>
  <si>
    <t>Less : Miscellaneous Receipts</t>
  </si>
  <si>
    <t>Total Revenue Requirement(5-6)</t>
  </si>
  <si>
    <t>(Gap)/Surplus for the year</t>
  </si>
  <si>
    <t>Schedule</t>
  </si>
  <si>
    <t>For the year ended</t>
  </si>
  <si>
    <t>Amount (`)</t>
  </si>
  <si>
    <t>Accounting Policies and Notes to Accounts</t>
  </si>
  <si>
    <t>I. SOURSES OF FUNDS</t>
  </si>
  <si>
    <t xml:space="preserve"> (1) Shareholders' Funds</t>
  </si>
  <si>
    <t xml:space="preserve">       Share Capital</t>
  </si>
  <si>
    <t xml:space="preserve">       Reserves and Surplus</t>
  </si>
  <si>
    <t xml:space="preserve"> (2) Loan Funds</t>
  </si>
  <si>
    <t xml:space="preserve"> (3) Other Funds</t>
  </si>
  <si>
    <t xml:space="preserve">       Capital Contribution from Consumers</t>
  </si>
  <si>
    <t>II. APPLICATION OF FUNDS</t>
  </si>
  <si>
    <t xml:space="preserve"> (1) Fixed Assets</t>
  </si>
  <si>
    <t xml:space="preserve">       Gross Block</t>
  </si>
  <si>
    <t xml:space="preserve">       Net Block</t>
  </si>
  <si>
    <t xml:space="preserve">       Capital Work-in-Progress</t>
  </si>
  <si>
    <t xml:space="preserve"> (2) Current Assets, Loans and Advances</t>
  </si>
  <si>
    <t xml:space="preserve">       Sundry Debtors</t>
  </si>
  <si>
    <t xml:space="preserve">       Inventories</t>
  </si>
  <si>
    <t xml:space="preserve">       Cash and Bank Balances</t>
  </si>
  <si>
    <t xml:space="preserve">       Loans and Advances</t>
  </si>
  <si>
    <t xml:space="preserve">       Less: Current Liabilities and Provisions </t>
  </si>
  <si>
    <t xml:space="preserve">                Current Liabilities</t>
  </si>
  <si>
    <t xml:space="preserve">                Provisions</t>
  </si>
  <si>
    <t xml:space="preserve">       Net Current Assets</t>
  </si>
  <si>
    <t>SCHEDULES ANNEXED TO AND FORMING PART OF THE ACCOUNTS</t>
  </si>
  <si>
    <t xml:space="preserve"> (a) Authorised -</t>
  </si>
  <si>
    <r>
      <t xml:space="preserve">of </t>
    </r>
    <r>
      <rPr>
        <sz val="14"/>
        <rFont val="Rupee Foradian"/>
        <family val="2"/>
      </rPr>
      <t>`</t>
    </r>
    <r>
      <rPr>
        <sz val="14"/>
        <rFont val="Times New Roman"/>
        <family val="1"/>
      </rPr>
      <t xml:space="preserve"> 10/- each</t>
    </r>
  </si>
  <si>
    <t>SCHEDULE  2 - RESERVES AND SURPLUS</t>
  </si>
  <si>
    <t xml:space="preserve"> (a) Contigencies Reserve</t>
  </si>
  <si>
    <t xml:space="preserve">           Balance as per last Balance Sheet</t>
  </si>
  <si>
    <t xml:space="preserve">      1.  Capital Subsidy / Grants</t>
  </si>
  <si>
    <t>Security :</t>
  </si>
  <si>
    <t>Opening Balance as per last Account</t>
  </si>
  <si>
    <t>Add: Contribution received during the year</t>
  </si>
  <si>
    <t>Lines cables &amp; Network Assets</t>
  </si>
  <si>
    <t>Capital Stores / Stock</t>
  </si>
  <si>
    <t>Advance for Capital Goods</t>
  </si>
  <si>
    <t>Employees Cost</t>
  </si>
  <si>
    <t>A. FIXED ASSETS</t>
  </si>
  <si>
    <t>GROSS BLOCK</t>
  </si>
  <si>
    <t>DEPRECIATION</t>
  </si>
  <si>
    <t>NET BLOCK</t>
  </si>
  <si>
    <t>For the year</t>
  </si>
  <si>
    <t xml:space="preserve">       Freeholds </t>
  </si>
  <si>
    <t xml:space="preserve">       Lease holds</t>
  </si>
  <si>
    <t>Plant &amp; Machinary relating to Distribution</t>
  </si>
  <si>
    <t>System Network</t>
  </si>
  <si>
    <t>Furniture and Fixtures</t>
  </si>
  <si>
    <t>Office Equipments including Computers</t>
  </si>
  <si>
    <t>Previous year</t>
  </si>
  <si>
    <t>Schedule-7</t>
  </si>
  <si>
    <t>(O &amp; M ) Stores and Spares</t>
  </si>
  <si>
    <t xml:space="preserve">Cash </t>
  </si>
  <si>
    <t xml:space="preserve">    Stamps in Hand</t>
  </si>
  <si>
    <t>Remittance in Transit</t>
  </si>
  <si>
    <t>Less: Adjustments during the year</t>
  </si>
  <si>
    <t>Balance Receivable</t>
  </si>
  <si>
    <t>Advances recoverable in cash or in kind or for value to be received</t>
  </si>
  <si>
    <t>Capital Subsidy/Grant receivable from state Govt.</t>
  </si>
  <si>
    <t>(A) Current Liabilities:</t>
  </si>
  <si>
    <t>Sundry Creditors :</t>
  </si>
  <si>
    <t xml:space="preserve">       For Power purchase</t>
  </si>
  <si>
    <t>Acceptance</t>
  </si>
  <si>
    <t xml:space="preserve">      Deposits and Retention from Suppliers / Contractors</t>
  </si>
  <si>
    <t xml:space="preserve">      Creditors on capital Accounts</t>
  </si>
  <si>
    <t xml:space="preserve">      Interest accrued but not due</t>
  </si>
  <si>
    <t xml:space="preserve">      Electricity Duty Payable</t>
  </si>
  <si>
    <t xml:space="preserve">      Other Liabilities</t>
  </si>
  <si>
    <t>(B) Provisions:</t>
  </si>
  <si>
    <t>Unit Sold       (MU)</t>
  </si>
  <si>
    <t>Unit Sold     (MU)</t>
  </si>
  <si>
    <t>Irrigation &amp; Agriculture</t>
  </si>
  <si>
    <t>Public water works &amp; Sewerage Pumps</t>
  </si>
  <si>
    <t>Allied Agro- Industrial</t>
  </si>
  <si>
    <t>For the Year Ended</t>
  </si>
  <si>
    <t>Commission for the collection of Electricity Duty</t>
  </si>
  <si>
    <t>Meter Rents/ Service Line Rental</t>
  </si>
  <si>
    <t>Miscellaneous charges</t>
  </si>
  <si>
    <t>Delayed Payment Surcharges &amp; Overdrawal Penalty</t>
  </si>
  <si>
    <t>Units Purchase</t>
  </si>
  <si>
    <t xml:space="preserve">          ( MU )</t>
  </si>
  <si>
    <t>Salaries, wages, Allowances &amp; Benefits</t>
  </si>
  <si>
    <t>Contribution to Provident and Other Funds</t>
  </si>
  <si>
    <t>Repairs &amp; Maintenance Expenses</t>
  </si>
  <si>
    <t>Furniture,Fixture &amp; Office Equipment,Vehicle, etc</t>
  </si>
  <si>
    <t>Administration &amp; General Expenses</t>
  </si>
  <si>
    <t>Property Related Expenses</t>
  </si>
  <si>
    <t>Communication</t>
  </si>
  <si>
    <t>Professional Charges</t>
  </si>
  <si>
    <t>Conveyance &amp; Travelling</t>
  </si>
  <si>
    <t>76.111(GH)</t>
  </si>
  <si>
    <t>Material Related Expenses</t>
  </si>
  <si>
    <t>Provision for Doubtful Debts</t>
  </si>
  <si>
    <t>Less: Expenses Capitalised</t>
  </si>
  <si>
    <t>Other Loan</t>
  </si>
  <si>
    <t>Less : Interest Capitalised and Transferred to Capital Work in Progress</t>
  </si>
  <si>
    <t>Interest on Security Deposit from consumers</t>
  </si>
  <si>
    <t>Other Finance Charges</t>
  </si>
  <si>
    <t xml:space="preserve">                              OTHER APPROPRIATIONS</t>
  </si>
  <si>
    <t>Contingencies Reserve</t>
  </si>
  <si>
    <t>DEBIT</t>
  </si>
  <si>
    <t>CREDIT</t>
  </si>
  <si>
    <t>SHARE CAPITAL</t>
  </si>
  <si>
    <t>Sub Total</t>
  </si>
  <si>
    <t>Total Of Issued, Subscribed And Paid Up Sh. Cap.</t>
  </si>
  <si>
    <t>Consumers contribution towards cost of Capital assets</t>
  </si>
  <si>
    <t>Capital Subsidy / Grants -</t>
  </si>
  <si>
    <t>Grant -in - Aid -Capital - APDRP</t>
  </si>
  <si>
    <t>Grant -in - Aid -Capital - DFID</t>
  </si>
  <si>
    <t>Subsidy/Grant-In-Aid- Capital</t>
  </si>
  <si>
    <t>Staff Welfare fund</t>
  </si>
  <si>
    <t>Statutory Resurve</t>
  </si>
  <si>
    <t>Contingency Reserve ( B/S)</t>
  </si>
  <si>
    <t>Total Of Reserve And Surplus</t>
  </si>
  <si>
    <t>CONTINGENCY RESERVE - P&amp;L</t>
  </si>
  <si>
    <t>Contingency Reserve ( P &amp; L)</t>
  </si>
  <si>
    <t>Net</t>
  </si>
  <si>
    <t>World Bank Loan</t>
  </si>
  <si>
    <t>i</t>
  </si>
  <si>
    <t>World Bank Loan (GRIDCO Portion)</t>
  </si>
  <si>
    <t>Loan From Gridco-OERC Order dt 30.03.2012</t>
  </si>
  <si>
    <t>Loan from Gridco.</t>
  </si>
  <si>
    <t>Interest Accrued &amp; due onWorld Bank Loan ( GRIDCO Portion )</t>
  </si>
  <si>
    <t>Interest Accrued &amp; Due on Gridco Loan</t>
  </si>
  <si>
    <t>ii</t>
  </si>
  <si>
    <t>Securitisation Of BST Dues</t>
  </si>
  <si>
    <t>Loan from APDRP- Govt.(Construction Loan)</t>
  </si>
  <si>
    <t>Loan from REC- ( APDRP Counter Part Funding )</t>
  </si>
  <si>
    <t>Interest Accrued and Due on APDRP Loan</t>
  </si>
  <si>
    <t>Loan from REC- ( System Improvement-I )</t>
  </si>
  <si>
    <t>Loan from REC- ( System Improvement-II )</t>
  </si>
  <si>
    <t>Interest Accrued and Due on REC Loan(System Improvement)</t>
  </si>
  <si>
    <t>LOAN FROM STATE BANK OF INDIA</t>
  </si>
  <si>
    <t>INTEREST ACCRUED &amp; DUE ON LOANS FROM SBI</t>
  </si>
  <si>
    <t>Current Liabilities And Provisions</t>
  </si>
  <si>
    <t xml:space="preserve">Sundry Creditors </t>
  </si>
  <si>
    <t>Sundry Creditors  for purchase of Power</t>
  </si>
  <si>
    <t>Sundry Creditors for purchase of Power - GRIDCO</t>
  </si>
  <si>
    <t>Sundry Creditors for Transmission Charges - OPTCL</t>
  </si>
  <si>
    <t>Sundry Creditors for SLDC Charges - OPTCL</t>
  </si>
  <si>
    <t>OTHER SUNDRY CREDITORS</t>
  </si>
  <si>
    <t>Liability for Supply of Materials ( Capital )</t>
  </si>
  <si>
    <t>Liability for supply of Materials-Capital</t>
  </si>
  <si>
    <t>Liability for Supply of- Steel</t>
  </si>
  <si>
    <t>Liability for Supply of- Transformers</t>
  </si>
  <si>
    <t>Liability for Supply of- Metering Equipments</t>
  </si>
  <si>
    <t>Liability for Supply of- Cable and conductors</t>
  </si>
  <si>
    <t>Liability for Supply of- Poles.</t>
  </si>
  <si>
    <t>Liability for Supply of- Electric Light fittings</t>
  </si>
  <si>
    <t>Liability for Supply of-Spares</t>
  </si>
  <si>
    <t>Liability for Supply of-Insulators</t>
  </si>
  <si>
    <t>Liability for Supply of-Circuit Breakers</t>
  </si>
  <si>
    <t>Liability for Supply of- Transformers Oil</t>
  </si>
  <si>
    <t>Liability for Supply of- Others</t>
  </si>
  <si>
    <t>Suppliers Control A/c ( Capital )</t>
  </si>
  <si>
    <t>Suppliers control Account-capital</t>
  </si>
  <si>
    <t>42.201-1</t>
  </si>
  <si>
    <t>Suppliers Control Account (Capital)- Liability Account - BSES Conttact Division</t>
  </si>
  <si>
    <t>42.201-2</t>
  </si>
  <si>
    <t>Suppliers Control Account (Capital)- Liability Account - Andrew Yule</t>
  </si>
  <si>
    <t>Suppliers control Account- Steel</t>
  </si>
  <si>
    <t>Suppliers control Account- Transformers</t>
  </si>
  <si>
    <t>Suppliers control Account- Metering Equipments</t>
  </si>
  <si>
    <t>Suppliers control Account- Cable and conductors</t>
  </si>
  <si>
    <t>Suppliers control Account- Poles.</t>
  </si>
  <si>
    <t>Suppliers control Account- Electric Light fittings</t>
  </si>
  <si>
    <t>Suppliers control Account-Spares</t>
  </si>
  <si>
    <t>Suppliers control Account-Insulators</t>
  </si>
  <si>
    <t>Suppliers control Account-Circuit Breakers</t>
  </si>
  <si>
    <t>Suppliers control Account-</t>
  </si>
  <si>
    <t>Suppliers control Account- Others</t>
  </si>
  <si>
    <t>iii</t>
  </si>
  <si>
    <t>Provision for Supply of Materials ( Capital )</t>
  </si>
  <si>
    <t>Provision for Supply of Materials(Capital)</t>
  </si>
  <si>
    <t>iv</t>
  </si>
  <si>
    <t>Contractors Control A/c ( Capital )</t>
  </si>
  <si>
    <t>Contractors Control Account</t>
  </si>
  <si>
    <t>v</t>
  </si>
  <si>
    <t>Provision for Liability for Work ( Capital )</t>
  </si>
  <si>
    <t>Provision for Liability for Works(Capital)</t>
  </si>
  <si>
    <t>vi</t>
  </si>
  <si>
    <t>Liability for Supply of Materials ( O &amp; M )</t>
  </si>
  <si>
    <t>Liability for Supply of Materials (O &amp; M)</t>
  </si>
  <si>
    <t>vii</t>
  </si>
  <si>
    <t>Suppliers Control A/c ( O &amp; M )</t>
  </si>
  <si>
    <t>Suppliers control Account (O &amp; M)</t>
  </si>
  <si>
    <t>viii</t>
  </si>
  <si>
    <t>Provision for Supply of Materials ( O &amp; M )</t>
  </si>
  <si>
    <t>Provision for supply of Material (O&amp;M)</t>
  </si>
  <si>
    <t>Provision for Supply of Materials(O &amp; M)</t>
  </si>
  <si>
    <t>ix</t>
  </si>
  <si>
    <t>Contractors Control A/c ( O &amp; M )</t>
  </si>
  <si>
    <t>Contractors control account(O &amp; M)</t>
  </si>
  <si>
    <t>x</t>
  </si>
  <si>
    <t>Provision for Liability for Work ( O &amp; M )</t>
  </si>
  <si>
    <t>Provision for Liability for Works(O &amp; M)</t>
  </si>
  <si>
    <t>DEPOSITS &amp; RETENTIONS FROM SUPPLIERS/CONTRACTORS</t>
  </si>
  <si>
    <t>Security Deposit in cash-Capital</t>
  </si>
  <si>
    <t>Earnest Money Deposit Capital</t>
  </si>
  <si>
    <t>Retention Money</t>
  </si>
  <si>
    <t>Retention Money from Contractors-Capital</t>
  </si>
  <si>
    <t>Retention Money from Suppliers-Capital</t>
  </si>
  <si>
    <t>Security Deposit in cash-O &amp; M</t>
  </si>
  <si>
    <t>Security Deposit other than in cash-O &amp; M</t>
  </si>
  <si>
    <t>Earnest Money Deposit O &amp; M</t>
  </si>
  <si>
    <t>Retension money from suppliers- O &amp; M</t>
  </si>
  <si>
    <t>Retension money from contactors- O &amp; M</t>
  </si>
  <si>
    <t>xi</t>
  </si>
  <si>
    <t>Sundry Creditors Others</t>
  </si>
  <si>
    <t>Sundry Creditor for expenses</t>
  </si>
  <si>
    <t>Payable to BSES Ltd towards Lease Rent</t>
  </si>
  <si>
    <t>Payable to BIFL Ltd towards Lease Rent</t>
  </si>
  <si>
    <t>Payable to NESCO towards Lease Rent</t>
  </si>
  <si>
    <t>BSES Contract Division</t>
  </si>
  <si>
    <t>Payable to BSES - Other Expenses</t>
  </si>
  <si>
    <t>Payable to BIFL - Other Expenses</t>
  </si>
  <si>
    <t>Payable to BTL towards Consoltancy</t>
  </si>
  <si>
    <t>Provision for Liability for Expenses</t>
  </si>
  <si>
    <t>Total Of Sundry Creditors</t>
  </si>
  <si>
    <t>Unsecured Loan Fund</t>
  </si>
  <si>
    <t>Loan From Bank</t>
  </si>
  <si>
    <t>LOAN FROM WESCO</t>
  </si>
  <si>
    <t>LOAN FROM NESCO</t>
  </si>
  <si>
    <t>Total Of Unsecured Loan</t>
  </si>
  <si>
    <t xml:space="preserve"> Deposits and advances from Consumers</t>
  </si>
  <si>
    <t>DEPOSITS FOR SERVICE CONNECTION</t>
  </si>
  <si>
    <t>Deposits for Electrificationof villages( RE/Kutira Jyoti )-Deposits</t>
  </si>
  <si>
    <t>Deposits for Electrificationof villages( RE/Kutira Jyoti )-Expenditures</t>
  </si>
  <si>
    <t>Deposits for Shifting of Electrical Intallation of NH-5-Deposits</t>
  </si>
  <si>
    <t>Deposits for Shifting of Electrical Intallation of NH-5-Expenditures</t>
  </si>
  <si>
    <t>Deposit under PMGY Scheme</t>
  </si>
  <si>
    <t>Deposit under PMGY Scheme- Expenditure</t>
  </si>
  <si>
    <t>Deposit under MNP Scheme</t>
  </si>
  <si>
    <t>Deposit under MNP Scheme- Expenditure</t>
  </si>
  <si>
    <t>Deposit under OCF Scheme</t>
  </si>
  <si>
    <t>Deposit under OCF Scheme- Expenditure</t>
  </si>
  <si>
    <t>Deposit under System Improvement under BGGY- Deposit</t>
  </si>
  <si>
    <t>Deposit under System Improvement under BGGY- Expenditure</t>
  </si>
  <si>
    <t>Deposit for L &amp; M voltage service connection deposits</t>
  </si>
  <si>
    <t>Deposit for L &amp; M voltage service connection Expenditure</t>
  </si>
  <si>
    <t>Deposits for HT service connection-Deposits</t>
  </si>
  <si>
    <t>Deposits for HT service connection-Expenditure</t>
  </si>
  <si>
    <t>Deposit for Temporary service connections</t>
  </si>
  <si>
    <t>Deposit for service connections other deposits</t>
  </si>
  <si>
    <t>Deposit for service connections other Expenditure</t>
  </si>
  <si>
    <t>OTHER DEPOSITS FROM CONSUMERS</t>
  </si>
  <si>
    <t>Deposits received against Burnt Meters</t>
  </si>
  <si>
    <t>Deposits against verification of meters/meter Readings etc.</t>
  </si>
  <si>
    <t>Deposit adjustable against energy charges</t>
  </si>
  <si>
    <t>Other deposits from Consumers</t>
  </si>
  <si>
    <t>33/11 KV SS at Panasagandi OHPC Deposit- Receipt</t>
  </si>
  <si>
    <t>33/11 KV SS at Panasagandi OHPC Deposit- Expenditure</t>
  </si>
  <si>
    <t>Total Deposit And Advance From Consumer</t>
  </si>
  <si>
    <t>Security Deposit from Consumer &amp;Interest</t>
  </si>
  <si>
    <t>CONSUMERS' SECURITY DEPOSIT</t>
  </si>
  <si>
    <t>Small Industry</t>
  </si>
  <si>
    <t>Medium Industry</t>
  </si>
  <si>
    <t>Irrigation,Pumping &amp; Agr.</t>
  </si>
  <si>
    <t>Public Water Works &amp; Sew.Pum.</t>
  </si>
  <si>
    <t>Licenciees</t>
  </si>
  <si>
    <t>Security Deposits from Consumers(in Cash) P. I.</t>
  </si>
  <si>
    <t>Allied Agro-Industrial</t>
  </si>
  <si>
    <t>Security Deposits from Consumers(other than in Cash) Domestic</t>
  </si>
  <si>
    <t xml:space="preserve">Total Of S/D From Consumers Against E.Ch Bill </t>
  </si>
  <si>
    <t>Leter of Credit from Union Bank of India</t>
  </si>
  <si>
    <t>Total Of Secured Loans</t>
  </si>
  <si>
    <t>Interest Accrued but not Due</t>
  </si>
  <si>
    <t>Interest Accrued but not Due on World Bank Loan</t>
  </si>
  <si>
    <t>Interest Accrued but not Due on W.B Loan GRIDCO Portion</t>
  </si>
  <si>
    <t>Interest Accrued on LC(SOD) But Not Due</t>
  </si>
  <si>
    <t>Interesr on APDRP Loan</t>
  </si>
  <si>
    <t>Interesr on REC Loan</t>
  </si>
  <si>
    <t>Interest Accrued but not Due on Soft Loan From BIFL</t>
  </si>
  <si>
    <t>Interest Accrued but not Due on GRIDCO</t>
  </si>
  <si>
    <t>Total Of Interest Accrued But Not Due</t>
  </si>
  <si>
    <t>Payable/Receivable -Bond &amp; Other Adjustment with Gridco</t>
  </si>
  <si>
    <t>Gridco BST Securitisation-Current Due A/C</t>
  </si>
  <si>
    <t>Gridco Other Loan-Current Due A/C</t>
  </si>
  <si>
    <t>Total Of Payble Receivable-GRIDCO</t>
  </si>
  <si>
    <t xml:space="preserve"> OTHER STAFF RELATED LIABILITIES &amp; PROVISIONS</t>
  </si>
  <si>
    <t>PF Trust</t>
  </si>
  <si>
    <t>P.F.Trust Account</t>
  </si>
  <si>
    <t>Provision for Bonus</t>
  </si>
  <si>
    <t>Other Staff related Provisions</t>
  </si>
  <si>
    <t>PAY REVISION IN LINE WITH 6TH PAY COMMISSION</t>
  </si>
  <si>
    <t>Rehabilation Trust</t>
  </si>
  <si>
    <t>Provision for  Rehabilation Trust</t>
  </si>
  <si>
    <t xml:space="preserve">Unpaid Salaries &amp; Bonus </t>
  </si>
  <si>
    <t>Unpaid Salaries</t>
  </si>
  <si>
    <t>Unpaid Bonus</t>
  </si>
  <si>
    <t>Other unpaid items</t>
  </si>
  <si>
    <t>Salaries &amp; Bonus Payable</t>
  </si>
  <si>
    <t>Net Salary Payable</t>
  </si>
  <si>
    <t>Bonus Payable</t>
  </si>
  <si>
    <t>Liability for Medical Expenses</t>
  </si>
  <si>
    <t>Liability for Earned Leave Encashment</t>
  </si>
  <si>
    <t>Liability for other staff Payments</t>
  </si>
  <si>
    <t>Other Staff Deductions &amp; Recoveries Payable</t>
  </si>
  <si>
    <t>Income Tax Deducted at source on salaries</t>
  </si>
  <si>
    <t>Employees Contribution towadrs E.P.F-Payble to PF Trust</t>
  </si>
  <si>
    <t>Refundable EPF Advance Paid to employees</t>
  </si>
  <si>
    <t>Recoveries of EPF Refundable Advance in  Installments</t>
  </si>
  <si>
    <t>Non Refundable EPF Advance Paid to employees</t>
  </si>
  <si>
    <t>Salary Saving Scheme Premium Recovered</t>
  </si>
  <si>
    <t>Pay Roll Saving Scheme Premium Recoverd</t>
  </si>
  <si>
    <t>GPF (Central)Cotribution Accounts</t>
  </si>
  <si>
    <t>Additional emouluments- Compulsory deposit A/c(Central)</t>
  </si>
  <si>
    <t>House rent recovery (Govt.)</t>
  </si>
  <si>
    <t>Water Charge Recovery</t>
  </si>
  <si>
    <t>Electricity Charge Recovery</t>
  </si>
  <si>
    <t>House Building Advance Recovery (Govt.)</t>
  </si>
  <si>
    <t>Car Advance Recovery(Govt.)</t>
  </si>
  <si>
    <t>Scooter/Motor Cycle Advance Recovery(Govt.)</t>
  </si>
  <si>
    <t>Others Staff Advance Recovery (Govt.)</t>
  </si>
  <si>
    <t>Employees Contribution towadrs C.P.F-Non Pensionary-Voluntary</t>
  </si>
  <si>
    <t>CPF-Non Pensionary-Voluntary Contribution</t>
  </si>
  <si>
    <t>Employer Cont. to RPFC</t>
  </si>
  <si>
    <t>Recoveries on Govt.Account Others</t>
  </si>
  <si>
    <t>Professional Tax (TDS)</t>
  </si>
  <si>
    <t>Other Recovery Payable-Public Accounts</t>
  </si>
  <si>
    <t xml:space="preserve">Employee Contribution towards GPF </t>
  </si>
  <si>
    <t>GPF Recoverable Advance paid to members</t>
  </si>
  <si>
    <t>Recoveries of GPF Advance  from members</t>
  </si>
  <si>
    <t>Non recoverable GPF advance Part/ Final Payments</t>
  </si>
  <si>
    <t>Employees contribution towadrs CPF</t>
  </si>
  <si>
    <t>CPF Boards Recoverable Advance paid to Members</t>
  </si>
  <si>
    <t>CPF Boards Non-Recoverable Advance paid to Members</t>
  </si>
  <si>
    <t>CPF Advance Recovered from Members</t>
  </si>
  <si>
    <t>CPF Family Pension Paid</t>
  </si>
  <si>
    <t>CPF- Trustee Board Account</t>
  </si>
  <si>
    <t>SWF Advance paid to Memebers</t>
  </si>
  <si>
    <t>SWF Advance Recovered from Members</t>
  </si>
  <si>
    <t>SWF- Interest recovered from Memebers</t>
  </si>
  <si>
    <t>GIC Cliam received from Govt. of Orissa</t>
  </si>
  <si>
    <t>STAFF RELATED LIABILITIES &amp; PROVISIONS</t>
  </si>
  <si>
    <t>Other Liabilities Payble to Outside Party</t>
  </si>
  <si>
    <t>ELECTRICITY DUTY PAYABLE</t>
  </si>
  <si>
    <t>Electricity duty Payable to Govt.Assessment</t>
  </si>
  <si>
    <t>Electricity duty Payable to Govt.Collection</t>
  </si>
  <si>
    <t>Electricity duty remitted to Govt.</t>
  </si>
  <si>
    <t>Other Liabilities Payable to Govt.</t>
  </si>
  <si>
    <t>Other Liabilities payable to State Govt.</t>
  </si>
  <si>
    <t>Other Liabilities payable to Central Govt.</t>
  </si>
  <si>
    <t>Amount Owing to Licencees</t>
  </si>
  <si>
    <t>Amount Oweing to Licencees</t>
  </si>
  <si>
    <t>Interest Accrued but not Due on Power Bond</t>
  </si>
  <si>
    <t>FBT Payable</t>
  </si>
  <si>
    <t>Security Deposit</t>
  </si>
  <si>
    <t>Security Deposits from Employees in Cash</t>
  </si>
  <si>
    <t>Security deposits- Non cash as per contra</t>
  </si>
  <si>
    <t>Sundry Liabilities &amp; Provisions</t>
  </si>
  <si>
    <t>Deposits for execution of works/Jobs</t>
  </si>
  <si>
    <t>Income Tax TDS  on Payment of Interest on Borrowings including Power Bond</t>
  </si>
  <si>
    <t>Income Tax Deducted at source on payment to Contractors</t>
  </si>
  <si>
    <t>Income Tax deducted ar source on other Pyt.</t>
  </si>
  <si>
    <t>Income Tax Deducted at source on Interest on Security Deposit from consumers</t>
  </si>
  <si>
    <t>Amount Payble by Govt. Consumers on finalisation of Deposits</t>
  </si>
  <si>
    <t>Liability for Orissa Sales Tax</t>
  </si>
  <si>
    <t>Liability for Work Contract Tax</t>
  </si>
  <si>
    <t>Income Received in Advance</t>
  </si>
  <si>
    <t>Orissa Building &amp; Other construction work welfare board,BBSR</t>
  </si>
  <si>
    <t>Provision for loss on obsolescence of Capital spares</t>
  </si>
  <si>
    <t>Total Of Other Liabilities</t>
  </si>
  <si>
    <t xml:space="preserve">PROVISIONS FOR RETIREMENT BENEFITS </t>
  </si>
  <si>
    <t xml:space="preserve">For Gratuity </t>
  </si>
  <si>
    <t xml:space="preserve">For Pension </t>
  </si>
  <si>
    <t>For Leave Encashment</t>
  </si>
  <si>
    <t>Provision for  Leave Encashment</t>
  </si>
  <si>
    <t>Total Of Pen. Gratuity &amp; UULS</t>
  </si>
  <si>
    <t>Receivables from GRIDCO Towards Retirement Benefits Cost</t>
  </si>
  <si>
    <t>Balance Carry over account-GRIDCO</t>
  </si>
  <si>
    <t>12 (ii )</t>
  </si>
  <si>
    <t>Provisions for Contigencies - Power Bond</t>
  </si>
  <si>
    <t>Total Of Provision For Contigency</t>
  </si>
  <si>
    <t>Land &amp; Land Rights</t>
  </si>
  <si>
    <t>Fixed Assets- Land Owned</t>
  </si>
  <si>
    <t>Fixed Assets- Land Leased</t>
  </si>
  <si>
    <t>Cost of Land Development on Lease Hold Land</t>
  </si>
  <si>
    <t>Fixed Assets- Land Others</t>
  </si>
  <si>
    <t>Hydro Plants</t>
  </si>
  <si>
    <t>Diesel Plants</t>
  </si>
  <si>
    <t>Distribution Installations</t>
  </si>
  <si>
    <t>Office Buildings</t>
  </si>
  <si>
    <t>Residential Colony for Staff</t>
  </si>
  <si>
    <t xml:space="preserve">Fixed Assets- Buildings- </t>
  </si>
  <si>
    <t>Fixed Assets- Buildings-</t>
  </si>
  <si>
    <t>Other Buildings</t>
  </si>
  <si>
    <t>Pucca Roads</t>
  </si>
  <si>
    <t>Kutcha Road</t>
  </si>
  <si>
    <t>Misc. Civil Works</t>
  </si>
  <si>
    <t>Plant &amp; Machinery</t>
  </si>
  <si>
    <t>Hydraulic Works</t>
  </si>
  <si>
    <t xml:space="preserve"> Plant &amp; Pipe Lines (Colony)</t>
  </si>
  <si>
    <t>Drainage &amp; Sewerage (Colony)</t>
  </si>
  <si>
    <t>Hydraulic Works- Others</t>
  </si>
  <si>
    <t>Boiling Plant</t>
  </si>
  <si>
    <t>Steam Power Plant</t>
  </si>
  <si>
    <t>Plant foundations for Steam Power Plant</t>
  </si>
  <si>
    <t>Fixed Assets- Plant &amp; Machinery-</t>
  </si>
  <si>
    <t>Oil Storage Tank</t>
  </si>
  <si>
    <t>Transmission Plant-Transformers having a rating of 100 KVA &amp; above</t>
  </si>
  <si>
    <t>Other Transformers</t>
  </si>
  <si>
    <t>Others Transmission Plants, Kiosks, sub-station equipments</t>
  </si>
  <si>
    <t>Materials Handling Equipments- Earth Movers/Bulldozers</t>
  </si>
  <si>
    <t>Materials Handling Equipments- Cranes</t>
  </si>
  <si>
    <t>Materials Handling Equipments-Others</t>
  </si>
  <si>
    <t>Switch Gear/Cable Connections</t>
  </si>
  <si>
    <t>Battery/Charging Equipments</t>
  </si>
  <si>
    <t xml:space="preserve">Fabrication Shop/Workshop </t>
  </si>
  <si>
    <t>Lightening Arresters</t>
  </si>
  <si>
    <t>Communication Equipments- Radio Carrier Systems</t>
  </si>
  <si>
    <t>Communication Equipments- Telephones</t>
  </si>
  <si>
    <t>Static Machine Tools &amp; Equipments</t>
  </si>
  <si>
    <t>Air Conditioning Plant - Static</t>
  </si>
  <si>
    <t>10.577(GH)</t>
  </si>
  <si>
    <t>Air Conditioning Plant - Static(Guest House)</t>
  </si>
  <si>
    <t>Genset In Administrative Office</t>
  </si>
  <si>
    <t>Misc. Equipments- Refriderators/Water Coolers</t>
  </si>
  <si>
    <t>10.580(GH)</t>
  </si>
  <si>
    <t>Misc. Equipments- Refriderators/Water Coolers(Guest House)</t>
  </si>
  <si>
    <t>Misc. Equipments- Meter Testing Tools</t>
  </si>
  <si>
    <t>Misc. Equipments- Hospitals/Clinics</t>
  </si>
  <si>
    <t>Misc. Equipments- Station Maintenance Equipments</t>
  </si>
  <si>
    <t>Misc. Equipments- Demonstration Equipments</t>
  </si>
  <si>
    <t>Misc. Equipments- Laboratory Equipments</t>
  </si>
  <si>
    <t>Misc. Equipments- Synchronous Condensers</t>
  </si>
  <si>
    <t>Others Misc. Equipments</t>
  </si>
  <si>
    <t>10.599(GH)</t>
  </si>
  <si>
    <t>Others Misc. Equipments(Guest House)</t>
  </si>
  <si>
    <t>Line, Cable, Network Etc.</t>
  </si>
  <si>
    <t>Lines, Cable Networks, etc- Lines on Steel support- Voltage 13.2 KVA &lt;=66 KVA</t>
  </si>
  <si>
    <t xml:space="preserve">Lines,Cable Networks, etc- Lines on Steel support- Voltage &lt; 13.2 KVA </t>
  </si>
  <si>
    <t xml:space="preserve"> Lines, Cable Networks, etc- Lines on Reinforced Concrete support</t>
  </si>
  <si>
    <t>Lines, Cable Networks, etc- Lines on Wood support</t>
  </si>
  <si>
    <t>Underground Cables including Joint &amp; disconnection Box  &gt; 13.2 KVA</t>
  </si>
  <si>
    <t>Underground Cables including Joint &amp; disconnection Box  upto 13.2 KVA</t>
  </si>
  <si>
    <t>Underground Cables- Cable Duct System</t>
  </si>
  <si>
    <t>Service Connections- High Voltage</t>
  </si>
  <si>
    <t>Service Connections- Medium &amp; Low Voltage</t>
  </si>
  <si>
    <t>Metering Equipments</t>
  </si>
  <si>
    <t>Street Lighting &amp; Signal Systems</t>
  </si>
  <si>
    <t xml:space="preserve">Fixed Assets- </t>
  </si>
  <si>
    <t>Miscellaneous Equipments</t>
  </si>
  <si>
    <t>Vehicles- Road Roller, Heavy Vehicles</t>
  </si>
  <si>
    <t>Trucks, tempos and trekkers</t>
  </si>
  <si>
    <t>Jeeps &amp; Motor Cars</t>
  </si>
  <si>
    <t>Motor Cycles &amp; scooters</t>
  </si>
  <si>
    <t>Cycles</t>
  </si>
  <si>
    <t xml:space="preserve">Fixed Assets- Vehicles- </t>
  </si>
  <si>
    <t>Furniture &amp; Fixures</t>
  </si>
  <si>
    <t>Fixed Assets- Furnitures &amp; Fixtures</t>
  </si>
  <si>
    <t>Furnitures &amp; Fixtures- in Plants</t>
  </si>
  <si>
    <t>Furnitures &amp; Fixtures- in Admn. Offices</t>
  </si>
  <si>
    <t xml:space="preserve">Fixed Assets- Furnitures &amp; Fixtures- </t>
  </si>
  <si>
    <t>Furnitures &amp; Fixtures- in Residetial Quarters</t>
  </si>
  <si>
    <t>Furnitures &amp; Fixtures- in Other Locations</t>
  </si>
  <si>
    <t>10.840(GH)</t>
  </si>
  <si>
    <t>Furnitures &amp; Fixtures- in Other Locations(Guest House)</t>
  </si>
  <si>
    <t>Electrical wiring, Light, etc- in Plants</t>
  </si>
  <si>
    <t>Electrical wiring, Light, etc- in Admn. Offices</t>
  </si>
  <si>
    <t>Electrical wiring, Light, etc- in Residentail Quarters</t>
  </si>
  <si>
    <t>Fixed Assets- Electrical wiring, Light, etc-</t>
  </si>
  <si>
    <t>Office Equipments</t>
  </si>
  <si>
    <t>Calculators</t>
  </si>
  <si>
    <t>Typewriters</t>
  </si>
  <si>
    <t>Cashregisters</t>
  </si>
  <si>
    <t>Computers</t>
  </si>
  <si>
    <t>Bradma Machines</t>
  </si>
  <si>
    <t>Teleprinters</t>
  </si>
  <si>
    <t>Intercom</t>
  </si>
  <si>
    <t>Duplicating Machines</t>
  </si>
  <si>
    <t>Cash Chests</t>
  </si>
  <si>
    <t xml:space="preserve">Fixed Assets- Office Equipments- </t>
  </si>
  <si>
    <t>Other Office Equipments</t>
  </si>
  <si>
    <t>Total Of Office Equipments</t>
  </si>
  <si>
    <t>Total Fixed Asset</t>
  </si>
  <si>
    <t>PROVISION FOR DEPRECIATION ON FIXED ASSETS ( Schedule-5)</t>
  </si>
  <si>
    <t>On Building</t>
  </si>
  <si>
    <t>Provision for Depreciation- Buildings</t>
  </si>
  <si>
    <t>On Plant &amp; Machinery</t>
  </si>
  <si>
    <t>Provision for Depreciation- Lines, Cables Networks, etc</t>
  </si>
  <si>
    <t>On Vhicle</t>
  </si>
  <si>
    <t>Provision for Depreciation- Vehicles</t>
  </si>
  <si>
    <t>On Furniture &amp; Fixures</t>
  </si>
  <si>
    <t>Provision for Depreciation- Furnitures, Fixtures, Electric Lights, etc.</t>
  </si>
  <si>
    <t>On Office Equipment</t>
  </si>
  <si>
    <t>Provision for Depreciation- Office Equipments</t>
  </si>
  <si>
    <t>Total Provision For depriciation</t>
  </si>
  <si>
    <t>Total Depreciation</t>
  </si>
  <si>
    <t>CAPITAL WORK-IN-PROGRESS ( Schedule-5)</t>
  </si>
  <si>
    <t>T &amp; D Scheme System Impovments ( SOUTHCO FUNDING )</t>
  </si>
  <si>
    <t>14.22.5411</t>
  </si>
  <si>
    <t>Transmission Plant- Transformer 100 KVA above. Employee Cost.</t>
  </si>
  <si>
    <t>14.22.5412</t>
  </si>
  <si>
    <t>Transmission Plant. Transformer 100 KVA above- Materials Cost.</t>
  </si>
  <si>
    <t>14.22.5413</t>
  </si>
  <si>
    <t>Transmission Plant. Transformer 100 KVA above- Contractors Payments.</t>
  </si>
  <si>
    <t>14.22.5414</t>
  </si>
  <si>
    <t>Transmission Plant. Transformer 100 KVA above- Overhead Costs.</t>
  </si>
  <si>
    <t>14.22.5421</t>
  </si>
  <si>
    <t>Transmission Plant- Other Transformer - Employee Costs.</t>
  </si>
  <si>
    <t>14.22.5422</t>
  </si>
  <si>
    <t>Transmission Plant- Other Transformer - Material Costs.</t>
  </si>
  <si>
    <t>14.22.5423</t>
  </si>
  <si>
    <t>Transmission Plant- Other Transformer - Contractors Payments.</t>
  </si>
  <si>
    <t>14.22.5424</t>
  </si>
  <si>
    <t>Transmission Plant- Other Transformer - OverHeads &amp; Other Costs.</t>
  </si>
  <si>
    <t>14.22.5431</t>
  </si>
  <si>
    <t>Other Transforer/Substation Equipments&amp; Other Fixed Apparatus- Employee Cost.</t>
  </si>
  <si>
    <t>14.22.5432</t>
  </si>
  <si>
    <t>Other Transforer/Substation Equipments&amp; Other Fixed Apparatus- Material Cost.</t>
  </si>
  <si>
    <t>14.22.5433</t>
  </si>
  <si>
    <t>Other Transforer/Substation Equipments&amp; Other Fixed Apparatus - Cotractors Payments.</t>
  </si>
  <si>
    <t>14.22.5832</t>
  </si>
  <si>
    <t>Station Maintenance Equipments- Material Cost.</t>
  </si>
  <si>
    <t>14.22.5833</t>
  </si>
  <si>
    <t>Station Maintenance Equipments- Contractors Payments.</t>
  </si>
  <si>
    <t>14.22.6021</t>
  </si>
  <si>
    <t>Overhead Lines on Steel Supports above 132 KVA.- Employee Cost</t>
  </si>
  <si>
    <t>14.22.6023</t>
  </si>
  <si>
    <t>Overhead Lines on Steel Supports above 132 KVA.- Contractors Payments</t>
  </si>
  <si>
    <t>14.22.6024</t>
  </si>
  <si>
    <t>Overhead Lines on Steel Supports above 132 KVA.- Overheads &amp; other Cost</t>
  </si>
  <si>
    <t>14.22.6031</t>
  </si>
  <si>
    <t>Overhead Lines on Steel Supports &lt; 132 KVA.- Employee Cost</t>
  </si>
  <si>
    <t>14.22.6032</t>
  </si>
  <si>
    <t>Overhead Lines on Steel Supports &lt; 132 KVA.- Meteial Cost</t>
  </si>
  <si>
    <t>14.22.6033</t>
  </si>
  <si>
    <t>Overhead Lines on Steel Supports &lt; 132 KVA.- Contractors Payments</t>
  </si>
  <si>
    <t>14.22.6034</t>
  </si>
  <si>
    <t>Overhead Lines on Steel Supports &lt; 132 KVA.- Overheads &amp; other Cost</t>
  </si>
  <si>
    <t>14.22.6041</t>
  </si>
  <si>
    <t>Overhead Lines on Rainforced concrete  Supports &lt; 132 KVA.- Employee Cost</t>
  </si>
  <si>
    <t>14.22.6042</t>
  </si>
  <si>
    <t>Overhead Lines on Rainforced concrete Supports &lt; 132 KVA.- Meteial Cost</t>
  </si>
  <si>
    <t>14.22.6043</t>
  </si>
  <si>
    <t>Overhead Lines on Rainforced concrete Supports &lt; 132 KVA.- Contractors Payments</t>
  </si>
  <si>
    <t>14.22.6044</t>
  </si>
  <si>
    <t>Overhead Lines on Rainforced concrete Supports &lt; 132 KVA.- Overheads &amp; other Cost</t>
  </si>
  <si>
    <t>14.22.6312</t>
  </si>
  <si>
    <t>Metering Equipment - Material Cost</t>
  </si>
  <si>
    <t>SOUTHCO System improvement ( SOUTHCO FUNDING )</t>
  </si>
  <si>
    <t>14.23.1012</t>
  </si>
  <si>
    <t>Land Owned under full title - Cost of Land</t>
  </si>
  <si>
    <t>14.23.1024</t>
  </si>
  <si>
    <t>Land Owned under Lease - Cost of Land</t>
  </si>
  <si>
    <t>14.23.1033</t>
  </si>
  <si>
    <t>Cost of Land developments - Contractors payments</t>
  </si>
  <si>
    <t>14.23.2083</t>
  </si>
  <si>
    <t>Building Containing Distribution Installations - Contracors Payments</t>
  </si>
  <si>
    <t>14.23.2113</t>
  </si>
  <si>
    <t>Office Building - Contractors Payments</t>
  </si>
  <si>
    <t>14.23.2223</t>
  </si>
  <si>
    <t>Residential Collony for Staff- Building - Contractors Payments</t>
  </si>
  <si>
    <t>14.23.2333</t>
  </si>
  <si>
    <t>Other Building - Contractors Payments</t>
  </si>
  <si>
    <t>14.23.5411</t>
  </si>
  <si>
    <t>14.23.5412</t>
  </si>
  <si>
    <t xml:space="preserve"> Transmission Plant. Transformer 100 KVA above- Materials Cost.</t>
  </si>
  <si>
    <t>14.23.5413</t>
  </si>
  <si>
    <t xml:space="preserve"> Transmission Plant. Transformer 100 KVA above- Contractors Payments.</t>
  </si>
  <si>
    <t>14.23.5414</t>
  </si>
  <si>
    <t xml:space="preserve"> Transmission Plant. Transformer 100 KVA above- Overhead Costs.</t>
  </si>
  <si>
    <t>14.23.5421</t>
  </si>
  <si>
    <t xml:space="preserve"> Transmission Plant- Other Transformer - Employee Costs.</t>
  </si>
  <si>
    <t>14.23.5422</t>
  </si>
  <si>
    <t xml:space="preserve"> Transmission Plant- Other Transformer - Material Costs.</t>
  </si>
  <si>
    <t>14.23.5423</t>
  </si>
  <si>
    <t xml:space="preserve"> Transmission Plant- Other Transformer - Contractors Payments.</t>
  </si>
  <si>
    <t>14.23.5424</t>
  </si>
  <si>
    <t xml:space="preserve"> Transmission Plant- Other Transformer - OverHeads &amp; Other Costs.</t>
  </si>
  <si>
    <t>14.23.5431</t>
  </si>
  <si>
    <t>14.23.5432</t>
  </si>
  <si>
    <t>14.23.5433</t>
  </si>
  <si>
    <t>14.23.5434</t>
  </si>
  <si>
    <t>Other Transforer/Substation Equipments&amp; Other Fixed Apparatus - Overheads &amp; Other Cost</t>
  </si>
  <si>
    <t>14.23.5672</t>
  </si>
  <si>
    <t>Lighting Arrestors- Materials Cost</t>
  </si>
  <si>
    <t>14.23.5673</t>
  </si>
  <si>
    <t>Lighting Arrestors- Cotractors Payments</t>
  </si>
  <si>
    <t>14.23.5832</t>
  </si>
  <si>
    <t>Tolls &amp; Tackles including Station Maintainance Equipments- Materials Costs</t>
  </si>
  <si>
    <t>14.23.6021</t>
  </si>
  <si>
    <t>14.23.6022</t>
  </si>
  <si>
    <t>Overhead Lines on Steel Supports above 132 KVA.- Meteial Cost</t>
  </si>
  <si>
    <t>14.23.6023</t>
  </si>
  <si>
    <t>14.23.6024</t>
  </si>
  <si>
    <t>14.23.6031</t>
  </si>
  <si>
    <t>14.23.6032</t>
  </si>
  <si>
    <t>14.23.6033</t>
  </si>
  <si>
    <t>14.23.6034</t>
  </si>
  <si>
    <t>14.23.6041</t>
  </si>
  <si>
    <t>14.23.6042</t>
  </si>
  <si>
    <t>14.23.6043</t>
  </si>
  <si>
    <t>14.23.6044</t>
  </si>
  <si>
    <t>14.23.6122</t>
  </si>
  <si>
    <t>Under Graund Cables Including Joint Boxes &amp; Disconnecting Boxes - Material Cost</t>
  </si>
  <si>
    <t>14.23.6123</t>
  </si>
  <si>
    <t>Under Graund Cables Including Joint Boxes &amp; Disconnecting Boxes - Cotractors Payments</t>
  </si>
  <si>
    <t>14.23.6125</t>
  </si>
  <si>
    <t>AB Cable upto 13.2 KV - Materials Costs</t>
  </si>
  <si>
    <t>14.23.6126</t>
  </si>
  <si>
    <t>AB Cable upto 13.2 KV - Contractors Payments</t>
  </si>
  <si>
    <t>14.23.6252</t>
  </si>
  <si>
    <t>Temporary Connections for Supply of Power - Materials Cost</t>
  </si>
  <si>
    <t>14.23.6253</t>
  </si>
  <si>
    <t>Temporary Connections for Supply of Power - Contractors Payments</t>
  </si>
  <si>
    <t>14.23.6254</t>
  </si>
  <si>
    <t>Temporary Connections for Supply of Power - Overhead &amp; Other Cost</t>
  </si>
  <si>
    <t>14.23.6312</t>
  </si>
  <si>
    <t>Metering Equipments - Material Cost</t>
  </si>
  <si>
    <t>14.23.6313</t>
  </si>
  <si>
    <t>Metering Equipments - Contactors Payments</t>
  </si>
  <si>
    <t>14.23.6852</t>
  </si>
  <si>
    <t>Misc. Equipments</t>
  </si>
  <si>
    <t>SOUTHCO'S Other T &amp; D  ( FUNDED BY CONSUMERS &amp; OTHERS )</t>
  </si>
  <si>
    <t>14.25.5411</t>
  </si>
  <si>
    <t>14.25.5412</t>
  </si>
  <si>
    <t>14.25.5413</t>
  </si>
  <si>
    <t>14.25.5414</t>
  </si>
  <si>
    <t>14.25.5421</t>
  </si>
  <si>
    <t>14.25.5422</t>
  </si>
  <si>
    <t>14.25.5423</t>
  </si>
  <si>
    <t>14.25.5424</t>
  </si>
  <si>
    <t>14.25.5431</t>
  </si>
  <si>
    <t>14.25.5432</t>
  </si>
  <si>
    <t>14.25.5433</t>
  </si>
  <si>
    <t>14.25.5434</t>
  </si>
  <si>
    <t>14.25.5672</t>
  </si>
  <si>
    <t>14.25.5673</t>
  </si>
  <si>
    <t>14.25.6021</t>
  </si>
  <si>
    <t>14.25.6022</t>
  </si>
  <si>
    <t>14.25.6023</t>
  </si>
  <si>
    <t>14.25.6024</t>
  </si>
  <si>
    <t>14.25.6031</t>
  </si>
  <si>
    <t>14.25.6032</t>
  </si>
  <si>
    <t>14.25.6033</t>
  </si>
  <si>
    <t>14.25.6034</t>
  </si>
  <si>
    <t>14.25.6041</t>
  </si>
  <si>
    <t>14.25.6042</t>
  </si>
  <si>
    <t>14.25.6043</t>
  </si>
  <si>
    <t>14.25.6044</t>
  </si>
  <si>
    <t>14.25.6122</t>
  </si>
  <si>
    <t>14.25.6123</t>
  </si>
  <si>
    <t>14.25.6125</t>
  </si>
  <si>
    <t>14.25.6126</t>
  </si>
  <si>
    <t>14.25.6211</t>
  </si>
  <si>
    <t>Service Connection - High Voltage- Employee Cost</t>
  </si>
  <si>
    <t>14.25.6212</t>
  </si>
  <si>
    <t>Service Connection - High Voltage- Materials Cost</t>
  </si>
  <si>
    <t>14.25.6213</t>
  </si>
  <si>
    <t>Service Connection - High Voltage- Contractors Payment</t>
  </si>
  <si>
    <t>14.25.6214</t>
  </si>
  <si>
    <t>Service Connection - High Voltage- Overheads &amp; Other Cost</t>
  </si>
  <si>
    <t>14.25.6221</t>
  </si>
  <si>
    <t>Service Connection - Medium &amp; Low Voltage- Employee Cost</t>
  </si>
  <si>
    <t>14.25.6222</t>
  </si>
  <si>
    <t>Service Connection - Medium &amp; Low Voltage- Materials Cost</t>
  </si>
  <si>
    <t>14.25.6223</t>
  </si>
  <si>
    <t>Service Connection - Medium &amp; Low Voltage- Contractors Payment</t>
  </si>
  <si>
    <t>14.25.6224</t>
  </si>
  <si>
    <t>Service Connection - Medium &amp; Low Voltage- Overheads &amp; Other Cost</t>
  </si>
  <si>
    <t>14.25.6252</t>
  </si>
  <si>
    <t>14.25.6253</t>
  </si>
  <si>
    <t>14.25.6254</t>
  </si>
  <si>
    <t>14.25.6312</t>
  </si>
  <si>
    <t>14.25.6313</t>
  </si>
  <si>
    <t>R.E.C - S.I ( In Operative )</t>
  </si>
  <si>
    <t>14.28.5422</t>
  </si>
  <si>
    <t>14.28.5423</t>
  </si>
  <si>
    <t>14.28.5432</t>
  </si>
  <si>
    <t>14.28.5433</t>
  </si>
  <si>
    <t>14.28.6022</t>
  </si>
  <si>
    <t>14.28.6031</t>
  </si>
  <si>
    <t>14.28.6032</t>
  </si>
  <si>
    <t>14.28.6033</t>
  </si>
  <si>
    <t>14.28.6041</t>
  </si>
  <si>
    <t>14.28.6042</t>
  </si>
  <si>
    <t>14.28.6043</t>
  </si>
  <si>
    <t>14.28.6044</t>
  </si>
  <si>
    <t>14.28.6224</t>
  </si>
  <si>
    <t>R.E / L.I ( In Operative )</t>
  </si>
  <si>
    <t>14.51.5421</t>
  </si>
  <si>
    <t>14.51.5422</t>
  </si>
  <si>
    <t>14.51.5431</t>
  </si>
  <si>
    <t>14.51.5432</t>
  </si>
  <si>
    <t>14.51.5433</t>
  </si>
  <si>
    <t>14.51.6031</t>
  </si>
  <si>
    <t>14.51.6032</t>
  </si>
  <si>
    <t>14.51.6041</t>
  </si>
  <si>
    <t>14.51.6042</t>
  </si>
  <si>
    <t>14.51.6043</t>
  </si>
  <si>
    <t>14.51.6223</t>
  </si>
  <si>
    <t>14.51.6224</t>
  </si>
  <si>
    <t>R. E. C. (Normal) Projects ( Funded by REC for Village Electrification )</t>
  </si>
  <si>
    <t>14.52.5412</t>
  </si>
  <si>
    <t>14.52.5413</t>
  </si>
  <si>
    <t>14.52.5422</t>
  </si>
  <si>
    <t>14.52.5423</t>
  </si>
  <si>
    <t>14.52.5432</t>
  </si>
  <si>
    <t>14.52.5433</t>
  </si>
  <si>
    <t>14.52.6031</t>
  </si>
  <si>
    <t>14.52.6032</t>
  </si>
  <si>
    <t>14.52.6033</t>
  </si>
  <si>
    <t>14.52.6041</t>
  </si>
  <si>
    <t>14.52.6042</t>
  </si>
  <si>
    <t>14.52.6043</t>
  </si>
  <si>
    <t>14.52.6044</t>
  </si>
  <si>
    <t>14.52.6222</t>
  </si>
  <si>
    <t>14.52.6223</t>
  </si>
  <si>
    <t>14.52.6224</t>
  </si>
  <si>
    <t>R.E.C - Harijan Basti ( Funded by REC or Any Other Agencies )</t>
  </si>
  <si>
    <t>14.53.5422</t>
  </si>
  <si>
    <t>14.53.5423</t>
  </si>
  <si>
    <t>14.53.6031</t>
  </si>
  <si>
    <t>14.53.6032</t>
  </si>
  <si>
    <t>14.53.6033</t>
  </si>
  <si>
    <t>14.53.6041</t>
  </si>
  <si>
    <t>14.53.6042</t>
  </si>
  <si>
    <t>14.53.6043</t>
  </si>
  <si>
    <t>14.53.6412</t>
  </si>
  <si>
    <t>Srteet Lighting - Materials Cost</t>
  </si>
  <si>
    <t>14.53.6413</t>
  </si>
  <si>
    <t>Srteet Lighting - Contractors Payments</t>
  </si>
  <si>
    <t xml:space="preserve"> M.N.P </t>
  </si>
  <si>
    <t>14.54.5411</t>
  </si>
  <si>
    <t>14.54.5412</t>
  </si>
  <si>
    <t>14.54.5413</t>
  </si>
  <si>
    <t>14.54.5414</t>
  </si>
  <si>
    <t>14.54.5421</t>
  </si>
  <si>
    <t>14.54.5422</t>
  </si>
  <si>
    <t>14.54.5423</t>
  </si>
  <si>
    <t>14.54.5424</t>
  </si>
  <si>
    <t>14.54.5431</t>
  </si>
  <si>
    <t>14.54.5432</t>
  </si>
  <si>
    <t>14.54.5433</t>
  </si>
  <si>
    <t>14.54.5434</t>
  </si>
  <si>
    <t>14.54.5672</t>
  </si>
  <si>
    <t>14.54.5673</t>
  </si>
  <si>
    <t>14.54.6031</t>
  </si>
  <si>
    <t>14.54.6032</t>
  </si>
  <si>
    <t>14.54.6033</t>
  </si>
  <si>
    <t>14.54.6034</t>
  </si>
  <si>
    <t>14.54.6041</t>
  </si>
  <si>
    <t>14.54.6042</t>
  </si>
  <si>
    <t>14.54.6043</t>
  </si>
  <si>
    <t>14.54.6044</t>
  </si>
  <si>
    <t>14.54.6122</t>
  </si>
  <si>
    <t>14.54.6123</t>
  </si>
  <si>
    <t>14.54.6126</t>
  </si>
  <si>
    <t>14.54.6154</t>
  </si>
  <si>
    <t>14.54.6312</t>
  </si>
  <si>
    <t>14.54.6313</t>
  </si>
  <si>
    <t>APDRP ( Funded by GoO A/c APDRP )</t>
  </si>
  <si>
    <t>14.55.5411</t>
  </si>
  <si>
    <t>14.55.5412</t>
  </si>
  <si>
    <t>14.55.5413</t>
  </si>
  <si>
    <t>14.55.5414</t>
  </si>
  <si>
    <t>14.55.5421</t>
  </si>
  <si>
    <t>14.55.5422</t>
  </si>
  <si>
    <t>14.55.5423</t>
  </si>
  <si>
    <t>14.55.5424</t>
  </si>
  <si>
    <t>14.55.5431</t>
  </si>
  <si>
    <t>14.55.5432</t>
  </si>
  <si>
    <t>14.55.5433</t>
  </si>
  <si>
    <t>14.55.5434</t>
  </si>
  <si>
    <t>14.55.5672</t>
  </si>
  <si>
    <t>14.55.5673</t>
  </si>
  <si>
    <t>14.55.6031</t>
  </si>
  <si>
    <t>14.55.6032</t>
  </si>
  <si>
    <t>14.55.6033</t>
  </si>
  <si>
    <t>14.55.6034</t>
  </si>
  <si>
    <t>14.55.6041</t>
  </si>
  <si>
    <t>14.55.6042</t>
  </si>
  <si>
    <t>14.55.6043</t>
  </si>
  <si>
    <t>14.55.6044</t>
  </si>
  <si>
    <t>14.55.6122</t>
  </si>
  <si>
    <t>14.55.6123</t>
  </si>
  <si>
    <t>14.55.6125</t>
  </si>
  <si>
    <t>14.55.6126</t>
  </si>
  <si>
    <t>14.55.6312</t>
  </si>
  <si>
    <t>14.55.6313</t>
  </si>
  <si>
    <t>R.E.C - Counter Part APDRP Scheme ( Funded by Loan From REC )</t>
  </si>
  <si>
    <t>14.56.5411</t>
  </si>
  <si>
    <t>14.56.5412</t>
  </si>
  <si>
    <t>14.56.5413</t>
  </si>
  <si>
    <t>14.56.5414</t>
  </si>
  <si>
    <t>14.56.5421</t>
  </si>
  <si>
    <t>14.56.5422</t>
  </si>
  <si>
    <t>14.56.5423</t>
  </si>
  <si>
    <t>14.56.5424</t>
  </si>
  <si>
    <t>14.56.5431</t>
  </si>
  <si>
    <t>14.56.5432</t>
  </si>
  <si>
    <t>14.56.5433</t>
  </si>
  <si>
    <t>14.56.5434</t>
  </si>
  <si>
    <t>14.56.5672</t>
  </si>
  <si>
    <t>14.56.5673</t>
  </si>
  <si>
    <t>14.56.6031</t>
  </si>
  <si>
    <t>14.56.6032</t>
  </si>
  <si>
    <t>14.56.6033</t>
  </si>
  <si>
    <t>14.56.6034</t>
  </si>
  <si>
    <t>14.56.6041</t>
  </si>
  <si>
    <t>14.56.6042</t>
  </si>
  <si>
    <t>14.56.6043</t>
  </si>
  <si>
    <t>14.56.6044</t>
  </si>
  <si>
    <t>14.56.6122</t>
  </si>
  <si>
    <t>14.56.6123</t>
  </si>
  <si>
    <t>14.56.6126</t>
  </si>
  <si>
    <t>14.56.6156</t>
  </si>
  <si>
    <t>14.56.6312</t>
  </si>
  <si>
    <t>14.56.6313</t>
  </si>
  <si>
    <t>Others ( Funded by MP-LAD/MLA-LAD &amp; Local Agencies )</t>
  </si>
  <si>
    <t>14.59.5431</t>
  </si>
  <si>
    <t>14.59.5432</t>
  </si>
  <si>
    <t>14.59.5433</t>
  </si>
  <si>
    <t>14.59.5434</t>
  </si>
  <si>
    <t>14.59.6031</t>
  </si>
  <si>
    <t>14.59.6032</t>
  </si>
  <si>
    <t>14.59.6033</t>
  </si>
  <si>
    <t>14.59.6034</t>
  </si>
  <si>
    <t>14.59.6041</t>
  </si>
  <si>
    <t>14.59.6042</t>
  </si>
  <si>
    <t>14.59.6043</t>
  </si>
  <si>
    <t>14.59.6044</t>
  </si>
  <si>
    <t>14.59.6222</t>
  </si>
  <si>
    <t>14.59.6223</t>
  </si>
  <si>
    <t>Cyclone Special Repair Works ( Funded by Southco / Other Agencies )</t>
  </si>
  <si>
    <t>14.76.5411</t>
  </si>
  <si>
    <t>14.76.5412</t>
  </si>
  <si>
    <t>14.76.5413</t>
  </si>
  <si>
    <t>14.76.5414</t>
  </si>
  <si>
    <t>14.76.5421</t>
  </si>
  <si>
    <t>14.76.5422</t>
  </si>
  <si>
    <t>14.76.5423</t>
  </si>
  <si>
    <t>14.76.5424</t>
  </si>
  <si>
    <t>14.76.5431</t>
  </si>
  <si>
    <t>14.76.5432</t>
  </si>
  <si>
    <t>14.76.5433</t>
  </si>
  <si>
    <t>14.76.5434</t>
  </si>
  <si>
    <t>14.76.6031</t>
  </si>
  <si>
    <t>14.76.6032</t>
  </si>
  <si>
    <t>14.76.6033</t>
  </si>
  <si>
    <t>14.76.6034</t>
  </si>
  <si>
    <t>14.76.6041</t>
  </si>
  <si>
    <t>14.76.6042</t>
  </si>
  <si>
    <t>14.76.6043</t>
  </si>
  <si>
    <t>14.76.6044</t>
  </si>
  <si>
    <t>14.76.6122</t>
  </si>
  <si>
    <t>14.76.6123</t>
  </si>
  <si>
    <t>14.76.6126</t>
  </si>
  <si>
    <t>14.76.6176</t>
  </si>
  <si>
    <t>14.76.7672</t>
  </si>
  <si>
    <t>14.76.7673</t>
  </si>
  <si>
    <t xml:space="preserve">T &amp; P  &amp; Other General Items </t>
  </si>
  <si>
    <t>14.79.5532</t>
  </si>
  <si>
    <t>Material Handling Equipments- Crane - Material Cost</t>
  </si>
  <si>
    <t>14.79.5552</t>
  </si>
  <si>
    <t>Material Handling Equipments- Others - Material Cost</t>
  </si>
  <si>
    <t>14.79.5632</t>
  </si>
  <si>
    <t>Bateries including Charging Equipments- Material Cost</t>
  </si>
  <si>
    <t>14.79.5652</t>
  </si>
  <si>
    <t>Fabrication Workshop Plant &amp; Equipments- Material Cost</t>
  </si>
  <si>
    <t>14.79.5653</t>
  </si>
  <si>
    <t>Fabrication Workshop Plant &amp; Equipments- Contractors Payment</t>
  </si>
  <si>
    <t>14.79.5722</t>
  </si>
  <si>
    <t>Communication Eqipments- Telephone/ Fax/ inter Come etc.- Material Cost</t>
  </si>
  <si>
    <t>14.79.5723</t>
  </si>
  <si>
    <t>Communication Eqipments- Telephone/ Fax/ inter Come etc.- Contract Payment</t>
  </si>
  <si>
    <t>14.79.5742</t>
  </si>
  <si>
    <t>Static Machine Tools &amp; Eqipments- Material Cost</t>
  </si>
  <si>
    <t>14.79.5772</t>
  </si>
  <si>
    <t>Air Conditioner - portable - Material Cost</t>
  </si>
  <si>
    <t>14.79.5773</t>
  </si>
  <si>
    <t>Air Conditioner - portable - Contactors Payment</t>
  </si>
  <si>
    <t>14.79.5802</t>
  </si>
  <si>
    <t>Refrigerators &amp; Water Coolers- Material Cost</t>
  </si>
  <si>
    <t>14.79.5812</t>
  </si>
  <si>
    <t>Meter Testing Tools &amp; Eqipments - Material Costs</t>
  </si>
  <si>
    <t>14.79.5813</t>
  </si>
  <si>
    <t>Meter Testing Tools &amp; Eqipments - Contractors Payment</t>
  </si>
  <si>
    <t>14.79.5832</t>
  </si>
  <si>
    <t>Station Maintainance Tools &amp; Tackles Equipments-Material Cost</t>
  </si>
  <si>
    <t>14.79.5992</t>
  </si>
  <si>
    <t>Others Misc. Equipments- Plant &amp; Machinery -Material  Cost</t>
  </si>
  <si>
    <t>14.79.6852</t>
  </si>
  <si>
    <t>Others Misc. Equipments- Lines , Cable Network -Material  Cost</t>
  </si>
  <si>
    <t>14.79.7152</t>
  </si>
  <si>
    <t>Trucks , Tempos &amp; Trekkers- Material Cost</t>
  </si>
  <si>
    <t>14.79.7153</t>
  </si>
  <si>
    <t>Trucks , Tempos &amp; Trekkers- Contractors Payment</t>
  </si>
  <si>
    <t>14.79.7302</t>
  </si>
  <si>
    <t>Jeeps &amp; Motor Cars- Material Cost</t>
  </si>
  <si>
    <t>14.79.7452</t>
  </si>
  <si>
    <t>Cycles - Material Cost</t>
  </si>
  <si>
    <t>14.79.8102</t>
  </si>
  <si>
    <t>Furniture &amp; Fixture in Plant - Material Cost</t>
  </si>
  <si>
    <t>14.79.8202</t>
  </si>
  <si>
    <t>Furniture &amp; Fixture in Admn. Building - Material Cost</t>
  </si>
  <si>
    <t>14.79.8203</t>
  </si>
  <si>
    <t>Furniture &amp; Fixture in Admn. Building - Contractors Payment</t>
  </si>
  <si>
    <t>14.79.8502</t>
  </si>
  <si>
    <t>Electrical Wiring, Light,Fan  Installation etc. in Plant- Material Cost</t>
  </si>
  <si>
    <t>14.79.8503</t>
  </si>
  <si>
    <t>Electrical Wiring, Light,Fan  Installation etc. in Plant- Contractors Payment</t>
  </si>
  <si>
    <t>14.79.8602</t>
  </si>
  <si>
    <t>Electrical Wiring, Light,Fan  Installation etc. in Admn. Bulding- Material Cost</t>
  </si>
  <si>
    <t>14.79.8603</t>
  </si>
  <si>
    <t>Electrical Wiring, Light,Fan  Installation etc. in Admn. Bulding- Contractors Payment</t>
  </si>
  <si>
    <t>14.79.8702</t>
  </si>
  <si>
    <t>Electrical Wiring, Light,Fan  Installation etc. in Recidencial Qutrers- Material Cost</t>
  </si>
  <si>
    <t>14.79.8703</t>
  </si>
  <si>
    <t>Electrical Wiring, Light,Fan  Installation etc. in  Recidencial Qutrers- Contractors Payment</t>
  </si>
  <si>
    <t>14.79.8802</t>
  </si>
  <si>
    <t>Electrical Wiring, Light,Fan  Installation etc. in Other Locations- Material Cost</t>
  </si>
  <si>
    <t>14.79.8803</t>
  </si>
  <si>
    <t>Electrical Wiring, Light,Fan  Installation etc. in Other Locations- Contractors Payment</t>
  </si>
  <si>
    <t>14.79.9012</t>
  </si>
  <si>
    <t>Calculators - Material Cost</t>
  </si>
  <si>
    <t>14.79.9022</t>
  </si>
  <si>
    <t>Typewriters- Material Cost</t>
  </si>
  <si>
    <t>14.79.9032</t>
  </si>
  <si>
    <t>Cach Registers - Material Cost</t>
  </si>
  <si>
    <t>14.79.9042</t>
  </si>
  <si>
    <t>Computers &amp; Computer Periferials including Accessories - Mareial Cost</t>
  </si>
  <si>
    <t>14.79.9043</t>
  </si>
  <si>
    <t>Computer Periferials , network , Major Parts Replacements , Softwires etc - M/C Cost</t>
  </si>
  <si>
    <t>14.79.9072</t>
  </si>
  <si>
    <t xml:space="preserve">Intercom System </t>
  </si>
  <si>
    <t>14.79.9082</t>
  </si>
  <si>
    <t>Duplicating Instrument &amp; Photocopy- material Cost</t>
  </si>
  <si>
    <t>14.79.9092</t>
  </si>
  <si>
    <t>Cash Chest</t>
  </si>
  <si>
    <t>14.79.9902</t>
  </si>
  <si>
    <t>N</t>
  </si>
  <si>
    <t>P.M.U</t>
  </si>
  <si>
    <t>14.PMU.5411</t>
  </si>
  <si>
    <t>14.PMU.5412</t>
  </si>
  <si>
    <t>14.PMU.5413</t>
  </si>
  <si>
    <t>14.PMU.5414</t>
  </si>
  <si>
    <t>14.PMU.5421</t>
  </si>
  <si>
    <t>14.PMU.5422</t>
  </si>
  <si>
    <t>14.PMU.5423</t>
  </si>
  <si>
    <t>14.PMU.5671</t>
  </si>
  <si>
    <t>Lighting Arrestors -  Employee Cost</t>
  </si>
  <si>
    <t>14.PMU.5672</t>
  </si>
  <si>
    <t>Lighting Arrestors - Material Cost</t>
  </si>
  <si>
    <t>14.PMU.5832</t>
  </si>
  <si>
    <t>Tools &amp; Tackels</t>
  </si>
  <si>
    <t>14.PMU.6041</t>
  </si>
  <si>
    <t>14.PMU.6042</t>
  </si>
  <si>
    <t>O</t>
  </si>
  <si>
    <t>N.H &amp; PMGY</t>
  </si>
  <si>
    <t>14.NH.6214</t>
  </si>
  <si>
    <t>WIP-NH</t>
  </si>
  <si>
    <t>14.PMGY.6214</t>
  </si>
  <si>
    <t>WIP-PMGY</t>
  </si>
  <si>
    <t>14.MNP.6214</t>
  </si>
  <si>
    <t>WIP- MNP</t>
  </si>
  <si>
    <t>Total Work-in-progress</t>
  </si>
  <si>
    <t>P</t>
  </si>
  <si>
    <t>Contracts-in-progress</t>
  </si>
  <si>
    <t>Revenue Exp. Pending Allocation Over Capital Works- Employee Cost</t>
  </si>
  <si>
    <t>Revenue Exp. Pending Allocation Over PMU -Capital Works- Interest on WB Loan</t>
  </si>
  <si>
    <t>Total Contract-in-progress</t>
  </si>
  <si>
    <t>R</t>
  </si>
  <si>
    <t>ADVANCE TO CONTRACTORS ( CAPITAL )</t>
  </si>
  <si>
    <t>Advance to Contractors (Capital)- interest bearing</t>
  </si>
  <si>
    <t>Advance to Contractors (Capital)- interest free</t>
  </si>
  <si>
    <t>Advance to BSES Contract Division</t>
  </si>
  <si>
    <t>Advance to Andrew Yule (Trunkey)</t>
  </si>
  <si>
    <t>Advance to Marson Limited</t>
  </si>
  <si>
    <t>Advance to Technical Associates</t>
  </si>
  <si>
    <t>Advance to Havel's</t>
  </si>
  <si>
    <t>Advance to Sriram Switchgears</t>
  </si>
  <si>
    <t>Advance to Andrew Yule (BulkSupply)</t>
  </si>
  <si>
    <t>Advance to Marson Electrical Limited</t>
  </si>
  <si>
    <t>Advance to Capital Power Systems</t>
  </si>
  <si>
    <t>Advance to Mutual Industries</t>
  </si>
  <si>
    <t>Advance to BHEL</t>
  </si>
  <si>
    <t>Advance to Secured Meters Ltd</t>
  </si>
  <si>
    <t>Advance to Vijai Electricals</t>
  </si>
  <si>
    <t>Advance to MET</t>
  </si>
  <si>
    <t>Gross Advance To Suppliers/Contractors- (Capital)</t>
  </si>
  <si>
    <t>Inventories ( Stores &amp; Spares ) ( Schedule-6)</t>
  </si>
  <si>
    <t>Capital Materials</t>
  </si>
  <si>
    <t>Purchases</t>
  </si>
  <si>
    <t>Capital Materials Purchase- Steel</t>
  </si>
  <si>
    <t>Capital Materials Purchase- Transformers</t>
  </si>
  <si>
    <t>Capital Materials Purchase- Metering Equipments</t>
  </si>
  <si>
    <t>Capital Materials Purchase- Cable and conductors</t>
  </si>
  <si>
    <t>Capital Materials Purchase- Poles.</t>
  </si>
  <si>
    <t>Capital Materials Purchase- Electric Light fittings</t>
  </si>
  <si>
    <t>Capital Materials Purchase-Spares</t>
  </si>
  <si>
    <t>Capital Materials Purchase-Insulators</t>
  </si>
  <si>
    <t>Capital Materials Purchase-Circuit Breakers</t>
  </si>
  <si>
    <t>Capital Materials Purchase-Transformer Oil</t>
  </si>
  <si>
    <t>Capital Materials Purchase- Others</t>
  </si>
  <si>
    <t>O &amp; M Materials</t>
  </si>
  <si>
    <t>O &amp; M Materials Purchase- Steel</t>
  </si>
  <si>
    <t>O &amp; M Materials Purchase- Transformers</t>
  </si>
  <si>
    <t>O &amp; M Materials Purchase- Metering Equipments</t>
  </si>
  <si>
    <t>O &amp; M Materials Purchase- Cables &amp; Conducters</t>
  </si>
  <si>
    <t>O &amp; M Materials Purchase- Poles</t>
  </si>
  <si>
    <t>O &amp; M Materials Purchase- Electric Light Fittings</t>
  </si>
  <si>
    <t>O &amp; M Materials Purchase- Spares</t>
  </si>
  <si>
    <t>O &amp; M Materials Purchase- Insulators</t>
  </si>
  <si>
    <t>O &amp; M Materials Purchase- Circuit Breakers</t>
  </si>
  <si>
    <t>O &amp; M Materials Purchase-</t>
  </si>
  <si>
    <t>O &amp; M Materials Purchase- Others</t>
  </si>
  <si>
    <t>Capital Materials issues- Steel</t>
  </si>
  <si>
    <t>Capital Materials issues- Transformer</t>
  </si>
  <si>
    <t>Capital Materials issues- Metering Equipment</t>
  </si>
  <si>
    <t>Capital Materials issues- Cables &amp; Conducters</t>
  </si>
  <si>
    <t>Capital Materials issues- Poles</t>
  </si>
  <si>
    <t>Capital Materials issues- Electric Light Fittings</t>
  </si>
  <si>
    <t>Capital Materials issues- Spares</t>
  </si>
  <si>
    <t>Capital Materials issues- Insulators</t>
  </si>
  <si>
    <t>Capital Materials issues- Circuit Breakers</t>
  </si>
  <si>
    <t>Capital Materials issues-Transformer Oil</t>
  </si>
  <si>
    <t>Capital Materials issues- Others</t>
  </si>
  <si>
    <t>O &amp; M Materials issues- Steel</t>
  </si>
  <si>
    <t>O &amp; M Materials issues- Transformers</t>
  </si>
  <si>
    <t>O &amp; M Materials issues- Metering Equipments</t>
  </si>
  <si>
    <t>O &amp; M Materials issues- Cables &amp; Conducters</t>
  </si>
  <si>
    <t>O &amp; M Materials issues- Poles</t>
  </si>
  <si>
    <t>O &amp; M Materials issues- Electric Light Fittings</t>
  </si>
  <si>
    <t>O &amp; M Materials issues- Spares</t>
  </si>
  <si>
    <t>O &amp; M Materials issues- Insulators</t>
  </si>
  <si>
    <t>O &amp; M Materials issues- Circuit Breakers</t>
  </si>
  <si>
    <t>O &amp; M Materials issues</t>
  </si>
  <si>
    <t>O &amp; M Materials issues- Others</t>
  </si>
  <si>
    <t>Transfer Inward</t>
  </si>
  <si>
    <t>Material transfer-Inward- Steel</t>
  </si>
  <si>
    <t>Material transfer-Inward- Transformer</t>
  </si>
  <si>
    <t>Material transfer-Inward- Metering Equipment</t>
  </si>
  <si>
    <t>Material transfer-Inward- Cables &amp; Conducters</t>
  </si>
  <si>
    <t>Material transfer-Inward- Poles</t>
  </si>
  <si>
    <t>Material transfer-Inward- Electric Light Fittings</t>
  </si>
  <si>
    <t>Material transfer-Inward- Spares</t>
  </si>
  <si>
    <t>Material transfer-Inward- Insulators</t>
  </si>
  <si>
    <t>Material transfer-Inward- Circuit Breaker</t>
  </si>
  <si>
    <t xml:space="preserve">Material transfer-Inward-Transformer Oil </t>
  </si>
  <si>
    <t>Material transfer-Inward- Others</t>
  </si>
  <si>
    <t>Transfer Outward</t>
  </si>
  <si>
    <t>Material transfer-Inward- Transformer Oil</t>
  </si>
  <si>
    <t>Stock Adjustment A/C</t>
  </si>
  <si>
    <t>Capital Meterials Stock Adjustment Account- Metering Equipment</t>
  </si>
  <si>
    <t>Capital Meterials Stock Adjustment Account- Electric Light Fittings</t>
  </si>
  <si>
    <t>Capital Meterials Stock Adjustment Account- Insulators</t>
  </si>
  <si>
    <t>Capital Materials Stock Account- Steel</t>
  </si>
  <si>
    <t>Capital Materials Stock Account- Transformer</t>
  </si>
  <si>
    <t>Capital Materials Stock Account- Metering Equipment</t>
  </si>
  <si>
    <t>Capital Materials Stock Account- Cables &amp; Conducters</t>
  </si>
  <si>
    <t>Capital Materials Stock Account- Poles</t>
  </si>
  <si>
    <t>Capital Materials Stock Account- Electric Light Fittings</t>
  </si>
  <si>
    <t>Capital Materials Stock Account- Spares</t>
  </si>
  <si>
    <t>Capital Materials Stock Account- Insulators</t>
  </si>
  <si>
    <t>Capital Materials Stock Account- Circuit Breakers</t>
  </si>
  <si>
    <t>Capital Materials Stock Account- Transformer Oil</t>
  </si>
  <si>
    <t>Capital Materials Stock Account- Others</t>
  </si>
  <si>
    <t>O &amp; M Materials Stock Account- Steel</t>
  </si>
  <si>
    <t>O &amp; M Materials Stock Account- Transformer</t>
  </si>
  <si>
    <t>O &amp; M Materials Stock Account- Metering Equipment</t>
  </si>
  <si>
    <t>O &amp; M Materials Stock Account- Cables &amp; Conducters</t>
  </si>
  <si>
    <t>O &amp; M Materials Stock Account- Poles</t>
  </si>
  <si>
    <t>O &amp; M Materials Stock Account- Electric Light Fittings</t>
  </si>
  <si>
    <t>O &amp; M Materials Stock Account- Spares</t>
  </si>
  <si>
    <t>O &amp; M Materials Stock Account- Insulators</t>
  </si>
  <si>
    <t>O &amp; M Materials Stock Account- Circuit Breakers</t>
  </si>
  <si>
    <t>O &amp; M Materials Stock Account-</t>
  </si>
  <si>
    <t>O &amp; M Materials Stock Account- Others</t>
  </si>
  <si>
    <t>Materials at site Account - Capital</t>
  </si>
  <si>
    <t>Materials at Site Account (Capital)</t>
  </si>
  <si>
    <t>Materials at site Account - O &amp; M</t>
  </si>
  <si>
    <t>Materials at Site Account (O &amp; M)</t>
  </si>
  <si>
    <t>Materials in Transit</t>
  </si>
  <si>
    <t>Capital Materials in Transit</t>
  </si>
  <si>
    <t>O &amp; M Materials in Transit</t>
  </si>
  <si>
    <t>Obsolete Materials Stock</t>
  </si>
  <si>
    <t>Non- Moving &amp; Obsolete Stock of Materials</t>
  </si>
  <si>
    <t>Imprest Stock of  Materials</t>
  </si>
  <si>
    <t>Imprest Stores</t>
  </si>
  <si>
    <t>Stock  Shortage / Lost Pending Investigation</t>
  </si>
  <si>
    <t>Stock Excess Pending Investigation</t>
  </si>
  <si>
    <t>Stock Shortage Pending Investigation</t>
  </si>
  <si>
    <t>Stock Lost from Stores Pending Investigation</t>
  </si>
  <si>
    <t>Materials lost Pending investigation-Theft of condtr., etc.</t>
  </si>
  <si>
    <t>Provision for Theft of Materials</t>
  </si>
  <si>
    <t>Provision for Obsolete Stock</t>
  </si>
  <si>
    <t>Provision for Non-moving and Obsolate Stock</t>
  </si>
  <si>
    <t>Gross Material Stock And Related Accounts</t>
  </si>
  <si>
    <t>Schedule-6-A-a</t>
  </si>
  <si>
    <t>Total Of Stores And Spares</t>
  </si>
  <si>
    <t>SUNDRY DEBTORS ( Schedule-6 )</t>
  </si>
  <si>
    <t>Sundry Debtors ( Power )</t>
  </si>
  <si>
    <t>Sundry Debtors - E.C</t>
  </si>
  <si>
    <t>Supplies in bulk to Controlled Stations</t>
  </si>
  <si>
    <t>Supplies in Bulk to others</t>
  </si>
  <si>
    <t>Licensees</t>
  </si>
  <si>
    <t xml:space="preserve">Sundry Debtors - Electricity Duty </t>
  </si>
  <si>
    <t>Sundry Debtors - E . D</t>
  </si>
  <si>
    <t>Sundry Debtors- Collection A/c(Cr.)- Power</t>
  </si>
  <si>
    <t>Sundry Debtors- Collection A/c(Cr.)- E.D</t>
  </si>
  <si>
    <t>Sundry Debtors- Collection A/c(Cr.)- Misc.</t>
  </si>
  <si>
    <t>Dues from permanently disconnected consumers</t>
  </si>
  <si>
    <t>Meter Rent/Service Line Rental</t>
  </si>
  <si>
    <t>Other Charges from Consumers</t>
  </si>
  <si>
    <t>Sundry Debtors Collection a/c - Unposted Receipt</t>
  </si>
  <si>
    <t xml:space="preserve">Unprotested Receipts / Suspense A/C </t>
  </si>
  <si>
    <t>Sundry Debtors Collection A/c(Dr.)- Power</t>
  </si>
  <si>
    <t>Sundry Debtors Collection A/c(Dr.)- E.D</t>
  </si>
  <si>
    <t>Sundry Debtors- Collection A/c(Dr.)- Misc.</t>
  </si>
  <si>
    <t>Provision for unbilled consumers</t>
  </si>
  <si>
    <t>Provision for unbilled ED -Domestic</t>
  </si>
  <si>
    <t>Provision for unbilled ED -Commercial</t>
  </si>
  <si>
    <t>Provision for unbilled ED -Public Institutions</t>
  </si>
  <si>
    <t>Provision for unbilled Meter rent -Domestic</t>
  </si>
  <si>
    <t>Provision for unbilled Meter rent- Commercial</t>
  </si>
  <si>
    <t>Provision for unbilled Meter rent- Public Institutions</t>
  </si>
  <si>
    <t>Dues from Permanently Disconnected Consumers</t>
  </si>
  <si>
    <t>E.D from Permanently Disconnected Consumers</t>
  </si>
  <si>
    <t>Sundry Debtors ( Misc. Receipts )</t>
  </si>
  <si>
    <t>Sundry Debtors for Meter Rent/Service Line Rental</t>
  </si>
  <si>
    <t>Sundry Debtors for recoveries for theft of power</t>
  </si>
  <si>
    <t>Sundry Debtor for P.L.Maintenance Charge</t>
  </si>
  <si>
    <t>Sundry debtors for other charges</t>
  </si>
  <si>
    <t xml:space="preserve"> Non-Cash adjustment for consumers accounts</t>
  </si>
  <si>
    <t>Total Non-Cash adjustment for consumers accounts(Credit)</t>
  </si>
  <si>
    <t>Total Non-Cash adjustment for consumers accounts(Debit)</t>
  </si>
  <si>
    <t>Meter Rent</t>
  </si>
  <si>
    <t>Provision for Bad and Doubtful Debts</t>
  </si>
  <si>
    <t>Delayed Payment Surchares</t>
  </si>
  <si>
    <t>Gross Receivable Against Supply Of Power</t>
  </si>
  <si>
    <t>Total Of Sundry Debtors</t>
  </si>
  <si>
    <t>Cash &amp; Bank Balances ( Schedule - 6)</t>
  </si>
  <si>
    <t>Cash-in-hand</t>
  </si>
  <si>
    <t>Cash in Hand as per General Cash Book</t>
  </si>
  <si>
    <t>Cash in Hand as per Revenue Cash Book</t>
  </si>
  <si>
    <t>Petty Cash Balance in Balance</t>
  </si>
  <si>
    <t>STAMPS-IN-HAND</t>
  </si>
  <si>
    <t>Postage Stamps in Hand</t>
  </si>
  <si>
    <t>Other Stamps in Hand</t>
  </si>
  <si>
    <t>Cash with P.L. A/c Treasury</t>
  </si>
  <si>
    <t>CASH SHORTAGE/EXCESS PENDING INVESTIGATIONIN-HAND</t>
  </si>
  <si>
    <t>Cash shortage pending investigation</t>
  </si>
  <si>
    <t>Cash excess pending Investigation</t>
  </si>
  <si>
    <t>Provision for Cash Shortage Pending Invest.</t>
  </si>
  <si>
    <t>Provision for Cash Shortage Pending Investigation</t>
  </si>
  <si>
    <t>Imprest with Staff</t>
  </si>
  <si>
    <t>Permanent Imprest with Officers/staff</t>
  </si>
  <si>
    <t>Temporary Advances to Distributing Officers</t>
  </si>
  <si>
    <t>Temporary Advances to Emargency Purchages</t>
  </si>
  <si>
    <t>Temporary Imprest for Contigency</t>
  </si>
  <si>
    <t>Total Of Cash Cheque And Demand Draft</t>
  </si>
  <si>
    <t>BALANCE WITH BANK - CURRENT A/C</t>
  </si>
  <si>
    <t>Collecting Bank A/c</t>
  </si>
  <si>
    <t>Allahabad Bank</t>
  </si>
  <si>
    <t xml:space="preserve"> Rusikulya Gramya Bank</t>
  </si>
  <si>
    <t>United Bank of India</t>
  </si>
  <si>
    <t>Canara Bank</t>
  </si>
  <si>
    <t>Andhra Bank</t>
  </si>
  <si>
    <t xml:space="preserve"> Union Bank of India</t>
  </si>
  <si>
    <t>Punjab National Bank</t>
  </si>
  <si>
    <t>Bank of India</t>
  </si>
  <si>
    <t>Indian Oversease Bank</t>
  </si>
  <si>
    <t>Bank of Boroda</t>
  </si>
  <si>
    <t xml:space="preserve"> United Bank</t>
  </si>
  <si>
    <t>Syndicate Bank</t>
  </si>
  <si>
    <t>Rusikulya Gramya Bank</t>
  </si>
  <si>
    <t>Disbursement Bank A/c</t>
  </si>
  <si>
    <t>United Commercial Bank</t>
  </si>
  <si>
    <t>Indian Bank</t>
  </si>
  <si>
    <t>UTI Bank</t>
  </si>
  <si>
    <t>ICICI Bank</t>
  </si>
  <si>
    <t>Total Of Bal. Of Sch. Bank In Current A/c</t>
  </si>
  <si>
    <t>Short Term Deposits With Bank</t>
  </si>
  <si>
    <t>Disbursement Bank Account- Bank of Boroda</t>
  </si>
  <si>
    <t>Total Of Bal. Of Sch. Bank In F.D A/c</t>
  </si>
  <si>
    <t xml:space="preserve">REMITTANCE - IN - TRANSIT </t>
  </si>
  <si>
    <t>Remittance to HO in Transit A/c</t>
  </si>
  <si>
    <t>Remittances from Units to HO in transit</t>
  </si>
  <si>
    <t>Remittance from HO in Transit A/c</t>
  </si>
  <si>
    <t>Transfer from HO  to Units in transit</t>
  </si>
  <si>
    <t>Total Of Bal. Of Remittance In Transit</t>
  </si>
  <si>
    <t>Advance recoverable in cash ar kind or for value to be received ( Schedule - 6 )</t>
  </si>
  <si>
    <t>ADVANCE TO SUPPLIERS</t>
  </si>
  <si>
    <t>Advance to suppliers(O &amp; M)</t>
  </si>
  <si>
    <t>Advance to Professionals / Consultants (O&amp;M)</t>
  </si>
  <si>
    <t>Advance to Advocates (O&amp;M)</t>
  </si>
  <si>
    <t>Advance to Others</t>
  </si>
  <si>
    <t>Advance to Contractors(O &amp; M)</t>
  </si>
  <si>
    <t>Advance to suppliers(O &amp; M) Interest Free</t>
  </si>
  <si>
    <t>Gross Advance To Suppliers/Contractors- (O &amp; M)</t>
  </si>
  <si>
    <t>Schedule-6-B-a</t>
  </si>
  <si>
    <t>LOANS AND ADVANCES TO STAFFS</t>
  </si>
  <si>
    <t>Loans &amp; Advances to Staffs - Interest Bearing</t>
  </si>
  <si>
    <t>House Building</t>
  </si>
  <si>
    <t>Car</t>
  </si>
  <si>
    <t>Scoter/Motoer Cycle</t>
  </si>
  <si>
    <t>Cycle</t>
  </si>
  <si>
    <t>Loans &amp; Advances to Staffs - Interest Free</t>
  </si>
  <si>
    <t>Travelling Allowance Advance</t>
  </si>
  <si>
    <t>Transfer Travelling Allowance Advance</t>
  </si>
  <si>
    <t>Salary Advance</t>
  </si>
  <si>
    <t>Study Loan</t>
  </si>
  <si>
    <t>Medical Advance</t>
  </si>
  <si>
    <t>Cyclone/ Flood</t>
  </si>
  <si>
    <t>Festival Advance</t>
  </si>
  <si>
    <t>Trade deposit advance</t>
  </si>
  <si>
    <t>Wage Board Advance</t>
  </si>
  <si>
    <t>Advance under Group Insurance</t>
  </si>
  <si>
    <t>L.T.C.Advance</t>
  </si>
  <si>
    <t>Advance Income Tax &amp; TDS</t>
  </si>
  <si>
    <t>Income Tax Deducted at Source on FDs</t>
  </si>
  <si>
    <t>Income Tax Deducted at Source on Other Receipts</t>
  </si>
  <si>
    <t>Total Of Adv. Rec. In Cash Or Kind</t>
  </si>
  <si>
    <t>Inter-unit A/c - Materials</t>
  </si>
  <si>
    <t>Sundry debtors for sale of stores</t>
  </si>
  <si>
    <t>Sundry debtors for rental property</t>
  </si>
  <si>
    <t>Other Misc.Income</t>
  </si>
  <si>
    <t xml:space="preserve">Amount Recivable from ENZEN </t>
  </si>
  <si>
    <t>28.114(GP-24)</t>
  </si>
  <si>
    <t>Amount Recivable from GRIDCO for Acceptance of Bill  of GP-24</t>
  </si>
  <si>
    <t>28.114(GP-5)</t>
  </si>
  <si>
    <t>Amount Recivable from GRIDCO for Acceptance of Bill  of GP-5</t>
  </si>
  <si>
    <t>Income accrued and due on FDs with Bank</t>
  </si>
  <si>
    <t>Income accrued and due on other non-fund Investment</t>
  </si>
  <si>
    <t>Income accrued and due on house building loans</t>
  </si>
  <si>
    <t>Income accrued and due on car loan</t>
  </si>
  <si>
    <t>Income accrued and due on scooter/motorcycle loan</t>
  </si>
  <si>
    <t>Income accrued and due on cycle loan</t>
  </si>
  <si>
    <t>Income accrued and due on int. bearing loans to staffs</t>
  </si>
  <si>
    <t>Income accrued but not due on FDs with Bank</t>
  </si>
  <si>
    <t>Amount Recoverable from Employees</t>
  </si>
  <si>
    <t>Amount Recoverable from Ex-Employees</t>
  </si>
  <si>
    <t>Subsidy/Grant Receivables- Capital</t>
  </si>
  <si>
    <t>Subsidy/Grant Receivables- Revenue</t>
  </si>
  <si>
    <t>Claim Receivable for Loss/ Damage to Capital Assets- From Insurance Companies</t>
  </si>
  <si>
    <t>Claim Receivable for Loss/ Damage to Capital Assets- From Suppliers</t>
  </si>
  <si>
    <t>Claim Receivable for Loss/ Damage to Capital Assets- From Transportors</t>
  </si>
  <si>
    <t>Claim Receivable for Loss/ Damage to Capital Assets- From Others</t>
  </si>
  <si>
    <t>Sundry Receivables- Amounts Receivables from suppliers</t>
  </si>
  <si>
    <t>Sundry Receivables- Amounts Receivables from Contractors</t>
  </si>
  <si>
    <t>Excess Repayment of Loan/ Advance/ Bills</t>
  </si>
  <si>
    <t>Prepaid Expenses</t>
  </si>
  <si>
    <t>Bills Receivables for Work Done</t>
  </si>
  <si>
    <t>Transaction with DAG, Puri- Others.</t>
  </si>
  <si>
    <t>Advance Payment Leave Salary</t>
  </si>
  <si>
    <t>One time refundable deposits to be reimbursed by Govt.</t>
  </si>
  <si>
    <t>Amount Recoverable from State Govt.others</t>
  </si>
  <si>
    <t>Amount Recoverable from Central Govt.others</t>
  </si>
  <si>
    <t>Receivable / Payable - NESCO</t>
  </si>
  <si>
    <t>Receivable / Payable - CESCO</t>
  </si>
  <si>
    <t>Balance Carry over account</t>
  </si>
  <si>
    <t>Receivable from Gridco</t>
  </si>
  <si>
    <t>Receivable / Payable - WESCO</t>
  </si>
  <si>
    <t>Receivable / Payable - CSO BBSR</t>
  </si>
  <si>
    <t>Inter Unit Account (Materials)</t>
  </si>
  <si>
    <t>REGULATORY ASSET(ACTUARIAL VALUATION)</t>
  </si>
  <si>
    <t>Regulatory Asset(Actuarial Valuation)</t>
  </si>
  <si>
    <t>Schedule-6-A-d/iii</t>
  </si>
  <si>
    <t>Total Of Regulatory Assets</t>
  </si>
  <si>
    <t>Deposits</t>
  </si>
  <si>
    <t>Deposits with Telephone Authority</t>
  </si>
  <si>
    <t>Deposit with others</t>
  </si>
  <si>
    <t>Securities from Suppliers(FDs etc) as per contra</t>
  </si>
  <si>
    <t>Securities from Consumer(FDs etc) as per contra</t>
  </si>
  <si>
    <t>Securities from Staff(FDs etc) as per Contra</t>
  </si>
  <si>
    <t>Schedule-6-B-b</t>
  </si>
  <si>
    <t>Total Of Deposits</t>
  </si>
  <si>
    <t>Receivable / Payable -to Other Distcos.</t>
  </si>
  <si>
    <t>NESCO</t>
  </si>
  <si>
    <t>Schedule-7-A-OL</t>
  </si>
  <si>
    <t>WESCO</t>
  </si>
  <si>
    <t>REVENUE FROM SALES OF POWER</t>
  </si>
  <si>
    <t>Domestic - Energy Charges</t>
  </si>
  <si>
    <t>Domestic - Demand Charges</t>
  </si>
  <si>
    <t>Domestic - Minimum Charges</t>
  </si>
  <si>
    <t>Commercial - Energy Charges</t>
  </si>
  <si>
    <t>Commercial - Demand Charges</t>
  </si>
  <si>
    <t>Commercial - Minimum Charges</t>
  </si>
  <si>
    <t>Small Industries</t>
  </si>
  <si>
    <t>Small Industry - Energy Charges</t>
  </si>
  <si>
    <t>Small Industry - Demand Charges</t>
  </si>
  <si>
    <t>Small Industry - Minimum Charges</t>
  </si>
  <si>
    <t>Small Industry - Load Factor Charges</t>
  </si>
  <si>
    <t>Small Industry - Power Factor Charges</t>
  </si>
  <si>
    <t>Medium Industries</t>
  </si>
  <si>
    <t>Medium Industry - Energy Charges</t>
  </si>
  <si>
    <t>Medium Industry - Demand Charges</t>
  </si>
  <si>
    <t>Medium Industry - Minimum Charges</t>
  </si>
  <si>
    <t>Medium Industry - Load Factor Charges</t>
  </si>
  <si>
    <t>Medium Industry - Power Factor Charges</t>
  </si>
  <si>
    <t>Large Industries</t>
  </si>
  <si>
    <t>Large Industry - Energy Charges</t>
  </si>
  <si>
    <t>Large Industry - Demand Charges</t>
  </si>
  <si>
    <t>Large Industry- Minimum charges</t>
  </si>
  <si>
    <t>Large Industry- Load Factor Charges</t>
  </si>
  <si>
    <t>Large Industry - Power Factor Charges</t>
  </si>
  <si>
    <t>Heavy Industries</t>
  </si>
  <si>
    <t>Heavy Industry - Energy Charges</t>
  </si>
  <si>
    <t>Power Intensive Industries</t>
  </si>
  <si>
    <t>Power Intensive Industry - Energy Charges</t>
  </si>
  <si>
    <t>Power Intensive Industry - Demand Charges</t>
  </si>
  <si>
    <t>Power Intensive Industry - Minimum Charges</t>
  </si>
  <si>
    <t>Power Intensive Industry - Load Factor Charges</t>
  </si>
  <si>
    <t>Power Intensive Industry - Power Factor Charges</t>
  </si>
  <si>
    <t>Public Lighting - Energy Charges</t>
  </si>
  <si>
    <t>Public Lighting - Demand Charges</t>
  </si>
  <si>
    <t>Public Lighting - Minimum Charges</t>
  </si>
  <si>
    <t>Traction - Energy Charges</t>
  </si>
  <si>
    <t>Traction - Demand Charges</t>
  </si>
  <si>
    <t>Traction - Minimum Charges</t>
  </si>
  <si>
    <t>Traction - Load factor charges</t>
  </si>
  <si>
    <t>Traction - Power factor charges</t>
  </si>
  <si>
    <t>Irrigation - Energy Charges</t>
  </si>
  <si>
    <t>Irrigation - Demand Charges</t>
  </si>
  <si>
    <t>Irrigation - Minimum Charges</t>
  </si>
  <si>
    <t>Irrigation - Load Factor Charges</t>
  </si>
  <si>
    <t>Irrigation - Power Factor Charges</t>
  </si>
  <si>
    <t xml:space="preserve">Public Water Works </t>
  </si>
  <si>
    <t>Public Water Works - Energy Charges</t>
  </si>
  <si>
    <t>Public Water Works  - Demand Charges</t>
  </si>
  <si>
    <t>Public water works- Minimum charges</t>
  </si>
  <si>
    <t>Public water works- Load factor Charges</t>
  </si>
  <si>
    <t>Public Water Works  - Power Factor Charges</t>
  </si>
  <si>
    <t>Supplies in Bulk to others - Energy Charges</t>
  </si>
  <si>
    <t>Supplies in Bulk to others - Demand  Charges</t>
  </si>
  <si>
    <t>Supplies in Bulk to others - Minimum  Charges</t>
  </si>
  <si>
    <t>Supplies in Bulk to oths- Power Factor Charges</t>
  </si>
  <si>
    <t>Public Institutions</t>
  </si>
  <si>
    <t>Public Institution - Energy Charges</t>
  </si>
  <si>
    <t>Public Institution - Demand Charges</t>
  </si>
  <si>
    <t>Public Institution- Minimum charges</t>
  </si>
  <si>
    <t>Public Institution- Load factor charges</t>
  </si>
  <si>
    <t>Public Institition- Power factor charges</t>
  </si>
  <si>
    <t>M-Addl-1</t>
  </si>
  <si>
    <t>Allied Agricultural- Energy Charges</t>
  </si>
  <si>
    <t>Allied Agricultural- Demand Charges</t>
  </si>
  <si>
    <t>Allied Agricultural- Minimum Charges</t>
  </si>
  <si>
    <t>Allied Agricultural- Load Factor Charges</t>
  </si>
  <si>
    <t>Allied Agricultural- Power Factor Charges</t>
  </si>
  <si>
    <t>M-Addl-2</t>
  </si>
  <si>
    <t>Allied Agro-Industrial- Energy Charges</t>
  </si>
  <si>
    <t>Allied Agro-Industrial- Demand Charges</t>
  </si>
  <si>
    <t>Allied Agro-Industrial- Minimum Charges</t>
  </si>
  <si>
    <t>Allied Agro-Industrial- Load Factor Charges</t>
  </si>
  <si>
    <t>Allied Agro-Industrial- Power Factor Charges</t>
  </si>
  <si>
    <t>ACCRUED INCOME FROM REGULATORY ASSET(ACTUARIAL VALUATION)</t>
  </si>
  <si>
    <t>Accrued Income from Regulatory Asset ( Actuarial Valuation)</t>
  </si>
  <si>
    <t>Electriciry Duty Payable ( Contra  61.501-61.517)</t>
  </si>
  <si>
    <t>Electriciry Duty Recoverable ( Contra  61.541-61.557)</t>
  </si>
  <si>
    <t>Delayed Payment Surcharges</t>
  </si>
  <si>
    <t>Delayed Payment charges from consumers</t>
  </si>
  <si>
    <t>Q</t>
  </si>
  <si>
    <t xml:space="preserve">Overdrawal Penalty from Consumers </t>
  </si>
  <si>
    <t>Over drawal Penalty</t>
  </si>
  <si>
    <t>OTHER INCOME</t>
  </si>
  <si>
    <t xml:space="preserve">Meter Rent/Service Line Rental </t>
  </si>
  <si>
    <t>Rental for Meters,Service Lines and Capacitors</t>
  </si>
  <si>
    <t>Misc. Charges from Consumer</t>
  </si>
  <si>
    <t>Reconnection Fees</t>
  </si>
  <si>
    <t>Misc.charges from Consumers - Meter Box Charges</t>
  </si>
  <si>
    <t>New Service Connection Fees</t>
  </si>
  <si>
    <t>Others Charges received from Consumers</t>
  </si>
  <si>
    <t>Income from Investment</t>
  </si>
  <si>
    <t>Income from Fixed Deposit With Banks</t>
  </si>
  <si>
    <t>Miscellaneous Receipts</t>
  </si>
  <si>
    <t>Interest on Loan to Staffs</t>
  </si>
  <si>
    <t>Interest on Loan/advances - House building</t>
  </si>
  <si>
    <t>Interest on Staff Loans &amp; Advances- Car</t>
  </si>
  <si>
    <t>Interest on Loan/advances - Scooter/Motor cycle</t>
  </si>
  <si>
    <t>Interest on Loan/advances - Cycle</t>
  </si>
  <si>
    <t>Interest on Loan/advances - Others</t>
  </si>
  <si>
    <t>Income from Trading</t>
  </si>
  <si>
    <t>Profit on Sale of stores</t>
  </si>
  <si>
    <t>Sale of Scrap</t>
  </si>
  <si>
    <t>Gaint on Sale of Fixed Assets</t>
  </si>
  <si>
    <t>Misc. Receipts</t>
  </si>
  <si>
    <t xml:space="preserve">Rental for Staff Quarters </t>
  </si>
  <si>
    <t>Electricity charges from staff quarters</t>
  </si>
  <si>
    <t>Inseption Bungalow Guest House charges</t>
  </si>
  <si>
    <t>Excess found on Physical verification of Material Stocks</t>
  </si>
  <si>
    <t>Excess found on Physical verification Fixed Assets</t>
  </si>
  <si>
    <t>Excess found on Physical verification cash in chest</t>
  </si>
  <si>
    <t>Water rates recovered from Board Quarters</t>
  </si>
  <si>
    <t>Sundry Credit Balance Written Back</t>
  </si>
  <si>
    <t>Commission for collection of electricity duties</t>
  </si>
  <si>
    <t>Hire Charges of Vehicles</t>
  </si>
  <si>
    <t>Sale of Tender Forms</t>
  </si>
  <si>
    <t>Penalty recovered from Suppliers</t>
  </si>
  <si>
    <t>Penalty recovered from contractors</t>
  </si>
  <si>
    <t>Unpaid Wages written off</t>
  </si>
  <si>
    <t>Rebate received for timely Payment of BST Bill</t>
  </si>
  <si>
    <t>Franchise Income Account(ENZEN)</t>
  </si>
  <si>
    <t>Others Miscellaneous Receipts</t>
  </si>
  <si>
    <t>62.999®</t>
  </si>
  <si>
    <t>Income to be Rec/Rev in future tariff determination</t>
  </si>
  <si>
    <t>Distribution, Administrative &amp; Other Expenses</t>
  </si>
  <si>
    <t>Repairs to Plant &amp; Machinery and Distribution System</t>
  </si>
  <si>
    <t>to Plant &amp; Machinery</t>
  </si>
  <si>
    <t>R/M to Transfermers &gt; 100 KVA -Material issued from stores</t>
  </si>
  <si>
    <t>R/M to Transfermers &gt; 100 KVA -Materials Purchased Directly</t>
  </si>
  <si>
    <t>R/M to Transfermers &gt; 100 KVA -Payments to Contractors &amp; other outside parties</t>
  </si>
  <si>
    <t>R/M to Transfermers &lt; 100 KVA -Materials issued from stores</t>
  </si>
  <si>
    <t>R/M to Transfermers &lt; 100 KVA -Materials Purchased Directly</t>
  </si>
  <si>
    <t>R/M to Transfermers &lt; 100 KVA -Payments to Contractors &amp; other outside parties</t>
  </si>
  <si>
    <t>R/M to Material Handling Equipments-Materials issued from Store</t>
  </si>
  <si>
    <t>R/M to Material Handling Equipments-Payment to Contractors</t>
  </si>
  <si>
    <t>R/M to switchgear, Cable Coneection etc.- Materials issued from store</t>
  </si>
  <si>
    <t xml:space="preserve">R/M to switchgear, Cable Coneection etc.-Payments to Contractors </t>
  </si>
  <si>
    <t>R/M to Lighting Arrestors, Static Machine Tools etc.-Materials issued from stores</t>
  </si>
  <si>
    <t>R/M to Lighting Arrestors, Static Machine Tools etc.-Materials Purchased Directly</t>
  </si>
  <si>
    <t>R/M to Lighting Arrestors, Static Machine Tools etc.-Payments to Contractors &amp; other outside parties</t>
  </si>
  <si>
    <t>R/M to Air Conditioner- Payment to Contractors</t>
  </si>
  <si>
    <t>R &amp; M Misc. Equipments-  Mat. Issued from Stores</t>
  </si>
  <si>
    <t>R &amp; M Misc. Equipments-Materials Purchased Directly</t>
  </si>
  <si>
    <t>R &amp; M Misc. Equipments-Payments to Contractors &amp; others- Misc equipments</t>
  </si>
  <si>
    <t>to Lines, Cables &amp; Network Assets</t>
  </si>
  <si>
    <t>R/M to Overhead Lines &gt; 13.2 KVA-Material issued from stores</t>
  </si>
  <si>
    <t>R/M to Overhead Lines &gt; 13.2 KVA-Materials Purchased Directly</t>
  </si>
  <si>
    <t>R/M to Overhead Lines &gt; 13.2 KVA-Payments to Contractors &amp; other outside parties</t>
  </si>
  <si>
    <t>R/M to Overhead Lines&lt; 13.2 KVA-Material issued from stores</t>
  </si>
  <si>
    <t>R/M to Overhead Lines &lt; 13.2 KVA-Materials Purchased Directly</t>
  </si>
  <si>
    <t>R/M to Overhead Lines &lt; 13.2 KVA-Payments to Contractors &amp; other outside parties</t>
  </si>
  <si>
    <t>R/M to Overhead Lines on Concrete Support &lt; 13.2 KVA -Material issued from stores</t>
  </si>
  <si>
    <t>R/M to Overhead Lines on Concrete Support  &lt; 13.2 KVA-Materials Purchased Directly</t>
  </si>
  <si>
    <t xml:space="preserve">R/M to Overhead Lines on Concrete Support  &lt; 13.2 KVA-Payments to Contractors </t>
  </si>
  <si>
    <t>R/M to AB Cable / Underground cable works-Material issued from stores</t>
  </si>
  <si>
    <t>R/M to AB Cable / Underground cable works--Payments to Contractors &amp; other outside parties</t>
  </si>
  <si>
    <t>R/M to Service connetion- High volttage-Material issued from stores</t>
  </si>
  <si>
    <t>R/M to Service connetion- L&amp; M  volttage-Material issued from stores</t>
  </si>
  <si>
    <t>R/M to Service connetion- L&amp; M  volttage--Materials Purchased Directly</t>
  </si>
  <si>
    <t xml:space="preserve">R/M to Service connetion- L&amp; M  volttage-Payments to Contractors </t>
  </si>
  <si>
    <t>R/M to Temporary Service Connections --Materials Purchased Directly</t>
  </si>
  <si>
    <t>R/M to Temporary Service Connections -Payments to Contractors</t>
  </si>
  <si>
    <t>R/M to Metering Equipements- Materials Issued from stores</t>
  </si>
  <si>
    <t>R/M to Metering Equipements-Materials Purchased Directly</t>
  </si>
  <si>
    <t>R/M to Metering Equipements-Payments to Contractors &amp; other outside parties</t>
  </si>
  <si>
    <t>R/M to Misc equipement- Materials issued from stores</t>
  </si>
  <si>
    <t>R/M to Misc equipement- materials purchased directly</t>
  </si>
  <si>
    <t>R/M to Misc equipement-Payments to Contractors &amp; other outside parties</t>
  </si>
  <si>
    <t>SALARIES, WAGES, ALLOWANCES &amp; BONUS</t>
  </si>
  <si>
    <t>Basic Pay</t>
  </si>
  <si>
    <t>Permanent Employee</t>
  </si>
  <si>
    <t>Salaries- T &amp; D- HV</t>
  </si>
  <si>
    <t>Salaries- Distribution-M &amp; LV</t>
  </si>
  <si>
    <t>Salaries- Stores</t>
  </si>
  <si>
    <t>Salaries- Admn offices</t>
  </si>
  <si>
    <t>Temporary Employees</t>
  </si>
  <si>
    <t>Salaries- Temp- T &amp; D- HV</t>
  </si>
  <si>
    <t>Salaries-Temp-Distribution-M &amp; LV</t>
  </si>
  <si>
    <t xml:space="preserve">Other Employees </t>
  </si>
  <si>
    <t>Salaries- Apprentice- T &amp; D- HV</t>
  </si>
  <si>
    <t>Salaries-Temp-Apprentice-M &amp; LV</t>
  </si>
  <si>
    <t>Salaries-Temp-Apprentice-Other offices</t>
  </si>
  <si>
    <t>Salary- Arrprentices- Admn.Office</t>
  </si>
  <si>
    <t>Dearness Allownce</t>
  </si>
  <si>
    <t>Dearness Allowance- Perm- O &amp; M- T &amp; D- HV</t>
  </si>
  <si>
    <t>Dearness Allowance- Perm- O &amp; M- T &amp; D- M &amp; LV</t>
  </si>
  <si>
    <t>Dearness Allowance- Perm- O &amp; M- T &amp; D- Stores</t>
  </si>
  <si>
    <t>Dearness Allowance- Perm- O &amp; M- T &amp; D- Ad. Off.</t>
  </si>
  <si>
    <t>Other Allownce</t>
  </si>
  <si>
    <t>Other Allowance- Perm- O &amp; M- T &amp; D- HV</t>
  </si>
  <si>
    <t>Other Allowance- Perm- O &amp; M- T &amp; D- M &amp; LV</t>
  </si>
  <si>
    <t>Other Allowance- Perm- O &amp; M- T &amp; D- Stores</t>
  </si>
  <si>
    <t>Other Allowance- Perm- O &amp; M- T &amp; D- Admn offilces</t>
  </si>
  <si>
    <t>Bonus- Perm- Distribution- M &amp; LV</t>
  </si>
  <si>
    <t>Bonus- Perm- Distribution- Thermal</t>
  </si>
  <si>
    <t>Bonus- Perm- Distribution- Admn. Offices</t>
  </si>
  <si>
    <t>Other staff costs</t>
  </si>
  <si>
    <t>Medical Expenses Reinbursement</t>
  </si>
  <si>
    <t>House Rent Allownces</t>
  </si>
  <si>
    <t>Earned Leave Encashment-El, Sl, UUL</t>
  </si>
  <si>
    <t xml:space="preserve">Payment under W.C. Act </t>
  </si>
  <si>
    <t>Exgratia</t>
  </si>
  <si>
    <t xml:space="preserve">Peformance Incentive  </t>
  </si>
  <si>
    <t>Contribution to Provident Fund  &amp; Other Funds</t>
  </si>
  <si>
    <t>Empolyer's Contribution to CPF</t>
  </si>
  <si>
    <t>Administrative Charges paid to RPFC</t>
  </si>
  <si>
    <t>Pension- Southco</t>
  </si>
  <si>
    <t>Other Terminal Benefits-Southco</t>
  </si>
  <si>
    <t>Allocated to capital Works</t>
  </si>
  <si>
    <t>Employee Cost Charged to Capital Works</t>
  </si>
  <si>
    <t>Gratuity-Southco</t>
  </si>
  <si>
    <t>STAFF WEALFARE EXPENSES</t>
  </si>
  <si>
    <t>Contribution to staff welfare fund</t>
  </si>
  <si>
    <t>Prmium under Group Insurance Scheme</t>
  </si>
  <si>
    <t>Uniforms and liveries</t>
  </si>
  <si>
    <t>Canteen Expenses</t>
  </si>
  <si>
    <t>Southco Employees PF Trust Loss</t>
  </si>
  <si>
    <t>Other Staff Welfare expenses</t>
  </si>
  <si>
    <t>Insurance on fixed assets</t>
  </si>
  <si>
    <t xml:space="preserve">Insurance on Stock </t>
  </si>
  <si>
    <t>Insurance on asset under consrtuction</t>
  </si>
  <si>
    <t>Other Insurance</t>
  </si>
  <si>
    <t>Transit Insurance</t>
  </si>
  <si>
    <t>Rent</t>
  </si>
  <si>
    <t>Rent( Including Lease)</t>
  </si>
  <si>
    <t>76.101(GH)</t>
  </si>
  <si>
    <t>Rent (Guest House)</t>
  </si>
  <si>
    <t>Repairs to Building</t>
  </si>
  <si>
    <t xml:space="preserve">R &amp; M to office Buildings- Materials Purchased  Directly </t>
  </si>
  <si>
    <t xml:space="preserve"> R/M to Office Building-Payments to Contractors &amp; other outside parties</t>
  </si>
  <si>
    <t xml:space="preserve">R/M to Residential quarters-Materials purchased directly </t>
  </si>
  <si>
    <t>R/M to Residential quarters-Payments to Contractors &amp; other outside parties</t>
  </si>
  <si>
    <t>R/M to Other Buildings- Materials purchased directly</t>
  </si>
  <si>
    <t>R/M to Other Buildings-Payments to Contractors &amp; other outside parties</t>
  </si>
  <si>
    <t>R/M to Misc civil works-Payments to Contractors &amp; other outside parties</t>
  </si>
  <si>
    <t>R/M to Pipelines for Water Supply-Payments to Contractors &amp; other outside parties</t>
  </si>
  <si>
    <t>R/M to Dranage &amp; Storage System-Payments to Contractors &amp; other outside parties</t>
  </si>
  <si>
    <t>Repairs to Other Assets to Schedule - 11</t>
  </si>
  <si>
    <t>to Vehicle</t>
  </si>
  <si>
    <t>R/M to Vehicle - Truck-Materials Purchased Directly</t>
  </si>
  <si>
    <t>R/M to Vehicle - Truck-Payments to Contractors &amp; other outside parties</t>
  </si>
  <si>
    <t>R/M to Vehicle- Jeep &amp; Motor Cars -Materials Purchased Directly</t>
  </si>
  <si>
    <t>R/M to Vehicle- Jeep &amp; Motor Cars -Payments to Contractors &amp; other outside parties</t>
  </si>
  <si>
    <t>R/M to Vehcle - Motor Cycle-Payments to Contractors &amp; other outside parties</t>
  </si>
  <si>
    <t>R/M to Other Vehcle -Payments to Contractors &amp; other outside parties</t>
  </si>
  <si>
    <t>to Furniture &amp; Fixture</t>
  </si>
  <si>
    <t>R/M to Furnitures &amp; fixtures in Adm. Office - Materials purchased directly</t>
  </si>
  <si>
    <t>R/M to Furnitures &amp; fixtures in Adm. Office -Payments to Contractors &amp; other outside parties</t>
  </si>
  <si>
    <t>R/M to Furnitures &amp; fixtures in Rec.Colony - Materials purchased directly</t>
  </si>
  <si>
    <t>R/M to Furnitures &amp; fixtures in  Rec.Colony -Payments to Contractors &amp; other outside parties</t>
  </si>
  <si>
    <t>R/M to Furnitures &amp; fixtures in Other Locations - Materials purchased directly</t>
  </si>
  <si>
    <t>R/M to Furnitures &amp; fixtures in  Other Locations-Payments to Contractors &amp; other outside parties</t>
  </si>
  <si>
    <t>R&amp;M to Electrical Wiring , Light, Fan in Office Building- Materials issued from Store</t>
  </si>
  <si>
    <t xml:space="preserve">R&amp;M to Electrical Wiring , Light, Fan in Office Building-Materials purchased directly </t>
  </si>
  <si>
    <t>R&amp;M to Electrical Wiring , Light, Fan in Office Building- Payments to Contractors &amp; other outside parties</t>
  </si>
  <si>
    <t>R&amp;M to Electrical Wiring , Light, Fan in Rec. Colony- Materials issued from Store</t>
  </si>
  <si>
    <t xml:space="preserve">R&amp;M to Electrical Wiring , Light, Fan in  Rec. Colony-Materials purchased directly </t>
  </si>
  <si>
    <t>R&amp;M to Electrical Wiring , Light, Fan in  Rec. Colony- Payments to Contractors &amp; other outside parties</t>
  </si>
  <si>
    <t>R&amp;M to Electrical Wiring , Light, Fan in Other Locations- Materials issued from Store</t>
  </si>
  <si>
    <t xml:space="preserve">R&amp;M to Electrical Wiring , Light, Fan in  Other Locations-Materials purchased directly </t>
  </si>
  <si>
    <t>R&amp;M to Electrical Wiring , Light, Fan in Other Locations- Payments to Contractors &amp; other outside parties</t>
  </si>
  <si>
    <t>to Office Equipment</t>
  </si>
  <si>
    <t>R/M to Calculators, Typewriters- Materisls purchased directly</t>
  </si>
  <si>
    <t>R/M to Calculators, Typewriters-Payments to Contractors &amp; other outside parties</t>
  </si>
  <si>
    <t>R/M to Computers - Material Purchased Directly</t>
  </si>
  <si>
    <t>R/M to Computers -Payments to Contractors &amp; other outside parties</t>
  </si>
  <si>
    <t>R / M to Comunication Systems- Materials purchase Directly</t>
  </si>
  <si>
    <t>R / M to Comunication Systems- Payment to Contactors.</t>
  </si>
  <si>
    <t>R/M to Other Office equipements- Materials purcahsed directly</t>
  </si>
  <si>
    <t>R/M to Other Office equipements- Payment to contractors</t>
  </si>
  <si>
    <t>Rates and Taxes</t>
  </si>
  <si>
    <t>Vehicle Licence, Registration, Road tax, etc</t>
  </si>
  <si>
    <t>Water charges</t>
  </si>
  <si>
    <t>Licences and related fees</t>
  </si>
  <si>
    <t>Filling Fees ROC</t>
  </si>
  <si>
    <t>Professional &amp; Legal Charges</t>
  </si>
  <si>
    <t>Internal Auditors Fees &amp; Expenses</t>
  </si>
  <si>
    <t>Leagal charges and Stamp duties-Capital works</t>
  </si>
  <si>
    <t>leagal charges -Other works</t>
  </si>
  <si>
    <t>Technical &amp; Consultancy Fees</t>
  </si>
  <si>
    <t>Consultancy Expenses</t>
  </si>
  <si>
    <t>Other Professional Charges</t>
  </si>
  <si>
    <t>Remuneration to Auditors</t>
  </si>
  <si>
    <t>Audit Fees</t>
  </si>
  <si>
    <t>Audit Expenses</t>
  </si>
  <si>
    <t>Tax Audit Fees</t>
  </si>
  <si>
    <t xml:space="preserve">Other Professional Charges ( Paid to Statutory  Auditors ) </t>
  </si>
  <si>
    <t xml:space="preserve">Other Professional Charges </t>
  </si>
  <si>
    <t xml:space="preserve">Provision for Contingency (Power Bond) </t>
  </si>
  <si>
    <t>Miscellaneous Expenses</t>
  </si>
  <si>
    <t>Telephone and Trunk Calls</t>
  </si>
  <si>
    <t>Telephone and Trunk Calls(Guest House)</t>
  </si>
  <si>
    <t>Postage and Telegrams</t>
  </si>
  <si>
    <t>Telex and Teleprinter charges</t>
  </si>
  <si>
    <t>Courier  charges</t>
  </si>
  <si>
    <t>Internet &amp; Web Site Charges</t>
  </si>
  <si>
    <t>Conveyance &amp; Travelling Exp.</t>
  </si>
  <si>
    <t>Converyance expenses</t>
  </si>
  <si>
    <t>Travelling allowance to employee</t>
  </si>
  <si>
    <t>Transport expenses</t>
  </si>
  <si>
    <t>Travelling Expenses Of M.D.</t>
  </si>
  <si>
    <t>Vehicle running expenses</t>
  </si>
  <si>
    <t>Hire charges of vehicles</t>
  </si>
  <si>
    <t>Printing &amp; Stationary Exp.</t>
  </si>
  <si>
    <t>Xerox &amp; Photocopy Expenses</t>
  </si>
  <si>
    <t>Fees &amp; Subscriptions</t>
  </si>
  <si>
    <t>Books and periodicals</t>
  </si>
  <si>
    <t>Printing &amp; Stationary</t>
  </si>
  <si>
    <t>Purchase of Stationary for Official Use</t>
  </si>
  <si>
    <t xml:space="preserve">Advertisement </t>
  </si>
  <si>
    <t>Advertisement expenses</t>
  </si>
  <si>
    <t>Charity &amp; Donations</t>
  </si>
  <si>
    <t>Contribution to Charities</t>
  </si>
  <si>
    <t>Electricity Exp.</t>
  </si>
  <si>
    <t>Electricity</t>
  </si>
  <si>
    <t>76.158(GH)</t>
  </si>
  <si>
    <t>Electricity(Guest House)</t>
  </si>
  <si>
    <t>Gardening and horticultural expenses</t>
  </si>
  <si>
    <t>Office Upkeep and Maintenance</t>
  </si>
  <si>
    <t>76.165(GH)</t>
  </si>
  <si>
    <t>Guest House Upkeep and Maintenance</t>
  </si>
  <si>
    <t>Official meeting expenses</t>
  </si>
  <si>
    <t>Conference expenses</t>
  </si>
  <si>
    <t xml:space="preserve">Revenue stamps </t>
  </si>
  <si>
    <t>Watch and Ward</t>
  </si>
  <si>
    <t>Data Processing Charges</t>
  </si>
  <si>
    <t>Spot Billing Expenses</t>
  </si>
  <si>
    <t>Energy Police Station Expenses</t>
  </si>
  <si>
    <t xml:space="preserve">Compensation Paid to Outsiders </t>
  </si>
  <si>
    <t>Collection Counter Expenses</t>
  </si>
  <si>
    <t>Franchise Expenses</t>
  </si>
  <si>
    <t>Transportation Charges</t>
  </si>
  <si>
    <t>Freigt on Capital Materials</t>
  </si>
  <si>
    <t>Testing Charges for Capital Equipments</t>
  </si>
  <si>
    <t>Vehicle running expenses-Heavy</t>
  </si>
  <si>
    <t>Transprotation charges paid to outsiders</t>
  </si>
  <si>
    <t>Loading and unloading charges</t>
  </si>
  <si>
    <t>Octroi on capital equipment</t>
  </si>
  <si>
    <t>Octroi- Others</t>
  </si>
  <si>
    <t>Advertisements ( tenders for purchase of Capital Assts )</t>
  </si>
  <si>
    <t>Other purchase related advertisement</t>
  </si>
  <si>
    <t>Fabrication &amp; Machining Expenses</t>
  </si>
  <si>
    <t>Other materials related expenses</t>
  </si>
  <si>
    <t>Admn. &amp; General Expenses charged to Capital works. (Credit)</t>
  </si>
  <si>
    <t>Material Price Variance</t>
  </si>
  <si>
    <t>Materials cost variance- Capital</t>
  </si>
  <si>
    <t>Provision for Shortage / Loss of materials pending investigation</t>
  </si>
  <si>
    <t>Bad Debts Wrtten Off- Dues from Consumers</t>
  </si>
  <si>
    <t>Shotage on Physical Verification of stocks</t>
  </si>
  <si>
    <t>Loss of Materials by Pilferage, etc</t>
  </si>
  <si>
    <t>xii</t>
  </si>
  <si>
    <t>Provision for Shortage / Loss of cash pending investigation</t>
  </si>
  <si>
    <t>Loss of Cash Written Off</t>
  </si>
  <si>
    <t>Compansation for damages</t>
  </si>
  <si>
    <t>Compensation for injuries, death and damages-staff</t>
  </si>
  <si>
    <t>Compansation for damages-Outsiders</t>
  </si>
  <si>
    <t>xiii</t>
  </si>
  <si>
    <t>Misc. Loss &amp; Writen off</t>
  </si>
  <si>
    <t>Small and low value item W/O</t>
  </si>
  <si>
    <t>Loss on obsolation of Fixed Assets</t>
  </si>
  <si>
    <t>Loss on obsolation of Stores in Stock</t>
  </si>
  <si>
    <t>Sundry Debit Balance Written off</t>
  </si>
  <si>
    <t>Loss on sale of Scrap</t>
  </si>
  <si>
    <t>Loss on sale of Stores</t>
  </si>
  <si>
    <t>Intangible Assets W/O (Reg.Asset &amp; Terminal Benefit)</t>
  </si>
  <si>
    <t>INTEREST &amp; FINANCE CHARGES</t>
  </si>
  <si>
    <t>Interest on Power Bond</t>
  </si>
  <si>
    <t>Interest on Power Bonds</t>
  </si>
  <si>
    <t>Interest on World Bank</t>
  </si>
  <si>
    <t>Interest  on World Bank Loan IBRD Portion</t>
  </si>
  <si>
    <t>Interest on Gridco</t>
  </si>
  <si>
    <t>Interest  on World Bank Loan Gridco Portion</t>
  </si>
  <si>
    <t>Interest on APDRP Loan</t>
  </si>
  <si>
    <t>Interest to APDRP Loan</t>
  </si>
  <si>
    <t>Interest on REC Loan ( APDRP Counter Part Funding )</t>
  </si>
  <si>
    <t>Interest on REC Loan</t>
  </si>
  <si>
    <t>Interest on REC Loan ( System Improvement )</t>
  </si>
  <si>
    <t>INTEREST ON OTHER LOAN</t>
  </si>
  <si>
    <t>Interest on Loan from State Bank of India</t>
  </si>
  <si>
    <t>Interest on short term bridge Loan from Union Bank</t>
  </si>
  <si>
    <t>Interest on  LC from Union Bank of India</t>
  </si>
  <si>
    <t>Interest on Loan from WESCO</t>
  </si>
  <si>
    <t>Interest on Loan from NESCO</t>
  </si>
  <si>
    <t>Interest Capitalised</t>
  </si>
  <si>
    <t>INTEREST ON SECURITY DEPOSIT FROM CONSUMERS</t>
  </si>
  <si>
    <t>Bank Charges</t>
  </si>
  <si>
    <t>Upfront Fee on REC Loan (System Improvement)</t>
  </si>
  <si>
    <t>Bank Charges for remmitance</t>
  </si>
  <si>
    <t>Bank Commission for collection from Consumers</t>
  </si>
  <si>
    <t>Bank charges on demand draft purchased</t>
  </si>
  <si>
    <t>Bank charges (incidentals) on bank accounts</t>
  </si>
  <si>
    <t>Other Bank charges</t>
  </si>
  <si>
    <t>Negotiation &amp; orher charges on LC</t>
  </si>
  <si>
    <t>2013-14</t>
  </si>
  <si>
    <t xml:space="preserve">Projected as on </t>
  </si>
  <si>
    <t>UBI (SOD)</t>
  </si>
  <si>
    <t xml:space="preserve">Power Purchase </t>
  </si>
  <si>
    <t>Liability payment</t>
  </si>
  <si>
    <t>DESI/IAP</t>
  </si>
  <si>
    <t>FY-14-15</t>
  </si>
  <si>
    <t>Govt. of Orissa-CAPEX (4%)</t>
  </si>
  <si>
    <t>Approved by OERC till FY 2012-13</t>
  </si>
  <si>
    <r>
      <t xml:space="preserve">Deficit of Contribution to Trust Liability as on </t>
    </r>
    <r>
      <rPr>
        <b/>
        <sz val="10"/>
        <color indexed="10"/>
        <rFont val="Arial"/>
        <family val="2"/>
      </rPr>
      <t>31.03.2013</t>
    </r>
  </si>
  <si>
    <t>Funds received from GRIDCO (Pension + Gratuity)</t>
  </si>
  <si>
    <t>ENERGY THEFT CONTROL CELL: SALARY &amp; WAGES</t>
  </si>
  <si>
    <t>State Level</t>
  </si>
  <si>
    <t>State Nodal Vig. Officer</t>
  </si>
  <si>
    <t>Asst. State Nodal Vig. Officer</t>
  </si>
  <si>
    <t>office Asst. @ 5200</t>
  </si>
  <si>
    <t>Home Guard @ 150 per day</t>
  </si>
  <si>
    <t>DISCOM LEVEL</t>
  </si>
  <si>
    <t>Zonal level vig.@30000p.m</t>
  </si>
  <si>
    <t>Asst. Zonal @ 20000</t>
  </si>
  <si>
    <t>LT Three phase AMR/AMI Compliant meter</t>
  </si>
  <si>
    <t>For the Year Ended 31st March-14</t>
  </si>
  <si>
    <t>Balance at the end of the year 31.03.2014</t>
  </si>
  <si>
    <t>Balance at the beginning of the year 01.04.2013</t>
  </si>
  <si>
    <t>Interest on GRIDCO NEW LOAN</t>
  </si>
  <si>
    <t>Interest on GRIDCO New Loan</t>
  </si>
  <si>
    <t>x) SBI- Working Capital loan</t>
  </si>
  <si>
    <t>Clerks</t>
  </si>
  <si>
    <t>(Up to 31.3.12)</t>
  </si>
  <si>
    <t>Total-31-3-12</t>
  </si>
  <si>
    <t>(from 1-4-12 to 30-9-12)</t>
  </si>
  <si>
    <t>Total-(1-4-12 to 30-9-12)</t>
  </si>
  <si>
    <t>(from 1-10-12 to 31-3-13)</t>
  </si>
  <si>
    <t>REC/PFC-CAPEX_ Counterpart</t>
  </si>
  <si>
    <t xml:space="preserve">UBI- SOD </t>
  </si>
  <si>
    <t>UBI-SOD</t>
  </si>
  <si>
    <t>Capex -2012-13</t>
  </si>
  <si>
    <t>UP TO FY- 2011-12</t>
  </si>
  <si>
    <t>U.C. Submitted up to 31.3.12</t>
  </si>
  <si>
    <t>April-12 to Sept-12</t>
  </si>
  <si>
    <t>Oct-12 to Mar-13</t>
  </si>
  <si>
    <t>Category of Consumers &amp; Sale Figures In MU</t>
  </si>
  <si>
    <t>FY 2013-14</t>
  </si>
  <si>
    <t>Rs. in Cr</t>
  </si>
  <si>
    <t>Financial impact               (Rs. in lacs)</t>
  </si>
  <si>
    <t>Grant from GoO (Infrastructure Development)</t>
  </si>
  <si>
    <t>AMR System Expenses</t>
  </si>
  <si>
    <t>Meter replacement, Shifting &amp; DT metering</t>
  </si>
  <si>
    <t>Vigilance &amp; Anti theft Activities</t>
  </si>
  <si>
    <t>Cost (Rs.)</t>
  </si>
  <si>
    <t>Telecommunication Service Provider Charges</t>
  </si>
  <si>
    <t>Operational Charges of IT Vendor</t>
  </si>
  <si>
    <t>Server Charge</t>
  </si>
  <si>
    <t>Energy Audit Cell O&amp;M Charges</t>
  </si>
  <si>
    <t>Truing up of  Revenue Gap of 2012-13</t>
  </si>
  <si>
    <t>ERP Operational Exp.</t>
  </si>
  <si>
    <t>ERP Software &amp; implementation</t>
  </si>
  <si>
    <t>Union Bank of India (SOD)</t>
  </si>
  <si>
    <t>REC/PFC CAPEX Counterpart</t>
  </si>
  <si>
    <t>GoO Capex Loan-4%</t>
  </si>
  <si>
    <t xml:space="preserve">Working Capital Loan </t>
  </si>
  <si>
    <t>Gridco New Loan</t>
  </si>
  <si>
    <t>DESCRIPTION</t>
  </si>
  <si>
    <t xml:space="preserve">OPEING BALANCE + CURRENT TRIAL </t>
  </si>
  <si>
    <t>ACCOUNT CODE</t>
  </si>
  <si>
    <t>Schedule-5-6</t>
  </si>
  <si>
    <t>Schedule-5-A</t>
  </si>
  <si>
    <t>Schedule-5-B/1</t>
  </si>
  <si>
    <t>Schedule-5-B/2</t>
  </si>
  <si>
    <t>Written Down Value of Obsolete / Scrapped Assets</t>
  </si>
  <si>
    <t>Lines , Cable Networks etc.</t>
  </si>
  <si>
    <t>Furniture &amp; Fixture</t>
  </si>
  <si>
    <t>Schedule-6-A-b</t>
  </si>
  <si>
    <t>Schedule-6-A-c/i</t>
  </si>
  <si>
    <t>Schedule-6-A-c/ii</t>
  </si>
  <si>
    <t>Schedule-6-A-c/iii</t>
  </si>
  <si>
    <t>Cash inflow - Tatkal</t>
  </si>
  <si>
    <t>Cash outflow - Tatkal</t>
  </si>
  <si>
    <t>Schedule-5-B/3</t>
  </si>
  <si>
    <t>Schedule-5-B</t>
  </si>
  <si>
    <t>Total Capital Work-In-Progress</t>
  </si>
  <si>
    <t>Advance Income Tax ( Fringe Benefit )</t>
  </si>
  <si>
    <t>Other Current Assets ( Schedule - 6 )</t>
  </si>
  <si>
    <t>Other Receivables</t>
  </si>
  <si>
    <t>Sundry Recivable</t>
  </si>
  <si>
    <t xml:space="preserve">Income accrued  Due &amp; Not Due on Fund Investment </t>
  </si>
  <si>
    <t>Income accrued &amp; Due  on Staff Loan</t>
  </si>
  <si>
    <t>Amount Recoverable from Employees/Ex-employees</t>
  </si>
  <si>
    <t>Subsidies / Grants Receivables</t>
  </si>
  <si>
    <t>Capital Subsidies / Grants Receivables</t>
  </si>
  <si>
    <t>O &amp; M Subsidies / Grants Receivables</t>
  </si>
  <si>
    <t>Other Cliam Receivables</t>
  </si>
  <si>
    <t>CESCO</t>
  </si>
  <si>
    <t xml:space="preserve">Gridco. Adjustment A/c </t>
  </si>
  <si>
    <t>CSO - BBSR</t>
  </si>
  <si>
    <t>Total Current Assets, Loans And And Advances</t>
  </si>
  <si>
    <t>PROFIT &amp; LOSS A/C ( OPENING BALANCE )</t>
  </si>
  <si>
    <t>Profit &amp; Loss A/c ( Opening )</t>
  </si>
  <si>
    <t>Gross Profit And Loss Account</t>
  </si>
  <si>
    <t xml:space="preserve"> INTER-UNIT- SOUTHCO</t>
  </si>
  <si>
    <t>M.D Office</t>
  </si>
  <si>
    <t>SE.EC Berhampur</t>
  </si>
  <si>
    <t>BED-I,Berhampur</t>
  </si>
  <si>
    <t>GNED,Berhampur</t>
  </si>
  <si>
    <t>BnED,Berhampur</t>
  </si>
  <si>
    <t>PED,Phulbani</t>
  </si>
  <si>
    <t>PkED,Parlakhemundi</t>
  </si>
  <si>
    <t>BoED,Boudh</t>
  </si>
  <si>
    <t>AED-I,Aska</t>
  </si>
  <si>
    <t>SEEC,Bhanjanagar</t>
  </si>
  <si>
    <t>GSED , Digapahandi</t>
  </si>
  <si>
    <t>SEEC,Rayagada</t>
  </si>
  <si>
    <t>GED , Gunupur</t>
  </si>
  <si>
    <t>BED-II,Berhampur</t>
  </si>
  <si>
    <t>SEEC, City Circle</t>
  </si>
  <si>
    <t>SEEC, Aska</t>
  </si>
  <si>
    <t>BED-III, Berhampur</t>
  </si>
  <si>
    <t>PSED, Pusottampur</t>
  </si>
  <si>
    <t>AED-II,Aska</t>
  </si>
  <si>
    <t>SEEC,Jeypore</t>
  </si>
  <si>
    <t>JED,Jeypore</t>
  </si>
  <si>
    <t>RED,Rayagada</t>
  </si>
  <si>
    <t>NED,Nabarangapur</t>
  </si>
  <si>
    <t>MED,Malkangiri</t>
  </si>
  <si>
    <t>KED, Koraput</t>
  </si>
  <si>
    <t>ESD, Berhampur</t>
  </si>
  <si>
    <t>DDO, Corporate Office</t>
  </si>
  <si>
    <t>Inter-unit A/c - Remittance to Southco.</t>
  </si>
  <si>
    <t>Inter-unit A/c - Remittance from Southco.</t>
  </si>
  <si>
    <t>Inter-unit A/c - Personnel</t>
  </si>
  <si>
    <t>Inter-unit A/c - Other non-cash items</t>
  </si>
  <si>
    <t>Total Inter Unit Account</t>
  </si>
  <si>
    <t>Schedule-7-A</t>
  </si>
  <si>
    <t>Liability for Supply CAPEX Materials</t>
  </si>
  <si>
    <t>Suppliers control Account-Capex</t>
  </si>
  <si>
    <t>Provision for Gratuity (Payable toTrust)</t>
  </si>
  <si>
    <t>Schedule-7-B</t>
  </si>
  <si>
    <t>Provision for  Pension (Payable toTrust)</t>
  </si>
  <si>
    <t>Application Fee Payble to Govt-RTI Act</t>
  </si>
  <si>
    <t>Application Fee Paid to Govt-RTI Act</t>
  </si>
  <si>
    <t>Interest Accrued on SOD,FD (LC) But Not Due</t>
  </si>
  <si>
    <t>Liability For Service Tax</t>
  </si>
  <si>
    <t>Deposit under DESI/IAP- Deposit</t>
  </si>
  <si>
    <t>Deposit under DESI/IAP- Expenditure</t>
  </si>
  <si>
    <t>Total Of Current Liabilities And Provisions</t>
  </si>
  <si>
    <t>INTEREST PAYBLE ON CONSUMERS' SECURITY DEPOSIT</t>
  </si>
  <si>
    <t>Gross Total Security Deposit From Consumers</t>
  </si>
  <si>
    <t>Schedule-3-B</t>
  </si>
  <si>
    <t>Total Of Loan From UBI.</t>
  </si>
  <si>
    <t>Secured Loan Fund</t>
  </si>
  <si>
    <t>Interest Accrued &amp; Due Power Bond</t>
  </si>
  <si>
    <t>Interest Accrued &amp; Due on Power Bond</t>
  </si>
  <si>
    <t>Interest Accrued &amp; Due on WB Loan</t>
  </si>
  <si>
    <t>Schedule-3-A-b</t>
  </si>
  <si>
    <t>Interest Accrued and Due on REC Loan</t>
  </si>
  <si>
    <t>Interest Accrued and Due on REC Loan (System Improvement)</t>
  </si>
  <si>
    <t>Schedule-3-A-e</t>
  </si>
  <si>
    <t>xiv</t>
  </si>
  <si>
    <t>Interest Accrued and Due on Bank Loan</t>
  </si>
  <si>
    <t>Schedule-3-A-f</t>
  </si>
  <si>
    <t>Interest Accrued and Due on Group Companies Loan</t>
  </si>
  <si>
    <t>INTEREST ACCRUED &amp; DUE ON LOANS FROM WESCO</t>
  </si>
  <si>
    <t>INTEREST ACCRUED &amp; DUE ON LOANS FROM NESCO</t>
  </si>
  <si>
    <t>Interest Accrued and Due on BIFL Loan</t>
  </si>
  <si>
    <t>Schedule-1</t>
  </si>
  <si>
    <t>Power Bonds</t>
  </si>
  <si>
    <t>Govt. Of Orissa - IBRD (a/c)</t>
  </si>
  <si>
    <t>Schedule-3-A-a</t>
  </si>
  <si>
    <t>Total Of Loan From GOO (IBRD A/c)</t>
  </si>
  <si>
    <t>Gridco Loans</t>
  </si>
  <si>
    <t>Loan from REC- ( Counter Part Funding )</t>
  </si>
  <si>
    <t>Schedule-3-A-d</t>
  </si>
  <si>
    <t>Total Of Loan From REC (APDRP Counterpart)</t>
  </si>
  <si>
    <t>APDRP LOAN</t>
  </si>
  <si>
    <t>Schedule-3-A-c</t>
  </si>
  <si>
    <t>Total Of Loan From GOO (APDRP)</t>
  </si>
  <si>
    <t>Loan from REC- ( System Improvement )</t>
  </si>
  <si>
    <t>Total Of Loan From REC (SI)</t>
  </si>
  <si>
    <t>Loan from Bank</t>
  </si>
  <si>
    <t>Total Of Loan From SBI, IA Branch, Bam.</t>
  </si>
  <si>
    <t>Soft Loan From BIFL</t>
  </si>
  <si>
    <t>Schedule-4</t>
  </si>
  <si>
    <t>Vehicle Loan from ICICI Bank</t>
  </si>
  <si>
    <t>Loan From Gridco-CAPEX</t>
  </si>
  <si>
    <t>Total Of Loan From GRIDCO</t>
  </si>
  <si>
    <t>Schedule-3</t>
  </si>
  <si>
    <t>Reserve &amp; Surplus</t>
  </si>
  <si>
    <t>Capital Resuve</t>
  </si>
  <si>
    <t>Schedule-2-A-1</t>
  </si>
  <si>
    <t>Total Of Service Line Contribution</t>
  </si>
  <si>
    <t>Schedule-2-A-2</t>
  </si>
  <si>
    <t>Total Of Capital Subsidy/ Grants</t>
  </si>
  <si>
    <t>Schedule-2-B</t>
  </si>
  <si>
    <t>Total Of Contigency Reserve</t>
  </si>
  <si>
    <t>Schedule-2-A-3</t>
  </si>
  <si>
    <t>Total Of Staff Welfare Fund</t>
  </si>
  <si>
    <t>Schedule-2</t>
  </si>
  <si>
    <t>Recovery for Malpractices</t>
  </si>
  <si>
    <t>Total Revenue From Sale Of Power</t>
  </si>
  <si>
    <t>Rebate received for timely Payment of Transmission Bill</t>
  </si>
  <si>
    <t>Rebate received for timely Payment of SLDC Bill</t>
  </si>
  <si>
    <t>Total Other Income</t>
  </si>
  <si>
    <t>PRIOR PERIOD EXPENSES / INCOME</t>
  </si>
  <si>
    <t>Sale of Power</t>
  </si>
  <si>
    <t>Receipts from Consumers- prior periods ( Revision of consumer bills )</t>
  </si>
  <si>
    <t>Receipts from Consumers- prior periods ( Pennal / Other Billing of consumer for previous year )</t>
  </si>
  <si>
    <t>Interest Income for Prior Periods</t>
  </si>
  <si>
    <t>Other Excess Provisions in prior period</t>
  </si>
  <si>
    <t>Excess provision for Income- Tax in Prior Period</t>
  </si>
  <si>
    <t>Other Excess provision in prior periods</t>
  </si>
  <si>
    <t>Other Income Relating to prior periods</t>
  </si>
  <si>
    <t>Total Prior Period Income</t>
  </si>
  <si>
    <t>Cost of Electrical Energy Purchased</t>
  </si>
  <si>
    <t>Cost of Energy Charge (Elec. Charges)</t>
  </si>
  <si>
    <t>Purchase of Powers</t>
  </si>
  <si>
    <t>Purchase of Powers- Transmission Charges</t>
  </si>
  <si>
    <t>Purchase of Powers- SLDC Charges</t>
  </si>
  <si>
    <t>Cost of Energy Charge (DPS)</t>
  </si>
  <si>
    <t>DPS on Power Purchase</t>
  </si>
  <si>
    <t>Total Power Purchased</t>
  </si>
  <si>
    <t>Total Repairs And Maintanance</t>
  </si>
  <si>
    <t>Honorarium against lodged FIR</t>
  </si>
  <si>
    <t>Total Employee Cost</t>
  </si>
  <si>
    <t>Technical documentation Charges</t>
  </si>
  <si>
    <t>Direcrors Sitting Fees</t>
  </si>
  <si>
    <t>Directors Sitting Fees</t>
  </si>
  <si>
    <t>Total Administration And General Expenses</t>
  </si>
  <si>
    <t>Depreciation on Building</t>
  </si>
  <si>
    <t>Depreciation on Plant &amp; Machinery</t>
  </si>
  <si>
    <t>Depreciation on Vehicle</t>
  </si>
  <si>
    <t>Depreciation on Furniture &amp; Fixtures</t>
  </si>
  <si>
    <t>Depreciation on Office Equipment</t>
  </si>
  <si>
    <t>Total Depriciation And Other Assets Related Costs And Losses</t>
  </si>
  <si>
    <t>Interest  on Gridco Loan</t>
  </si>
  <si>
    <t>Interest on SOD,FD (LC)</t>
  </si>
  <si>
    <t>Discount to Consumers</t>
  </si>
  <si>
    <t>Discount to consumer- Domestic</t>
  </si>
  <si>
    <t>Discount to consumer-Commercial</t>
  </si>
  <si>
    <t>Discount to consumer- Small Industry</t>
  </si>
  <si>
    <t>Discount to consumer- Medium Industry</t>
  </si>
  <si>
    <t>Discount to consumer- Large Industry</t>
  </si>
  <si>
    <t>Discount to Consumers for timely payment (Public Lighting)</t>
  </si>
  <si>
    <t>Discount to consumer- Traction</t>
  </si>
  <si>
    <t>Discount to consumer- Irrigation</t>
  </si>
  <si>
    <t>Discount to consumer- P W. W.</t>
  </si>
  <si>
    <t>Discount to Consumers- Bulk Supply</t>
  </si>
  <si>
    <t>Discount to Consumers- PI</t>
  </si>
  <si>
    <t>Discount to Consumers- Allied Agricultural</t>
  </si>
  <si>
    <t>Discount to Consumers- Allied Agro-Industrial</t>
  </si>
  <si>
    <t>Total Interest And Other Finance Charges</t>
  </si>
  <si>
    <t>Total Debits To Revenue Account</t>
  </si>
  <si>
    <t>Provision for Taxation Fringe Benefit Tax</t>
  </si>
  <si>
    <t>Total Provision For Income-Tax For The Year</t>
  </si>
  <si>
    <t>Operating Expenses of Prvious Years</t>
  </si>
  <si>
    <t>Employee costs relating to previous years</t>
  </si>
  <si>
    <t>Interest &amp; Other Finance Charges lelating to previous year</t>
  </si>
  <si>
    <t>Interest on W.B.Loan for Prior Period</t>
  </si>
  <si>
    <t>Administrative expenses- Previous years</t>
  </si>
  <si>
    <t>Expenses of Prvious Years</t>
  </si>
  <si>
    <t>Materials related expenses- Previous years</t>
  </si>
  <si>
    <t xml:space="preserve">                                                                               [Refer Note- B-2 (c )]</t>
  </si>
  <si>
    <t xml:space="preserve">       Consumers' Security Deposits</t>
  </si>
  <si>
    <t xml:space="preserve">       Less: Accumulated Depreciation</t>
  </si>
  <si>
    <t>Sehedule-1 to 19 from an integral part of the accounting statements</t>
  </si>
  <si>
    <t xml:space="preserve">           Add  : Transfer from Profit and Loss Account</t>
  </si>
  <si>
    <t>(e)  Loan from Rural Electrification Corporation (APDRP Counterpart )</t>
  </si>
  <si>
    <t>(f)  Loan from Rural Electrification Corporation (System Improvement )</t>
  </si>
  <si>
    <t>(g)  Loan from State Bank Of India</t>
  </si>
  <si>
    <t>Add: Received during the year</t>
  </si>
  <si>
    <r>
      <t xml:space="preserve">Amount ( </t>
    </r>
    <r>
      <rPr>
        <b/>
        <sz val="11"/>
        <rFont val="Rupee Foradian"/>
        <family val="2"/>
      </rPr>
      <t xml:space="preserve">` </t>
    </r>
    <r>
      <rPr>
        <b/>
        <sz val="11"/>
        <rFont val="Times New Roman"/>
        <family val="1"/>
      </rPr>
      <t>)</t>
    </r>
  </si>
  <si>
    <t>Sales/   Adjustments during the year</t>
  </si>
  <si>
    <t xml:space="preserve"> (As certified and valued by the Management )</t>
  </si>
  <si>
    <r>
      <t xml:space="preserve">    Cash on Hand (</t>
    </r>
    <r>
      <rPr>
        <sz val="11"/>
        <rFont val="Times New Roman"/>
        <family val="1"/>
      </rPr>
      <t>as certified by the Management</t>
    </r>
    <r>
      <rPr>
        <sz val="14"/>
        <rFont val="Times New Roman"/>
        <family val="1"/>
      </rPr>
      <t xml:space="preserve"> )</t>
    </r>
  </si>
  <si>
    <t>Balance with Scheduled Banks  :</t>
  </si>
  <si>
    <t xml:space="preserve">    In Current Accounts</t>
  </si>
  <si>
    <t>Loans and Advances to employees (Secured)</t>
  </si>
  <si>
    <t>Receivable from GRIDCO :</t>
  </si>
  <si>
    <t xml:space="preserve"> On Account of Pension and Gratuity</t>
  </si>
  <si>
    <t xml:space="preserve"> On Account of Leave encashment</t>
  </si>
  <si>
    <t xml:space="preserve">Less:  Payable Towards provision for Leave Encashment </t>
  </si>
  <si>
    <t>Balance Amount</t>
  </si>
  <si>
    <t>On account of Other Dues</t>
  </si>
  <si>
    <t xml:space="preserve">       For Goods and Services :</t>
  </si>
  <si>
    <t xml:space="preserve"> Provision for Provident Fund, Pension, Gratuity and</t>
  </si>
  <si>
    <t xml:space="preserve"> Provision for Leave Encashments</t>
  </si>
  <si>
    <t xml:space="preserve">                           GENERAL AND OTHER EXPENSES</t>
  </si>
  <si>
    <t xml:space="preserve">Differential Provision of Employees Terminal Benefits  </t>
  </si>
  <si>
    <t>Interest and  Finance Charges on :</t>
  </si>
  <si>
    <t>2014-15</t>
  </si>
  <si>
    <t>For Plant &amp; Machinery</t>
  </si>
  <si>
    <t>For Building</t>
  </si>
  <si>
    <t xml:space="preserve">      Interest accrued and due</t>
  </si>
  <si>
    <t>Charity and donations</t>
  </si>
  <si>
    <t>Office upkeep and maintenance</t>
  </si>
  <si>
    <t>For the Year Ended 31st March-15</t>
  </si>
  <si>
    <t>EXPECTED PAYMENT  OF PEN. &amp; GRATUITY</t>
  </si>
  <si>
    <t>O B</t>
  </si>
  <si>
    <t>C B</t>
  </si>
  <si>
    <t>Un-utilised Leave Salary-E</t>
  </si>
  <si>
    <t>Un-utilised Leave Salary-NE</t>
  </si>
  <si>
    <t>SCHEDULE  4 - CONSUMERS' SECURITY DEPOSITS</t>
  </si>
  <si>
    <t>SCHEDULE  7 - CAPITAL WORK IN PROGRESS</t>
  </si>
  <si>
    <t>SCHEDULE  8 - SUNDRY DEBTORS</t>
  </si>
  <si>
    <t>SCHEDULE  9 - INVENTORIES</t>
  </si>
  <si>
    <t>SCHEDULE  10 - CASH AND BANK BALANCES</t>
  </si>
  <si>
    <t>SCHEDULE   12- CURRENT LIABILITIES AND PROVISIONS</t>
  </si>
  <si>
    <t>SCHEDULE   13- REVENUE FROM SALE OF POWER</t>
  </si>
  <si>
    <t>SCHEDULE   14- OTHER REVENUES</t>
  </si>
  <si>
    <t>SCHEDULE   15- PURCHASE OF POWER</t>
  </si>
  <si>
    <t>SCHEDULE   16- OPERATION , MAINTENANCE, ADMINISTRATION</t>
  </si>
  <si>
    <t>SCHEDULE   17- INTEREST AND FINANCE CHARGES</t>
  </si>
  <si>
    <t xml:space="preserve">SCHEDULE   18- STATUTORY RESERVES AND </t>
  </si>
  <si>
    <t>No of Employee</t>
  </si>
  <si>
    <t>Basic</t>
  </si>
  <si>
    <t>Average Basic pay &amp; GP of Executive</t>
  </si>
  <si>
    <t>Average Basci pay &amp; GP of Non-Executive</t>
  </si>
  <si>
    <t>Saving in basic salary due to Retirement</t>
  </si>
  <si>
    <t>Non-executive</t>
  </si>
  <si>
    <t>Less:-</t>
  </si>
  <si>
    <t>Pension to be disbursed</t>
  </si>
  <si>
    <t>Average pension of Executive</t>
  </si>
  <si>
    <t>Average pension of Non-Executive</t>
  </si>
  <si>
    <t>(A-B)</t>
  </si>
  <si>
    <t>Additional Expenses due to New Employment/Regularisation</t>
  </si>
  <si>
    <t>Additional Expenses for the above</t>
  </si>
  <si>
    <t>Sub-total</t>
  </si>
  <si>
    <t>Additional Expenses due to New Employment</t>
  </si>
  <si>
    <t>A.S</t>
  </si>
  <si>
    <t>Highly Skilled</t>
  </si>
  <si>
    <t>Technical/ commercial Asst.</t>
  </si>
  <si>
    <t>Cash Deficit</t>
  </si>
  <si>
    <t>Govt. of Orissa-CAPEX (0%)</t>
  </si>
  <si>
    <t>(Rs. In Crore)</t>
  </si>
  <si>
    <t>Govt. of Orissa-CAPEX(4 %)</t>
  </si>
  <si>
    <t>Govt. of Orissa-CAPEX(0 %)</t>
  </si>
  <si>
    <t>GOVT OF ORISSA.                   ( A/c- IBRD)</t>
  </si>
  <si>
    <t>GoO-CAPEX (0 %)</t>
  </si>
  <si>
    <t>Capex Fund for FY 2013-14 &amp; 2014-15</t>
  </si>
  <si>
    <t>Creation of Capital Assets</t>
  </si>
  <si>
    <t>CHECK</t>
  </si>
  <si>
    <t>Nos. of Consumers Per month</t>
  </si>
  <si>
    <t>(2338 nos of AMRs already installed and another4967 nos of AMRs are be installed by Mar 2014)</t>
  </si>
  <si>
    <t>AMR cost &amp; Installation cost @                   Rs. 5200 for 4697 cons.</t>
  </si>
  <si>
    <t>Cable Cost @ Rs.55 per consumer for 75000 cons.</t>
  </si>
  <si>
    <t>Meter shifting and replacement of 125000 nos of meters</t>
  </si>
  <si>
    <t>Fuel Price</t>
  </si>
  <si>
    <t>Fuel &amp; Hire charge -Annum</t>
  </si>
  <si>
    <t>Spot Billing Charges- A&amp; G Expenses</t>
  </si>
  <si>
    <t>Charged to Emplloyee Cost</t>
  </si>
  <si>
    <t>Capital Expenditure</t>
  </si>
  <si>
    <t>Customer Care Centre</t>
  </si>
  <si>
    <t>Energy Audit Expenses</t>
  </si>
  <si>
    <t>FY 2014-15</t>
  </si>
  <si>
    <t>Discharge of Power Purchase Liabilities</t>
  </si>
  <si>
    <t>Repayment of Gridco New Loan &amp; BSP dues (Securitisation)</t>
  </si>
  <si>
    <t>Loan from GoO (CAPEX-Int 0%)</t>
  </si>
  <si>
    <t>Loan from REC (CAPEX Counterpart)</t>
  </si>
  <si>
    <t>Loan from GoO (CAPEX- Int 4%)</t>
  </si>
  <si>
    <t>Captial Cost</t>
  </si>
  <si>
    <t>Capital Cost</t>
  </si>
  <si>
    <t>DTR Meter, Modem, software etc</t>
  </si>
  <si>
    <t>MW</t>
  </si>
  <si>
    <t>Kutir Jyoti</t>
  </si>
  <si>
    <t>SECURITY DEPOSIT RECD DURING THE FY</t>
  </si>
  <si>
    <t>S.D. AS ON 31ST MARCH</t>
  </si>
  <si>
    <t>Interest on SOD(BD)</t>
  </si>
  <si>
    <t>RLTAP</t>
  </si>
  <si>
    <t>Not required as already shown in loan statement</t>
  </si>
  <si>
    <t>GRIDCO New Loan</t>
  </si>
  <si>
    <t>Interest on SD</t>
  </si>
  <si>
    <t xml:space="preserve"> Sep-13</t>
  </si>
  <si>
    <t>DOM</t>
  </si>
  <si>
    <t>KTJ</t>
  </si>
  <si>
    <t>GP (LT)</t>
  </si>
  <si>
    <t>SPP</t>
  </si>
  <si>
    <t>As per Business Plan</t>
  </si>
  <si>
    <t>General Purpose &gt; 70 KVA&lt;110KVA</t>
  </si>
  <si>
    <t>Balance at the beginning of the year 01.04.2014</t>
  </si>
  <si>
    <t>Balance at the end of the year 31.03.2015</t>
  </si>
  <si>
    <t>RGGVY,BSVY &amp; BGJ (RE) fund</t>
  </si>
  <si>
    <t>Truing up for FY 2013-14</t>
  </si>
  <si>
    <t>Regulatory Assets till FY 2011-12</t>
  </si>
  <si>
    <t xml:space="preserve">Amortisation of Regulatory Assets </t>
  </si>
  <si>
    <t>Less: Amount Disallowed as per ATE Order dt. 03.07.13</t>
  </si>
  <si>
    <t>(a) On completion</t>
  </si>
  <si>
    <t>(b) On W.I.P.</t>
  </si>
  <si>
    <t>Total (A+B-C)</t>
  </si>
  <si>
    <t>1. The figures for current financial year should be based upon actuals for 1 Year</t>
  </si>
  <si>
    <t>OERC FORM F-2</t>
  </si>
  <si>
    <t>Network Assets(*)</t>
  </si>
  <si>
    <t>SCHEME</t>
  </si>
  <si>
    <t>Overheads capitalised</t>
  </si>
  <si>
    <t>DEPOSIT WORKS AND OTHERS</t>
  </si>
  <si>
    <t>DESI/IAP (GoO)</t>
  </si>
  <si>
    <t>Note: Capital Expenditure for the current year shall be actuals for the first six months of the current FY and estimates for the balance FY</t>
  </si>
  <si>
    <t>OERC FORM F. 3</t>
  </si>
  <si>
    <t xml:space="preserve"> SALE AND POWER PROCUREMENT </t>
  </si>
  <si>
    <t>OERC FORM No. F.4</t>
  </si>
  <si>
    <t>TOTAL SALE:</t>
  </si>
  <si>
    <t>ENERGY REQUIREMENT</t>
  </si>
  <si>
    <t>OTHERS,If Any ( Give Details)</t>
  </si>
  <si>
    <t>Rate of Power Purchase from GRIDCO (P/u)</t>
  </si>
  <si>
    <t>Rate of Power Purchase from Other Sources (P/u)</t>
  </si>
  <si>
    <t>Less: Loss in the system in MU</t>
  </si>
  <si>
    <t>Existing rate of Power Purchase including transmission charges (paisa)</t>
  </si>
  <si>
    <t>D=(A-C)</t>
  </si>
  <si>
    <t>H=(F*C)</t>
  </si>
  <si>
    <t>I=(G+H)</t>
  </si>
  <si>
    <t>J=(I/D)</t>
  </si>
  <si>
    <t>K=(J+F)</t>
  </si>
  <si>
    <t>M=(K+L)</t>
  </si>
  <si>
    <t xml:space="preserve">CALCULATION OF COST OF POWER AT DIFFERENT VOLTAGE ENDS </t>
  </si>
  <si>
    <t>OERC Form No. F. 5</t>
  </si>
  <si>
    <t>M=(E * M)</t>
  </si>
  <si>
    <t>M=(E * K)</t>
  </si>
  <si>
    <t>Power Purchase Cost (A)</t>
  </si>
  <si>
    <t>Transmission Charges</t>
  </si>
  <si>
    <t>SLDC Charges</t>
  </si>
  <si>
    <t>Interest on Security Deposits</t>
  </si>
  <si>
    <t>Less expenses capitalized (Employee Costs, A&amp;G, R&amp;M)</t>
  </si>
  <si>
    <t>Interest and financial charges</t>
  </si>
  <si>
    <t>Less: Interest capitalized</t>
  </si>
  <si>
    <t>Distribution Costs (B)</t>
  </si>
  <si>
    <t>Total Distribution Cost</t>
  </si>
  <si>
    <t>Special Appropriation (C )</t>
  </si>
  <si>
    <t>True  Up of Past losses</t>
  </si>
  <si>
    <t>Others, if any</t>
  </si>
  <si>
    <t>Total Special Appropriation</t>
  </si>
  <si>
    <t>TOTAL  COST ( A+ B+ C)</t>
  </si>
  <si>
    <t>Less: Miscellaneous receipts</t>
  </si>
  <si>
    <t>Revenue from Tariffs (at Existing Rate)</t>
  </si>
  <si>
    <t>OERC Form No. F.7</t>
  </si>
  <si>
    <t xml:space="preserve">Proposed Charges, other than and in addition to the charges of tariff leviable for the purpose </t>
  </si>
  <si>
    <t>(In Rs.)</t>
  </si>
  <si>
    <t>OERC Form No. F. 8</t>
  </si>
  <si>
    <t>Statement of Sundry Debtors and Provision for Bad &amp; Doubtful Debt</t>
  </si>
  <si>
    <t>Receivable from consumers as at the beginning of the year</t>
  </si>
  <si>
    <t xml:space="preserve">           Against arrears upto previous year</t>
  </si>
  <si>
    <t>Gross receivable from consumers as at the end of the year(1+2-3)</t>
  </si>
  <si>
    <t>No. of days of arrear to sales revenue</t>
  </si>
  <si>
    <t xml:space="preserve">Arrear against permanently disconnected and ghost consumers </t>
  </si>
  <si>
    <t>Arrear locked up in court cases</t>
  </si>
  <si>
    <t>Provision  for Bad and doubutful Debts</t>
  </si>
  <si>
    <t>Bad Debts written off (details to be furnished)</t>
  </si>
  <si>
    <t>INFORMATION ON INVENTORY</t>
  </si>
  <si>
    <t>OERC Form No. F.10</t>
  </si>
  <si>
    <t>OERC Form No. F.11</t>
  </si>
  <si>
    <t>Over Time</t>
  </si>
  <si>
    <t>Grade Pay</t>
  </si>
  <si>
    <t>Sub Total (1 to 7)</t>
  </si>
  <si>
    <t>Additional Employee Cost</t>
  </si>
  <si>
    <t>Outsource Obligation</t>
  </si>
  <si>
    <t>Others, If any</t>
  </si>
  <si>
    <t>Total Addl. Emp. Cost (9 to 11)</t>
  </si>
  <si>
    <t>Encashment of Earned Leave (UL)</t>
  </si>
  <si>
    <t>Total Other Staff Cost  (13 to 20)</t>
  </si>
  <si>
    <t>Total (8+12+21+22+23)</t>
  </si>
  <si>
    <t>Less: Employee Cost Capitalised</t>
  </si>
  <si>
    <t>No. of Employees added during the year</t>
  </si>
  <si>
    <t xml:space="preserve">Employee Retd/ Expired/ resigned during the year </t>
  </si>
  <si>
    <t>Avergage no. of Employees for the year</t>
  </si>
  <si>
    <t>Net Employee Cost (24-25)</t>
  </si>
  <si>
    <r>
      <t>Clerk-</t>
    </r>
    <r>
      <rPr>
        <b/>
        <sz val="12"/>
        <rFont val="Times New Roman"/>
        <family val="1"/>
      </rPr>
      <t>B</t>
    </r>
  </si>
  <si>
    <t>Repair and Maintenance</t>
  </si>
  <si>
    <t>Actual for first six months of current year</t>
  </si>
  <si>
    <t>OERC Form No. F. 14</t>
  </si>
  <si>
    <t>Lease Rent</t>
  </si>
  <si>
    <t xml:space="preserve">CONVEYANCE &amp; TRAVELLING </t>
  </si>
  <si>
    <t>OERC Form No. F. 15</t>
  </si>
  <si>
    <t>OERC Form No. F. 17</t>
  </si>
  <si>
    <t>Penal Interest</t>
  </si>
  <si>
    <t>Exchange fluctution</t>
  </si>
  <si>
    <t>OERC Form. No. 16</t>
  </si>
  <si>
    <t>OERC Form No. F. 18</t>
  </si>
  <si>
    <t>Date of Acquisition/Installation</t>
  </si>
  <si>
    <t>Historical Cost/Cost of Acquisition</t>
  </si>
  <si>
    <t xml:space="preserve">Date of withdrawal operations </t>
  </si>
  <si>
    <t>Accumulated Depreciation on date of withdrawal</t>
  </si>
  <si>
    <t>Written down value on date of withdrawal</t>
  </si>
  <si>
    <t xml:space="preserve">                                                                   Current Year</t>
  </si>
  <si>
    <t xml:space="preserve">                                                                   Ensuing Year</t>
  </si>
  <si>
    <t>Capital Subsidy (Specify Details)</t>
  </si>
  <si>
    <t>Revenue subsidy as per section 65 of the Electricity Act.2003 (Specify Details)</t>
  </si>
  <si>
    <t>OERC Form No. F. 20</t>
  </si>
  <si>
    <t>Grants, If any</t>
  </si>
  <si>
    <t>Subsidies and Grants</t>
  </si>
  <si>
    <t>OERC Form No. F.21</t>
  </si>
  <si>
    <t>Loans and Advances and other current assets</t>
  </si>
  <si>
    <t>OERC Form No. F. 22</t>
  </si>
  <si>
    <t>Revenue from Sale of Power (Net of Rebate)</t>
  </si>
  <si>
    <t>Interest &amp; Finance Charges including carrying cost</t>
  </si>
  <si>
    <t>Amount available for distribution &amp; transfer to general reserve</t>
  </si>
  <si>
    <t>Proposed Dividend</t>
  </si>
  <si>
    <t>Corporate Tax on Dividend</t>
  </si>
  <si>
    <t>Transfer to General Reserve</t>
  </si>
  <si>
    <t xml:space="preserve"> CASH FLOW</t>
  </si>
  <si>
    <t>OERC Form No. F.23</t>
  </si>
  <si>
    <t>SOURCE</t>
  </si>
  <si>
    <t xml:space="preserve"> OERC Form No. F. 24</t>
  </si>
  <si>
    <t>Available as on Previous year</t>
  </si>
  <si>
    <t>Interest accrued on deposits</t>
  </si>
  <si>
    <t>Estimated addition during Current year</t>
  </si>
  <si>
    <t>Payments out of the Fund during  Current year</t>
  </si>
  <si>
    <t>Available as on the end of current year</t>
  </si>
  <si>
    <t>Expected additions during the Ensuing year</t>
  </si>
  <si>
    <t>Availability at the End of Ensuing Year</t>
  </si>
  <si>
    <t>Availability</t>
  </si>
  <si>
    <t>Security Deposits</t>
  </si>
  <si>
    <t>Pension Trust</t>
  </si>
  <si>
    <t>Gratuity Trust</t>
  </si>
  <si>
    <t>Bank</t>
  </si>
  <si>
    <t>FD</t>
  </si>
  <si>
    <t>Govt Bonds</t>
  </si>
  <si>
    <t>Other Deposits</t>
  </si>
  <si>
    <t xml:space="preserve"> OERC Form No. F. 25</t>
  </si>
  <si>
    <t>Cash Inflows</t>
  </si>
  <si>
    <t>Total Inflow</t>
  </si>
  <si>
    <t>Cash Outflows</t>
  </si>
  <si>
    <t>BSP</t>
  </si>
  <si>
    <t>Transmission charges</t>
  </si>
  <si>
    <t>SLDC charges</t>
  </si>
  <si>
    <t>Grade pay</t>
  </si>
  <si>
    <t>DA</t>
  </si>
  <si>
    <t>HRA</t>
  </si>
  <si>
    <t>MA</t>
  </si>
  <si>
    <t>Arrear</t>
  </si>
  <si>
    <t>Interest on Loan</t>
  </si>
  <si>
    <t xml:space="preserve"> OERC Form No. F. 26</t>
  </si>
  <si>
    <t>Sl.No.</t>
  </si>
  <si>
    <t xml:space="preserve">A. </t>
  </si>
  <si>
    <t>Revenue deposited in Escrow Account (current and arrear to be segregated)</t>
  </si>
  <si>
    <t>Adjustment made and relaxation as per the orders of the Commission</t>
  </si>
  <si>
    <t>(i) Current transmission &amp; SLDC</t>
  </si>
  <si>
    <t>(ii) Current BSP</t>
  </si>
  <si>
    <t>(iii) License fees to OERC</t>
  </si>
  <si>
    <t>(iv) Direct power purchase from CGPs &amp; other agencies</t>
  </si>
  <si>
    <t>(v) Escrow relaxed for monthly R &amp; M expenditure</t>
  </si>
  <si>
    <t>(vi) Escrow relaxed for monthly employees cost</t>
  </si>
  <si>
    <t>(vii) Monthly repayment of principal and interest in respect of loan  obtain for counterpart funding of capex</t>
  </si>
  <si>
    <t>(viii) Monthly special R &amp; M</t>
  </si>
  <si>
    <t>(ix) Average monthly obligation of defaulted arrear BSP at the end of previous year.</t>
  </si>
  <si>
    <t>OERC F - 27</t>
  </si>
  <si>
    <t>Calculation of Monthly Voltage wise Loss (DISCOM)</t>
  </si>
  <si>
    <t xml:space="preserve">Description of Item </t>
  </si>
  <si>
    <t>Unit</t>
  </si>
  <si>
    <t>Reference Formula</t>
  </si>
  <si>
    <t xml:space="preserve">April 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</si>
  <si>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</si>
  <si>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</si>
  <si>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</si>
  <si>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</si>
  <si>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</si>
  <si>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</si>
  <si>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</si>
  <si>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</si>
  <si>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</si>
  <si>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</si>
  <si>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</si>
  <si>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Input to HT at 33Kv from EHT level</t>
  </si>
  <si>
    <t>Input to HT at 33Kv  from Generating companies inside the state.</t>
  </si>
  <si>
    <t>Sales at HT - 33Kv</t>
  </si>
  <si>
    <t>Input to HT at 11Kv from 33Kv level</t>
  </si>
  <si>
    <t>Loss at HT - 33Kv</t>
  </si>
  <si>
    <t>1+2-3-4</t>
  </si>
  <si>
    <t>Loss at HT - 33Kv (%)</t>
  </si>
  <si>
    <t>(5/(1+2)) *100</t>
  </si>
  <si>
    <t>Input to HT at 11 Kv  from Generating companies inside the state.</t>
  </si>
  <si>
    <t>Sales at HT - 11Kv</t>
  </si>
  <si>
    <t>8(a) + 8(b)</t>
  </si>
  <si>
    <t xml:space="preserve">        Metered Sales</t>
  </si>
  <si>
    <t xml:space="preserve">        Assessed Sales</t>
  </si>
  <si>
    <t>Input to LT from 11 Kv level</t>
  </si>
  <si>
    <t>4-5+7-8</t>
  </si>
  <si>
    <t>Loss at HT - 11Kv</t>
  </si>
  <si>
    <t>4+7 -8-9</t>
  </si>
  <si>
    <t>Loss at HT - 11Kv (%)</t>
  </si>
  <si>
    <t>(10/(4+7)) *100</t>
  </si>
  <si>
    <t>Input to LT  from Generating companies inside the state.</t>
  </si>
  <si>
    <t>Sales at LT</t>
  </si>
  <si>
    <t>13(a) + 13 (b)</t>
  </si>
  <si>
    <t>Loss at LT</t>
  </si>
  <si>
    <t>9+12-13</t>
  </si>
  <si>
    <t>Loss at LT (%)</t>
  </si>
  <si>
    <t>(14/(9+12)) *100</t>
  </si>
  <si>
    <t xml:space="preserve">                                                   OERC Form No. F.6</t>
  </si>
  <si>
    <t>OPTCL</t>
  </si>
  <si>
    <t>SLDC</t>
  </si>
  <si>
    <t>Rebate on BST Bill</t>
  </si>
  <si>
    <t>Miscellaneous Receipt</t>
  </si>
  <si>
    <t>Opening Fixed Deposits</t>
  </si>
  <si>
    <t>Flood Relief Assistance</t>
  </si>
  <si>
    <t>Loan for Pension Payment</t>
  </si>
  <si>
    <t>Advance received from consumer</t>
  </si>
  <si>
    <t>Revenue Collection</t>
  </si>
  <si>
    <t>14.23.4013</t>
  </si>
  <si>
    <t>Pucca Roads - Contractor Payment</t>
  </si>
  <si>
    <t>14.79.5562</t>
  </si>
  <si>
    <t>Material Handling Equipments- Others (Cyclone-F)- Material Cost</t>
  </si>
  <si>
    <t>14.79.8902</t>
  </si>
  <si>
    <t>Electrical Wiring, Light,Fan ,Genset Installation etc. in Other Locations- Material Cost</t>
  </si>
  <si>
    <t>14.CRW.5412</t>
  </si>
  <si>
    <t>14.CAPEX.5413</t>
  </si>
  <si>
    <t>Transformers 100KVA&amp; Above Contract Pmt</t>
  </si>
  <si>
    <t>14.CAPEX.6023</t>
  </si>
  <si>
    <t>14.CRW.5424</t>
  </si>
  <si>
    <t>Boundry wall for Sub Station- Cyclone</t>
  </si>
  <si>
    <t>14.CRW.6126</t>
  </si>
  <si>
    <t>AB Cable for River Crossing- Cyclone</t>
  </si>
  <si>
    <t>Cash in Hand as per Cyclone Fund</t>
  </si>
  <si>
    <t>Cash in Hand as per General Cash (Constr. Division)</t>
  </si>
  <si>
    <t>Temporary Advance with Disbursing Officer (Constr. Division)</t>
  </si>
  <si>
    <t>Temporary Advance with Officers for Cyclone</t>
  </si>
  <si>
    <t>Disbursement Bank Account – Union Bank of India (Constr. Division)</t>
  </si>
  <si>
    <t>Cash at bank- Cyclone Fund</t>
  </si>
  <si>
    <t>Advance to Suppliers (Cyclone-O &amp; M)</t>
  </si>
  <si>
    <t>Advance to Labour Contractors (Cyclone-O &amp; M)</t>
  </si>
  <si>
    <t>Advance to Others (Cyclone-O &amp; M)</t>
  </si>
  <si>
    <t>M.D Office SBI</t>
  </si>
  <si>
    <t>Field Unit SBI</t>
  </si>
  <si>
    <t>Liability for Supply of Material (Cyclone-O &amp; M)</t>
  </si>
  <si>
    <t>Liability for Labour Charges (Cyclone-O &amp; M)</t>
  </si>
  <si>
    <t>Liability for Others (Cyclone-O &amp; M)</t>
  </si>
  <si>
    <t>Deposit Under School/anganbadi-Deposit</t>
  </si>
  <si>
    <t>Deposit Under School/anganbadi-Expenditure</t>
  </si>
  <si>
    <t>Deposit Under Elephant Corridor-Deposit</t>
  </si>
  <si>
    <t>Deposit Under Elephant Corridor-Expenditure</t>
  </si>
  <si>
    <t>Deposit Under RLATP-Deposit</t>
  </si>
  <si>
    <t>Deposit Under RLATP-Expenditure</t>
  </si>
  <si>
    <t>Deposit For Fencing of S/S From OPTCL-Deposit</t>
  </si>
  <si>
    <t>Deposit For Fencing of S/S From OPTCL-Expenditure</t>
  </si>
  <si>
    <t>Deposits for Under BSVY(Biju Saharanchal)-Deposit</t>
  </si>
  <si>
    <t>Deposits for Under BSVY(Biju Saharanchal)-Expenditure</t>
  </si>
  <si>
    <t>Grant -in - Aid -Capital - CRW</t>
  </si>
  <si>
    <t>Wages to temporary Workers(Cyclone-F)</t>
  </si>
  <si>
    <t>Fooding Charges to  workers(Cyclone-F)</t>
  </si>
  <si>
    <t>R/M to Transfermers &gt; 100 KVA (Cyclone-F)-Material issued from stores</t>
  </si>
  <si>
    <t>R/M to Transfermers &gt; 100 KVA(Cyclone-F) -Payments to Contractors &amp; other outside parties</t>
  </si>
  <si>
    <t>R/M to Transfermers &lt; 100 KVA (Cyclone-F)-Material issued from stores</t>
  </si>
  <si>
    <t>R/M to Transfermers &lt; 100 KVA(Cyclone-F) -Payments to Contractors &amp; other outside parties</t>
  </si>
  <si>
    <t>R/M to Lighting Arrestors, Static Machine Tools etc(Cyclone-F).-Materials issued from stores</t>
  </si>
  <si>
    <t>R/M to Lighting Arrestors, Static Machine Tools etc(Cyclone-F).-Materials Purchased Directly</t>
  </si>
  <si>
    <t>R/M to Lighting Arrestors, Static Machine Tools etc(Cyclone-F).-Payments to Contractors &amp; other outside parties</t>
  </si>
  <si>
    <t>R &amp; M Misc. Equipments(Cyclone-F)-  Mat. Issued from Stores</t>
  </si>
  <si>
    <t>R &amp; M Misc. Equipments(Cyclone-F)-Materials Purchased Directly</t>
  </si>
  <si>
    <t>R &amp; M Misc. Equipments(Cyclone-F)-Payments to Contractors &amp; others- Misc equipments</t>
  </si>
  <si>
    <t xml:space="preserve">R &amp; M to office Buildings(Cyclone-F)- Materials Purchased  Directly </t>
  </si>
  <si>
    <t xml:space="preserve"> R/M to Office Building(Cyclone-F)-Payments to Contractors &amp; other outside parties</t>
  </si>
  <si>
    <t>R/M to LT Lines(Cyclone-F)-Materials issued from Stores</t>
  </si>
  <si>
    <t>R/M to LT Lines(Cyclone-F)-Materials purchased Directly</t>
  </si>
  <si>
    <t>R/M to 11 KV Lines(Cyclone-F)-Materials issued from Stores</t>
  </si>
  <si>
    <t>R/M to 11 KV Lines(Cyclone-F)-Materials purchased Directly</t>
  </si>
  <si>
    <t>R/M to 33 KV Lines(Cyclone-F)-Materials issued from Stores</t>
  </si>
  <si>
    <t>R/M to 33 KV Lines(Cyclone-F)-Materials purchased Directly</t>
  </si>
  <si>
    <t>R/M to Vehicle (Cyclone-F)- Truck-Materials Purchased Directly</t>
  </si>
  <si>
    <t>R/M to Vehicle (Cyclone-F)- Truck-Payments to Contractors &amp; other outside parties</t>
  </si>
  <si>
    <t>R/M to Other Vehcle(Cyclone-F) -Payments to Contractors &amp; other outside parties</t>
  </si>
  <si>
    <t>R/M to Furnitures &amp; fixtures in Adm. Office (Cyclone-F)- Materials purchased directly</t>
  </si>
  <si>
    <t>R/M to Furnitures &amp; fixtures in Adm. Office(Cyclone-F) -Payments to Contractors &amp; other outside parties</t>
  </si>
  <si>
    <t xml:space="preserve">R&amp;M to Electrical Wiring , Light, Fan in  Other Locations(Cyclone-F)-Materials purchased directly </t>
  </si>
  <si>
    <t>R&amp;M to Electrical Wiring , Light, Fan in Other Locations(Cyclone-F)- Payments to Contractors &amp; other outside parties</t>
  </si>
  <si>
    <t>R/M to  Office equipements(Cyclone-F)- Materials purcahsed directly</t>
  </si>
  <si>
    <t>R/M to  Office equipements(Cyclone-F)- Payment to contractors</t>
  </si>
  <si>
    <t>Canteen Expenses of Adminstrative Office (Cyclone-F)</t>
  </si>
  <si>
    <t>Uniforms and liveries -(Cyclone-F)</t>
  </si>
  <si>
    <t>Other staff Welfare Expenses (Cyclone-F)</t>
  </si>
  <si>
    <t>Cost Audit Fees</t>
  </si>
  <si>
    <t>Business Devlopment Expenses</t>
  </si>
  <si>
    <t>Travelling expenses (Cyclone-F)</t>
  </si>
  <si>
    <t>Transport expenses (Cyclone-F)</t>
  </si>
  <si>
    <t>Vehicle running expenses (Cyclone-F)</t>
  </si>
  <si>
    <t>Hire charges of vehicles (Cyclone-F)-Trucks</t>
  </si>
  <si>
    <t>Hire charges of vehicles (Cyclone-F)-Tractors</t>
  </si>
  <si>
    <t>Hire charges of vehicles (Cyclone-F)-JCBs</t>
  </si>
  <si>
    <t>Fuel  charges of vehicles (Cyclone-F)</t>
  </si>
  <si>
    <t>DG Set/Generator Charges (Cyclone-F)</t>
  </si>
  <si>
    <t>Outside Crane Charges (Cyclone-F)</t>
  </si>
  <si>
    <t>Miscellaneous expenses (Cyclone-F)</t>
  </si>
  <si>
    <t>Discount to consumer- Power Intensive</t>
  </si>
  <si>
    <t xml:space="preserve">  Revenue from Sale of Power</t>
  </si>
  <si>
    <t xml:space="preserve">  Add: Income to be recovered from future tariff determination</t>
  </si>
  <si>
    <t xml:space="preserve">             - Current year truing-up</t>
  </si>
  <si>
    <t xml:space="preserve">  Other Revenue</t>
  </si>
  <si>
    <t xml:space="preserve">  Purchase of Power </t>
  </si>
  <si>
    <t xml:space="preserve">  Operation,Maintenance, Administration,General and Other Expenses</t>
  </si>
  <si>
    <t xml:space="preserve">  </t>
  </si>
  <si>
    <t xml:space="preserve">  Depreciation</t>
  </si>
  <si>
    <t xml:space="preserve">  Less: Transfer from service line contributions and grants</t>
  </si>
  <si>
    <t xml:space="preserve">  Profit / (Loss) before interest and finance charges</t>
  </si>
  <si>
    <t xml:space="preserve">  Interest and Finance Charges</t>
  </si>
  <si>
    <t xml:space="preserve">  Less: Transfer to Capital Work in Progress</t>
  </si>
  <si>
    <t xml:space="preserve">  Profit / (Loss) before Taxation</t>
  </si>
  <si>
    <t xml:space="preserve">  Profit / (Loss) for the year</t>
  </si>
  <si>
    <t xml:space="preserve">  Statutory Reserves and other Appropriations</t>
  </si>
  <si>
    <t xml:space="preserve">  Loss brought forward from last year</t>
  </si>
  <si>
    <t xml:space="preserve">  Loss for the year carried to Balance Sheet</t>
  </si>
  <si>
    <t xml:space="preserve">  Accounting Policies and Notes to Accounts</t>
  </si>
  <si>
    <t xml:space="preserve">  Sehedule-1 to 19 from an integral part of the accounting statements</t>
  </si>
  <si>
    <t>(Refer Note B.6)</t>
  </si>
  <si>
    <t>SCHEDULE  5 - CAPITAL CONTRIBUTION FROM CONSUMERS'</t>
  </si>
  <si>
    <t>Less: Adjustment against depreciation</t>
  </si>
  <si>
    <t xml:space="preserve">               Considered Doubtful</t>
  </si>
  <si>
    <t>SCHEDULE- 6  Fixed Assets</t>
  </si>
  <si>
    <t xml:space="preserve">    In Fixed Deposits Accounts</t>
  </si>
  <si>
    <r>
      <t xml:space="preserve"> -Contra </t>
    </r>
    <r>
      <rPr>
        <sz val="12"/>
        <rFont val="Times New Roman"/>
        <family val="1"/>
      </rPr>
      <t>{Schedule-12(B)}</t>
    </r>
  </si>
  <si>
    <r>
      <t xml:space="preserve">Less:  Payable -Contra </t>
    </r>
    <r>
      <rPr>
        <sz val="11"/>
        <rFont val="Times New Roman"/>
        <family val="1"/>
      </rPr>
      <t>{Schedule-12(B)}</t>
    </r>
  </si>
  <si>
    <t>Income tax refund receivable</t>
  </si>
  <si>
    <t>Interest accrued on fixed deposits</t>
  </si>
  <si>
    <t xml:space="preserve">                  Micro, small &amp; Medium  Enterprises [Refer Note-B(14)]</t>
  </si>
  <si>
    <t xml:space="preserve">                  Others</t>
  </si>
  <si>
    <t>Reliability surcharges</t>
  </si>
  <si>
    <t>Power Purchased (Gross)</t>
  </si>
  <si>
    <t>Provision for :</t>
  </si>
  <si>
    <t xml:space="preserve">              Disputed Matters (Refer note :B-7)</t>
  </si>
  <si>
    <t xml:space="preserve">              Dues from Franchies</t>
  </si>
  <si>
    <t xml:space="preserve">              Others</t>
  </si>
  <si>
    <t>2015-16</t>
  </si>
  <si>
    <t>(Rs. in Crores.)</t>
  </si>
  <si>
    <t>School/anganbadi</t>
  </si>
  <si>
    <t>Shifting of Electrical Installation of NH</t>
  </si>
  <si>
    <t>FY: 2015-16</t>
  </si>
  <si>
    <t xml:space="preserve">                                                                                              Project wise /Scheme wise Capital Expenditure                                                                                                                           Rs. in Cr.</t>
  </si>
  <si>
    <t>(Rs. in Crores)</t>
  </si>
  <si>
    <t>Loan Recn with F-17</t>
  </si>
  <si>
    <t>Loan Recn with BS</t>
  </si>
  <si>
    <t>Reconciliation with P&amp;L</t>
  </si>
  <si>
    <t>Reconciation with P&amp;L</t>
  </si>
  <si>
    <t>Recon ciliation with P&amp;L accounts</t>
  </si>
  <si>
    <t>(Rs. Crores)</t>
  </si>
  <si>
    <t>(6=4-5)</t>
  </si>
  <si>
    <t>(8=6-7)</t>
  </si>
  <si>
    <t>TOTAL POWER PURCHASE COST</t>
  </si>
  <si>
    <t>Technical Information (Metered data)</t>
  </si>
  <si>
    <t>Less : Revenue from Tariffs (at Proposed Rate)</t>
  </si>
  <si>
    <t>(Rs. In Crores)</t>
  </si>
  <si>
    <t>FY 2015-16</t>
  </si>
  <si>
    <t>Actarial Valuation of Employee Trust as on 31.3.2015 by M/s. Bhudev Report</t>
  </si>
  <si>
    <t>1/3rd for amortisation in FY 2015-16</t>
  </si>
  <si>
    <t>Total Terminal liability considered in FY 15-16 (A+B)</t>
  </si>
  <si>
    <t>Terminal Benefits</t>
  </si>
  <si>
    <t xml:space="preserve">                                                       BALANCE SHEET                                  (Rs. In Cr.)</t>
  </si>
  <si>
    <t xml:space="preserve">                   PROFIT &amp; LOSS ACCOUNT FOR THE YEAR ENDED ........             (Rs. In Cr.)</t>
  </si>
  <si>
    <t>(Rs. in Cr.)</t>
  </si>
  <si>
    <t>(Rs. In Cr.)</t>
  </si>
  <si>
    <t xml:space="preserve">Basic Pay </t>
  </si>
  <si>
    <t>Average monthly Basic Pay</t>
  </si>
  <si>
    <t>(Rs. In  Cr.)</t>
  </si>
  <si>
    <t xml:space="preserve">                                                                                                                                                  REVENUE REQUIREMENT &amp; ANALYSIS OF GAP                                                                       ( Rs. in Cr.)</t>
  </si>
  <si>
    <t>As on 01.04.2015</t>
  </si>
  <si>
    <t>Refund of Security Deposit</t>
  </si>
  <si>
    <t>Pending Cases</t>
  </si>
  <si>
    <t>Meeting Expenses</t>
  </si>
  <si>
    <t>Contractual Obligation</t>
  </si>
  <si>
    <t xml:space="preserve"> Outsourced </t>
  </si>
  <si>
    <t>Other Contractual-Executive</t>
  </si>
  <si>
    <t>CAPEX-Executive</t>
  </si>
  <si>
    <t>Other Contractual-Non-Executive</t>
  </si>
  <si>
    <t>Contractual</t>
  </si>
  <si>
    <t>(Rs. In Cr)</t>
  </si>
  <si>
    <t xml:space="preserve">                                                     ADMINISTRATION &amp; GENERAL EXPENSES                               (Rs. In Cr.)</t>
  </si>
  <si>
    <t>T- 1</t>
  </si>
  <si>
    <t>SL. NO</t>
  </si>
  <si>
    <t>CATEGORY OF CONSUMERS</t>
  </si>
  <si>
    <t>VOLTAGE OF SUPPLY</t>
  </si>
  <si>
    <t>No of cosumers as on 1st April of the Previous Year</t>
  </si>
  <si>
    <t>Consumption  (MU)</t>
  </si>
  <si>
    <t>No of cosumers as on 1st April of the Current Year</t>
  </si>
  <si>
    <t>Annual Percentage Rise (%)</t>
  </si>
  <si>
    <t>No of cosumers as on 1st April of the Ensuing Year</t>
  </si>
  <si>
    <t>LT CATEGORY</t>
  </si>
  <si>
    <t>0&lt;=50KWH</t>
  </si>
  <si>
    <t>&gt;50&lt;=200</t>
  </si>
  <si>
    <t>&gt;200&lt;=400</t>
  </si>
  <si>
    <t>More than 400 KWH (SLAB)</t>
  </si>
  <si>
    <t>General Purpose &lt;100 KVA</t>
  </si>
  <si>
    <t>Irrigation  Pumping &amp; Agriculture</t>
  </si>
  <si>
    <t>Allied agricultural activities</t>
  </si>
  <si>
    <t>Allied Agro-Industrial Activities</t>
  </si>
  <si>
    <t>LT Industrial (S) Supply &lt; 22KVA</t>
  </si>
  <si>
    <t>LT Industrial (M) Supply &gt;= 22KVA</t>
  </si>
  <si>
    <t>Specfied Public Purpose</t>
  </si>
  <si>
    <t>Public Water Works &lt;100 KW</t>
  </si>
  <si>
    <t>Public Water Works &gt;=100 KW</t>
  </si>
  <si>
    <t>General Purpose &gt;=110KVA</t>
  </si>
  <si>
    <t>Sub Total-----&gt;</t>
  </si>
  <si>
    <t>General Purpose 70&gt; KVA&lt;110KVA</t>
  </si>
  <si>
    <t xml:space="preserve">HT Industrial (M) Supply </t>
  </si>
  <si>
    <t>POWER PURCHASED FROM GRIDCO</t>
  </si>
  <si>
    <t>LOST UNITS (MU)</t>
  </si>
  <si>
    <t xml:space="preserve">% DISTRIBUTION LOSS </t>
  </si>
  <si>
    <t>COLLECTION EFFICIENCY (%)</t>
  </si>
  <si>
    <t xml:space="preserve"> AT &amp; C LOSS  (%)</t>
  </si>
  <si>
    <t>BILLING</t>
  </si>
  <si>
    <t>Converted</t>
  </si>
  <si>
    <t>Bal</t>
  </si>
  <si>
    <t>BPL</t>
  </si>
  <si>
    <t>As on 31.10.14</t>
  </si>
  <si>
    <t>Balance</t>
  </si>
  <si>
    <t>FY 14-15</t>
  </si>
  <si>
    <t>Balance for 15-16</t>
  </si>
  <si>
    <t>Jan-16 to Mar-16</t>
  </si>
  <si>
    <t>(FOR THE PERIOD OF REPORT)</t>
  </si>
  <si>
    <t>No. of Consumer 1st April of the Current Year</t>
  </si>
  <si>
    <t>Total connected Load in KW</t>
  </si>
  <si>
    <t>0-30KWH (Only for Kutir Jyoti)</t>
  </si>
  <si>
    <t>&gt;50 &lt;= 200KWH</t>
  </si>
  <si>
    <t>&gt;200 &lt;= 400KWH</t>
  </si>
  <si>
    <t>Total Energy Billed</t>
  </si>
  <si>
    <t>Total Revenue Billed</t>
  </si>
  <si>
    <t>Current Revenue Realised</t>
  </si>
  <si>
    <t>More than 4 KW</t>
  </si>
  <si>
    <t>Large domestic consumers  11/33 KV Supply</t>
  </si>
  <si>
    <t>TOTAL (URBAN)</t>
  </si>
  <si>
    <t>TOTAL (RURAL)</t>
  </si>
  <si>
    <t>No. of Domestic Consumers and consumption 1st April of the Current Year</t>
  </si>
  <si>
    <t>Supply with defective meters</t>
  </si>
  <si>
    <t>General purpose Consumers</t>
  </si>
  <si>
    <t>Large GP consumers  11/33 KV Supply</t>
  </si>
  <si>
    <t>No. of GP Consumer 1st April of the Current Year</t>
  </si>
  <si>
    <t>POWER PURCHASE , SALE  &amp; DEMAND OF  THE LICENSEE</t>
  </si>
  <si>
    <t>Apr</t>
  </si>
  <si>
    <t>Jun</t>
  </si>
  <si>
    <t>Jul</t>
  </si>
  <si>
    <t>Aug</t>
  </si>
  <si>
    <t>Sep</t>
  </si>
  <si>
    <t>Total                  (From 04 to 09 )</t>
  </si>
  <si>
    <t>Avg.                  (From 04 to 09 )</t>
  </si>
  <si>
    <t>Licensee Estimate for Current Year</t>
  </si>
  <si>
    <t>Energy Purchased From GRIDCO (MU)</t>
  </si>
  <si>
    <t>Units Sold (MU)</t>
  </si>
  <si>
    <t xml:space="preserve">BULK SUPPLY </t>
  </si>
  <si>
    <t>MONTHLY DEMAND (MVA)</t>
  </si>
  <si>
    <t>Average for Previous Year</t>
  </si>
  <si>
    <t>Maximum for Previous Year</t>
  </si>
  <si>
    <t>Demand (MVA)</t>
  </si>
  <si>
    <t>Irrigation &amp; Agricultural Consumers, Allied Agricultural Activities &amp; Allied Agro-Industrial Activities</t>
  </si>
  <si>
    <t>More Than 7 KW</t>
  </si>
  <si>
    <t xml:space="preserve">TOTAL </t>
  </si>
  <si>
    <t>Berhampur  Circle</t>
  </si>
  <si>
    <t>FORM T-7</t>
  </si>
  <si>
    <t>EXPECTED REVENUE FROM CHARGES (ENSUING YEAR)</t>
  </si>
  <si>
    <t>(ANTICIPATED CONSUMPTION AT EXISTING RATES)</t>
  </si>
  <si>
    <t>T_7 (Contd.)</t>
  </si>
  <si>
    <t>ANTICIPATED</t>
  </si>
  <si>
    <t>NO. OF</t>
  </si>
  <si>
    <t>CONTRACT</t>
  </si>
  <si>
    <t>TOTAL OF</t>
  </si>
  <si>
    <t>DEMAND</t>
  </si>
  <si>
    <t>ENERGY</t>
  </si>
  <si>
    <t xml:space="preserve">   'MINIMUM FIXED CHARGE</t>
  </si>
  <si>
    <t>CUSTOMER</t>
  </si>
  <si>
    <t xml:space="preserve">BASIS FOR </t>
  </si>
  <si>
    <t>REVENUE</t>
  </si>
  <si>
    <t>REBATE</t>
  </si>
  <si>
    <t>ELECT.</t>
  </si>
  <si>
    <t>POSITION</t>
  </si>
  <si>
    <t>OF SUPPLY</t>
  </si>
  <si>
    <t>CONS. DURING</t>
  </si>
  <si>
    <t>CONNECTED</t>
  </si>
  <si>
    <t>CHARGE</t>
  </si>
  <si>
    <t>For 1st KW</t>
  </si>
  <si>
    <t>For Addl. KW</t>
  </si>
  <si>
    <t>SERVICE</t>
  </si>
  <si>
    <t>CALCULATION</t>
  </si>
  <si>
    <t>FROM</t>
  </si>
  <si>
    <t>FROM MONTHLY</t>
  </si>
  <si>
    <t>FROM CUSTOMER</t>
  </si>
  <si>
    <t>REBATEABLE</t>
  </si>
  <si>
    <t>TARIFF AS A</t>
  </si>
  <si>
    <t>DUTY</t>
  </si>
  <si>
    <t>E.D.</t>
  </si>
  <si>
    <t>W R T</t>
  </si>
  <si>
    <t>THE ENSUING YEAR</t>
  </si>
  <si>
    <t>LOAD IN</t>
  </si>
  <si>
    <t>OF AVERAGE</t>
  </si>
  <si>
    <t>MINIMUM</t>
  </si>
  <si>
    <t>LESS</t>
  </si>
  <si>
    <t>UNITS</t>
  </si>
  <si>
    <t>(PPI)</t>
  </si>
  <si>
    <t>PERCENTAGE</t>
  </si>
  <si>
    <t>AMOUNT</t>
  </si>
  <si>
    <t>TO</t>
  </si>
  <si>
    <t>ALL INDIA</t>
  </si>
  <si>
    <t>EXCESS OF 50%</t>
  </si>
  <si>
    <t>EXCESS OF</t>
  </si>
  <si>
    <t>(In Rs./</t>
  </si>
  <si>
    <t xml:space="preserve">FIXED </t>
  </si>
  <si>
    <t>CONSUMER</t>
  </si>
  <si>
    <t>COMPARISON</t>
  </si>
  <si>
    <t>OF LF</t>
  </si>
  <si>
    <t>1ST KW</t>
  </si>
  <si>
    <t>Customer)</t>
  </si>
  <si>
    <t>LOAD FACTOR</t>
  </si>
  <si>
    <t>COST OF</t>
  </si>
  <si>
    <t xml:space="preserve">INCLUDING </t>
  </si>
  <si>
    <t>Rs./KVA</t>
  </si>
  <si>
    <t>P/Kwh</t>
  </si>
  <si>
    <t>POWER FACTOR</t>
  </si>
  <si>
    <t>Rs. Crs.</t>
  </si>
  <si>
    <t>(Rs. Crs.)</t>
  </si>
  <si>
    <t>(P/Kwh)</t>
  </si>
  <si>
    <t>Paise/Kwh</t>
  </si>
  <si>
    <t>Consumption TOTAL</t>
  </si>
  <si>
    <t>FORM T-8</t>
  </si>
  <si>
    <t>TARIFF  REVISION  PROPOSAL</t>
  </si>
  <si>
    <t>ADDITIONAL</t>
  </si>
  <si>
    <t>CHANGE IN</t>
  </si>
  <si>
    <t>OVER  ALL</t>
  </si>
  <si>
    <t>EXISTING</t>
  </si>
  <si>
    <t>SUBSIDY</t>
  </si>
  <si>
    <t>RELIEF</t>
  </si>
  <si>
    <t>INCREASE</t>
  </si>
  <si>
    <t>CHARGE TO</t>
  </si>
  <si>
    <t>or part</t>
  </si>
  <si>
    <t>DUE TO</t>
  </si>
  <si>
    <t xml:space="preserve">LESS </t>
  </si>
  <si>
    <t>IN P/U</t>
  </si>
  <si>
    <t>% OF COST</t>
  </si>
  <si>
    <t>CONSUMER ED</t>
  </si>
  <si>
    <t>( Rs./Custemer)</t>
  </si>
  <si>
    <t>CHARGE LF/PF</t>
  </si>
  <si>
    <t>FIXED CHARGE</t>
  </si>
  <si>
    <t>(Rs./Custemer)</t>
  </si>
  <si>
    <t>REVISION</t>
  </si>
  <si>
    <t>% DUE TO</t>
  </si>
  <si>
    <t>P/U</t>
  </si>
  <si>
    <t>P/KWH</t>
  </si>
  <si>
    <t>CONSUMPTION PATTERN OF HT AND EHT CONSUMERS HAVING CONTRACT DEMAND GREATER THAN 1 MVA</t>
  </si>
  <si>
    <t>SL NO</t>
  </si>
  <si>
    <t>DIVISION</t>
  </si>
  <si>
    <t>SUPP VOLT</t>
  </si>
  <si>
    <t>Existing CD IN KVA</t>
  </si>
  <si>
    <t>Addition/ Reduction during Ensuing Year</t>
  </si>
  <si>
    <t>Total CD during Ensuing Year</t>
  </si>
  <si>
    <t>Current Year Months</t>
  </si>
  <si>
    <t>Esimated for Current Year</t>
  </si>
  <si>
    <t>LF Current Year</t>
  </si>
  <si>
    <t>Projection for Ensuing Year</t>
  </si>
  <si>
    <t>Existing Industries</t>
  </si>
  <si>
    <t>J. K. PAPER LTD</t>
  </si>
  <si>
    <t>UTKAL ALUMUNA INTERNATIONAL LTD</t>
  </si>
  <si>
    <t>EHT Total</t>
  </si>
  <si>
    <t>THE EX. ENGG.</t>
  </si>
  <si>
    <t>GARRISON ENGINEERING</t>
  </si>
  <si>
    <t>GP</t>
  </si>
  <si>
    <t>DBS</t>
  </si>
  <si>
    <t>HT Total</t>
  </si>
  <si>
    <t>EHT &amp; HT Total</t>
  </si>
  <si>
    <t>TO BE CHECKED in T-7 FORMAT</t>
  </si>
  <si>
    <t>The basis of apportinment of the distrbution cost at different voltage level should be explained.</t>
  </si>
  <si>
    <t>Statement of payment to Suppliers/ Contractors under GoO, CAPEX SCHEME (Status up to 18.10.2014)</t>
  </si>
  <si>
    <t>Name of Supplier/ Contractor</t>
  </si>
  <si>
    <t>Requisition No.</t>
  </si>
  <si>
    <t>Date of Reqn.</t>
  </si>
  <si>
    <t>Amount (Rs.)</t>
  </si>
  <si>
    <t>Ch. No/ Date</t>
  </si>
  <si>
    <t>Gupta Power Infrastructure Ltd</t>
  </si>
  <si>
    <t>19248(3)/12.12.2012</t>
  </si>
  <si>
    <t>605629/UBI/12-12-2012</t>
  </si>
  <si>
    <t>Southco</t>
  </si>
  <si>
    <t>Entry Tax</t>
  </si>
  <si>
    <t>605633/UBI/26-12-2012</t>
  </si>
  <si>
    <t>JSK Industries P Ltd</t>
  </si>
  <si>
    <t>19878(3)/27.12.2012</t>
  </si>
  <si>
    <t>11063261/UBI/10-01-2013</t>
  </si>
  <si>
    <t>11063262/UBI/10-01-2013</t>
  </si>
  <si>
    <t>11063263/UBI/10-01-2013</t>
  </si>
  <si>
    <t>2066(3)/16.02.2013</t>
  </si>
  <si>
    <t>11063276/UBI/01-03-2013</t>
  </si>
  <si>
    <t>Sterlite Technologies Ltd</t>
  </si>
  <si>
    <t>11063278/UBI/01-03-2013</t>
  </si>
  <si>
    <t>Apolo Transformers</t>
  </si>
  <si>
    <t>11063279/UBI/01-03-2013</t>
  </si>
  <si>
    <t>Premier Cables &amp; Conductors Pvt. Ltd.</t>
  </si>
  <si>
    <t>4527(3)/08.04.2013</t>
  </si>
  <si>
    <t>11063308/UBI/27-04-2013</t>
  </si>
  <si>
    <t>Paramount Communications Limited</t>
  </si>
  <si>
    <t>11063309/UBI/27-04-2013</t>
  </si>
  <si>
    <t>11063310/UBI/27-04-2013</t>
  </si>
  <si>
    <t>11063311/UBI/27-04-2013</t>
  </si>
  <si>
    <t>11063312/UBI/27-04-2013</t>
  </si>
  <si>
    <t>6666(3)/25.05.2013</t>
  </si>
  <si>
    <t>11063324/UBI/06-06-2013</t>
  </si>
  <si>
    <t>JSK Industries Pvt. Ltd</t>
  </si>
  <si>
    <t>11063326/UBI/06-06-2013</t>
  </si>
  <si>
    <t>Paramount Communications Ltd</t>
  </si>
  <si>
    <t>11063327/UBI/06-06-2013</t>
  </si>
  <si>
    <t>11063325/UBI/06-06-2013</t>
  </si>
  <si>
    <t>Southco Ltd</t>
  </si>
  <si>
    <t>11063328/UBI/06-06-2013</t>
  </si>
  <si>
    <t>9938(3)/06.08.2013</t>
  </si>
  <si>
    <t>11089066/UBI/16-06-2013</t>
  </si>
  <si>
    <t xml:space="preserve">EMT Megatherm Pvt. Ltd.                                 </t>
  </si>
  <si>
    <t>10434(3)/16.08.2013</t>
  </si>
  <si>
    <t>11089073/UBI/27-08-2013</t>
  </si>
  <si>
    <t>SOUTHCO Ltd.</t>
  </si>
  <si>
    <t>13095(3)/07.10.2013</t>
  </si>
  <si>
    <t>11089085/UBI/26-10-2013</t>
  </si>
  <si>
    <t>Vidyut Control Systems Private Ltd.</t>
  </si>
  <si>
    <t>11089086/UBI/26-10-2013</t>
  </si>
  <si>
    <t>Kryfs Power Components Ltd.</t>
  </si>
  <si>
    <t>11089083/UBI/26-10-2013</t>
  </si>
  <si>
    <t>Southco-UBI-29137/26-10-13</t>
  </si>
  <si>
    <t xml:space="preserve">Axis Electrical Components (I) Pvt. Ltd. </t>
  </si>
  <si>
    <t>14565/23.11.2013</t>
  </si>
  <si>
    <t>11089117/UBI/06-12-2013</t>
  </si>
  <si>
    <t>11089116/UBI/06-12-2013</t>
  </si>
  <si>
    <t>11089118/UBI/06-12-2013</t>
  </si>
  <si>
    <t xml:space="preserve">Schneider Electric Infrastructure Ltd. </t>
  </si>
  <si>
    <t>325(3)/08.01.2014</t>
  </si>
  <si>
    <t>11089151/UBI/21-01-2014</t>
  </si>
  <si>
    <t xml:space="preserve">Vidyut Control Systems Pvt. Ltd. </t>
  </si>
  <si>
    <t>11089153/UBI/21-01-2014</t>
  </si>
  <si>
    <t xml:space="preserve">Jainco Transmission Ltd. </t>
  </si>
  <si>
    <t>11089154/UBI/21-01-2014</t>
  </si>
  <si>
    <t>United Electricals &amp; Engineering Pvt. Ltd.</t>
  </si>
  <si>
    <t>11089152/UBI/21-01-2014</t>
  </si>
  <si>
    <t xml:space="preserve">Sicame India Connectors Pvt. Ltd. </t>
  </si>
  <si>
    <t>11089183/UBI/19-02-2014</t>
  </si>
  <si>
    <t>11089155/UBI/21-01-2014</t>
  </si>
  <si>
    <t>720(3)/17.01.2014</t>
  </si>
  <si>
    <t>11089166/UBI/31-01-2014</t>
  </si>
  <si>
    <t>11089167/UBI/31-01-2014</t>
  </si>
  <si>
    <t xml:space="preserve">Kishan Enterprises </t>
  </si>
  <si>
    <t>2671(3)/01.03.2014</t>
  </si>
  <si>
    <t>11089203/UBI/11-03-2014</t>
  </si>
  <si>
    <t>11089204/UBI/11-03-2014</t>
  </si>
  <si>
    <t>Schneider Electric Infrastructure Ltd.</t>
  </si>
  <si>
    <t>11089205/UBI/11-03-2014</t>
  </si>
  <si>
    <t>11089206/UBI/11-03-2014</t>
  </si>
  <si>
    <t>3428(3)/20.03.2014</t>
  </si>
  <si>
    <t xml:space="preserve">Refund of BG </t>
  </si>
  <si>
    <t>11089220/UBI/26-03-2014</t>
  </si>
  <si>
    <t>4212(3)/29.03.2014</t>
  </si>
  <si>
    <t>000805/ICICI/31-03-2014</t>
  </si>
  <si>
    <t>000804/ICICI/31-03-2014</t>
  </si>
  <si>
    <t>11089240/UBI/31-03-2014</t>
  </si>
  <si>
    <t>7124(3)/03.06.2014</t>
  </si>
  <si>
    <t>11131721/UBI/ 18.06.2014</t>
  </si>
  <si>
    <t xml:space="preserve">Kryfs Power Components Ltd. </t>
  </si>
  <si>
    <t>11131722/UBI/ 18.06.2014</t>
  </si>
  <si>
    <t>11326(3)/12.09.2014</t>
  </si>
  <si>
    <t>11131834/UBI/22.09.14</t>
  </si>
  <si>
    <t xml:space="preserve">SOUTHCO </t>
  </si>
  <si>
    <t>11131835/UBI/22.09.14</t>
  </si>
  <si>
    <t>Akanksha Power And Infrastructure Pvt. Ltd.</t>
  </si>
  <si>
    <t>TC-1</t>
  </si>
  <si>
    <t>7272(3)/11.06.2013</t>
  </si>
  <si>
    <t>10% Mob. Adv</t>
  </si>
  <si>
    <t>11063332/UBI/20-06-2013</t>
  </si>
  <si>
    <t>TDS &amp; WCT</t>
  </si>
  <si>
    <t>11063334/UBI/20-06-2013</t>
  </si>
  <si>
    <t>Gayatri Agency</t>
  </si>
  <si>
    <t>TC-2</t>
  </si>
  <si>
    <t>10435(3)/16.08.2013</t>
  </si>
  <si>
    <t>11089072/UBI/27-08-2013</t>
  </si>
  <si>
    <t>TC-3</t>
  </si>
  <si>
    <t>13094(3)/07.10.2013</t>
  </si>
  <si>
    <t>11089082/UBI/27-08-2013</t>
  </si>
  <si>
    <t>TDS(IT)</t>
  </si>
  <si>
    <t>TC-4</t>
  </si>
  <si>
    <t>4213(3)/29.03.2014</t>
  </si>
  <si>
    <t>Running Bill</t>
  </si>
  <si>
    <t>115391/SBI/31-03-2014</t>
  </si>
  <si>
    <t>Cess, Service Tax,TDS &amp; WCT</t>
  </si>
  <si>
    <t>TC-5</t>
  </si>
  <si>
    <t>8632(3)/14.07.2014</t>
  </si>
  <si>
    <t>11131773/UBI/08.08.14</t>
  </si>
  <si>
    <t>11131774/UBI/08.08.14</t>
  </si>
  <si>
    <t>TC-6</t>
  </si>
  <si>
    <t>8633(3)/14.07.2014</t>
  </si>
  <si>
    <t>TC-7</t>
  </si>
  <si>
    <t>12224(3)/30.09.2014</t>
  </si>
  <si>
    <t>50% Adv.
against materials</t>
  </si>
  <si>
    <t>12019103/UBI/16.10.2014</t>
  </si>
  <si>
    <t xml:space="preserve">TDS portion </t>
  </si>
  <si>
    <t>12019104/UBI/16.10.2014</t>
  </si>
  <si>
    <t>TC-8</t>
  </si>
  <si>
    <t>155(3)/10.10.2014</t>
  </si>
  <si>
    <t>12019106/UBI/16.10.2014</t>
  </si>
  <si>
    <t>12019105/UBI/16.10.2014</t>
  </si>
  <si>
    <t>(A+B)</t>
  </si>
  <si>
    <t>GRAND TOTAL (MATERIALS + TURNKEY CONTRACT)</t>
  </si>
  <si>
    <t>Loan Repayment</t>
  </si>
  <si>
    <t>Loan Received</t>
  </si>
  <si>
    <t>GRIDCO (NTPC-Securitisation)</t>
  </si>
  <si>
    <t>Summary Sheet</t>
  </si>
  <si>
    <t>Name</t>
  </si>
  <si>
    <t>OB-1.4.14</t>
  </si>
  <si>
    <t xml:space="preserve"> CB-31.3.15</t>
  </si>
  <si>
    <t xml:space="preserve"> CB- 31.3.16</t>
  </si>
  <si>
    <t>Int- FY: 14-15</t>
  </si>
  <si>
    <t>Int- FY: 15-16</t>
  </si>
  <si>
    <t>IBRD</t>
  </si>
  <si>
    <t>CAPEX-0% (GoO)</t>
  </si>
  <si>
    <t>CAPEX-4% ( GoO)</t>
  </si>
  <si>
    <t>CAPEX-(Counterpart)</t>
  </si>
  <si>
    <t>GRIDCO (New Loan)</t>
  </si>
  <si>
    <t>APDRP counterpart</t>
  </si>
  <si>
    <t>SI-REC</t>
  </si>
  <si>
    <t>SBI-Term Loan</t>
  </si>
  <si>
    <t>UBI-(SOD)</t>
  </si>
  <si>
    <t>UBI-(LOAN)</t>
  </si>
  <si>
    <t>SBI-Working Capital loan</t>
  </si>
  <si>
    <t>Special R&amp;M for Smart metering</t>
  </si>
  <si>
    <t>GAP up to 2012-13</t>
  </si>
  <si>
    <t>Emergency Power Supply to CPP</t>
  </si>
  <si>
    <t xml:space="preserve">Nos of retirement </t>
  </si>
  <si>
    <t>World Bank loan</t>
  </si>
  <si>
    <t>Total Cost of Distribution.(Rs.in Cr)</t>
  </si>
  <si>
    <t>Cost of units lost in the system(Rs in Cr)</t>
  </si>
  <si>
    <t>Cost of Trans. Dist and cost of lost units(Rs in Cr)</t>
  </si>
  <si>
    <t>Value(Rs in Cr)</t>
  </si>
  <si>
    <t>EXCESS OF 60%</t>
  </si>
  <si>
    <t>RGGVY &amp; BGJY  R&amp; M</t>
  </si>
  <si>
    <t>Total other than RGGVY &amp; BGJY R&amp;M</t>
  </si>
  <si>
    <t>Mobile Customer Care Cum Collection</t>
  </si>
  <si>
    <t>Division</t>
  </si>
  <si>
    <t>EPS: SALARY &amp; WAGES FOR 2014-15</t>
  </si>
  <si>
    <t>Stationary</t>
  </si>
  <si>
    <t>Incentive to SEFA towards collection( 600000 Con * Rs.5*12)</t>
  </si>
  <si>
    <t>Connected Load/Contract Demand  (KW)</t>
  </si>
  <si>
    <t>Contract Demand  (KW)</t>
  </si>
  <si>
    <t>(Deficit)/ Surplus at Existing Rate</t>
  </si>
  <si>
    <t>(Deficit)/ Surplus at Proposed Rate</t>
  </si>
  <si>
    <t>Received from Associates Companies (WESCO &amp; NESCO)</t>
  </si>
  <si>
    <t xml:space="preserve">                                                                                 Status of Funds and Investments                                                         ( Rs. In Cr.)</t>
  </si>
  <si>
    <t>Prepaid Meter</t>
  </si>
  <si>
    <t>Activities</t>
  </si>
  <si>
    <t>Prepaid Meter by M/s. JNJ</t>
  </si>
  <si>
    <t>Prepaid Meter by M/s. JN &amp; Secure</t>
  </si>
  <si>
    <t>Qty (2014-15)</t>
  </si>
  <si>
    <t>1Q</t>
  </si>
  <si>
    <t>3Q</t>
  </si>
  <si>
    <t>Qty (2015-16)</t>
  </si>
  <si>
    <t>Location</t>
  </si>
  <si>
    <t>Bam Cir &amp; City Cir</t>
  </si>
  <si>
    <t>Aska Cir &amp; Bnjr Cir</t>
  </si>
  <si>
    <t>Leasing Charge @Rs.241/- for 1Q &amp; @ Rs. 403/- for 3Q</t>
  </si>
  <si>
    <t>Service Charges @ 68/- fir 1@ &amp; @ Rs.96/- for 3Q</t>
  </si>
  <si>
    <t>Leasing + Service Charge</t>
  </si>
  <si>
    <t>Expenses for 2015-16</t>
  </si>
  <si>
    <t>Prepaid Meter by M/s.Longi</t>
  </si>
  <si>
    <t>Rayagada Cir (33/11 KV S/s)</t>
  </si>
  <si>
    <t>Energy Audit</t>
  </si>
  <si>
    <t>11kv feeder</t>
  </si>
  <si>
    <t>All feeder of 11 KV</t>
  </si>
  <si>
    <t>metering unit cost Rs.60000/-</t>
  </si>
  <si>
    <t>Additional Repair &amp; Maintenance for RGGVY &amp; BGJY</t>
  </si>
  <si>
    <t>IT &amp; Automation</t>
  </si>
  <si>
    <t>Running Expenses</t>
  </si>
  <si>
    <t>Capex</t>
  </si>
  <si>
    <t>A&amp; G</t>
  </si>
  <si>
    <t>Agro &amp; Agro Allied</t>
  </si>
  <si>
    <t>High tension</t>
  </si>
  <si>
    <t>Medium/low tension</t>
  </si>
  <si>
    <t>Public Lighting(Street Lighting)</t>
  </si>
  <si>
    <t>Water Supply &amp; public works</t>
  </si>
  <si>
    <t>Traction/ Railways</t>
  </si>
  <si>
    <t>Temporary Lighting</t>
  </si>
  <si>
    <t>Bulk supplies to distributing licencees</t>
  </si>
  <si>
    <t>LT General (Commercial)</t>
  </si>
  <si>
    <t>Irrigation/ Agriculture</t>
  </si>
  <si>
    <t>Industrial</t>
  </si>
  <si>
    <t>Discount</t>
  </si>
  <si>
    <t>Incentive to staff for arrear Collection</t>
  </si>
  <si>
    <t>Incentive for arrear collection</t>
  </si>
  <si>
    <t>Annual Cost (Rs. in Crore)</t>
  </si>
  <si>
    <t>CCC charge for 94 Nos for FY 2014-15 and 110 Nos. FY 2015-16</t>
  </si>
  <si>
    <t>Spl. R &amp; M expenses</t>
  </si>
  <si>
    <t>Incentive  to staff 5 % on arrear collection</t>
  </si>
  <si>
    <t>Details  V-30</t>
  </si>
  <si>
    <t>Meter Replacement 50000 nos @ Rs.225 p/mtr</t>
  </si>
  <si>
    <t>Meter Shifting  &amp; replacement 35000 nos @ Rs.300 p/mtr</t>
  </si>
  <si>
    <t>For each Divn plus Circle Rs.3 lakh</t>
  </si>
  <si>
    <t>Smart and Pre-paid metering - running Expenditure</t>
  </si>
  <si>
    <t>Trannsformer Repairing Unit</t>
  </si>
  <si>
    <t>Machinery</t>
  </si>
  <si>
    <t>Operating expenses</t>
  </si>
  <si>
    <t>Micro Privatisation/Rural franchise expenses</t>
  </si>
  <si>
    <t xml:space="preserve"> CAPEX</t>
  </si>
  <si>
    <t>Posted in F-2 &amp; Cash Flow</t>
  </si>
  <si>
    <t>Receivables</t>
  </si>
  <si>
    <t>REC/PFC-CAPEX Counterpart  (13.50%)</t>
  </si>
  <si>
    <t>Demandside Management</t>
  </si>
  <si>
    <t>Operational expenses</t>
  </si>
  <si>
    <t>Conveyance  &amp; vehicle running expenses</t>
  </si>
  <si>
    <t>Total (Leasing + Service Charge)</t>
  </si>
  <si>
    <t>Additional Franchise expenses</t>
  </si>
  <si>
    <t xml:space="preserve">IT  Automation (Cloudbased Module) &amp; ERP </t>
  </si>
  <si>
    <t>HUD-HUD  Expenditure</t>
  </si>
  <si>
    <t>Affected Assets</t>
  </si>
  <si>
    <t>Replacement of Affected Assets</t>
  </si>
  <si>
    <t>Interest on FD</t>
  </si>
  <si>
    <t>DPS</t>
  </si>
  <si>
    <t xml:space="preserve">Reliability Surcharge </t>
  </si>
  <si>
    <t>REC CAPEX Counterpart</t>
  </si>
  <si>
    <t>REC (APDRP Counterpart)</t>
  </si>
  <si>
    <t>Pressure Testing Kits</t>
  </si>
  <si>
    <t xml:space="preserve">Transformer Repairing Unit </t>
  </si>
  <si>
    <t xml:space="preserve">Vigilance &amp; Anti-Theft Activities </t>
  </si>
  <si>
    <r>
      <t xml:space="preserve">                                              Revenue  Cash  Flow Statement                             (</t>
    </r>
    <r>
      <rPr>
        <sz val="10"/>
        <rFont val="Times New Roman"/>
        <family val="1"/>
      </rPr>
      <t>Rs. In Cr.)</t>
    </r>
  </si>
  <si>
    <t>Profit/(Loss) Before  Tax</t>
  </si>
  <si>
    <t xml:space="preserve">Percentage of provision </t>
  </si>
  <si>
    <t>Truing up for FY 2014-15</t>
  </si>
  <si>
    <t>2016-17</t>
  </si>
  <si>
    <t>GET/ MT(Fin)/MT(HR)</t>
  </si>
  <si>
    <t xml:space="preserve">  Provision for : Current year Tax</t>
  </si>
  <si>
    <t>14.CRW.5672</t>
  </si>
  <si>
    <t>14.CRW.6032</t>
  </si>
  <si>
    <t>14.HHRW.5412</t>
  </si>
  <si>
    <t>Transmission Plant (s/s)-Material cost</t>
  </si>
  <si>
    <t>14.HHRW.5413</t>
  </si>
  <si>
    <t>Transmission Plant (s/s)-Contractor payment</t>
  </si>
  <si>
    <t>14.HHRW.5414</t>
  </si>
  <si>
    <t>Transmission Plant (s/s)-Overhead &amp; Other Cost</t>
  </si>
  <si>
    <t>14.HHRW.5422</t>
  </si>
  <si>
    <t>14.HHRW.5423</t>
  </si>
  <si>
    <t>Transformer-Contractor payment</t>
  </si>
  <si>
    <t>14.HHRW.5424</t>
  </si>
  <si>
    <t>Transformer-Overhead &amp; Other Cost</t>
  </si>
  <si>
    <t>14.HHRW.6024</t>
  </si>
  <si>
    <t>Overhead Lines (cables, poles &amp; other materials)- Overhead &amp; Other Cost</t>
  </si>
  <si>
    <t>Boundry wall for Sub Station- Cyclone-HH</t>
  </si>
  <si>
    <t>14.HHRW.6126</t>
  </si>
  <si>
    <t>AB Cable for River Crossing- Cyclone-HH</t>
  </si>
  <si>
    <t>14.HHRW.6022</t>
  </si>
  <si>
    <t>Overhead Lines-Matiral Cost</t>
  </si>
  <si>
    <t>14.HHRW.6023</t>
  </si>
  <si>
    <t>Overhead Lines (Cable,Pole,)Contractor</t>
  </si>
  <si>
    <t>Cash in Hand as per Cyclone Fund-HH</t>
  </si>
  <si>
    <t>Temporary Adv with Ofcrs for Cyclone-HH</t>
  </si>
  <si>
    <t>Cash at bank- Cyclone Fund- HH</t>
  </si>
  <si>
    <t>Advance to Suppliers (Cyclone HH-O &amp; M)</t>
  </si>
  <si>
    <t>Advance to Labour Contractors (Cyclone HH-O &amp; M)</t>
  </si>
  <si>
    <t>Advance to Others (Cyclone HH-O &amp; M)</t>
  </si>
  <si>
    <t>M.D Office UBI</t>
  </si>
  <si>
    <t>Liability for Supply of Material (Cyclone HH-O &amp; M)</t>
  </si>
  <si>
    <t>Liability for Labour Charges (Cyclone HH-O &amp; M)</t>
  </si>
  <si>
    <t>Liability for Others (Cyclone HH-O &amp; M)</t>
  </si>
  <si>
    <t xml:space="preserve"> Security Dep in Cash(Cyclone-HH)</t>
  </si>
  <si>
    <t>Income Tax Deducted at source on payment to Contractors  (Cyclone-HH)</t>
  </si>
  <si>
    <t>Income Tax deducted ar source on other Pyt. (Cyclone-HH)</t>
  </si>
  <si>
    <t>Liability For Service Tax (Cyclone-HH)</t>
  </si>
  <si>
    <t>Liability for Orissa Sales Tax (Cyclone-HH)</t>
  </si>
  <si>
    <t>Liability for Work Contract Tax (Cyclone-HH)</t>
  </si>
  <si>
    <t>Wages to Temporary Workers(Col-HH)</t>
  </si>
  <si>
    <t>Fooding Charges to Workers(Col-HH)</t>
  </si>
  <si>
    <t>Transport expenses (Cyclone-HH)</t>
  </si>
  <si>
    <t>Hire charges of vehicles (Cyclone-HH)-Trucks</t>
  </si>
  <si>
    <t>Hire charges of vehicles (Cyclone-HH)-Tractors</t>
  </si>
  <si>
    <t>Hire charges of vehicles (Cyclone-HH)-JCBs</t>
  </si>
  <si>
    <t>DG Set/Generator Charges (Cyclone-HH)</t>
  </si>
  <si>
    <t>Outside Crane Charges (Cyclone-HH)</t>
  </si>
  <si>
    <t>R/M to Sub Station(Cyclone-HH)</t>
  </si>
  <si>
    <t>R/M to Sub station (Cyclone-HH)-Material issued from stores</t>
  </si>
  <si>
    <t>R/M to Transfermers  (Cyclone-HH)-Material issued from stores</t>
  </si>
  <si>
    <t>R/M to Transfermers (Cyclone-HH) -Payments to Contractors &amp; other outside parties</t>
  </si>
  <si>
    <t>R &amp; M Misc. Equipments(Cyclone-HH)-  Mat. Issued from Stores</t>
  </si>
  <si>
    <t>R&amp;M MIsc.Eqp( Col-HH)-Matrls Purchsd Direct</t>
  </si>
  <si>
    <t>R&amp;M Misc.Eqp(Col-HH)-Pay to Contrs&amp;Othermisc</t>
  </si>
  <si>
    <t xml:space="preserve">R &amp; M to office Buildings(Cyclone-HH)- Materials Purchased  Directly </t>
  </si>
  <si>
    <t xml:space="preserve"> R/M to Office Building(Cyclone-HH)-Payments to Contractors &amp; other outside parties</t>
  </si>
  <si>
    <t>R/M to LT Lines (cable ,Poles &amp; Others) (Cyclone-HH)-Materials issued from Stores</t>
  </si>
  <si>
    <t>R/M to LT Lines (cable ,Poles &amp; Others)(Cyclone-HH)-Materials purchased Directly</t>
  </si>
  <si>
    <t>R/M to 11 KV Lines (cable ,Poles &amp; Others)(Cyclone-HH)-Materials issued from Stores</t>
  </si>
  <si>
    <t>R/M to 11 KV Lines (cable ,Poles &amp; Others)(Cyclone-HH)-Materials purchased Directly</t>
  </si>
  <si>
    <t>R/M to 33 KV Lines (cable ,Poles &amp; Others)(Cyclone-HH)-Materials issued from Stores</t>
  </si>
  <si>
    <t>R/M to 33 KV Lines (cable ,Poles &amp; Others)(Cyclone-HH)-Materials purchased Directly</t>
  </si>
  <si>
    <t>R/M to Vehicle (Cyclone-HH)- Truck-Materials Purchased Directly</t>
  </si>
  <si>
    <t>R/M to Vehicle (Cyclone-HH)- Truck-Payments to Contractors &amp; other outside parties</t>
  </si>
  <si>
    <t>R/M to Other Vehcle(Cyclone-HH) -Payments to Contractors &amp; other outside parties</t>
  </si>
  <si>
    <t>R/M to Furnitures &amp; fixtures in Adm. Office (Cyclone-HH)- Materials purchased directly</t>
  </si>
  <si>
    <t>R/M to Furnitures &amp; fixtures in Adm. Office(Cyclone-HH) -Payments to Contractors &amp; other outside parties</t>
  </si>
  <si>
    <t xml:space="preserve">R&amp;M to Electrical Wiring , Light, Fan in  Other Locations(Cyclone-HH)-Materials purchased directly </t>
  </si>
  <si>
    <t>R&amp;M to Electrical Wiring , Light, Fan in Other Locations(Cyclone-HH)- Payments to Contractors &amp; other outside parties</t>
  </si>
  <si>
    <t>R/M to  Office equipements(Cyclone-HH)- Materials purcahsed directly</t>
  </si>
  <si>
    <t>R/M to  Office equipements(Cyclone-HH)- Payment to contractors</t>
  </si>
  <si>
    <t>Uniforms&amp; Liveries-(Col-HH)</t>
  </si>
  <si>
    <t>Canteen Expenses of Dept. Staff (Cyclone-HH)</t>
  </si>
  <si>
    <t>Other Staff Welfare Expenses (Cyclone-HH)</t>
  </si>
  <si>
    <t>Travelling Expenses (Cyclone-HH)</t>
  </si>
  <si>
    <t>Fuel Charges of Vehicle(Cyclone-HH)</t>
  </si>
  <si>
    <t>Miscellaneous Expenses(Cyclone-HH)</t>
  </si>
  <si>
    <t>Vehicle running expenses (Cyclone-HH)</t>
  </si>
  <si>
    <t>Lodging &amp; Boarding Expenses (Cyclone-HH)</t>
  </si>
  <si>
    <t>Funding required for deficit {1-(2+3-4)}</t>
  </si>
  <si>
    <t>Rent, Rates &amp; Taxes</t>
  </si>
  <si>
    <t xml:space="preserve">                                                                    Information on Receipt/ Repayment of Loan                                                                                               (Rs. In Cr.)</t>
  </si>
  <si>
    <t>SOUTHCO Utility</t>
  </si>
  <si>
    <t>Power Purchase</t>
  </si>
  <si>
    <t>R &amp;M Expenses</t>
  </si>
  <si>
    <t>A&amp; G Expenses</t>
  </si>
  <si>
    <t>Provision for Bad Debt</t>
  </si>
  <si>
    <t xml:space="preserve">Wheeling </t>
  </si>
  <si>
    <t>RST</t>
  </si>
  <si>
    <t>N.B: 8% System loss has been taken against Power Purchase after EHT Sale</t>
  </si>
  <si>
    <t>Allocation (2016-17)</t>
  </si>
  <si>
    <t>DDUGJY</t>
  </si>
  <si>
    <t>IPDS</t>
  </si>
  <si>
    <t>Elephant Corridor</t>
  </si>
  <si>
    <t>ODSSP</t>
  </si>
  <si>
    <t>Exp FY                2016-17</t>
  </si>
  <si>
    <t>Exp FY               2015-16</t>
  </si>
  <si>
    <t>Exp up to FY 2014-15</t>
  </si>
  <si>
    <t xml:space="preserve">Payment to Sundry Creditors </t>
  </si>
  <si>
    <t xml:space="preserve">DESI/IAP Fund,RLTAP &amp; Oth Deposit Works etc </t>
  </si>
  <si>
    <t>FY 2016-17</t>
  </si>
  <si>
    <t>Summary of Sales</t>
  </si>
  <si>
    <t xml:space="preserve">Terminal Liability </t>
  </si>
  <si>
    <t>FY: 2016-17</t>
  </si>
  <si>
    <t>Manpower &amp; Communication cost per month (Rs.12.83 lacs for 12months)</t>
  </si>
  <si>
    <t>Expenses for 2016-17</t>
  </si>
  <si>
    <t>Qty (2016-17</t>
  </si>
  <si>
    <t>Leasing Charge @Rs.291/- for 1Q &amp; @ Rs. 587/- for 3Q</t>
  </si>
  <si>
    <t>Service Charges @ 72/- fir 1@ &amp; @ Rs.98/- for 3Q</t>
  </si>
  <si>
    <t>CAPEX 2016-17</t>
  </si>
  <si>
    <t>A &amp; G Expenses:2016-17</t>
  </si>
  <si>
    <t>Standard of Performance Audit</t>
  </si>
  <si>
    <t>Data Enty Operator</t>
  </si>
  <si>
    <t>Asst Engineer</t>
  </si>
  <si>
    <t>ITI</t>
  </si>
  <si>
    <t>Ladder Man</t>
  </si>
  <si>
    <t>Less: Transferred to Capital Work-in-Progress</t>
  </si>
  <si>
    <t xml:space="preserve">Revenue GAP with Current Tariff </t>
  </si>
  <si>
    <t>O &amp; M Expenses</t>
  </si>
  <si>
    <t xml:space="preserve">                 BSP</t>
  </si>
  <si>
    <t xml:space="preserve">                 Transmission Charges</t>
  </si>
  <si>
    <t xml:space="preserve">                 SLDC Charges</t>
  </si>
  <si>
    <t xml:space="preserve">                R &amp; M Expenses</t>
  </si>
  <si>
    <t xml:space="preserve">                Depreciation</t>
  </si>
  <si>
    <t xml:space="preserve">               Interest on Working Capital</t>
  </si>
  <si>
    <t xml:space="preserve">                Employee Cost</t>
  </si>
  <si>
    <t xml:space="preserve">                A&amp;G Expenses</t>
  </si>
  <si>
    <t xml:space="preserve">               Interest on Security Deposit</t>
  </si>
  <si>
    <t xml:space="preserve">               ROE</t>
  </si>
  <si>
    <t xml:space="preserve">              Appropriation of Regulatory Assets</t>
  </si>
  <si>
    <t xml:space="preserve">              Contingency Reserve</t>
  </si>
  <si>
    <t xml:space="preserve">              Non-Tariff Wheeling Income</t>
  </si>
  <si>
    <t xml:space="preserve">              Non-Tariff Retail Income</t>
  </si>
  <si>
    <t xml:space="preserve">               Interest on  Capital Loan</t>
  </si>
  <si>
    <t>Capital</t>
  </si>
  <si>
    <t>Statement of allocation of Wheeling &amp; Retail Supply Cost</t>
  </si>
  <si>
    <t xml:space="preserve"> Cost/Income Components</t>
  </si>
  <si>
    <t>Assumption Ratio for consideration of Wheeling Business</t>
  </si>
  <si>
    <t>Assumption Ratio for consideration of Retail Supply Business</t>
  </si>
  <si>
    <t>Total Power Purchase cost</t>
  </si>
  <si>
    <t xml:space="preserve">              True up of Current Year GAP 1/3rd</t>
  </si>
  <si>
    <t>As per actual assumption</t>
  </si>
  <si>
    <t xml:space="preserve">                Bad &amp; Doubtful Debt including Rebate</t>
  </si>
  <si>
    <t>* Allocation of power purchase cost towards wheeling has been made considering 8% loss on input after effecting EHT Sale</t>
  </si>
  <si>
    <t>Revenue Gap Analysis</t>
  </si>
  <si>
    <t>2017-18</t>
  </si>
  <si>
    <t>Interest Accrued but not Due-CAPEX</t>
  </si>
  <si>
    <t>14.CAPEX.5412</t>
  </si>
  <si>
    <t>Transmission Plant -Material Cost</t>
  </si>
  <si>
    <t>Collection Through - ATOM</t>
  </si>
  <si>
    <t>Collection Through- CSC</t>
  </si>
  <si>
    <t>Collection Through - ICICI</t>
  </si>
  <si>
    <t>Collection Through- ITZ</t>
  </si>
  <si>
    <t>Collection Through- INDIA</t>
  </si>
  <si>
    <t xml:space="preserve"> Collection Through- OXIZEN</t>
  </si>
  <si>
    <t>Collection Through- SUVIDHA</t>
  </si>
  <si>
    <t>Collection Through- Postal</t>
  </si>
  <si>
    <t>HED, Hinjilikut</t>
  </si>
  <si>
    <t>DPS on Int on Security deposit</t>
  </si>
  <si>
    <t>Cross Subsidy</t>
  </si>
  <si>
    <t>Intrest on Advances to Contractors</t>
  </si>
  <si>
    <t>Salaries Apprentice -Temporary Staff</t>
  </si>
  <si>
    <t>Interest on Loan From CAPEX</t>
  </si>
  <si>
    <t>LT Single phase Domestic consumer</t>
  </si>
  <si>
    <t>LT Single phase other consumer</t>
  </si>
  <si>
    <t>All HT and EHT consumer</t>
  </si>
  <si>
    <t>Note: In addition to above Spot billing (outsource) considered for FY 2016-17 &amp; 2017-18</t>
  </si>
  <si>
    <t>Semi Skilled</t>
  </si>
  <si>
    <t>Saving in basic salary for 2017-18</t>
  </si>
  <si>
    <t xml:space="preserve"> Skilled</t>
  </si>
  <si>
    <t>UnSkilled</t>
  </si>
  <si>
    <t>Information on Calculation of Interest (Rs.in Cr)</t>
  </si>
  <si>
    <t>0-2m</t>
  </si>
  <si>
    <t>2-6m</t>
  </si>
  <si>
    <t>6-12m</t>
  </si>
  <si>
    <t>12-24m</t>
  </si>
  <si>
    <t>Over 24 
months</t>
  </si>
  <si>
    <t>Disputed
Amount</t>
  </si>
  <si>
    <t>Permanently Disconnected</t>
  </si>
  <si>
    <t>Suit
filed</t>
  </si>
  <si>
    <t>Provision
made</t>
  </si>
  <si>
    <t>GP (LT)&gt;10</t>
  </si>
  <si>
    <t>PUB.LTG</t>
  </si>
  <si>
    <t>PLI</t>
  </si>
  <si>
    <t>OLI</t>
  </si>
  <si>
    <t>AGRO AGRI</t>
  </si>
  <si>
    <t>AGRO IND</t>
  </si>
  <si>
    <t>LT IND(S)</t>
  </si>
  <si>
    <t>LT IND(M)</t>
  </si>
  <si>
    <t>CATEGORY  : HT/EHT</t>
  </si>
  <si>
    <t>D B S</t>
  </si>
  <si>
    <t>LIND</t>
  </si>
  <si>
    <t>PIIND</t>
  </si>
  <si>
    <t>CPP</t>
  </si>
  <si>
    <t>RT</t>
  </si>
  <si>
    <t>HT/EHT TOTAL</t>
  </si>
  <si>
    <t>SOUTHCO TOTAL</t>
  </si>
  <si>
    <t>INTEREST ACCRUED &amp; DUE ON LOANS FROM UBI</t>
  </si>
  <si>
    <t>Transformer Repait- TRU</t>
  </si>
  <si>
    <t>Amount Receivable to other Licencee- WESCO</t>
  </si>
  <si>
    <t>APDRP (Counter funding)</t>
  </si>
  <si>
    <t>Row Labels</t>
  </si>
  <si>
    <t>Sum of ARR_BD_0316</t>
  </si>
  <si>
    <t>A &amp; G Expenses:2017-18</t>
  </si>
  <si>
    <t>BASIC</t>
  </si>
  <si>
    <t>Already taken</t>
  </si>
  <si>
    <t>Net Arrear</t>
  </si>
  <si>
    <t>Retirement</t>
  </si>
  <si>
    <t>Other Equipment -IT Automaton</t>
  </si>
  <si>
    <t>FY 2017-18</t>
  </si>
  <si>
    <t>EXPECTED REVENUE FROM CHARGES (CURRENT YEAR)</t>
  </si>
  <si>
    <t>FORM- T-9</t>
  </si>
  <si>
    <t>M/S SARAF AGENCIES PVT. LTD (SEZ)</t>
  </si>
  <si>
    <t>M/S SUDHAKAR PVC PRODUCTS LTD</t>
  </si>
  <si>
    <t>GoO-CAPEX (4 %)</t>
  </si>
  <si>
    <t>Without Railway</t>
  </si>
  <si>
    <t>2018-19</t>
  </si>
  <si>
    <t>Corpus as on 31.03.19</t>
  </si>
  <si>
    <t>Terminal benefit trust funding required for 2018-19</t>
  </si>
  <si>
    <t>CS</t>
  </si>
  <si>
    <t>GM(F)</t>
  </si>
  <si>
    <t>DGM(HR)</t>
  </si>
  <si>
    <t>Sr. General Manager/COO</t>
  </si>
  <si>
    <t xml:space="preserve">1) Valuation of Employee Trust  as on 31-3-18/ 31.3.19 </t>
  </si>
  <si>
    <t>2) Valuation of Employee Trust  as on 31-3-17/ 31.3.18</t>
  </si>
  <si>
    <t>3) Interest during 2017-18 @8.5% on available investment  as on 01.04.2017</t>
  </si>
  <si>
    <t>4) Estimated payment during 2016-17</t>
  </si>
  <si>
    <t>5) Funding required for deficit of for 2017-18 {1-(2+3-4)}</t>
  </si>
  <si>
    <t>28.610-a</t>
  </si>
  <si>
    <t>Subsidy/Grant Receivables- Capital Cyclone</t>
  </si>
  <si>
    <t>Cross subsidy</t>
  </si>
  <si>
    <t>Collection Through- POS</t>
  </si>
  <si>
    <t>Collection Through-Paytm</t>
  </si>
  <si>
    <t>Amount Received From Trust-Payment to Ex Emp</t>
  </si>
  <si>
    <t>Reliability Surcharge</t>
  </si>
  <si>
    <t>Supervision  charges</t>
  </si>
  <si>
    <t xml:space="preserve">Outsource </t>
  </si>
  <si>
    <t>Cross Subsidy Surcharge</t>
  </si>
  <si>
    <t>Rebate on prompt payment of BST bills</t>
  </si>
  <si>
    <t>Plant and Machinery Lines, Cable Networks, etc</t>
  </si>
  <si>
    <t>RGGVY  (10th &amp; 11th)</t>
  </si>
  <si>
    <t>RGGVY (12th)</t>
  </si>
  <si>
    <t>FY 2018-19</t>
  </si>
  <si>
    <t>Liability as on 31.03.19</t>
  </si>
  <si>
    <t>UBI-Short Term</t>
  </si>
  <si>
    <t xml:space="preserve">UBI- Short Term </t>
  </si>
  <si>
    <t>Union Bank of India (Short Term)</t>
  </si>
  <si>
    <t>M/S GRASIM INDUSTRIES LTD.</t>
  </si>
  <si>
    <t>SR. DIVISIONAL ENGINEER(ELECTRICAL)</t>
  </si>
  <si>
    <t>THE DEAN &amp; PRINCIPAL</t>
  </si>
  <si>
    <t>CURRENT YEAR 2017-18</t>
  </si>
  <si>
    <t>ENSUING YEAR 2018-19</t>
  </si>
  <si>
    <t>FY-2018-19</t>
  </si>
  <si>
    <t>SD</t>
  </si>
  <si>
    <t>Expenses for 2018-19</t>
  </si>
  <si>
    <t>On Line Revenue Collection System (RCS) Exp.</t>
  </si>
  <si>
    <t>Total Arrear</t>
  </si>
  <si>
    <t>Bill distribution and revenue realisation</t>
  </si>
  <si>
    <t>SOUBHAGYA</t>
  </si>
  <si>
    <t>14.57.6852</t>
  </si>
  <si>
    <t>Collection Through- RCS</t>
  </si>
  <si>
    <t xml:space="preserve"> Receivable/Payable-OPTCL</t>
  </si>
  <si>
    <t>Receivable/Payable-OPTCL</t>
  </si>
  <si>
    <t>RECOVERY  FOR COMPENSATION  TO SPOUSE</t>
  </si>
  <si>
    <t>TDS on CGST</t>
  </si>
  <si>
    <t>TDS on OGST</t>
  </si>
  <si>
    <t>Liability for CGST</t>
  </si>
  <si>
    <t>Liability for OGST</t>
  </si>
  <si>
    <t>LOAN FROM UNION BANK OF INDIA</t>
  </si>
  <si>
    <t>Meter Testing Fees</t>
  </si>
  <si>
    <t>Tree cutting Expenses</t>
  </si>
  <si>
    <t>TDS on Pension</t>
  </si>
  <si>
    <t>Fooding Expenses</t>
  </si>
  <si>
    <t>2019-20</t>
  </si>
  <si>
    <t>AS ON 31-3-20</t>
  </si>
  <si>
    <t>Allocation of Employee Cost for 2019-20</t>
  </si>
  <si>
    <t>7 th Pay Commission Arrear Salary for           FY 16-17 &amp; FY 2017-18</t>
  </si>
  <si>
    <t>31.03.20</t>
  </si>
  <si>
    <t>Statement of Approval Vs. Actual/ Estimate for the year 2018-19</t>
  </si>
  <si>
    <t>FY 2019-20</t>
  </si>
  <si>
    <t>Check</t>
  </si>
  <si>
    <t>20 Nos for FY 14-15 and each Subdivision 1 nos for 2019-20</t>
  </si>
  <si>
    <t>Media Campaign</t>
  </si>
  <si>
    <t>As on 31.03.20</t>
  </si>
  <si>
    <t>General Purpose  &gt;=110 KVA</t>
  </si>
  <si>
    <t>Others if any including Cyclone Titli</t>
  </si>
  <si>
    <t>Cyclone fund-TITLI</t>
  </si>
  <si>
    <t>14.57.6221</t>
  </si>
  <si>
    <r>
      <t>Service Connection-Medium &amp; Low Voltage-</t>
    </r>
    <r>
      <rPr>
        <b/>
        <sz val="10"/>
        <rFont val="Arial"/>
        <family val="2"/>
      </rPr>
      <t>Employee Cost</t>
    </r>
  </si>
  <si>
    <t>14.57.6222</t>
  </si>
  <si>
    <r>
      <t>Service Connection-Medium &amp; Low Voltage-</t>
    </r>
    <r>
      <rPr>
        <b/>
        <sz val="10"/>
        <rFont val="Arial"/>
        <family val="2"/>
      </rPr>
      <t>Material Cost</t>
    </r>
  </si>
  <si>
    <t>14.57.6223</t>
  </si>
  <si>
    <r>
      <t>Service Connection-Medium &amp; Low Voltage-</t>
    </r>
    <r>
      <rPr>
        <b/>
        <sz val="10"/>
        <rFont val="Arial"/>
        <family val="2"/>
      </rPr>
      <t>Contract Payment</t>
    </r>
  </si>
  <si>
    <t>14.57.6224</t>
  </si>
  <si>
    <r>
      <t xml:space="preserve">Service Connection-Medium &amp; Low Voltage- </t>
    </r>
    <r>
      <rPr>
        <b/>
        <sz val="10"/>
        <rFont val="Arial"/>
        <family val="2"/>
      </rPr>
      <t>Overhead &amp; Others</t>
    </r>
  </si>
  <si>
    <t>14.57.6311</t>
  </si>
  <si>
    <r>
      <t xml:space="preserve">Metering Equipment- </t>
    </r>
    <r>
      <rPr>
        <b/>
        <sz val="10"/>
        <rFont val="Arial"/>
        <family val="2"/>
      </rPr>
      <t>Employees Cost</t>
    </r>
  </si>
  <si>
    <t>14.57.6312</t>
  </si>
  <si>
    <r>
      <t xml:space="preserve">Metering Equipment- </t>
    </r>
    <r>
      <rPr>
        <b/>
        <sz val="10"/>
        <rFont val="Arial"/>
        <family val="2"/>
      </rPr>
      <t>Material Cost</t>
    </r>
    <r>
      <rPr>
        <sz val="10"/>
        <rFont val="Arial"/>
        <family val="2"/>
      </rPr>
      <t xml:space="preserve"> </t>
    </r>
  </si>
  <si>
    <t>14.57.6313</t>
  </si>
  <si>
    <r>
      <t xml:space="preserve">Metering Equipment- </t>
    </r>
    <r>
      <rPr>
        <b/>
        <sz val="10"/>
        <rFont val="Arial"/>
        <family val="2"/>
      </rPr>
      <t>Contract Payment</t>
    </r>
    <r>
      <rPr>
        <sz val="10"/>
        <rFont val="Arial"/>
        <family val="2"/>
      </rPr>
      <t xml:space="preserve"> </t>
    </r>
  </si>
  <si>
    <t>14.57.6314</t>
  </si>
  <si>
    <r>
      <t xml:space="preserve">Metering Equipment- </t>
    </r>
    <r>
      <rPr>
        <b/>
        <sz val="10"/>
        <rFont val="Arial"/>
        <family val="2"/>
      </rPr>
      <t>Overhead &amp; Others</t>
    </r>
  </si>
  <si>
    <t>14.57.6031</t>
  </si>
  <si>
    <r>
      <t xml:space="preserve">Overhead Lines-Towers, Poles, Fixture, Overhead conductors and devices- voltage not higher than 13.2 KVA- </t>
    </r>
    <r>
      <rPr>
        <b/>
        <sz val="10"/>
        <rFont val="Arial"/>
        <family val="2"/>
      </rPr>
      <t>Employees Cost.</t>
    </r>
  </si>
  <si>
    <t>14.57.6032</t>
  </si>
  <si>
    <r>
      <t xml:space="preserve">Overhead Lines-Towers, Poles, Fixture, Overhead conductors and devices- voltage not higher than 13.2 KVA- </t>
    </r>
    <r>
      <rPr>
        <b/>
        <sz val="10"/>
        <rFont val="Arial"/>
        <family val="2"/>
      </rPr>
      <t>Material Cost.</t>
    </r>
  </si>
  <si>
    <t>14.57.6033</t>
  </si>
  <si>
    <r>
      <t xml:space="preserve">Overhead Lines-Towers, Poles, Fixture, Overhead conductors and devices- voltage not higher than 13.2 KVA- </t>
    </r>
    <r>
      <rPr>
        <b/>
        <sz val="10"/>
        <rFont val="Arial"/>
        <family val="2"/>
      </rPr>
      <t>Contract Payment.</t>
    </r>
  </si>
  <si>
    <t>14.57.6034</t>
  </si>
  <si>
    <r>
      <t xml:space="preserve">Overhead Lines-Towers, Poles, Fixture, Overhead conductors and devices- voltage not higher than 13.2 KVA- </t>
    </r>
    <r>
      <rPr>
        <b/>
        <sz val="10"/>
        <rFont val="Arial"/>
        <family val="2"/>
      </rPr>
      <t>Overheads &amp; Other cost</t>
    </r>
  </si>
  <si>
    <t>14.57.6021</t>
  </si>
  <si>
    <r>
      <t xml:space="preserve">Overhead Lines-Towers, Poles, Fixture, Overhead conductors and devices- voltage not higher than 13.2 KVA but not exceeding 66 KVA- </t>
    </r>
    <r>
      <rPr>
        <b/>
        <sz val="10"/>
        <rFont val="Arial"/>
        <family val="2"/>
      </rPr>
      <t>Employees Cost.</t>
    </r>
  </si>
  <si>
    <t>14.57.6022</t>
  </si>
  <si>
    <r>
      <t xml:space="preserve">Overhead Lines-Towers, Poles, Fixture, Overhead conductors and devices- voltage not higher than 13.2 KVA but not exceeding 66 KVA - </t>
    </r>
    <r>
      <rPr>
        <b/>
        <sz val="10"/>
        <rFont val="Arial"/>
        <family val="2"/>
      </rPr>
      <t>Material Cost.</t>
    </r>
  </si>
  <si>
    <t>14.57.6023</t>
  </si>
  <si>
    <r>
      <t xml:space="preserve">Overhead Lines-Towers, Poles, Fixture, Overhead conductors and devices- voltage not higher than 13.2 KVA but not exceeding 66 KVA - </t>
    </r>
    <r>
      <rPr>
        <b/>
        <sz val="10"/>
        <rFont val="Arial"/>
        <family val="2"/>
      </rPr>
      <t>Contract Payment.</t>
    </r>
  </si>
  <si>
    <t>14.57.6024</t>
  </si>
  <si>
    <r>
      <t xml:space="preserve">Overhead Lines-Towers, Poles, Fixture, Overhead conductors and devices- voltage not higher than 13.2 KVA but not exceeding 66 KVA - </t>
    </r>
    <r>
      <rPr>
        <b/>
        <sz val="12"/>
        <rFont val="Arial"/>
        <family val="2"/>
      </rPr>
      <t>Overheads &amp; Other cost</t>
    </r>
  </si>
  <si>
    <t>14.57.6011</t>
  </si>
  <si>
    <r>
      <t xml:space="preserve">Overhead Lines-Towers, Poles, Fixture, Overhead conductors and devices- voltage higher than 66 KVA - </t>
    </r>
    <r>
      <rPr>
        <b/>
        <sz val="10"/>
        <rFont val="Arial"/>
        <family val="2"/>
      </rPr>
      <t>Employees Cost.</t>
    </r>
  </si>
  <si>
    <t>14.57.6012</t>
  </si>
  <si>
    <r>
      <t xml:space="preserve">Overhead Lines-Towers, Poles, Fixture, Overhead conductors and devices- voltage higher than 66 KVA - </t>
    </r>
    <r>
      <rPr>
        <b/>
        <sz val="10"/>
        <rFont val="Arial"/>
        <family val="2"/>
      </rPr>
      <t>Material Cost.</t>
    </r>
  </si>
  <si>
    <t>14.57.6013</t>
  </si>
  <si>
    <r>
      <t xml:space="preserve">Overhead Lines-Towers, Poles, Fixture, Overhead conductors and devices- voltage higher than 66 KVA - </t>
    </r>
    <r>
      <rPr>
        <b/>
        <sz val="10"/>
        <rFont val="Arial"/>
        <family val="2"/>
      </rPr>
      <t>Contract Payment.</t>
    </r>
  </si>
  <si>
    <t>14.57.6014</t>
  </si>
  <si>
    <r>
      <t xml:space="preserve">Overhead Lines-Towers, Poles, Fixture, Overhead conductors and devices- voltage higher than 66 KVA - </t>
    </r>
    <r>
      <rPr>
        <b/>
        <sz val="10"/>
        <rFont val="Arial"/>
        <family val="2"/>
      </rPr>
      <t>Overheads &amp; Other cost</t>
    </r>
  </si>
  <si>
    <t>14.57.5411</t>
  </si>
  <si>
    <r>
      <t xml:space="preserve">Transmission Plant- Transformers having a rating of 100 KVA and above- </t>
    </r>
    <r>
      <rPr>
        <b/>
        <sz val="9"/>
        <rFont val="Arial"/>
        <family val="2"/>
      </rPr>
      <t>Employees Cost.</t>
    </r>
  </si>
  <si>
    <t>14.57.5412</t>
  </si>
  <si>
    <r>
      <t xml:space="preserve">Transmission Plant- Transformers having a rating of 100 KVA and above- 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Material Cost.</t>
    </r>
  </si>
  <si>
    <t>14.57.5413</t>
  </si>
  <si>
    <r>
      <t xml:space="preserve">Transmission Plant- Transformers having a rating of 100 KVA and above- </t>
    </r>
    <r>
      <rPr>
        <b/>
        <sz val="10"/>
        <rFont val="Arial"/>
        <family val="2"/>
      </rPr>
      <t>Contract Payment.</t>
    </r>
  </si>
  <si>
    <t>14.57.5414</t>
  </si>
  <si>
    <r>
      <t>Transmission Plant- Transformers having a rating of 100 KVA and above</t>
    </r>
    <r>
      <rPr>
        <sz val="10"/>
        <rFont val="Arial"/>
        <family val="2"/>
      </rPr>
      <t xml:space="preserve"> - </t>
    </r>
    <r>
      <rPr>
        <b/>
        <sz val="8"/>
        <rFont val="Arial"/>
        <family val="2"/>
      </rPr>
      <t>Overheads &amp; Other cost</t>
    </r>
  </si>
  <si>
    <t>14.57.5421</t>
  </si>
  <si>
    <r>
      <t>Other Transformers</t>
    </r>
    <r>
      <rPr>
        <sz val="9"/>
        <rFont val="Arial"/>
        <family val="2"/>
      </rPr>
      <t xml:space="preserve">- </t>
    </r>
    <r>
      <rPr>
        <b/>
        <sz val="9"/>
        <rFont val="Arial"/>
        <family val="2"/>
      </rPr>
      <t>Employees Cost.</t>
    </r>
  </si>
  <si>
    <t>14.57.5422</t>
  </si>
  <si>
    <r>
      <t>Other Transformers</t>
    </r>
    <r>
      <rPr>
        <sz val="9"/>
        <rFont val="Arial"/>
        <family val="2"/>
      </rPr>
      <t xml:space="preserve"> - 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Material Cost.</t>
    </r>
  </si>
  <si>
    <t>14.57.5423</t>
  </si>
  <si>
    <r>
      <t>Other Transformers</t>
    </r>
    <r>
      <rPr>
        <sz val="9"/>
        <rFont val="Arial"/>
        <family val="2"/>
      </rPr>
      <t xml:space="preserve"> - </t>
    </r>
    <r>
      <rPr>
        <b/>
        <sz val="10"/>
        <rFont val="Arial"/>
        <family val="2"/>
      </rPr>
      <t>Contract Payment.</t>
    </r>
  </si>
  <si>
    <t>14.57.5424</t>
  </si>
  <si>
    <r>
      <t>Other Transformers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 xml:space="preserve">- </t>
    </r>
    <r>
      <rPr>
        <b/>
        <sz val="9"/>
        <rFont val="Arial"/>
        <family val="2"/>
      </rPr>
      <t>Overheads &amp; Other cost</t>
    </r>
  </si>
  <si>
    <t>14.57.6851</t>
  </si>
  <si>
    <r>
      <t>Miscellaneous equipment</t>
    </r>
    <r>
      <rPr>
        <b/>
        <sz val="8"/>
        <rFont val="Arial"/>
        <family val="2"/>
      </rPr>
      <t xml:space="preserve">- </t>
    </r>
    <r>
      <rPr>
        <b/>
        <sz val="10"/>
        <rFont val="Arial"/>
        <family val="2"/>
      </rPr>
      <t>Employee costs</t>
    </r>
  </si>
  <si>
    <r>
      <t>Miscellaneous equipment</t>
    </r>
    <r>
      <rPr>
        <b/>
        <sz val="8"/>
        <rFont val="Arial"/>
        <family val="2"/>
      </rPr>
      <t xml:space="preserve">- </t>
    </r>
    <r>
      <rPr>
        <b/>
        <sz val="10"/>
        <rFont val="Arial"/>
        <family val="2"/>
      </rPr>
      <t>Material Cost.</t>
    </r>
  </si>
  <si>
    <t>14.57.6853</t>
  </si>
  <si>
    <r>
      <t xml:space="preserve">Miscellaneous equipment- </t>
    </r>
    <r>
      <rPr>
        <b/>
        <sz val="10"/>
        <rFont val="Arial"/>
        <family val="2"/>
      </rPr>
      <t>Contract Payment.</t>
    </r>
  </si>
  <si>
    <t>14.57.6854</t>
  </si>
  <si>
    <r>
      <t xml:space="preserve">Miscellaneous equipment- </t>
    </r>
    <r>
      <rPr>
        <b/>
        <sz val="9"/>
        <rFont val="Arial"/>
        <family val="2"/>
      </rPr>
      <t>Overheads &amp; Other cost</t>
    </r>
  </si>
  <si>
    <t>14.57.9902</t>
  </si>
  <si>
    <r>
      <t>Other Office Equipment</t>
    </r>
    <r>
      <rPr>
        <sz val="9"/>
        <rFont val="Arial"/>
        <family val="2"/>
      </rPr>
      <t xml:space="preserve">- </t>
    </r>
    <r>
      <rPr>
        <b/>
        <sz val="10"/>
        <rFont val="Arial"/>
        <family val="2"/>
      </rPr>
      <t>Material Cost.</t>
    </r>
  </si>
  <si>
    <t>14.57.9903</t>
  </si>
  <si>
    <r>
      <t>Other Office Equipment</t>
    </r>
    <r>
      <rPr>
        <sz val="9"/>
        <rFont val="Arial"/>
        <family val="2"/>
      </rPr>
      <t xml:space="preserve">- </t>
    </r>
    <r>
      <rPr>
        <b/>
        <sz val="10"/>
        <rFont val="Arial"/>
        <family val="2"/>
      </rPr>
      <t>Contract Payment.</t>
    </r>
  </si>
  <si>
    <t>N (a)</t>
  </si>
  <si>
    <t>TITLI</t>
  </si>
  <si>
    <t>14.TRW.5412</t>
  </si>
  <si>
    <t>14.TRW.5413</t>
  </si>
  <si>
    <t>14.TRW.5414</t>
  </si>
  <si>
    <t>14.TRW.5422</t>
  </si>
  <si>
    <t>Transformer-Material cost</t>
  </si>
  <si>
    <t>14.TRW.5423</t>
  </si>
  <si>
    <t>14.TRW.5424</t>
  </si>
  <si>
    <t>14.TRW.6022</t>
  </si>
  <si>
    <t>Overhead Lines (cables, poles &amp; other materials)- Material cost</t>
  </si>
  <si>
    <t>14.TRW.6023</t>
  </si>
  <si>
    <t>Overhead Lines (cables, poles &amp; other materials)- Contractor payment</t>
  </si>
  <si>
    <t>14.TRW.6024</t>
  </si>
  <si>
    <t>Boundry wall for Sub Station- Cyclone-T</t>
  </si>
  <si>
    <t>14.TRW.9902</t>
  </si>
  <si>
    <t>14.TRW.8202</t>
  </si>
  <si>
    <t>Furniture &amp; Fixture in Admn. Building</t>
  </si>
  <si>
    <t>14.TRW.8602</t>
  </si>
  <si>
    <t>Electrical Wiring, Light,Fan  Installation etc. in Admn. Bulding</t>
  </si>
  <si>
    <t>Capital Materials Purchase- Electric Light fittings &amp; Others</t>
  </si>
  <si>
    <t>22.201T</t>
  </si>
  <si>
    <t>22.203T</t>
  </si>
  <si>
    <t>22.204T</t>
  </si>
  <si>
    <t>22.205T</t>
  </si>
  <si>
    <t>22.206T</t>
  </si>
  <si>
    <t>22.207T</t>
  </si>
  <si>
    <t>22.208T</t>
  </si>
  <si>
    <t>22.209T</t>
  </si>
  <si>
    <t>22.210T</t>
  </si>
  <si>
    <t>22.213T</t>
  </si>
  <si>
    <t>22.219T</t>
  </si>
  <si>
    <t>22.221T</t>
  </si>
  <si>
    <t>22.223T</t>
  </si>
  <si>
    <t>22.224T</t>
  </si>
  <si>
    <t>22.225T</t>
  </si>
  <si>
    <t>22.226T</t>
  </si>
  <si>
    <t>22.227T</t>
  </si>
  <si>
    <t>22.228T</t>
  </si>
  <si>
    <t>22.229T</t>
  </si>
  <si>
    <t>22.230T</t>
  </si>
  <si>
    <t>22.239T</t>
  </si>
  <si>
    <t>Capital Materials Purchase- Electric Light fittings&amp; Others</t>
  </si>
  <si>
    <t>22.301T</t>
  </si>
  <si>
    <t>22.303T</t>
  </si>
  <si>
    <t>22.304T</t>
  </si>
  <si>
    <t>22.305T</t>
  </si>
  <si>
    <t>22.306T</t>
  </si>
  <si>
    <t>22.307T</t>
  </si>
  <si>
    <t>22.308T</t>
  </si>
  <si>
    <t>22.309T</t>
  </si>
  <si>
    <t>22.310T</t>
  </si>
  <si>
    <t>22.313T</t>
  </si>
  <si>
    <t>22.319T</t>
  </si>
  <si>
    <t>22.321T</t>
  </si>
  <si>
    <t>22.323T</t>
  </si>
  <si>
    <t>22.324T</t>
  </si>
  <si>
    <t>22.325T</t>
  </si>
  <si>
    <t>22.326T</t>
  </si>
  <si>
    <t>22.327T</t>
  </si>
  <si>
    <t>22.328T</t>
  </si>
  <si>
    <t>22.329T</t>
  </si>
  <si>
    <t>22.330T</t>
  </si>
  <si>
    <t>22.339T</t>
  </si>
  <si>
    <t>22.601T</t>
  </si>
  <si>
    <t>22.603T</t>
  </si>
  <si>
    <t>22.604T</t>
  </si>
  <si>
    <t>22.605T</t>
  </si>
  <si>
    <t>22.606T</t>
  </si>
  <si>
    <t>22.607T</t>
  </si>
  <si>
    <t>22.608T</t>
  </si>
  <si>
    <t>22.609T</t>
  </si>
  <si>
    <t>22.610T</t>
  </si>
  <si>
    <t>22.613T</t>
  </si>
  <si>
    <t>22.619T</t>
  </si>
  <si>
    <t>22.621T</t>
  </si>
  <si>
    <t>22.623T</t>
  </si>
  <si>
    <t>22.624T</t>
  </si>
  <si>
    <t>22.625T</t>
  </si>
  <si>
    <t>22.626T</t>
  </si>
  <si>
    <t>22.627T</t>
  </si>
  <si>
    <t>22.628T</t>
  </si>
  <si>
    <t>22.629T</t>
  </si>
  <si>
    <t>22.630T</t>
  </si>
  <si>
    <t>22.639T</t>
  </si>
  <si>
    <t>22.640T</t>
  </si>
  <si>
    <t>Material at site –SOUBHAGYA- CAPITAL</t>
  </si>
  <si>
    <t>22.650T</t>
  </si>
  <si>
    <t>24.114T</t>
  </si>
  <si>
    <t>Cash in Hand as per Cyclone Fund-T</t>
  </si>
  <si>
    <t>24.251T</t>
  </si>
  <si>
    <t>Temporary Advance with Officers for Cyclone-T</t>
  </si>
  <si>
    <t>24.422T</t>
  </si>
  <si>
    <t>Cash at bank- Cyclone Fund- T</t>
  </si>
  <si>
    <t>Cash at Bank- SOUBHAGYA</t>
  </si>
  <si>
    <t>Cash at Bank BGJY</t>
  </si>
  <si>
    <t>Advance to Suppliers-SOUBHAGYA</t>
  </si>
  <si>
    <t>26.508T</t>
  </si>
  <si>
    <t>Advance to Suppliers (Cyclone T)</t>
  </si>
  <si>
    <t>26.509T</t>
  </si>
  <si>
    <t>Advance to Labour Contractors (Cyclone T)</t>
  </si>
  <si>
    <t>26.510T</t>
  </si>
  <si>
    <t>Advance to Others (Cyclone T)</t>
  </si>
  <si>
    <t>TDS refund receivable on GRANT - SOUBHAGY</t>
  </si>
  <si>
    <t>TDS on GST Receivable</t>
  </si>
  <si>
    <t>TDS refund receivable on GRANT - BGJY(SOU)</t>
  </si>
  <si>
    <t xml:space="preserve"> Payable to REC ltd LTD.</t>
  </si>
  <si>
    <t>Payable to REC Ltd-SOUBHAGYA</t>
  </si>
  <si>
    <t>Head Office</t>
  </si>
  <si>
    <t>PSED, Pursottampur</t>
  </si>
  <si>
    <t>HED, Hinjilikatu</t>
  </si>
  <si>
    <t>Inter-unit A/c - Other non-cash items- SOUBHAGYA</t>
  </si>
  <si>
    <t>Liability for Supply of SOUBHAGYA Materials-CAPITAL</t>
  </si>
  <si>
    <t>Liability for  Labour Charges- SOUBHAGYA</t>
  </si>
  <si>
    <t>43.114T</t>
  </si>
  <si>
    <t>Liability for Supply of Material (Cyclone T)</t>
  </si>
  <si>
    <t>43.115T</t>
  </si>
  <si>
    <t>Liability for Labour Charges (Cyclone T)</t>
  </si>
  <si>
    <t>43.116T</t>
  </si>
  <si>
    <t>Liability for Others (Cyclone T)</t>
  </si>
  <si>
    <t>Retention money from Suppliers-SOUBHAGYA - Capital</t>
  </si>
  <si>
    <t>Earnest Money Deposit Capital -SOUBHAGYA – Capital</t>
  </si>
  <si>
    <t>Penalty from Sulppliers-SOUBHAGYA</t>
  </si>
  <si>
    <t>IT Deducted at Source-SAUBHAGYA</t>
  </si>
  <si>
    <t xml:space="preserve">TDS on IGST/CGST-SOUBHAGYA </t>
  </si>
  <si>
    <t>TDS on SGST-SOUBHAGYA</t>
  </si>
  <si>
    <t xml:space="preserve">Liability for IGST/CGST-SOUBHAGYA </t>
  </si>
  <si>
    <t xml:space="preserve"> Liability for SGST-SOUBHAGYA</t>
  </si>
  <si>
    <t>46.954T</t>
  </si>
  <si>
    <t>Income Tax Deducted at source on payment to Contractors  (Cyclone-T)</t>
  </si>
  <si>
    <t>46.955T</t>
  </si>
  <si>
    <t>Income Tax deducted at source on other Pyt. (Cyclone-T)</t>
  </si>
  <si>
    <t>46.927T</t>
  </si>
  <si>
    <t>TDS on IGST/ CGST</t>
  </si>
  <si>
    <t>46.928T</t>
  </si>
  <si>
    <t>TDS on SGST</t>
  </si>
  <si>
    <t>46.942T</t>
  </si>
  <si>
    <t>Liability for  IGST/ CGST</t>
  </si>
  <si>
    <t>46.943T</t>
  </si>
  <si>
    <t>Liability for SGST</t>
  </si>
  <si>
    <t>46.948T</t>
  </si>
  <si>
    <t>Orissa Building &amp; other construction work (Cyclone-T)</t>
  </si>
  <si>
    <t>Orissa Building &amp; other construction work -SOUBHAGYA</t>
  </si>
  <si>
    <t>Grant -in - Aid -Capital - SOUBHAGYA</t>
  </si>
  <si>
    <t>Grant -in - Aid -Capital -  BGJY SOUBHAGYA</t>
  </si>
  <si>
    <t>Grant -in - Aid -Capital -  PEETHA</t>
  </si>
  <si>
    <t>Interest earned on GRANT- SOUBHAGYA</t>
  </si>
  <si>
    <t>Interest earned on GRANT- BGJY(SOU)</t>
  </si>
  <si>
    <t>74.156T</t>
  </si>
  <si>
    <t>Wages to temporary Workers(Cyclone-T)</t>
  </si>
  <si>
    <t>74.157T</t>
  </si>
  <si>
    <t>Fooding Charges to  workers(Cyclone-T)</t>
  </si>
  <si>
    <t>74.172T</t>
  </si>
  <si>
    <t>Transport expenses (Cyclone-T)</t>
  </si>
  <si>
    <t>74.173T</t>
  </si>
  <si>
    <t>Hire charges of vehicles (Cyclone-T)-Trucks</t>
  </si>
  <si>
    <t>74.174T</t>
  </si>
  <si>
    <t>Hire charges of vehicles (Cyclone-T)-Tractors</t>
  </si>
  <si>
    <t>74.175T</t>
  </si>
  <si>
    <t>Hire charges of vehicles (Cyclone-T)-JCBs</t>
  </si>
  <si>
    <t>74.177T</t>
  </si>
  <si>
    <t>Outside Crane Charges (Cyclone-T)</t>
  </si>
  <si>
    <t>74.180T</t>
  </si>
  <si>
    <t>R/M to Sub station (Cyclone-T)-Material issued from stores</t>
  </si>
  <si>
    <t>74.181T</t>
  </si>
  <si>
    <t>R/M to Sub station(Cyclone-T) -Payments to Contractors &amp; other outside parties</t>
  </si>
  <si>
    <t>74.182T</t>
  </si>
  <si>
    <t>R/M to Transfermers  (Cyclone-T)-Material issued from stores</t>
  </si>
  <si>
    <t>74.183T</t>
  </si>
  <si>
    <t>R/M to Transfermers (Cyclone-T) -Payments to Contractors &amp; other outside parties</t>
  </si>
  <si>
    <t>74.187T</t>
  </si>
  <si>
    <t>R &amp; M Misc. Equipments(Cyclone-T)-  Mat. Issued from Stores</t>
  </si>
  <si>
    <t>74.188T</t>
  </si>
  <si>
    <t>R &amp; M Misc. Equipments(Cyclone-T)-Materials Purchased Directly</t>
  </si>
  <si>
    <t>74.189T</t>
  </si>
  <si>
    <t>R &amp; M Misc. Equipments(Cyclone-T)-Payments to Contractors &amp; others- Misc equipments</t>
  </si>
  <si>
    <t>74.292T</t>
  </si>
  <si>
    <t xml:space="preserve">R &amp; M to office Buildings(Cyclone-T)- Materials Purchased  Directly </t>
  </si>
  <si>
    <t>74.293T</t>
  </si>
  <si>
    <t xml:space="preserve"> R/M to Office Building(Cyclone-T)-Payments to Contractors &amp; other outside parties</t>
  </si>
  <si>
    <t>74.580T</t>
  </si>
  <si>
    <t>R/M to LT Lines (cable ,Poles &amp; Others) (Cyclone-T)-Materials issued from Stores</t>
  </si>
  <si>
    <t>74.581T</t>
  </si>
  <si>
    <t>R/M to LT Lines (cable ,Poles &amp; Others)(Cyclone-T)-Materials purchased Directly</t>
  </si>
  <si>
    <t>74.582T</t>
  </si>
  <si>
    <t>R/M to 11 KV Lines (cable ,Poles &amp; Others)(Cyclone-T)-Materials issued from Stores</t>
  </si>
  <si>
    <t>74.583T</t>
  </si>
  <si>
    <t>R/M to 11 KV Lines (cable ,Poles &amp; Others)(Cyclone-T)-Materials purchased Directly</t>
  </si>
  <si>
    <t>74.584T</t>
  </si>
  <si>
    <t>R/M to 33 KV Lines (cable ,Poles &amp; Others)(Cyclone-T)-Materials issued from Stores</t>
  </si>
  <si>
    <t>74.585T</t>
  </si>
  <si>
    <t>R/M to 33 KV Lines (cable ,Poles &amp; Others)(Cyclone-T)-Materials purchased Directly</t>
  </si>
  <si>
    <t>74.628T</t>
  </si>
  <si>
    <t>R/M to Vehicle (Cyclone-T)- Truck-Materials Purchased Directly</t>
  </si>
  <si>
    <t>74.629T</t>
  </si>
  <si>
    <t>R/M to Vehicle (Cyclone-T)- Truck-Payments to Contractors &amp; other outside parties</t>
  </si>
  <si>
    <t>74.630T</t>
  </si>
  <si>
    <t>R/M to Other Vehcle(Cyclone-T) -Payments to Contractors &amp; other outside parties</t>
  </si>
  <si>
    <t>74.729T</t>
  </si>
  <si>
    <t>R/M to Furnitures &amp; fixtures in Adm. Office (Cyclone-T)- Materials purchased directly</t>
  </si>
  <si>
    <t>74.730T</t>
  </si>
  <si>
    <t>R/M to Furnitures &amp; fixtures in Adm. Office(Cyclone-T) -Payments to Contractors &amp; other outside parties</t>
  </si>
  <si>
    <t>74.731T</t>
  </si>
  <si>
    <t xml:space="preserve">R&amp;M to Electrical Wiring , Light, Fan in  Other Locations(Cyclone-T)-Materials purchased directly </t>
  </si>
  <si>
    <t>74.732T</t>
  </si>
  <si>
    <t>R&amp;M to Electrical Wiring , Light, Fan in Other Locations(Cyclone-T)- Payments to Contractors &amp; other outside parties</t>
  </si>
  <si>
    <t>74.817T</t>
  </si>
  <si>
    <t>R/M to  Office equipements(Cyclone-T)- Materials purcahsed directly</t>
  </si>
  <si>
    <t>74.818T</t>
  </si>
  <si>
    <t>R/M to  Office equipements(Cyclone-T)- Payment to contractors</t>
  </si>
  <si>
    <t>76.145T</t>
  </si>
  <si>
    <t>Travelling expenses (Cyclone-T)</t>
  </si>
  <si>
    <t>76.146T</t>
  </si>
  <si>
    <t>Vehicle running expenses (Cyclone-T)</t>
  </si>
  <si>
    <t>76.147T</t>
  </si>
  <si>
    <t>Fuel  charges of vehicles (Cyclone-T)</t>
  </si>
  <si>
    <t>76.148T</t>
  </si>
  <si>
    <t>Miscellaneous expenses (Cyclone-T)</t>
  </si>
  <si>
    <t>76.149T</t>
  </si>
  <si>
    <t>Lodging &amp; Boarding Expenses (Cyclone-T)</t>
  </si>
  <si>
    <t>Ama Ghare LED</t>
  </si>
  <si>
    <t>Power for All</t>
  </si>
  <si>
    <t xml:space="preserve">          Less: R &amp; M of P &amp; M and Distribution Systems in Cyclone- TITLI</t>
  </si>
  <si>
    <t xml:space="preserve">          Less: R &amp; M of Other Asset in Cyclone- TITLI</t>
  </si>
  <si>
    <t>PEETHA Programme</t>
  </si>
  <si>
    <t xml:space="preserve">         Less:AMA Ghara LED</t>
  </si>
  <si>
    <t xml:space="preserve">            Balance as per last Balance Sheet</t>
  </si>
  <si>
    <t xml:space="preserve">      2.  Cyclone TITLI</t>
  </si>
  <si>
    <t xml:space="preserve">         Add: Received during the year-TITLI</t>
  </si>
  <si>
    <t xml:space="preserve">            Less : Adjustment against depreciation -TITLI</t>
  </si>
  <si>
    <t xml:space="preserve">            Less : Appropriated to Statement of Profit and Loss-PEETHA</t>
  </si>
  <si>
    <t xml:space="preserve">            Add: Received during the year-PEETHA</t>
  </si>
  <si>
    <t xml:space="preserve">      Amount payable to REC Ltd.- SOUBHAGYA</t>
  </si>
  <si>
    <t>2020-21</t>
  </si>
  <si>
    <t>Drawn during 2020-21</t>
  </si>
  <si>
    <t>01.01.2018</t>
  </si>
  <si>
    <t>01.07.2018</t>
  </si>
  <si>
    <t>01.01.2020</t>
  </si>
  <si>
    <t>01.07.2020</t>
  </si>
  <si>
    <t>01.01.2021</t>
  </si>
  <si>
    <t xml:space="preserve">Tech      </t>
  </si>
  <si>
    <t xml:space="preserve">Tech        </t>
  </si>
  <si>
    <t xml:space="preserve">Tech    </t>
  </si>
  <si>
    <t xml:space="preserve">  Tech    </t>
  </si>
  <si>
    <t>Recruitment during 20-21</t>
  </si>
  <si>
    <t>Retirement during 20-21</t>
  </si>
  <si>
    <t>AS ON 31-3-21</t>
  </si>
  <si>
    <t>No of Employee Retiring in 2020-21 are as follows</t>
  </si>
  <si>
    <t>Sr. General Manager</t>
  </si>
  <si>
    <t>Basic for the Yr</t>
  </si>
  <si>
    <t>Electrician C</t>
  </si>
  <si>
    <t>Mate</t>
  </si>
  <si>
    <t>Sr. Chargeman</t>
  </si>
  <si>
    <t>Average Basic pay of Executives</t>
  </si>
  <si>
    <t>Average Basic pay of Non-Executives</t>
  </si>
  <si>
    <t>Total Addl. Emp. Cost             (9 to 11)</t>
  </si>
  <si>
    <t>31.03.21</t>
  </si>
  <si>
    <t xml:space="preserve">Total </t>
  </si>
  <si>
    <t>Actrial Valuation of Employee Trust  as on 31-3-20 by M/s Bhudev Report</t>
  </si>
  <si>
    <t>Amt. of terminal liability for 2019-20</t>
  </si>
  <si>
    <t>Interest  2020-21</t>
  </si>
  <si>
    <t>FY 2020-21</t>
  </si>
  <si>
    <t>Int. on SD @ 6.5%</t>
  </si>
  <si>
    <t>Projected as on 31.03.2021</t>
  </si>
  <si>
    <t>Acturial Valuation of Employee Trust  as on 31-3-21 by M/s Bhudev Report</t>
  </si>
  <si>
    <t>Approved for FY 2019-20</t>
  </si>
  <si>
    <t>Grant-SOUBAGYA</t>
  </si>
  <si>
    <t>Grant-PEETHA</t>
  </si>
  <si>
    <t>Electrical Compensation</t>
  </si>
  <si>
    <t>IPDS Phase -II</t>
  </si>
  <si>
    <t xml:space="preserve">DC Hardware </t>
  </si>
  <si>
    <t>DC Software</t>
  </si>
  <si>
    <t>DC Cost (Other Items)</t>
  </si>
  <si>
    <t>CCC</t>
  </si>
  <si>
    <t>Townwise BOQ</t>
  </si>
  <si>
    <t>SIs Impl. Cost</t>
  </si>
  <si>
    <t>DRC on Cloud</t>
  </si>
  <si>
    <t>Bandwidth Charges</t>
  </si>
  <si>
    <t xml:space="preserve">DC Cost </t>
  </si>
  <si>
    <t>IPDS (Phase I&amp;II)</t>
  </si>
  <si>
    <t>As on Sept-19</t>
  </si>
  <si>
    <t>DDUGJY NEW</t>
  </si>
  <si>
    <t>Metering,Billing and Collection (MBC) Expenses</t>
  </si>
  <si>
    <t>SPOT BILLING AND COLLECTION EXPENSES FOR FY 2020-21</t>
  </si>
  <si>
    <t>Details of Expenses</t>
  </si>
  <si>
    <t>Consumer Billed</t>
  </si>
  <si>
    <t xml:space="preserve">Rate (Rs.) </t>
  </si>
  <si>
    <t>Amount (Rs. In Cr.)</t>
  </si>
  <si>
    <t>1)  Spot Billing Charge</t>
  </si>
  <si>
    <t>2) Revenue Collection Charge</t>
  </si>
  <si>
    <t>3) IT Support Service for billing</t>
  </si>
  <si>
    <t>3) Support Service (MBC)</t>
  </si>
  <si>
    <t>14.FANI.5412</t>
  </si>
  <si>
    <t>14.FANI.5413</t>
  </si>
  <si>
    <t>14.FANI.5414</t>
  </si>
  <si>
    <t>14.FANI.5422</t>
  </si>
  <si>
    <t>14.FANI.5423</t>
  </si>
  <si>
    <t>14.FANI.5424</t>
  </si>
  <si>
    <t>14.FANI.6022</t>
  </si>
  <si>
    <t>14.FANI.6023</t>
  </si>
  <si>
    <t>14.FANI.6024</t>
  </si>
  <si>
    <t>Boundry wall for Sub Station- Cyclone-F</t>
  </si>
  <si>
    <t>14.FANI.9902</t>
  </si>
  <si>
    <t>14.FANI.8202</t>
  </si>
  <si>
    <t>14.FANI.8602</t>
  </si>
  <si>
    <t>N (b)</t>
  </si>
  <si>
    <t>FANI</t>
  </si>
  <si>
    <t>22.201F</t>
  </si>
  <si>
    <t>22.203F</t>
  </si>
  <si>
    <t>22.204F</t>
  </si>
  <si>
    <t>22.205F</t>
  </si>
  <si>
    <t>22.206F</t>
  </si>
  <si>
    <t>22.207F</t>
  </si>
  <si>
    <t>22.208F</t>
  </si>
  <si>
    <t>22.209F</t>
  </si>
  <si>
    <t>22.210F</t>
  </si>
  <si>
    <t>22.213F</t>
  </si>
  <si>
    <t>22.219F</t>
  </si>
  <si>
    <t>22.221F</t>
  </si>
  <si>
    <t>22.223F</t>
  </si>
  <si>
    <t>22.224F</t>
  </si>
  <si>
    <t>22.225F</t>
  </si>
  <si>
    <t>22.226F</t>
  </si>
  <si>
    <t>22.227F</t>
  </si>
  <si>
    <t>22.228F</t>
  </si>
  <si>
    <t>22.229F</t>
  </si>
  <si>
    <t>22.230F</t>
  </si>
  <si>
    <t>22.239F</t>
  </si>
  <si>
    <t>22.301F</t>
  </si>
  <si>
    <t>22.303F</t>
  </si>
  <si>
    <t>22.304F</t>
  </si>
  <si>
    <t>22.305F</t>
  </si>
  <si>
    <t>22.306F</t>
  </si>
  <si>
    <t>22.307F</t>
  </si>
  <si>
    <t>22.308F</t>
  </si>
  <si>
    <t>22.309F</t>
  </si>
  <si>
    <t>22.310F</t>
  </si>
  <si>
    <t>22.313F</t>
  </si>
  <si>
    <t>22.319F</t>
  </si>
  <si>
    <t>22.321F</t>
  </si>
  <si>
    <t>22.323F</t>
  </si>
  <si>
    <t>22.324F</t>
  </si>
  <si>
    <t>22.325F</t>
  </si>
  <si>
    <t>22.326F</t>
  </si>
  <si>
    <t>22.327F</t>
  </si>
  <si>
    <t>22.328F</t>
  </si>
  <si>
    <t>22.329F</t>
  </si>
  <si>
    <t>22.330F</t>
  </si>
  <si>
    <t>22.339F</t>
  </si>
  <si>
    <t>22.601F</t>
  </si>
  <si>
    <t>22.603F</t>
  </si>
  <si>
    <t>22.604F</t>
  </si>
  <si>
    <t>22.605F</t>
  </si>
  <si>
    <t>22.606F</t>
  </si>
  <si>
    <t>22.607F</t>
  </si>
  <si>
    <t>22.608F</t>
  </si>
  <si>
    <t>22.609F</t>
  </si>
  <si>
    <t>22.610F</t>
  </si>
  <si>
    <t>22.613F</t>
  </si>
  <si>
    <t>22.619F</t>
  </si>
  <si>
    <t>22.621F</t>
  </si>
  <si>
    <t>22.623F</t>
  </si>
  <si>
    <t>22.624F</t>
  </si>
  <si>
    <t>22.625F</t>
  </si>
  <si>
    <t>22.626F</t>
  </si>
  <si>
    <t>22.627F</t>
  </si>
  <si>
    <t>22.628F</t>
  </si>
  <si>
    <t>22.629F</t>
  </si>
  <si>
    <t>22.630F</t>
  </si>
  <si>
    <t>22.639F</t>
  </si>
  <si>
    <t>22.640F</t>
  </si>
  <si>
    <t>22.650F</t>
  </si>
  <si>
    <t>24.114F</t>
  </si>
  <si>
    <t>Cash in Hand as per Cyclone Fund-F</t>
  </si>
  <si>
    <t>24.251F</t>
  </si>
  <si>
    <t>Temporary Advance with Officers for Cyclone-F</t>
  </si>
  <si>
    <t>24.422F</t>
  </si>
  <si>
    <t>Cash at bank- Cyclone Fund- F</t>
  </si>
  <si>
    <t>26.508F</t>
  </si>
  <si>
    <t>Advance to Suppliers (Cyclone F)</t>
  </si>
  <si>
    <t>26.509F</t>
  </si>
  <si>
    <t>Advance to Labour Contractors (Cyclone F)</t>
  </si>
  <si>
    <t>26.510F</t>
  </si>
  <si>
    <t>Advance to Others (Cyclone F)</t>
  </si>
  <si>
    <t>43.114F</t>
  </si>
  <si>
    <t>Liability for Supply of Material (Cyclone F)</t>
  </si>
  <si>
    <t>43.115F</t>
  </si>
  <si>
    <t>Liability for Labour Charges (Cyclone F)</t>
  </si>
  <si>
    <t>43.116F</t>
  </si>
  <si>
    <t>Liability for Others (Cyclone F)</t>
  </si>
  <si>
    <t>46.954F</t>
  </si>
  <si>
    <t>Income Tax Deducted at source on payment to Contractors  (Cyclone-F)</t>
  </si>
  <si>
    <t>46.955F</t>
  </si>
  <si>
    <t>Income Tax deducted at source on other Pyt. (Cyclone-F)</t>
  </si>
  <si>
    <t>46.927F</t>
  </si>
  <si>
    <t>46.928F</t>
  </si>
  <si>
    <t>46.942F</t>
  </si>
  <si>
    <t>46.943F</t>
  </si>
  <si>
    <t>46.948F</t>
  </si>
  <si>
    <t>Orissa Building &amp; other construction work (Cyclone-F)</t>
  </si>
  <si>
    <t>74.156F</t>
  </si>
  <si>
    <t>74.157F</t>
  </si>
  <si>
    <t>74.172F</t>
  </si>
  <si>
    <t>74.173F</t>
  </si>
  <si>
    <t>74.174F</t>
  </si>
  <si>
    <t>74.175F</t>
  </si>
  <si>
    <t>74.177F</t>
  </si>
  <si>
    <t>74.180F</t>
  </si>
  <si>
    <t>R/M to Sub station (Cyclone-F)-Material issued from stores</t>
  </si>
  <si>
    <t>74.181F</t>
  </si>
  <si>
    <t>R/M to Sub station(Cyclone-F) -Payments to Contractors &amp; other outside parties</t>
  </si>
  <si>
    <t>74.182F</t>
  </si>
  <si>
    <t>R/M to Transfermers  (Cyclone-F)-Material issued from stores</t>
  </si>
  <si>
    <t>74.183F</t>
  </si>
  <si>
    <t>R/M to Transfermers (Cyclone-F) -Payments to Contractors &amp; other outside parties</t>
  </si>
  <si>
    <t>74.187F</t>
  </si>
  <si>
    <t>74.188F</t>
  </si>
  <si>
    <t>74.189F</t>
  </si>
  <si>
    <t>74.580F</t>
  </si>
  <si>
    <t>R/M to LT Lines (cable ,Poles &amp; Others) (Cyclone-F)-Materials issued from Stores</t>
  </si>
  <si>
    <t>74.581F</t>
  </si>
  <si>
    <t>R/M to LT Lines (cable ,Poles &amp; Others)(Cyclone-F)-Materials purchased Directly</t>
  </si>
  <si>
    <t>74.582F</t>
  </si>
  <si>
    <t>R/M to 11 KV Lines (cable ,Poles &amp; Others)(Cyclone-F)-Materials issued from Stores</t>
  </si>
  <si>
    <t>74.583F</t>
  </si>
  <si>
    <t>R/M to 11 KV Lines (cable ,Poles &amp; Others)(Cyclone-F)-Materials purchased Directly</t>
  </si>
  <si>
    <t>74.584F</t>
  </si>
  <si>
    <t>R/M to 33 KV Lines (cable ,Poles &amp; Others)(Cyclone-F)-Materials issued from Stores</t>
  </si>
  <si>
    <t>74.585F</t>
  </si>
  <si>
    <t>R/M to 33 KV Lines (cable ,Poles &amp; Others)(Cyclone-F)-Materials purchased Directly</t>
  </si>
  <si>
    <t>74.628F</t>
  </si>
  <si>
    <t>74.629F</t>
  </si>
  <si>
    <t>74.630F</t>
  </si>
  <si>
    <t>74.729F</t>
  </si>
  <si>
    <t>74.730F</t>
  </si>
  <si>
    <t>74.731F</t>
  </si>
  <si>
    <t>74.732F</t>
  </si>
  <si>
    <t>74.817F</t>
  </si>
  <si>
    <t>74.818F</t>
  </si>
  <si>
    <t>76.145F</t>
  </si>
  <si>
    <t>76.146F</t>
  </si>
  <si>
    <t>76.147F</t>
  </si>
  <si>
    <t>76.148F</t>
  </si>
  <si>
    <t>76.149F</t>
  </si>
  <si>
    <t>Lodging &amp; Boarding Expenses (Cyclone-F)</t>
  </si>
  <si>
    <t xml:space="preserve">      Interest accrued and due-SBI</t>
  </si>
  <si>
    <t>R&amp;M to PS to un-electrified pooling booth</t>
  </si>
  <si>
    <t>R&amp;M work under  BGJY  Scheme</t>
  </si>
  <si>
    <t>R&amp;M work under  RGGVY  Scheme</t>
  </si>
  <si>
    <t>R&amp;M work under  IPDS  Scheme</t>
  </si>
  <si>
    <t>R&amp;M work under  DDUGY  Scheme</t>
  </si>
  <si>
    <t>R&amp;M work under  RGGVY  LOM  Scheme</t>
  </si>
  <si>
    <t>44.135E</t>
  </si>
  <si>
    <t>44.135NE</t>
  </si>
  <si>
    <t>Liability for 7th Pay Comission Arrears of Executives</t>
  </si>
  <si>
    <t>Liability for 7th Pay Comission Arrears of Non Executives</t>
  </si>
  <si>
    <t>Collection Through-HDFC-POS</t>
  </si>
  <si>
    <t xml:space="preserve">            Less : Appropriated to Statement of Profit and Loss-TITLI &amp; FANI</t>
  </si>
  <si>
    <t>2021-22</t>
  </si>
  <si>
    <t>DGM (F&amp;HR)</t>
  </si>
  <si>
    <t>Driver H,B</t>
  </si>
  <si>
    <t>Office Asst. Gr 3</t>
  </si>
  <si>
    <t>Office Asst.Gr 1</t>
  </si>
  <si>
    <t>Office Asst.Gr 2</t>
  </si>
  <si>
    <t>31.03.22</t>
  </si>
  <si>
    <t>FY2021-22</t>
  </si>
  <si>
    <t>Estimated payment for 21-22</t>
  </si>
  <si>
    <t>FY -2021-22</t>
  </si>
  <si>
    <t>Remaining 50%</t>
  </si>
  <si>
    <t>7TH PAY LIABILITY FOR FY 2021-22</t>
  </si>
  <si>
    <t>Drawn during 2021-22</t>
  </si>
  <si>
    <t>Opening GFA:                                        31.3.20</t>
  </si>
  <si>
    <t>Opening GFA:             31.3.21</t>
  </si>
  <si>
    <t>Outsource Calculation for FY 2020-21 &amp; FY 2021-22</t>
  </si>
  <si>
    <t>Manpower engagement for Spot Billing Activities</t>
  </si>
  <si>
    <t xml:space="preserve">No of Cons </t>
  </si>
  <si>
    <t>20-21</t>
  </si>
  <si>
    <t>21-22</t>
  </si>
  <si>
    <t xml:space="preserve">Consumers </t>
  </si>
  <si>
    <t xml:space="preserve"> FY 2019-20</t>
  </si>
  <si>
    <t>1st Six month of 2020-21</t>
  </si>
  <si>
    <t>As at 31.03.22</t>
  </si>
  <si>
    <t>Allocation of Employee Cost for 2020-21</t>
  </si>
  <si>
    <t>Allocation of Employee Cost for 2021-22</t>
  </si>
  <si>
    <t>Terminal Liability FY 2020-21 &amp; FY 2021-22</t>
  </si>
  <si>
    <t>FY:2020-21</t>
  </si>
  <si>
    <t>FY:2021-22</t>
  </si>
  <si>
    <t>Arrear Calculation for FY 2020-21</t>
  </si>
  <si>
    <t>Arrear Calculation for FY 2021-22</t>
  </si>
  <si>
    <t>Total Corpus as on 31.03.20</t>
  </si>
  <si>
    <t>Corpus as on 31.03.21</t>
  </si>
  <si>
    <t>Liability as on 31.03.21</t>
  </si>
  <si>
    <t>Contribution required for 2020-21</t>
  </si>
  <si>
    <t>Less: TB Approved in ARR</t>
  </si>
  <si>
    <t>For 2019-20</t>
  </si>
  <si>
    <t>Closing bal. of WIP as on 31.03.22</t>
  </si>
  <si>
    <t>No of Employee Retiring in 2021-22 are as follows</t>
  </si>
  <si>
    <t>FY 2021-22</t>
  </si>
  <si>
    <t>OERC Approval for 2020-21</t>
  </si>
  <si>
    <t>Rev Estimation for 2020-21</t>
  </si>
  <si>
    <t>Rev GAP for 2020-21</t>
  </si>
  <si>
    <t>Truing Up for FY 2020-21</t>
  </si>
  <si>
    <t xml:space="preserve">In cluding Apprentice </t>
  </si>
  <si>
    <t>Proposed in FY 2021-22</t>
  </si>
  <si>
    <t>Recruitment during 21-22</t>
  </si>
  <si>
    <t>Retirement during 21-22</t>
  </si>
  <si>
    <t>Approved for 2020-21</t>
  </si>
  <si>
    <t>Estimated Investement as on 31.03.21</t>
  </si>
  <si>
    <t>Int. on investment for 2020-21 @ 6 %</t>
  </si>
  <si>
    <t>Actrial Valuation of Employee Trust  as on 31-3-21 by M/s Bhudev Report</t>
  </si>
  <si>
    <t xml:space="preserve">Interest earned @6% on available investment  </t>
  </si>
  <si>
    <t>ARR for FY 2021-22</t>
  </si>
  <si>
    <t>Wheeling Cost for FY 21-22</t>
  </si>
  <si>
    <t>Retail Supply Cost for FY 21-22</t>
  </si>
  <si>
    <t>Total 
Outstanding 
31.03.20</t>
  </si>
  <si>
    <t>Billed
2019-20</t>
  </si>
  <si>
    <t>Revenue from sale of power at existing tariffs in FY 2021-22</t>
  </si>
  <si>
    <t>Terminal Liability For  FY 2021-22</t>
  </si>
  <si>
    <t>Acturial Valuation of Employee Trust  as on 31-3-22 by M/s Bhudev Report</t>
  </si>
  <si>
    <t>Interest during 2021-22 on available investment  as on 01.04.2020</t>
  </si>
  <si>
    <t>Estimated payment during 2021-22</t>
  </si>
  <si>
    <t>Funding required for deficit of for 2021-22 {1-(2+3-4)}</t>
  </si>
  <si>
    <t>Amount of terminal liability for  FY 2021-22</t>
  </si>
  <si>
    <t>Projected as on 31.03.2022</t>
  </si>
  <si>
    <t>01.04.2020</t>
  </si>
  <si>
    <t>Int. on investement for 20-21 @ 6%</t>
  </si>
  <si>
    <t>Estimated Investment as on 31.03.22</t>
  </si>
  <si>
    <t>Int. on investment for 2021-22 @ 7.5 %</t>
  </si>
  <si>
    <t>Previous Year (2019-20)</t>
  </si>
  <si>
    <t>Current Year Approved  (2020-21)</t>
  </si>
  <si>
    <t>Current Year Actuals                (Apr-20 to Sep-20)</t>
  </si>
  <si>
    <t>Year 2021-22</t>
  </si>
  <si>
    <t xml:space="preserve"> Billing charges</t>
  </si>
  <si>
    <t>Estimates of  Receipt during ensuing financial year 21-22</t>
  </si>
  <si>
    <t>Estimates of Repayment during ensuing financial year 21-22</t>
  </si>
  <si>
    <t>Closing balance as at the end of the ensuing year 21-22</t>
  </si>
  <si>
    <t>Interest  2021-22</t>
  </si>
  <si>
    <t>CALCULATION OF CAPITAL BASE AND REASONABLE RETURN FOR ENSUING FINANCIAL YEAR  2021-22</t>
  </si>
  <si>
    <t>Truing Up for FY 2019-20</t>
  </si>
  <si>
    <t>GAP up to 2019-20 considering gap up to FY 2018-19</t>
  </si>
  <si>
    <t>Salient features of ARR &amp; Tariff Application FY 2021-22</t>
  </si>
  <si>
    <t>INT @5.4%</t>
  </si>
  <si>
    <t>INT@5.4%</t>
  </si>
  <si>
    <t>As on 01.04.2021</t>
  </si>
  <si>
    <t>Outsource Persons  for 33/11 KV Substation - 253 Nos</t>
  </si>
  <si>
    <t>OPENING BALANCE
01-04-2020</t>
  </si>
  <si>
    <t>TRIAL BALANCE (NET)
(APRIL-2020-MARCH-2021)</t>
  </si>
  <si>
    <t>SOUTHCO (Trial) - Net
31-03-2021</t>
  </si>
  <si>
    <t>Other staff deduction -COVID 19</t>
  </si>
  <si>
    <t>Tax Collected From Source</t>
  </si>
  <si>
    <t xml:space="preserve"> Receivable/Payable-OSIC</t>
  </si>
  <si>
    <t>Receivable from OSIC</t>
  </si>
  <si>
    <t>Advance from Consumers</t>
  </si>
  <si>
    <t>Debtors for Charge Due to TCS</t>
  </si>
  <si>
    <t xml:space="preserve"> TCS Payable to Govt.Assessment</t>
  </si>
  <si>
    <t xml:space="preserve"> TCS Payable to Govt Collection</t>
  </si>
  <si>
    <t xml:space="preserve"> TCS Remittance to Govt</t>
  </si>
  <si>
    <t xml:space="preserve"> TCS Payable</t>
  </si>
  <si>
    <t xml:space="preserve"> TCS Recoverable</t>
  </si>
  <si>
    <t>Particular</t>
  </si>
  <si>
    <t>FY.- 2020-21</t>
  </si>
  <si>
    <t>FY.- 2021-22</t>
  </si>
  <si>
    <t>FY.-2020-21</t>
  </si>
  <si>
    <t>FY.-2021-22</t>
  </si>
  <si>
    <t>FY.- 2022-23</t>
  </si>
  <si>
    <t xml:space="preserve">Total Power Purchase, Transmission &amp; SLDC Cost(A) </t>
  </si>
  <si>
    <t xml:space="preserve">Employee costs </t>
  </si>
  <si>
    <t xml:space="preserve">Repair &amp; Maintenance </t>
  </si>
  <si>
    <t xml:space="preserve">Administrative and General Expenses </t>
  </si>
  <si>
    <t xml:space="preserve">Provision for Bad &amp; Doubtful Debts </t>
  </si>
  <si>
    <t xml:space="preserve">Interest Chargeable to Revenue including Interest on S.D </t>
  </si>
  <si>
    <t>Carrying cost on Regulatory asset</t>
  </si>
  <si>
    <t>Other Cost</t>
  </si>
  <si>
    <t xml:space="preserve">Sub-Total </t>
  </si>
  <si>
    <t xml:space="preserve">Less: Expenses capitalised </t>
  </si>
  <si>
    <t xml:space="preserve">Less: Interest capitalised </t>
  </si>
  <si>
    <t xml:space="preserve">Total Operation &amp; Maintenance and Other Cost  </t>
  </si>
  <si>
    <t xml:space="preserve">Return on equity </t>
  </si>
  <si>
    <t xml:space="preserve">Total Distribution Cost (B) </t>
  </si>
  <si>
    <t xml:space="preserve">Amortisation of Regulatory Asset </t>
  </si>
  <si>
    <t xml:space="preserve">True up of Past Losses </t>
  </si>
  <si>
    <t>Contingency reserve &amp; Exceptional Item</t>
  </si>
  <si>
    <t xml:space="preserve">- </t>
  </si>
  <si>
    <t xml:space="preserve">Total Special Appropriation (C) </t>
  </si>
  <si>
    <t xml:space="preserve">Total Cost (A+B+C) </t>
  </si>
  <si>
    <t>Year end Adjustment with GRIDCO</t>
  </si>
  <si>
    <t>ARR Proposed</t>
  </si>
  <si>
    <t>OERC Approved</t>
  </si>
  <si>
    <t>Actual</t>
  </si>
  <si>
    <t>Upto Dec-2020</t>
  </si>
  <si>
    <t>Projected</t>
  </si>
  <si>
    <t>Cost of Power Purchase -GRIDCO (Gross)</t>
  </si>
  <si>
    <t>Transmission Cost -OPTCL (Gross)</t>
  </si>
  <si>
    <t>SLDC Cost (Gross)</t>
  </si>
  <si>
    <t>From 1st Jan to 31st March-21</t>
  </si>
  <si>
    <t>DPS/LPS on BSP Bills</t>
  </si>
  <si>
    <t>CONSOLIDATED CORPORATE TRAIL BALANCE AS ON 31.03.2021</t>
  </si>
  <si>
    <t>As at 31-03-2021</t>
  </si>
  <si>
    <t xml:space="preserve"> 31-03-2021</t>
  </si>
  <si>
    <t>For the year ended 31.03.2021</t>
  </si>
  <si>
    <t xml:space="preserve">              Shortage of Inventory in store</t>
  </si>
  <si>
    <t xml:space="preserve">              Excess of Inventory in Store</t>
  </si>
  <si>
    <t xml:space="preserve">              Slow Moving of Inventory in Store</t>
  </si>
  <si>
    <t xml:space="preserve">              Non Moving of Inventory in Store</t>
  </si>
  <si>
    <t xml:space="preserve">      Advance Received from Consumer</t>
  </si>
  <si>
    <t>As at 31.03.2021</t>
  </si>
  <si>
    <t xml:space="preserve">         Add: Received during the year-SOUBHAGYA</t>
  </si>
  <si>
    <t xml:space="preserve">         Add: Receivable from Govt -SOUBHAGYA</t>
  </si>
  <si>
    <t xml:space="preserve">         Less : Adjustment against depreciation</t>
  </si>
  <si>
    <t xml:space="preserve">         Less: Return during the year-BGJY</t>
  </si>
  <si>
    <t>As at 31.03.23</t>
  </si>
  <si>
    <t>2022-23</t>
  </si>
  <si>
    <t>Pre acquisition period employee liabilities</t>
  </si>
  <si>
    <t>Regulatory Expenses</t>
  </si>
  <si>
    <t>Gratuity Liabilities- TPSODL</t>
  </si>
  <si>
    <t>EL liabilities- TPSODL</t>
  </si>
  <si>
    <t>Ex -gratia Scheme-TPSODL</t>
  </si>
  <si>
    <t>Post Retirement medical benefit scheme-TPSODL</t>
  </si>
  <si>
    <t>Long Service Award Scheme</t>
  </si>
  <si>
    <t>Retirement Gift Scheme</t>
  </si>
  <si>
    <t>Sick leave Benefit scheme</t>
  </si>
  <si>
    <t>Provission for EL (in service)</t>
  </si>
  <si>
    <t>Provission for SICK leave</t>
  </si>
  <si>
    <t>Man Power Cost- TPSODL</t>
  </si>
  <si>
    <t>44.110OCI</t>
  </si>
  <si>
    <t>Provision for Gratuity (Payable toTrust)-OCI</t>
  </si>
  <si>
    <t>Provision for EL (in service)</t>
  </si>
  <si>
    <t>Provision for liabilities SICK Leave</t>
  </si>
  <si>
    <t>44.115OCI</t>
  </si>
  <si>
    <t>Provision for  Pension (Payable toTrust)-OCI</t>
  </si>
  <si>
    <t>Payable to Tata Power -DDL</t>
  </si>
  <si>
    <t>Payable to GRIDCO</t>
  </si>
  <si>
    <t>The Tata Power Company Limited</t>
  </si>
  <si>
    <t>Coastal Gujarat Power Ltd</t>
  </si>
  <si>
    <t>Industrial Energy Ltd</t>
  </si>
  <si>
    <t>Maithon Power Ltd</t>
  </si>
  <si>
    <t>Walwhan Renewable Ene Ltd</t>
  </si>
  <si>
    <t>Collection Through -OCAC</t>
  </si>
  <si>
    <t>Incentive received from Past arrear collection</t>
  </si>
  <si>
    <t>Deferred Tax Income</t>
  </si>
  <si>
    <t>Deffered tax Assets</t>
  </si>
  <si>
    <t>Audited for Six Month</t>
  </si>
  <si>
    <t>April-21 to Sept-21</t>
  </si>
  <si>
    <t>As at  31.03.2021</t>
  </si>
  <si>
    <t>As at 01.01.2021</t>
  </si>
  <si>
    <t>75.806OCI</t>
  </si>
  <si>
    <t>75.807OCI</t>
  </si>
  <si>
    <t>Incentive for Past arrear Collection</t>
  </si>
  <si>
    <t xml:space="preserve">  Regulatory deferal expenses</t>
  </si>
  <si>
    <t>Deffered Tax Assets</t>
  </si>
  <si>
    <t xml:space="preserve">                        Deffered Tax Assets</t>
  </si>
  <si>
    <t>Amount Recoverable from Others</t>
  </si>
  <si>
    <t xml:space="preserve"> (3) Profit and Loss Account Debit Balance/(credit Balance)</t>
  </si>
  <si>
    <t>31-03-2021</t>
  </si>
  <si>
    <t>Licencee : TPSODL</t>
  </si>
  <si>
    <t>SERIAL</t>
  </si>
  <si>
    <t>Main Head</t>
  </si>
  <si>
    <t>Caption</t>
  </si>
  <si>
    <t>GL CODE</t>
  </si>
  <si>
    <t>GL DESCRIPTION</t>
  </si>
  <si>
    <t>Apr-Sep'21 Final</t>
  </si>
  <si>
    <t>R&amp;M- Buildings and Civil Works</t>
  </si>
  <si>
    <t>O&amp;M Stock Energy Meters-Consumption</t>
  </si>
  <si>
    <t>O&amp;M Stock Transformers-Consumption</t>
  </si>
  <si>
    <t>O&amp;M Stock O&amp;M 33 KV Switch Gears-Consumption</t>
  </si>
  <si>
    <t>O&amp;M Stock 11KV Switch Gears-Consumption</t>
  </si>
  <si>
    <t>O&amp;M Stock LT Switch Gears-Consumption</t>
  </si>
  <si>
    <t>O&amp;M Stock Lightening Arrestors-Consumption</t>
  </si>
  <si>
    <t>R&amp;M-P&amp;M</t>
  </si>
  <si>
    <t>O&amp;M Stock Other Plant &amp; Machinery-Consumption</t>
  </si>
  <si>
    <t>O&amp;M Stock Overhead Lines-Consumption</t>
  </si>
  <si>
    <t>O&amp;M Stock Underground Cables-Consumption</t>
  </si>
  <si>
    <t>R&amp;M- Furniture,Vehicle</t>
  </si>
  <si>
    <t>O&amp;M Stock Office Equipment-Consumption</t>
  </si>
  <si>
    <t>O&amp;M Stock Furniture &amp; Fittings-Consumption</t>
  </si>
  <si>
    <t>Price Difference Account</t>
  </si>
  <si>
    <t>Expenditure on Capital Works against Deposits</t>
  </si>
  <si>
    <t>R&amp;M-P&amp;M-Transformers&gt;100KVA</t>
  </si>
  <si>
    <t>R&amp;M-P&amp;M-Transformers&lt;100KVA</t>
  </si>
  <si>
    <t>R&amp;M-P&amp;M-Mat Handling Equpmt</t>
  </si>
  <si>
    <t>R&amp;M-P&amp;M-Miscellaneous Equipments</t>
  </si>
  <si>
    <t>R&amp;M-Bldg-Office Buildings</t>
  </si>
  <si>
    <t>R&amp;M-Bldg-Other Buildings</t>
  </si>
  <si>
    <t>R&amp;M-Other Miscellaneous</t>
  </si>
  <si>
    <t>External Services-O&amp;M</t>
  </si>
  <si>
    <t>Contractual/ Outsource employees</t>
  </si>
  <si>
    <t>Employee Cost-Outsourced Manpower</t>
  </si>
  <si>
    <t>Rental of land, buildings, plant and equipment, etc</t>
  </si>
  <si>
    <t>Rent including Lease Rentals</t>
  </si>
  <si>
    <t>Rates &amp; Taxes</t>
  </si>
  <si>
    <t>Telephone Expenses</t>
  </si>
  <si>
    <t>Telephone &amp; Trunk Call Expenses</t>
  </si>
  <si>
    <t>Postage Stamps,Telegrams and Courier Charges</t>
  </si>
  <si>
    <t>Legal Charges</t>
  </si>
  <si>
    <t>Legal charges and stamp fees for capital works</t>
  </si>
  <si>
    <t>Legal charges others</t>
  </si>
  <si>
    <t>Consultancy Charges</t>
  </si>
  <si>
    <t>Technical Fees</t>
  </si>
  <si>
    <t>Auditors Remuneration</t>
  </si>
  <si>
    <t>Statutory Financial Audit Fees</t>
  </si>
  <si>
    <t>Statutory Tax Audit and Cost Audit Fees</t>
  </si>
  <si>
    <t>Foods &amp; Conveyance</t>
  </si>
  <si>
    <t>Conveyance Expenses</t>
  </si>
  <si>
    <t>Travelling Expenses</t>
  </si>
  <si>
    <t>Travelling &amp;Conveyance re-imbursement to employees</t>
  </si>
  <si>
    <t>Transport Expenses</t>
  </si>
  <si>
    <t>Vehicle Running Exp-Petrol,Oil&amp;Lubs-Light Vehicles</t>
  </si>
  <si>
    <t>Hire Charges of vehicles</t>
  </si>
  <si>
    <t>Vehicle Licence, Registration Fee and Road Taxes</t>
  </si>
  <si>
    <t>Other Admin Expenses</t>
  </si>
  <si>
    <t>Board's Expenses-Sitting Fees to Directors</t>
  </si>
  <si>
    <t>Statutory Financial &amp; Tax Audit Expenses</t>
  </si>
  <si>
    <t>Advertisement &amp; Marketing Expenses</t>
  </si>
  <si>
    <t>Advertisement Expenses-Purchase Related</t>
  </si>
  <si>
    <t>Advertisement Expenses-Others</t>
  </si>
  <si>
    <t>Electricity Consumption Expenses</t>
  </si>
  <si>
    <t>Electricity charges</t>
  </si>
  <si>
    <t>Water Charges</t>
  </si>
  <si>
    <t>Licences &amp; related fees</t>
  </si>
  <si>
    <t>Gardening and Horticultural expenses</t>
  </si>
  <si>
    <t>Office Upkeep &amp; Maintenance</t>
  </si>
  <si>
    <t>Official Meeting Expenses</t>
  </si>
  <si>
    <t>Conference Expenses</t>
  </si>
  <si>
    <t>Expenses on Revenue Stamps</t>
  </si>
  <si>
    <t>Watch and Ward Expenses</t>
  </si>
  <si>
    <t>Cost of Service Expenses</t>
  </si>
  <si>
    <t>Input &amp; collection based Franchisee Expenses</t>
  </si>
  <si>
    <t>Consumer Camps Expenses</t>
  </si>
  <si>
    <t>Data Entry &amp; Management Expenses</t>
  </si>
  <si>
    <t>Commission for Collection to Franchisees</t>
  </si>
  <si>
    <t>Metering and Billing</t>
  </si>
  <si>
    <t>General Miscellaneous Expenses</t>
  </si>
  <si>
    <t>Vehicle Running Exp-Petrol,Oil&amp;Lubs-Heavy Vehicles</t>
  </si>
  <si>
    <t>Transportation charges paid to outsiders</t>
  </si>
  <si>
    <t>Loading &amp; Unloading charges paid to outsiders</t>
  </si>
  <si>
    <t>Advertisement Exp on tenders for capital equipment</t>
  </si>
  <si>
    <t>Other Purchase related Advertisement Expenses</t>
  </si>
  <si>
    <t>Fabrication &amp; Machining charges</t>
  </si>
  <si>
    <t>Other Material related expenses</t>
  </si>
  <si>
    <t>Material Cost Variance - O&amp;M</t>
  </si>
  <si>
    <t>Further Provision for Doubtful Debts-Consumer Dues</t>
  </si>
  <si>
    <t>R&amp;M-IT &amp; SMS Related Expenses</t>
  </si>
  <si>
    <t>R&amp;M-P&amp;M-Switchgear,Cables,Batteries Etc</t>
  </si>
  <si>
    <t>R&amp;M-P&amp;M-Lighting Arrestor,Static M/c Tools &amp; Equip</t>
  </si>
  <si>
    <t>R&amp;M-Bldg-Transmission Installations</t>
  </si>
  <si>
    <t>R&amp;M-Other Civil Works-Miscellaneous Civil Works</t>
  </si>
  <si>
    <t>Consumption of stock provided to vendor</t>
  </si>
  <si>
    <t>R&amp;M-Vehicles</t>
  </si>
  <si>
    <t>Internal &amp; Other Audit Fees</t>
  </si>
  <si>
    <t>Royalty, License Fees and Other Charges</t>
  </si>
  <si>
    <t>Internal &amp; Other Audit Expenses</t>
  </si>
  <si>
    <t>Meter Reading Expenses</t>
  </si>
  <si>
    <t>Agency Fees for Manpower Supply</t>
  </si>
  <si>
    <t>Hotel Expenses</t>
  </si>
  <si>
    <t>Material Cost Variance - Capital</t>
  </si>
  <si>
    <t>Compensation for Injuries,Death&amp;Damages Etc-Others</t>
  </si>
  <si>
    <t>Sundry Debit Balances written-off</t>
  </si>
  <si>
    <t>Property,Plant &amp; Equipment</t>
  </si>
  <si>
    <t>Comm. Equipments-Telephone &amp; Telephones lines</t>
  </si>
  <si>
    <t>Air-conditioning plant-portable</t>
  </si>
  <si>
    <t>Furnitures&amp; Fixtures</t>
  </si>
  <si>
    <t>Furniture &amp; Fixtures in Admn. &amp; Field offices</t>
  </si>
  <si>
    <t>Revenue Exp pending allocation over Capital Works</t>
  </si>
  <si>
    <t>PS-Civil Office Building</t>
  </si>
  <si>
    <t>PS-Transformers</t>
  </si>
  <si>
    <t>PS-Energy Meters</t>
  </si>
  <si>
    <t>PS-Underground &amp; Overhead Cables</t>
  </si>
  <si>
    <t>PS-Lightening Materials</t>
  </si>
  <si>
    <t>PS-Batteries &amp; Capacitors</t>
  </si>
  <si>
    <t>PS -Switch Gears</t>
  </si>
  <si>
    <t>PS-Office Equipments</t>
  </si>
  <si>
    <t>PS-Furniture &amp; Fittings</t>
  </si>
  <si>
    <t>PS-Other Plant &amp; Machin</t>
  </si>
  <si>
    <t>Stores &amp; Spares</t>
  </si>
  <si>
    <t>O&amp;M Stock Civil Office Bldg</t>
  </si>
  <si>
    <t>O&amp;M Stock Transformers</t>
  </si>
  <si>
    <t>O&amp;M Stock Energy Meters</t>
  </si>
  <si>
    <t>O&amp;M Stock Underground &amp; Overhead Cables</t>
  </si>
  <si>
    <t>O&amp;M Stock Lightening Materials</t>
  </si>
  <si>
    <t>O&amp;M Stock Batteries &amp; Capacitors</t>
  </si>
  <si>
    <t>O&amp;M Stock Switch Gears</t>
  </si>
  <si>
    <t>O&amp;M Stock Computers, Laptops Etc.</t>
  </si>
  <si>
    <t>O&amp;M Stock Office Equipment</t>
  </si>
  <si>
    <t>O&amp;M Stock Furniture &amp; Fittings</t>
  </si>
  <si>
    <t>O&amp;M Stock Other Plant &amp; Machinery</t>
  </si>
  <si>
    <t>Trade Receivables</t>
  </si>
  <si>
    <t>Unsecured, Considered Good</t>
  </si>
  <si>
    <t>Sundry Debtors-EC-Domestic-LT</t>
  </si>
  <si>
    <t>Sundry Debtors-EC-Bulk Supply Domestic-HT</t>
  </si>
  <si>
    <t>Sundry Debtors-EC-General purpose-LT</t>
  </si>
  <si>
    <t>Sundry Debtors-EC-Industrial Small Supply-LT</t>
  </si>
  <si>
    <t>Sundry Debtors-EC-Industrial Medium Supply-LT</t>
  </si>
  <si>
    <t>Sundry Debtors-EC-Large Industry-HT</t>
  </si>
  <si>
    <t>Sundry Debtors-EC-Large Industry-EHT</t>
  </si>
  <si>
    <t>Sundry Debtors-EC-Power Intensive Industry-EHT</t>
  </si>
  <si>
    <t>Sundry Debtors-EC-Public Lighting-LT</t>
  </si>
  <si>
    <t>Sundry Debtors-EC-Railway Traction-EHT</t>
  </si>
  <si>
    <t>Sundry Debtors-EC-Irrigation,Pump &amp; Agriculture-LT</t>
  </si>
  <si>
    <t>Sundry Debtors-EC-PWWS &amp; Pumping Installation-LT</t>
  </si>
  <si>
    <t>Sundry Debtors-EC-Allied Agricultural Activity-LT</t>
  </si>
  <si>
    <t>Sundry Debtors-EC-Allied Agro Indust Activities-LT</t>
  </si>
  <si>
    <t>Sundry Debtors-EC-Specified Public Purpose-LT</t>
  </si>
  <si>
    <t>Sundry Debtors-ED-Domestic-LT</t>
  </si>
  <si>
    <t>Sundry Debtors-ED-Bulk Supply Domestic-HT</t>
  </si>
  <si>
    <t>Sundry Debtors-ED-General purpose-LT</t>
  </si>
  <si>
    <t>Sundry Debtors-ED-Industrial Small Supply-LT</t>
  </si>
  <si>
    <t>Sundry Debtors-ED-Industrial Medium Supply-LT</t>
  </si>
  <si>
    <t>Sundry Debtors-ED-Large Industry-LT</t>
  </si>
  <si>
    <t>Sundry Debtors-ED-Large Industry-HT</t>
  </si>
  <si>
    <t>Sundry Debtors-ED-Heavy Industry-EHT</t>
  </si>
  <si>
    <t>Sundry Debtors-ED-Power Intensive Industry-EHT</t>
  </si>
  <si>
    <t>Sundry Debtors-ED-Public Lighting-LT</t>
  </si>
  <si>
    <t>Sundry Debtors-ED-Irrigation,Pump &amp; Agriculture-LT</t>
  </si>
  <si>
    <t>Sundry Debtors-ED-PWWS &amp; Pumping Installation-LT</t>
  </si>
  <si>
    <t>Sundry Debtors-ED-Allied Agricultural Activity-LT</t>
  </si>
  <si>
    <t>Sundry Debtors-ED-Allied Agro Indust Activities-LT</t>
  </si>
  <si>
    <t>Sundry Debtors-ED-Specified Public Purpose-LT</t>
  </si>
  <si>
    <t>Sundry Debtors-PDC-EC-Domestic-LT</t>
  </si>
  <si>
    <t>Sundry Debtors-PDC-EC-General purpose-LT</t>
  </si>
  <si>
    <t>Sundry Debtors-PDC-EC-Industrial Small Supply-LT</t>
  </si>
  <si>
    <t>Sundry Debtors-PDC-EC-Industrial Medium Supply-LT</t>
  </si>
  <si>
    <t>Sundry Debtors-PDC-EC-Large Industry-LT</t>
  </si>
  <si>
    <t>Sundry Debtors-PDC-EC-Heavy Industry-EHT</t>
  </si>
  <si>
    <t>Sundry Debtors-PDC-EC-Public Lighting-LT</t>
  </si>
  <si>
    <t>Sundry Debtors-PDC-EC-Irrigation Pumping &amp; Agri-LT</t>
  </si>
  <si>
    <t>Sundry Debtors-PDC-EC-PWWS Pumping Installation-LT</t>
  </si>
  <si>
    <t>Sundry Debtors-PDC-EC-Allied Agro Ind. Activity-LT</t>
  </si>
  <si>
    <t>Sundry Debtors-PDC-EC-Specified Public Purpose-LT</t>
  </si>
  <si>
    <t>Sundry Debtors-PDC-ED-Domestic-LT</t>
  </si>
  <si>
    <t>Sundry Debtors-PDC-ED-General purpose-LT</t>
  </si>
  <si>
    <t>Sundry Debtors-PDC-ED-Industrial Small Supply-LT</t>
  </si>
  <si>
    <t>Sundry Debtors-PDC-ED-Industrial Medium Supply-LT</t>
  </si>
  <si>
    <t>Sundry Debtors-PDC-ED-Large Industry-LT</t>
  </si>
  <si>
    <t>Sundry Debtors-PDC-ED-Public Lighting-LT</t>
  </si>
  <si>
    <t>Sundry Debtors-PDC-ED-Irrigation Pumping &amp; Agri-LT</t>
  </si>
  <si>
    <t>Sundry Debtors-PDC-ED-Specified Public Purpose-LT</t>
  </si>
  <si>
    <t>Sundry Debtors-Meter Rent/Service Line Rentals</t>
  </si>
  <si>
    <t>Sundry Debtors-Delayed Payment Surcharge (DPS)</t>
  </si>
  <si>
    <t>Sundry Debtors-TCS</t>
  </si>
  <si>
    <t>Revenue Collection Control Account</t>
  </si>
  <si>
    <t>Sundry Debtors-Non-Cash Adjustments-Credit</t>
  </si>
  <si>
    <t>Sundry Debtors-Non-Cash Adjustments-Debit</t>
  </si>
  <si>
    <t>Allowance for Doubtful Debts</t>
  </si>
  <si>
    <t>Sundry Debtors-Provision for Doubtful Debts-Credit</t>
  </si>
  <si>
    <t>Cash and Cash Equivalents</t>
  </si>
  <si>
    <t>Cash on Hand</t>
  </si>
  <si>
    <t>Cash in hand as per General Cash Book</t>
  </si>
  <si>
    <t>Cash in hand as per Revenue Cash Book</t>
  </si>
  <si>
    <t>Petty Cash Balance in Hand</t>
  </si>
  <si>
    <t>Cash with Personal Ledger Account in Treasury</t>
  </si>
  <si>
    <t>Cash excess pending investigation</t>
  </si>
  <si>
    <t>Provision for Cash Shortage (Net)</t>
  </si>
  <si>
    <t>Permanent Imprest with Officers</t>
  </si>
  <si>
    <t>Temporary Advance to Disbursing Officers</t>
  </si>
  <si>
    <t>Temporary Advance for Emergency Purchase</t>
  </si>
  <si>
    <t>Temporary Advance for Contingencies</t>
  </si>
  <si>
    <t>Balances with Banks-In Current Account</t>
  </si>
  <si>
    <t>Remitttance in transit from Unit to HO</t>
  </si>
  <si>
    <t>Remitttance in transit from HO to Unit</t>
  </si>
  <si>
    <t>Other Financial Assets</t>
  </si>
  <si>
    <t>Bank Balances Other than 3 Above</t>
  </si>
  <si>
    <t>Short term deposits with SBI</t>
  </si>
  <si>
    <t>Short term deposits with UBI</t>
  </si>
  <si>
    <t>Other Non Current Assets</t>
  </si>
  <si>
    <t>Capital Advances</t>
  </si>
  <si>
    <t>Advance to Supplier &amp; Contractor-Int-Capital</t>
  </si>
  <si>
    <t>Advance to Supplier &amp; Contractor-Int Free-Capital</t>
  </si>
  <si>
    <t>Other Current Assets</t>
  </si>
  <si>
    <t>Other Assets</t>
  </si>
  <si>
    <t>Advance to Supplier &amp; Contractor-Int-O&amp;M</t>
  </si>
  <si>
    <t>Advance to Suppliers (Cyclone )</t>
  </si>
  <si>
    <t>Advance to Labour Contractors (Cyclone )</t>
  </si>
  <si>
    <t>Advance to Supplier &amp; Contractor-Int Free-O&amp;M</t>
  </si>
  <si>
    <t>TA Advance</t>
  </si>
  <si>
    <t>TTA Advance</t>
  </si>
  <si>
    <t>Natural Calamity Advance-Cyclone, Flood etc.</t>
  </si>
  <si>
    <t>Festival &amp; Special Puja Advance</t>
  </si>
  <si>
    <t>Group Insurance Scheme Advance</t>
  </si>
  <si>
    <t>Leave Travel Concession Advance</t>
  </si>
  <si>
    <t>Other Staff Advances</t>
  </si>
  <si>
    <t>Loans &amp; Advances to Licencees-GRIDCO</t>
  </si>
  <si>
    <t>Loans &amp; Advances to Other Licencees</t>
  </si>
  <si>
    <t>TDS on income from investments-STDR</t>
  </si>
  <si>
    <t>TCS Receivable - Paid on Bills</t>
  </si>
  <si>
    <t>TDS refund receivable on GRANT-SOUBHAGYA</t>
  </si>
  <si>
    <t>18A</t>
  </si>
  <si>
    <t>Regulatory Deferral Account Balances</t>
  </si>
  <si>
    <t>Regulatory Asset</t>
  </si>
  <si>
    <t>Regulatory Deferral Assets</t>
  </si>
  <si>
    <t>Sundry Debtors for Other Miscellaneous Income</t>
  </si>
  <si>
    <t>Receivable from Collection through ATOM</t>
  </si>
  <si>
    <t>Receivable-Collection through CSC-Janseva Kendra</t>
  </si>
  <si>
    <t>Receivable from Collection through ICICI</t>
  </si>
  <si>
    <t>Receivable from Collection through ITZ</t>
  </si>
  <si>
    <t>Receivable from Collection through BharatPay</t>
  </si>
  <si>
    <t>Receivable from Collection through RCS</t>
  </si>
  <si>
    <t>Receivable from Collection through OXYGEN</t>
  </si>
  <si>
    <t>Receivable from Collection through SUBIDHA</t>
  </si>
  <si>
    <t>Receivable from Collection through India-Post</t>
  </si>
  <si>
    <t>Receivable from Collection through POS-SBI</t>
  </si>
  <si>
    <t>Receivable from Collection through PAYTM</t>
  </si>
  <si>
    <t>Receivable from Collection through POS-HDFC</t>
  </si>
  <si>
    <t>Receivable from Collection through Easytap</t>
  </si>
  <si>
    <t>Receivable from Collection - CCC Corporate</t>
  </si>
  <si>
    <t>Receivable from Collection through MoBidyut Portal</t>
  </si>
  <si>
    <t>Receivable from Collection through OCAC</t>
  </si>
  <si>
    <t>Interest Accrued but not due on Term Deposits</t>
  </si>
  <si>
    <t>Income accrued &amp; due on Cycle loans</t>
  </si>
  <si>
    <t>Income accrued &amp; due on others-STDR</t>
  </si>
  <si>
    <t>Recoverable from Employees</t>
  </si>
  <si>
    <t>Recoverable from Ex-employees</t>
  </si>
  <si>
    <t>Grants/Subsidy Receivable</t>
  </si>
  <si>
    <t>Capital subsidy/ grant receivables</t>
  </si>
  <si>
    <t>Other Advances</t>
  </si>
  <si>
    <t>Sundry Receivables-recoverable from contractors</t>
  </si>
  <si>
    <t>Prepaid Insurance</t>
  </si>
  <si>
    <t>Bills receivable for work done</t>
  </si>
  <si>
    <t>Residual Company Control Account-CESCO</t>
  </si>
  <si>
    <t>Short Term Borrowings</t>
  </si>
  <si>
    <t>Loan from NESCO and other Parties</t>
  </si>
  <si>
    <t>Residual Company Control Account-NESCO</t>
  </si>
  <si>
    <t>Other Financial Liabilities</t>
  </si>
  <si>
    <t>Other Payables</t>
  </si>
  <si>
    <t>Residual Company Control Account-SOUTHCO</t>
  </si>
  <si>
    <t>Residual Company Control Account-WESCO</t>
  </si>
  <si>
    <t>Payment of Grant-Service Relinquishment Excl Death</t>
  </si>
  <si>
    <t>Amount recoverable from Central Govt.-Others</t>
  </si>
  <si>
    <t>Receivable from Tata Power</t>
  </si>
  <si>
    <t>Receivable from CGPL</t>
  </si>
  <si>
    <t>Receivable from IEL</t>
  </si>
  <si>
    <t>Receivable from MPL</t>
  </si>
  <si>
    <t>27B</t>
  </si>
  <si>
    <t>Trade Payables</t>
  </si>
  <si>
    <t>Dues other than MSME</t>
  </si>
  <si>
    <t>Receivable from TPDDL</t>
  </si>
  <si>
    <t>Receivable from Walwhan Renewable Energy Limited</t>
  </si>
  <si>
    <t>Receivable from OPTCL</t>
  </si>
  <si>
    <t>Security Deposit-Others</t>
  </si>
  <si>
    <t>Deposit with Telephone Authorities</t>
  </si>
  <si>
    <t>Securities-Suppliers &amp; Contractores (FDs etc.)</t>
  </si>
  <si>
    <t>Securities from Consumers (FDs etc.) as per Contra</t>
  </si>
  <si>
    <t>Securities from Staff (FDs etc.) as per Contra</t>
  </si>
  <si>
    <t>Plant &amp; Machinery, Transmission Lines and Cable Network</t>
  </si>
  <si>
    <t>Accum Dep - P&amp;M</t>
  </si>
  <si>
    <t>Accum Dep - Building</t>
  </si>
  <si>
    <t>Accum Dep -Line, Cab</t>
  </si>
  <si>
    <t>Accum Dep - Vehicles</t>
  </si>
  <si>
    <t>Accum Dep -Furniture</t>
  </si>
  <si>
    <t>Accum Dep- Office Eq</t>
  </si>
  <si>
    <t>Accum Dep- Computer</t>
  </si>
  <si>
    <t>Building containing Distribution Installation</t>
  </si>
  <si>
    <t>Plant and Machiney-Transformers &gt;= 100 KVA</t>
  </si>
  <si>
    <t>Over Head lines &amp; apparatus &gt; 66 KVA&lt;132 KVA</t>
  </si>
  <si>
    <t>Truck, tempos &amp; trekkers</t>
  </si>
  <si>
    <t>Furniture &amp; Fixtures in plants</t>
  </si>
  <si>
    <t>Other Income-Non Operating</t>
  </si>
  <si>
    <t>Interest-Other Loans &amp; Advances-Staff</t>
  </si>
  <si>
    <t>Term deposits carried at amortised cost</t>
  </si>
  <si>
    <t>Interest on Investment-Fixed Deposits in Banks Etc</t>
  </si>
  <si>
    <t>Interest earned on Grant-Soubhagya</t>
  </si>
  <si>
    <t>Interest earned on Grant-BGJY-Soubhagya</t>
  </si>
  <si>
    <t>Delayed payment charges</t>
  </si>
  <si>
    <t>DPS charged on Additional Security Deposit</t>
  </si>
  <si>
    <t>Other Operating Revenue</t>
  </si>
  <si>
    <t>Miscellaneous revenue</t>
  </si>
  <si>
    <t>Sale Proceeds of Scraps</t>
  </si>
  <si>
    <t>Rental for Staff quarters</t>
  </si>
  <si>
    <t>Excess on physical verification of Fixed Assets</t>
  </si>
  <si>
    <t>Sale of Tender forms</t>
  </si>
  <si>
    <t>Penalties Reovered from Contractors</t>
  </si>
  <si>
    <t>Cost of PP and Transmission Chrgs</t>
  </si>
  <si>
    <t>Rebate on Power Purchase Cost</t>
  </si>
  <si>
    <t>Rebate for timely payment of BST Bills</t>
  </si>
  <si>
    <t>Incentive on Past Arrear Collection</t>
  </si>
  <si>
    <t>Incentive Earned on Arrear Collection</t>
  </si>
  <si>
    <t>Rebate on Transmission Charges</t>
  </si>
  <si>
    <t>Rebate for timely Payment of Transmission Bill</t>
  </si>
  <si>
    <t>Rebate for timely Payment of SLDC Bill</t>
  </si>
  <si>
    <t>Other Miscellaneous Receipts</t>
  </si>
  <si>
    <t>UGRB-COURTPETA-HO-84024653469-Main</t>
  </si>
  <si>
    <t>UBI-KAMAPALLI-HO-625901010050062-Main</t>
  </si>
  <si>
    <t>UBI-KAMAPALLI-HO-625901010050063-Main</t>
  </si>
  <si>
    <t>UBI-KAMAPALLI-HO-625901010050064-Main</t>
  </si>
  <si>
    <t>UBI-KAMAPALLI-HO-625901010050065-Main</t>
  </si>
  <si>
    <t>UBI-KAMAPALLI-HO-625901010050066-Main</t>
  </si>
  <si>
    <t>UBI-KAMAPALLI-HO-625901010050067-Main</t>
  </si>
  <si>
    <t>UBI-KAMAPALLI-HO-625901010050069-Main</t>
  </si>
  <si>
    <t>UBI-KAMAPALLI-HO-625902010001725-Main</t>
  </si>
  <si>
    <t>UBI-KAMAPALLI-HO-625902010001726-Main</t>
  </si>
  <si>
    <t>UBI-KAMAPALLI-HO-625902010001727-Main</t>
  </si>
  <si>
    <t>UBI-KAMAPALLI-HO-625902010001728-Main</t>
  </si>
  <si>
    <t>Working Capital Loan</t>
  </si>
  <si>
    <t>UBI-KAMAPALLI-HO-385804040029152-Main</t>
  </si>
  <si>
    <t>UBI-KAMAPALLI-HO-625904010000002-Main</t>
  </si>
  <si>
    <t>UBI-KAMAPALLI-HO-625904010000007-Main</t>
  </si>
  <si>
    <t>UBI-KAMAPALLI-HO-625901010050131-Main</t>
  </si>
  <si>
    <t>UBI-KAMAPALLI-HO-625901010050105-Main</t>
  </si>
  <si>
    <t>SBI-SME-HO-35615919325-Main</t>
  </si>
  <si>
    <t>SBI-SME-HO-35615919802-Main</t>
  </si>
  <si>
    <t>SBI-SME-HO-35615920748-Main</t>
  </si>
  <si>
    <t>SBI-SME-HO-35615921775-Main</t>
  </si>
  <si>
    <t>SBI-SME-HO-36575398408-Main</t>
  </si>
  <si>
    <t>ICIC-SME-HO-027005500879-Main</t>
  </si>
  <si>
    <t>UBI-KAMAPALLI-HO-625901010050070-Main</t>
  </si>
  <si>
    <t>SBI-MCC-BED1-35647059777-Main</t>
  </si>
  <si>
    <t>UBI-KAMAPALLI-BED1-625901010050080-Main</t>
  </si>
  <si>
    <t>IOB-GAJPATI NAGAR-BED1-153002000000693-Main</t>
  </si>
  <si>
    <t>SBI-MCC-BED1-37824961512-Main</t>
  </si>
  <si>
    <t>SBI-MCC-BED1-37824962695-Main</t>
  </si>
  <si>
    <t>SBI-MCC-BED1-38093219273-Main</t>
  </si>
  <si>
    <t>UBI-KAMAPALLI-BED1-625901110050006-Main</t>
  </si>
  <si>
    <t>UBI-BERHAMPUR-BED2-385801010170259-Main</t>
  </si>
  <si>
    <t>UBI-BERHAMPUR-BED2-385801010170260-Main</t>
  </si>
  <si>
    <t>UBI-BERHAMPUR-BED2-385801010170261-Main</t>
  </si>
  <si>
    <t>UBI-BERHAMPUR-BED2-385801110050009-Main</t>
  </si>
  <si>
    <t>UBI-KAMAPALLI-BED3-625901010050076-Main</t>
  </si>
  <si>
    <t>UBI-KAMAPALLI-BED3-625901010050077-Main</t>
  </si>
  <si>
    <t>UBI-KAMAPALLI-BED3-625901010050078-Main</t>
  </si>
  <si>
    <t>UBI-KAMAPALLI-BED3-625901110050000-Main</t>
  </si>
  <si>
    <t>UBI-KAMAPALLI-BED3-625901110050001-Main</t>
  </si>
  <si>
    <t>UBI-KAMAPALLI-BED3-625901110050004-Main</t>
  </si>
  <si>
    <t>UBI-KAMAPALLI-BED3-625902010002259-Main</t>
  </si>
  <si>
    <t>UBI-KAMAPALLI-SCTY-625901010050072-Main</t>
  </si>
  <si>
    <t>UBI-KAMAPALLI-SCTY-625901010050073-Main</t>
  </si>
  <si>
    <t>UBI-KAMAPALLI-SCTY-625901010050074-Main</t>
  </si>
  <si>
    <t>SBI-CHATRAPUR-GNED-35652204775-Main</t>
  </si>
  <si>
    <t>SBI-CHATRAPUR-GNED-35652204298-Main</t>
  </si>
  <si>
    <t>UBI-CHATRAPUR-GNED-622901010050035-Main</t>
  </si>
  <si>
    <t>UBI-CHATRAPUR-GNED-622901010050050-Main</t>
  </si>
  <si>
    <t>UBI-CHATRAPUR-GNED-622902010005468-Main</t>
  </si>
  <si>
    <t>UBI-CHATRAPUR-GNED-622902010005651-Main</t>
  </si>
  <si>
    <t>ICIC-CHATRAPUR-GNED-203605500235-Main</t>
  </si>
  <si>
    <t>ICIC-CHATRAPUR-GNED-203605500236-Main</t>
  </si>
  <si>
    <t>UBI-PURUSHOTTAMPUR-PSED-639201010050042-Main</t>
  </si>
  <si>
    <t>UBI-PURUSHOTTAMPUR-PSED-639201010050043-Main</t>
  </si>
  <si>
    <t>UBI-PURUSHOTTAMPUR-PSED-639201010050044-Main</t>
  </si>
  <si>
    <t>UBI-PURUSHOTTAMPUR-PSED-639201010050073-Main</t>
  </si>
  <si>
    <t>UBI-PURUSHOTTAMPUR-PSED-639201010050074-Main</t>
  </si>
  <si>
    <t>UBI-PURUSHOTTAMPUR-PSED-639201010050098-Main</t>
  </si>
  <si>
    <t>UBI-HINJILICUT-HINJ-642401010050064-Main</t>
  </si>
  <si>
    <t>UBI-HINJILICUT-HINJ-642401010050065-Main</t>
  </si>
  <si>
    <t>UBI-HINJILICUT-HINJ-642401010050066-Main</t>
  </si>
  <si>
    <t>UBI-HINJILICUT-HINJ-642401010050107-Main</t>
  </si>
  <si>
    <t>ICIC-HINJILICUT-HINJ-327005500120-Main</t>
  </si>
  <si>
    <t>ICIC-HINJILICUT-HINJ-327005500121-Main</t>
  </si>
  <si>
    <t>SBI-MED CAMPUS-SBAM-35647385815-Main</t>
  </si>
  <si>
    <t>UBI-KAMAPALLI-SBAM-625901010050075-Main</t>
  </si>
  <si>
    <t>UBI-KAMAPALLI-SBAM-625902010001734-Main</t>
  </si>
  <si>
    <t>UBI-ASKA-AED1-633601010050059-Main</t>
  </si>
  <si>
    <t>UBI-ASKA-AED1-633601010050071-Main</t>
  </si>
  <si>
    <t>SBI-ASKA-AED1-3566076440-Main</t>
  </si>
  <si>
    <t>SBI-ASKA-AED1-35660200282-Main</t>
  </si>
  <si>
    <t>UBI-ASKA-AED1-633601010050079-Main</t>
  </si>
  <si>
    <t>UBI-ASKA-AED1-633601010050080-Main</t>
  </si>
  <si>
    <t>UBI-ASKA-AED1-633602010008572-Main</t>
  </si>
  <si>
    <t>SBI-ASKA-AED2-35688595405-Main</t>
  </si>
  <si>
    <t>SBI-ASKA-AED2-38235589075-Main</t>
  </si>
  <si>
    <t>SBI-ASKA-AED2-35688595314-Main</t>
  </si>
  <si>
    <t>SBI-ASKA-AED2-35688595267-Main</t>
  </si>
  <si>
    <t>SBI-ASKA-AED2-38459535422-Main</t>
  </si>
  <si>
    <t>SBI-KABISURYA NAGAR-AED2-38048413886-Main</t>
  </si>
  <si>
    <t>SBI-ASKA-AED2-37817933639-Main</t>
  </si>
  <si>
    <t>SBI-ASKA-AED2-37817932636-Main</t>
  </si>
  <si>
    <t>SBI-DIGAPAHANDI-GSED-35648552912-Main</t>
  </si>
  <si>
    <t>SBI-DIGAPAHANDI-GSED-35648553314-Main</t>
  </si>
  <si>
    <t>SBI-DIGAPAHANDI-GSED-37822933213-Main</t>
  </si>
  <si>
    <t>SBI-DIGAPAHANDI-GSED-38037586669-Main</t>
  </si>
  <si>
    <t>SBI-DIGAPAHANDI-GSED-37822932538-Main</t>
  </si>
  <si>
    <t>SBI-DIGAPAHANDI-GSED-35648553461-Main</t>
  </si>
  <si>
    <t>SBI-DIGAPAHANDI-GSED-37701232239-Main</t>
  </si>
  <si>
    <t>SBI-ASKA-SASK-35670070677-Main</t>
  </si>
  <si>
    <t>UBI-ASKA-SASK-633601010050060-Main</t>
  </si>
  <si>
    <t>UBI-ASKA-SASK-633601010050061-Main</t>
  </si>
  <si>
    <t>UGRB-COURTPETA-HO-84024653469-Incoming</t>
  </si>
  <si>
    <t>UBI-KAMAPALLI-HO-625901010050062-Incoming</t>
  </si>
  <si>
    <t>UBI-KAMAPALLI-HO-625901010050063-Incoming</t>
  </si>
  <si>
    <t>UBI-KAMAPALLI-HO-625901010050065-Incoming</t>
  </si>
  <si>
    <t>UBI-KAMAPALLI-HO-625901010050066-Incoming</t>
  </si>
  <si>
    <t>UBI-KAMAPALLI-HO-625901010050069-Incoming</t>
  </si>
  <si>
    <t>UBI-KAMAPALLI-HO-625902010001725-Incoming</t>
  </si>
  <si>
    <t>UBI-KAMAPALLI-HO-625902010001727-Incoming</t>
  </si>
  <si>
    <t>UBI-KAMAPALLI-HO-625902010001728-Incoming</t>
  </si>
  <si>
    <t>UBI-KAMAPALLI-HO-385804040029152-Incoming</t>
  </si>
  <si>
    <t>UBI-KAMAPALLI-HO-625904010000002-Incoming</t>
  </si>
  <si>
    <t>UBI-KAMAPALLI-HO-625904010000007-Incoming</t>
  </si>
  <si>
    <t>UBI-KAMAPALLI-HO-625901010050105-Incoming</t>
  </si>
  <si>
    <t>SBI-SME-HO-35615919325-Incoming</t>
  </si>
  <si>
    <t>SBI-SME-HO-35615919802-Incoming</t>
  </si>
  <si>
    <t>SBI-SME-HO-35615920748-Incoming</t>
  </si>
  <si>
    <t>SBI-SME-HO-35615921775-Incoming</t>
  </si>
  <si>
    <t>SBI-SME-HO-36575398408-Incoming</t>
  </si>
  <si>
    <t>ICIC-SME-HO-027005500879-Incoming</t>
  </si>
  <si>
    <t>UBI-KAMAPALLI-HO-625901010050070-Incoming</t>
  </si>
  <si>
    <t>SBI-MCC-BED1-35647059777-Incoming</t>
  </si>
  <si>
    <t>UBI-KAMAPALLI-BED1-625901010050080-Incoming</t>
  </si>
  <si>
    <t>IOB-GAJPATI NAGAR-BED1-153002000000693-Incoming</t>
  </si>
  <si>
    <t>SBI-MCC-BED1-38093219273-Incoming</t>
  </si>
  <si>
    <t>UBI-BERHAMPUR-BED2-385801010170259-Incoming</t>
  </si>
  <si>
    <t>UBI-BERHAMPUR-BED2-385801010170260-Incoming</t>
  </si>
  <si>
    <t>UBI-BERHAMPUR-BED2-385801010170261-Incoming</t>
  </si>
  <si>
    <t>UBI-KAMAPALLI-BED3-625901010050076-Incoming</t>
  </si>
  <si>
    <t>UBI-KAMAPALLI-BED3-625901010050077-Incoming</t>
  </si>
  <si>
    <t>UBI-KAMAPALLI-BED3-625901010050078-Incoming</t>
  </si>
  <si>
    <t>UBI-KAMAPALLI-SCTY-625901010050072-Incoming</t>
  </si>
  <si>
    <t>UBI-KAMAPALLI-SCTY-625901010050073-Incoming</t>
  </si>
  <si>
    <t>SBI-CHATRAPUR-GNED-35652204775-Incoming</t>
  </si>
  <si>
    <t>SBI-CHATRAPUR-GNED-35652204298-Incoming</t>
  </si>
  <si>
    <t>UBI-CHATRAPUR-GNED-622901010050035-Incoming</t>
  </si>
  <si>
    <t>UBI-CHATRAPUR-GNED-622901010050050-Incoming</t>
  </si>
  <si>
    <t>UBI-CHATRAPUR-GNED-622902010005651-Incoming</t>
  </si>
  <si>
    <t>UBI-PURUSHOTTAMPUR-PSED-639201010050042-Incoming</t>
  </si>
  <si>
    <t>UBI-PURUSHOTTAMPUR-PSED-639201010050043-Incoming</t>
  </si>
  <si>
    <t>UBI-PURUSHOTTAMPUR-PSED-639201010050044-Incoming</t>
  </si>
  <si>
    <t>UBI-HINJILICUT-HINJ-642401010050064-Incoming</t>
  </si>
  <si>
    <t>UBI-HINJILICUT-HINJ-642401010050065-Incoming</t>
  </si>
  <si>
    <t>UBI-HINJILICUT-HINJ-642401010050066-Incoming</t>
  </si>
  <si>
    <t>ICIC-HINJILICUT-HINJ-327005500120-Incoming</t>
  </si>
  <si>
    <t>SBI-MED CAMPUS-SBAM-35647385815-Incoming</t>
  </si>
  <si>
    <t>UBI-KAMAPALLI-SBAM-625901010050075-Incoming</t>
  </si>
  <si>
    <t>UBI-ASKA-AED1-633601010050059-Incoming</t>
  </si>
  <si>
    <t>UBI-ASKA-AED1-633601010050071-Incoming</t>
  </si>
  <si>
    <t>SBI-ASKA-AED1-3566076440-Incoming</t>
  </si>
  <si>
    <t>SBI-ASKA-AED1-35660200282-Incoming</t>
  </si>
  <si>
    <t>UBI-ASKA-AED1-633602010008799-Incoming</t>
  </si>
  <si>
    <t>SBI-ASKA-AED2-35688595405-Incoming</t>
  </si>
  <si>
    <t>SBI-ASKA-AED2-38235589075-Incoming</t>
  </si>
  <si>
    <t>SBI-ASKA-AED2-35688595314-Incoming</t>
  </si>
  <si>
    <t>SBI-ASKA-AED2-35688595267-Incoming</t>
  </si>
  <si>
    <t>SBI-ASKA-AED2-38459535422-Incoming</t>
  </si>
  <si>
    <t>SBI-KABISURYA NAGAR-AED2-38048413886-Incoming</t>
  </si>
  <si>
    <t>SBI-DIGAPAHANDI-GSED-35648552912-Incoming</t>
  </si>
  <si>
    <t>SBI-DIGAPAHANDI-GSED-35648553314-Incoming</t>
  </si>
  <si>
    <t>SBI-DIGAPAHANDI-GSED-38037586669-Incoming</t>
  </si>
  <si>
    <t>SBI-DIGAPAHANDI-GSED-35648553461-Incoming</t>
  </si>
  <si>
    <t>SBI-DIGAPAHANDI-GSED-37701232239-Incoming</t>
  </si>
  <si>
    <t>SBI-ASKA-SASK-35670070677-Incoming</t>
  </si>
  <si>
    <t>UBI-ASKA-SASK-633601010050060-Incoming</t>
  </si>
  <si>
    <t>UGRB-COURTPETA-HO-84024653469-Outgoing</t>
  </si>
  <si>
    <t>UBI-KAMAPALLI-HO-625901010050062-Outgoing</t>
  </si>
  <si>
    <t>UBI-KAMAPALLI-HO-625901010050063-Outgoing</t>
  </si>
  <si>
    <t>UBI-KAMAPALLI-HO-625901010050065-Outgoing</t>
  </si>
  <si>
    <t>UBI-KAMAPALLI-HO-625901010050066-Outgoing</t>
  </si>
  <si>
    <t>UBI-KAMAPALLI-HO-625902010001725-Outgoing</t>
  </si>
  <si>
    <t>UBI-KAMAPALLI-HO-625902010001727-Outgoing</t>
  </si>
  <si>
    <t>UBI-KAMAPALLI-HO-385804040029152-Outgoing</t>
  </si>
  <si>
    <t>UBI-KAMAPALLI-HO-625904010000002-Outgoing</t>
  </si>
  <si>
    <t>UBI-KAMAPALLI-HO-625904010000007-Outgoing</t>
  </si>
  <si>
    <t>UBI-KAMAPALLI-HO-625901010050105-Outgoing</t>
  </si>
  <si>
    <t>SBI-SME-HO-35615919325-Outgoing</t>
  </si>
  <si>
    <t>SBI-SME-HO-35615919802-Outgoing</t>
  </si>
  <si>
    <t>SBI-SME-HO-35615920748-Outgoing</t>
  </si>
  <si>
    <t>SBI-SME-HO-35615921775-Outgoing</t>
  </si>
  <si>
    <t>SBI-SME-HO-36575398408-Outgoing</t>
  </si>
  <si>
    <t>ICIC-SME-HO-027005500879-Outgoing</t>
  </si>
  <si>
    <t>UBI-KAMAPALLI-HO-625901010050070-Outgoing</t>
  </si>
  <si>
    <t>SBI-MCC-BED1-35647059777-Outgoing</t>
  </si>
  <si>
    <t>UBI-KAMAPALLI-BED1-625901010050080-Outgoing</t>
  </si>
  <si>
    <t>IOB-GAJPATI NAGAR-BED1-153002000000693-Outgoing</t>
  </si>
  <si>
    <t>SBI-MCC-BED1-37824961512-Outgoing</t>
  </si>
  <si>
    <t>UBI-KAMAPALLI-BED1-625901110050006-Outgoing</t>
  </si>
  <si>
    <t>UBI-BERHAMPUR-BED2-385801010170259-Outgoing</t>
  </si>
  <si>
    <t>UBI-BERHAMPUR-BED2-385801010170260-Outgoing</t>
  </si>
  <si>
    <t>UBI-BERHAMPUR-BED2-385801010170261-Outgoing</t>
  </si>
  <si>
    <t>UBI-BERHAMPUR-BED2-385801110050009-Outgoing</t>
  </si>
  <si>
    <t>UBI-KAMAPALLI-BED3-625901010050076-Outgoing</t>
  </si>
  <si>
    <t>UBI-KAMAPALLI-BED3-625901010050077-Outgoing</t>
  </si>
  <si>
    <t>UBI-KAMAPALLI-BED3-625901010050078-Outgoing</t>
  </si>
  <si>
    <t>UBI-KAMAPALLI-BED3-625901110050000-Outgoing</t>
  </si>
  <si>
    <t>UBI-KAMAPALLI-BED3-625901110050001-Outgoing</t>
  </si>
  <si>
    <t>UBI-KAMAPALLI-BED3-625902010002259-Outgoing</t>
  </si>
  <si>
    <t>UBI-KAMAPALLI-SCTY-625901010050072-Outgoing</t>
  </si>
  <si>
    <t>UBI-KAMAPALLI-SCTY-625901010050073-Outgoing</t>
  </si>
  <si>
    <t>UBI-KAMAPALLI-SCTY-625901010050074-Outgoing</t>
  </si>
  <si>
    <t>SBI-CHATRAPUR-GNED-35652204775-Outgoing</t>
  </si>
  <si>
    <t>SBI-CHATRAPUR-GNED-35652204298-Outgoing</t>
  </si>
  <si>
    <t>UBI-CHATRAPUR-GNED-622901010050035-Outgoing</t>
  </si>
  <si>
    <t>UBI-CHATRAPUR-GNED-622901010050050-Outgoing</t>
  </si>
  <si>
    <t>UBI-PURUSHOTTAMPUR-PSED-639201010050042-Outgoing</t>
  </si>
  <si>
    <t>UBI-PURUSHOTTAMPUR-PSED-639201010050043-Outgoing</t>
  </si>
  <si>
    <t>UBI-PURUSHOTTAMPUR-PSED-639201010050044-Outgoing</t>
  </si>
  <si>
    <t>UBI-HINJILICUT-HINJ-642401010050064-Outgoing</t>
  </si>
  <si>
    <t>UBI-HINJILICUT-HINJ-642401010050065-Outgoing</t>
  </si>
  <si>
    <t>UBI-HINJILICUT-HINJ-642401010050066-Outgoing</t>
  </si>
  <si>
    <t>UBI-HINJILICUT-HINJ-642401010050107-Outgoing</t>
  </si>
  <si>
    <t>SBI-MED CAMPUS-SBAM-35647385815-Outgoing</t>
  </si>
  <si>
    <t>UBI-KAMAPALLI-SBAM-625901010050075-Outgoing</t>
  </si>
  <si>
    <t>UBI-ASKA-AED1-633601010050059-Outgoing</t>
  </si>
  <si>
    <t>UBI-ASKA-AED1-633601010050071-Outgoing</t>
  </si>
  <si>
    <t>SBI-ASKA-AED1-3566076440-Outgoing</t>
  </si>
  <si>
    <t>SBI-ASKA-AED1-35660200282-Outgoing</t>
  </si>
  <si>
    <t>SBI-ASKA-AED2-35688595405-Outgoing</t>
  </si>
  <si>
    <t>SBI-ASKA-AED2-38235589075-Outgoing</t>
  </si>
  <si>
    <t>SBI-ASKA-AED2-35688595314-Outgoing</t>
  </si>
  <si>
    <t>SBI-ASKA-AED2-35688595267-Outgoing</t>
  </si>
  <si>
    <t>SBI-DIGAPAHANDI-GSED-35648552912-Outgoing</t>
  </si>
  <si>
    <t>SBI-DIGAPAHANDI-GSED-35648553314-Outgoing</t>
  </si>
  <si>
    <t>SBI-DIGAPAHANDI-GSED-37822933213-Outgoing</t>
  </si>
  <si>
    <t>SBI-DIGAPAHANDI-GSED-35648553461-Outgoing</t>
  </si>
  <si>
    <t>SBI-DIGAPAHANDI-GSED-37701232239-Outgoing</t>
  </si>
  <si>
    <t>SBI-ASKA-SASK-35670070677-Outgoing</t>
  </si>
  <si>
    <t>UBI-ASKA-SASK-633601010050060-Outgoing</t>
  </si>
  <si>
    <t>SBI-BHANJANAGAR-BNED-37818043657-Main</t>
  </si>
  <si>
    <t>SBI-BHANJANAGAR-BNED-37818042304-Main</t>
  </si>
  <si>
    <t>SBI-BHANJANAGAR-BNED-36338981040-Main</t>
  </si>
  <si>
    <t>SBI-BHANJANAGAR-BNED-35644336279-Main</t>
  </si>
  <si>
    <t>SBI-BHANJANAGAR-BNED-35644312577-Main</t>
  </si>
  <si>
    <t>UBI-BHANJANAGAR-BNED-633802010008975-Main</t>
  </si>
  <si>
    <t>ANDB-BHANJANAGAR-BNED-006511100001255-Main</t>
  </si>
  <si>
    <t>SBI-PHULBANI-PHUL-35640470310-Main</t>
  </si>
  <si>
    <t>ICIC-PHULBANI-PHUL-077805004785-Main</t>
  </si>
  <si>
    <t>ICIC-PHULBANI-PHUL-077805004784-Main</t>
  </si>
  <si>
    <t>SBI-PHULBANI-PHUL-35640467228-Main</t>
  </si>
  <si>
    <t>UCO-PHULBANI-PHUL-08130210000397-Main</t>
  </si>
  <si>
    <t>UBI-PHULBANI-PHUL-625001010050104-Main</t>
  </si>
  <si>
    <t>SBI-BOUDH-BOED-35643519072-Main</t>
  </si>
  <si>
    <t>SBI-BOUDH-BOED-35643520178-Main</t>
  </si>
  <si>
    <t>SBI-BOUDH-BOED-38609800347-Main</t>
  </si>
  <si>
    <t>INDI-BOUDH-BOED-6419601528-Main</t>
  </si>
  <si>
    <t>ICIC-BOUDHGARH-BOED-368205500021-Main</t>
  </si>
  <si>
    <t>ICIC-BOUDHGARH-BOED-368205500022-Main</t>
  </si>
  <si>
    <t>SBI-BHANJANAGAR-SBNJ-35644335640-Main</t>
  </si>
  <si>
    <t>UBI-BHANJANAGAR-SBNJ-633801010050074-Main</t>
  </si>
  <si>
    <t>UBI-BHANJANAGAR-SBNJ-633801010050075-Main</t>
  </si>
  <si>
    <t>SBI-GUNUPUR-GUNP-35645645288-Main</t>
  </si>
  <si>
    <t>SBI-GUNUPUR-GUNP-35645652580-Main</t>
  </si>
  <si>
    <t>SBI-GUNUPUR-GUNP-35645652921-Main</t>
  </si>
  <si>
    <t>UBI-PARALAKHEMUNDI-PKED-406901010034083-Main</t>
  </si>
  <si>
    <t>UBI-PARALAKHEMUNDI-PKED-406901010034082-Main</t>
  </si>
  <si>
    <t>UBI-PARALAKHEMUNDI-PKED-406901010034107-Main</t>
  </si>
  <si>
    <t>ICIC-PARALAKHEMUNDI-PKED-063801001151-Main</t>
  </si>
  <si>
    <t>SBI-PARALAKHEMUNDI-PKED-35641546484-Main</t>
  </si>
  <si>
    <t>UBI-RAYAGADA-RGDA-572701010050120-Main</t>
  </si>
  <si>
    <t>UBI-RAYAGADA-RGDA-572701010050142-Main</t>
  </si>
  <si>
    <t>UBI-RAYAGADA-RGDA-572701010050121-Main</t>
  </si>
  <si>
    <t>UBI-RAYAGADA-RGDA-572701010050122-Main</t>
  </si>
  <si>
    <t>UBI-RAYAGADA-RGDA-572702010008526-Main</t>
  </si>
  <si>
    <t>ICIC-RAYAGADA-RGDA-078105500185-Main</t>
  </si>
  <si>
    <t>IOB-THERUBALI-RGDA-031802000001109-Main</t>
  </si>
  <si>
    <t>UBI-RAYAGADA-SRGD-572701010050123-Main</t>
  </si>
  <si>
    <t>UBI-RAYAGADA-SRGD-572701010050124-Main</t>
  </si>
  <si>
    <t>UBI-RAYAGADA-SRGD-572701010050125-Main</t>
  </si>
  <si>
    <t>UBI-JEYPORE-JYPR-391301010032120-Main</t>
  </si>
  <si>
    <t>UBI-JEYPORE-JYPR-391301010032122-Main</t>
  </si>
  <si>
    <t>UBI-JEYPORE-JYPR-391302010017080-Main</t>
  </si>
  <si>
    <t>UBI-JEYPORE-JYPR-391301010032121-Main</t>
  </si>
  <si>
    <t>ICIC-JEYPORE-JYPR-064105500285-Main</t>
  </si>
  <si>
    <t>ICIC-JEYPORE-JYPR-064105500286-Main</t>
  </si>
  <si>
    <t>SBI-KORAPUT-KRPT-35639950356-Main</t>
  </si>
  <si>
    <t>SBI-KORAPUT-KRPT-35639960818-Main</t>
  </si>
  <si>
    <t>SBI-KORAPUT-KRPT-35639951882-Main</t>
  </si>
  <si>
    <t>ICIC-KORAPUT-KRPT-25810550117-Main</t>
  </si>
  <si>
    <t>ICIC-KORAPUT-KRPT-25810550118-Main</t>
  </si>
  <si>
    <t>SBI-NABARANGPUR-NBRP-35648798242-Main</t>
  </si>
  <si>
    <t>SBI-NABARANGPUR-NBRP-35648855521-Main</t>
  </si>
  <si>
    <t>SBI-NABARANGPUR-NBRP-38194833041-Main</t>
  </si>
  <si>
    <t>ANDB-NABARANGPUR-NBRP-106011100000894-Main</t>
  </si>
  <si>
    <t>ICIC-NABARANGPUR-NBRP-149605500217-Main</t>
  </si>
  <si>
    <t>ICIC-NABARANGPUR-NBRP-149605500208-Main</t>
  </si>
  <si>
    <t>UBI-NABARANGPUR-NBRP-625102010007667-Main</t>
  </si>
  <si>
    <t>UBI-TAMASA-MLKN-463701010032127-Main</t>
  </si>
  <si>
    <t>UBI-TAMASA-MLKN-463701010032126-Main</t>
  </si>
  <si>
    <t>UBI-TAMASA-MLKN-463701010032130-Main</t>
  </si>
  <si>
    <t>UBI-TAMASA-MLKN-463701010029025-Main</t>
  </si>
  <si>
    <t>ICIC-MALKANGIRI-MLKN-368905500029-Main</t>
  </si>
  <si>
    <t>SBI-JEYPORE BAZAR-SJPR-35643444287-Main</t>
  </si>
  <si>
    <t>UBI-JEYPORE-SJPR-391301010032119-Main</t>
  </si>
  <si>
    <t>CAN-JEYPORE-SJPR-80532140000269-Main</t>
  </si>
  <si>
    <t>UBI-JEYPORE-SJPR-391301010032118-Main</t>
  </si>
  <si>
    <t>UBI-KAMAPALLI-ESD-625901010050081-Main</t>
  </si>
  <si>
    <t>UBI-KAMAPALLI-ESD-625901110050003-Main</t>
  </si>
  <si>
    <t>UBI-KAMAPALLI-ESD-625901110050005-Main</t>
  </si>
  <si>
    <t>UBI-KAMAPALLI-ESD-625902010002260-Main</t>
  </si>
  <si>
    <t>SBI-Nabarangpur-NED-11357486231-Main</t>
  </si>
  <si>
    <t>YES-Bapulji Nagar -HO-9381400000037-Main</t>
  </si>
  <si>
    <t>CAN-Jeypore-II -SJPR-80534180001346-Main</t>
  </si>
  <si>
    <t>CAN-Jeypore-II -SJPR-80534990000015-Main</t>
  </si>
  <si>
    <t>UBI-GUNUPUR-GED-748401010050056-Main</t>
  </si>
  <si>
    <t>UBI-GUNUPUR-GED-748402010004527-Main</t>
  </si>
  <si>
    <t>CAN-Digapahandi-GSED-0394201000191-Main</t>
  </si>
  <si>
    <t>CAN-Digapahandi-GSED-0394201000193-Main</t>
  </si>
  <si>
    <t>SBI-Bhanjanagar-BNED-39082288471-Main</t>
  </si>
  <si>
    <t>SBI-BHANJANAGAR-BNED-37818042304-Incoming</t>
  </si>
  <si>
    <t>SBI-BHANJANAGAR-BNED-36338981040-Incoming</t>
  </si>
  <si>
    <t>SBI-BHANJANAGAR-BNED-35644336279-Incoming</t>
  </si>
  <si>
    <t>SBI-BHANJANAGAR-BNED-35644312577-Incoming</t>
  </si>
  <si>
    <t>UBI-BHANJANAGAR-BNED-633802010008975-Incoming</t>
  </si>
  <si>
    <t>ANDB-BHANJANAGAR-BNED-006511100001255-Incoming</t>
  </si>
  <si>
    <t>SBI-PHULBANI-PHUL-35640470310-Incoming</t>
  </si>
  <si>
    <t>SBI-PHULBANI-PHUL-35640467228-Incoming</t>
  </si>
  <si>
    <t>UCO-PHULBANI-PHUL-08130210000397-Incoming</t>
  </si>
  <si>
    <t>UBI-PHULBANI-PHUL-625001010050104-Incoming</t>
  </si>
  <si>
    <t>SBI-BOUDH-BOED-35643519072-Incoming</t>
  </si>
  <si>
    <t>SBI-BOUDH-BOED-35643520178-Incoming</t>
  </si>
  <si>
    <t>SBI-BOUDH-BOED-38609800347-Incoming</t>
  </si>
  <si>
    <t>INDI-BOUDH-BOED-6419601528-Incoming</t>
  </si>
  <si>
    <t>SBI-BHANJANAGAR-SBNJ-35644335640-Incoming</t>
  </si>
  <si>
    <t>UBI-BHANJANAGAR-SBNJ-633801010050074-Incoming</t>
  </si>
  <si>
    <t>SBI-GUNUPUR-GUNP-35645645288-Incoming</t>
  </si>
  <si>
    <t>SBI-GUNUPUR-GUNP-35645652580-Incoming</t>
  </si>
  <si>
    <t>SBI-GUNUPUR-GUNP-35645652921-Incoming</t>
  </si>
  <si>
    <t>UBI-PARALAKHEMUNDI-PKED-406901010034083-Incoming</t>
  </si>
  <si>
    <t>UBI-PARALAKHEMUNDI-PKED-406901010034082-Incoming</t>
  </si>
  <si>
    <t>ICIC-PARALAKHEMUNDI-PKED-063801001151-Incoming</t>
  </si>
  <si>
    <t>SBI-PARALAKHEMUNDI-PKED-35641546484-Incoming</t>
  </si>
  <si>
    <t>UBI-RAYAGADA-RGDA-572701010050120-Incoming</t>
  </si>
  <si>
    <t>UBI-RAYAGADA-RGDA-572701010050121-Incoming</t>
  </si>
  <si>
    <t>UBI-RAYAGADA-RGDA-572701010050122-Incoming</t>
  </si>
  <si>
    <t>UBI-RAYAGADA-RGDA-572702010008526-Incoming</t>
  </si>
  <si>
    <t>IOB-THERUBALI-RGDA-031802000001109-Incoming</t>
  </si>
  <si>
    <t>UBI-RAYAGADA-SRGD-572701010050123-Incoming</t>
  </si>
  <si>
    <t>UBI-JEYPORE-JYPR-391301010032120-Incoming</t>
  </si>
  <si>
    <t>UBI-JEYPORE-JYPR-391301010032122-Incoming</t>
  </si>
  <si>
    <t>UBI-JEYPORE-JYPR-391301010032121-Incoming</t>
  </si>
  <si>
    <t>ICIC-JEYPORE-JYPR-064105500285-Incoming</t>
  </si>
  <si>
    <t>SBI-KORAPUT-KRPT-35639950356-Incoming</t>
  </si>
  <si>
    <t>SBI-KORAPUT-KRPT-35639960818-Incoming</t>
  </si>
  <si>
    <t>SBI-KORAPUT-KRPT-35639951882-Incoming</t>
  </si>
  <si>
    <t>SBI-NABARANGPUR-NBRP-35648798242-Incoming</t>
  </si>
  <si>
    <t>SBI-NABARANGPUR-NBRP-35648855521-Incoming</t>
  </si>
  <si>
    <t>ANDB-NABARANGPUR-NBRP-106011100000894-Incoming</t>
  </si>
  <si>
    <t>UBI-NABARANGPUR-NBRP-625102010007667-Incoming</t>
  </si>
  <si>
    <t>UBI-TAMASA-MLKN-463701010032127-Incoming</t>
  </si>
  <si>
    <t>UBI-TAMASA-MLKN-463701010032126-Incoming</t>
  </si>
  <si>
    <t>UBI-TAMASA-MLKN-463701010032130-Incoming</t>
  </si>
  <si>
    <t>UBI-TAMASA-MLKN-463701010029025-Incoming</t>
  </si>
  <si>
    <t>SBI-JEYPORE BAZAR-SJPR-35643444287-Incoming</t>
  </si>
  <si>
    <t>UBI-JEYPORE-SJPR-391301010032119-Incoming</t>
  </si>
  <si>
    <t>CAN-JEYPORE-SJPR-80532140000269-Incoming</t>
  </si>
  <si>
    <t>UBI-KAMAPALLI-ESD-625901010050081-Incoming</t>
  </si>
  <si>
    <t>UBI-KAMAPALLI-ESD-625901110050003-Incoming</t>
  </si>
  <si>
    <t>UBI-KAMAPALLI-ESD-625902010002260-Incoming</t>
  </si>
  <si>
    <t>SBI-Nabarangpur-NED-11357486231-Incoming</t>
  </si>
  <si>
    <t>UBI-GUNUPUR-GED-748402010004527-Incoming</t>
  </si>
  <si>
    <t>INDUS-Berhampur-HO-650014134073-Incoming</t>
  </si>
  <si>
    <t>Kotak-Bandra E, Mumbai.-HO-9945789070-Incoming</t>
  </si>
  <si>
    <t>UBI-PHULBANI-PHUL-625002010010915-Incoming</t>
  </si>
  <si>
    <t>SBI-BHANJANAGAR-BNED-37818042304-Outgoing</t>
  </si>
  <si>
    <t>SBI-BHANJANAGAR-BNED-36338981040-Outgoing</t>
  </si>
  <si>
    <t>SBI-BHANJANAGAR-BNED-35644336279-Outgoing</t>
  </si>
  <si>
    <t>SBI-BHANJANAGAR-BNED-35644312577-Outgoing</t>
  </si>
  <si>
    <t>ANDB-BHANJANAGAR-BNED-006511100001255-Outgoing</t>
  </si>
  <si>
    <t>SBI-PHULBANI-PHUL-35640470310-Outgoing</t>
  </si>
  <si>
    <t>SBI-PHULBANI-PHUL-35640467228-Outgoing</t>
  </si>
  <si>
    <t>UCO-PHULBANI-PHUL-08130210000397-Outgoing</t>
  </si>
  <si>
    <t>UBI-PHULBANI-PHUL-625001010050104-Outgoing</t>
  </si>
  <si>
    <t>SBI-BOUDH-BOED-35643519072-Outgoing</t>
  </si>
  <si>
    <t>SBI-BOUDH-BOED-35643520178-Outgoing</t>
  </si>
  <si>
    <t>SBI-BOUDH-BOED-38609800347-Outgoing</t>
  </si>
  <si>
    <t>INDI-BOUDH-BOED-6419601528-Outgoing</t>
  </si>
  <si>
    <t>SBI-BHANJANAGAR-SBNJ-35644335640-Outgoing</t>
  </si>
  <si>
    <t>UBI-BHANJANAGAR-SBNJ-633801010050074-Outgoing</t>
  </si>
  <si>
    <t>SBI-GUNUPUR-GUNP-35645645288-Outgoing</t>
  </si>
  <si>
    <t>SBI-GUNUPUR-GUNP-35645652580-Outgoing</t>
  </si>
  <si>
    <t>SBI-GUNUPUR-GUNP-35645652921-Outgoing</t>
  </si>
  <si>
    <t>UBI-PARALAKHEMUNDI-PKED-406901010034083-Outgoing</t>
  </si>
  <si>
    <t>UBI-PARALAKHEMUNDI-PKED-406901010034082-Outgoing</t>
  </si>
  <si>
    <t>UBI-PARALAKHEMUNDI-PKED-406901010034107-Outgoing</t>
  </si>
  <si>
    <t>ICIC-PARALAKHEMUNDI-PKED-063801001151-Outgoing</t>
  </si>
  <si>
    <t>SBI-PARALAKHEMUNDI-PKED-35641546484-Outgoing</t>
  </si>
  <si>
    <t>UBI-RAYAGADA-RGDA-572701010050120-Outgoing</t>
  </si>
  <si>
    <t>UBI-RAYAGADA-RGDA-572701010050142-Outgoing</t>
  </si>
  <si>
    <t>UBI-RAYAGADA-RGDA-572701010050121-Outgoing</t>
  </si>
  <si>
    <t>UBI-RAYAGADA-RGDA-572701010050122-Outgoing</t>
  </si>
  <si>
    <t>IOB-THERUBALI-RGDA-031802000001109-Outgoing</t>
  </si>
  <si>
    <t>UBI-RAYAGADA-SRGD-572701010050123-Outgoing</t>
  </si>
  <si>
    <t>UBI-RAYAGADA-SRGD-572701010050124-Outgoing</t>
  </si>
  <si>
    <t>UBI-RAYAGADA-SRGD-572701010050125-Outgoing</t>
  </si>
  <si>
    <t>UBI-JEYPORE-JYPR-391301010032120-Outgoing</t>
  </si>
  <si>
    <t>UBI-JEYPORE-JYPR-391301010032122-Outgoing</t>
  </si>
  <si>
    <t>UBI-JEYPORE-JYPR-391301010032121-Outgoing</t>
  </si>
  <si>
    <t>SBI-KORAPUT-KRPT-35639950356-Outgoing</t>
  </si>
  <si>
    <t>SBI-KORAPUT-KRPT-35639960818-Outgoing</t>
  </si>
  <si>
    <t>SBI-KORAPUT-KRPT-35639951882-Outgoing</t>
  </si>
  <si>
    <t>SBI-NABARANGPUR-NBRP-35648798242-Outgoing</t>
  </si>
  <si>
    <t>SBI-NABARANGPUR-NBRP-35648855521-Outgoing</t>
  </si>
  <si>
    <t>ANDB-NABARANGPUR-NBRP-106011100000894-Outgoing</t>
  </si>
  <si>
    <t>UBI-TAMASA-MLKN-463701010032127-Outgoing</t>
  </si>
  <si>
    <t>UBI-TAMASA-MLKN-463701010032126-Outgoing</t>
  </si>
  <si>
    <t>UBI-TAMASA-MLKN-463701010032130-Outgoing</t>
  </si>
  <si>
    <t>SBI-JEYPORE BAZAR-SJPR-35643444287-Outgoing</t>
  </si>
  <si>
    <t>UBI-JEYPORE-SJPR-391301010032119-Outgoing</t>
  </si>
  <si>
    <t>CAN-JEYPORE-SJPR-80532140000269-Outgoing</t>
  </si>
  <si>
    <t>UBI-KAMAPALLI-ESD-625901010050081-Outgoing</t>
  </si>
  <si>
    <t>UBI-KAMAPALLI-ESD-625901110050003-Outgoing</t>
  </si>
  <si>
    <t>UBI-KAMAPALLI-ESD-625902010002260-Outgoing</t>
  </si>
  <si>
    <t>CAN-Jeypore-II -SJPR-80534990000015-Outgoing</t>
  </si>
  <si>
    <t>UBI-GUNUPUR-GED-748401010050056-Outgoing</t>
  </si>
  <si>
    <t>INDUS-Berhampur-HO-650014134073-Outgoing</t>
  </si>
  <si>
    <t>Kotak-Bandra E, Mumbai.-HO-9945789070-Outgoing</t>
  </si>
  <si>
    <t>Liability for Purchase of Power-GRIDCO (RECO)</t>
  </si>
  <si>
    <t>Liability for PP-Transm Ch to OPTCL (RECO)</t>
  </si>
  <si>
    <t>Liability for SLDC Charges to OPTCL (RECO)</t>
  </si>
  <si>
    <t>Liability for Supply of Material-Capital (RECO)</t>
  </si>
  <si>
    <t>Liability for Supply of Materials-SOUBHAGYA (RECO)</t>
  </si>
  <si>
    <t>Liability for Supply of CAPEX Materials_manual</t>
  </si>
  <si>
    <t>Liability for supply of material-Capital_Manual</t>
  </si>
  <si>
    <t>Suppliers Control Account-Capital</t>
  </si>
  <si>
    <t>Liability for Supply of Materials-SOUBHAGYA-Manual</t>
  </si>
  <si>
    <t>Liabili-Supply of materials-Metering Equip-Manual</t>
  </si>
  <si>
    <t>Cantractors Control Account-Capital</t>
  </si>
  <si>
    <t>Liabilities for Expenses-Capital (RECO)</t>
  </si>
  <si>
    <t>Liabilities for Expenses-Capital-Manual</t>
  </si>
  <si>
    <t>Liability for Supply-Mat&amp;Service-MSME-Cap (RECO)</t>
  </si>
  <si>
    <t>Liability for Supply of Material-O&amp;M (RECO)</t>
  </si>
  <si>
    <t>Liability for  Labour Charges- SOUBHAGYA (RECO)</t>
  </si>
  <si>
    <t>Liability for Sup of Mat-Cyclone-Titlee (RECO)</t>
  </si>
  <si>
    <t>Liability for Labour Charges-Cyclone-Fonny (RECO)</t>
  </si>
  <si>
    <t>Suppliers Control Account-O&amp;M</t>
  </si>
  <si>
    <t>Liability for Labour Charges-O&amp;M-Cyclone_Manual</t>
  </si>
  <si>
    <t>Liability for Others-O&amp;M-Cyclone_Manual</t>
  </si>
  <si>
    <t>Liability-Labour Charges-O&amp;M-Cyclone-Hudhud_Manual</t>
  </si>
  <si>
    <t>Liability for  Labour Charges- SOUBHAGYA-Manual</t>
  </si>
  <si>
    <t>Liability for Supply of Mat-Cyclone-Titlee_Manual</t>
  </si>
  <si>
    <t>Liability for Labour Charges-Cyclone-Titlee-Manual</t>
  </si>
  <si>
    <t>Liability for Others-Cyclone-Titlee-Manual</t>
  </si>
  <si>
    <t>Provision for Supply of Materials-O&amp;M</t>
  </si>
  <si>
    <t>Contactors Control Account-O&amp;M</t>
  </si>
  <si>
    <t>Liabilities for Expenses-O&amp;M (RECO)</t>
  </si>
  <si>
    <t>Liabilities for Expenses-O&amp;M-Manual</t>
  </si>
  <si>
    <t>27A</t>
  </si>
  <si>
    <t>Dues of MSME</t>
  </si>
  <si>
    <t>Liability for Supply-Mat &amp; Service-MSME-O&amp;M (RECO)</t>
  </si>
  <si>
    <t>34B</t>
  </si>
  <si>
    <t>Provisions</t>
  </si>
  <si>
    <t>Defined Benefit Plans</t>
  </si>
  <si>
    <t>Payable to Gratuity trust</t>
  </si>
  <si>
    <t>Payable to Pension trust</t>
  </si>
  <si>
    <t>Other Current Liabilities</t>
  </si>
  <si>
    <t>Statutory Dues</t>
  </si>
  <si>
    <t>Payable to PF trust</t>
  </si>
  <si>
    <t>Provision for Earned Leave Encashment</t>
  </si>
  <si>
    <t>Liability&amp; Provision for Gratuity-Tata Power Staff</t>
  </si>
  <si>
    <t>Liability&amp; Prov-EL &amp; Other Leaves-Tata Power Staff</t>
  </si>
  <si>
    <t>Liability&amp; Prov Other Staff Costs-Tata Power Staff</t>
  </si>
  <si>
    <t>Other staff related Provisions</t>
  </si>
  <si>
    <t>Liability-RPFC towards Arrear of Executives</t>
  </si>
  <si>
    <t>Liability-RPFC towards Arrear of Non-Executives</t>
  </si>
  <si>
    <t>Provision for Doubtful Advances and recoveries</t>
  </si>
  <si>
    <t>34A</t>
  </si>
  <si>
    <t>Payable to Rehabilitation Assistance Trust</t>
  </si>
  <si>
    <t>Payable to Employees</t>
  </si>
  <si>
    <t>Unpaid Salary</t>
  </si>
  <si>
    <t>Unpaid Others</t>
  </si>
  <si>
    <t>Net payable-Salaries</t>
  </si>
  <si>
    <t>Liability for Bonus</t>
  </si>
  <si>
    <t>Liability for EL Encashment</t>
  </si>
  <si>
    <t>Liability for Other Staff Payment</t>
  </si>
  <si>
    <t>Dues-L.I.C. Premium Recovered</t>
  </si>
  <si>
    <t>Dues-Postal Recurring Deposit</t>
  </si>
  <si>
    <t>House Rent Recovery from Staff</t>
  </si>
  <si>
    <t>Other Staff Advance Recovery</t>
  </si>
  <si>
    <t>Other Liabilities-Payable to R.P.F. Commissioner</t>
  </si>
  <si>
    <t>Dues-Other Recurring Deposits recovered from Staff</t>
  </si>
  <si>
    <t>Dues-Professional Tax recovered from Staff</t>
  </si>
  <si>
    <t>Dues-Contrbn for COVID19 recovered from Staff</t>
  </si>
  <si>
    <t>Dues-Other Recoveries from Staff</t>
  </si>
  <si>
    <t>Provident Fund Contribution-RPFC Subscribers</t>
  </si>
  <si>
    <t>Provident Fund Contribution-PF Trust Subscribers</t>
  </si>
  <si>
    <t>Security deposits/ Earnest Money Deposit from Supplier</t>
  </si>
  <si>
    <t>Security Deposits in Cash-Capital</t>
  </si>
  <si>
    <t>Security Deposits other than in Cash-Capital</t>
  </si>
  <si>
    <t>Earnest Money Deposit in Cash-Capital</t>
  </si>
  <si>
    <t>Earnest Money Deposit-SOUBHAGYA–Capital</t>
  </si>
  <si>
    <t>Retention Money Payable</t>
  </si>
  <si>
    <t>Retention Money from Supplier-Capital</t>
  </si>
  <si>
    <t>Retention Money from Suppliers-SOUBHAGYA-Capital</t>
  </si>
  <si>
    <t>Security Deposits in Cash-O&amp;M</t>
  </si>
  <si>
    <t>Security Deposits other than in Cash-O&amp;M</t>
  </si>
  <si>
    <t>Earnest Money Deposit in Cash-O&amp;M</t>
  </si>
  <si>
    <t>Retention Money from Supplier-O&amp;M</t>
  </si>
  <si>
    <t>Retention Money from Contractors-O&amp;M</t>
  </si>
  <si>
    <t>Retention,EMD&amp;SD from Suppliers&amp;Contractors (RECO)</t>
  </si>
  <si>
    <t>TCS Assessed-Payable to Govt subject to Collection</t>
  </si>
  <si>
    <t>TCS Collected-Payable to Government</t>
  </si>
  <si>
    <t>TCS Remitted to Government</t>
  </si>
  <si>
    <t>ED Assessed-Payable to Govt subject to Collection</t>
  </si>
  <si>
    <t>Electricity Duty Collected-Payable to Government</t>
  </si>
  <si>
    <t>Electricity Duty Remitted to Government</t>
  </si>
  <si>
    <t>Receipts From Trusts for Payment to Ex-employees</t>
  </si>
  <si>
    <t>27b</t>
  </si>
  <si>
    <t>Sundry Creditors for Expenses</t>
  </si>
  <si>
    <t>EMI Liabilities-GRIDCO Loan &amp; Securitised BST Dues</t>
  </si>
  <si>
    <t>Provision for liability-amount payable to GRIDCO</t>
  </si>
  <si>
    <t>Provision for liability-amount payable to TPNODL</t>
  </si>
  <si>
    <t>Other Liabilities payble to State Govt</t>
  </si>
  <si>
    <t>Other Liabilities payble to Central Govt</t>
  </si>
  <si>
    <t>Deposit-Others</t>
  </si>
  <si>
    <t>Security deposit from employees in cash</t>
  </si>
  <si>
    <t>Deposit for Execution of Jobs / Works</t>
  </si>
  <si>
    <t>UNPOSTED RECEIPTS</t>
  </si>
  <si>
    <t>Liability-Odisha Building&amp;Other Construction Work</t>
  </si>
  <si>
    <t>Other Non Current Liabilities</t>
  </si>
  <si>
    <t>Consumer contribution for work under progress</t>
  </si>
  <si>
    <t>Rural Electrification Works under PMGY-Deposit</t>
  </si>
  <si>
    <t>Rural Electrification Works under PMGY-Exp</t>
  </si>
  <si>
    <t>Electrical Intallation Shifting Works-NH5-Deposits</t>
  </si>
  <si>
    <t>Electrical Intallation Shifting Works-NH5-Exp</t>
  </si>
  <si>
    <t>Rural Electrification Works under MNP-Deposit</t>
  </si>
  <si>
    <t>Rural Electrification Works under MNP-Exp</t>
  </si>
  <si>
    <t>Rural Electrification Works under MLALAD-Deposit</t>
  </si>
  <si>
    <t>Rural Electrification Works under MLALAD-Exp</t>
  </si>
  <si>
    <t>Rural Electrification Works under MPLAD-Deposit</t>
  </si>
  <si>
    <t>Rural Electrification Works under MPLAD-Exp</t>
  </si>
  <si>
    <t>Rural Electrification Works underWODC/BGJY-Deposit</t>
  </si>
  <si>
    <t>Rural Electrification Works under WODC/BGJY-Exp</t>
  </si>
  <si>
    <t>Rural Electrificn Works under KUTIRJYOTI-Deposit</t>
  </si>
  <si>
    <t>Rural Electrification Works under KUTIRJYOTI-Exp</t>
  </si>
  <si>
    <t>Rural Electrification Works under APDRP-Deposit</t>
  </si>
  <si>
    <t>Rural Electrification Works under APDRP-Exp</t>
  </si>
  <si>
    <t>Electrical Intallation in Elephant Corridor-Dep</t>
  </si>
  <si>
    <t>Electrical Intallation in Elephant Corridor-Exp</t>
  </si>
  <si>
    <t>Rural Electrific Works under RGGVY/RLATP-Deposit</t>
  </si>
  <si>
    <t>Rural Electrification Works under RGGVY/RLATP-Exp</t>
  </si>
  <si>
    <t>Fencing of Electrical Substations-OPTCL-Deposit</t>
  </si>
  <si>
    <t>Fencing of Electrical Substations-OPTCL-Exp</t>
  </si>
  <si>
    <t>Rural Electrification Works under DESI-Deposit</t>
  </si>
  <si>
    <t>Rural Electrification Works under DESI-Exp</t>
  </si>
  <si>
    <t>Electrification Works-Serv Conn-Low &amp; Med Volt-Dep</t>
  </si>
  <si>
    <t>Electrification Works-Serv Conn-Low &amp; Med Volt-Exp</t>
  </si>
  <si>
    <t>Electrification Works-Serv Conn-HT Volt-Deposit</t>
  </si>
  <si>
    <t>Electrification Works-Serv Conn-HT Volt-Exp</t>
  </si>
  <si>
    <t>Electrification Works-Serv Conn-Temporary-Deposit</t>
  </si>
  <si>
    <t>Electrification Works-Serv Conn-Others-Deposit</t>
  </si>
  <si>
    <t>Electrification Works-Serv Conn-Others-Exp</t>
  </si>
  <si>
    <t>Consumer Deposits-Other Miscellaneous</t>
  </si>
  <si>
    <t>Security Deposits-Domestic-LT</t>
  </si>
  <si>
    <t>Security Deposits-Bulk Supply Domestic-HT</t>
  </si>
  <si>
    <t>Security Deposits-General purpose-LT</t>
  </si>
  <si>
    <t>Security Deposits-Industrial Small Supply-LT</t>
  </si>
  <si>
    <t>Security Deposits-Industrial Medium Supply-LT</t>
  </si>
  <si>
    <t>Security Deposits-Large Industry-LT</t>
  </si>
  <si>
    <t>Security Deposits-Power Intensive Industry-HT</t>
  </si>
  <si>
    <t>Security Deposits-Power Intensive Industry-EHT</t>
  </si>
  <si>
    <t>Security Deposits-Public Lighting-LT</t>
  </si>
  <si>
    <t>Security Deposits-Railway Traction-HT</t>
  </si>
  <si>
    <t>Security Deposits-Railway Traction-EHT</t>
  </si>
  <si>
    <t>Security Deposits-Irrigation,Pumping &amp; Agri-LT</t>
  </si>
  <si>
    <t>Security Deposits-PWWS &amp; Sewerage Pumping-LT</t>
  </si>
  <si>
    <t>Security Deposits-Allied Agricultural Activity-LT</t>
  </si>
  <si>
    <t>Security Deposits-AlliedAgro IndustrialActivity-LT</t>
  </si>
  <si>
    <t>Security Deposits-Specified Public Purpose-LT</t>
  </si>
  <si>
    <t>Security Deposits-CPP-emergency supply-EHT</t>
  </si>
  <si>
    <t>Security Deposits from Consumers-Non Cash</t>
  </si>
  <si>
    <t>Letter of Credit Loan from Union Bank of India</t>
  </si>
  <si>
    <t>Interest Accrued &amp; Due on Loan-REC-SI</t>
  </si>
  <si>
    <t>Interest Accrued &amp; Due on Loan-State Bank of India</t>
  </si>
  <si>
    <t>Interest Accrued &amp; Due on Loan-Others</t>
  </si>
  <si>
    <t>Equity Share Capital</t>
  </si>
  <si>
    <t>Issued Share Capital</t>
  </si>
  <si>
    <t>Other Short-term Loans-State Bank of India</t>
  </si>
  <si>
    <t>Other Short-term Loans-Union Bank of India</t>
  </si>
  <si>
    <t>Loans from Financial Institutions and Others</t>
  </si>
  <si>
    <t>Loans from Rural Electrification Corporation</t>
  </si>
  <si>
    <t>GoO Loan-GRIDCO-CAPEX Scheme</t>
  </si>
  <si>
    <t>Subsidies towards Cost of Capital Assets</t>
  </si>
  <si>
    <t>Consumers Contribution for cost of Capital Assets</t>
  </si>
  <si>
    <t>Grants in aid for cyclone affected areas</t>
  </si>
  <si>
    <t>Grants in aid for cost of Cap Asset-BGJY Soubhagya</t>
  </si>
  <si>
    <t>Capital Reserve-Capital Subsidy &amp; Grants</t>
  </si>
  <si>
    <t>Other Equity</t>
  </si>
  <si>
    <t>Retained Earnings</t>
  </si>
  <si>
    <t>Retained Earnings - P&amp;L Balance</t>
  </si>
  <si>
    <t>Revenue From Operations</t>
  </si>
  <si>
    <t>Sale of power- Gross revenue as per tariff order</t>
  </si>
  <si>
    <t>Revenue from Sale of Power-Domestic-LT-EC</t>
  </si>
  <si>
    <t>Revenue from Sale of Power-Domestic-LT-DC</t>
  </si>
  <si>
    <t>Revenue from Sale of Power-Domestic-LT-MC</t>
  </si>
  <si>
    <t>Revenue from Sale of Power-Bulk Supply Dom-HT-EC</t>
  </si>
  <si>
    <t>Revenue from Sale of Power-Bulk Supply Dom-HT-DC</t>
  </si>
  <si>
    <t>Revenue from Sale of Power-General purpose-LT-EC</t>
  </si>
  <si>
    <t>Revenue from Sale of Power-General purpose-LT-DC</t>
  </si>
  <si>
    <t>Revenue from Sale of Power-Small-LT-EC</t>
  </si>
  <si>
    <t>Revenue from Sale of Power-Small-LT-MMFC&amp;#160;&amp;#16</t>
  </si>
  <si>
    <t>Revenue from Sale of Power-Medium-LT-EC</t>
  </si>
  <si>
    <t>Revenue from Sale of Power-Medium-LT-DC</t>
  </si>
  <si>
    <t>Revenue from Sale of Power-Large Industry-HT-EC</t>
  </si>
  <si>
    <t>Revenue from Sale of Power-Large Industry-HT-DC</t>
  </si>
  <si>
    <t>Revenue from Sale of Power-Power Intensive-EHT-EC</t>
  </si>
  <si>
    <t>Revenue from Sale of Power-Power Intensive-EHT-DC</t>
  </si>
  <si>
    <t>Revenue from Sale of Power-Public Lighting-LT-EC</t>
  </si>
  <si>
    <t>Revenue from Sale of Power-Public Lighting-LT-DC</t>
  </si>
  <si>
    <t>Revenue from Sale of Power-Railway Traction-EHT-EC</t>
  </si>
  <si>
    <t>Revenue from Sale of Power-Railway Traction-EHT-DC</t>
  </si>
  <si>
    <t>Revenue from SoP-Irrign,Pump &amp; Agri-LT-EC</t>
  </si>
  <si>
    <t>Revenue from SoP-Irrign,Pump &amp; Agri-LT-MFC</t>
  </si>
  <si>
    <t>Revenue from Sale of Power-PWWS-LT-EC</t>
  </si>
  <si>
    <t>Revenue from Sale of Power-PWWS-LT-DC</t>
  </si>
  <si>
    <t>Revenue from Sale of Power-PWWS-HT-EC</t>
  </si>
  <si>
    <t>Revenue from Sale of Power-PWWS-HT-DC</t>
  </si>
  <si>
    <t>Revenue from SoP-Allied Agril Activity-LT-EC</t>
  </si>
  <si>
    <t>Revenue from SoP-Allied Agril Activity-LT-MFC</t>
  </si>
  <si>
    <t>Revenue from SoP-Allied Agril Activity-HT-MFC</t>
  </si>
  <si>
    <t>Revenue from SoP-Agro Indus Activity-LT-EC</t>
  </si>
  <si>
    <t>Revenue from SoP-Agro Indus Activity-LT-MFC</t>
  </si>
  <si>
    <t>Revenue from SoP-Agro Indus Activity-HT-MFC</t>
  </si>
  <si>
    <t>Revenue from SoP-Specified Public Purpose-LT-EC</t>
  </si>
  <si>
    <t>Revenue from SoP-Specified Public Purpose-LT-MMFC</t>
  </si>
  <si>
    <t>Recovery of meter rent</t>
  </si>
  <si>
    <t>Delayed Payment Surcharges from Consumers</t>
  </si>
  <si>
    <t>Power Factor &amp; Over Drawal Penalties</t>
  </si>
  <si>
    <t>Reliability Surcharges</t>
  </si>
  <si>
    <t>PS-Civil Material-Consumption</t>
  </si>
  <si>
    <t>PS-Energy Meters-Consumption</t>
  </si>
  <si>
    <t>PS-Transformers-Consumption</t>
  </si>
  <si>
    <t>PS-LT Switch Gears-Consumption</t>
  </si>
  <si>
    <t>PS-Other Plant &amp; Machinery-Consumption</t>
  </si>
  <si>
    <t>PS-Overhead Lines-Consumption</t>
  </si>
  <si>
    <t>PS-Underground Cables-Consumption</t>
  </si>
  <si>
    <t>PP Cost-SLDC Charges</t>
  </si>
  <si>
    <t>PP Cost-Transmission Charges of OPTCL</t>
  </si>
  <si>
    <t>PP Cost-Power Purchase from GRIDCO</t>
  </si>
  <si>
    <t>Employee Benefits Expenses</t>
  </si>
  <si>
    <t>Salaries, Wages and Bonus</t>
  </si>
  <si>
    <t>Employee Cost -Basic Salary</t>
  </si>
  <si>
    <t>Employee Cost-Dearness Allowance</t>
  </si>
  <si>
    <t>Employee Cost-HRA</t>
  </si>
  <si>
    <t>Employee Cost-Other Allowances</t>
  </si>
  <si>
    <t>Employee Cost-Apprentice Manpower</t>
  </si>
  <si>
    <t>Employee Cost-Bonus</t>
  </si>
  <si>
    <t>Employee Cost-Exgratia</t>
  </si>
  <si>
    <t>Performance based Pay Incentives to Staff</t>
  </si>
  <si>
    <t>Medical Expenses Reimbursement</t>
  </si>
  <si>
    <t>House Rent reimbursement</t>
  </si>
  <si>
    <t>Compensated Absences</t>
  </si>
  <si>
    <t>Earned Leave Encashment-Surrender Leave</t>
  </si>
  <si>
    <t>Basic Salaries-TP Staff</t>
  </si>
  <si>
    <t>Gratuity-TP Staff</t>
  </si>
  <si>
    <t>Leave Encashment-TP Staff</t>
  </si>
  <si>
    <t>Other Staff Costs</t>
  </si>
  <si>
    <t>Contribution to Staff Welfare Fund</t>
  </si>
  <si>
    <t>Uniform and Liveries</t>
  </si>
  <si>
    <t>Sick Leave-TP Staff</t>
  </si>
  <si>
    <t>Other Staff Welfare Expenses</t>
  </si>
  <si>
    <t>Employers Contribution towards PF-RPFC</t>
  </si>
  <si>
    <t>RPFC Administration, EDLI &amp; Inspection charges</t>
  </si>
  <si>
    <t>Gratuity-Actuarial Provision</t>
  </si>
  <si>
    <t>Pension-Actuarial Provision</t>
  </si>
  <si>
    <t>Other Term.Benefits-Un Utlsd Leave etc-ActuaryProv</t>
  </si>
  <si>
    <t>Depreciation and Amortization Exp</t>
  </si>
  <si>
    <t>Depreciation on Buildings</t>
  </si>
  <si>
    <t>Depreciation on Plant &amp; Machineries</t>
  </si>
  <si>
    <t>Depreciation on Vehicles</t>
  </si>
  <si>
    <t>Depreciation on Furnitures &amp; Fixtures</t>
  </si>
  <si>
    <t>Depreciation on Office Equipments</t>
  </si>
  <si>
    <t>Finance Costs</t>
  </si>
  <si>
    <t>Interest on Loans at Amortized Cost</t>
  </si>
  <si>
    <t>Interest on REC Counterfunding Loan</t>
  </si>
  <si>
    <t>Interest on Consumer Security Deposit</t>
  </si>
  <si>
    <t>Interest on Consumers Sec Deposit for Service Conn</t>
  </si>
  <si>
    <t>Interest on Loans from State Bank of India</t>
  </si>
  <si>
    <t>Interest on Letter of Credit-Union Bank of India</t>
  </si>
  <si>
    <t>Interest on Secured Overdraft-Union Bank of India</t>
  </si>
  <si>
    <t>Int on NESCO Loan</t>
  </si>
  <si>
    <t>Cash Discount</t>
  </si>
  <si>
    <t>Prompt Payment Rebate, Incentive &amp; Discount-LT</t>
  </si>
  <si>
    <t>Prompt Payment Rebate, Incentive &amp; Discount-HT</t>
  </si>
  <si>
    <t>Prompt Payment Rebate, Incentive &amp; Discount-EHT</t>
  </si>
  <si>
    <t>Other Finance Costs</t>
  </si>
  <si>
    <t>Bank Charges for remitances</t>
  </si>
  <si>
    <t>Bank Commission for collections from consumers</t>
  </si>
  <si>
    <t>Bank Charges for Purchasing Demand Drafts Etc</t>
  </si>
  <si>
    <t>Incidental charges on bank accounts</t>
  </si>
  <si>
    <t>Other Bank Charges</t>
  </si>
  <si>
    <t>Letter of Credit Charges</t>
  </si>
  <si>
    <t>Deferred Tax Expenses</t>
  </si>
  <si>
    <t>P/L before mvmt in RDA Balances</t>
  </si>
  <si>
    <t>Net mvmt in RDA Balances</t>
  </si>
  <si>
    <t>Regulatory Income-PL Account</t>
  </si>
  <si>
    <t>Items that will not be reclassified to Profit and Loss</t>
  </si>
  <si>
    <t>Remeasurements of the defined benefit plans</t>
  </si>
  <si>
    <t>Regulatory Income-Other Comprehensive Income</t>
  </si>
  <si>
    <t>Recoveries-Malpractices</t>
  </si>
  <si>
    <t>Fuse Charges</t>
  </si>
  <si>
    <t>Disconnection, Dismantle and Reconnection Fees</t>
  </si>
  <si>
    <t>Meter Box Charges</t>
  </si>
  <si>
    <t>Service Connection Fees</t>
  </si>
  <si>
    <t>Supervision &amp; Inspection Charges</t>
  </si>
  <si>
    <t>Other Miscellaneous Operating Income</t>
  </si>
  <si>
    <t>Cross Subsidy &amp; Open Access Charges</t>
  </si>
  <si>
    <t>Output CGST Payable Account</t>
  </si>
  <si>
    <t>Output SGST Payable Account</t>
  </si>
  <si>
    <t>Output IGST Payable Account</t>
  </si>
  <si>
    <t>TDS Sec 192 Payable on Salary</t>
  </si>
  <si>
    <t>TDS Sec 194C Payable to contractors</t>
  </si>
  <si>
    <t>TDS Sec 194A Payable on Interest</t>
  </si>
  <si>
    <t>TDS Sec 194J Payable on Prof &amp; Tech Services</t>
  </si>
  <si>
    <t>TDS Sec 194I Payable on Rent P&amp;M.F&amp;F</t>
  </si>
  <si>
    <t>Labour Cess</t>
  </si>
  <si>
    <t>TDS Provision</t>
  </si>
  <si>
    <t>RCM-CGST Payable Account</t>
  </si>
  <si>
    <t>RCM-SGST Payable Account</t>
  </si>
  <si>
    <t>6A</t>
  </si>
  <si>
    <t>Deferred Tax</t>
  </si>
  <si>
    <t>Deferred tax Asset</t>
  </si>
  <si>
    <t>Deferred Tax Assets</t>
  </si>
  <si>
    <t>TDS Sec 194Q Payable on Purchase of Goods</t>
  </si>
  <si>
    <t>GR/IR Clearing-Materials</t>
  </si>
  <si>
    <t>OFFSET</t>
  </si>
  <si>
    <t>Initial Stock Load Offset</t>
  </si>
  <si>
    <t>Freight Clearing</t>
  </si>
  <si>
    <t>Migration Offset Account-GL-OI</t>
  </si>
  <si>
    <t>18B</t>
  </si>
  <si>
    <t>Regulatory Liability</t>
  </si>
  <si>
    <t>Regulatory Deferral Liabilities</t>
  </si>
  <si>
    <t>Tax Expense</t>
  </si>
  <si>
    <t>Current Tax Expense</t>
  </si>
  <si>
    <t>Current Tax Expenses</t>
  </si>
  <si>
    <t>Net Movement-Regulatory Deferral Account Balances</t>
  </si>
  <si>
    <t>Current Tax Provision(Net)</t>
  </si>
  <si>
    <t>Provision for Current Tax</t>
  </si>
  <si>
    <t>6B</t>
  </si>
  <si>
    <t>Deferred Tax Liabilites</t>
  </si>
  <si>
    <t>Provision for Deferred Tax</t>
  </si>
  <si>
    <t>Unbilled Revenue</t>
  </si>
  <si>
    <t>Preacquisition Employee Benefits</t>
  </si>
  <si>
    <t xml:space="preserve">Remeasurement Gratuty Unfunded  (OCI)    A/C     </t>
  </si>
  <si>
    <t xml:space="preserve">Remeasurement Gratuity Funded  (OCI)    A/C     </t>
  </si>
  <si>
    <t xml:space="preserve">Remeasurement Pension  (OCI)    A/C     </t>
  </si>
  <si>
    <t>13A</t>
  </si>
  <si>
    <t>Cheques in Hand</t>
  </si>
  <si>
    <t>MANUAL6</t>
  </si>
  <si>
    <t>Cheque in Hand</t>
  </si>
  <si>
    <t>MANUAL7</t>
  </si>
  <si>
    <t>Other Current Liabilities-Others</t>
  </si>
  <si>
    <t>MANUAL8</t>
  </si>
  <si>
    <t>Payable to Gratuity trust-C</t>
  </si>
  <si>
    <t>34E</t>
  </si>
  <si>
    <t>MANUAL9</t>
  </si>
  <si>
    <t>Payable to Pension trust-C</t>
  </si>
  <si>
    <t>34F</t>
  </si>
  <si>
    <t>MANUAL10</t>
  </si>
  <si>
    <t>Provision for Bonus-C</t>
  </si>
  <si>
    <t>Electrical wiring,light,fan &amp; installations-Plants</t>
  </si>
  <si>
    <t>Electrical wiring,light,fan &amp; installation-Offices</t>
  </si>
  <si>
    <t>Assets Under Construction/CWIP - Manual</t>
  </si>
  <si>
    <t>Fixed Deposits with Banks</t>
  </si>
  <si>
    <t>PS-Consumables</t>
  </si>
  <si>
    <t>PS-Computers</t>
  </si>
  <si>
    <t>Sundry Debtors-EC-General purpose-HT</t>
  </si>
  <si>
    <t>Sundry Debtors-EC-Industrial Medium Supply-HT</t>
  </si>
  <si>
    <t>Sundry Debtors-EC-Large Industry-LT</t>
  </si>
  <si>
    <t>Sundry Debtors-EC-Irrigation,Pump &amp; Agriculture-HT</t>
  </si>
  <si>
    <t>Sundry Debtors-EC-PWWS &amp; Pumping Installation-HT</t>
  </si>
  <si>
    <t>Sundry Debtors-EC-Allied Agricultural Activity-HT</t>
  </si>
  <si>
    <t>Sundry Debtors-EC-Allied Agro Indust Activities-HT</t>
  </si>
  <si>
    <t>Sundry Debtors-EC-Specified Public Purpose-HT</t>
  </si>
  <si>
    <t>Sundry Debtors-EC-CPP availing emergency suply-EHT</t>
  </si>
  <si>
    <t>Sundry Debtors-ED-General purpose-HT</t>
  </si>
  <si>
    <t>Sundry Debtors-ED-Industrial Medium Supply-HT</t>
  </si>
  <si>
    <t>Sundry Debtors-ED-Large Industry-EHT</t>
  </si>
  <si>
    <t>Sundry Debtors-ED-Irrigation,Pump &amp; Agriculture-HT</t>
  </si>
  <si>
    <t>Sundry Debtors-ED-PWWS &amp; Pumping Installation-HT</t>
  </si>
  <si>
    <t>Sundry Debtors-ED-Allied Agricultural Activity-HT</t>
  </si>
  <si>
    <t>Sundry Debtors-ED-Allied Agro Indust Activities-HT</t>
  </si>
  <si>
    <t>Sundry Debtors-ED-Specified Public Purpose-HT</t>
  </si>
  <si>
    <t>Sundry Debtors-ED-CPP availing emergency suply-EHT</t>
  </si>
  <si>
    <t>Short term deposits with UCO</t>
  </si>
  <si>
    <t>Advance to Suppliers &amp; Contractors-(RECO)</t>
  </si>
  <si>
    <t>Sundry Debtors for Sale of Stores &amp; Scraps-Manual</t>
  </si>
  <si>
    <t>Sundry Receivables-recoverable from suppliers</t>
  </si>
  <si>
    <t>Interest on Fixed Deposits &amp; STDR in Banks</t>
  </si>
  <si>
    <t>UBI-KAMAPALLI-HO-625901010050064-Incoming</t>
  </si>
  <si>
    <t>UBI-KAMAPALLI-HO-625902010001726-Incoming</t>
  </si>
  <si>
    <t>UBI-KAMAPALLI-HO-625901010050131-Incoming</t>
  </si>
  <si>
    <t>UBI-PURUSHOTTAMPUR-PSED-639201010050073-Incoming</t>
  </si>
  <si>
    <t>SBI-ASKA-AED2-37817933639-Incoming</t>
  </si>
  <si>
    <t>SBI-DIGAPAHANDI-GSED-37822933213-Incoming</t>
  </si>
  <si>
    <t>SBI-DIGAPAHANDI-GSED-37822932538-Incoming</t>
  </si>
  <si>
    <t>UBI-KAMAPALLI-HO-625901010050069-Outgoing</t>
  </si>
  <si>
    <t>SBI-MCC-BED1-37824962695-Outgoing</t>
  </si>
  <si>
    <t>SBI-MCC-BED1-38093219273-Outgoing</t>
  </si>
  <si>
    <t>UBI-KAMAPALLI-BED3-625901110050004-Outgoing</t>
  </si>
  <si>
    <t>UBI-PURUSHOTTAMPUR-PSED-639201010050073-Outgoing</t>
  </si>
  <si>
    <t>UBI-PURUSHOTTAMPUR-PSED-639201010050074-Outgoing</t>
  </si>
  <si>
    <t>UBI-PURUSHOTTAMPUR-PSED-639201010050098-Outgoing</t>
  </si>
  <si>
    <t>ICIC-HINJILICUT-HINJ-327005500120-Outgoing</t>
  </si>
  <si>
    <t>SBI-ASKA-AED2-38459535422-Outgoing</t>
  </si>
  <si>
    <t>SBI-KABISURYA NAGAR-AED2-38048413886-Outgoing</t>
  </si>
  <si>
    <t>SBI-ASKA-AED2-37817933639-Outgoing</t>
  </si>
  <si>
    <t>SBI-ASKA-AED2-37817932636-Outgoing</t>
  </si>
  <si>
    <t>SBI-DIGAPAHANDI-GSED-37822932538-Outgoing</t>
  </si>
  <si>
    <t>ICIC-PHULBANI-PHUL-077805004785-Incoming</t>
  </si>
  <si>
    <t>UBI-BHANJANAGAR-SBNJ-633801010050075-Incoming</t>
  </si>
  <si>
    <t>UBI-RAYAGADA-RGDA-572701010050142-Incoming</t>
  </si>
  <si>
    <t>ICIC-RAYAGADA-RGDA-078105500185-Incoming</t>
  </si>
  <si>
    <t>ICIC-NABARANGPUR-NBRP-149605500217-Incoming</t>
  </si>
  <si>
    <t>UBI-GUNUPUR-GED-748401010050056-Incoming</t>
  </si>
  <si>
    <t>UBI-BOUDH-BOED-645702010001410-Incoming</t>
  </si>
  <si>
    <t>SBI-BHANJANAGAR-BNED-37818043657-Outgoing</t>
  </si>
  <si>
    <t>ICIC-PHULBANI-PHUL-077805004785-Outgoing</t>
  </si>
  <si>
    <t>ICIC-PHULBANI-PHUL-077805004784-Outgoing</t>
  </si>
  <si>
    <t>ICIC-BOUDHGARH-BOED-368205500022-Outgoing</t>
  </si>
  <si>
    <t>UBI-BHANJANAGAR-SBNJ-633801010050075-Outgoing</t>
  </si>
  <si>
    <t>ICIC-JEYPORE-JYPR-064105500285-Outgoing</t>
  </si>
  <si>
    <t>ICIC-KORAPUT-KRPT-25810550118-Outgoing</t>
  </si>
  <si>
    <t>UBI-BOUDH-BOED-645702010001410-Outgoing</t>
  </si>
  <si>
    <t>Accounts Payable - Employees (RECO)</t>
  </si>
  <si>
    <t>Liability for Supply of CAPEX Materials (RECO)</t>
  </si>
  <si>
    <t>Liability for Related Party Transactions (RECO)</t>
  </si>
  <si>
    <t>Other staff related Liabilities</t>
  </si>
  <si>
    <t>Dues-P.L.I. Premium Recovered</t>
  </si>
  <si>
    <t>Liability towards ESIC Payable-TP Staff</t>
  </si>
  <si>
    <t>Liability towards NPS Payable-TP Staff</t>
  </si>
  <si>
    <t>ESIC Recovery from Tata Power Staff</t>
  </si>
  <si>
    <t>Miscellaneous Recovery - Tata Power Staff</t>
  </si>
  <si>
    <t>Provident Fund Contribution-RPFC-TP Staff</t>
  </si>
  <si>
    <t>Electrification Works under Saubhagya-Deposit</t>
  </si>
  <si>
    <t>Security Deposits-General purpose-HT</t>
  </si>
  <si>
    <t>Security Deposits-Industrial Medium Supply-HT</t>
  </si>
  <si>
    <t>Security Deposits-Large Industry-HT</t>
  </si>
  <si>
    <t>Security Deposits-Large Industry-EHT</t>
  </si>
  <si>
    <t>Security Deposits-Irrigation,Pumping &amp; Agri-HT</t>
  </si>
  <si>
    <t>Security Deposits-Allied Agricultural Activity-HT</t>
  </si>
  <si>
    <t>Revenue from Sale of Power-General purpose-HT-EC</t>
  </si>
  <si>
    <t>Revenue from Sale of Power-General purpose-HT-DC</t>
  </si>
  <si>
    <t>Revenue from Sale of Power-Medium-HT-EC</t>
  </si>
  <si>
    <t>Revenue from Sale of Power-Medium-HT-DC</t>
  </si>
  <si>
    <t>Revenue from Sale of Power-Large Industry-LT-EC</t>
  </si>
  <si>
    <t>Revenue from Sale of Power-Large Industry-LT-DC</t>
  </si>
  <si>
    <t>Revenue from Sale of Power-Large Industry-EHT-EC</t>
  </si>
  <si>
    <t>Revenue from Sale of Power-Large Industry-EHT-DC</t>
  </si>
  <si>
    <t>Revenue from SoP-Irrign,Pump &amp; Agri-HT-EC</t>
  </si>
  <si>
    <t>Revenue from SoP-Irrign,Pump &amp; Agri-HT-DC</t>
  </si>
  <si>
    <t>Revenue from SoP-Allied Agril Activity-HT-EC</t>
  </si>
  <si>
    <t>Revenue from SoP-Agro Indus Activity-HT-EC</t>
  </si>
  <si>
    <t>Revenue from SoP-Specified Public Purpose-HT-EC</t>
  </si>
  <si>
    <t>Revenue from SoP-Specified Public Purpose-HT-MMFC</t>
  </si>
  <si>
    <t>Revenue from SoP-Captive Power Plant-EHT-EC</t>
  </si>
  <si>
    <t>PS-Furniture &amp; Fittings-Consumption</t>
  </si>
  <si>
    <t>COGS-PS-Office Equipments</t>
  </si>
  <si>
    <t>CAPEX-Services</t>
  </si>
  <si>
    <t>Employee Cost-Medical Allowance</t>
  </si>
  <si>
    <t>Shift Allowance</t>
  </si>
  <si>
    <t>Green Card Allowance</t>
  </si>
  <si>
    <t>Washing Allowance</t>
  </si>
  <si>
    <t>Estimator Allowance</t>
  </si>
  <si>
    <t>Cash Allowance-1990_TP Staff</t>
  </si>
  <si>
    <t>Adj Allowance-TP Staff</t>
  </si>
  <si>
    <t>Compensation Allowance_1300_Food Coupon_TP Staff</t>
  </si>
  <si>
    <t>Super Annuation Allowance_1570_TP Staff</t>
  </si>
  <si>
    <t>Mobile Allowance-TP Staff</t>
  </si>
  <si>
    <t>Data Allowance-TP Staff</t>
  </si>
  <si>
    <t>Strategic Mobilisation Allowance-TP Staff</t>
  </si>
  <si>
    <t>Fixed Allowance Balance-TP Staff</t>
  </si>
  <si>
    <t>Employee Cost-Contractual Manpower</t>
  </si>
  <si>
    <t>Car Allowance-TP Staff</t>
  </si>
  <si>
    <t>House Rent Allowance-TP Staff</t>
  </si>
  <si>
    <t>Performance Linked Bonus/Award-TP Staff</t>
  </si>
  <si>
    <t>Employer Contribution to PF-TP Staff</t>
  </si>
  <si>
    <t>Employers Contribution towards NPS-TP Staff</t>
  </si>
  <si>
    <t>Employers Contribution towards ESIC-TP Staff</t>
  </si>
  <si>
    <t>Education Expenses</t>
  </si>
  <si>
    <t>Fooding Expenses of Staff</t>
  </si>
  <si>
    <t>EDLI Administration Charges-TP Staff</t>
  </si>
  <si>
    <t>Employers Contrbn towards PF of NP Employee-Trust</t>
  </si>
  <si>
    <t>Scrap-PS-Channels, Angles</t>
  </si>
  <si>
    <t>Scrap-O&amp;M-Civil Office Building</t>
  </si>
  <si>
    <t>Application fees</t>
  </si>
  <si>
    <t>Input CGST Account</t>
  </si>
  <si>
    <t>Input SGST Account</t>
  </si>
  <si>
    <t>Input IGST Account</t>
  </si>
  <si>
    <t>RCM-IGST Payable Account</t>
  </si>
  <si>
    <t>TCS payable on bills</t>
  </si>
  <si>
    <t>GR/IR Clearing-Services</t>
  </si>
  <si>
    <t>UBI-GUNUPUR-GED-748402010004527-Outgoing</t>
  </si>
  <si>
    <t>ICIC-NABARANGPUR-NBRP-149605500217-Outgoing</t>
  </si>
  <si>
    <t>ICIC-NABARANGPUR-NBRP-149605500208-Outgoing</t>
  </si>
  <si>
    <t>Interest on Invoice Financing- Kotak Mahindra Bank</t>
  </si>
  <si>
    <t>Interest on Invoice Financing - IndusInd Bank</t>
  </si>
  <si>
    <t>Buildings-Electric Genrating Plant-Hydro</t>
  </si>
  <si>
    <t>Buildings-Electric Genrating Plant-Diesel</t>
  </si>
  <si>
    <t>Buildings including Distribn Installations (RECO)</t>
  </si>
  <si>
    <t>Residential Colony for staff</t>
  </si>
  <si>
    <t>Drainage &amp; swerage-Residential colony</t>
  </si>
  <si>
    <t>Other Hydraulic Works</t>
  </si>
  <si>
    <t>Civil Works-Roads &amp; Other constructions etc (RECO)</t>
  </si>
  <si>
    <t>Kaccha Roads</t>
  </si>
  <si>
    <t>Miscellaneous Civil Works</t>
  </si>
  <si>
    <t>Boiler Plant &amp; Equipments</t>
  </si>
  <si>
    <t>Turbaine-Generator-Steam power generation</t>
  </si>
  <si>
    <t>Plant foundations for steam power plant</t>
  </si>
  <si>
    <t>Other Plant &amp; Machineries-Generation Etc</t>
  </si>
  <si>
    <t>Oil storage Tank, Oil handling Plant &amp; equipments</t>
  </si>
  <si>
    <t>Plant and Machiney-Transformers &gt;= 100 KVA (RECO)</t>
  </si>
  <si>
    <t>Other Transformers, Kiosks &amp; Substation Equipments</t>
  </si>
  <si>
    <t>Material Handling equipment-Earthmovers,Bulldozers</t>
  </si>
  <si>
    <t>Material Handling equipment-Cranes</t>
  </si>
  <si>
    <t>Material Handling equipment-Others</t>
  </si>
  <si>
    <t>Switchgears including cable connections</t>
  </si>
  <si>
    <t>Battterie including charging equipments</t>
  </si>
  <si>
    <t>Fabication shop/ Workshop plant &amp; equipments</t>
  </si>
  <si>
    <t>Other Plant &amp; Machineries-Transmission &amp; Distribn</t>
  </si>
  <si>
    <t>Lightning arrestors</t>
  </si>
  <si>
    <t>Comm. Equip-Radio &amp; high frequency Carrier System</t>
  </si>
  <si>
    <t>Static machine tools &amp; equipments</t>
  </si>
  <si>
    <t>Meter testing Laboratory tools &amp; equipments</t>
  </si>
  <si>
    <t>Equipments in Hospital &amp; Clinics</t>
  </si>
  <si>
    <t>Station Maintenance Tools, Tackles &amp; Equipments</t>
  </si>
  <si>
    <t>Demonstration equipments</t>
  </si>
  <si>
    <t>Laboratory Equipments</t>
  </si>
  <si>
    <t>Synchronous condensers</t>
  </si>
  <si>
    <t>Other Miscellaneous equipments</t>
  </si>
  <si>
    <t>Over Head lines &amp; apparatus&gt; 66 KVA&lt;132 KVA (RECO)</t>
  </si>
  <si>
    <t>Over Head lines &amp; apparatus&gt;13.2 KVA&lt;66 KVA</t>
  </si>
  <si>
    <t>Over Head lines &amp; apparatus &lt; 13.2 KVA</t>
  </si>
  <si>
    <t>Over Head lines &amp; apparatus-Concrete Support</t>
  </si>
  <si>
    <t>Over Head lines &amp; apparatus-Treated wood support</t>
  </si>
  <si>
    <t>UG cables-Joint boxes-Disconecting Boxes &gt;13.2 KVA</t>
  </si>
  <si>
    <t>UG cables-Joint boxes-Disconecting Boxes &lt;13.2 KVA</t>
  </si>
  <si>
    <t>Under Ground Cables - Cable Duct System</t>
  </si>
  <si>
    <t>Service Connection - High VoltAGE</t>
  </si>
  <si>
    <t>Service connection -Medium &amp; low voltage</t>
  </si>
  <si>
    <t>Meters &amp; Metering Equipments</t>
  </si>
  <si>
    <t>Street lighting and signal system</t>
  </si>
  <si>
    <t>Miscellaneous equipments</t>
  </si>
  <si>
    <t>Vehicles-Truck, tempos &amp; trekkers etc. (RECO)</t>
  </si>
  <si>
    <t>Jeeps &amp; motor cars</t>
  </si>
  <si>
    <t>Furniture &amp; Fixtures in plants (RECO)</t>
  </si>
  <si>
    <t>Office Equipments-Calculators etc. (RECO)</t>
  </si>
  <si>
    <t>Type writers</t>
  </si>
  <si>
    <t>Cash registers</t>
  </si>
  <si>
    <t>Computers (RECO)</t>
  </si>
  <si>
    <t>Bradma Machines for billings</t>
  </si>
  <si>
    <t>Intercom Systems</t>
  </si>
  <si>
    <t>Duplicating instruments &amp; Photocopiers</t>
  </si>
  <si>
    <t>AUC- Normal (RECO)</t>
  </si>
  <si>
    <t>PS-Channels, Angels</t>
  </si>
  <si>
    <t>PS-Poles</t>
  </si>
  <si>
    <t>O&amp;M Stock Channels, Angles</t>
  </si>
  <si>
    <t>O&amp;M Stock Poles</t>
  </si>
  <si>
    <t>O&amp;M Stock Consumables</t>
  </si>
  <si>
    <t>Capital Materials at Site stores</t>
  </si>
  <si>
    <t>O&amp;M Materials at Site stores</t>
  </si>
  <si>
    <t>Capital Material in transit</t>
  </si>
  <si>
    <t>Imprest Store</t>
  </si>
  <si>
    <t>Stock Excess pending Investigation</t>
  </si>
  <si>
    <t>Stock lost from store pending Investigation</t>
  </si>
  <si>
    <t>Materials lost pending Investigation</t>
  </si>
  <si>
    <t>Provision for stock shortage pending Investigation</t>
  </si>
  <si>
    <t>Provision for obsolete store</t>
  </si>
  <si>
    <t>Other stamps in hand</t>
  </si>
  <si>
    <t>Advance to Supplier &amp; Contractor-MSME</t>
  </si>
  <si>
    <t>Receivable from GRIDCO-ODSSP</t>
  </si>
  <si>
    <t>Accumulated Depreciation- Buildings (RECO)</t>
  </si>
  <si>
    <t>Accumulated Depreciation-Lines, Cables NWs (RECO)</t>
  </si>
  <si>
    <t>Accumulated Depreciation- Vehicles (RECO)</t>
  </si>
  <si>
    <t>Accumulated Depreciation- Furnitures &amp; Fix (RECO)</t>
  </si>
  <si>
    <t>Accumulated Depreciation- Computers (RECO)</t>
  </si>
  <si>
    <t>Liability for Supply of Materials-Met Equip (RECO)</t>
  </si>
  <si>
    <t>Provision for Supply of Materials-Capital</t>
  </si>
  <si>
    <t>Liability for Labour Charges-O&amp;M-Cyclone (RECO)</t>
  </si>
  <si>
    <t>Liability for Others-O&amp;M-Cyclone (RECO)</t>
  </si>
  <si>
    <t>Liability for Labour Ch-O&amp;M-Cyclone-Hudhud (RECO)</t>
  </si>
  <si>
    <t>Liability for Labour Charges-Cyclone-Titlee (RECO)</t>
  </si>
  <si>
    <t>Liability for Others-Cyclone-Titlee (RECO)</t>
  </si>
  <si>
    <t>Security deposit from Employees other than in cash</t>
  </si>
  <si>
    <t>Grants in aid for cost of Capital Assets-Soubhagya</t>
  </si>
  <si>
    <t>Grants in aid for cost of Capital Assets-PEETHA</t>
  </si>
  <si>
    <t>PS-33 KV Switch Gears-Consumption</t>
  </si>
  <si>
    <t>PS-11KV Switch Gears-Consumption</t>
  </si>
  <si>
    <t>PS-Capacitors-Consumption</t>
  </si>
  <si>
    <t>PS-Lightening Arrestors-Consumption</t>
  </si>
  <si>
    <t>PS-Consumables-Consumption</t>
  </si>
  <si>
    <t>PS-Street Lightening-Consumption</t>
  </si>
  <si>
    <t>PS-Poles-Consumption</t>
  </si>
  <si>
    <t>PS-Channels, Angles-Consumption</t>
  </si>
  <si>
    <t>PS-Office Equipments-Consumption</t>
  </si>
  <si>
    <t>O&amp;M Stock SCADA-Control &amp; Instrument-Consumption</t>
  </si>
  <si>
    <t>CREATE_GL5</t>
  </si>
  <si>
    <t>RED-UBI</t>
  </si>
  <si>
    <t>JED-UBI</t>
  </si>
  <si>
    <t>CREATE_GL10</t>
  </si>
  <si>
    <t>368905500030-ICICI-MED</t>
  </si>
  <si>
    <t>1424256 ICIC-CHATRAPUR-GNED-203605500236-Incoming</t>
  </si>
  <si>
    <t>1424354 UBI-CHATRAPUR-GNED-622902010005651-Outgoing</t>
  </si>
  <si>
    <t>1424370 ICIC-HINJILICUT-HINJ-327005500121-Outgoing</t>
  </si>
  <si>
    <t>1424380 UBI-ASKA-AED1-633601010050080-Outgoing</t>
  </si>
  <si>
    <t>1424550 ICIC-JEYPORE-JYPR-064105500286-Incoming</t>
  </si>
  <si>
    <t>1424589 SBI-SME-HO-40345011682-Incoming</t>
  </si>
  <si>
    <t>1424650 ICIC-JEYPORE-JYPR-064105500286-Outgoing</t>
  </si>
  <si>
    <t>1424654 ICIC-KORAPUT-KRPT-25810550117-Outgoing</t>
  </si>
  <si>
    <t>1424672 UBI-JEYPORE-SJPR-391301010032118-Outgoing</t>
  </si>
  <si>
    <t>1424675 UBI-KAMAPALLI-ESD-625901110050005-Outgoing</t>
  </si>
  <si>
    <t>2055325 Grants in Aid Cyclone Yaas</t>
  </si>
  <si>
    <t>4075808 Rehabilitation Assistance Actuarial Provision</t>
  </si>
  <si>
    <t>Closing bal. of WIP as on 31.03.23</t>
  </si>
  <si>
    <t>01.04.21</t>
  </si>
  <si>
    <t>OUT SOURCE/CONTRACTUAL</t>
  </si>
  <si>
    <t xml:space="preserve"> EXECUTIVE REGULAR</t>
  </si>
  <si>
    <t>FY-2020-21</t>
  </si>
  <si>
    <t>NON-EXECUTIVE REGULAR</t>
  </si>
  <si>
    <t>S.No. (Outsource Payment )</t>
  </si>
  <si>
    <t>A&amp; G Cost</t>
  </si>
  <si>
    <t>(As received from Mr. Dharmadhikari)</t>
  </si>
  <si>
    <t>HF2 (FY21-22)</t>
  </si>
  <si>
    <t>FY22-23</t>
  </si>
  <si>
    <t>33kV lines and PSS AMC</t>
  </si>
  <si>
    <t>33/11kV PSS Manpower Contract</t>
  </si>
  <si>
    <t>_</t>
  </si>
  <si>
    <t>11kV line &amp; LT Network AMC</t>
  </si>
  <si>
    <t xml:space="preserve">Enforcement </t>
  </si>
  <si>
    <t xml:space="preserve">₹  2,99,31,252.44 </t>
  </si>
  <si>
    <t xml:space="preserve"> ₹    6,28,55,630.12 </t>
  </si>
  <si>
    <t>01.07.2021</t>
  </si>
  <si>
    <t>01.01.2022</t>
  </si>
  <si>
    <t>01.07.2022</t>
  </si>
  <si>
    <t>01.01.2023</t>
  </si>
  <si>
    <t>Calculation of Trust Liability for 2021-22&amp; 2022-23</t>
  </si>
  <si>
    <t>Liability as on 31-03-21                             ( Asper Bhudev Chaterjee valuation)</t>
  </si>
  <si>
    <t>Liability as on 31-03-22            ( Asper Bhudev Chaterjee valuation)</t>
  </si>
  <si>
    <t>Liability as on 31-03-23             ( Asper Bhudev Chaterjee valuation)</t>
  </si>
  <si>
    <t>Incremental liability for 2021-22 &amp; 2022-23</t>
  </si>
  <si>
    <t>Int. on investment for 22-23</t>
  </si>
  <si>
    <t>Approved for 2021-22</t>
  </si>
  <si>
    <t>Estimated payment for 22-23</t>
  </si>
  <si>
    <t>31.03.23</t>
  </si>
  <si>
    <t>Investment position with Trust as on 31.03.21</t>
  </si>
  <si>
    <t>FY -2022-23</t>
  </si>
  <si>
    <t>No. of Consumers 1st April of 2021</t>
  </si>
  <si>
    <t>TPSODL -CTC</t>
  </si>
  <si>
    <t>During Jan'21 -Mar'21</t>
  </si>
  <si>
    <t>During Apr'21 to Oct'21</t>
  </si>
  <si>
    <t>During Nov'21 to Mar'2022</t>
  </si>
  <si>
    <t>On-board</t>
  </si>
  <si>
    <t>R/S/R</t>
  </si>
  <si>
    <t>FI</t>
  </si>
  <si>
    <t>MC &amp; above</t>
  </si>
  <si>
    <t>MD</t>
  </si>
  <si>
    <t>ME</t>
  </si>
  <si>
    <t>TPSODL-CTC</t>
  </si>
  <si>
    <t>Balance As on 31.10.2021</t>
  </si>
  <si>
    <t>Balance As on 31.03.2022</t>
  </si>
  <si>
    <t>Balance As on 31.03.2023</t>
  </si>
  <si>
    <t>No. of Million Units Sold/ CTC employees added</t>
  </si>
  <si>
    <t>EMPLOYEE COST (CTC)</t>
  </si>
  <si>
    <t>Avg Basic rate</t>
  </si>
  <si>
    <t>With GST</t>
  </si>
  <si>
    <t>Projected cost for FY 21-22</t>
  </si>
  <si>
    <t>For FY 22-23</t>
  </si>
  <si>
    <t>Existing employee in roll as on 1st April 21</t>
  </si>
  <si>
    <t>New joining</t>
  </si>
  <si>
    <t>total employee in roll</t>
  </si>
  <si>
    <t>Additional cost for New Joining</t>
  </si>
  <si>
    <t>Total Salary from Apr'21 to Oct'21</t>
  </si>
  <si>
    <t>Existing employee in roll as on 1st Nov 21</t>
  </si>
  <si>
    <t>New Joining</t>
  </si>
  <si>
    <t>Total Salary from Nov '21 to March '21</t>
  </si>
  <si>
    <t>Existing employee in roll as on 1st April 22</t>
  </si>
  <si>
    <t>total employee</t>
  </si>
  <si>
    <t>total empolyee cost</t>
  </si>
  <si>
    <t>GMC</t>
  </si>
  <si>
    <t>GTLI</t>
  </si>
  <si>
    <t>GPA</t>
  </si>
  <si>
    <t>total insurance cost</t>
  </si>
  <si>
    <t>Insurance prov for 10% increase in FY 22-23</t>
  </si>
  <si>
    <t>3rd Party Recruitment Cost One Time</t>
  </si>
  <si>
    <t>Energy Audit Expenses &amp; DSM</t>
  </si>
  <si>
    <t>Drawn during 2022-23</t>
  </si>
  <si>
    <t>FY 2022-23</t>
  </si>
  <si>
    <t>Int. on SD @ 4.25%</t>
  </si>
  <si>
    <t>Cyclone fund-TITLI/YASS</t>
  </si>
  <si>
    <t>Actual of previous Year                    (FY 2020-21)</t>
  </si>
  <si>
    <t>First 6 months of Current Year             (FY 2021-22)</t>
  </si>
  <si>
    <t>Estimate for Current Year                          (FY 2021-22)</t>
  </si>
  <si>
    <t>Ensuing Year              (FY 2022-23)</t>
  </si>
  <si>
    <t>Actual of previous Year (FY 2020-21)</t>
  </si>
  <si>
    <t>First 6 months of Current Year (FY 2021-22)</t>
  </si>
  <si>
    <t>Estimate for Current Year (FY 2021-22)</t>
  </si>
  <si>
    <t>Ensuing Year       (FY 2022-23)</t>
  </si>
  <si>
    <t>FY2022-23</t>
  </si>
  <si>
    <t xml:space="preserve">Others, specify (Outsourcing,  Contractual &amp; TPSODL CTC Employee Cost ) </t>
  </si>
  <si>
    <t xml:space="preserve">Escrow relaxation up to Jul-21 , afterthat the lien on escrow account is vacated by GRIDCO as per vesting order. </t>
  </si>
  <si>
    <t>*</t>
  </si>
  <si>
    <t xml:space="preserve">                                                         Details Escrow Deposit and Relaxation    *                                   (Rs. In Cr)</t>
  </si>
  <si>
    <t>Return on equity (including Tax @ 25.17%)</t>
  </si>
  <si>
    <t>Overhead lines &amp; Substation Equipment</t>
  </si>
  <si>
    <t>Format</t>
  </si>
  <si>
    <t>F-1</t>
  </si>
  <si>
    <t>F-2</t>
  </si>
  <si>
    <t>F-3</t>
  </si>
  <si>
    <t>F-4</t>
  </si>
  <si>
    <t>F-5</t>
  </si>
  <si>
    <t>F-6</t>
  </si>
  <si>
    <t>F-7</t>
  </si>
  <si>
    <t>F-8</t>
  </si>
  <si>
    <t>F-9</t>
  </si>
  <si>
    <t>F-10</t>
  </si>
  <si>
    <t>F-11</t>
  </si>
  <si>
    <t>F-12</t>
  </si>
  <si>
    <t>F-13</t>
  </si>
  <si>
    <t>F-14</t>
  </si>
  <si>
    <t>F-15</t>
  </si>
  <si>
    <t>F-16</t>
  </si>
  <si>
    <t>F-17</t>
  </si>
  <si>
    <t>F-18</t>
  </si>
  <si>
    <t>F-19</t>
  </si>
  <si>
    <t>F-20</t>
  </si>
  <si>
    <t>Information on Block Capital</t>
  </si>
  <si>
    <t>Project-wise / Scheme-wise Capital Expenditure</t>
  </si>
  <si>
    <t>Information on Receipt / Re-Payment of Loan</t>
  </si>
  <si>
    <t>Sale and Power Procurement</t>
  </si>
  <si>
    <t>F-21</t>
  </si>
  <si>
    <t>F-22</t>
  </si>
  <si>
    <t>F-23</t>
  </si>
  <si>
    <t>F-24</t>
  </si>
  <si>
    <t>F-25</t>
  </si>
  <si>
    <t>F-26</t>
  </si>
  <si>
    <t>F-27</t>
  </si>
  <si>
    <t>Calculation of Cost of Power at different Voltage ends</t>
  </si>
  <si>
    <t>Revenue Requirement and Analysis of Gap</t>
  </si>
  <si>
    <t>Subsidy on Average Cost Basis by Customer Class and Service Level for the Ensuing Financial Yaer</t>
  </si>
  <si>
    <t>Information on Inventory</t>
  </si>
  <si>
    <t>Statement of Share Capital</t>
  </si>
  <si>
    <t>Consolidated Agewise Analysis of Debtors Outstanding as on 31st March</t>
  </si>
  <si>
    <t>Consolidated Report on Inventory Holding</t>
  </si>
  <si>
    <t>Consolidated Report on Secured / Unsecured Loan</t>
  </si>
  <si>
    <t>Statement of Assets not in use as on 31st March</t>
  </si>
  <si>
    <t>Statement of Fixed Asset and Depreciation</t>
  </si>
  <si>
    <t>Balance Sheet</t>
  </si>
  <si>
    <t>Profit &amp; Loss Account for the Year Ended</t>
  </si>
  <si>
    <t xml:space="preserve">Status of Funds and Investments  </t>
  </si>
  <si>
    <t>Revenue  Cash  Flow Statement</t>
  </si>
  <si>
    <t>Details Escrow Deposit and Relaxation</t>
  </si>
  <si>
    <t>BSP-GRIDCO</t>
  </si>
  <si>
    <t>TRANS-OPTCL</t>
  </si>
  <si>
    <t>Kotak Mahindra(Short-Term)</t>
  </si>
  <si>
    <t>TPSODL ( Own Capex)</t>
  </si>
  <si>
    <t xml:space="preserve">Interest Rate upto </t>
  </si>
  <si>
    <t>ASSET CREATION</t>
  </si>
  <si>
    <t>Opening balance of loan as at the beginning of the current financial year 01.04.2020</t>
  </si>
  <si>
    <t>Anticipated receipt during the current financial year                  2020-21</t>
  </si>
  <si>
    <t>Anticipated repayment during the current financial year 2020-21</t>
  </si>
  <si>
    <t>Closing balance as at the end of the current fiancial year 31.03.21</t>
  </si>
  <si>
    <t>Estimates of  Receipt during ensuing financial year 22-23</t>
  </si>
  <si>
    <t>Estimates of Repayment during ensuing financial year 22-23</t>
  </si>
  <si>
    <t>Closing balance as at the end of the ensuing year 22-23</t>
  </si>
  <si>
    <t>Interest  2022-23</t>
  </si>
  <si>
    <t>ix) Insusind Bank</t>
  </si>
  <si>
    <t>x) Kotak Mahindra</t>
  </si>
  <si>
    <t>xi) CAPEX Loan (Union Bank)</t>
  </si>
  <si>
    <t xml:space="preserve"> REVENUE REQUIREMENT FOR THE CURRENT FINANCIAL YEAR  2021-22</t>
  </si>
  <si>
    <t>REVENUE REQUIREMENT FOR THE ENSUING  FY 2022-23</t>
  </si>
  <si>
    <t>xi) Insusind Bank</t>
  </si>
  <si>
    <t>xii) Kotak Mahindra</t>
  </si>
  <si>
    <t>xiii) CAPEX Loan (Union Bank)</t>
  </si>
  <si>
    <t>Working Capital loan ( From Indusind &amp; Kotak Bank)</t>
  </si>
  <si>
    <t>Kotak Bank</t>
  </si>
  <si>
    <t>Union Bank (TPSODL Capex Loan)</t>
  </si>
  <si>
    <t>Amount Rs Cr</t>
  </si>
  <si>
    <t>Computation</t>
  </si>
  <si>
    <t>FY 21-22</t>
  </si>
  <si>
    <t>FY 22-23</t>
  </si>
  <si>
    <t>Interest on Working Capital</t>
  </si>
  <si>
    <t>One month Receivables</t>
  </si>
  <si>
    <t>One month O&amp;M Expenses</t>
  </si>
  <si>
    <t>Spare @ 40% of R&amp;M Expenses</t>
  </si>
  <si>
    <t>Total Working Capital Requirement</t>
  </si>
  <si>
    <t>Interest Rate</t>
  </si>
  <si>
    <t>SBI Base Rate as on 1st Jan</t>
  </si>
  <si>
    <t>SBI Base Rate as on 10 March 2021</t>
  </si>
  <si>
    <t>Margin</t>
  </si>
  <si>
    <t>Interest rate Considered</t>
  </si>
  <si>
    <t>Interest Amount - Rs Cr</t>
  </si>
  <si>
    <t>Add pending for last year</t>
  </si>
  <si>
    <t>Total Capital Expenditure</t>
  </si>
  <si>
    <t>Grdico Capex Required</t>
  </si>
  <si>
    <t>Grossing up for Gridco Capex</t>
  </si>
  <si>
    <t xml:space="preserve">Add : 10% of Salary to be Capitalized  </t>
  </si>
  <si>
    <t>(To be computed for FY 21-22)</t>
  </si>
  <si>
    <t>Add: 25% interest Capitalized</t>
  </si>
  <si>
    <t>Total Invenstment</t>
  </si>
  <si>
    <t>Funding</t>
  </si>
  <si>
    <t>Loan Requirement - 70% of Total Investment</t>
  </si>
  <si>
    <t>Equity  Requirement -30% Total Investment</t>
  </si>
  <si>
    <t>Total funding</t>
  </si>
  <si>
    <t>Interest Rate- Assumption</t>
  </si>
  <si>
    <t>Average - Interest for the year</t>
  </si>
  <si>
    <t>Interest for Previous year</t>
  </si>
  <si>
    <t>Less- Interest Capitalized- 1/4th</t>
  </si>
  <si>
    <t>Less- Interest Capitalized- 1/2</t>
  </si>
  <si>
    <t>Total Interest Capitalized</t>
  </si>
  <si>
    <t>Capitalization from nex Capex</t>
  </si>
  <si>
    <t xml:space="preserve">Break up </t>
  </si>
  <si>
    <t>Statutory &amp; Safety</t>
  </si>
  <si>
    <t>Loss Reduction</t>
  </si>
  <si>
    <t>Reliability</t>
  </si>
  <si>
    <t>Load Growth</t>
  </si>
  <si>
    <t>Technology &amp; Civil Infrastructure</t>
  </si>
  <si>
    <t>GRIDCO Ready to use assets</t>
  </si>
  <si>
    <t>Total Capitalization</t>
  </si>
  <si>
    <t>ROE @ 16%</t>
  </si>
  <si>
    <t>Opening ROE</t>
  </si>
  <si>
    <t>for FY 21-22</t>
  </si>
  <si>
    <t>for FY 22-23</t>
  </si>
  <si>
    <t>Total ROE</t>
  </si>
  <si>
    <t>Income Tax @ 25.17%</t>
  </si>
  <si>
    <t>Carrying Cost</t>
  </si>
  <si>
    <t>Opening Balance of Revenue (Gap)/surplus</t>
  </si>
  <si>
    <t>Add- Revenue (Gap)/ surplus for the year</t>
  </si>
  <si>
    <t>Cumulative Balance of Revenue (Gap)/ Surplus</t>
  </si>
  <si>
    <t xml:space="preserve">Average Balance </t>
  </si>
  <si>
    <t>Weighted average Carrying Cost Rate of Interest</t>
  </si>
  <si>
    <t>Loan Rate @ 8.25%</t>
  </si>
  <si>
    <t>Equity Rate @ 16% Grossed up 21.38</t>
  </si>
  <si>
    <t>Carrying Cost Amount</t>
  </si>
  <si>
    <t>Closing Balance of Revenue Gap</t>
  </si>
  <si>
    <t>Computation of Depreciation</t>
  </si>
  <si>
    <t>Rate of Depreciation</t>
  </si>
  <si>
    <t>FY 22</t>
  </si>
  <si>
    <t>FY 23</t>
  </si>
  <si>
    <t>PPEs, Safety &amp; Testing Equipment</t>
  </si>
  <si>
    <t>Cradle guard at major road crossings</t>
  </si>
  <si>
    <t xml:space="preserve">Fencing of Distribution substations (DSS) </t>
  </si>
  <si>
    <t>Boundary wall for Primary substations( PSS)</t>
  </si>
  <si>
    <t>Establishment of Meter Testing Lab</t>
  </si>
  <si>
    <t>Total (1)</t>
  </si>
  <si>
    <t>Input Energy Monitoring System - (ABT/AMR) –IEMS</t>
  </si>
  <si>
    <t>Replacement of burnt, Faulty and Electromechanical meters and meter installation at no Meter cases</t>
  </si>
  <si>
    <t>LT Bare to ABC conversion</t>
  </si>
  <si>
    <t>Demand Side Management</t>
  </si>
  <si>
    <t>Any other Loss Reduction Project</t>
  </si>
  <si>
    <t>Total (2)</t>
  </si>
  <si>
    <t xml:space="preserve">33 KV Network refurbishment </t>
  </si>
  <si>
    <t>Installation of 33 KV AB Switch</t>
  </si>
  <si>
    <t xml:space="preserve">PSS Refurbishment </t>
  </si>
  <si>
    <t xml:space="preserve">11 KV Network refurbishment </t>
  </si>
  <si>
    <t>Installation of 11 KV AB Switch</t>
  </si>
  <si>
    <t xml:space="preserve">DSS Refurbishment </t>
  </si>
  <si>
    <t>Installation of LV protection at DSS</t>
  </si>
  <si>
    <t>Installation of Auto reclosure / Sectionalizers ,RMUs, &amp;FPIs</t>
  </si>
  <si>
    <t>Trolley  Mounted Pad Substations</t>
  </si>
  <si>
    <t xml:space="preserve">Package Distribution Substations </t>
  </si>
  <si>
    <t>Additional PTR at PSS with Single PTR</t>
  </si>
  <si>
    <t>Providing 2nd Incoming Source for creating N-1</t>
  </si>
  <si>
    <t>Total (3)</t>
  </si>
  <si>
    <t>Network augmentation / addition to meet load growth/11 KV line, PTR,DTR,LT line</t>
  </si>
  <si>
    <t>Meter Installation for all new connections</t>
  </si>
  <si>
    <t>Total (4)</t>
  </si>
  <si>
    <t>Installation of Smart Meters along with back end IT Infrastructure</t>
  </si>
  <si>
    <t>Augmentation of IPDS Software licenses pan TPSODL</t>
  </si>
  <si>
    <t>IT Infrastructure  (H/W &amp; Field office infra for augmentation of IPDS application licenses)</t>
  </si>
  <si>
    <t>Communication Network Infra</t>
  </si>
  <si>
    <t>SCADA Implementation</t>
  </si>
  <si>
    <t xml:space="preserve">GIS Implementation </t>
  </si>
  <si>
    <t xml:space="preserve">Civil Infrastructure </t>
  </si>
  <si>
    <t>Civil Work for Meter Test Bench</t>
  </si>
  <si>
    <t>Civil work for Call centre &amp;PSCC</t>
  </si>
  <si>
    <t>Upgradation of DT workshop</t>
  </si>
  <si>
    <t>Security system in Central Store</t>
  </si>
  <si>
    <t>Assets for Offices</t>
  </si>
  <si>
    <t>CCTV Camera in Stores</t>
  </si>
  <si>
    <t>Total (5)</t>
  </si>
  <si>
    <t>Total - Capitalization- A</t>
  </si>
  <si>
    <t>GRDICO Assets</t>
  </si>
  <si>
    <t>Ready to use GRIDCO assets</t>
  </si>
  <si>
    <t>Total - Capitalization- B</t>
  </si>
  <si>
    <t>TPSODL CAPEX Loan ( From Union Bank)</t>
  </si>
  <si>
    <t>Grant-SOUBAGYA/BGJY SOUBHAGYA</t>
  </si>
  <si>
    <t>FY-2021-22</t>
  </si>
  <si>
    <t>FY-2022-23</t>
  </si>
  <si>
    <t>CURRENT YEAR 2021-22</t>
  </si>
  <si>
    <t>ENSUING YEAR 2022-23</t>
  </si>
  <si>
    <t>To be Paid in 21-22 &amp; 22-23</t>
  </si>
  <si>
    <t>Health Insurance</t>
  </si>
  <si>
    <t>EDLI Insurance</t>
  </si>
  <si>
    <t>GPAI</t>
  </si>
  <si>
    <t>Hot weather contin</t>
  </si>
  <si>
    <t>National Holiday</t>
  </si>
  <si>
    <t>Safety/ liverage</t>
  </si>
  <si>
    <t>Incentive</t>
  </si>
  <si>
    <t>Equity Contribution</t>
  </si>
  <si>
    <t>Repayment of loan to Indusind Bank</t>
  </si>
  <si>
    <t>Repayment of loan to Kotak Bank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</si>
  <si>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CONSOLIDATED REPORT ON SECURED/UNSECURED LOAN                                                                                                                                                                                      (Rs. In Cr.)</t>
  </si>
  <si>
    <t>Profit &amp; Loss Account Debit Balance</t>
  </si>
  <si>
    <t xml:space="preserve">No. of consumer </t>
  </si>
  <si>
    <t>Total projected cost for FY 22-23 with 5% increment of execting cost</t>
  </si>
  <si>
    <t>Payment of Tax</t>
  </si>
  <si>
    <t>OUTSOURCE MANPOWER COST-2022-23</t>
  </si>
  <si>
    <t>ENFORCEMENT</t>
  </si>
  <si>
    <t>In Crs</t>
  </si>
  <si>
    <t>33/11 KV LINES,11 KV AMC</t>
  </si>
  <si>
    <t>OUT SOURCE - 591 Employees</t>
  </si>
  <si>
    <t>SPOT BILLING - EMPLO COST</t>
  </si>
  <si>
    <t>TPSODL</t>
  </si>
  <si>
    <t>Expenditure including Special Appropriation in FY 2022-23</t>
  </si>
  <si>
    <t>Truing Up for FY 2020-21 (Arrear Salary 7th Pay &amp; Wage Board)</t>
  </si>
  <si>
    <t>With Railway</t>
  </si>
  <si>
    <t>Distribution Loss FY 2019-20 to FY 2021-22</t>
  </si>
  <si>
    <t>FY 2021-22(Estt.)</t>
  </si>
  <si>
    <t>Distribution Loss FY 2022-23</t>
  </si>
  <si>
    <t>FY 2022-23 (Estt.)</t>
  </si>
  <si>
    <t>OERC (Approved 2021-22)</t>
  </si>
  <si>
    <t>FY 2022-23(Estt)</t>
  </si>
  <si>
    <t>As on 01.04.2022</t>
  </si>
  <si>
    <t>Recruitment during 22-23</t>
  </si>
  <si>
    <t>Retirement during 22-23</t>
  </si>
  <si>
    <t>As on 31.03.23</t>
  </si>
  <si>
    <t>Insusind Bank</t>
  </si>
  <si>
    <t>Kotak Mahindra Bank</t>
  </si>
  <si>
    <t>CAPEX Loan</t>
  </si>
  <si>
    <t>BERHAMPUR-I</t>
  </si>
  <si>
    <t>RAILWAY TRACTION</t>
  </si>
  <si>
    <t>132 KV</t>
  </si>
  <si>
    <t>GANJAM NORTH</t>
  </si>
  <si>
    <t>M/S TATA STEEL LTD PROJECT</t>
  </si>
  <si>
    <t>220 KV</t>
  </si>
  <si>
    <t>POWER INTENSIVE INDUSTRY</t>
  </si>
  <si>
    <t>JED JEYPORE</t>
  </si>
  <si>
    <t>KED KORAPUT</t>
  </si>
  <si>
    <t>RED RAYAGADA</t>
  </si>
  <si>
    <t>SR DIVISIONAL RAILWAY,EAST COAST RAILWAY</t>
  </si>
  <si>
    <t>SR. DIVISIONAL ENGINEER ELECTRICAL</t>
  </si>
  <si>
    <t>EMERGENCY SUPPLY TO CGP</t>
  </si>
  <si>
    <t>GENERAL PURPOSE &gt;= 110 KVA</t>
  </si>
  <si>
    <t>33 KV</t>
  </si>
  <si>
    <t>THE SUPERINTEND DEAN &amp; PRINCIPAL</t>
  </si>
  <si>
    <t>11 KV</t>
  </si>
  <si>
    <t>THE SUPERINTENDENT, PMSSY BUILDING, SUPER SPECIALITY BLOCK</t>
  </si>
  <si>
    <t>BNED BHANJANAGAR</t>
  </si>
  <si>
    <t>THE EXE MAGALIFT PROJECTS</t>
  </si>
  <si>
    <t>IRRIGATION PUMPING AND AGRICULTURE</t>
  </si>
  <si>
    <t>EXIECUTIVE ENGINEER</t>
  </si>
  <si>
    <t>E. E MEGALIFT IRRIGATION PROJECT</t>
  </si>
  <si>
    <t>PUBLIC WATER WORKS &amp; SEWERAGE PUMPING</t>
  </si>
  <si>
    <t>M/S GOPALPUR PORTS LTD.</t>
  </si>
  <si>
    <t>GSED DIGAPAHANDI</t>
  </si>
  <si>
    <t>EXECUTIVE ENGINEER</t>
  </si>
  <si>
    <t>MED MALKANAGIRI</t>
  </si>
  <si>
    <t>M/S ARCELORMITTAL NIPPON STEEL IND.</t>
  </si>
  <si>
    <t>NED NABARANGAPUR</t>
  </si>
  <si>
    <t>PKED PARLAKHEMUNDI</t>
  </si>
  <si>
    <t>MEGALIFT IRRIGATION PROJECT</t>
  </si>
  <si>
    <t>PSED PURUSOTTAMPUR</t>
  </si>
  <si>
    <t>SAP Code</t>
  </si>
  <si>
    <t>Text</t>
  </si>
  <si>
    <t>Schedule Num</t>
  </si>
  <si>
    <t>Schedule Text</t>
  </si>
  <si>
    <t>BS/PL</t>
  </si>
  <si>
    <t>Number</t>
  </si>
  <si>
    <t>March-22</t>
  </si>
  <si>
    <t>March-21</t>
  </si>
  <si>
    <t>Sub Schedule Text</t>
  </si>
  <si>
    <t xml:space="preserve">Regulatory Assets   </t>
  </si>
  <si>
    <t>BS</t>
  </si>
  <si>
    <t>Regulatory deferral account- Assets</t>
  </si>
  <si>
    <t>SAP</t>
  </si>
  <si>
    <t>Buildings-Electric Genrating Plant-Hydr</t>
  </si>
  <si>
    <t>Property, plant and equipment</t>
  </si>
  <si>
    <t>Buildings-Electric Genrating Plant-Dies</t>
  </si>
  <si>
    <t>Buildings including Distribn Installati</t>
  </si>
  <si>
    <t>Pipe Line &amp; Water Supply System-Residen</t>
  </si>
  <si>
    <t>P&amp;M</t>
  </si>
  <si>
    <t>Civil Works-Roads &amp; Other constructions</t>
  </si>
  <si>
    <t>Building containing Distribution Instal</t>
  </si>
  <si>
    <t>Turbaine-Generator-Steam power generati</t>
  </si>
  <si>
    <t>Other Plant &amp; Machineries-Generation Et</t>
  </si>
  <si>
    <t>Oil storage Tank, Oil handling Plant &amp;</t>
  </si>
  <si>
    <t>Plant and Machiney-Transformers &gt;= 100</t>
  </si>
  <si>
    <t>Other Transformers, Kiosks &amp; Substation</t>
  </si>
  <si>
    <t>Material Handling equipment-Earthmovers</t>
  </si>
  <si>
    <t>Fabication shop/ Workshop plant &amp; equip</t>
  </si>
  <si>
    <t>Other Plant &amp; Machineries-Transmission</t>
  </si>
  <si>
    <t>Comm. Equip-Radio &amp; high frequency Carr</t>
  </si>
  <si>
    <t>Comm. Equipments-Telephone &amp; Telephones</t>
  </si>
  <si>
    <t>Meter testing Laboratory tools &amp; equipm</t>
  </si>
  <si>
    <t>Station Maintenance Tools, Tackles &amp; Eq</t>
  </si>
  <si>
    <t>Over Head lines &amp; apparatus&gt; 66 KVA&lt;132</t>
  </si>
  <si>
    <t>Over Head lines &amp; apparatus&gt;13.2 KVA&lt;66</t>
  </si>
  <si>
    <t>Over Head lines &amp; apparatus-Concrete Su</t>
  </si>
  <si>
    <t>Over Head lines &amp; apparatus-Treated woo</t>
  </si>
  <si>
    <t>UG cables-Joint boxes-Disconecting Boxe</t>
  </si>
  <si>
    <t>Service connection -Medium &amp; low voltag</t>
  </si>
  <si>
    <t>Over Head lines &amp; apparatus &gt; 66 KVA&lt;13</t>
  </si>
  <si>
    <t>Vehicles-Truck, tempos &amp; trekkers etc.</t>
  </si>
  <si>
    <t>Furniture &amp; Fixtures in Admn. &amp; Field o</t>
  </si>
  <si>
    <t>Electrical wiring,light,fan &amp; installat</t>
  </si>
  <si>
    <t>Office Equipments-Calculators etc. (REC</t>
  </si>
  <si>
    <t>Computor Softwares (RECO)</t>
  </si>
  <si>
    <t>Accumulated Depreciation- Buildings (RE</t>
  </si>
  <si>
    <t>Accumulated Depreciation- Other Civil W</t>
  </si>
  <si>
    <t>Accumulated Depreciation- Plant &amp; Machi</t>
  </si>
  <si>
    <t>Dep-P&amp;M</t>
  </si>
  <si>
    <t>Accumulated Depreciation-Lines, Cables</t>
  </si>
  <si>
    <t>Accumulated Depreciation- Vehicles (REC</t>
  </si>
  <si>
    <t>Accumulated Depreciation- Furnitures &amp;</t>
  </si>
  <si>
    <t>Dep-F&amp;F</t>
  </si>
  <si>
    <t>Accumulated Depreciation- Office Equipm</t>
  </si>
  <si>
    <t>Dep-OE</t>
  </si>
  <si>
    <t>Accumulated Depreciation- Softwares (RE</t>
  </si>
  <si>
    <t>Accumulated Depreciation- Computers (RE</t>
  </si>
  <si>
    <t>Accum Dep- Software</t>
  </si>
  <si>
    <t>CWIP- Capital Inventory</t>
  </si>
  <si>
    <t>Capital work-in-progress</t>
  </si>
  <si>
    <t>Advance to Supplier &amp; Contractor-Int-Ca</t>
  </si>
  <si>
    <t>CWIP-Capital Advance</t>
  </si>
  <si>
    <t>Other current assets</t>
  </si>
  <si>
    <t>Advance to Supplier &amp; Contractor-Int Fr</t>
  </si>
  <si>
    <t>Advance to Suppliers &amp; Contractors-(REC</t>
  </si>
  <si>
    <t>APC- Capex (RECO)</t>
  </si>
  <si>
    <t>CWIP-Main</t>
  </si>
  <si>
    <t>Revenue Exp pending allocation over Cap</t>
  </si>
  <si>
    <t>PS-Computers, Laptops Etc.-Consumption</t>
  </si>
  <si>
    <t>Offsetting-Projct Stock Transfer</t>
  </si>
  <si>
    <t>Expenditure on Capital Works against De</t>
  </si>
  <si>
    <t>Repair &amp; maintenance - Others</t>
  </si>
  <si>
    <t>P/L</t>
  </si>
  <si>
    <t>Other financial assets</t>
  </si>
  <si>
    <t>Imprest and Advances to Staff (RECO)</t>
  </si>
  <si>
    <t>Temporary Advance to Disbursing Officer</t>
  </si>
  <si>
    <t>Temporary Advance for Emergency Purchas</t>
  </si>
  <si>
    <t>Advance to Staff-House Building-Interes</t>
  </si>
  <si>
    <t>Loans and Advances to employees</t>
  </si>
  <si>
    <t>Advance to Staff-Cycle-Interest</t>
  </si>
  <si>
    <t>Natural Calamity Advance-Cyclone, Flood</t>
  </si>
  <si>
    <t>Trade Deposit Advance</t>
  </si>
  <si>
    <t>Payment of Grant for Obsequies-reimburs</t>
  </si>
  <si>
    <t>Other advances,  deposits &amp; recoverable</t>
  </si>
  <si>
    <t>Pmt-Grant-Service Relinqmnt-Excl Deatho</t>
  </si>
  <si>
    <t>Advances recoverable in cash or in kind</t>
  </si>
  <si>
    <t>Fixed Deposits with State Bank of India</t>
  </si>
  <si>
    <t xml:space="preserve">Bank balances </t>
  </si>
  <si>
    <t xml:space="preserve">Deferred tax assets </t>
  </si>
  <si>
    <t>Advance Income Tax</t>
  </si>
  <si>
    <t>113A</t>
  </si>
  <si>
    <t>Self Assessment Tax</t>
  </si>
  <si>
    <t>113B</t>
  </si>
  <si>
    <t>TDS on income from investments-STDR- Ad</t>
  </si>
  <si>
    <t>TDS Receivable-Others</t>
  </si>
  <si>
    <t>TDS refund receivable on GRANT-SOUBHAGY</t>
  </si>
  <si>
    <t>TDS refund receivable on GRANT - BGJY(S</t>
  </si>
  <si>
    <t>Securities-Suppliers &amp; Contractores (FD</t>
  </si>
  <si>
    <t>Securities from Consumers (FDs etc.) as</t>
  </si>
  <si>
    <t>Securities from Staff (FDs etc.) as per</t>
  </si>
  <si>
    <t>Deposits with Judicial Authorities</t>
  </si>
  <si>
    <t>Input GST receivable</t>
  </si>
  <si>
    <t>113C</t>
  </si>
  <si>
    <t>Capital Subsidy/Grant receivable</t>
  </si>
  <si>
    <t>Sundry Receivables-recoverable from sup</t>
  </si>
  <si>
    <t>Sundry Receivables-recoverable from con</t>
  </si>
  <si>
    <t>Provision for Doubtful Advances and rec</t>
  </si>
  <si>
    <t>SUNDRY DEBTORS</t>
  </si>
  <si>
    <t>Trade receivables</t>
  </si>
  <si>
    <t>Sundry Debtors-EC-Bulk Supply Domestic-</t>
  </si>
  <si>
    <t>Sundry Debtors-EC-Industrial Small Supp</t>
  </si>
  <si>
    <t>Sundry Debtors-EC-Industrial Medium Sup</t>
  </si>
  <si>
    <t>Sundry Debtors-EC-Power Intensive Indus</t>
  </si>
  <si>
    <t>Sundry Debtors-EC-Irrigation,Pump &amp; Agr</t>
  </si>
  <si>
    <t>Sundry Debtors-EC-PWWS &amp; Pumping Instal</t>
  </si>
  <si>
    <t>Sundry Debtors-EC-Allied Agricultural A</t>
  </si>
  <si>
    <t>Sundry Debtors-EC-Allied Agro Indust Ac</t>
  </si>
  <si>
    <t>Sundry Debtors-EC-Specified Public Purp</t>
  </si>
  <si>
    <t>Sundry Debtors-EC-CPP availing emergenc</t>
  </si>
  <si>
    <t>Sundry Debtors-ED-Bulk Supply Domestic-</t>
  </si>
  <si>
    <t>Sundry Debtors-ED-Industrial Small Supp</t>
  </si>
  <si>
    <t>Sundry Debtors-ED-Industrial Medium Sup</t>
  </si>
  <si>
    <t>Sundry Debtors-ED-Power Intensive Indus</t>
  </si>
  <si>
    <t>Sundry Debtors-ED-Irrigation,Pump &amp; Agr</t>
  </si>
  <si>
    <t>Sundry Debtors-ED-PWWS &amp; Pumping Instal</t>
  </si>
  <si>
    <t>Sundry Debtors-ED-Allied Agricultural A</t>
  </si>
  <si>
    <t>Sundry Debtors-ED-Allied Agro Indust Ac</t>
  </si>
  <si>
    <t>Sundry Debtors-ED-Specified Public Purp</t>
  </si>
  <si>
    <t>Sundry Debtors-ED-CPP availing emergenc</t>
  </si>
  <si>
    <t>Sundry Debtors-PDC-EC-General purpose-L</t>
  </si>
  <si>
    <t>Sundry Debtors-PDC-EC-Industrial Small</t>
  </si>
  <si>
    <t>Sundry Debtors-PDC-EC-Industrial Medium</t>
  </si>
  <si>
    <t>Sundry Debtors-PDC-EC-Public Lighting-L</t>
  </si>
  <si>
    <t>Sundry Debtors-PDC-EC-Irrigation Pumpin</t>
  </si>
  <si>
    <t>Sundry Debtors-PDC-EC-PWWS Pumping Inst</t>
  </si>
  <si>
    <t>Sundry Debtors-PDC-EC-Allied Agro Ind.</t>
  </si>
  <si>
    <t>Sundry Debtors-PDC-EC-Specified Public</t>
  </si>
  <si>
    <t>Sundry Debtors-PDC-ED-General purpose-L</t>
  </si>
  <si>
    <t>Sundry Debtors-PDC-ED-Industrial Small</t>
  </si>
  <si>
    <t>Sundry Debtors-PDC-ED-Industrial Medium</t>
  </si>
  <si>
    <t>Sundry Debtors-PDC-ED-Public Lighting-L</t>
  </si>
  <si>
    <t>Sundry Debtors-PDC-ED-Irrigation Pumpin</t>
  </si>
  <si>
    <t>Sundry Debtors-PDC-ED-Specified Public</t>
  </si>
  <si>
    <t>Sundry Debtors-Meter Rent-Discoms</t>
  </si>
  <si>
    <t>Sundry Debtors-Delayed Payment Surcharg</t>
  </si>
  <si>
    <t>Sundry Debtors-Non-Cash Adjustments-Cre</t>
  </si>
  <si>
    <t>Sundry Debtors-Non-Cash Adjustments-Deb</t>
  </si>
  <si>
    <t>Sundry Debtors for Other Miscellaneous</t>
  </si>
  <si>
    <t>Receivable-Collection through CSC-Janse</t>
  </si>
  <si>
    <t>Receivable from Collection through ICIC</t>
  </si>
  <si>
    <t>Receivable from Collection through Bhar</t>
  </si>
  <si>
    <t>Receivable from Collection through OXYG</t>
  </si>
  <si>
    <t>Receivable from Collection through SUBI</t>
  </si>
  <si>
    <t>Receivable from Collection through Indi</t>
  </si>
  <si>
    <t>Receivable from Collection through POS-</t>
  </si>
  <si>
    <t>Receivable from Collection through PAYT</t>
  </si>
  <si>
    <t>Receivable from Collection through Easy</t>
  </si>
  <si>
    <t>Receivable from Collection - CCC Corpor</t>
  </si>
  <si>
    <t>Receivable from Collection through MoBi</t>
  </si>
  <si>
    <t>Receivable from GRIDCO - Vesting Order</t>
  </si>
  <si>
    <t>Sundry Debtors-Provision for Doubtful D</t>
  </si>
  <si>
    <t>Sundry Debtors-EC-Unbilled Revenue</t>
  </si>
  <si>
    <t>In Current Accounts</t>
  </si>
  <si>
    <t>Loan from UBI</t>
  </si>
  <si>
    <t>Borrowings</t>
  </si>
  <si>
    <t>IOB-GAJPATI NAGAR-BED1-153002000000693-</t>
  </si>
  <si>
    <t>UBI-PURUSHOTTAMPUR-PSED-639201010050042</t>
  </si>
  <si>
    <t>UBI-PURUSHOTTAMPUR-PSED-639201010050043</t>
  </si>
  <si>
    <t>UBI-PURUSHOTTAMPUR-PSED-639201010050044</t>
  </si>
  <si>
    <t>UBI-PURUSHOTTAMPUR-PSED-639201010050073</t>
  </si>
  <si>
    <t>UBI-PURUSHOTTAMPUR-PSED-639201010050074</t>
  </si>
  <si>
    <t>UBI-PURUSHOTTAMPUR-PSED-639201010050098</t>
  </si>
  <si>
    <t>UBI-HINJILICUT-HINJ-642401010050064-Mai</t>
  </si>
  <si>
    <t>UBI-HINJILICUT-HINJ-642401010050065-Mai</t>
  </si>
  <si>
    <t>UBI-HINJILICUT-HINJ-642401010050066-Mai</t>
  </si>
  <si>
    <t>UBI-HINJILICUT-HINJ-642401010050107-Mai</t>
  </si>
  <si>
    <t>SBI-KABISURYA NAGAR-AED2-38048413886-Ma</t>
  </si>
  <si>
    <t>UBI-KAMAPALLI-HO-625902010001728-Incomi</t>
  </si>
  <si>
    <t>UBI-KAMAPALLI-HO-385804040029152-Incomi</t>
  </si>
  <si>
    <t>UBI-KAMAPALLI-HO-625904010000002-Incomi</t>
  </si>
  <si>
    <t>UBI-KAMAPALLI-HO-625904010000007-Incomi</t>
  </si>
  <si>
    <t>UBI-KAMAPALLI-HO-625901010050070-Incomi</t>
  </si>
  <si>
    <t>UBI-KAMAPALLI-BED1-625901010050080-Inco</t>
  </si>
  <si>
    <t>UBI-BERHAMPUR-BED2-385801010170259-Inco</t>
  </si>
  <si>
    <t>UBI-BERHAMPUR-BED2-385801010170260-Inco</t>
  </si>
  <si>
    <t>UBI-BERHAMPUR-BED2-385801010170261-Inco</t>
  </si>
  <si>
    <t>UBI-KAMAPALLI-BED3-625901010050077-Inco</t>
  </si>
  <si>
    <t>UBI-KAMAPALLI-SCTY-625901010050072-Inco</t>
  </si>
  <si>
    <t>UBI-KAMAPALLI-SCTY-625901010050073-Inco</t>
  </si>
  <si>
    <t>UBI-CHATRAPUR-GNED-622901010050035-Inco</t>
  </si>
  <si>
    <t>UBI-CHATRAPUR-GNED-622901010050050-Inco</t>
  </si>
  <si>
    <t>UBI-CHATRAPUR-GNED-622902010005468-Inco</t>
  </si>
  <si>
    <t>UBI-CHATRAPUR-GNED-622902010005651-Inco</t>
  </si>
  <si>
    <t>ICIC-CHATRAPUR-GNED-203605500236-Incomi</t>
  </si>
  <si>
    <t>UBI-HINJILICUT-HINJ-642401010050064-Inc</t>
  </si>
  <si>
    <t>UBI-HINJILICUT-HINJ-642401010050065-Inc</t>
  </si>
  <si>
    <t>UBI-HINJILICUT-HINJ-642401010050066-Inc</t>
  </si>
  <si>
    <t>ICIC-HINJILICUT-HINJ-327005500120-Incom</t>
  </si>
  <si>
    <t>SBI-MED CAMPUS-SBAM-35647385815-Incomin</t>
  </si>
  <si>
    <t>UBI-KAMAPALLI-SBAM-625901010050075-Inco</t>
  </si>
  <si>
    <t>SBI-KABISURYA NAGAR-AED2-38048413886-In</t>
  </si>
  <si>
    <t>SBI-ASKA-AED2-37817932636-Incoming</t>
  </si>
  <si>
    <t>SBI-DIGAPAHANDI-GSED-35648552912-Incomi</t>
  </si>
  <si>
    <t>SBI-DIGAPAHANDI-GSED-35648553314-Incomi</t>
  </si>
  <si>
    <t>SBI-DIGAPAHANDI-GSED-37822933213-Incomi</t>
  </si>
  <si>
    <t>SBI-DIGAPAHANDI-GSED-38037586669-Incomi</t>
  </si>
  <si>
    <t>SBI-DIGAPAHANDI-GSED-37822932538-Incomi</t>
  </si>
  <si>
    <t>SBI-DIGAPAHANDI-GSED-35648553461-Incomi</t>
  </si>
  <si>
    <t>SBI-DIGAPAHANDI-GSED-37701232239-Incomi</t>
  </si>
  <si>
    <t>UBI-KAMAPALLI-HO-625901010050063-Outgoi</t>
  </si>
  <si>
    <t>UBI-KAMAPALLI-HO-385804040029152-Outgoi</t>
  </si>
  <si>
    <t>UBI-KAMAPALLI-HO-625904010000002-Outgoi</t>
  </si>
  <si>
    <t>UBI-KAMAPALLI-HO-625904010000007-Outgoi</t>
  </si>
  <si>
    <t>UBI-KAMAPALLI-HO-625901010050070-Outgoi</t>
  </si>
  <si>
    <t>UBI-KAMAPALLI-BED1-625901010050080-Outg</t>
  </si>
  <si>
    <t>UBI-KAMAPALLI-BED1-625901110050006-Outg</t>
  </si>
  <si>
    <t>UBI-BERHAMPUR-BED2-385801010170259-Outg</t>
  </si>
  <si>
    <t>UBI-BERHAMPUR-BED2-385801010170260-Outg</t>
  </si>
  <si>
    <t>UBI-BERHAMPUR-BED2-385801010170261-Outg</t>
  </si>
  <si>
    <t>UBI-BERHAMPUR-BED2-385801110050009-Outg</t>
  </si>
  <si>
    <t>UBI-KAMAPALLI-BED3-625901010050076-Outg</t>
  </si>
  <si>
    <t>UBI-KAMAPALLI-BED3-625901010050077-Outg</t>
  </si>
  <si>
    <t>UBI-KAMAPALLI-BED3-625901010050078-Outg</t>
  </si>
  <si>
    <t>UBI-KAMAPALLI-SCTY-625901010050072-Outg</t>
  </si>
  <si>
    <t>UBI-KAMAPALLI-SCTY-625901010050073-Outg</t>
  </si>
  <si>
    <t>UBI-KAMAPALLI-SCTY-625901010050074-Outg</t>
  </si>
  <si>
    <t>UBI-CHATRAPUR-GNED-622901010050035-Outg</t>
  </si>
  <si>
    <t>UBI-CHATRAPUR-GNED-622901010050050-Outg</t>
  </si>
  <si>
    <t>UBI-CHATRAPUR-GNED-622902010005468-Outg</t>
  </si>
  <si>
    <t>UBI-CHATRAPUR-GNED-622902010005651-Outg</t>
  </si>
  <si>
    <t>UBI-HINJILICUT-HINJ-642401010050064-Out</t>
  </si>
  <si>
    <t>UBI-HINJILICUT-HINJ-642401010050065-Out</t>
  </si>
  <si>
    <t>UBI-HINJILICUT-HINJ-642401010050066-Out</t>
  </si>
  <si>
    <t>UBI-HINJILICUT-HINJ-642401010050107-Out</t>
  </si>
  <si>
    <t>ICIC-HINJILICUT-HINJ-327005500120-Outgo</t>
  </si>
  <si>
    <t>ICIC-HINJILICUT-HINJ-327005500121-Outgo</t>
  </si>
  <si>
    <t>SBI-MED CAMPUS-SBAM-35647385815-Outgoin</t>
  </si>
  <si>
    <t>UBI-KAMAPALLI-SBAM-625901010050075-Outg</t>
  </si>
  <si>
    <t>UBI-ASKA-AED1-633602010008799-Outgoing</t>
  </si>
  <si>
    <t>UBI-ASKA-AED1-633601010050080-Outgoing</t>
  </si>
  <si>
    <t>UBI-ASKA-AED1-633602010008572-Outgoing</t>
  </si>
  <si>
    <t>SBI-KABISURYA NAGAR-AED2-38048413886-Ou</t>
  </si>
  <si>
    <t>SBI-DIGAPAHANDI-GSED-35648552912-Outgoi</t>
  </si>
  <si>
    <t>SBI-DIGAPAHANDI-GSED-35648553314-Outgoi</t>
  </si>
  <si>
    <t>SBI-DIGAPAHANDI-GSED-37822933213-Outgoi</t>
  </si>
  <si>
    <t>SBI-DIGAPAHANDI-GSED-38037586669-Outgoi</t>
  </si>
  <si>
    <t>SBI-DIGAPAHANDI-GSED-37822932538-Outgoi</t>
  </si>
  <si>
    <t>SBI-DIGAPAHANDI-GSED-35648553461-Outgoi</t>
  </si>
  <si>
    <t>SBI-DIGAPAHANDI-GSED-37701232239-Outgoi</t>
  </si>
  <si>
    <t>UBI-ASKA-SASK-633601010050061-Outgoing</t>
  </si>
  <si>
    <t>UBI-BHANJANAGAR-BNED-633802010008975-Ma</t>
  </si>
  <si>
    <t>ANDB-BHANJANAGAR-BNED-006511100001255-M</t>
  </si>
  <si>
    <t>UBI-BHANJANAGAR-SBNJ-633801010050074-Ma</t>
  </si>
  <si>
    <t>UBI-BHANJANAGAR-SBNJ-633801010050075-Ma</t>
  </si>
  <si>
    <t>UBI-PARALAKHEMUNDI-PKED-406901010034083</t>
  </si>
  <si>
    <t>UBI-PARALAKHEMUNDI-PKED-406901010034082</t>
  </si>
  <si>
    <t>UBI-PARALAKHEMUNDI-PKED-406901010034107</t>
  </si>
  <si>
    <t>ICIC-PARALAKHEMUNDI-PKED-063801001151-M</t>
  </si>
  <si>
    <t>SBI-PARALAKHEMUNDI-PKED-35641546484-Mai</t>
  </si>
  <si>
    <t>ANDB-NABARANGPUR-NBRP-106011100000894-M</t>
  </si>
  <si>
    <t>UBI-NABARANGPUR-NBRP-625102010007667-Ma</t>
  </si>
  <si>
    <t>ICIC-MALKANGIRI-MLKN-368905500030-Main</t>
  </si>
  <si>
    <t>YES-Bapulji Nagar -HO-9381400000037-Mai</t>
  </si>
  <si>
    <t>INDUS-Berhampur-HO-650014134073-Main</t>
  </si>
  <si>
    <t>Kotak-Bandra E, Mumbai.-HO-9945789070-M</t>
  </si>
  <si>
    <t>UBI-BOUDH-BOED-645702010001410-Main</t>
  </si>
  <si>
    <t>UBI-PHULBANI-PHUL-625002010010915-Main</t>
  </si>
  <si>
    <t>UBI-Berhampur-HO-625901010050176-Main</t>
  </si>
  <si>
    <t>SBI-BHANJANAGAR-BNED-37818042304-Incomi</t>
  </si>
  <si>
    <t>SBI-BHANJANAGAR-BNED-36338981040-Incomi</t>
  </si>
  <si>
    <t>SBI-BHANJANAGAR-BNED-35644336279-Incomi</t>
  </si>
  <si>
    <t>SBI-BHANJANAGAR-BNED-35644312577-Incomi</t>
  </si>
  <si>
    <t>UBI-BHANJANAGAR-BNED-633802010008975-In</t>
  </si>
  <si>
    <t>ANDB-BHANJANAGAR-BNED-006511100001255-I</t>
  </si>
  <si>
    <t>ICIC-PHULBANI-PHUL-077805004785-Incomin</t>
  </si>
  <si>
    <t>UCO-PHULBANI-PHUL-08130210000397-Incomi</t>
  </si>
  <si>
    <t>UBI-PHULBANI-PHUL-625001010050104-Incom</t>
  </si>
  <si>
    <t>SBI-BHANJANAGAR-SBNJ-35644335640-Incomi</t>
  </si>
  <si>
    <t>UBI-BHANJANAGAR-SBNJ-633801010050074-In</t>
  </si>
  <si>
    <t>UBI-BHANJANAGAR-SBNJ-633801010050075-In</t>
  </si>
  <si>
    <t>ICIC-PARALAKHEMUNDI-PKED-063801001151-I</t>
  </si>
  <si>
    <t>SBI-PARALAKHEMUNDI-PKED-35641546484-Inc</t>
  </si>
  <si>
    <t>UBI-RAYAGADA-RGDA-572701010050120-Incom</t>
  </si>
  <si>
    <t>UBI-RAYAGADA-RGDA-572701010050142-Incom</t>
  </si>
  <si>
    <t>UBI-RAYAGADA-RGDA-572701010050121-Incom</t>
  </si>
  <si>
    <t>UBI-RAYAGADA-RGDA-572701010050122-Incom</t>
  </si>
  <si>
    <t>UBI-RAYAGADA-RGDA-572702010008526-Incom</t>
  </si>
  <si>
    <t>ICIC-RAYAGADA-RGDA-078105500185-Incomin</t>
  </si>
  <si>
    <t>IOB-THERUBALI-RGDA-031802000001109-Inco</t>
  </si>
  <si>
    <t>UBI-RAYAGADA-SRGD-572701010050123-Incom</t>
  </si>
  <si>
    <t>UBI-RAYAGADA-SRGD-572701010050125-Incom</t>
  </si>
  <si>
    <t>UBI-JEYPORE-JYPR-391301010032120-Incomi</t>
  </si>
  <si>
    <t>UBI-JEYPORE-JYPR-391301010032122-Incomi</t>
  </si>
  <si>
    <t>UBI-JEYPORE-JYPR-391302010017080-Incomi</t>
  </si>
  <si>
    <t>UBI-JEYPORE-JYPR-391301010032121-Incomi</t>
  </si>
  <si>
    <t>ICIC-JEYPORE-JYPR-064105500286-Incoming</t>
  </si>
  <si>
    <t>ICIC-KORAPUT-KRPT-25810550118-Incoming</t>
  </si>
  <si>
    <t>SBI-NABARANGPUR-NBRP-35648798242-Incomi</t>
  </si>
  <si>
    <t>SBI-NABARANGPUR-NBRP-35648855521-Incomi</t>
  </si>
  <si>
    <t>ANDB-NABARANGPUR-NBRP-106011100000894-I</t>
  </si>
  <si>
    <t>ICIC-NABARANGPUR-NBRP-149605500217-Inco</t>
  </si>
  <si>
    <t>UBI-NABARANGPUR-NBRP-625102010007667-In</t>
  </si>
  <si>
    <t>UBI-TAMASA-MLKN-463701010032127-Incomin</t>
  </si>
  <si>
    <t>UBI-TAMASA-MLKN-463701010032126-Incomin</t>
  </si>
  <si>
    <t>UBI-TAMASA-MLKN-463701010032130-Incomin</t>
  </si>
  <si>
    <t>UBI-TAMASA-MLKN-463701010029025-Incomin</t>
  </si>
  <si>
    <t>SBI-JEYPORE BAZAR-SJPR-35643444287-Inco</t>
  </si>
  <si>
    <t>UBI-JEYPORE-SJPR-391301010032119-Incomi</t>
  </si>
  <si>
    <t>CAN-JEYPORE-SJPR-80532140000269-Incomin</t>
  </si>
  <si>
    <t>UBI-KAMAPALLI-ESD-625901010050081-Incom</t>
  </si>
  <si>
    <t>UBI-KAMAPALLI-ESD-625901110050003-Incom</t>
  </si>
  <si>
    <t>UBI-KAMAPALLI-ESD-625902010002260-Incom</t>
  </si>
  <si>
    <t>SBI-Nabarangpur-NED-11357486231-Incomin</t>
  </si>
  <si>
    <t>UBI-GUNUPUR-GED-748401010050056-Incomin</t>
  </si>
  <si>
    <t>UBI-GUNUPUR-GED-748402010004527-Incomin</t>
  </si>
  <si>
    <t>SBI-SME-HO-40345011682-Incoming</t>
  </si>
  <si>
    <t>UBI-PHULBANI-PHUL-625002010010915-Incom</t>
  </si>
  <si>
    <t>HDFC-Bhubaneswar 2NdJharapada-HO-502000</t>
  </si>
  <si>
    <t>SBI--RGDA-11038919598-Incoming</t>
  </si>
  <si>
    <t>SBI--HO-10157770261-Incoming</t>
  </si>
  <si>
    <t>SBI-PARALAKHEMUNDI-PKED-11304875309-Inc</t>
  </si>
  <si>
    <t>UBI-PARALAKHEMUNDI-PKED-406901010028088</t>
  </si>
  <si>
    <t>UBI-JED JEYPORE-SJPR-391301010029186-In</t>
  </si>
  <si>
    <t>ICIC-SME-HO-027005008188-Incoming</t>
  </si>
  <si>
    <t>SBI-BHANJANAGAR-BNED-37818043657-Outgoi</t>
  </si>
  <si>
    <t>SBI-BHANJANAGAR-BNED-37818042304-Outgoi</t>
  </si>
  <si>
    <t>SBI-BHANJANAGAR-BNED-36338981040-Outgoi</t>
  </si>
  <si>
    <t>SBI-BHANJANAGAR-BNED-35644336279-Outgoi</t>
  </si>
  <si>
    <t>SBI-BHANJANAGAR-BNED-35644312577-Outgoi</t>
  </si>
  <si>
    <t>UBI-BHANJANAGAR-BNED-633802010008975-Ou</t>
  </si>
  <si>
    <t>ANDB-BHANJANAGAR-BNED-006511100001255-O</t>
  </si>
  <si>
    <t>ICIC-PHULBANI-PHUL-077805004785-Outgoin</t>
  </si>
  <si>
    <t>ICIC-PHULBANI-PHUL-077805004784-Outgoin</t>
  </si>
  <si>
    <t>UCO-PHULBANI-PHUL-08130210000397-Outgoi</t>
  </si>
  <si>
    <t>UBI-PHULBANI-PHUL-625001010050104-Outgo</t>
  </si>
  <si>
    <t>ICIC-BOUDHGARH-BOED-368205500022-Outgoi</t>
  </si>
  <si>
    <t>SBI-BHANJANAGAR-SBNJ-35644335640-Outgoi</t>
  </si>
  <si>
    <t>UBI-BHANJANAGAR-SBNJ-633801010050074-Ou</t>
  </si>
  <si>
    <t>UBI-BHANJANAGAR-SBNJ-633801010050075-Ou</t>
  </si>
  <si>
    <t>ICIC-PARALAKHEMUNDI-PKED-063801001151-O</t>
  </si>
  <si>
    <t>SBI-PARALAKHEMUNDI-PKED-35641546484-Out</t>
  </si>
  <si>
    <t>UBI-RAYAGADA-RGDA-572701010050120-Outgo</t>
  </si>
  <si>
    <t>UBI-RAYAGADA-RGDA-572701010050142-Outgo</t>
  </si>
  <si>
    <t>UBI-RAYAGADA-RGDA-572701010050121-Outgo</t>
  </si>
  <si>
    <t>UBI-RAYAGADA-RGDA-572701010050122-Outgo</t>
  </si>
  <si>
    <t>UBI-RAYAGADA-RGDA-572702010008526-Outgo</t>
  </si>
  <si>
    <t>ICIC-RAYAGADA-RGDA-078105500185-Outgoin</t>
  </si>
  <si>
    <t>IOB-THERUBALI-RGDA-031802000001109-Outg</t>
  </si>
  <si>
    <t>UBI-RAYAGADA-SRGD-572701010050123-Outgo</t>
  </si>
  <si>
    <t>UBI-RAYAGADA-SRGD-572701010050124-Outgo</t>
  </si>
  <si>
    <t>UBI-RAYAGADA-SRGD-572701010050125-Outgo</t>
  </si>
  <si>
    <t>UBI-JEYPORE-JYPR-391301010032120-Outgoi</t>
  </si>
  <si>
    <t>UBI-JEYPORE-JYPR-391301010032122-Outgoi</t>
  </si>
  <si>
    <t>UBI-JEYPORE-JYPR-391302010017080-Outgoi</t>
  </si>
  <si>
    <t>UBI-JEYPORE-JYPR-391301010032121-Outgoi</t>
  </si>
  <si>
    <t>ICIC-JEYPORE-JYPR-064105500286-Outgoing</t>
  </si>
  <si>
    <t>ICIC-KORAPUT-KRPT-25810550117-Outgoing</t>
  </si>
  <si>
    <t>SBI-NABARANGPUR-NBRP-35648798242-Outgoi</t>
  </si>
  <si>
    <t>SBI-NABARANGPUR-NBRP-35648855521-Outgoi</t>
  </si>
  <si>
    <t>ANDB-NABARANGPUR-NBRP-106011100000894-O</t>
  </si>
  <si>
    <t>ICIC-NABARANGPUR-NBRP-149605500217-Outg</t>
  </si>
  <si>
    <t>ICIC-NABARANGPUR-NBRP-149605500208-Outg</t>
  </si>
  <si>
    <t>UBI-NABARANGPUR-NBRP-625102010007667-Ou</t>
  </si>
  <si>
    <t>UBI-TAMASA-MLKN-463701010032127-Outgoin</t>
  </si>
  <si>
    <t>UBI-TAMASA-MLKN-463701010032126-Outgoin</t>
  </si>
  <si>
    <t>UBI-TAMASA-MLKN-463701010032130-Outgoin</t>
  </si>
  <si>
    <t>UBI-TAMASA-MLKN-463701010029025-Outgoin</t>
  </si>
  <si>
    <t>SBI-JEYPORE BAZAR-SJPR-35643444287-Outg</t>
  </si>
  <si>
    <t>UBI-JEYPORE-SJPR-391301010032119-Outgoi</t>
  </si>
  <si>
    <t>CAN-JEYPORE-SJPR-80532140000269-Outgoin</t>
  </si>
  <si>
    <t>UBI-JEYPORE-SJPR-391301010032118-Outgoi</t>
  </si>
  <si>
    <t>UBI-KAMAPALLI-ESD-625901010050081-Outgo</t>
  </si>
  <si>
    <t>UBI-KAMAPALLI-ESD-625901110050003-Outgo</t>
  </si>
  <si>
    <t>UBI-KAMAPALLI-ESD-625901110050005-Outgo</t>
  </si>
  <si>
    <t>UBI-KAMAPALLI-ESD-625902010002260-Outgo</t>
  </si>
  <si>
    <t>SBI-Nabarangpur-NED-11357486231-Outgoin</t>
  </si>
  <si>
    <t>UBI-GUNUPUR-GED-748401010050056-Outgoin</t>
  </si>
  <si>
    <t>UBI-GUNUPUR-GED-748402010004527-Outgoin</t>
  </si>
  <si>
    <t>CAN-Digapahandi-GSED-0394201000191-Outg</t>
  </si>
  <si>
    <t>CAN-Digapahandi-GSED-0394201000193-Outg</t>
  </si>
  <si>
    <t>INDUS-Berhampur-HO-650014134073-Outgoin</t>
  </si>
  <si>
    <t>UBI-PHULBANI-PHUL-625002010010915-Outgo</t>
  </si>
  <si>
    <t>ICIC-SME-HO-027005008188-Outgoing</t>
  </si>
  <si>
    <t>UBI-Berhampur-HO-625901010050177-Main</t>
  </si>
  <si>
    <t>UBI-Berhampur-HO-625901010050178-Main</t>
  </si>
  <si>
    <t>UBI-Berhampur-HO-625901010050179-Main</t>
  </si>
  <si>
    <t>Bank Balance Inoperative</t>
  </si>
  <si>
    <t>Cash with Personal Ledger Account in Tr</t>
  </si>
  <si>
    <t>Short Term Deposits-SBI &gt;3Months&lt;12Mont</t>
  </si>
  <si>
    <t>Fixed Deposits Accounts</t>
  </si>
  <si>
    <t>Short Term Deposits-ICICI Bank &gt;3Months</t>
  </si>
  <si>
    <t>Short Term Deposits-UBI &gt;3Months&lt;12Mont</t>
  </si>
  <si>
    <t>Income Accrued on STDR</t>
  </si>
  <si>
    <t>Amount recoverable from State Govt.-Oth</t>
  </si>
  <si>
    <t>Amount recoverable from Central Govt.-O</t>
  </si>
  <si>
    <t>20b</t>
  </si>
  <si>
    <t>Receivable from Walwhan Renewable Energ</t>
  </si>
  <si>
    <t>Amount payable to OPTCL</t>
  </si>
  <si>
    <t>146A</t>
  </si>
  <si>
    <t>21g</t>
  </si>
  <si>
    <t>Other payables</t>
  </si>
  <si>
    <t>Advance to Supplier &amp; Contractor-Int-O&amp;</t>
  </si>
  <si>
    <t>Advance to Professionals / Consultants</t>
  </si>
  <si>
    <t>Advance to Labour Contractors (Cyclone</t>
  </si>
  <si>
    <t>Equity share capital</t>
  </si>
  <si>
    <t>Share Application Money</t>
  </si>
  <si>
    <t>Other Liabilities</t>
  </si>
  <si>
    <t>1A</t>
  </si>
  <si>
    <t>OTHER EQUITY</t>
  </si>
  <si>
    <t>65A</t>
  </si>
  <si>
    <t>Other equity</t>
  </si>
  <si>
    <t>Grants in aid for cyclone affected area</t>
  </si>
  <si>
    <t>Grants in aid for cost of Capital Assets</t>
  </si>
  <si>
    <t>21d</t>
  </si>
  <si>
    <t>Government grants payable</t>
  </si>
  <si>
    <t>Grants in Aid Cyclone Yaas</t>
  </si>
  <si>
    <t>Grants in aid for cost of Capital Asset</t>
  </si>
  <si>
    <t>Grants in aid for cost of Cap Asset-BGJ</t>
  </si>
  <si>
    <t>Capital Reserve-Capital Subsidy &amp; Grant</t>
  </si>
  <si>
    <t>18b</t>
  </si>
  <si>
    <t>Government grants</t>
  </si>
  <si>
    <t>Staff Welfare Fund</t>
  </si>
  <si>
    <t>Deposits from Consumers -On Capital A/c</t>
  </si>
  <si>
    <t>21c</t>
  </si>
  <si>
    <t>Deposit - others</t>
  </si>
  <si>
    <t>Interest accrued and due</t>
  </si>
  <si>
    <t>22b</t>
  </si>
  <si>
    <t>Interest Accrued &amp; Due on Loan-State Ba</t>
  </si>
  <si>
    <t xml:space="preserve"> Amount payable to other Licencee- NESCO</t>
  </si>
  <si>
    <t>Interest Accrued &amp;Due on Loans-Kotak Ma</t>
  </si>
  <si>
    <t>Interest Accrued &amp;Due on Inv. Fin-Indus</t>
  </si>
  <si>
    <t>Int Accrued &amp; Due on Short Term Loan- I</t>
  </si>
  <si>
    <t>Other Short-term Loans-State Bank of In</t>
  </si>
  <si>
    <t>Other Short-term Loans-Union Bank of In</t>
  </si>
  <si>
    <t>Invoice Financing - IndusInd Bank</t>
  </si>
  <si>
    <t>Short Term Loan-ICICI Bank</t>
  </si>
  <si>
    <t>CAPEX Loan -Union Bank of India</t>
  </si>
  <si>
    <t>Borrowing</t>
  </si>
  <si>
    <t>Term Loans from HDFC Bank</t>
  </si>
  <si>
    <t>Loans from Rural Electrification Corpor</t>
  </si>
  <si>
    <t>Amount payable to REC Ltd.- SOUBHAGYA</t>
  </si>
  <si>
    <t>Provision</t>
  </si>
  <si>
    <t>Liability &amp; Provision for Gratuity-TP S</t>
  </si>
  <si>
    <t>Liability &amp; Prov-EL, Sick &amp; Other Leave</t>
  </si>
  <si>
    <t>Payable to Rehabilitation Assistance Tr</t>
  </si>
  <si>
    <t>Liability &amp; Prov Other Staff Costs-TP S</t>
  </si>
  <si>
    <t>Liability &amp; Provision for Bonus &amp; Ex-gr</t>
  </si>
  <si>
    <t>21A</t>
  </si>
  <si>
    <t>Consumers Contribution for cost of Capi</t>
  </si>
  <si>
    <t>CAPITAL CONTRIBUTION FROM CONSUMERS'</t>
  </si>
  <si>
    <t>18C</t>
  </si>
  <si>
    <t>Deposits and Retention from Suppliers-Capital A/c</t>
  </si>
  <si>
    <t>Other financial liabilities</t>
  </si>
  <si>
    <t>Security Deposits other than in Cash-Ca</t>
  </si>
  <si>
    <t>Retention Money from Contractors-Capita</t>
  </si>
  <si>
    <t>Retention Money from Suppliers-SOUBHAGY</t>
  </si>
  <si>
    <t>Deposits and Retention from Suppliers-Other A/c</t>
  </si>
  <si>
    <t>Security Deposits other than in Cash-O&amp;</t>
  </si>
  <si>
    <t>Retention,EMD&amp;SD from Suppliers&amp;Contrac</t>
  </si>
  <si>
    <t>21f</t>
  </si>
  <si>
    <t>Other liabilities</t>
  </si>
  <si>
    <t>Penalty Retention from Suppliers&amp;Contra</t>
  </si>
  <si>
    <t>Electrification Works-Serv Conn-Low &amp; M</t>
  </si>
  <si>
    <t>18a</t>
  </si>
  <si>
    <t>Electrification Works-Serv Conn-HT Volt</t>
  </si>
  <si>
    <t>Electrification Works-Serv Conn-Tempora</t>
  </si>
  <si>
    <t>Electrification Works-Serv Conn-Others-</t>
  </si>
  <si>
    <t>Rural Electrification Works under PMGY-</t>
  </si>
  <si>
    <t>Electrical Intallation Shifting Works-N</t>
  </si>
  <si>
    <t>Rural Electrification Works under MNP-D</t>
  </si>
  <si>
    <t>Rural Electrification Works under MNP-E</t>
  </si>
  <si>
    <t>Rural Electrification Works under MLALA</t>
  </si>
  <si>
    <t>Rural Electrification Works under MPLAD</t>
  </si>
  <si>
    <t>Rural Electrification Works underWODC/B</t>
  </si>
  <si>
    <t>Rural Electrification Works under WODC/</t>
  </si>
  <si>
    <t xml:space="preserve"> Works under KJ/DESI/IAP-Deposit</t>
  </si>
  <si>
    <t xml:space="preserve"> Works under KJ/DESI/IAP - Expenditure</t>
  </si>
  <si>
    <t xml:space="preserve"> Works under APDRP-School-Anganwadi-Dep</t>
  </si>
  <si>
    <t>Works under APDRP-School-Anganwadi-Exp</t>
  </si>
  <si>
    <t>Electrical Intallation in Elephant Corr</t>
  </si>
  <si>
    <t>Rural Electrific Works under RGGVY/RLAT</t>
  </si>
  <si>
    <t>Rural Electrification Works under RGGVY</t>
  </si>
  <si>
    <t>Fencing of Electrical Substations-OPTCL</t>
  </si>
  <si>
    <t>Rural Electrification Works under DESI-</t>
  </si>
  <si>
    <t>Electrical Intallation Shifting Works-S</t>
  </si>
  <si>
    <t>Electrification Works under Saubhagya-D</t>
  </si>
  <si>
    <t>Govt. Sponsored Electrification Works-D</t>
  </si>
  <si>
    <t>Subsidies towards Cost of Capital Asset</t>
  </si>
  <si>
    <t>Letter of Credit Loan from Union Bank o</t>
  </si>
  <si>
    <t>Liability for Supply-Mat &amp; Service-MSME</t>
  </si>
  <si>
    <t>Sundry Creditor-Others</t>
  </si>
  <si>
    <t>20a</t>
  </si>
  <si>
    <t>Dues of Micro, Small and Medium Enterprises (MSME)</t>
  </si>
  <si>
    <t>Liability for Purchase of Power-GRIDCO</t>
  </si>
  <si>
    <t>Liability for PP-Transm Ch to OPTCL (RE</t>
  </si>
  <si>
    <t>Liability for SLDC Charges to OPTCL (RE</t>
  </si>
  <si>
    <t>Liability for Related Party Transaction</t>
  </si>
  <si>
    <t>doubt</t>
  </si>
  <si>
    <t>Liability for Supply of Material-O&amp;M (R</t>
  </si>
  <si>
    <t>Liability for Labour Charges-O&amp;M-Cyclon</t>
  </si>
  <si>
    <t>Liability-Labour Charges-O&amp;M-Cyclone-Hu</t>
  </si>
  <si>
    <t>Reserves and Surplus-Retained Earnings</t>
  </si>
  <si>
    <t>Dues-Other Recurring Deposits recovered</t>
  </si>
  <si>
    <t>Dues-Professional Tax recovered from St</t>
  </si>
  <si>
    <t>22a</t>
  </si>
  <si>
    <t>Statutory dues</t>
  </si>
  <si>
    <t>Health Insurance Membership Fees</t>
  </si>
  <si>
    <t>CONSUMERS' SECURITY DEPOSITS</t>
  </si>
  <si>
    <t>21b</t>
  </si>
  <si>
    <t xml:space="preserve">Security Deposit from Consumer </t>
  </si>
  <si>
    <t>Security Deposits-Bulk Supply Domestic-</t>
  </si>
  <si>
    <t>Security Deposits-Industrial Small Supp</t>
  </si>
  <si>
    <t>Security Deposits-Industrial Medium Sup</t>
  </si>
  <si>
    <t>Security Deposits-Power Intensive Indus</t>
  </si>
  <si>
    <t>Security Deposits-Irrigation,Pumping &amp;</t>
  </si>
  <si>
    <t>Security Deposits-PWWS &amp; Sewerage Pumpi</t>
  </si>
  <si>
    <t>Security Deposits-Allied Agricultural A</t>
  </si>
  <si>
    <t>Security Deposits-AlliedAgro Industrial</t>
  </si>
  <si>
    <t>Security Deposits-Specified Public Purp</t>
  </si>
  <si>
    <t>Security Deposits from Consumers-Non Ca</t>
  </si>
  <si>
    <t>Security deposit from Employees other t</t>
  </si>
  <si>
    <t>Security deposit from SHG/WSHG</t>
  </si>
  <si>
    <t>Unposted Receipts - Miscellaneous</t>
  </si>
  <si>
    <t>Advances received for sale of stores, s</t>
  </si>
  <si>
    <t>Liability for Supply-Mat&amp;Service-MSME-C</t>
  </si>
  <si>
    <t xml:space="preserve"> Creditors on capital Accounts</t>
  </si>
  <si>
    <t>Liability for Supply of Material-Capita</t>
  </si>
  <si>
    <t>21e</t>
  </si>
  <si>
    <t>Payable towards purchase of capital goods</t>
  </si>
  <si>
    <t>Liability for Supply of CAPEX Materials</t>
  </si>
  <si>
    <t>Liability for Supply of Materials-SOUBH</t>
  </si>
  <si>
    <t>Liability for supply of material-Capita</t>
  </si>
  <si>
    <t>Liabili-Supply of materials-Metering Eq</t>
  </si>
  <si>
    <t>Provision for Supply of Materials-Capit</t>
  </si>
  <si>
    <t>Liability for  Labour Charges- SOUBHAGY</t>
  </si>
  <si>
    <t>Liability for Sup of Mat-Cyclone-Titlee</t>
  </si>
  <si>
    <t>Liability for Labour Charges-Cyclone-Fo</t>
  </si>
  <si>
    <t>Liability for Supply of Mat-Cyclone-Tit</t>
  </si>
  <si>
    <t>Liability for Labour Charges-Cyclone-Ti</t>
  </si>
  <si>
    <t>Liability for Others-Cyclone-Titlee-Man</t>
  </si>
  <si>
    <t>EMI Liabilities-GRIDCO Loan &amp; Securitis</t>
  </si>
  <si>
    <t>Payable to BSES Contract Division</t>
  </si>
  <si>
    <t>Payable to BSES towards Other Expenses</t>
  </si>
  <si>
    <t>Payable to BIFL towards Other Expenses</t>
  </si>
  <si>
    <t>Payable to BTL towards Consultancy Char</t>
  </si>
  <si>
    <t>Amount Receivable to other Licencee- TPCODL</t>
  </si>
  <si>
    <t>109A</t>
  </si>
  <si>
    <t>Residual Company Control EC&amp;Others-NESC</t>
  </si>
  <si>
    <t>Residual Company Control EC&amp;Others-SOUT</t>
  </si>
  <si>
    <t>Amount payable to SOUTHCO Utility</t>
  </si>
  <si>
    <t>145A</t>
  </si>
  <si>
    <t>Residual Company Control EC&amp;Others-WESCO</t>
  </si>
  <si>
    <t>Provision for Contingency Expenses</t>
  </si>
  <si>
    <t xml:space="preserve"> Provision for Contingency</t>
  </si>
  <si>
    <t>Provision for liability-amount payable</t>
  </si>
  <si>
    <t>TDS Sec 194J Payable on Prof &amp; Tech Ser</t>
  </si>
  <si>
    <t>TDS Sec 194Q Payable on Purchase of Goo</t>
  </si>
  <si>
    <t>CGST Payable-CIS</t>
  </si>
  <si>
    <t>SGST Payable-CIS</t>
  </si>
  <si>
    <t>Liability-RPFC towards Arrear of Execut</t>
  </si>
  <si>
    <t>Liability-RPFC towards Arrear of Non-Ex</t>
  </si>
  <si>
    <t>Other Liabilities-Payable to R.P.F. Com</t>
  </si>
  <si>
    <t>Provident Fund Contribution-RPFC Subscr</t>
  </si>
  <si>
    <t>Provident Fund Contribution-RPFC-TP Sta</t>
  </si>
  <si>
    <t>Provident Fund Contribution-PF Trust Su</t>
  </si>
  <si>
    <t>TCS Assessed-Payable to Govt subject to</t>
  </si>
  <si>
    <t>ED Assessed-Payable to Govt subject to</t>
  </si>
  <si>
    <t>Electricity Duty Payable</t>
  </si>
  <si>
    <t>Electricity Duty Collected-Payable to G</t>
  </si>
  <si>
    <t>Other Liabilities payble to Central Gov</t>
  </si>
  <si>
    <t>Liability-Odisha Building&amp;Other Constru</t>
  </si>
  <si>
    <t>Miscellaneous Recovery - Tata Power Sta</t>
  </si>
  <si>
    <t>Receipts From Trusts for Payment to Ex-</t>
  </si>
  <si>
    <t>Revenue from Sale of Power-Domestic-LT-</t>
  </si>
  <si>
    <t>REVENUE FROM SALE OF POWER</t>
  </si>
  <si>
    <t>PL</t>
  </si>
  <si>
    <t>Revenue from operations</t>
  </si>
  <si>
    <t>Revenue from Sale of Power-Bulk Supply</t>
  </si>
  <si>
    <t>Revenue from Sale of Power-General purp</t>
  </si>
  <si>
    <t>Revenue from Sale of Power-Small-LT-MMF</t>
  </si>
  <si>
    <t>Revenue from Sale of Power-Large Indust</t>
  </si>
  <si>
    <t>Revenue from Sale of Power-Power Intens</t>
  </si>
  <si>
    <t>Revenue from Sale of Power-Public Light</t>
  </si>
  <si>
    <t>Revenue from Sale of Power-Railway Trac</t>
  </si>
  <si>
    <t>Revenue from SoP-Irrign,Pump &amp; Agri-LT-</t>
  </si>
  <si>
    <t>Revenue from SoP-Irrign,Pump &amp; Agri-HT-</t>
  </si>
  <si>
    <t>Revenue from SoP-Allied Agril Activity-</t>
  </si>
  <si>
    <t>Revenue from SoP-Agro Indus Activity-LT</t>
  </si>
  <si>
    <t>Revenue from SoP-Agro Indus Activity-HT</t>
  </si>
  <si>
    <t>Revenue from SoP-Specified Public Purpo</t>
  </si>
  <si>
    <t>Revenue from SoP-Captive Power Plant-EH</t>
  </si>
  <si>
    <t>Revenue from SoP-Unbilled</t>
  </si>
  <si>
    <t>14A</t>
  </si>
  <si>
    <t>Prompt Payment Rebate &amp; Discount-LT</t>
  </si>
  <si>
    <t>Prompt Payment Rebate &amp; Discount-HT</t>
  </si>
  <si>
    <t>Prompt Payment Rebate &amp; Discount-EHT</t>
  </si>
  <si>
    <t>Preacquisition Employeee Benefits</t>
  </si>
  <si>
    <t>EMPLOYEE COST</t>
  </si>
  <si>
    <t>Employee benefits expense</t>
  </si>
  <si>
    <t>OTHER REVENUES</t>
  </si>
  <si>
    <t>Other income</t>
  </si>
  <si>
    <t>Amortisation Income from Consumer Contr</t>
  </si>
  <si>
    <t>61A</t>
  </si>
  <si>
    <t>Rental for Meters-Discoms</t>
  </si>
  <si>
    <t>Disconnection, Dismantle and Reconnecti</t>
  </si>
  <si>
    <t>Meter Testing Fees (Operating)</t>
  </si>
  <si>
    <t>22A</t>
  </si>
  <si>
    <t>Scrap-PS-Other Plant &amp; Machinery</t>
  </si>
  <si>
    <t>Scrap-O&amp;M-Furniture &amp; Fittings</t>
  </si>
  <si>
    <t>Interest on Investment-Fixed Deposits i</t>
  </si>
  <si>
    <t>16B</t>
  </si>
  <si>
    <t>Interest on Fixed Deposits &amp; STDR in Ba</t>
  </si>
  <si>
    <t>Delayed Payment Surcharges from Consume</t>
  </si>
  <si>
    <t>COGS-PS-SCADA,Control &amp; Instruments</t>
  </si>
  <si>
    <t>A&amp;G - Other Expenses</t>
  </si>
  <si>
    <t>COGS-O&amp;M Stock Civil Office Buildings</t>
  </si>
  <si>
    <t>Excess on physical verification of Mate</t>
  </si>
  <si>
    <t>Excess on physical verification of Fixe</t>
  </si>
  <si>
    <t>Sundry Credit balances written back</t>
  </si>
  <si>
    <t>PURCHASE OF POWER</t>
  </si>
  <si>
    <t>Cost of power purchased and transmission charges</t>
  </si>
  <si>
    <t>Rebate for timely Payment of Transmissi</t>
  </si>
  <si>
    <t>Employee Cost-Conveyance Allowance</t>
  </si>
  <si>
    <t>Compensation Allowance_1300_Food Coupon</t>
  </si>
  <si>
    <t>Strategic Mobilisation Allowance-TP Sta</t>
  </si>
  <si>
    <t>Employee Cost-Hard Furnishing Allowance</t>
  </si>
  <si>
    <t>Performance based Pay Incentives to Sta</t>
  </si>
  <si>
    <t>Leave Travel Allowance-TP Staff</t>
  </si>
  <si>
    <t>Employers Contribution towards ESIC-TP</t>
  </si>
  <si>
    <t>Employee Cost charged to capital works</t>
  </si>
  <si>
    <t>Employers Contribution towards NPS-TP S</t>
  </si>
  <si>
    <t>Employers Contrbn towards PF of NP Empl</t>
  </si>
  <si>
    <t>RPFC Administration, EDLI &amp; Inspection</t>
  </si>
  <si>
    <t>Payment Under Workmen's Compensation Ac</t>
  </si>
  <si>
    <t>Transfer Grant-TP Staff</t>
  </si>
  <si>
    <t>Education Expenses-TP Staff</t>
  </si>
  <si>
    <t>Premium under Group Insurance Scheme</t>
  </si>
  <si>
    <t>Medical Expenses</t>
  </si>
  <si>
    <t>Compensation for Injuries,Death &amp;Damage</t>
  </si>
  <si>
    <t>A&amp;G - Material Related Expenses</t>
  </si>
  <si>
    <t>Rehabilitation Assistance Actuarial Pro</t>
  </si>
  <si>
    <t>Other Term.Benefits-Un Utlsd Leave etc-</t>
  </si>
  <si>
    <t>Interest on Consumers Sec Deposit for S</t>
  </si>
  <si>
    <t>Interest and  Finance Charges</t>
  </si>
  <si>
    <t>Finance Cost</t>
  </si>
  <si>
    <t>Interest on Loans from State Bank of In</t>
  </si>
  <si>
    <t>Interest on Letter of Credit-Union Bank</t>
  </si>
  <si>
    <t>Interest on Secured Overdraft-Union Ban</t>
  </si>
  <si>
    <t>Interest on STL from Kotak Mahidra Bank</t>
  </si>
  <si>
    <t>Interest on Invoice Financing- Kotak Ma</t>
  </si>
  <si>
    <t>Interest on Invoice Financing - IndusIn</t>
  </si>
  <si>
    <t>Interest on Short Term Loan - ICICI Ban</t>
  </si>
  <si>
    <t>Bank Commission for collections from co</t>
  </si>
  <si>
    <t>Bank Charges for Purchasing Demand Draf</t>
  </si>
  <si>
    <t>Bank Guarantee Charges</t>
  </si>
  <si>
    <t>PL-04</t>
  </si>
  <si>
    <t>Depreciation and amortisation expense</t>
  </si>
  <si>
    <t>Depreciation- Other Civil works</t>
  </si>
  <si>
    <t>Depreciation on Lines, Cable &amp; Networks</t>
  </si>
  <si>
    <t>Depreciation on Computors &amp; Equipments</t>
  </si>
  <si>
    <t>Depreciation on Softwares</t>
  </si>
  <si>
    <t>A&amp;G - Property Related Expenses</t>
  </si>
  <si>
    <t>BUILDING</t>
  </si>
  <si>
    <t>R&amp;M-Other Civil Works-Miscellaneous Civ</t>
  </si>
  <si>
    <t>O&amp;M Stock O&amp;M 33 KV Switch Gears-Consum</t>
  </si>
  <si>
    <t>O&amp;M Stock Lightening Arrestors-Consumpt</t>
  </si>
  <si>
    <t>O&amp;M Stock Other Plant &amp; Machinery-Consu</t>
  </si>
  <si>
    <t>Repair &amp; Maintenance -P&amp;M</t>
  </si>
  <si>
    <t>Offsetting-O&amp;M Stock Transfer</t>
  </si>
  <si>
    <t>R&amp;M-P&amp;M-Fabrication Shop/Workshop Plant</t>
  </si>
  <si>
    <t>R&amp;M-P&amp;M-Lighting Arrestor,Static M/c To</t>
  </si>
  <si>
    <t>O&amp;M Stock Underground Cables-Consumptio</t>
  </si>
  <si>
    <t>O&amp;M Stock Street Lightening-Consumption</t>
  </si>
  <si>
    <t>O&amp;M Stock Furniture &amp; Fittings-Consumpt</t>
  </si>
  <si>
    <t>O&amp;M Stock Computers, Laptops Etc.-Consu</t>
  </si>
  <si>
    <t>O&amp;M Stock-Consumables-Consumption</t>
  </si>
  <si>
    <t>Guest House Upkeep &amp; Maintenance</t>
  </si>
  <si>
    <t>Building &amp; Civil works demolition costs</t>
  </si>
  <si>
    <t>A&amp;G - Professional Charges</t>
  </si>
  <si>
    <t>Statutory Financial &amp; Tax Audit Expense</t>
  </si>
  <si>
    <t>Board's Expenses-Sitting Fees to Direct</t>
  </si>
  <si>
    <t>Legal charges and stamp fees for capita</t>
  </si>
  <si>
    <t>Vehicle Licence, Registration Fee and R</t>
  </si>
  <si>
    <t>Licences and Related Fees</t>
  </si>
  <si>
    <t>Advertisement Exp on tenders for capita</t>
  </si>
  <si>
    <t>Other Purchase related Advertisement Ex</t>
  </si>
  <si>
    <t>Vehicle Running Exp-Petrol,Oil&amp;Lubs-Hea</t>
  </si>
  <si>
    <t>Transportation charges paid to outsider</t>
  </si>
  <si>
    <t>Loading &amp; Unloading charges paid to out</t>
  </si>
  <si>
    <t>Incidental stores expenses on others</t>
  </si>
  <si>
    <t>Provision for Stock Shortage, Theft &amp; O</t>
  </si>
  <si>
    <t>tax</t>
  </si>
  <si>
    <t>A&amp;G - Communication</t>
  </si>
  <si>
    <t>Postage Stamps,Telegrams and Courier Ch</t>
  </si>
  <si>
    <t>Insurance on Fixed Assets-Amortised</t>
  </si>
  <si>
    <t>Insurance on Health and Others-Amortise</t>
  </si>
  <si>
    <t>A&amp;G - Conveyance &amp; Travelling</t>
  </si>
  <si>
    <t>Travelling &amp;Conveyance re-imbursement t</t>
  </si>
  <si>
    <t>Vehicle Running Exp-Petrol,Oil&amp;Lubs-Lig</t>
  </si>
  <si>
    <t>Further Provision for Doubtful Debts-Co</t>
  </si>
  <si>
    <t>Bad and Doubtful Debts</t>
  </si>
  <si>
    <t>Supervision charges</t>
  </si>
  <si>
    <t>Contribution for Charities &amp; CSR activi</t>
  </si>
  <si>
    <t>Official Gifts and Entertainment etc</t>
  </si>
  <si>
    <t>A&amp;G - Watch and Ward</t>
  </si>
  <si>
    <t>Input &amp; collection based Franchisee Exp</t>
  </si>
  <si>
    <t>A&amp;G - Bill distribution and revenue realisation</t>
  </si>
  <si>
    <t>Disconnection Squad Expenses</t>
  </si>
  <si>
    <t>Commission for Collection to Franchisee</t>
  </si>
  <si>
    <t>Expenditure on IEC-Electrical safety&amp;En</t>
  </si>
  <si>
    <t>Compensation for Injuries,Death&amp;Damages</t>
  </si>
  <si>
    <t>Provision for Contingency</t>
  </si>
  <si>
    <t>Short Provision-Income Tax-Previous Yea</t>
  </si>
  <si>
    <t>Remeasurement Gratuity Unfunded  (OCI)</t>
  </si>
  <si>
    <t>Regulatory deferal expenses</t>
  </si>
  <si>
    <t>Remeasurement Gratuity Funded  (OCI)</t>
  </si>
  <si>
    <t>Remeasurement Pension  (OCI)</t>
  </si>
  <si>
    <t>Net movement in regulatory deferral balances</t>
  </si>
  <si>
    <t>Regulatory Income-Other Comprehensive I</t>
  </si>
  <si>
    <t>Net Movement-Regulatory Deferral Accoun</t>
  </si>
  <si>
    <t>Deffered tax</t>
  </si>
  <si>
    <t>Current tax</t>
  </si>
  <si>
    <t>21F</t>
  </si>
  <si>
    <t>Loan from State Bank of India</t>
  </si>
  <si>
    <t>Loan from Kotak Bank</t>
  </si>
  <si>
    <t>Loan from Indusland Bank</t>
  </si>
  <si>
    <t>Loan from ICICI Bank</t>
  </si>
  <si>
    <t>As at 31-03-2022</t>
  </si>
  <si>
    <t xml:space="preserve"> 31-03-2022</t>
  </si>
  <si>
    <t>Interest on Term Deposit</t>
  </si>
  <si>
    <t>Transfer from Consumer Contribution for capital work</t>
  </si>
  <si>
    <t xml:space="preserve">Miscellaneous receipt </t>
  </si>
  <si>
    <t>16A</t>
  </si>
  <si>
    <t>For the year ended 31.03.2022</t>
  </si>
  <si>
    <t>SCHEDULE  1 - EQUITY SHARE CAPITAL</t>
  </si>
  <si>
    <t>1000000000 number Equity Shares</t>
  </si>
  <si>
    <t xml:space="preserve"> (a) Issued,Subscribed and Paid-up</t>
  </si>
  <si>
    <t>Equity shares of ₹ 10/- each fully paid up with voting rights</t>
  </si>
  <si>
    <t>SCHEDULE  1A - OTHER EQUITY</t>
  </si>
  <si>
    <t xml:space="preserve"> (a) Retained Earning</t>
  </si>
  <si>
    <t xml:space="preserve">           Add  :Profit/(loss) for the period/ year</t>
  </si>
  <si>
    <t xml:space="preserve"> (a) Other Reserve :</t>
  </si>
  <si>
    <t xml:space="preserve">         Balance as per last Balance Sheet</t>
  </si>
  <si>
    <t xml:space="preserve">         Add: Received during the year</t>
  </si>
  <si>
    <t xml:space="preserve">         Less: Adjustment against  Decapitalization</t>
  </si>
  <si>
    <t xml:space="preserve">         Less : Adjustment </t>
  </si>
  <si>
    <t xml:space="preserve">         Less : Adjustment against utilization</t>
  </si>
  <si>
    <t xml:space="preserve">         Less:  Adjustment against depreciation</t>
  </si>
  <si>
    <t xml:space="preserve">      2.  SOUBHAGYA</t>
  </si>
  <si>
    <t xml:space="preserve">      3.  PEETHA</t>
  </si>
  <si>
    <t>(a)  Loan from Union Bank of India-WC</t>
  </si>
  <si>
    <t>(b)  Loan from Union Bank of India</t>
  </si>
  <si>
    <t>(c)  CAPEX Loan- Union Bank of India</t>
  </si>
  <si>
    <t>(d) Loan from State Bank of India</t>
  </si>
  <si>
    <t>(e) Loan from Indusland Bank</t>
  </si>
  <si>
    <t>(e) Loan from Kotak Bank</t>
  </si>
  <si>
    <t>(f) Loan from ICICI Bank</t>
  </si>
  <si>
    <t>(c) Loan from HDFC Bank</t>
  </si>
  <si>
    <t>(g) Govt. of Odisha - CAPEX</t>
  </si>
  <si>
    <t xml:space="preserve">  Subdry Debtors</t>
  </si>
  <si>
    <t xml:space="preserve">       (i) Debts outstanding less than six month</t>
  </si>
  <si>
    <t xml:space="preserve">               Unsecured Considered good</t>
  </si>
  <si>
    <t xml:space="preserve">               Significant increase in the credit risk</t>
  </si>
  <si>
    <t xml:space="preserve">       (ii) Debts outstanding more than six month</t>
  </si>
  <si>
    <t xml:space="preserve">      (iii) Other Debts-</t>
  </si>
  <si>
    <t xml:space="preserve">              Unbilled </t>
  </si>
  <si>
    <t>As at 01.04.2021</t>
  </si>
  <si>
    <t>As at 31.03.2022</t>
  </si>
  <si>
    <t>FIXED ASSETS</t>
  </si>
  <si>
    <t>Office Equipments including Computers &amp; Software</t>
  </si>
  <si>
    <t>SCHEDULE  11 - LOANS AND ADVANCES &amp; OTHER ASSETS</t>
  </si>
  <si>
    <r>
      <t xml:space="preserve">Regulatory Assets  </t>
    </r>
    <r>
      <rPr>
        <sz val="12"/>
        <rFont val="Times New Roman"/>
        <family val="1"/>
      </rPr>
      <t xml:space="preserve"> </t>
    </r>
  </si>
  <si>
    <t>Amount Receivable to other Licencee- TPWODL</t>
  </si>
  <si>
    <t xml:space="preserve">Advance Tax </t>
  </si>
  <si>
    <t xml:space="preserve">         On Capital Accounts</t>
  </si>
  <si>
    <t xml:space="preserve">         Others</t>
  </si>
  <si>
    <t xml:space="preserve">      Deposits from Consumers </t>
  </si>
  <si>
    <t xml:space="preserve">      Amount payable to SOUTHCO Utility</t>
  </si>
  <si>
    <t xml:space="preserve">      Amount payable to other Licencee- TPNODL</t>
  </si>
  <si>
    <t xml:space="preserve">      Amount payable to OPTCL</t>
  </si>
  <si>
    <t xml:space="preserve"> Rehabilitation Assistance and Others Fund Payable to Trusts</t>
  </si>
  <si>
    <t>Captive Power Plant</t>
  </si>
  <si>
    <t xml:space="preserve">     Bad and Doubtful Debts</t>
  </si>
  <si>
    <t xml:space="preserve">     Bad Debt written off</t>
  </si>
  <si>
    <t>BALANCE SHEET AS AT 31ST MARCH, 2022</t>
  </si>
  <si>
    <t>PROFIT AND LOSS ACCOUNTS FOR THE YEAR ENDED 31ST MARCH,2022</t>
  </si>
  <si>
    <t>31-03-2022</t>
  </si>
  <si>
    <t xml:space="preserve">       Other Equity</t>
  </si>
  <si>
    <t>PREVIOUS  YEAR   2021-22</t>
  </si>
  <si>
    <t>OB of CWIP 1.4.2021</t>
  </si>
  <si>
    <t>2022-23 ( WY)</t>
  </si>
  <si>
    <t>2023-24</t>
  </si>
  <si>
    <t>As at 31.03.24</t>
  </si>
  <si>
    <t>Previous Year           2021-22</t>
  </si>
  <si>
    <t>Current  Year  2022-23</t>
  </si>
  <si>
    <t>Ensuing Year                  2023-24</t>
  </si>
  <si>
    <t>Drawn during 2023-24</t>
  </si>
  <si>
    <t xml:space="preserve">Amt. Of Drawal </t>
  </si>
  <si>
    <t>Name of the Bank</t>
  </si>
  <si>
    <t>Amt of Drawal</t>
  </si>
  <si>
    <t>Interest Charged to P/L</t>
  </si>
  <si>
    <t>Opening Balance of Loan</t>
  </si>
  <si>
    <t xml:space="preserve"> Closing Balance of Loan Amount</t>
  </si>
  <si>
    <t xml:space="preserve"> FY-2021-22</t>
  </si>
  <si>
    <t xml:space="preserve"> FY-2023-24</t>
  </si>
  <si>
    <t>Other bank chrges charged to P/L</t>
  </si>
  <si>
    <t>Principal Loan redeemed</t>
  </si>
  <si>
    <t>Indusland Bank</t>
  </si>
  <si>
    <t>Any Other Plz Specify</t>
  </si>
  <si>
    <t xml:space="preserve"> FY-2022-23 (Q1)</t>
  </si>
  <si>
    <t xml:space="preserve"> FY-2022-23 (Q2)</t>
  </si>
  <si>
    <t>ICICI Bank(WCDL)</t>
  </si>
  <si>
    <t>24.02.2022</t>
  </si>
  <si>
    <t>120 Days</t>
  </si>
  <si>
    <t>30.06.2022</t>
  </si>
  <si>
    <t>KOTAK BANK(WCDL)</t>
  </si>
  <si>
    <t>29.12.2022</t>
  </si>
  <si>
    <t>90 Days</t>
  </si>
  <si>
    <t>UNION BANK(SOD)</t>
  </si>
  <si>
    <t>UNION BANK(Capex)</t>
  </si>
  <si>
    <t>31.01.2022</t>
  </si>
  <si>
    <t>15 Years</t>
  </si>
  <si>
    <t>1Year</t>
  </si>
  <si>
    <t>SBI(DL)</t>
  </si>
  <si>
    <t>18.03.2022</t>
  </si>
  <si>
    <t>Indusland Bank(Invoice Financing)</t>
  </si>
  <si>
    <t>Liability payment (Invoice Financing)</t>
  </si>
  <si>
    <t>Drawn during 2022-23 (H1)</t>
  </si>
  <si>
    <t>Drawn during 2022-23 (H2)</t>
  </si>
  <si>
    <t>CAPEX LOAN-UBI</t>
  </si>
  <si>
    <t>SBI (DL)</t>
  </si>
  <si>
    <t>Opening balance of loan of the previous  financial year 01.04.2021</t>
  </si>
  <si>
    <t>Receipt during the previous financial year FY-2021-22</t>
  </si>
  <si>
    <t>Repayment during the previous financial year FY-2021-22</t>
  </si>
  <si>
    <t>Closing balance  of the previous financial year 31.03.2022</t>
  </si>
  <si>
    <t>Opening balance of loan  of the current financial year 01.04.2022</t>
  </si>
  <si>
    <t>Receipt during the current financial year FY-2022-23</t>
  </si>
  <si>
    <t>Repayment during the current financial year FY-2022-23</t>
  </si>
  <si>
    <t>Closing balance as at the end of the current financial year  31.03.2023</t>
  </si>
  <si>
    <t>Estimates of  Receipt during ensuing financial year    FY-2023-24</t>
  </si>
  <si>
    <t>Estimates of Repayment during ensuing financial year  FY-2023-24</t>
  </si>
  <si>
    <t>Closing balance as at the end of the ensuing year 31.03.2024</t>
  </si>
  <si>
    <t>Indusind Bank(Short-Term)</t>
  </si>
  <si>
    <t>Opening</t>
  </si>
  <si>
    <t>31.03.2021</t>
  </si>
  <si>
    <t>Closing</t>
  </si>
  <si>
    <t>31.03.2022</t>
  </si>
  <si>
    <t>31.03.2023</t>
  </si>
  <si>
    <t>CAPEX- GoO</t>
  </si>
  <si>
    <t>CAPEX -GoO</t>
  </si>
  <si>
    <t xml:space="preserve">CURRENT YEAR          2022-23                                                                                                                                               </t>
  </si>
  <si>
    <t>ENSUING YEAR       2023-24</t>
  </si>
  <si>
    <t xml:space="preserve"> CURRENT YEAR          2022-23</t>
  </si>
  <si>
    <t xml:space="preserve"> ENSUING YEAR          2023-24</t>
  </si>
  <si>
    <t>Closing bal. of WIP as on 31.03.24</t>
  </si>
  <si>
    <t>Secured Loan:</t>
  </si>
  <si>
    <t xml:space="preserve">  CAPEX Loan</t>
  </si>
  <si>
    <t xml:space="preserve">    (a) Union Bank of India</t>
  </si>
  <si>
    <t xml:space="preserve">    (b) Govt. of Odisha - CAPEX</t>
  </si>
  <si>
    <t xml:space="preserve">   Working Capital Loan</t>
  </si>
  <si>
    <t xml:space="preserve">    (b) State Bank of India</t>
  </si>
  <si>
    <t xml:space="preserve">    (c) Loan from Indusland Bank</t>
  </si>
  <si>
    <t>Un Secured Loan:</t>
  </si>
  <si>
    <t xml:space="preserve">    (d) Loan from ICICI Bank</t>
  </si>
  <si>
    <t>SCHEDULE  3 - SECURED &amp; UNSECURED LOANS</t>
  </si>
  <si>
    <t xml:space="preserve">     Contingencies</t>
  </si>
  <si>
    <t xml:space="preserve"> Previous Year FY-2021-22</t>
  </si>
  <si>
    <t>Actual for the first six months of Current Year (FY 2022-23)</t>
  </si>
  <si>
    <t>Estimate for the next six months of Current Year FY-2022-23</t>
  </si>
  <si>
    <t>Projection for the Ensuing Year FY-2023-24</t>
  </si>
  <si>
    <t>Actuals for the Previous Year FY 2021-22</t>
  </si>
  <si>
    <t>Estimate for the Current Year FY 2022-23</t>
  </si>
  <si>
    <t>Projection for the Ensuing Year FY 2023-24</t>
  </si>
  <si>
    <t>Actual for the Previous Year FY 2021-22</t>
  </si>
  <si>
    <t>As at 31st March of Prev. Yr.2022</t>
  </si>
  <si>
    <t>As at 31 st March of Current Year 22-23</t>
  </si>
  <si>
    <t>As at 31st March of Prev. Yr. 21-22</t>
  </si>
  <si>
    <t>As at 31st March of Current Year 
22-23</t>
  </si>
  <si>
    <t>As At (Current Year 22-23)</t>
  </si>
  <si>
    <t>As At (Previous Year 21-22)</t>
  </si>
  <si>
    <t>As at 31st March of Prev. Yr.2023</t>
  </si>
  <si>
    <t>As at 31 st March
23-24</t>
  </si>
  <si>
    <t>As at 31st March  22-23</t>
  </si>
  <si>
    <t>As at 31st March 
23-24</t>
  </si>
  <si>
    <t xml:space="preserve">As At
 (Ensuing Year 23-24) </t>
  </si>
  <si>
    <t xml:space="preserve">As At
 (Current  Year 
22-23) </t>
  </si>
  <si>
    <t>B. FIXED ASSETS -Intangible</t>
  </si>
  <si>
    <t>Software</t>
  </si>
  <si>
    <t>SAP F</t>
  </si>
  <si>
    <t>Computer Software</t>
  </si>
  <si>
    <t>Previous Year 2021-22</t>
  </si>
  <si>
    <t>Estimated for the Current year 2022-23</t>
  </si>
  <si>
    <t>Projected for the Ensuing year 2023-24</t>
  </si>
  <si>
    <t>Receipt</t>
  </si>
  <si>
    <t>Consultancy  charges</t>
  </si>
  <si>
    <t xml:space="preserve">Balance carried to Balance Sheet </t>
  </si>
  <si>
    <t xml:space="preserve">       Secured &amp;Unsecured Loans</t>
  </si>
  <si>
    <t>2023-14</t>
  </si>
  <si>
    <t>BGJY</t>
  </si>
  <si>
    <t>DEPOSIT</t>
  </si>
  <si>
    <t>IT Infrastructure</t>
  </si>
  <si>
    <t>Frontend Devices/Call center/CCC</t>
  </si>
  <si>
    <t>33/11 KV PSS -Load Growth</t>
  </si>
  <si>
    <t>PSS Refurbishment-Reliability</t>
  </si>
  <si>
    <t>TESTING EQUIPMENT-STATUTORY &amp; SAFETY</t>
  </si>
  <si>
    <t>Augmentation of IPDS Software licences</t>
  </si>
  <si>
    <t>Civil Infrastructure</t>
  </si>
  <si>
    <t>Services for GIS project implementation</t>
  </si>
  <si>
    <t>Meter installation</t>
  </si>
  <si>
    <t>Installation of Auto/RMUs,FPI-RED</t>
  </si>
  <si>
    <t>PSS Refurbishment-Reliability-AED-2</t>
  </si>
  <si>
    <t>LT Bare to ABC conversion-JED</t>
  </si>
  <si>
    <t>LT Bare to ABC conversion-KED</t>
  </si>
  <si>
    <t>Installation of LV protection  DSS-BED2</t>
  </si>
  <si>
    <t>Installation of LV protectionDSS-RED</t>
  </si>
  <si>
    <t>Strengthening Elephant Corridor - TPSODL</t>
  </si>
  <si>
    <t>Fencing of Distribution substations -DSS</t>
  </si>
  <si>
    <t>RGGVY 1P</t>
  </si>
  <si>
    <t>CRW</t>
  </si>
  <si>
    <t>DFID/ODA</t>
  </si>
  <si>
    <t>SAUBHAGYA</t>
  </si>
  <si>
    <t>T&amp;P</t>
  </si>
  <si>
    <t>MOBIDYUT</t>
  </si>
  <si>
    <t>OWN</t>
  </si>
  <si>
    <t>Project Stock in Stores</t>
  </si>
  <si>
    <t>Capital Advance</t>
  </si>
  <si>
    <t xml:space="preserve">                             Total</t>
  </si>
  <si>
    <t>Closing CWIP as on 31.03.2022</t>
  </si>
  <si>
    <t>CWIP Created during FY-2021-22</t>
  </si>
  <si>
    <t>Transferred to Fixed Assets</t>
  </si>
  <si>
    <t>Other Adjustment</t>
  </si>
  <si>
    <t>PREVIOUS  YEAR          2021-22</t>
  </si>
  <si>
    <t xml:space="preserve"> CURRENT YEAR         2022-23</t>
  </si>
  <si>
    <t>OB as on 1.4.2021</t>
  </si>
  <si>
    <t>Cyclone- YAAS</t>
  </si>
  <si>
    <t>School &amp; Aganbadi Scheme</t>
  </si>
  <si>
    <t>Electrification work under BGJY</t>
  </si>
  <si>
    <t>FY-22-23 (H1)</t>
  </si>
  <si>
    <t>SOUBHAGYA Scheme</t>
  </si>
  <si>
    <t>FY-22-23 (H2)</t>
  </si>
  <si>
    <t>FY-2023-24</t>
  </si>
  <si>
    <t>Investment details as on 31.03.2022</t>
  </si>
  <si>
    <t>Additions during the Year FY-22-23 (H1)</t>
  </si>
  <si>
    <t>Additions during the Year FY-22-23</t>
  </si>
  <si>
    <t>During the year FY-22-23 (H1)</t>
  </si>
  <si>
    <t>4075808 Mannual</t>
  </si>
  <si>
    <t>MANUAL NEW-01</t>
  </si>
  <si>
    <t>MANUAL NEW-02</t>
  </si>
  <si>
    <t>MANUAL NEW-03</t>
  </si>
  <si>
    <t>MANUAL NEW-04</t>
  </si>
  <si>
    <t>MANUAL NEW-05</t>
  </si>
  <si>
    <t>MANUAL NEW-06</t>
  </si>
  <si>
    <t>MANUAL NEW-07</t>
  </si>
  <si>
    <t>Sundry Debtors for Theft of Power</t>
  </si>
  <si>
    <t>Staff Imprest (RECO)</t>
  </si>
  <si>
    <t>Advance to Staff-House Building-Interest</t>
  </si>
  <si>
    <t>Other non-current tax assets (net)</t>
  </si>
  <si>
    <t>TDS on income from investments-Others</t>
  </si>
  <si>
    <t>Receivable from GRIDCO-Vesting Order</t>
  </si>
  <si>
    <t>Amount recoverable from Stat Govt.-Others</t>
  </si>
  <si>
    <t>Balance Carryover</t>
  </si>
  <si>
    <t>25(d)</t>
  </si>
  <si>
    <t>UBI-KAMAPALLI-HO-625901010050067-Incoming</t>
  </si>
  <si>
    <t>SBI-MCC-BED1-37824962695-Incoming</t>
  </si>
  <si>
    <t>UBI-PURUSHOTTAMPUR-PSED-639201010050074-Incoming</t>
  </si>
  <si>
    <t>UBI-KAMAPALLI-HO-625902010001728-Outgoing</t>
  </si>
  <si>
    <t>CAN-Digapahandi-GSED-0394201000191-Outgoing</t>
  </si>
  <si>
    <t>CAN-Digapahandi-GSED-0394201000193-Outgoing</t>
  </si>
  <si>
    <t>Dues Other than MSME</t>
  </si>
  <si>
    <t>Penalty Retention from Suppliers&amp;Contractors(RECO)</t>
  </si>
  <si>
    <t>Payable to BTL towards Consultancy Charges</t>
  </si>
  <si>
    <t>Electrification Works-Serv Conn-Temporary-Exp</t>
  </si>
  <si>
    <t>Electrical Intallation Shifting Works-School-Dep</t>
  </si>
  <si>
    <t>Expenses-Govt. Sponsored -Deposit</t>
  </si>
  <si>
    <t>Interest Accrued &amp;Due on Loans-Kotak Mahindra Bank</t>
  </si>
  <si>
    <t>Interest Accrued &amp;Due on Inv. Fin-IndusInd Bank</t>
  </si>
  <si>
    <t>25(c)</t>
  </si>
  <si>
    <t>Other Short-term Loans-Kotak Mahindra Bank</t>
  </si>
  <si>
    <t>25(b)</t>
  </si>
  <si>
    <t>25(e)</t>
  </si>
  <si>
    <t>O&amp;M Stock Bateries &amp; Batery Charger-Consumption</t>
  </si>
  <si>
    <t>Expenditure on IEC-Electrical safety&amp;Enrg. Consv.</t>
  </si>
  <si>
    <t>R&amp;M-P&amp;M-Fabrication Shop/Workshop Plant&amp;Equipments</t>
  </si>
  <si>
    <t>Employee Cost-Hard Furnishing Allowance-TP Staff</t>
  </si>
  <si>
    <t>Payment Under Workmen's Compensation Act</t>
  </si>
  <si>
    <t>Contribution to Charities &amp; CSR etc.</t>
  </si>
  <si>
    <t>15a</t>
  </si>
  <si>
    <t>UBI-625002010010915-PED</t>
  </si>
  <si>
    <t>Security Deposits-PWWS &amp; Sewerage Pumping-HT</t>
  </si>
  <si>
    <t>Security Deposits-Specified Public Purpose-HT</t>
  </si>
  <si>
    <t>Compensation for Injuries,Death &amp;Damages Etc-Staff</t>
  </si>
  <si>
    <t>Input RCM CGST Account</t>
  </si>
  <si>
    <t>Input RCM SGST Account</t>
  </si>
  <si>
    <t>Input RCM IGST Account</t>
  </si>
  <si>
    <t>TDS sec 194H payable on Brokerage &amp; Commission</t>
  </si>
  <si>
    <t>Pipe Line &amp; Water Supply System-Residential colony</t>
  </si>
  <si>
    <t>Cap FA External Procurement</t>
  </si>
  <si>
    <t>UBI-CHATRAPUR-GNED-622902010005468-Incoming</t>
  </si>
  <si>
    <t>UBI-CHATRAPUR-GNED-622902010005468-Outgoing</t>
  </si>
  <si>
    <t>SBI-DIGAPAHANDI-GSED-38037586669-Outgoing</t>
  </si>
  <si>
    <t>UBI-PARALAKHEMUNDI-PKED-406901010034107-Incoming</t>
  </si>
  <si>
    <t>UBI-RAYAGADA-SRGD-572701010050125-Incoming</t>
  </si>
  <si>
    <t>UBI-JEYPORE-JYPR-391302010017080-Incoming</t>
  </si>
  <si>
    <t>UBI-RAYAGADA-RGDA-572702010008526-Outgoing</t>
  </si>
  <si>
    <t>ICIC-RAYAGADA-RGDA-078105500185-Outgoing</t>
  </si>
  <si>
    <t>UBI-JEYPORE-JYPR-391302010017080-Outgoing</t>
  </si>
  <si>
    <t>UBI-NABARANGPUR-NBRP-625102010007667-Outgoing</t>
  </si>
  <si>
    <t>UBI-TAMASA-MLKN-463701010029025-Outgoing</t>
  </si>
  <si>
    <t>SBI-Nabarangpur-NED-11357486231-Outgoing</t>
  </si>
  <si>
    <t>UBI-PHULBANI-PHUL-625002010010915-Outgoing</t>
  </si>
  <si>
    <t>PS-Batteries &amp; Battery Chargers-Consumption</t>
  </si>
  <si>
    <t>COGS-PS-Civil Office Building</t>
  </si>
  <si>
    <t>O&amp;M Stock Computers, Laptops Etc.-Consumption</t>
  </si>
  <si>
    <t>39(a)</t>
  </si>
  <si>
    <t>Other operating revenue</t>
  </si>
  <si>
    <t>Amortization of consumer contribution</t>
  </si>
  <si>
    <t>Sundry Debtors-Related Party Transactions (RECO)</t>
  </si>
  <si>
    <t>Payment of Grant for Obsequies-reimbursed by Govt</t>
  </si>
  <si>
    <t>Accum Depreciation- Software</t>
  </si>
  <si>
    <t>SBI-MCC-BED1-37824961512-Incoming</t>
  </si>
  <si>
    <t>Advances received for sale of stores, scrap etc.</t>
  </si>
  <si>
    <t>COGS-O&amp;M Stock Cables</t>
  </si>
  <si>
    <t>COGS-O&amp;M Stock Consumables</t>
  </si>
  <si>
    <t>COGS-O&amp;M Stock Computers, Laptops Etc.</t>
  </si>
  <si>
    <t>Surpvision Charges</t>
  </si>
  <si>
    <t>Civil Works-Roads &amp; Other constructions etc</t>
  </si>
  <si>
    <t>PS-Vehicles</t>
  </si>
  <si>
    <t>Other Non Current Tax Asset</t>
  </si>
  <si>
    <t>Advance Tax</t>
  </si>
  <si>
    <t>Residual Company Control Account-Electricity Duty</t>
  </si>
  <si>
    <t>Receipt form Consumers relatting to Previous Years</t>
  </si>
  <si>
    <t>Kotak-Bandra E, Mumbai.-HO-9945789070-Main</t>
  </si>
  <si>
    <t>UBI-Berhampur-HO-625901010050176-Incoming</t>
  </si>
  <si>
    <t>UBI-Berhampur-HO-625901010050177-Incoming</t>
  </si>
  <si>
    <t>UBI-Berhampur-HO-625901010050178-Incoming</t>
  </si>
  <si>
    <t>UBI-Berhampur-HO-625901010050179-Incoming</t>
  </si>
  <si>
    <t>Provision for liability-amount payable to REL</t>
  </si>
  <si>
    <t>Provision-Loss on obsolescence of capital assets</t>
  </si>
  <si>
    <t>Int Accrued &amp; Due on Short Term Loan- ICICI Bank</t>
  </si>
  <si>
    <t>Other Financial Liability-Current</t>
  </si>
  <si>
    <t>25(a)</t>
  </si>
  <si>
    <t>Long Term Borrowing</t>
  </si>
  <si>
    <t>Capex Loan</t>
  </si>
  <si>
    <t>O&amp;M Stock Civil Office Bldg-Consumption</t>
  </si>
  <si>
    <t>PS-Vehicles-Consumption</t>
  </si>
  <si>
    <t>Interest on Short Term Loan - ICICI Bank</t>
  </si>
  <si>
    <t>Repair of Lamps and other apparatus</t>
  </si>
  <si>
    <t>Technical Clearing Account Assets</t>
  </si>
  <si>
    <t>Zero Balancing Clearing Account FI</t>
  </si>
  <si>
    <t>Balance written back</t>
  </si>
  <si>
    <t>Income Tax Expense</t>
  </si>
  <si>
    <t>Income tax of Earlier Year</t>
  </si>
  <si>
    <t>Short Provision-Income Tax-Previous Years</t>
  </si>
  <si>
    <t>HDFC-HO-01199-In</t>
  </si>
  <si>
    <t>Short Term Deposits-ICICI Bank &gt;3Months&lt;12Months</t>
  </si>
  <si>
    <t>0ther Expenses</t>
  </si>
  <si>
    <t>Provision for Claims towards Compensation</t>
  </si>
  <si>
    <t>Provision for stock shortage</t>
  </si>
  <si>
    <t>other income</t>
  </si>
  <si>
    <t>other non operating income</t>
  </si>
  <si>
    <t>Excess on physical verification of materials</t>
  </si>
  <si>
    <t>Sundry Debtors-EC-Railway Traction-HT</t>
  </si>
  <si>
    <t>Short Term Deposits-IndusInd Bank&gt;3Months&lt;12Months</t>
  </si>
  <si>
    <t>UBI-Berhampur-HO-625901010050176-Outgoing</t>
  </si>
  <si>
    <t>Interest Accrued &amp; Due on Loan-Union Bank of India</t>
  </si>
  <si>
    <t>UBI-KAMAPALLI-HO-625901010050126-Incoming</t>
  </si>
  <si>
    <t>UBI-KAMAPALLI-HO-625901010050126-Outgoing</t>
  </si>
  <si>
    <t>UBI-ASKA-AED1-633601010050079-Outgoing</t>
  </si>
  <si>
    <t>ICIC-BOUDHGARH-BOED-368205500021-Outgoing</t>
  </si>
  <si>
    <t>ICIC-MALKANGIRI-MLKN-368905500029-Outgoing</t>
  </si>
  <si>
    <t>YES-Bapulji Nagar -HO-9381400000037-Outgoing</t>
  </si>
  <si>
    <t>UBI-Berhampur-HO-625901010050177-Outgoing</t>
  </si>
  <si>
    <t>UBI-Berhampur-HO-625901010050178-Outgoing</t>
  </si>
  <si>
    <t>UBI-Berhampur-HO-625901010050179-Outgoing</t>
  </si>
  <si>
    <t>Collection Franchisee Control Account (RECO)</t>
  </si>
  <si>
    <t>Security Deposits-AlliedAgro IndustrialActivity-HT</t>
  </si>
  <si>
    <t>ICIC-SME-HO-027005008188-Main</t>
  </si>
  <si>
    <t>ICIC-CHATRAPUR-GNED-203605500235-Outgoing</t>
  </si>
  <si>
    <t>Cash in Transit</t>
  </si>
  <si>
    <t>UBI-KAMAPALLI-HO-625901010050126-Main</t>
  </si>
  <si>
    <t>Security Deposits-General purpose-EHT</t>
  </si>
  <si>
    <t>Accumulated Depreciation- Plant &amp; Machinery (RECO)</t>
  </si>
  <si>
    <t>Accumulated Depreciation- Other Civil Works (RECO)</t>
  </si>
  <si>
    <t>Accumulated Depreciation- Office Equipments (RECO)</t>
  </si>
  <si>
    <t>Accumulated Depreciation- Softwares (RECO)</t>
  </si>
  <si>
    <t>Small &amp; Low value items written off</t>
  </si>
  <si>
    <t>Sundry Debtors-ED-Railway Traction-EHT</t>
  </si>
  <si>
    <t>Receivable from TPSSL</t>
  </si>
  <si>
    <t>O&amp;M Stock Poles-Consumption</t>
  </si>
  <si>
    <t>Bill Distribution Expenses</t>
  </si>
  <si>
    <t>Discount earned on Purchases</t>
  </si>
  <si>
    <t>Sundry Debtors-Sale of Materials &amp; Expenses (RECO)</t>
  </si>
  <si>
    <t>Claim for loss/damage-capital assets-Insurance Cos</t>
  </si>
  <si>
    <t>Govt. Electrification Works SETU-Deposit</t>
  </si>
  <si>
    <t>O&amp;M Stock Capacitors-Consumption</t>
  </si>
  <si>
    <t>Bank Transaction Tax Paid</t>
  </si>
  <si>
    <t>Rounding off Difference</t>
  </si>
  <si>
    <t>Loss from Asset Sales</t>
  </si>
  <si>
    <t>TCS u/s 206C Others</t>
  </si>
  <si>
    <t>Receivable from TPTCL</t>
  </si>
  <si>
    <t>SBI-SME-HO-40345011682-Main</t>
  </si>
  <si>
    <t>F format</t>
  </si>
  <si>
    <t xml:space="preserve">                                                         CONSOLIDATED AGEWISE ANALYSIS OF DEBTORS OUTSTANDING AS ON 31ST MARCH 2022                                                     (Rs. In Cr.)</t>
  </si>
  <si>
    <t>Billed        2021-22</t>
  </si>
  <si>
    <t>Total                   Outstanding 31.03.2022</t>
  </si>
  <si>
    <t>Year 2022-23</t>
  </si>
  <si>
    <t>DESCRIPTION OF SALARY HEAD</t>
  </si>
  <si>
    <t>7TH PAY TOWARDS HRA ARREAR</t>
  </si>
  <si>
    <t>House Rent Allowance</t>
  </si>
  <si>
    <t>Medical allowance</t>
  </si>
  <si>
    <t>Conveyance Allowance</t>
  </si>
  <si>
    <t>Education  Allow Adj</t>
  </si>
  <si>
    <t>Medical Advance reimbursement</t>
  </si>
  <si>
    <t>Travelling &amp; Conveyanace reimbursement to Employees</t>
  </si>
  <si>
    <t>TOTAL  EMPLOYEE COST ( REGULAR ERSTWHILE EMPLOYEES)</t>
  </si>
  <si>
    <t>HRA arrear</t>
  </si>
  <si>
    <t>MA arrear</t>
  </si>
  <si>
    <t xml:space="preserve">MNP </t>
  </si>
  <si>
    <t>REC</t>
  </si>
  <si>
    <t>Computer Equipments</t>
  </si>
  <si>
    <t>Trolley Mounted Pad Substations</t>
  </si>
  <si>
    <t>Augmentation of IPDS Software licenses</t>
  </si>
  <si>
    <t>OERC FORM.F-1-A</t>
  </si>
  <si>
    <t>OERC FORM.F-1-B</t>
  </si>
  <si>
    <t>Sources of Funds for Capital employed</t>
  </si>
  <si>
    <t>1- Capex approved for the Financial Year</t>
  </si>
  <si>
    <t>2- Capital assets added during the Financial Year</t>
  </si>
  <si>
    <t>3-Capital assets work in progress</t>
  </si>
  <si>
    <t>4-Total Sources of Funds</t>
  </si>
  <si>
    <t>Debt (Inr Cr)</t>
  </si>
  <si>
    <t>Equity (Inr Cr)</t>
  </si>
  <si>
    <t>Internal Accural (Inr Cr)</t>
  </si>
  <si>
    <t>Total (Inr Cr)</t>
  </si>
  <si>
    <t>OERC Form No. F. 9. (A)</t>
  </si>
  <si>
    <t>OERC Form No. F. 9. (B)</t>
  </si>
  <si>
    <t>Estimate for Current year</t>
  </si>
  <si>
    <t>Ensuring Year</t>
  </si>
  <si>
    <t>Issued to Capital Work</t>
  </si>
  <si>
    <t>Issue to  consumables/repair and maintenance</t>
  </si>
  <si>
    <t>Closing Stock (1+2-3-4-5-6)</t>
  </si>
  <si>
    <t>Old Capital</t>
  </si>
  <si>
    <t>Equity Share of Rs.10</t>
  </si>
  <si>
    <t>Issued ,subscribed and paid up capital</t>
  </si>
  <si>
    <t>Equity share of Rs.10</t>
  </si>
  <si>
    <t>Receipt during the year</t>
  </si>
  <si>
    <t>New Capital</t>
  </si>
  <si>
    <t>Previous Year FY-2021-22</t>
  </si>
  <si>
    <t>Current Year FY-2022-23</t>
  </si>
  <si>
    <t>Ensuring Year FY-2023-24</t>
  </si>
  <si>
    <t>Salaries and allowance</t>
  </si>
  <si>
    <t>Number of employees</t>
  </si>
  <si>
    <t>Others if any</t>
  </si>
  <si>
    <t>OERC Form No. F.12 (a)</t>
  </si>
  <si>
    <t>EMPLOYEES COST  (Erstwhile Utility)</t>
  </si>
  <si>
    <t>CTC</t>
  </si>
  <si>
    <t>Fixed Pay</t>
  </si>
  <si>
    <t>Variable Pay</t>
  </si>
  <si>
    <t>Total (2+3)</t>
  </si>
  <si>
    <t>Less: Employees cost Capitalised</t>
  </si>
  <si>
    <t>Net Employees Cost</t>
  </si>
  <si>
    <t>Total Net Employees Cost (Eirstwhile +Newly formed Discom)</t>
  </si>
  <si>
    <t>EMPLOYEES COST  (CTC)</t>
  </si>
  <si>
    <t>EMPLOYEES COST</t>
  </si>
  <si>
    <t>Ex-Gratia</t>
  </si>
  <si>
    <t>No. of Million Units Sold</t>
  </si>
  <si>
    <t>Share Capital Authorised</t>
  </si>
  <si>
    <t>RoE claimed on 16% on Opening and 8% on addtion</t>
  </si>
  <si>
    <t>Proposed</t>
  </si>
  <si>
    <t>LT Single phase Smart Meter</t>
  </si>
  <si>
    <t>As explained in petition</t>
  </si>
  <si>
    <t>PREVIOUS YEAR ( 2021-22)</t>
  </si>
  <si>
    <t>FIRST SIX MONTHS OF CURRENT YR ( 2022-23)</t>
  </si>
  <si>
    <t>CURRENT YEAR (PROJECTED) 2022-23</t>
  </si>
  <si>
    <t>ENSUING YEAR (PROPOSED) (2023-24)</t>
  </si>
  <si>
    <t>Arrear collection net of taxes &amp; duties</t>
  </si>
  <si>
    <t>Employees Proposed (2022-23)</t>
  </si>
  <si>
    <t>DISCOMS</t>
  </si>
  <si>
    <t>No of Employees as on 01.04.2021</t>
  </si>
  <si>
    <t>Add: Addition during 2021-22</t>
  </si>
  <si>
    <t>Less: Retirement /Expired regignation during FY-2021-22</t>
  </si>
  <si>
    <t>No. of employees as on 31.03.2022</t>
  </si>
  <si>
    <t>Add: Addition during 2022-23</t>
  </si>
  <si>
    <t>Less: Retirement /Expired regignation during FY-2022-23</t>
  </si>
  <si>
    <t>Employees proposed and approved FY 2022-23</t>
  </si>
  <si>
    <t>OERC Form No. F.12 (d)</t>
  </si>
  <si>
    <t>Employees Approved (2022-23)</t>
  </si>
  <si>
    <t>Average no. of employees for FY-2021-22</t>
  </si>
  <si>
    <t>Average no. of employees for FY-2022-23</t>
  </si>
  <si>
    <t>Cash outgo on Contractual and outsource engagement</t>
  </si>
  <si>
    <t>April-22</t>
  </si>
  <si>
    <t>May-22</t>
  </si>
  <si>
    <t>June-22</t>
  </si>
  <si>
    <t>July-22</t>
  </si>
  <si>
    <t>August-22</t>
  </si>
  <si>
    <t>September-22</t>
  </si>
  <si>
    <t>October-22</t>
  </si>
  <si>
    <t>November-22</t>
  </si>
  <si>
    <t>Pro rated for FY2022-23</t>
  </si>
  <si>
    <t>OERC Form No. F.12 (e)</t>
  </si>
  <si>
    <t>Terminal Liability Cash Outgo from April-22 to Nov-22</t>
  </si>
  <si>
    <t>Total For 8 months</t>
  </si>
  <si>
    <t>Less: 7th Pay Arrear</t>
  </si>
  <si>
    <t>Total terminal dues after 7th pay arrear taken out</t>
  </si>
  <si>
    <t>Average</t>
  </si>
  <si>
    <t>Pro-rated for FY-2022-23</t>
  </si>
  <si>
    <t>cash out go of Medical allowance ,HRA and  Basic+ GP (Information to be provided separately)</t>
  </si>
  <si>
    <t>Average per month</t>
  </si>
  <si>
    <t>OERC Form No. F.13-B</t>
  </si>
  <si>
    <t>Particulars (Out source agencies)</t>
  </si>
  <si>
    <t>Depreciation on old assets</t>
  </si>
  <si>
    <t>Utilization of depreciation on old assets</t>
  </si>
  <si>
    <t>a-Funding of Additional Servisable Liabilities</t>
  </si>
  <si>
    <t>b-Capital investment</t>
  </si>
  <si>
    <t>c- Working Capital requirement computed as per Tariff Regulation</t>
  </si>
  <si>
    <t>Utilization of Depreciation as per Vesting Order</t>
  </si>
  <si>
    <t>OERC Form No. F. 19(b)</t>
  </si>
  <si>
    <t>No of Employees as on 31.03.2023</t>
  </si>
  <si>
    <t>Month</t>
  </si>
  <si>
    <t>Leave</t>
  </si>
  <si>
    <t>Rehab</t>
  </si>
  <si>
    <t>Aug-22</t>
  </si>
  <si>
    <t>Sept-22</t>
  </si>
  <si>
    <t>Terminal</t>
  </si>
  <si>
    <t>Oct-22</t>
  </si>
  <si>
    <t>Nov-22</t>
  </si>
  <si>
    <t>PF-TP</t>
  </si>
  <si>
    <t>PF- Adm ch-TP</t>
  </si>
  <si>
    <t>PF-ER</t>
  </si>
  <si>
    <t>PF-ADM-ER</t>
  </si>
  <si>
    <t>will Provide later</t>
  </si>
  <si>
    <t>R&amp;M for FY-2023-24</t>
  </si>
  <si>
    <t>OERC Form No. F.13-a</t>
  </si>
  <si>
    <t>Proposed 2023-24</t>
  </si>
  <si>
    <t>DISCOM's GROSS Fixed Assets (GFA) as on 01.04.2023</t>
  </si>
  <si>
    <t>Rate of R&amp;M on GFA</t>
  </si>
  <si>
    <t>R&amp;M on GFA</t>
  </si>
  <si>
    <t>Govt.  (Funded/Grant) Assets as on 01.04.2023</t>
  </si>
  <si>
    <t>Rate of R&amp;M on Govt (Funded/Grant) assets</t>
  </si>
  <si>
    <t>R&amp;M on Govt funed Assets</t>
  </si>
  <si>
    <t>Total R &amp;M</t>
  </si>
  <si>
    <t>Name of the Scheme</t>
  </si>
  <si>
    <t>(Rs. in crores)</t>
  </si>
  <si>
    <t>Odisha Distribution System Strengthening Project (ODSSP)</t>
  </si>
  <si>
    <t xml:space="preserve">Deen Dayal Upadhyaya Gram Jyoti Yojana (DDUGJY)                                                                         </t>
  </si>
  <si>
    <t>Integrated Power Development Scheme (IPDS)</t>
  </si>
  <si>
    <t>Deen Dayal Upadhyaya Gram Jyoti Yojana (DDUGJY) 12TH PLAN (POWER GRID)</t>
  </si>
  <si>
    <t>Odisha Dedicated Agricultural Feeder Fishery Project  ( ODAFFP)</t>
  </si>
  <si>
    <t>Deen Dayal Upadhyaya Gram Jyoti Yojana (DDUGJY) 12TH PLAN (NTPC)</t>
  </si>
  <si>
    <t>Renovation long term action Plan (RLTAP)- executed through district Collector</t>
  </si>
  <si>
    <t>PGCIL</t>
  </si>
  <si>
    <t>Particulars (Own+ Out source agencies)</t>
  </si>
  <si>
    <t>Note: No separate breakup for (a)own &amp; (b) Outsource agencies</t>
  </si>
  <si>
    <t>FY-2020-21 (3 Months)</t>
  </si>
  <si>
    <t>Previous Year FY-21-22</t>
  </si>
  <si>
    <t>Current year FY-2022-23</t>
  </si>
  <si>
    <t>Ensuring year FY-23-24</t>
  </si>
  <si>
    <t>2- Capital assets added during the Financial Year (including previous carry forward scheme)</t>
  </si>
  <si>
    <t>ASL as per Carved Out order</t>
  </si>
  <si>
    <t>Adjustment in liabilities</t>
  </si>
  <si>
    <t>Liabilties discharged as per PARA-11,12,13,14</t>
  </si>
  <si>
    <t>Liabilties discharged as per PARA-19-7th pay commission</t>
  </si>
  <si>
    <t>Adjustment in Assets</t>
  </si>
  <si>
    <t>Sundry debtor to be restated</t>
  </si>
  <si>
    <t>Revised ASL as per TPSODL</t>
  </si>
  <si>
    <t>Movement of ASL</t>
  </si>
  <si>
    <t>Less:- Utilization from depreciation</t>
  </si>
  <si>
    <t>BoED BOUDH</t>
  </si>
  <si>
    <t>Mr. EXECUTIVE ENGINEER MEGA LIFT PROJECTS</t>
  </si>
  <si>
    <t>MEGA LIFT</t>
  </si>
  <si>
    <t>M/S PENNA CEMENT INDUSTRIES LTD</t>
  </si>
  <si>
    <t>M/S. MOTHER EARTH RESOURCES PRIVATE LIMITED</t>
  </si>
  <si>
    <t>`</t>
  </si>
  <si>
    <t>PREVIOUS YEAR FY 2021-22</t>
  </si>
  <si>
    <t>1ST SIX MONTH OF CURRENT YEAR FY 2022-23</t>
  </si>
  <si>
    <t>No. of Consumers 1st April of 2022</t>
  </si>
  <si>
    <t>Consumption/Billing figures for General Purpose Consumers for 1st six months of the current year ( Apr-22 to Sep-22)</t>
  </si>
  <si>
    <t>Consumption/Billing figures for General Purpose Consumers for the  FY 2021-22</t>
  </si>
  <si>
    <t>Consumption/Billing figures for DOMESTIC Consumers for 1st 6 months of the current year ( Apr-22 to Sept-22)</t>
  </si>
  <si>
    <t>Consumption/Billing figures for DOMESTIC Consumers for  the  FY 2021-22</t>
  </si>
  <si>
    <t>F-12 Terminal Benefits</t>
  </si>
  <si>
    <t>F-12 Basic Pay</t>
  </si>
  <si>
    <t>F-12 DA</t>
  </si>
  <si>
    <t>F-12 HRA</t>
  </si>
  <si>
    <t>During the year FY-22-23</t>
  </si>
  <si>
    <t>OERC Form No. F.19 (a)</t>
  </si>
  <si>
    <t>e</t>
  </si>
  <si>
    <t>SACI</t>
  </si>
  <si>
    <t>f</t>
  </si>
  <si>
    <t>SETU</t>
  </si>
  <si>
    <t xml:space="preserve">                                          STATEMENT OF ASSETS NOT IN USE AS ON 31-03-2022                  ( Rs. In Cr.)</t>
  </si>
  <si>
    <t xml:space="preserve"> 2022-23 ( Apr-22 to Sep-22)</t>
  </si>
  <si>
    <t xml:space="preserve"> 2021-22 ( Apr-21 to Mar-22)</t>
  </si>
  <si>
    <t>(Rs.Crore)</t>
  </si>
  <si>
    <t>23a</t>
  </si>
  <si>
    <t>Mega lift</t>
  </si>
  <si>
    <t>(Rs.Crores)</t>
  </si>
  <si>
    <t>(Rs./Unit)</t>
  </si>
  <si>
    <t>(Rs/Unit)</t>
  </si>
  <si>
    <t>12a</t>
  </si>
  <si>
    <t>Temp Supply GP &lt;110 KVA</t>
  </si>
  <si>
    <t>35a</t>
  </si>
  <si>
    <t>Large Industry-CGP</t>
  </si>
  <si>
    <t>Others, if any (Income Tax)</t>
  </si>
  <si>
    <t>Actual for Previous Year            FY 2021-22</t>
  </si>
  <si>
    <t>Current Year (FY 2022-23)</t>
  </si>
  <si>
    <t>Licensee Proposal for Ensuing Year 
( FY 2023-24)</t>
  </si>
  <si>
    <t>Licensee Proposal for Ensuing Year ( FY 2023-24)</t>
  </si>
  <si>
    <t>Collection of Past Arrear (Billed before March-20)</t>
  </si>
  <si>
    <t>84 in 7 Years</t>
  </si>
  <si>
    <t>OERC Form No. F.13-C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</si>
</sst>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(* #,##0.00_);_(* \(#,##0.00\);_(* &quot;-&quot;??_);_(@_)"/>
    <numFmt numFmtId="165" formatCode="0.000"/>
    <numFmt numFmtId="166" formatCode="0.00;[Red]0.00"/>
    <numFmt numFmtId="167" formatCode="0.0000"/>
    <numFmt numFmtId="168" formatCode="0.00000"/>
    <numFmt numFmtId="169" formatCode="0.00_);\(0.00\)"/>
    <numFmt numFmtId="170" formatCode="0.000000"/>
    <numFmt numFmtId="171" formatCode="0.0%"/>
    <numFmt numFmtId="172" formatCode="0.000%"/>
    <numFmt numFmtId="173" formatCode="_(* #,##0_);_(* \(#,##0\);_(* &quot;-&quot;??_);_(@_)"/>
    <numFmt numFmtId="174" formatCode="0.00_);[Red]\(0.00\)"/>
    <numFmt numFmtId="175" formatCode="_(* #,##0.000_);_(* \(#,##0.000\);_(* &quot;-&quot;??_);_(@_)"/>
    <numFmt numFmtId="176" formatCode="0&quot;  &quot;"/>
    <numFmt numFmtId="177" formatCode="General_)"/>
    <numFmt numFmtId="178" formatCode="d\.mmm\.yy"/>
    <numFmt numFmtId="179" formatCode="mmm\.yy"/>
    <numFmt numFmtId="180" formatCode="d\.m\.yy\ h:mm"/>
    <numFmt numFmtId="181" formatCode="0.00&quot;  &quot;"/>
    <numFmt numFmtId="182" formatCode="#,##0.000_);[Red]\(#,##0.000\)"/>
    <numFmt numFmtId="183" formatCode="&quot;Rate of return @&quot;\ 0.00%"/>
    <numFmt numFmtId="184" formatCode="0.0"/>
    <numFmt numFmtId="185" formatCode="[$-409]d\-mmm\-yy;@"/>
    <numFmt numFmtId="186" formatCode="0.0000000"/>
    <numFmt numFmtId="187" formatCode="#,##0.0_);[Red]\(#,##0.0\)"/>
    <numFmt numFmtId="188" formatCode="_-* #,##0.000_-;\-* #,##0.000_-;_-* &quot;-&quot;??_-;_-@_-"/>
    <numFmt numFmtId="189" formatCode="yyyymmdd"/>
    <numFmt numFmtId="190" formatCode="mmddyyyy"/>
    <numFmt numFmtId="191" formatCode="[$-409]mmm\-yy;@"/>
    <numFmt numFmtId="192" formatCode="0_);\(0\)"/>
    <numFmt numFmtId="193" formatCode="#,##0.000"/>
    <numFmt numFmtId="194" formatCode="0.00000000000"/>
    <numFmt numFmtId="195" formatCode="&quot;₹&quot;\ #,##0.00"/>
    <numFmt numFmtId="196" formatCode="_ * #,##0_ ;_ * \-#,##0_ ;_ * &quot;-&quot;??_ ;_ @_ "/>
    <numFmt numFmtId="197" formatCode="_(* #,##0.000000_);_(* \(#,##0.000000\);_(* &quot;-&quot;??_);_(@_)"/>
    <numFmt numFmtId="198" formatCode="_ * #,##0.0000_ ;_ * \-#,##0.0000_ ;_ * &quot;-&quot;??_ ;_ @_ "/>
    <numFmt numFmtId="199" formatCode="_ * #,##0.00000_ ;_ * \-#,##0.00000_ ;_ * &quot;-&quot;??_ ;_ @_ "/>
    <numFmt numFmtId="200" formatCode="_(* #,##0.0_);_(* \(#,##0.0\);_(* &quot;-&quot;??_);_(@_)"/>
  </numFmts>
  <fonts count="2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2"/>
      <color indexed="8"/>
      <name val="Arial"/>
      <family val="2"/>
    </font>
    <font>
      <b/>
      <sz val="12"/>
      <color indexed="8"/>
      <name val="Arial"/>
      <family val="2"/>
    </font>
    <font>
      <sz val="14"/>
      <color indexed="8"/>
      <name val="Arial"/>
      <family val="2"/>
    </font>
    <font>
      <b/>
      <u/>
      <sz val="14"/>
      <color indexed="8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u/>
      <sz val="12"/>
      <color indexed="8"/>
      <name val="Arial"/>
      <family val="2"/>
    </font>
    <font>
      <sz val="12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u/>
      <sz val="10"/>
      <name val="Arial"/>
      <family val="2"/>
    </font>
    <font>
      <u/>
      <sz val="14"/>
      <color indexed="8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4"/>
      <color indexed="8"/>
      <name val="Arial"/>
      <family val="2"/>
    </font>
    <font>
      <b/>
      <sz val="16"/>
      <name val="Arial"/>
      <family val="2"/>
    </font>
    <font>
      <b/>
      <sz val="20"/>
      <color indexed="8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b/>
      <i/>
      <sz val="10"/>
      <name val="Arial"/>
      <family val="2"/>
    </font>
    <font>
      <sz val="11"/>
      <color indexed="10"/>
      <name val="Arial"/>
      <family val="2"/>
    </font>
    <font>
      <b/>
      <u/>
      <sz val="12"/>
      <name val="Arial"/>
      <family val="2"/>
    </font>
    <font>
      <sz val="12"/>
      <color indexed="12"/>
      <name val="Arial"/>
      <family val="2"/>
    </font>
    <font>
      <sz val="12"/>
      <name val="Tms Rmn"/>
    </font>
    <font>
      <sz val="11"/>
      <name val="Univers Condensed"/>
      <family val="2"/>
    </font>
    <font>
      <sz val="9"/>
      <name val="Times New Roman"/>
      <family val="1"/>
    </font>
    <font>
      <sz val="12"/>
      <name val="Times New Roman"/>
      <family val="1"/>
    </font>
    <font>
      <sz val="10"/>
      <name val="Helv"/>
    </font>
    <font>
      <sz val="11"/>
      <name val="Book Antiqua"/>
      <family val="1"/>
    </font>
    <font>
      <sz val="10"/>
      <name val="MS Sans Serif"/>
      <family val="2"/>
    </font>
    <font>
      <sz val="7"/>
      <name val="Small Fonts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name val="Times New Roman"/>
      <family val="1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4"/>
      <name val="Times New Roman"/>
      <family val="1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u/>
      <sz val="24"/>
      <color indexed="8"/>
      <name val="Arial"/>
      <family val="2"/>
    </font>
    <font>
      <sz val="6"/>
      <name val="Arial"/>
      <family val="2"/>
    </font>
    <font>
      <sz val="10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11"/>
      <name val="Arial"/>
      <family val="2"/>
    </font>
    <font>
      <b/>
      <i/>
      <sz val="12"/>
      <name val="Arial"/>
      <family val="2"/>
    </font>
    <font>
      <b/>
      <sz val="18"/>
      <name val="Times New Roman"/>
      <family val="1"/>
    </font>
    <font>
      <b/>
      <sz val="10"/>
      <name val="Rupee Foradian"/>
      <family val="2"/>
    </font>
    <font>
      <sz val="10"/>
      <name val="Verdana"/>
      <family val="2"/>
    </font>
    <font>
      <b/>
      <sz val="12"/>
      <name val="Verdana"/>
      <family val="2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Verdana"/>
      <family val="2"/>
    </font>
    <font>
      <b/>
      <sz val="10"/>
      <name val="Verdana"/>
      <family val="2"/>
    </font>
    <font>
      <sz val="13"/>
      <name val="Ti]"/>
    </font>
    <font>
      <sz val="10"/>
      <name val="Ti]"/>
    </font>
    <font>
      <b/>
      <sz val="10"/>
      <name val="Ti]"/>
    </font>
    <font>
      <b/>
      <sz val="16"/>
      <name val="Times New Roman"/>
      <family val="1"/>
    </font>
    <font>
      <sz val="10"/>
      <name val="Rupee Foradian"/>
      <family val="2"/>
    </font>
    <font>
      <sz val="14"/>
      <name val="Rupee Foradian"/>
      <family val="2"/>
    </font>
    <font>
      <b/>
      <sz val="8"/>
      <name val="Verdana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b/>
      <u/>
      <sz val="14"/>
      <name val="Times New Roman"/>
      <family val="1"/>
    </font>
    <font>
      <sz val="10"/>
      <name val="Lucida Console"/>
      <family val="3"/>
    </font>
    <font>
      <b/>
      <sz val="10"/>
      <name val="Lucida Console"/>
      <family val="3"/>
    </font>
    <font>
      <b/>
      <u/>
      <sz val="10"/>
      <name val="Lucida Console"/>
      <family val="3"/>
    </font>
    <font>
      <b/>
      <i/>
      <sz val="11"/>
      <name val="Arial"/>
      <family val="2"/>
    </font>
    <font>
      <sz val="11"/>
      <color indexed="8"/>
      <name val="Calibri"/>
      <family val="2"/>
    </font>
    <font>
      <b/>
      <sz val="12"/>
      <color indexed="10"/>
      <name val="Verdana"/>
      <family val="2"/>
    </font>
    <font>
      <sz val="13"/>
      <color indexed="10"/>
      <name val="Times New Roman"/>
      <family val="1"/>
    </font>
    <font>
      <b/>
      <sz val="13"/>
      <color indexed="10"/>
      <name val="Times New Roman"/>
      <family val="1"/>
    </font>
    <font>
      <b/>
      <i/>
      <sz val="7"/>
      <name val="Rupee Foradian"/>
      <family val="2"/>
    </font>
    <font>
      <b/>
      <sz val="11"/>
      <name val="Rupee Foradian"/>
      <family val="2"/>
    </font>
    <font>
      <i/>
      <sz val="10"/>
      <name val="Rupee Foradian"/>
      <family val="2"/>
    </font>
    <font>
      <sz val="10"/>
      <color rgb="FFFF0000"/>
      <name val="Lucida Console"/>
      <family val="3"/>
    </font>
    <font>
      <sz val="14"/>
      <color rgb="FFFF0000"/>
      <name val="Times New Roman"/>
      <family val="1"/>
    </font>
    <font>
      <b/>
      <sz val="11"/>
      <name val="Verdana"/>
      <family val="2"/>
    </font>
    <font>
      <b/>
      <i/>
      <sz val="14"/>
      <name val="Times New Roman"/>
      <family val="1"/>
    </font>
    <font>
      <u/>
      <sz val="12"/>
      <color indexed="8"/>
      <name val="Times New Roman"/>
      <family val="1"/>
    </font>
    <font>
      <b/>
      <u/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3"/>
      <name val="Times New Roman"/>
      <family val="1"/>
    </font>
    <font>
      <b/>
      <u/>
      <sz val="12"/>
      <name val="Times New Roman"/>
      <family val="1"/>
    </font>
    <font>
      <i/>
      <sz val="12"/>
      <name val="Times New Roman"/>
      <family val="1"/>
    </font>
    <font>
      <b/>
      <i/>
      <sz val="12"/>
      <name val="Times New Roman"/>
      <family val="1"/>
    </font>
    <font>
      <b/>
      <u/>
      <sz val="12"/>
      <color indexed="10"/>
      <name val="Times New Roman"/>
      <family val="1"/>
    </font>
    <font>
      <b/>
      <sz val="12"/>
      <color indexed="10"/>
      <name val="Times New Roman"/>
      <family val="1"/>
    </font>
    <font>
      <sz val="12"/>
      <color rgb="FFFF0000"/>
      <name val="Times New Roman"/>
      <family val="1"/>
    </font>
    <font>
      <b/>
      <i/>
      <u/>
      <sz val="12"/>
      <name val="Times New Roman"/>
      <family val="1"/>
    </font>
    <font>
      <sz val="10"/>
      <color rgb="FFFF0000"/>
      <name val="Arial"/>
      <family val="2"/>
    </font>
    <font>
      <b/>
      <sz val="9.3000000000000007"/>
      <name val="Verdana"/>
      <family val="2"/>
    </font>
    <font>
      <sz val="13"/>
      <name val="Georgia"/>
      <family val="1"/>
    </font>
    <font>
      <i/>
      <sz val="11"/>
      <name val="Calibri"/>
      <family val="2"/>
      <scheme val="minor"/>
    </font>
    <font>
      <b/>
      <sz val="12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u/>
      <sz val="12"/>
      <color indexed="8"/>
      <name val="Arial"/>
      <family val="2"/>
    </font>
    <font>
      <b/>
      <u/>
      <sz val="11"/>
      <color indexed="8"/>
      <name val="Arial"/>
      <family val="2"/>
    </font>
    <font>
      <b/>
      <u/>
      <sz val="11"/>
      <name val="Arial"/>
      <family val="2"/>
    </font>
    <font>
      <sz val="11"/>
      <color indexed="8"/>
      <name val="Arial"/>
      <family val="2"/>
    </font>
    <font>
      <b/>
      <u/>
      <sz val="18"/>
      <color indexed="8"/>
      <name val="Arial"/>
      <family val="2"/>
    </font>
    <font>
      <b/>
      <sz val="13"/>
      <color indexed="8"/>
      <name val="Arial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6"/>
      <name val="Times New Roman"/>
      <family val="1"/>
    </font>
    <font>
      <sz val="12"/>
      <color theme="1"/>
      <name val="Times New Roman"/>
      <family val="1"/>
    </font>
    <font>
      <b/>
      <u/>
      <sz val="14"/>
      <color indexed="8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b/>
      <sz val="10"/>
      <color theme="1"/>
      <name val="Arial"/>
      <family val="2"/>
    </font>
    <font>
      <b/>
      <sz val="4"/>
      <name val="Times New Roman"/>
      <family val="1"/>
    </font>
    <font>
      <sz val="4"/>
      <name val="Times New Roman"/>
      <family val="1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4"/>
      <color theme="0"/>
      <name val="Times New Roman"/>
      <family val="1"/>
    </font>
    <font>
      <sz val="10"/>
      <name val="Kalinga"/>
      <family val="2"/>
    </font>
    <font>
      <b/>
      <i/>
      <sz val="12"/>
      <name val="Kalinga"/>
      <family val="2"/>
    </font>
    <font>
      <b/>
      <sz val="10"/>
      <name val="Kalinga"/>
      <family val="2"/>
    </font>
    <font>
      <i/>
      <sz val="11"/>
      <name val="Times New Roman"/>
      <family val="1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Kalinga"/>
      <family val="2"/>
    </font>
    <font>
      <sz val="11"/>
      <color theme="1"/>
      <name val="Arial"/>
      <family val="2"/>
    </font>
    <font>
      <u/>
      <sz val="7"/>
      <color theme="10"/>
      <name val="Arial"/>
      <family val="2"/>
    </font>
    <font>
      <sz val="18"/>
      <name val="Arial"/>
      <family val="2"/>
    </font>
    <font>
      <b/>
      <sz val="12"/>
      <color rgb="FF0000FF"/>
      <name val="Arial Narrow"/>
      <family val="2"/>
    </font>
    <font>
      <b/>
      <sz val="12"/>
      <color rgb="FFC00000"/>
      <name val="Arial Narrow"/>
      <family val="2"/>
    </font>
    <font>
      <b/>
      <sz val="12"/>
      <color rgb="FF000000"/>
      <name val="Arial Narrow"/>
      <family val="2"/>
    </font>
    <font>
      <b/>
      <sz val="12"/>
      <color rgb="FFFF0000"/>
      <name val="Arial Narrow"/>
      <family val="2"/>
    </font>
    <font>
      <b/>
      <sz val="10"/>
      <color rgb="FF000000"/>
      <name val="Arial"/>
      <family val="2"/>
    </font>
    <font>
      <b/>
      <sz val="14"/>
      <color rgb="FF000000"/>
      <name val="Arial Narrow"/>
      <family val="2"/>
    </font>
    <font>
      <b/>
      <sz val="14"/>
      <color rgb="FFFF0000"/>
      <name val="Arial Narrow"/>
      <family val="2"/>
    </font>
    <font>
      <sz val="18"/>
      <color rgb="FF000000"/>
      <name val="Arial"/>
      <family val="2"/>
    </font>
    <font>
      <b/>
      <sz val="14"/>
      <color rgb="FF0000FF"/>
      <name val="Arial Narrow"/>
      <family val="2"/>
    </font>
    <font>
      <b/>
      <sz val="14"/>
      <color rgb="FFC00000"/>
      <name val="Arial Narrow"/>
      <family val="2"/>
    </font>
    <font>
      <sz val="14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4"/>
      <name val="Arial"/>
      <family val="2"/>
    </font>
    <font>
      <sz val="8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name val="Times New Roman"/>
      <family val="1"/>
    </font>
    <font>
      <b/>
      <sz val="14"/>
      <color theme="0"/>
      <name val="Calibri"/>
      <family val="2"/>
      <scheme val="minor"/>
    </font>
    <font>
      <b/>
      <sz val="9"/>
      <name val="Rupee Foradian"/>
    </font>
    <font>
      <sz val="9"/>
      <name val="Rupee Foradian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</fills>
  <borders count="137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</borders>
  <cellStyleXfs count="85">
    <xf numFmtId="0" fontId="0" fillId="0" borderId="0"/>
    <xf numFmtId="0" fontId="47" fillId="0" borderId="0" applyNumberFormat="0" applyFill="0" applyBorder="0" applyAlignment="0" applyProtection="0"/>
    <xf numFmtId="179" fontId="48" fillId="0" borderId="0" applyFill="0" applyBorder="0" applyAlignment="0"/>
    <xf numFmtId="177" fontId="49" fillId="0" borderId="0" applyFill="0" applyBorder="0" applyAlignment="0"/>
    <xf numFmtId="165" fontId="49" fillId="0" borderId="0" applyFill="0" applyBorder="0" applyAlignment="0"/>
    <xf numFmtId="180" fontId="48" fillId="0" borderId="0" applyFill="0" applyBorder="0" applyAlignment="0"/>
    <xf numFmtId="176" fontId="48" fillId="0" borderId="0" applyFill="0" applyBorder="0" applyAlignment="0"/>
    <xf numFmtId="179" fontId="48" fillId="0" borderId="0" applyFill="0" applyBorder="0" applyAlignment="0"/>
    <xf numFmtId="181" fontId="48" fillId="0" borderId="0" applyFill="0" applyBorder="0" applyAlignment="0"/>
    <xf numFmtId="177" fontId="49" fillId="0" borderId="0" applyFill="0" applyBorder="0" applyAlignment="0"/>
    <xf numFmtId="164" fontId="12" fillId="0" borderId="0" applyFont="0" applyFill="0" applyBorder="0" applyAlignment="0" applyProtection="0"/>
    <xf numFmtId="0" fontId="51" fillId="0" borderId="1"/>
    <xf numFmtId="179" fontId="48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0" borderId="1"/>
    <xf numFmtId="177" fontId="49" fillId="0" borderId="0" applyFont="0" applyFill="0" applyBorder="0" applyAlignment="0" applyProtection="0"/>
    <xf numFmtId="15" fontId="52" fillId="0" borderId="0" applyFont="0" applyFill="0" applyBorder="0" applyAlignment="0"/>
    <xf numFmtId="14" fontId="41" fillId="0" borderId="0" applyFill="0" applyBorder="0" applyAlignment="0"/>
    <xf numFmtId="38" fontId="53" fillId="0" borderId="2">
      <alignment vertical="center"/>
    </xf>
    <xf numFmtId="179" fontId="48" fillId="0" borderId="0" applyFill="0" applyBorder="0" applyAlignment="0"/>
    <xf numFmtId="177" fontId="49" fillId="0" borderId="0" applyFill="0" applyBorder="0" applyAlignment="0"/>
    <xf numFmtId="179" fontId="48" fillId="0" borderId="0" applyFill="0" applyBorder="0" applyAlignment="0"/>
    <xf numFmtId="181" fontId="48" fillId="0" borderId="0" applyFill="0" applyBorder="0" applyAlignment="0"/>
    <xf numFmtId="177" fontId="49" fillId="0" borderId="0" applyFill="0" applyBorder="0" applyAlignment="0"/>
    <xf numFmtId="38" fontId="30" fillId="2" borderId="0" applyNumberFormat="0" applyBorder="0" applyAlignment="0" applyProtection="0"/>
    <xf numFmtId="0" fontId="14" fillId="0" borderId="3" applyNumberFormat="0" applyAlignment="0" applyProtection="0">
      <alignment horizontal="left" vertical="center"/>
    </xf>
    <xf numFmtId="0" fontId="14" fillId="0" borderId="4">
      <alignment horizontal="left" vertical="center"/>
    </xf>
    <xf numFmtId="10" fontId="30" fillId="3" borderId="5" applyNumberFormat="0" applyBorder="0" applyAlignment="0" applyProtection="0"/>
    <xf numFmtId="179" fontId="48" fillId="0" borderId="0" applyFill="0" applyBorder="0" applyAlignment="0"/>
    <xf numFmtId="177" fontId="49" fillId="0" borderId="0" applyFill="0" applyBorder="0" applyAlignment="0"/>
    <xf numFmtId="179" fontId="48" fillId="0" borderId="0" applyFill="0" applyBorder="0" applyAlignment="0"/>
    <xf numFmtId="181" fontId="48" fillId="0" borderId="0" applyFill="0" applyBorder="0" applyAlignment="0"/>
    <xf numFmtId="177" fontId="49" fillId="0" borderId="0" applyFill="0" applyBorder="0" applyAlignment="0"/>
    <xf numFmtId="37" fontId="54" fillId="0" borderId="0"/>
    <xf numFmtId="178" fontId="12" fillId="0" borderId="0"/>
    <xf numFmtId="0" fontId="16" fillId="0" borderId="0"/>
    <xf numFmtId="0" fontId="50" fillId="0" borderId="0"/>
    <xf numFmtId="0" fontId="24" fillId="4" borderId="0"/>
    <xf numFmtId="0" fontId="24" fillId="4" borderId="0"/>
    <xf numFmtId="0" fontId="12" fillId="0" borderId="0"/>
    <xf numFmtId="0" fontId="24" fillId="4" borderId="0"/>
    <xf numFmtId="0" fontId="25" fillId="4" borderId="0"/>
    <xf numFmtId="0" fontId="25" fillId="4" borderId="0"/>
    <xf numFmtId="9" fontId="12" fillId="0" borderId="0" applyFont="0" applyFill="0" applyBorder="0" applyAlignment="0" applyProtection="0"/>
    <xf numFmtId="176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0" fillId="0" borderId="0" applyFont="0" applyFill="0" applyBorder="0" applyAlignment="0" applyProtection="0"/>
    <xf numFmtId="187" fontId="12" fillId="0" borderId="0" applyFill="0" applyBorder="0" applyAlignment="0"/>
    <xf numFmtId="177" fontId="49" fillId="0" borderId="0" applyFill="0" applyBorder="0" applyAlignment="0"/>
    <xf numFmtId="187" fontId="12" fillId="0" borderId="0" applyFill="0" applyBorder="0" applyAlignment="0"/>
    <xf numFmtId="188" fontId="12" fillId="0" borderId="0" applyFill="0" applyBorder="0" applyAlignment="0"/>
    <xf numFmtId="177" fontId="49" fillId="0" borderId="0" applyFill="0" applyBorder="0" applyAlignment="0"/>
    <xf numFmtId="49" fontId="41" fillId="0" borderId="0" applyFill="0" applyBorder="0" applyAlignment="0"/>
    <xf numFmtId="189" fontId="12" fillId="0" borderId="0" applyFill="0" applyBorder="0" applyAlignment="0"/>
    <xf numFmtId="190" fontId="12" fillId="0" borderId="0" applyFill="0" applyBorder="0" applyAlignment="0"/>
    <xf numFmtId="0" fontId="12" fillId="0" borderId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9" fontId="9" fillId="0" borderId="0" applyFont="0" applyFill="0" applyBorder="0" applyAlignment="0" applyProtection="0"/>
    <xf numFmtId="0" fontId="24" fillId="4" borderId="0"/>
    <xf numFmtId="0" fontId="24" fillId="4" borderId="0"/>
    <xf numFmtId="9" fontId="12" fillId="0" borderId="0" applyFont="0" applyFill="0" applyBorder="0" applyAlignment="0" applyProtection="0"/>
    <xf numFmtId="0" fontId="100" fillId="0" borderId="0"/>
    <xf numFmtId="0" fontId="8" fillId="0" borderId="0"/>
    <xf numFmtId="164" fontId="8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7" fillId="0" borderId="0"/>
    <xf numFmtId="0" fontId="6" fillId="0" borderId="0"/>
    <xf numFmtId="0" fontId="170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0" fontId="12" fillId="0" borderId="0"/>
    <xf numFmtId="0" fontId="5" fillId="0" borderId="0"/>
    <xf numFmtId="164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3576">
    <xf numFmtId="0" fontId="0" fillId="0" borderId="0" xfId="0"/>
    <xf numFmtId="0" fontId="13" fillId="0" borderId="0" xfId="0" applyFont="1"/>
    <xf numFmtId="165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2" fontId="13" fillId="0" borderId="0" xfId="0" applyNumberFormat="1" applyFont="1"/>
    <xf numFmtId="0" fontId="18" fillId="0" borderId="0" xfId="0" applyFont="1"/>
    <xf numFmtId="0" fontId="13" fillId="0" borderId="0" xfId="0" applyFont="1" applyAlignment="1">
      <alignment horizontal="right"/>
    </xf>
    <xf numFmtId="0" fontId="19" fillId="0" borderId="0" xfId="0" applyFont="1"/>
    <xf numFmtId="0" fontId="20" fillId="0" borderId="0" xfId="0" applyFont="1" applyAlignment="1">
      <alignment horizontal="center"/>
    </xf>
    <xf numFmtId="0" fontId="21" fillId="0" borderId="5" xfId="0" applyFont="1" applyBorder="1" applyAlignment="1">
      <alignment horizontal="right"/>
    </xf>
    <xf numFmtId="0" fontId="21" fillId="0" borderId="5" xfId="0" applyFont="1" applyBorder="1" applyAlignment="1">
      <alignment horizontal="center"/>
    </xf>
    <xf numFmtId="0" fontId="0" fillId="0" borderId="5" xfId="0" applyBorder="1"/>
    <xf numFmtId="0" fontId="21" fillId="0" borderId="0" xfId="0" applyFont="1"/>
    <xf numFmtId="0" fontId="13" fillId="0" borderId="5" xfId="0" applyFont="1" applyBorder="1"/>
    <xf numFmtId="0" fontId="0" fillId="0" borderId="5" xfId="0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0" fillId="0" borderId="5" xfId="0" applyBorder="1" applyAlignment="1">
      <alignment horizontal="left" vertical="top" wrapText="1"/>
    </xf>
    <xf numFmtId="0" fontId="13" fillId="0" borderId="0" xfId="0" applyFont="1" applyAlignment="1">
      <alignment horizontal="center"/>
    </xf>
    <xf numFmtId="2" fontId="0" fillId="0" borderId="5" xfId="0" applyNumberFormat="1" applyBorder="1"/>
    <xf numFmtId="2" fontId="13" fillId="0" borderId="5" xfId="0" applyNumberFormat="1" applyFont="1" applyBorder="1"/>
    <xf numFmtId="0" fontId="16" fillId="0" borderId="0" xfId="0" applyFont="1"/>
    <xf numFmtId="0" fontId="13" fillId="0" borderId="0" xfId="0" applyFont="1" applyAlignment="1">
      <alignment horizontal="centerContinuous"/>
    </xf>
    <xf numFmtId="0" fontId="0" fillId="0" borderId="5" xfId="0" applyBorder="1" applyAlignment="1">
      <alignment wrapText="1"/>
    </xf>
    <xf numFmtId="0" fontId="13" fillId="0" borderId="5" xfId="0" applyFont="1" applyBorder="1" applyAlignment="1">
      <alignment horizontal="right"/>
    </xf>
    <xf numFmtId="169" fontId="0" fillId="0" borderId="5" xfId="0" applyNumberFormat="1" applyBorder="1"/>
    <xf numFmtId="2" fontId="21" fillId="0" borderId="5" xfId="0" applyNumberFormat="1" applyFon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25" fillId="0" borderId="0" xfId="0" applyFont="1"/>
    <xf numFmtId="10" fontId="0" fillId="0" borderId="0" xfId="43" applyNumberFormat="1" applyFont="1" applyFill="1"/>
    <xf numFmtId="0" fontId="14" fillId="0" borderId="5" xfId="0" applyFont="1" applyBorder="1" applyAlignment="1">
      <alignment horizontal="center"/>
    </xf>
    <xf numFmtId="2" fontId="13" fillId="0" borderId="5" xfId="0" applyNumberFormat="1" applyFont="1" applyBorder="1" applyAlignment="1">
      <alignment horizontal="center"/>
    </xf>
    <xf numFmtId="4" fontId="0" fillId="0" borderId="0" xfId="0" applyNumberFormat="1"/>
    <xf numFmtId="0" fontId="26" fillId="0" borderId="0" xfId="0" applyFont="1"/>
    <xf numFmtId="10" fontId="0" fillId="0" borderId="5" xfId="43" applyNumberFormat="1" applyFont="1" applyFill="1" applyBorder="1"/>
    <xf numFmtId="0" fontId="21" fillId="0" borderId="0" xfId="0" applyFont="1" applyAlignment="1">
      <alignment horizontal="center"/>
    </xf>
    <xf numFmtId="167" fontId="0" fillId="0" borderId="0" xfId="0" applyNumberFormat="1"/>
    <xf numFmtId="168" fontId="0" fillId="0" borderId="0" xfId="0" applyNumberFormat="1"/>
    <xf numFmtId="0" fontId="13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2" fontId="13" fillId="0" borderId="5" xfId="0" applyNumberFormat="1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right"/>
    </xf>
    <xf numFmtId="2" fontId="0" fillId="0" borderId="0" xfId="0" applyNumberFormat="1" applyAlignment="1">
      <alignment horizontal="centerContinuous"/>
    </xf>
    <xf numFmtId="0" fontId="14" fillId="0" borderId="0" xfId="0" applyFont="1"/>
    <xf numFmtId="0" fontId="0" fillId="0" borderId="0" xfId="0" applyAlignment="1">
      <alignment vertical="center"/>
    </xf>
    <xf numFmtId="2" fontId="16" fillId="0" borderId="0" xfId="0" applyNumberFormat="1" applyFont="1"/>
    <xf numFmtId="0" fontId="16" fillId="0" borderId="5" xfId="0" applyFon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2" fontId="0" fillId="0" borderId="16" xfId="0" applyNumberFormat="1" applyBorder="1"/>
    <xf numFmtId="2" fontId="0" fillId="0" borderId="17" xfId="0" applyNumberFormat="1" applyBorder="1"/>
    <xf numFmtId="0" fontId="0" fillId="0" borderId="5" xfId="0" applyBorder="1" applyAlignment="1">
      <alignment horizontal="right"/>
    </xf>
    <xf numFmtId="2" fontId="0" fillId="0" borderId="21" xfId="0" applyNumberFormat="1" applyBorder="1"/>
    <xf numFmtId="2" fontId="0" fillId="0" borderId="0" xfId="0" applyNumberFormat="1" applyAlignment="1">
      <alignment horizontal="center"/>
    </xf>
    <xf numFmtId="0" fontId="13" fillId="0" borderId="5" xfId="0" applyFont="1" applyBorder="1" applyAlignment="1">
      <alignment wrapText="1"/>
    </xf>
    <xf numFmtId="2" fontId="13" fillId="0" borderId="0" xfId="0" applyNumberFormat="1" applyFont="1" applyAlignment="1">
      <alignment horizontal="center"/>
    </xf>
    <xf numFmtId="169" fontId="13" fillId="0" borderId="5" xfId="0" applyNumberFormat="1" applyFont="1" applyBorder="1"/>
    <xf numFmtId="0" fontId="0" fillId="0" borderId="22" xfId="0" applyBorder="1"/>
    <xf numFmtId="0" fontId="21" fillId="0" borderId="22" xfId="0" applyFont="1" applyBorder="1" applyAlignment="1">
      <alignment horizontal="right"/>
    </xf>
    <xf numFmtId="2" fontId="0" fillId="0" borderId="22" xfId="0" applyNumberFormat="1" applyBorder="1"/>
    <xf numFmtId="0" fontId="21" fillId="0" borderId="0" xfId="0" applyFont="1" applyAlignment="1">
      <alignment horizontal="right"/>
    </xf>
    <xf numFmtId="0" fontId="14" fillId="0" borderId="10" xfId="0" applyFont="1" applyBorder="1" applyAlignment="1">
      <alignment vertical="top"/>
    </xf>
    <xf numFmtId="0" fontId="34" fillId="0" borderId="5" xfId="0" applyFont="1" applyBorder="1"/>
    <xf numFmtId="2" fontId="34" fillId="0" borderId="5" xfId="0" applyNumberFormat="1" applyFont="1" applyBorder="1"/>
    <xf numFmtId="0" fontId="34" fillId="0" borderId="5" xfId="0" applyFont="1" applyBorder="1" applyAlignment="1">
      <alignment horizontal="center"/>
    </xf>
    <xf numFmtId="0" fontId="36" fillId="0" borderId="5" xfId="0" applyFont="1" applyBorder="1" applyAlignment="1">
      <alignment horizontal="center"/>
    </xf>
    <xf numFmtId="0" fontId="35" fillId="0" borderId="5" xfId="0" applyFont="1" applyBorder="1" applyAlignment="1">
      <alignment horizontal="right"/>
    </xf>
    <xf numFmtId="2" fontId="36" fillId="0" borderId="5" xfId="0" applyNumberFormat="1" applyFont="1" applyBorder="1"/>
    <xf numFmtId="0" fontId="0" fillId="0" borderId="23" xfId="0" applyBorder="1"/>
    <xf numFmtId="1" fontId="0" fillId="0" borderId="5" xfId="0" applyNumberFormat="1" applyBorder="1"/>
    <xf numFmtId="0" fontId="13" fillId="0" borderId="5" xfId="0" applyFont="1" applyBorder="1" applyAlignment="1">
      <alignment horizontal="center" wrapText="1"/>
    </xf>
    <xf numFmtId="0" fontId="0" fillId="0" borderId="5" xfId="0" applyBorder="1" applyAlignment="1">
      <alignment horizontal="left"/>
    </xf>
    <xf numFmtId="0" fontId="25" fillId="0" borderId="5" xfId="0" applyFont="1" applyBorder="1"/>
    <xf numFmtId="0" fontId="13" fillId="0" borderId="23" xfId="0" applyFont="1" applyBorder="1"/>
    <xf numFmtId="0" fontId="31" fillId="0" borderId="5" xfId="0" applyFont="1" applyBorder="1"/>
    <xf numFmtId="0" fontId="0" fillId="0" borderId="28" xfId="0" applyBorder="1"/>
    <xf numFmtId="0" fontId="0" fillId="0" borderId="25" xfId="0" applyBorder="1"/>
    <xf numFmtId="2" fontId="0" fillId="0" borderId="28" xfId="0" applyNumberFormat="1" applyBorder="1"/>
    <xf numFmtId="2" fontId="0" fillId="0" borderId="25" xfId="0" applyNumberFormat="1" applyBorder="1"/>
    <xf numFmtId="2" fontId="13" fillId="0" borderId="28" xfId="0" applyNumberFormat="1" applyFont="1" applyBorder="1"/>
    <xf numFmtId="2" fontId="13" fillId="0" borderId="25" xfId="0" applyNumberFormat="1" applyFont="1" applyBorder="1"/>
    <xf numFmtId="2" fontId="0" fillId="0" borderId="0" xfId="43" applyNumberFormat="1" applyFont="1" applyFill="1"/>
    <xf numFmtId="2" fontId="25" fillId="0" borderId="5" xfId="0" applyNumberFormat="1" applyFont="1" applyBorder="1"/>
    <xf numFmtId="0" fontId="13" fillId="0" borderId="5" xfId="0" applyFont="1" applyBorder="1" applyAlignment="1">
      <alignment horizontal="center" vertical="top" wrapText="1"/>
    </xf>
    <xf numFmtId="2" fontId="17" fillId="0" borderId="0" xfId="0" applyNumberFormat="1" applyFont="1"/>
    <xf numFmtId="0" fontId="13" fillId="0" borderId="0" xfId="0" applyFont="1" applyAlignment="1">
      <alignment horizontal="left"/>
    </xf>
    <xf numFmtId="10" fontId="13" fillId="0" borderId="0" xfId="0" applyNumberFormat="1" applyFont="1" applyAlignment="1">
      <alignment horizontal="left"/>
    </xf>
    <xf numFmtId="0" fontId="17" fillId="0" borderId="0" xfId="0" applyFont="1"/>
    <xf numFmtId="2" fontId="16" fillId="0" borderId="5" xfId="0" applyNumberFormat="1" applyFont="1" applyBorder="1"/>
    <xf numFmtId="0" fontId="13" fillId="0" borderId="5" xfId="0" applyFont="1" applyBorder="1" applyAlignment="1">
      <alignment horizontal="left" wrapText="1"/>
    </xf>
    <xf numFmtId="2" fontId="19" fillId="0" borderId="0" xfId="0" applyNumberFormat="1" applyFont="1"/>
    <xf numFmtId="1" fontId="0" fillId="0" borderId="5" xfId="0" applyNumberFormat="1" applyBorder="1" applyAlignment="1">
      <alignment horizontal="center"/>
    </xf>
    <xf numFmtId="167" fontId="16" fillId="0" borderId="0" xfId="0" applyNumberFormat="1" applyFont="1"/>
    <xf numFmtId="0" fontId="16" fillId="0" borderId="5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5" fillId="0" borderId="5" xfId="0" applyFont="1" applyBorder="1"/>
    <xf numFmtId="0" fontId="15" fillId="0" borderId="0" xfId="0" applyFont="1"/>
    <xf numFmtId="0" fontId="0" fillId="0" borderId="36" xfId="0" applyBorder="1"/>
    <xf numFmtId="0" fontId="0" fillId="0" borderId="16" xfId="0" applyBorder="1"/>
    <xf numFmtId="0" fontId="0" fillId="0" borderId="37" xfId="0" applyBorder="1"/>
    <xf numFmtId="165" fontId="0" fillId="0" borderId="21" xfId="0" applyNumberFormat="1" applyBorder="1"/>
    <xf numFmtId="0" fontId="0" fillId="0" borderId="21" xfId="0" applyBorder="1"/>
    <xf numFmtId="0" fontId="0" fillId="0" borderId="38" xfId="0" applyBorder="1"/>
    <xf numFmtId="0" fontId="0" fillId="0" borderId="20" xfId="0" applyBorder="1"/>
    <xf numFmtId="0" fontId="0" fillId="0" borderId="39" xfId="0" applyBorder="1"/>
    <xf numFmtId="0" fontId="18" fillId="7" borderId="0" xfId="0" applyFont="1" applyFill="1"/>
    <xf numFmtId="0" fontId="0" fillId="7" borderId="0" xfId="0" applyFill="1"/>
    <xf numFmtId="0" fontId="13" fillId="7" borderId="0" xfId="0" applyFont="1" applyFill="1" applyAlignment="1">
      <alignment horizontal="right"/>
    </xf>
    <xf numFmtId="0" fontId="32" fillId="7" borderId="0" xfId="0" applyFont="1" applyFill="1"/>
    <xf numFmtId="0" fontId="33" fillId="7" borderId="0" xfId="0" applyFont="1" applyFill="1"/>
    <xf numFmtId="0" fontId="13" fillId="7" borderId="0" xfId="0" applyFont="1" applyFill="1"/>
    <xf numFmtId="0" fontId="13" fillId="7" borderId="5" xfId="0" applyFont="1" applyFill="1" applyBorder="1" applyAlignment="1">
      <alignment horizontal="center"/>
    </xf>
    <xf numFmtId="0" fontId="0" fillId="7" borderId="5" xfId="0" applyFill="1" applyBorder="1"/>
    <xf numFmtId="0" fontId="0" fillId="7" borderId="5" xfId="0" applyFill="1" applyBorder="1" applyAlignment="1">
      <alignment horizontal="left"/>
    </xf>
    <xf numFmtId="2" fontId="13" fillId="7" borderId="5" xfId="0" applyNumberFormat="1" applyFont="1" applyFill="1" applyBorder="1" applyAlignment="1">
      <alignment horizontal="center"/>
    </xf>
    <xf numFmtId="0" fontId="13" fillId="7" borderId="5" xfId="0" applyFont="1" applyFill="1" applyBorder="1"/>
    <xf numFmtId="0" fontId="0" fillId="7" borderId="5" xfId="0" applyFill="1" applyBorder="1" applyAlignment="1">
      <alignment horizontal="center"/>
    </xf>
    <xf numFmtId="2" fontId="0" fillId="7" borderId="5" xfId="0" applyNumberFormat="1" applyFill="1" applyBorder="1"/>
    <xf numFmtId="2" fontId="13" fillId="7" borderId="5" xfId="0" applyNumberFormat="1" applyFont="1" applyFill="1" applyBorder="1"/>
    <xf numFmtId="169" fontId="13" fillId="7" borderId="5" xfId="0" applyNumberFormat="1" applyFont="1" applyFill="1" applyBorder="1"/>
    <xf numFmtId="0" fontId="16" fillId="7" borderId="5" xfId="0" applyFont="1" applyFill="1" applyBorder="1"/>
    <xf numFmtId="169" fontId="0" fillId="7" borderId="0" xfId="0" applyNumberFormat="1" applyFill="1"/>
    <xf numFmtId="169" fontId="0" fillId="0" borderId="0" xfId="0" applyNumberFormat="1"/>
    <xf numFmtId="164" fontId="0" fillId="0" borderId="5" xfId="10" applyFont="1" applyBorder="1"/>
    <xf numFmtId="2" fontId="14" fillId="0" borderId="0" xfId="0" applyNumberFormat="1" applyFont="1"/>
    <xf numFmtId="1" fontId="0" fillId="0" borderId="0" xfId="0" applyNumberFormat="1" applyAlignment="1">
      <alignment horizontal="center"/>
    </xf>
    <xf numFmtId="0" fontId="16" fillId="0" borderId="37" xfId="0" applyFont="1" applyBorder="1" applyAlignment="1">
      <alignment horizontal="left" vertical="center" wrapText="1"/>
    </xf>
    <xf numFmtId="0" fontId="18" fillId="0" borderId="0" xfId="0" applyFont="1" applyAlignment="1">
      <alignment horizontal="left"/>
    </xf>
    <xf numFmtId="2" fontId="35" fillId="0" borderId="5" xfId="0" applyNumberFormat="1" applyFont="1" applyBorder="1" applyAlignment="1">
      <alignment horizontal="center"/>
    </xf>
    <xf numFmtId="2" fontId="34" fillId="0" borderId="5" xfId="0" applyNumberFormat="1" applyFont="1" applyBorder="1" applyAlignment="1">
      <alignment horizontal="right"/>
    </xf>
    <xf numFmtId="2" fontId="0" fillId="0" borderId="41" xfId="0" applyNumberFormat="1" applyBorder="1"/>
    <xf numFmtId="2" fontId="0" fillId="0" borderId="42" xfId="0" applyNumberFormat="1" applyBorder="1"/>
    <xf numFmtId="165" fontId="0" fillId="0" borderId="42" xfId="0" applyNumberFormat="1" applyBorder="1"/>
    <xf numFmtId="0" fontId="0" fillId="0" borderId="42" xfId="0" applyBorder="1"/>
    <xf numFmtId="0" fontId="0" fillId="0" borderId="43" xfId="0" applyBorder="1"/>
    <xf numFmtId="2" fontId="0" fillId="0" borderId="43" xfId="0" applyNumberFormat="1" applyBorder="1"/>
    <xf numFmtId="166" fontId="17" fillId="0" borderId="0" xfId="0" applyNumberFormat="1" applyFont="1"/>
    <xf numFmtId="0" fontId="0" fillId="0" borderId="0" xfId="0" applyAlignment="1">
      <alignment horizontal="left"/>
    </xf>
    <xf numFmtId="2" fontId="0" fillId="0" borderId="24" xfId="0" applyNumberFormat="1" applyBorder="1"/>
    <xf numFmtId="0" fontId="0" fillId="0" borderId="0" xfId="0" applyAlignment="1">
      <alignment horizontal="center" wrapText="1"/>
    </xf>
    <xf numFmtId="9" fontId="0" fillId="0" borderId="5" xfId="43" applyFont="1" applyFill="1" applyBorder="1"/>
    <xf numFmtId="0" fontId="21" fillId="0" borderId="40" xfId="0" applyFont="1" applyBorder="1" applyAlignment="1">
      <alignment horizontal="center"/>
    </xf>
    <xf numFmtId="0" fontId="21" fillId="0" borderId="44" xfId="0" applyFont="1" applyBorder="1" applyAlignment="1">
      <alignment horizontal="center"/>
    </xf>
    <xf numFmtId="0" fontId="21" fillId="0" borderId="45" xfId="0" applyFont="1" applyBorder="1" applyAlignment="1">
      <alignment horizontal="center"/>
    </xf>
    <xf numFmtId="9" fontId="34" fillId="0" borderId="5" xfId="43" applyFont="1" applyFill="1" applyBorder="1"/>
    <xf numFmtId="2" fontId="0" fillId="0" borderId="28" xfId="0" applyNumberFormat="1" applyBorder="1" applyAlignment="1">
      <alignment horizontal="center"/>
    </xf>
    <xf numFmtId="2" fontId="0" fillId="0" borderId="25" xfId="0" applyNumberFormat="1" applyBorder="1" applyAlignment="1">
      <alignment horizontal="center"/>
    </xf>
    <xf numFmtId="10" fontId="0" fillId="0" borderId="25" xfId="43" applyNumberFormat="1" applyFont="1" applyFill="1" applyBorder="1"/>
    <xf numFmtId="2" fontId="13" fillId="0" borderId="33" xfId="0" applyNumberFormat="1" applyFont="1" applyBorder="1"/>
    <xf numFmtId="2" fontId="13" fillId="0" borderId="34" xfId="0" applyNumberFormat="1" applyFont="1" applyBorder="1"/>
    <xf numFmtId="2" fontId="0" fillId="0" borderId="23" xfId="0" applyNumberFormat="1" applyBorder="1"/>
    <xf numFmtId="0" fontId="21" fillId="0" borderId="36" xfId="0" applyFont="1" applyBorder="1"/>
    <xf numFmtId="0" fontId="0" fillId="0" borderId="17" xfId="0" applyBorder="1"/>
    <xf numFmtId="0" fontId="21" fillId="0" borderId="46" xfId="0" applyFont="1" applyBorder="1"/>
    <xf numFmtId="0" fontId="21" fillId="0" borderId="37" xfId="0" applyFont="1" applyBorder="1" applyAlignment="1">
      <alignment horizontal="center"/>
    </xf>
    <xf numFmtId="2" fontId="21" fillId="0" borderId="25" xfId="0" applyNumberFormat="1" applyFont="1" applyBorder="1" applyAlignment="1">
      <alignment horizontal="center"/>
    </xf>
    <xf numFmtId="2" fontId="16" fillId="0" borderId="25" xfId="0" applyNumberFormat="1" applyFont="1" applyBorder="1"/>
    <xf numFmtId="0" fontId="16" fillId="0" borderId="28" xfId="0" applyFont="1" applyBorder="1"/>
    <xf numFmtId="0" fontId="13" fillId="0" borderId="32" xfId="0" applyFont="1" applyBorder="1" applyAlignment="1">
      <alignment horizontal="center"/>
    </xf>
    <xf numFmtId="0" fontId="0" fillId="0" borderId="33" xfId="0" applyBorder="1"/>
    <xf numFmtId="0" fontId="21" fillId="0" borderId="33" xfId="0" applyFont="1" applyBorder="1" applyAlignment="1">
      <alignment horizontal="right"/>
    </xf>
    <xf numFmtId="0" fontId="13" fillId="0" borderId="28" xfId="0" applyFont="1" applyBorder="1" applyAlignment="1">
      <alignment horizontal="center"/>
    </xf>
    <xf numFmtId="0" fontId="0" fillId="0" borderId="47" xfId="0" applyBorder="1"/>
    <xf numFmtId="0" fontId="0" fillId="0" borderId="28" xfId="0" applyBorder="1" applyAlignment="1">
      <alignment horizontal="center"/>
    </xf>
    <xf numFmtId="0" fontId="40" fillId="0" borderId="5" xfId="0" applyFont="1" applyBorder="1" applyAlignment="1">
      <alignment horizontal="left" vertical="top" wrapText="1"/>
    </xf>
    <xf numFmtId="0" fontId="37" fillId="0" borderId="5" xfId="0" applyFont="1" applyBorder="1"/>
    <xf numFmtId="0" fontId="37" fillId="0" borderId="5" xfId="0" applyFont="1" applyBorder="1" applyAlignment="1">
      <alignment horizontal="center"/>
    </xf>
    <xf numFmtId="0" fontId="37" fillId="0" borderId="5" xfId="0" applyFont="1" applyBorder="1" applyAlignment="1">
      <alignment horizontal="center" vertical="center"/>
    </xf>
    <xf numFmtId="0" fontId="37" fillId="0" borderId="5" xfId="0" applyFont="1" applyBorder="1" applyAlignment="1">
      <alignment vertical="center"/>
    </xf>
    <xf numFmtId="174" fontId="0" fillId="7" borderId="0" xfId="0" applyNumberFormat="1" applyFill="1"/>
    <xf numFmtId="2" fontId="13" fillId="0" borderId="28" xfId="0" applyNumberFormat="1" applyFont="1" applyBorder="1" applyAlignment="1">
      <alignment horizontal="center" vertical="center" wrapText="1"/>
    </xf>
    <xf numFmtId="2" fontId="13" fillId="0" borderId="25" xfId="0" applyNumberFormat="1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 wrapText="1"/>
    </xf>
    <xf numFmtId="1" fontId="0" fillId="0" borderId="28" xfId="0" applyNumberFormat="1" applyBorder="1" applyAlignment="1">
      <alignment horizontal="center"/>
    </xf>
    <xf numFmtId="164" fontId="0" fillId="0" borderId="5" xfId="10" applyFont="1" applyFill="1" applyBorder="1"/>
    <xf numFmtId="164" fontId="0" fillId="0" borderId="25" xfId="10" applyFont="1" applyFill="1" applyBorder="1"/>
    <xf numFmtId="169" fontId="16" fillId="0" borderId="5" xfId="0" applyNumberFormat="1" applyFont="1" applyBorder="1"/>
    <xf numFmtId="0" fontId="50" fillId="0" borderId="0" xfId="36"/>
    <xf numFmtId="0" fontId="16" fillId="0" borderId="0" xfId="36" applyFont="1" applyAlignment="1" applyProtection="1">
      <alignment wrapText="1"/>
      <protection locked="0"/>
    </xf>
    <xf numFmtId="0" fontId="16" fillId="0" borderId="0" xfId="36" applyFont="1" applyAlignment="1" applyProtection="1">
      <alignment horizontal="center" wrapText="1"/>
      <protection locked="0"/>
    </xf>
    <xf numFmtId="0" fontId="13" fillId="0" borderId="0" xfId="36" applyFont="1" applyAlignment="1" applyProtection="1">
      <alignment wrapText="1"/>
      <protection locked="0"/>
    </xf>
    <xf numFmtId="0" fontId="13" fillId="0" borderId="0" xfId="36" applyFont="1" applyAlignment="1" applyProtection="1">
      <alignment horizontal="center" wrapText="1"/>
      <protection locked="0"/>
    </xf>
    <xf numFmtId="0" fontId="16" fillId="0" borderId="0" xfId="39" applyFont="1" applyProtection="1">
      <protection locked="0"/>
    </xf>
    <xf numFmtId="0" fontId="50" fillId="8" borderId="0" xfId="36" applyFill="1"/>
    <xf numFmtId="0" fontId="13" fillId="0" borderId="0" xfId="36" applyFont="1" applyAlignment="1">
      <alignment horizontal="center"/>
    </xf>
    <xf numFmtId="0" fontId="16" fillId="0" borderId="51" xfId="39" applyFont="1" applyBorder="1" applyAlignment="1" applyProtection="1">
      <alignment vertical="center" wrapText="1"/>
      <protection locked="0"/>
    </xf>
    <xf numFmtId="0" fontId="16" fillId="0" borderId="5" xfId="39" applyFont="1" applyBorder="1" applyAlignment="1" applyProtection="1">
      <alignment vertical="center" wrapText="1"/>
      <protection locked="0"/>
    </xf>
    <xf numFmtId="0" fontId="58" fillId="8" borderId="0" xfId="36" applyFont="1" applyFill="1"/>
    <xf numFmtId="173" fontId="55" fillId="8" borderId="0" xfId="10" applyNumberFormat="1" applyFont="1" applyFill="1" applyBorder="1" applyAlignment="1">
      <alignment horizontal="centerContinuous"/>
    </xf>
    <xf numFmtId="0" fontId="58" fillId="8" borderId="0" xfId="36" applyFont="1" applyFill="1" applyAlignment="1">
      <alignment horizontal="centerContinuous"/>
    </xf>
    <xf numFmtId="0" fontId="58" fillId="0" borderId="0" xfId="36" applyFont="1"/>
    <xf numFmtId="173" fontId="55" fillId="0" borderId="0" xfId="10" applyNumberFormat="1" applyFont="1" applyFill="1" applyBorder="1" applyAlignment="1">
      <alignment horizontal="centerContinuous"/>
    </xf>
    <xf numFmtId="0" fontId="13" fillId="0" borderId="0" xfId="36" applyFont="1" applyProtection="1">
      <protection locked="0"/>
    </xf>
    <xf numFmtId="0" fontId="13" fillId="8" borderId="53" xfId="36" applyFont="1" applyFill="1" applyBorder="1" applyAlignment="1" applyProtection="1">
      <alignment wrapText="1"/>
      <protection locked="0"/>
    </xf>
    <xf numFmtId="0" fontId="55" fillId="8" borderId="53" xfId="39" applyFont="1" applyFill="1" applyBorder="1" applyAlignment="1" applyProtection="1">
      <alignment vertical="center" wrapText="1"/>
      <protection locked="0"/>
    </xf>
    <xf numFmtId="9" fontId="55" fillId="8" borderId="53" xfId="43" applyFont="1" applyFill="1" applyBorder="1" applyAlignment="1" applyProtection="1">
      <alignment horizontal="center" vertical="center" wrapText="1"/>
      <protection locked="0"/>
    </xf>
    <xf numFmtId="0" fontId="16" fillId="0" borderId="5" xfId="36" applyFont="1" applyBorder="1" applyAlignment="1" applyProtection="1">
      <alignment horizontal="center" wrapText="1"/>
      <protection locked="0"/>
    </xf>
    <xf numFmtId="2" fontId="16" fillId="9" borderId="5" xfId="36" applyNumberFormat="1" applyFont="1" applyFill="1" applyBorder="1" applyAlignment="1" applyProtection="1">
      <alignment horizontal="center" wrapText="1"/>
      <protection locked="0"/>
    </xf>
    <xf numFmtId="0" fontId="61" fillId="0" borderId="0" xfId="36" applyFont="1" applyAlignment="1" applyProtection="1">
      <alignment horizontal="left" wrapText="1"/>
      <protection locked="0"/>
    </xf>
    <xf numFmtId="183" fontId="16" fillId="0" borderId="5" xfId="36" applyNumberFormat="1" applyFont="1" applyBorder="1" applyAlignment="1" applyProtection="1">
      <alignment horizontal="center" wrapText="1"/>
      <protection locked="0"/>
    </xf>
    <xf numFmtId="9" fontId="16" fillId="9" borderId="5" xfId="36" applyNumberFormat="1" applyFont="1" applyFill="1" applyBorder="1" applyAlignment="1" applyProtection="1">
      <alignment horizontal="center" wrapText="1"/>
      <protection locked="0"/>
    </xf>
    <xf numFmtId="0" fontId="50" fillId="0" borderId="0" xfId="36" applyAlignment="1">
      <alignment wrapText="1"/>
    </xf>
    <xf numFmtId="0" fontId="16" fillId="0" borderId="5" xfId="36" applyFont="1" applyBorder="1" applyAlignment="1">
      <alignment horizontal="center" wrapText="1"/>
    </xf>
    <xf numFmtId="0" fontId="13" fillId="0" borderId="0" xfId="36" applyFont="1" applyAlignment="1" applyProtection="1">
      <alignment horizontal="center"/>
      <protection locked="0"/>
    </xf>
    <xf numFmtId="0" fontId="55" fillId="8" borderId="50" xfId="36" applyFont="1" applyFill="1" applyBorder="1" applyAlignment="1" applyProtection="1">
      <alignment horizontal="left" vertical="center" wrapText="1"/>
      <protection locked="0"/>
    </xf>
    <xf numFmtId="0" fontId="55" fillId="8" borderId="50" xfId="36" applyFont="1" applyFill="1" applyBorder="1" applyAlignment="1" applyProtection="1">
      <alignment vertical="center" wrapText="1"/>
      <protection locked="0"/>
    </xf>
    <xf numFmtId="0" fontId="55" fillId="8" borderId="50" xfId="36" applyFont="1" applyFill="1" applyBorder="1" applyAlignment="1" applyProtection="1">
      <alignment horizontal="center" vertical="center" wrapText="1"/>
      <protection locked="0"/>
    </xf>
    <xf numFmtId="0" fontId="16" fillId="0" borderId="51" xfId="36" applyFont="1" applyBorder="1" applyAlignment="1" applyProtection="1">
      <alignment horizontal="center" vertical="center" wrapText="1"/>
      <protection locked="0"/>
    </xf>
    <xf numFmtId="0" fontId="16" fillId="0" borderId="5" xfId="36" applyFont="1" applyBorder="1" applyAlignment="1" applyProtection="1">
      <alignment horizontal="center" vertical="center" wrapText="1"/>
      <protection locked="0"/>
    </xf>
    <xf numFmtId="9" fontId="16" fillId="0" borderId="5" xfId="43" applyFont="1" applyFill="1" applyBorder="1" applyAlignment="1" applyProtection="1">
      <alignment horizontal="center" vertical="center" wrapText="1"/>
      <protection locked="0"/>
    </xf>
    <xf numFmtId="0" fontId="16" fillId="0" borderId="5" xfId="36" applyFont="1" applyBorder="1" applyAlignment="1" applyProtection="1">
      <alignment vertical="center" wrapText="1"/>
      <protection locked="0"/>
    </xf>
    <xf numFmtId="9" fontId="16" fillId="0" borderId="5" xfId="39" applyNumberFormat="1" applyFont="1" applyBorder="1" applyAlignment="1" applyProtection="1">
      <alignment horizontal="center" vertical="center" wrapText="1"/>
      <protection locked="0"/>
    </xf>
    <xf numFmtId="9" fontId="16" fillId="0" borderId="5" xfId="36" applyNumberFormat="1" applyFont="1" applyBorder="1" applyAlignment="1" applyProtection="1">
      <alignment horizontal="center" vertical="center" wrapText="1"/>
      <protection locked="0"/>
    </xf>
    <xf numFmtId="0" fontId="16" fillId="0" borderId="0" xfId="36" applyFont="1" applyAlignment="1" applyProtection="1">
      <alignment horizontal="left" wrapText="1"/>
      <protection locked="0"/>
    </xf>
    <xf numFmtId="2" fontId="62" fillId="0" borderId="28" xfId="0" applyNumberFormat="1" applyFont="1" applyBorder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/>
    </xf>
    <xf numFmtId="2" fontId="34" fillId="0" borderId="0" xfId="0" applyNumberFormat="1" applyFont="1"/>
    <xf numFmtId="2" fontId="35" fillId="0" borderId="0" xfId="0" applyNumberFormat="1" applyFont="1" applyAlignment="1">
      <alignment horizontal="center"/>
    </xf>
    <xf numFmtId="2" fontId="44" fillId="0" borderId="0" xfId="0" applyNumberFormat="1" applyFont="1"/>
    <xf numFmtId="2" fontId="34" fillId="0" borderId="0" xfId="0" applyNumberFormat="1" applyFont="1" applyAlignment="1">
      <alignment horizontal="right"/>
    </xf>
    <xf numFmtId="2" fontId="36" fillId="0" borderId="0" xfId="0" applyNumberFormat="1" applyFont="1"/>
    <xf numFmtId="166" fontId="0" fillId="0" borderId="0" xfId="0" applyNumberFormat="1"/>
    <xf numFmtId="164" fontId="34" fillId="0" borderId="5" xfId="10" applyFont="1" applyFill="1" applyBorder="1"/>
    <xf numFmtId="2" fontId="62" fillId="0" borderId="0" xfId="0" applyNumberFormat="1" applyFont="1"/>
    <xf numFmtId="2" fontId="12" fillId="0" borderId="28" xfId="0" applyNumberFormat="1" applyFont="1" applyBorder="1" applyAlignment="1">
      <alignment horizontal="center"/>
    </xf>
    <xf numFmtId="164" fontId="0" fillId="0" borderId="0" xfId="10" applyFont="1" applyFill="1"/>
    <xf numFmtId="164" fontId="0" fillId="0" borderId="0" xfId="10" applyFont="1"/>
    <xf numFmtId="185" fontId="0" fillId="0" borderId="5" xfId="0" applyNumberFormat="1" applyBorder="1"/>
    <xf numFmtId="164" fontId="0" fillId="0" borderId="0" xfId="0" applyNumberFormat="1"/>
    <xf numFmtId="169" fontId="13" fillId="0" borderId="25" xfId="0" applyNumberFormat="1" applyFont="1" applyBorder="1"/>
    <xf numFmtId="164" fontId="50" fillId="0" borderId="0" xfId="10" applyFont="1"/>
    <xf numFmtId="0" fontId="58" fillId="0" borderId="0" xfId="38" applyFont="1" applyFill="1" applyAlignment="1">
      <alignment horizontal="centerContinuous"/>
    </xf>
    <xf numFmtId="0" fontId="58" fillId="0" borderId="0" xfId="38" applyFont="1" applyFill="1"/>
    <xf numFmtId="0" fontId="58" fillId="8" borderId="0" xfId="38" applyFont="1" applyFill="1" applyAlignment="1">
      <alignment horizontal="centerContinuous"/>
    </xf>
    <xf numFmtId="0" fontId="13" fillId="0" borderId="0" xfId="38" applyFont="1" applyFill="1" applyAlignment="1" applyProtection="1">
      <alignment horizontal="left"/>
      <protection locked="0"/>
    </xf>
    <xf numFmtId="0" fontId="16" fillId="0" borderId="0" xfId="38" applyFont="1" applyFill="1" applyProtection="1">
      <protection locked="0"/>
    </xf>
    <xf numFmtId="0" fontId="13" fillId="0" borderId="0" xfId="38" applyFont="1" applyFill="1" applyAlignment="1" applyProtection="1">
      <alignment horizontal="center"/>
      <protection locked="0"/>
    </xf>
    <xf numFmtId="0" fontId="16" fillId="0" borderId="0" xfId="38" applyFont="1" applyFill="1" applyAlignment="1" applyProtection="1">
      <alignment horizontal="center"/>
      <protection locked="0"/>
    </xf>
    <xf numFmtId="0" fontId="56" fillId="8" borderId="50" xfId="38" applyFont="1" applyFill="1" applyBorder="1" applyProtection="1">
      <protection locked="0"/>
    </xf>
    <xf numFmtId="0" fontId="55" fillId="8" borderId="50" xfId="38" applyFont="1" applyFill="1" applyBorder="1" applyAlignment="1" applyProtection="1">
      <alignment horizontal="left"/>
      <protection locked="0"/>
    </xf>
    <xf numFmtId="0" fontId="55" fillId="8" borderId="50" xfId="38" applyFont="1" applyFill="1" applyBorder="1" applyAlignment="1" applyProtection="1">
      <alignment horizontal="center" vertical="center" wrapText="1"/>
      <protection locked="0"/>
    </xf>
    <xf numFmtId="0" fontId="16" fillId="0" borderId="51" xfId="38" applyFont="1" applyFill="1" applyBorder="1" applyProtection="1">
      <protection locked="0"/>
    </xf>
    <xf numFmtId="0" fontId="16" fillId="0" borderId="51" xfId="38" applyFont="1" applyFill="1" applyBorder="1" applyAlignment="1" applyProtection="1">
      <alignment horizontal="left" vertical="center"/>
      <protection locked="0"/>
    </xf>
    <xf numFmtId="0" fontId="16" fillId="0" borderId="5" xfId="38" applyFont="1" applyFill="1" applyBorder="1" applyProtection="1">
      <protection locked="0"/>
    </xf>
    <xf numFmtId="0" fontId="16" fillId="0" borderId="5" xfId="38" applyFont="1" applyFill="1" applyBorder="1" applyAlignment="1" applyProtection="1">
      <alignment horizontal="left" vertical="center"/>
      <protection locked="0"/>
    </xf>
    <xf numFmtId="0" fontId="55" fillId="8" borderId="50" xfId="38" applyFont="1" applyFill="1" applyBorder="1" applyAlignment="1" applyProtection="1">
      <alignment horizontal="left" vertical="center"/>
      <protection locked="0"/>
    </xf>
    <xf numFmtId="0" fontId="24" fillId="0" borderId="0" xfId="38" applyFill="1"/>
    <xf numFmtId="0" fontId="24" fillId="4" borderId="0" xfId="38"/>
    <xf numFmtId="173" fontId="13" fillId="0" borderId="0" xfId="10" applyNumberFormat="1" applyFont="1" applyFill="1" applyBorder="1" applyAlignment="1">
      <alignment horizontal="centerContinuous"/>
    </xf>
    <xf numFmtId="0" fontId="58" fillId="0" borderId="0" xfId="37" applyFont="1" applyFill="1" applyAlignment="1">
      <alignment horizontal="centerContinuous"/>
    </xf>
    <xf numFmtId="0" fontId="58" fillId="0" borderId="0" xfId="37" applyFont="1" applyFill="1"/>
    <xf numFmtId="0" fontId="13" fillId="0" borderId="0" xfId="37" applyFont="1" applyFill="1" applyProtection="1">
      <protection locked="0"/>
    </xf>
    <xf numFmtId="9" fontId="16" fillId="0" borderId="0" xfId="43" applyFont="1" applyFill="1" applyBorder="1" applyAlignment="1" applyProtection="1">
      <alignment horizontal="center"/>
      <protection locked="0"/>
    </xf>
    <xf numFmtId="9" fontId="13" fillId="10" borderId="0" xfId="43" applyFont="1" applyFill="1" applyBorder="1" applyAlignment="1" applyProtection="1">
      <alignment horizontal="center" wrapText="1"/>
      <protection locked="0"/>
    </xf>
    <xf numFmtId="0" fontId="16" fillId="0" borderId="0" xfId="37" applyFont="1" applyFill="1" applyAlignment="1" applyProtection="1">
      <alignment horizontal="center"/>
      <protection locked="0"/>
    </xf>
    <xf numFmtId="0" fontId="16" fillId="0" borderId="0" xfId="37" applyFont="1" applyFill="1" applyAlignment="1" applyProtection="1">
      <alignment horizontal="left"/>
      <protection locked="0"/>
    </xf>
    <xf numFmtId="0" fontId="16" fillId="0" borderId="0" xfId="37" applyFont="1" applyFill="1" applyProtection="1">
      <protection locked="0"/>
    </xf>
    <xf numFmtId="0" fontId="13" fillId="0" borderId="5" xfId="37" applyFont="1" applyFill="1" applyBorder="1" applyAlignment="1" applyProtection="1">
      <alignment wrapText="1"/>
      <protection locked="0"/>
    </xf>
    <xf numFmtId="0" fontId="13" fillId="0" borderId="5" xfId="39" applyFont="1" applyBorder="1" applyAlignment="1" applyProtection="1">
      <alignment vertical="center" wrapText="1"/>
      <protection locked="0"/>
    </xf>
    <xf numFmtId="9" fontId="13" fillId="0" borderId="5" xfId="43" applyFont="1" applyFill="1" applyBorder="1" applyAlignment="1" applyProtection="1">
      <alignment horizontal="center" vertical="center" wrapText="1"/>
      <protection locked="0"/>
    </xf>
    <xf numFmtId="0" fontId="13" fillId="0" borderId="0" xfId="37" applyFont="1" applyFill="1" applyAlignment="1" applyProtection="1">
      <alignment horizontal="center" wrapText="1"/>
      <protection locked="0"/>
    </xf>
    <xf numFmtId="0" fontId="16" fillId="0" borderId="0" xfId="37" applyFont="1" applyFill="1" applyAlignment="1" applyProtection="1">
      <alignment horizontal="left" wrapText="1"/>
      <protection locked="0"/>
    </xf>
    <xf numFmtId="0" fontId="13" fillId="0" borderId="0" xfId="37" applyFont="1" applyFill="1" applyAlignment="1" applyProtection="1">
      <alignment wrapText="1"/>
      <protection locked="0"/>
    </xf>
    <xf numFmtId="0" fontId="13" fillId="0" borderId="5" xfId="37" applyFont="1" applyFill="1" applyBorder="1" applyAlignment="1" applyProtection="1">
      <alignment vertical="center" wrapText="1"/>
      <protection locked="0"/>
    </xf>
    <xf numFmtId="0" fontId="16" fillId="0" borderId="5" xfId="37" applyFont="1" applyFill="1" applyBorder="1" applyAlignment="1" applyProtection="1">
      <alignment vertical="center" wrapText="1"/>
      <protection locked="0"/>
    </xf>
    <xf numFmtId="0" fontId="16" fillId="0" borderId="5" xfId="43" applyNumberFormat="1" applyFont="1" applyFill="1" applyBorder="1" applyAlignment="1" applyProtection="1">
      <alignment horizontal="center" vertical="center" wrapText="1"/>
      <protection locked="0"/>
    </xf>
    <xf numFmtId="165" fontId="16" fillId="0" borderId="5" xfId="43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37" applyFont="1" applyFill="1" applyAlignment="1" applyProtection="1">
      <alignment horizontal="left"/>
      <protection locked="0"/>
    </xf>
    <xf numFmtId="0" fontId="16" fillId="0" borderId="0" xfId="37" applyFont="1" applyFill="1" applyAlignment="1" applyProtection="1">
      <alignment horizontal="center" wrapText="1"/>
      <protection locked="0"/>
    </xf>
    <xf numFmtId="0" fontId="16" fillId="0" borderId="0" xfId="37" applyFont="1" applyFill="1" applyAlignment="1" applyProtection="1">
      <alignment wrapText="1"/>
      <protection locked="0"/>
    </xf>
    <xf numFmtId="2" fontId="16" fillId="0" borderId="5" xfId="43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37" applyFont="1" applyFill="1" applyAlignment="1" applyProtection="1">
      <alignment horizontal="left" wrapText="1"/>
      <protection locked="0"/>
    </xf>
    <xf numFmtId="2" fontId="16" fillId="0" borderId="5" xfId="37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37" applyFont="1" applyFill="1" applyAlignment="1" applyProtection="1">
      <alignment vertical="center"/>
      <protection locked="0"/>
    </xf>
    <xf numFmtId="2" fontId="16" fillId="0" borderId="0" xfId="37" applyNumberFormat="1" applyFont="1" applyFill="1" applyAlignment="1" applyProtection="1">
      <alignment horizontal="center" vertical="center"/>
      <protection locked="0"/>
    </xf>
    <xf numFmtId="2" fontId="16" fillId="0" borderId="0" xfId="39" applyNumberFormat="1" applyFont="1" applyAlignment="1" applyProtection="1">
      <alignment horizontal="center" vertical="center"/>
      <protection locked="0"/>
    </xf>
    <xf numFmtId="0" fontId="16" fillId="0" borderId="5" xfId="37" applyFont="1" applyFill="1" applyBorder="1" applyProtection="1">
      <protection locked="0"/>
    </xf>
    <xf numFmtId="0" fontId="24" fillId="0" borderId="0" xfId="37" applyFill="1"/>
    <xf numFmtId="0" fontId="18" fillId="0" borderId="5" xfId="0" applyFont="1" applyBorder="1"/>
    <xf numFmtId="0" fontId="62" fillId="0" borderId="0" xfId="0" applyFont="1"/>
    <xf numFmtId="2" fontId="62" fillId="0" borderId="36" xfId="43" applyNumberFormat="1" applyFont="1" applyFill="1" applyBorder="1"/>
    <xf numFmtId="0" fontId="62" fillId="0" borderId="16" xfId="0" applyFont="1" applyBorder="1"/>
    <xf numFmtId="4" fontId="62" fillId="0" borderId="17" xfId="0" applyNumberFormat="1" applyFont="1" applyBorder="1"/>
    <xf numFmtId="2" fontId="62" fillId="0" borderId="37" xfId="0" applyNumberFormat="1" applyFont="1" applyBorder="1"/>
    <xf numFmtId="4" fontId="62" fillId="0" borderId="21" xfId="0" applyNumberFormat="1" applyFont="1" applyBorder="1"/>
    <xf numFmtId="167" fontId="62" fillId="0" borderId="0" xfId="0" applyNumberFormat="1" applyFont="1"/>
    <xf numFmtId="167" fontId="62" fillId="0" borderId="37" xfId="0" applyNumberFormat="1" applyFont="1" applyBorder="1"/>
    <xf numFmtId="0" fontId="62" fillId="0" borderId="21" xfId="0" applyFont="1" applyBorder="1"/>
    <xf numFmtId="2" fontId="62" fillId="0" borderId="21" xfId="0" applyNumberFormat="1" applyFont="1" applyBorder="1"/>
    <xf numFmtId="165" fontId="62" fillId="0" borderId="37" xfId="0" applyNumberFormat="1" applyFont="1" applyBorder="1"/>
    <xf numFmtId="2" fontId="62" fillId="0" borderId="38" xfId="0" applyNumberFormat="1" applyFont="1" applyBorder="1"/>
    <xf numFmtId="0" fontId="62" fillId="0" borderId="20" xfId="0" applyFont="1" applyBorder="1"/>
    <xf numFmtId="0" fontId="62" fillId="0" borderId="39" xfId="0" applyFont="1" applyBorder="1"/>
    <xf numFmtId="0" fontId="63" fillId="0" borderId="0" xfId="0" applyFont="1"/>
    <xf numFmtId="0" fontId="41" fillId="0" borderId="5" xfId="0" applyFont="1" applyBorder="1" applyAlignment="1">
      <alignment horizontal="left" vertical="top" wrapText="1"/>
    </xf>
    <xf numFmtId="0" fontId="18" fillId="0" borderId="5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41" fillId="0" borderId="5" xfId="0" applyFont="1" applyBorder="1" applyAlignment="1">
      <alignment horizontal="left" wrapText="1"/>
    </xf>
    <xf numFmtId="0" fontId="18" fillId="0" borderId="5" xfId="0" applyFont="1" applyBorder="1" applyAlignment="1">
      <alignment horizontal="left" vertical="top" wrapText="1"/>
    </xf>
    <xf numFmtId="164" fontId="0" fillId="0" borderId="5" xfId="0" applyNumberFormat="1" applyBorder="1"/>
    <xf numFmtId="2" fontId="13" fillId="0" borderId="22" xfId="0" applyNumberFormat="1" applyFont="1" applyBorder="1"/>
    <xf numFmtId="2" fontId="13" fillId="0" borderId="62" xfId="0" applyNumberFormat="1" applyFont="1" applyBorder="1"/>
    <xf numFmtId="166" fontId="13" fillId="0" borderId="5" xfId="0" applyNumberFormat="1" applyFont="1" applyBorder="1"/>
    <xf numFmtId="164" fontId="16" fillId="0" borderId="5" xfId="10" applyFont="1" applyFill="1" applyBorder="1"/>
    <xf numFmtId="164" fontId="0" fillId="0" borderId="21" xfId="10" applyFont="1" applyFill="1" applyBorder="1"/>
    <xf numFmtId="0" fontId="13" fillId="0" borderId="18" xfId="0" applyFont="1" applyBorder="1"/>
    <xf numFmtId="0" fontId="29" fillId="0" borderId="18" xfId="0" applyFont="1" applyBorder="1" applyAlignment="1">
      <alignment horizontal="center" vertical="center" wrapText="1" shrinkToFit="1"/>
    </xf>
    <xf numFmtId="165" fontId="0" fillId="0" borderId="5" xfId="0" applyNumberFormat="1" applyBorder="1"/>
    <xf numFmtId="165" fontId="13" fillId="0" borderId="5" xfId="0" applyNumberFormat="1" applyFont="1" applyBorder="1"/>
    <xf numFmtId="10" fontId="13" fillId="0" borderId="5" xfId="43" applyNumberFormat="1" applyFont="1" applyBorder="1"/>
    <xf numFmtId="164" fontId="13" fillId="0" borderId="5" xfId="10" applyFont="1" applyBorder="1"/>
    <xf numFmtId="164" fontId="16" fillId="0" borderId="5" xfId="0" applyNumberFormat="1" applyFont="1" applyBorder="1"/>
    <xf numFmtId="164" fontId="15" fillId="0" borderId="0" xfId="0" applyNumberFormat="1" applyFont="1"/>
    <xf numFmtId="164" fontId="16" fillId="0" borderId="5" xfId="10" applyFont="1" applyBorder="1"/>
    <xf numFmtId="2" fontId="44" fillId="0" borderId="0" xfId="0" applyNumberFormat="1" applyFont="1" applyAlignment="1">
      <alignment horizontal="right"/>
    </xf>
    <xf numFmtId="2" fontId="66" fillId="0" borderId="0" xfId="0" applyNumberFormat="1" applyFont="1" applyAlignment="1">
      <alignment horizontal="center"/>
    </xf>
    <xf numFmtId="164" fontId="13" fillId="0" borderId="0" xfId="10" applyFont="1" applyFill="1"/>
    <xf numFmtId="0" fontId="0" fillId="0" borderId="40" xfId="0" applyBorder="1"/>
    <xf numFmtId="0" fontId="13" fillId="0" borderId="28" xfId="0" applyFont="1" applyBorder="1"/>
    <xf numFmtId="164" fontId="13" fillId="0" borderId="5" xfId="0" applyNumberFormat="1" applyFont="1" applyBorder="1"/>
    <xf numFmtId="0" fontId="0" fillId="0" borderId="32" xfId="0" applyBorder="1"/>
    <xf numFmtId="173" fontId="0" fillId="0" borderId="5" xfId="10" applyNumberFormat="1" applyFont="1" applyBorder="1"/>
    <xf numFmtId="0" fontId="60" fillId="0" borderId="0" xfId="0" applyFont="1"/>
    <xf numFmtId="0" fontId="34" fillId="0" borderId="0" xfId="0" applyFont="1" applyAlignment="1">
      <alignment horizontal="justify"/>
    </xf>
    <xf numFmtId="0" fontId="0" fillId="0" borderId="5" xfId="0" applyBorder="1" applyAlignment="1">
      <alignment horizontal="center" wrapText="1"/>
    </xf>
    <xf numFmtId="0" fontId="13" fillId="0" borderId="32" xfId="0" applyFont="1" applyBorder="1"/>
    <xf numFmtId="0" fontId="16" fillId="0" borderId="0" xfId="42" applyFont="1" applyFill="1"/>
    <xf numFmtId="2" fontId="16" fillId="0" borderId="0" xfId="42" applyNumberFormat="1" applyFont="1" applyFill="1" applyAlignment="1">
      <alignment horizontal="center"/>
    </xf>
    <xf numFmtId="173" fontId="14" fillId="0" borderId="0" xfId="13" applyNumberFormat="1" applyFont="1" applyFill="1" applyBorder="1" applyAlignment="1">
      <alignment horizontal="centerContinuous"/>
    </xf>
    <xf numFmtId="0" fontId="16" fillId="0" borderId="0" xfId="42" applyFont="1" applyFill="1" applyAlignment="1">
      <alignment horizontal="centerContinuous"/>
    </xf>
    <xf numFmtId="2" fontId="16" fillId="0" borderId="0" xfId="42" applyNumberFormat="1" applyFont="1" applyFill="1" applyAlignment="1">
      <alignment horizontal="centerContinuous"/>
    </xf>
    <xf numFmtId="0" fontId="13" fillId="0" borderId="0" xfId="42" applyFont="1" applyFill="1"/>
    <xf numFmtId="0" fontId="16" fillId="0" borderId="5" xfId="42" applyFont="1" applyFill="1" applyBorder="1"/>
    <xf numFmtId="0" fontId="13" fillId="0" borderId="5" xfId="42" applyFont="1" applyFill="1" applyBorder="1"/>
    <xf numFmtId="2" fontId="13" fillId="0" borderId="5" xfId="42" applyNumberFormat="1" applyFont="1" applyFill="1" applyBorder="1" applyAlignment="1">
      <alignment horizontal="center"/>
    </xf>
    <xf numFmtId="0" fontId="16" fillId="0" borderId="5" xfId="42" applyFont="1" applyFill="1" applyBorder="1" applyAlignment="1">
      <alignment horizontal="center" vertical="center" wrapText="1"/>
    </xf>
    <xf numFmtId="0" fontId="13" fillId="0" borderId="5" xfId="42" applyFont="1" applyFill="1" applyBorder="1" applyAlignment="1">
      <alignment horizontal="center" vertical="center" wrapText="1"/>
    </xf>
    <xf numFmtId="2" fontId="13" fillId="0" borderId="5" xfId="42" applyNumberFormat="1" applyFont="1" applyFill="1" applyBorder="1" applyAlignment="1">
      <alignment horizontal="center" vertical="center" wrapText="1"/>
    </xf>
    <xf numFmtId="0" fontId="16" fillId="0" borderId="0" xfId="42" applyFont="1" applyFill="1" applyAlignment="1">
      <alignment vertical="center" wrapText="1"/>
    </xf>
    <xf numFmtId="0" fontId="13" fillId="0" borderId="5" xfId="42" applyFont="1" applyFill="1" applyBorder="1" applyAlignment="1">
      <alignment horizontal="center"/>
    </xf>
    <xf numFmtId="0" fontId="13" fillId="0" borderId="51" xfId="42" applyFont="1" applyFill="1" applyBorder="1" applyAlignment="1">
      <alignment horizontal="center"/>
    </xf>
    <xf numFmtId="2" fontId="13" fillId="0" borderId="51" xfId="42" applyNumberFormat="1" applyFont="1" applyFill="1" applyBorder="1" applyAlignment="1">
      <alignment horizontal="center"/>
    </xf>
    <xf numFmtId="0" fontId="16" fillId="0" borderId="5" xfId="42" applyFont="1" applyFill="1" applyBorder="1" applyAlignment="1">
      <alignment horizontal="center"/>
    </xf>
    <xf numFmtId="0" fontId="16" fillId="0" borderId="5" xfId="42" applyFont="1" applyFill="1" applyBorder="1" applyAlignment="1">
      <alignment horizontal="left"/>
    </xf>
    <xf numFmtId="2" fontId="16" fillId="0" borderId="5" xfId="42" applyNumberFormat="1" applyFont="1" applyFill="1" applyBorder="1" applyAlignment="1">
      <alignment horizontal="center"/>
    </xf>
    <xf numFmtId="0" fontId="13" fillId="0" borderId="5" xfId="41" applyFont="1" applyFill="1" applyBorder="1" applyAlignment="1" applyProtection="1">
      <alignment horizontal="center"/>
      <protection locked="0"/>
    </xf>
    <xf numFmtId="0" fontId="13" fillId="0" borderId="5" xfId="41" applyFont="1" applyFill="1" applyBorder="1" applyProtection="1">
      <protection locked="0"/>
    </xf>
    <xf numFmtId="0" fontId="16" fillId="0" borderId="0" xfId="42" applyFont="1" applyFill="1" applyAlignment="1">
      <alignment horizontal="center"/>
    </xf>
    <xf numFmtId="169" fontId="0" fillId="0" borderId="25" xfId="0" applyNumberFormat="1" applyBorder="1"/>
    <xf numFmtId="0" fontId="0" fillId="0" borderId="44" xfId="0" applyBorder="1"/>
    <xf numFmtId="0" fontId="13" fillId="0" borderId="45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21" fillId="0" borderId="28" xfId="0" applyFont="1" applyBorder="1" applyAlignment="1">
      <alignment horizontal="center"/>
    </xf>
    <xf numFmtId="0" fontId="0" fillId="0" borderId="28" xfId="0" applyBorder="1" applyAlignment="1">
      <alignment horizontal="center" vertical="top" wrapText="1"/>
    </xf>
    <xf numFmtId="0" fontId="21" fillId="0" borderId="28" xfId="0" applyFont="1" applyBorder="1" applyAlignment="1">
      <alignment horizontal="left"/>
    </xf>
    <xf numFmtId="0" fontId="20" fillId="0" borderId="28" xfId="0" applyFont="1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32" xfId="0" applyBorder="1" applyAlignment="1">
      <alignment horizontal="left"/>
    </xf>
    <xf numFmtId="2" fontId="13" fillId="0" borderId="25" xfId="0" applyNumberFormat="1" applyFont="1" applyBorder="1" applyAlignment="1">
      <alignment horizontal="center"/>
    </xf>
    <xf numFmtId="0" fontId="0" fillId="0" borderId="28" xfId="0" applyBorder="1" applyAlignment="1">
      <alignment wrapText="1"/>
    </xf>
    <xf numFmtId="0" fontId="13" fillId="7" borderId="40" xfId="0" applyFont="1" applyFill="1" applyBorder="1" applyAlignment="1">
      <alignment horizontal="center"/>
    </xf>
    <xf numFmtId="0" fontId="19" fillId="7" borderId="44" xfId="0" applyFont="1" applyFill="1" applyBorder="1" applyAlignment="1">
      <alignment horizontal="left"/>
    </xf>
    <xf numFmtId="0" fontId="0" fillId="7" borderId="44" xfId="0" applyFill="1" applyBorder="1"/>
    <xf numFmtId="0" fontId="13" fillId="7" borderId="44" xfId="0" applyFont="1" applyFill="1" applyBorder="1" applyAlignment="1">
      <alignment horizontal="center"/>
    </xf>
    <xf numFmtId="0" fontId="13" fillId="7" borderId="45" xfId="0" applyFont="1" applyFill="1" applyBorder="1" applyAlignment="1">
      <alignment horizontal="center"/>
    </xf>
    <xf numFmtId="0" fontId="0" fillId="7" borderId="28" xfId="0" applyFill="1" applyBorder="1"/>
    <xf numFmtId="2" fontId="13" fillId="7" borderId="25" xfId="0" applyNumberFormat="1" applyFont="1" applyFill="1" applyBorder="1" applyAlignment="1">
      <alignment horizontal="center"/>
    </xf>
    <xf numFmtId="0" fontId="0" fillId="7" borderId="25" xfId="0" applyFill="1" applyBorder="1"/>
    <xf numFmtId="2" fontId="0" fillId="7" borderId="25" xfId="0" applyNumberFormat="1" applyFill="1" applyBorder="1"/>
    <xf numFmtId="2" fontId="13" fillId="7" borderId="25" xfId="0" applyNumberFormat="1" applyFont="1" applyFill="1" applyBorder="1"/>
    <xf numFmtId="169" fontId="13" fillId="7" borderId="25" xfId="0" applyNumberFormat="1" applyFont="1" applyFill="1" applyBorder="1"/>
    <xf numFmtId="0" fontId="13" fillId="7" borderId="28" xfId="0" applyFont="1" applyFill="1" applyBorder="1" applyAlignment="1">
      <alignment horizontal="center"/>
    </xf>
    <xf numFmtId="0" fontId="0" fillId="7" borderId="32" xfId="0" applyFill="1" applyBorder="1"/>
    <xf numFmtId="0" fontId="0" fillId="7" borderId="33" xfId="0" applyFill="1" applyBorder="1"/>
    <xf numFmtId="0" fontId="16" fillId="7" borderId="33" xfId="0" applyFont="1" applyFill="1" applyBorder="1" applyAlignment="1">
      <alignment wrapText="1"/>
    </xf>
    <xf numFmtId="0" fontId="0" fillId="7" borderId="34" xfId="0" applyFill="1" applyBorder="1"/>
    <xf numFmtId="2" fontId="16" fillId="0" borderId="5" xfId="36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25" xfId="0" applyBorder="1" applyAlignment="1">
      <alignment horizontal="right" wrapText="1"/>
    </xf>
    <xf numFmtId="164" fontId="12" fillId="0" borderId="5" xfId="10" applyBorder="1" applyAlignment="1">
      <alignment horizontal="right"/>
    </xf>
    <xf numFmtId="0" fontId="0" fillId="0" borderId="25" xfId="0" applyBorder="1" applyAlignment="1">
      <alignment horizontal="right"/>
    </xf>
    <xf numFmtId="164" fontId="0" fillId="0" borderId="5" xfId="0" applyNumberFormat="1" applyBorder="1" applyAlignment="1">
      <alignment horizontal="right"/>
    </xf>
    <xf numFmtId="2" fontId="0" fillId="0" borderId="5" xfId="0" applyNumberFormat="1" applyBorder="1" applyAlignment="1">
      <alignment horizontal="right"/>
    </xf>
    <xf numFmtId="2" fontId="13" fillId="0" borderId="5" xfId="0" applyNumberFormat="1" applyFont="1" applyBorder="1" applyAlignment="1">
      <alignment horizontal="right"/>
    </xf>
    <xf numFmtId="164" fontId="12" fillId="0" borderId="5" xfId="10" applyBorder="1" applyAlignment="1">
      <alignment horizontal="right" wrapText="1"/>
    </xf>
    <xf numFmtId="0" fontId="0" fillId="0" borderId="34" xfId="0" applyBorder="1" applyAlignment="1">
      <alignment horizontal="right"/>
    </xf>
    <xf numFmtId="0" fontId="34" fillId="0" borderId="0" xfId="0" applyFont="1" applyAlignment="1">
      <alignment horizontal="right"/>
    </xf>
    <xf numFmtId="2" fontId="0" fillId="5" borderId="5" xfId="0" applyNumberFormat="1" applyFill="1" applyBorder="1"/>
    <xf numFmtId="2" fontId="13" fillId="5" borderId="5" xfId="0" applyNumberFormat="1" applyFont="1" applyFill="1" applyBorder="1"/>
    <xf numFmtId="164" fontId="13" fillId="0" borderId="5" xfId="10" applyFont="1" applyFill="1" applyBorder="1" applyAlignment="1">
      <alignment horizontal="right"/>
    </xf>
    <xf numFmtId="10" fontId="0" fillId="0" borderId="62" xfId="43" applyNumberFormat="1" applyFont="1" applyFill="1" applyBorder="1"/>
    <xf numFmtId="2" fontId="0" fillId="0" borderId="47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2" fontId="0" fillId="0" borderId="62" xfId="0" applyNumberFormat="1" applyBorder="1" applyAlignment="1">
      <alignment horizontal="center"/>
    </xf>
    <xf numFmtId="2" fontId="0" fillId="13" borderId="0" xfId="0" applyNumberFormat="1" applyFill="1"/>
    <xf numFmtId="2" fontId="0" fillId="13" borderId="0" xfId="0" applyNumberFormat="1" applyFill="1" applyAlignment="1">
      <alignment horizontal="center"/>
    </xf>
    <xf numFmtId="2" fontId="13" fillId="13" borderId="0" xfId="0" applyNumberFormat="1" applyFont="1" applyFill="1"/>
    <xf numFmtId="164" fontId="0" fillId="0" borderId="5" xfId="10" applyFont="1" applyBorder="1" applyAlignment="1">
      <alignment horizontal="right"/>
    </xf>
    <xf numFmtId="164" fontId="13" fillId="0" borderId="5" xfId="10" applyFont="1" applyBorder="1" applyAlignment="1">
      <alignment horizontal="right"/>
    </xf>
    <xf numFmtId="164" fontId="13" fillId="0" borderId="33" xfId="10" applyFont="1" applyFill="1" applyBorder="1"/>
    <xf numFmtId="2" fontId="0" fillId="5" borderId="0" xfId="0" applyNumberFormat="1" applyFill="1"/>
    <xf numFmtId="0" fontId="13" fillId="0" borderId="0" xfId="0" applyFont="1" applyAlignment="1">
      <alignment wrapText="1"/>
    </xf>
    <xf numFmtId="10" fontId="0" fillId="0" borderId="0" xfId="43" applyNumberFormat="1" applyFont="1"/>
    <xf numFmtId="164" fontId="0" fillId="0" borderId="0" xfId="10" applyFont="1" applyAlignment="1">
      <alignment horizontal="center"/>
    </xf>
    <xf numFmtId="164" fontId="13" fillId="0" borderId="0" xfId="10" applyFont="1"/>
    <xf numFmtId="165" fontId="16" fillId="0" borderId="5" xfId="0" applyNumberFormat="1" applyFont="1" applyBorder="1" applyAlignment="1">
      <alignment horizontal="right"/>
    </xf>
    <xf numFmtId="2" fontId="16" fillId="0" borderId="5" xfId="0" applyNumberFormat="1" applyFont="1" applyBorder="1" applyAlignment="1">
      <alignment horizontal="right"/>
    </xf>
    <xf numFmtId="10" fontId="16" fillId="0" borderId="5" xfId="0" applyNumberFormat="1" applyFont="1" applyBorder="1" applyAlignment="1">
      <alignment horizontal="right"/>
    </xf>
    <xf numFmtId="0" fontId="16" fillId="0" borderId="52" xfId="0" applyFont="1" applyBorder="1"/>
    <xf numFmtId="165" fontId="16" fillId="0" borderId="5" xfId="10" applyNumberFormat="1" applyFont="1" applyFill="1" applyBorder="1" applyAlignment="1">
      <alignment horizontal="right"/>
    </xf>
    <xf numFmtId="10" fontId="0" fillId="0" borderId="5" xfId="43" applyNumberFormat="1" applyFont="1" applyBorder="1"/>
    <xf numFmtId="10" fontId="16" fillId="0" borderId="24" xfId="0" applyNumberFormat="1" applyFont="1" applyBorder="1" applyAlignment="1">
      <alignment horizontal="right"/>
    </xf>
    <xf numFmtId="10" fontId="16" fillId="0" borderId="4" xfId="0" applyNumberFormat="1" applyFont="1" applyBorder="1" applyAlignment="1">
      <alignment horizontal="right"/>
    </xf>
    <xf numFmtId="10" fontId="16" fillId="0" borderId="23" xfId="0" applyNumberFormat="1" applyFont="1" applyBorder="1" applyAlignment="1">
      <alignment horizontal="right"/>
    </xf>
    <xf numFmtId="2" fontId="16" fillId="5" borderId="0" xfId="0" applyNumberFormat="1" applyFont="1" applyFill="1"/>
    <xf numFmtId="2" fontId="68" fillId="0" borderId="0" xfId="0" applyNumberFormat="1" applyFont="1"/>
    <xf numFmtId="0" fontId="13" fillId="0" borderId="5" xfId="0" applyFont="1" applyBorder="1" applyAlignment="1">
      <alignment horizontal="left"/>
    </xf>
    <xf numFmtId="0" fontId="0" fillId="0" borderId="44" xfId="0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0" fillId="13" borderId="5" xfId="0" applyFill="1" applyBorder="1"/>
    <xf numFmtId="0" fontId="13" fillId="13" borderId="5" xfId="0" applyFont="1" applyFill="1" applyBorder="1"/>
    <xf numFmtId="2" fontId="16" fillId="0" borderId="5" xfId="42" applyNumberFormat="1" applyFont="1" applyFill="1" applyBorder="1"/>
    <xf numFmtId="0" fontId="13" fillId="0" borderId="5" xfId="42" applyFont="1" applyFill="1" applyBorder="1" applyAlignment="1">
      <alignment horizontal="right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vertical="center"/>
    </xf>
    <xf numFmtId="0" fontId="70" fillId="0" borderId="0" xfId="0" applyFont="1" applyAlignment="1">
      <alignment vertical="center" wrapText="1"/>
    </xf>
    <xf numFmtId="0" fontId="69" fillId="0" borderId="0" xfId="0" applyFont="1" applyAlignment="1">
      <alignment horizontal="left" vertical="center" wrapText="1"/>
    </xf>
    <xf numFmtId="1" fontId="69" fillId="0" borderId="0" xfId="0" applyNumberFormat="1" applyFont="1" applyAlignment="1">
      <alignment horizontal="center" vertical="center"/>
    </xf>
    <xf numFmtId="2" fontId="69" fillId="0" borderId="0" xfId="0" applyNumberFormat="1" applyFont="1" applyAlignment="1">
      <alignment horizontal="center" vertical="center"/>
    </xf>
    <xf numFmtId="0" fontId="69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left" vertical="center" wrapText="1"/>
    </xf>
    <xf numFmtId="1" fontId="34" fillId="0" borderId="0" xfId="0" applyNumberFormat="1" applyFont="1" applyAlignment="1">
      <alignment horizontal="center" vertical="center"/>
    </xf>
    <xf numFmtId="2" fontId="34" fillId="0" borderId="0" xfId="0" applyNumberFormat="1" applyFont="1" applyAlignment="1">
      <alignment horizontal="center" vertical="center"/>
    </xf>
    <xf numFmtId="0" fontId="36" fillId="0" borderId="5" xfId="0" applyFont="1" applyBorder="1" applyAlignment="1">
      <alignment horizontal="center" vertical="center" wrapText="1"/>
    </xf>
    <xf numFmtId="1" fontId="36" fillId="0" borderId="5" xfId="0" applyNumberFormat="1" applyFont="1" applyBorder="1" applyAlignment="1">
      <alignment horizontal="center" vertical="center" wrapText="1"/>
    </xf>
    <xf numFmtId="1" fontId="36" fillId="0" borderId="5" xfId="0" applyNumberFormat="1" applyFont="1" applyBorder="1" applyAlignment="1">
      <alignment horizontal="left" vertical="center" wrapText="1"/>
    </xf>
    <xf numFmtId="2" fontId="36" fillId="0" borderId="5" xfId="0" applyNumberFormat="1" applyFont="1" applyBorder="1" applyAlignment="1">
      <alignment horizontal="center" vertical="center" wrapText="1"/>
    </xf>
    <xf numFmtId="1" fontId="71" fillId="0" borderId="0" xfId="0" applyNumberFormat="1" applyFont="1" applyAlignment="1">
      <alignment horizontal="center" vertical="center" wrapText="1"/>
    </xf>
    <xf numFmtId="2" fontId="71" fillId="0" borderId="0" xfId="0" applyNumberFormat="1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164" fontId="34" fillId="0" borderId="5" xfId="10" applyFont="1" applyBorder="1" applyAlignment="1">
      <alignment vertical="center"/>
    </xf>
    <xf numFmtId="1" fontId="34" fillId="0" borderId="5" xfId="0" applyNumberFormat="1" applyFont="1" applyBorder="1" applyAlignment="1">
      <alignment horizontal="center" vertical="center"/>
    </xf>
    <xf numFmtId="2" fontId="34" fillId="0" borderId="5" xfId="0" applyNumberFormat="1" applyFont="1" applyBorder="1" applyAlignment="1">
      <alignment horizontal="center" vertical="center"/>
    </xf>
    <xf numFmtId="173" fontId="34" fillId="0" borderId="5" xfId="10" applyNumberFormat="1" applyFont="1" applyBorder="1" applyAlignment="1">
      <alignment horizontal="center" vertical="center"/>
    </xf>
    <xf numFmtId="49" fontId="34" fillId="0" borderId="5" xfId="0" applyNumberFormat="1" applyFont="1" applyBorder="1" applyAlignment="1">
      <alignment horizontal="center" vertical="center"/>
    </xf>
    <xf numFmtId="165" fontId="34" fillId="0" borderId="5" xfId="0" applyNumberFormat="1" applyFont="1" applyBorder="1" applyAlignment="1">
      <alignment horizontal="center" vertical="center" wrapText="1"/>
    </xf>
    <xf numFmtId="175" fontId="34" fillId="0" borderId="5" xfId="10" applyNumberFormat="1" applyFont="1" applyBorder="1" applyAlignment="1">
      <alignment horizontal="center" vertical="center"/>
    </xf>
    <xf numFmtId="164" fontId="34" fillId="0" borderId="5" xfId="10" applyFont="1" applyBorder="1" applyAlignment="1">
      <alignment horizontal="center" vertical="center"/>
    </xf>
    <xf numFmtId="2" fontId="34" fillId="0" borderId="5" xfId="0" applyNumberFormat="1" applyFont="1" applyBorder="1" applyAlignment="1">
      <alignment horizontal="center" vertical="center" wrapText="1"/>
    </xf>
    <xf numFmtId="1" fontId="34" fillId="0" borderId="5" xfId="0" applyNumberFormat="1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/>
    </xf>
    <xf numFmtId="0" fontId="34" fillId="0" borderId="5" xfId="0" applyFont="1" applyBorder="1" applyAlignment="1">
      <alignment vertical="center"/>
    </xf>
    <xf numFmtId="2" fontId="34" fillId="0" borderId="5" xfId="0" applyNumberFormat="1" applyFont="1" applyBorder="1" applyAlignment="1">
      <alignment vertical="center" wrapText="1"/>
    </xf>
    <xf numFmtId="175" fontId="34" fillId="0" borderId="5" xfId="0" applyNumberFormat="1" applyFont="1" applyBorder="1" applyAlignment="1">
      <alignment horizontal="center" vertical="center" wrapText="1"/>
    </xf>
    <xf numFmtId="9" fontId="34" fillId="0" borderId="5" xfId="43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6" fillId="0" borderId="5" xfId="0" applyFont="1" applyBorder="1" applyAlignment="1">
      <alignment vertical="center"/>
    </xf>
    <xf numFmtId="1" fontId="36" fillId="0" borderId="5" xfId="0" applyNumberFormat="1" applyFont="1" applyBorder="1" applyAlignment="1">
      <alignment horizontal="center" vertical="center"/>
    </xf>
    <xf numFmtId="2" fontId="36" fillId="0" borderId="5" xfId="0" applyNumberFormat="1" applyFont="1" applyBorder="1" applyAlignment="1">
      <alignment horizontal="center" vertical="center"/>
    </xf>
    <xf numFmtId="49" fontId="36" fillId="0" borderId="5" xfId="0" applyNumberFormat="1" applyFont="1" applyBorder="1" applyAlignment="1">
      <alignment horizontal="center" vertical="center"/>
    </xf>
    <xf numFmtId="165" fontId="36" fillId="0" borderId="5" xfId="0" applyNumberFormat="1" applyFont="1" applyBorder="1" applyAlignment="1">
      <alignment horizontal="center" vertical="center" wrapText="1"/>
    </xf>
    <xf numFmtId="0" fontId="71" fillId="0" borderId="0" xfId="0" applyFont="1" applyAlignment="1">
      <alignment vertical="center"/>
    </xf>
    <xf numFmtId="1" fontId="34" fillId="0" borderId="5" xfId="0" applyNumberFormat="1" applyFont="1" applyBorder="1" applyAlignment="1">
      <alignment horizontal="left" vertical="center" wrapText="1"/>
    </xf>
    <xf numFmtId="17" fontId="34" fillId="0" borderId="5" xfId="0" applyNumberFormat="1" applyFont="1" applyBorder="1" applyAlignment="1">
      <alignment horizontal="center" vertical="center"/>
    </xf>
    <xf numFmtId="0" fontId="36" fillId="0" borderId="5" xfId="0" applyFont="1" applyBorder="1" applyAlignment="1">
      <alignment horizontal="left" vertical="center" wrapText="1"/>
    </xf>
    <xf numFmtId="0" fontId="36" fillId="0" borderId="5" xfId="0" applyFont="1" applyBorder="1" applyAlignment="1">
      <alignment vertical="center" wrapText="1"/>
    </xf>
    <xf numFmtId="0" fontId="34" fillId="0" borderId="5" xfId="0" applyFont="1" applyBorder="1" applyAlignment="1">
      <alignment vertical="center" wrapText="1"/>
    </xf>
    <xf numFmtId="0" fontId="34" fillId="0" borderId="5" xfId="0" applyFont="1" applyBorder="1" applyAlignment="1">
      <alignment horizontal="left" vertical="center" wrapText="1"/>
    </xf>
    <xf numFmtId="0" fontId="36" fillId="0" borderId="5" xfId="0" applyFont="1" applyBorder="1"/>
    <xf numFmtId="0" fontId="69" fillId="0" borderId="0" xfId="0" applyFont="1"/>
    <xf numFmtId="0" fontId="72" fillId="0" borderId="0" xfId="0" applyFont="1" applyAlignment="1">
      <alignment vertical="center" wrapText="1"/>
    </xf>
    <xf numFmtId="0" fontId="0" fillId="0" borderId="44" xfId="0" applyBorder="1" applyAlignment="1">
      <alignment wrapText="1"/>
    </xf>
    <xf numFmtId="164" fontId="0" fillId="0" borderId="5" xfId="10" applyFont="1" applyFill="1" applyBorder="1" applyAlignment="1">
      <alignment horizontal="right"/>
    </xf>
    <xf numFmtId="2" fontId="0" fillId="0" borderId="0" xfId="0" applyNumberFormat="1" applyAlignment="1">
      <alignment wrapText="1"/>
    </xf>
    <xf numFmtId="1" fontId="13" fillId="0" borderId="28" xfId="0" applyNumberFormat="1" applyFont="1" applyBorder="1" applyAlignment="1">
      <alignment horizontal="center"/>
    </xf>
    <xf numFmtId="1" fontId="13" fillId="0" borderId="5" xfId="0" applyNumberFormat="1" applyFont="1" applyBorder="1" applyAlignment="1">
      <alignment horizontal="center"/>
    </xf>
    <xf numFmtId="2" fontId="13" fillId="0" borderId="24" xfId="0" applyNumberFormat="1" applyFont="1" applyBorder="1"/>
    <xf numFmtId="0" fontId="0" fillId="13" borderId="0" xfId="0" applyFill="1"/>
    <xf numFmtId="0" fontId="13" fillId="13" borderId="5" xfId="0" applyFont="1" applyFill="1" applyBorder="1" applyAlignment="1">
      <alignment horizontal="right"/>
    </xf>
    <xf numFmtId="0" fontId="13" fillId="15" borderId="5" xfId="0" applyFont="1" applyFill="1" applyBorder="1"/>
    <xf numFmtId="0" fontId="13" fillId="15" borderId="5" xfId="0" applyFont="1" applyFill="1" applyBorder="1" applyAlignment="1">
      <alignment horizontal="right"/>
    </xf>
    <xf numFmtId="0" fontId="0" fillId="0" borderId="0" xfId="0" applyAlignment="1">
      <alignment horizontal="left" vertical="top" wrapText="1"/>
    </xf>
    <xf numFmtId="2" fontId="0" fillId="0" borderId="0" xfId="0" applyNumberFormat="1" applyAlignment="1">
      <alignment horizontal="right"/>
    </xf>
    <xf numFmtId="0" fontId="13" fillId="0" borderId="33" xfId="0" applyFont="1" applyBorder="1" applyAlignment="1">
      <alignment horizontal="left" wrapText="1"/>
    </xf>
    <xf numFmtId="0" fontId="29" fillId="5" borderId="18" xfId="0" applyFont="1" applyFill="1" applyBorder="1" applyAlignment="1">
      <alignment horizontal="center" vertical="center" wrapText="1" shrinkToFit="1"/>
    </xf>
    <xf numFmtId="165" fontId="36" fillId="0" borderId="5" xfId="0" applyNumberFormat="1" applyFont="1" applyBorder="1" applyAlignment="1">
      <alignment horizontal="center" vertical="center"/>
    </xf>
    <xf numFmtId="165" fontId="34" fillId="0" borderId="5" xfId="0" applyNumberFormat="1" applyFont="1" applyBorder="1" applyAlignment="1">
      <alignment horizontal="center" vertical="center"/>
    </xf>
    <xf numFmtId="10" fontId="0" fillId="0" borderId="0" xfId="0" applyNumberFormat="1"/>
    <xf numFmtId="164" fontId="0" fillId="0" borderId="0" xfId="0" applyNumberFormat="1" applyAlignment="1">
      <alignment horizontal="right"/>
    </xf>
    <xf numFmtId="1" fontId="13" fillId="0" borderId="5" xfId="0" applyNumberFormat="1" applyFont="1" applyBorder="1"/>
    <xf numFmtId="164" fontId="13" fillId="0" borderId="0" xfId="0" applyNumberFormat="1" applyFont="1"/>
    <xf numFmtId="164" fontId="25" fillId="0" borderId="5" xfId="0" applyNumberFormat="1" applyFont="1" applyBorder="1"/>
    <xf numFmtId="165" fontId="13" fillId="0" borderId="0" xfId="0" applyNumberFormat="1" applyFont="1"/>
    <xf numFmtId="2" fontId="13" fillId="0" borderId="32" xfId="0" applyNumberFormat="1" applyFont="1" applyBorder="1" applyAlignment="1">
      <alignment horizontal="center"/>
    </xf>
    <xf numFmtId="164" fontId="0" fillId="5" borderId="5" xfId="10" applyFont="1" applyFill="1" applyBorder="1"/>
    <xf numFmtId="164" fontId="0" fillId="5" borderId="5" xfId="0" applyNumberFormat="1" applyFill="1" applyBorder="1"/>
    <xf numFmtId="164" fontId="13" fillId="5" borderId="33" xfId="10" applyFont="1" applyFill="1" applyBorder="1" applyAlignment="1">
      <alignment horizontal="right"/>
    </xf>
    <xf numFmtId="0" fontId="25" fillId="0" borderId="5" xfId="0" applyFont="1" applyBorder="1" applyAlignment="1">
      <alignment horizontal="center"/>
    </xf>
    <xf numFmtId="164" fontId="0" fillId="0" borderId="5" xfId="0" applyNumberFormat="1" applyBorder="1" applyAlignment="1">
      <alignment horizontal="right" vertical="center"/>
    </xf>
    <xf numFmtId="0" fontId="0" fillId="0" borderId="23" xfId="0" applyBorder="1" applyAlignment="1">
      <alignment wrapText="1"/>
    </xf>
    <xf numFmtId="39" fontId="0" fillId="0" borderId="5" xfId="0" applyNumberFormat="1" applyBorder="1"/>
    <xf numFmtId="10" fontId="16" fillId="0" borderId="51" xfId="43" applyNumberFormat="1" applyFont="1" applyFill="1" applyBorder="1" applyAlignment="1" applyProtection="1">
      <alignment horizontal="center" vertical="center"/>
      <protection locked="0"/>
    </xf>
    <xf numFmtId="10" fontId="16" fillId="0" borderId="5" xfId="43" applyNumberFormat="1" applyFont="1" applyFill="1" applyBorder="1" applyAlignment="1" applyProtection="1">
      <alignment horizontal="center" vertical="center"/>
      <protection locked="0"/>
    </xf>
    <xf numFmtId="165" fontId="25" fillId="0" borderId="5" xfId="0" applyNumberFormat="1" applyFont="1" applyBorder="1"/>
    <xf numFmtId="10" fontId="25" fillId="0" borderId="5" xfId="43" applyNumberFormat="1" applyFont="1" applyBorder="1"/>
    <xf numFmtId="175" fontId="25" fillId="0" borderId="5" xfId="0" applyNumberFormat="1" applyFont="1" applyBorder="1"/>
    <xf numFmtId="0" fontId="25" fillId="0" borderId="5" xfId="0" applyFont="1" applyBorder="1" applyAlignment="1">
      <alignment horizontal="center" wrapText="1"/>
    </xf>
    <xf numFmtId="169" fontId="0" fillId="7" borderId="5" xfId="0" applyNumberFormat="1" applyFill="1" applyBorder="1"/>
    <xf numFmtId="169" fontId="0" fillId="7" borderId="25" xfId="0" applyNumberFormat="1" applyFill="1" applyBorder="1"/>
    <xf numFmtId="0" fontId="13" fillId="7" borderId="5" xfId="0" applyFont="1" applyFill="1" applyBorder="1" applyAlignment="1">
      <alignment wrapText="1"/>
    </xf>
    <xf numFmtId="2" fontId="0" fillId="17" borderId="0" xfId="0" applyNumberFormat="1" applyFill="1"/>
    <xf numFmtId="10" fontId="13" fillId="0" borderId="5" xfId="47" applyNumberFormat="1" applyFont="1" applyBorder="1"/>
    <xf numFmtId="164" fontId="0" fillId="0" borderId="5" xfId="13" applyFont="1" applyBorder="1"/>
    <xf numFmtId="164" fontId="13" fillId="0" borderId="5" xfId="13" applyFont="1" applyBorder="1"/>
    <xf numFmtId="165" fontId="16" fillId="0" borderId="0" xfId="0" applyNumberFormat="1" applyFont="1" applyAlignment="1">
      <alignment horizontal="right"/>
    </xf>
    <xf numFmtId="2" fontId="12" fillId="13" borderId="0" xfId="0" applyNumberFormat="1" applyFont="1" applyFill="1" applyAlignment="1">
      <alignment horizontal="right"/>
    </xf>
    <xf numFmtId="164" fontId="24" fillId="0" borderId="5" xfId="0" applyNumberFormat="1" applyFont="1" applyBorder="1"/>
    <xf numFmtId="2" fontId="14" fillId="7" borderId="0" xfId="0" applyNumberFormat="1" applyFont="1" applyFill="1"/>
    <xf numFmtId="2" fontId="13" fillId="7" borderId="0" xfId="0" applyNumberFormat="1" applyFont="1" applyFill="1"/>
    <xf numFmtId="2" fontId="0" fillId="7" borderId="0" xfId="0" applyNumberFormat="1" applyFill="1"/>
    <xf numFmtId="2" fontId="0" fillId="7" borderId="28" xfId="0" applyNumberFormat="1" applyFill="1" applyBorder="1" applyAlignment="1">
      <alignment horizontal="center"/>
    </xf>
    <xf numFmtId="2" fontId="13" fillId="7" borderId="28" xfId="0" applyNumberFormat="1" applyFont="1" applyFill="1" applyBorder="1" applyAlignment="1">
      <alignment horizontal="center" vertical="center" wrapText="1"/>
    </xf>
    <xf numFmtId="2" fontId="13" fillId="7" borderId="28" xfId="0" applyNumberFormat="1" applyFont="1" applyFill="1" applyBorder="1" applyAlignment="1">
      <alignment horizontal="center"/>
    </xf>
    <xf numFmtId="0" fontId="50" fillId="7" borderId="0" xfId="36" applyFill="1"/>
    <xf numFmtId="173" fontId="76" fillId="7" borderId="82" xfId="10" applyNumberFormat="1" applyFont="1" applyFill="1" applyBorder="1" applyAlignment="1">
      <alignment horizontal="center"/>
    </xf>
    <xf numFmtId="173" fontId="76" fillId="7" borderId="83" xfId="10" applyNumberFormat="1" applyFont="1" applyFill="1" applyBorder="1" applyAlignment="1">
      <alignment horizontal="center"/>
    </xf>
    <xf numFmtId="164" fontId="77" fillId="7" borderId="37" xfId="10" applyFont="1" applyFill="1" applyBorder="1"/>
    <xf numFmtId="173" fontId="77" fillId="7" borderId="21" xfId="10" applyNumberFormat="1" applyFont="1" applyFill="1" applyBorder="1"/>
    <xf numFmtId="173" fontId="77" fillId="7" borderId="80" xfId="10" applyNumberFormat="1" applyFont="1" applyFill="1" applyBorder="1"/>
    <xf numFmtId="173" fontId="80" fillId="7" borderId="37" xfId="10" applyNumberFormat="1" applyFont="1" applyFill="1" applyBorder="1"/>
    <xf numFmtId="173" fontId="80" fillId="7" borderId="21" xfId="10" applyNumberFormat="1" applyFont="1" applyFill="1" applyBorder="1"/>
    <xf numFmtId="173" fontId="79" fillId="7" borderId="80" xfId="10" applyNumberFormat="1" applyFont="1" applyFill="1" applyBorder="1"/>
    <xf numFmtId="173" fontId="80" fillId="7" borderId="19" xfId="10" applyNumberFormat="1" applyFont="1" applyFill="1" applyBorder="1"/>
    <xf numFmtId="173" fontId="79" fillId="7" borderId="87" xfId="10" applyNumberFormat="1" applyFont="1" applyFill="1" applyBorder="1"/>
    <xf numFmtId="173" fontId="0" fillId="2" borderId="0" xfId="10" applyNumberFormat="1" applyFont="1" applyFill="1"/>
    <xf numFmtId="173" fontId="82" fillId="7" borderId="21" xfId="10" applyNumberFormat="1" applyFont="1" applyFill="1" applyBorder="1"/>
    <xf numFmtId="164" fontId="77" fillId="7" borderId="38" xfId="10" applyFont="1" applyFill="1" applyBorder="1"/>
    <xf numFmtId="173" fontId="77" fillId="7" borderId="39" xfId="10" applyNumberFormat="1" applyFont="1" applyFill="1" applyBorder="1"/>
    <xf numFmtId="173" fontId="85" fillId="7" borderId="0" xfId="10" applyNumberFormat="1" applyFont="1" applyFill="1" applyBorder="1"/>
    <xf numFmtId="173" fontId="84" fillId="7" borderId="21" xfId="10" applyNumberFormat="1" applyFont="1" applyFill="1" applyBorder="1"/>
    <xf numFmtId="173" fontId="70" fillId="7" borderId="0" xfId="10" applyNumberFormat="1" applyFont="1" applyFill="1" applyBorder="1"/>
    <xf numFmtId="173" fontId="64" fillId="7" borderId="0" xfId="10" applyNumberFormat="1" applyFont="1" applyFill="1" applyBorder="1"/>
    <xf numFmtId="173" fontId="70" fillId="7" borderId="21" xfId="10" applyNumberFormat="1" applyFont="1" applyFill="1" applyBorder="1" applyAlignment="1"/>
    <xf numFmtId="173" fontId="64" fillId="7" borderId="21" xfId="10" applyNumberFormat="1" applyFont="1" applyFill="1" applyBorder="1" applyAlignment="1"/>
    <xf numFmtId="173" fontId="64" fillId="7" borderId="21" xfId="10" applyNumberFormat="1" applyFont="1" applyFill="1" applyBorder="1"/>
    <xf numFmtId="173" fontId="64" fillId="7" borderId="21" xfId="10" applyNumberFormat="1" applyFont="1" applyFill="1" applyBorder="1" applyAlignment="1">
      <alignment horizontal="right"/>
    </xf>
    <xf numFmtId="173" fontId="70" fillId="7" borderId="20" xfId="10" applyNumberFormat="1" applyFont="1" applyFill="1" applyBorder="1"/>
    <xf numFmtId="173" fontId="64" fillId="7" borderId="39" xfId="10" applyNumberFormat="1" applyFont="1" applyFill="1" applyBorder="1" applyAlignment="1"/>
    <xf numFmtId="173" fontId="59" fillId="7" borderId="20" xfId="10" applyNumberFormat="1" applyFont="1" applyFill="1" applyBorder="1" applyAlignment="1">
      <alignment horizontal="center"/>
    </xf>
    <xf numFmtId="173" fontId="59" fillId="7" borderId="39" xfId="10" applyNumberFormat="1" applyFont="1" applyFill="1" applyBorder="1" applyAlignment="1">
      <alignment horizontal="center"/>
    </xf>
    <xf numFmtId="173" fontId="87" fillId="7" borderId="84" xfId="10" applyNumberFormat="1" applyFont="1" applyFill="1" applyBorder="1" applyAlignment="1">
      <alignment horizontal="center"/>
    </xf>
    <xf numFmtId="173" fontId="79" fillId="7" borderId="88" xfId="10" applyNumberFormat="1" applyFont="1" applyFill="1" applyBorder="1"/>
    <xf numFmtId="173" fontId="79" fillId="7" borderId="31" xfId="10" applyNumberFormat="1" applyFont="1" applyFill="1" applyBorder="1"/>
    <xf numFmtId="173" fontId="82" fillId="7" borderId="16" xfId="10" applyNumberFormat="1" applyFont="1" applyFill="1" applyBorder="1"/>
    <xf numFmtId="173" fontId="77" fillId="7" borderId="17" xfId="10" applyNumberFormat="1" applyFont="1" applyFill="1" applyBorder="1"/>
    <xf numFmtId="173" fontId="12" fillId="7" borderId="21" xfId="10" applyNumberFormat="1" applyFont="1" applyFill="1" applyBorder="1"/>
    <xf numFmtId="173" fontId="12" fillId="7" borderId="0" xfId="10" applyNumberFormat="1" applyFont="1" applyFill="1" applyBorder="1"/>
    <xf numFmtId="173" fontId="13" fillId="2" borderId="0" xfId="10" applyNumberFormat="1" applyFont="1" applyFill="1"/>
    <xf numFmtId="173" fontId="79" fillId="7" borderId="21" xfId="10" applyNumberFormat="1" applyFont="1" applyFill="1" applyBorder="1"/>
    <xf numFmtId="173" fontId="79" fillId="7" borderId="19" xfId="10" applyNumberFormat="1" applyFont="1" applyFill="1" applyBorder="1"/>
    <xf numFmtId="173" fontId="82" fillId="7" borderId="37" xfId="10" applyNumberFormat="1" applyFont="1" applyFill="1" applyBorder="1"/>
    <xf numFmtId="173" fontId="79" fillId="7" borderId="86" xfId="10" applyNumberFormat="1" applyFont="1" applyFill="1" applyBorder="1"/>
    <xf numFmtId="164" fontId="12" fillId="0" borderId="36" xfId="10" applyFont="1" applyBorder="1"/>
    <xf numFmtId="164" fontId="12" fillId="7" borderId="37" xfId="10" applyFont="1" applyFill="1" applyBorder="1" applyAlignment="1">
      <alignment horizontal="center"/>
    </xf>
    <xf numFmtId="173" fontId="12" fillId="7" borderId="80" xfId="10" applyNumberFormat="1" applyFont="1" applyFill="1" applyBorder="1"/>
    <xf numFmtId="164" fontId="12" fillId="7" borderId="16" xfId="10" applyFont="1" applyFill="1" applyBorder="1"/>
    <xf numFmtId="173" fontId="12" fillId="7" borderId="16" xfId="10" applyNumberFormat="1" applyFont="1" applyFill="1" applyBorder="1"/>
    <xf numFmtId="173" fontId="12" fillId="7" borderId="17" xfId="10" applyNumberFormat="1" applyFont="1" applyFill="1" applyBorder="1"/>
    <xf numFmtId="164" fontId="12" fillId="2" borderId="0" xfId="10" applyFont="1" applyFill="1"/>
    <xf numFmtId="173" fontId="12" fillId="2" borderId="0" xfId="10" applyNumberFormat="1" applyFont="1" applyFill="1"/>
    <xf numFmtId="173" fontId="80" fillId="24" borderId="21" xfId="10" applyNumberFormat="1" applyFont="1" applyFill="1" applyBorder="1"/>
    <xf numFmtId="173" fontId="80" fillId="24" borderId="37" xfId="10" applyNumberFormat="1" applyFont="1" applyFill="1" applyBorder="1"/>
    <xf numFmtId="173" fontId="80" fillId="24" borderId="73" xfId="10" applyNumberFormat="1" applyFont="1" applyFill="1" applyBorder="1"/>
    <xf numFmtId="2" fontId="0" fillId="24" borderId="5" xfId="0" applyNumberFormat="1" applyFill="1" applyBorder="1"/>
    <xf numFmtId="2" fontId="13" fillId="7" borderId="32" xfId="0" applyNumberFormat="1" applyFont="1" applyFill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/>
    </xf>
    <xf numFmtId="0" fontId="12" fillId="0" borderId="5" xfId="0" applyFont="1" applyBorder="1" applyAlignment="1">
      <alignment wrapText="1"/>
    </xf>
    <xf numFmtId="0" fontId="12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 wrapText="1"/>
    </xf>
    <xf numFmtId="0" fontId="12" fillId="16" borderId="5" xfId="0" applyFont="1" applyFill="1" applyBorder="1" applyAlignment="1">
      <alignment wrapText="1"/>
    </xf>
    <xf numFmtId="0" fontId="21" fillId="0" borderId="51" xfId="0" applyFont="1" applyBorder="1" applyAlignment="1">
      <alignment horizontal="center"/>
    </xf>
    <xf numFmtId="0" fontId="21" fillId="0" borderId="71" xfId="0" applyFont="1" applyBorder="1" applyAlignment="1">
      <alignment horizontal="center"/>
    </xf>
    <xf numFmtId="0" fontId="0" fillId="24" borderId="5" xfId="0" applyFill="1" applyBorder="1"/>
    <xf numFmtId="164" fontId="13" fillId="24" borderId="0" xfId="10" applyFont="1" applyFill="1" applyBorder="1"/>
    <xf numFmtId="164" fontId="13" fillId="24" borderId="0" xfId="10" applyFont="1" applyFill="1" applyBorder="1" applyAlignment="1">
      <alignment horizontal="right"/>
    </xf>
    <xf numFmtId="164" fontId="0" fillId="24" borderId="0" xfId="10" applyFont="1" applyFill="1" applyBorder="1"/>
    <xf numFmtId="0" fontId="0" fillId="24" borderId="0" xfId="0" applyFill="1"/>
    <xf numFmtId="0" fontId="12" fillId="0" borderId="44" xfId="0" applyFont="1" applyBorder="1" applyAlignment="1">
      <alignment horizontal="center" wrapText="1"/>
    </xf>
    <xf numFmtId="0" fontId="12" fillId="0" borderId="45" xfId="0" applyFont="1" applyBorder="1" applyAlignment="1">
      <alignment horizontal="center" wrapText="1"/>
    </xf>
    <xf numFmtId="0" fontId="12" fillId="0" borderId="5" xfId="0" applyFont="1" applyBorder="1" applyAlignment="1">
      <alignment horizontal="right"/>
    </xf>
    <xf numFmtId="164" fontId="0" fillId="19" borderId="5" xfId="0" applyNumberFormat="1" applyFill="1" applyBorder="1"/>
    <xf numFmtId="0" fontId="0" fillId="19" borderId="5" xfId="0" applyFill="1" applyBorder="1" applyAlignment="1">
      <alignment horizontal="left" wrapText="1"/>
    </xf>
    <xf numFmtId="164" fontId="12" fillId="19" borderId="5" xfId="10" applyFill="1" applyBorder="1" applyAlignment="1">
      <alignment horizontal="right"/>
    </xf>
    <xf numFmtId="2" fontId="13" fillId="7" borderId="28" xfId="0" applyNumberFormat="1" applyFont="1" applyFill="1" applyBorder="1" applyAlignment="1">
      <alignment horizontal="left" vertical="center" wrapText="1"/>
    </xf>
    <xf numFmtId="2" fontId="44" fillId="20" borderId="0" xfId="0" applyNumberFormat="1" applyFont="1" applyFill="1"/>
    <xf numFmtId="0" fontId="12" fillId="0" borderId="0" xfId="0" applyFont="1"/>
    <xf numFmtId="0" fontId="12" fillId="19" borderId="5" xfId="0" applyFont="1" applyFill="1" applyBorder="1"/>
    <xf numFmtId="165" fontId="0" fillId="20" borderId="0" xfId="0" applyNumberFormat="1" applyFill="1"/>
    <xf numFmtId="2" fontId="0" fillId="0" borderId="47" xfId="0" applyNumberFormat="1" applyBorder="1"/>
    <xf numFmtId="2" fontId="0" fillId="0" borderId="15" xfId="0" applyNumberFormat="1" applyBorder="1"/>
    <xf numFmtId="2" fontId="0" fillId="0" borderId="62" xfId="0" applyNumberFormat="1" applyBorder="1"/>
    <xf numFmtId="2" fontId="13" fillId="24" borderId="28" xfId="0" applyNumberFormat="1" applyFont="1" applyFill="1" applyBorder="1" applyAlignment="1">
      <alignment horizontal="left" vertical="center" wrapText="1"/>
    </xf>
    <xf numFmtId="2" fontId="0" fillId="18" borderId="0" xfId="0" applyNumberFormat="1" applyFill="1"/>
    <xf numFmtId="2" fontId="12" fillId="7" borderId="0" xfId="0" applyNumberFormat="1" applyFont="1" applyFill="1"/>
    <xf numFmtId="2" fontId="12" fillId="13" borderId="0" xfId="0" applyNumberFormat="1" applyFont="1" applyFill="1"/>
    <xf numFmtId="164" fontId="0" fillId="20" borderId="5" xfId="13" applyFont="1" applyFill="1" applyBorder="1"/>
    <xf numFmtId="164" fontId="0" fillId="20" borderId="5" xfId="10" applyFont="1" applyFill="1" applyBorder="1"/>
    <xf numFmtId="0" fontId="12" fillId="24" borderId="0" xfId="0" applyFont="1" applyFill="1"/>
    <xf numFmtId="2" fontId="0" fillId="24" borderId="0" xfId="0" applyNumberFormat="1" applyFill="1"/>
    <xf numFmtId="10" fontId="12" fillId="0" borderId="5" xfId="0" applyNumberFormat="1" applyFont="1" applyBorder="1" applyAlignment="1">
      <alignment horizontal="right"/>
    </xf>
    <xf numFmtId="0" fontId="12" fillId="0" borderId="52" xfId="0" applyFont="1" applyBorder="1" applyAlignment="1">
      <alignment wrapText="1"/>
    </xf>
    <xf numFmtId="0" fontId="12" fillId="0" borderId="5" xfId="0" applyFont="1" applyBorder="1"/>
    <xf numFmtId="0" fontId="59" fillId="0" borderId="0" xfId="0" applyFont="1"/>
    <xf numFmtId="0" fontId="111" fillId="0" borderId="0" xfId="0" applyFont="1" applyAlignment="1">
      <alignment horizontal="centerContinuous"/>
    </xf>
    <xf numFmtId="0" fontId="112" fillId="0" borderId="0" xfId="0" applyFont="1" applyAlignment="1">
      <alignment horizontal="center"/>
    </xf>
    <xf numFmtId="0" fontId="113" fillId="0" borderId="5" xfId="0" applyFont="1" applyBorder="1"/>
    <xf numFmtId="0" fontId="113" fillId="0" borderId="0" xfId="0" applyFont="1"/>
    <xf numFmtId="0" fontId="50" fillId="0" borderId="0" xfId="0" applyFont="1"/>
    <xf numFmtId="0" fontId="59" fillId="0" borderId="0" xfId="0" applyFont="1" applyAlignment="1">
      <alignment horizontal="right"/>
    </xf>
    <xf numFmtId="0" fontId="112" fillId="0" borderId="0" xfId="0" applyFont="1"/>
    <xf numFmtId="0" fontId="50" fillId="0" borderId="28" xfId="0" applyFont="1" applyBorder="1"/>
    <xf numFmtId="0" fontId="50" fillId="0" borderId="5" xfId="0" applyFont="1" applyBorder="1"/>
    <xf numFmtId="0" fontId="50" fillId="0" borderId="25" xfId="0" applyFont="1" applyBorder="1"/>
    <xf numFmtId="2" fontId="50" fillId="0" borderId="5" xfId="0" applyNumberFormat="1" applyFont="1" applyBorder="1"/>
    <xf numFmtId="2" fontId="50" fillId="0" borderId="25" xfId="0" applyNumberFormat="1" applyFont="1" applyBorder="1"/>
    <xf numFmtId="2" fontId="50" fillId="0" borderId="0" xfId="0" applyNumberFormat="1" applyFont="1"/>
    <xf numFmtId="0" fontId="59" fillId="0" borderId="5" xfId="0" applyFont="1" applyBorder="1"/>
    <xf numFmtId="2" fontId="59" fillId="0" borderId="5" xfId="0" applyNumberFormat="1" applyFont="1" applyBorder="1"/>
    <xf numFmtId="2" fontId="59" fillId="0" borderId="25" xfId="0" applyNumberFormat="1" applyFont="1" applyBorder="1"/>
    <xf numFmtId="2" fontId="59" fillId="0" borderId="0" xfId="0" applyNumberFormat="1" applyFont="1"/>
    <xf numFmtId="169" fontId="50" fillId="0" borderId="5" xfId="0" applyNumberFormat="1" applyFont="1" applyBorder="1"/>
    <xf numFmtId="164" fontId="50" fillId="0" borderId="0" xfId="10" applyFont="1" applyFill="1"/>
    <xf numFmtId="0" fontId="112" fillId="0" borderId="0" xfId="0" applyFont="1" applyAlignment="1">
      <alignment horizontal="left"/>
    </xf>
    <xf numFmtId="0" fontId="50" fillId="0" borderId="28" xfId="0" applyFont="1" applyBorder="1" applyAlignment="1">
      <alignment horizontal="center"/>
    </xf>
    <xf numFmtId="0" fontId="50" fillId="0" borderId="25" xfId="0" applyFont="1" applyBorder="1" applyAlignment="1">
      <alignment horizontal="center"/>
    </xf>
    <xf numFmtId="2" fontId="50" fillId="0" borderId="28" xfId="0" applyNumberFormat="1" applyFont="1" applyBorder="1"/>
    <xf numFmtId="0" fontId="59" fillId="0" borderId="28" xfId="0" applyFont="1" applyBorder="1"/>
    <xf numFmtId="2" fontId="50" fillId="24" borderId="5" xfId="0" applyNumberFormat="1" applyFont="1" applyFill="1" applyBorder="1"/>
    <xf numFmtId="164" fontId="50" fillId="0" borderId="0" xfId="0" applyNumberFormat="1" applyFont="1"/>
    <xf numFmtId="2" fontId="114" fillId="0" borderId="0" xfId="0" applyNumberFormat="1" applyFont="1"/>
    <xf numFmtId="164" fontId="50" fillId="0" borderId="5" xfId="10" applyFont="1" applyFill="1" applyBorder="1"/>
    <xf numFmtId="2" fontId="50" fillId="0" borderId="44" xfId="0" applyNumberFormat="1" applyFont="1" applyBorder="1"/>
    <xf numFmtId="164" fontId="50" fillId="0" borderId="25" xfId="10" applyFont="1" applyFill="1" applyBorder="1"/>
    <xf numFmtId="2" fontId="50" fillId="0" borderId="33" xfId="0" applyNumberFormat="1" applyFont="1" applyBorder="1"/>
    <xf numFmtId="0" fontId="50" fillId="0" borderId="44" xfId="0" applyFont="1" applyBorder="1" applyAlignment="1">
      <alignment horizontal="center"/>
    </xf>
    <xf numFmtId="0" fontId="50" fillId="0" borderId="5" xfId="0" applyFont="1" applyBorder="1" applyAlignment="1">
      <alignment wrapText="1"/>
    </xf>
    <xf numFmtId="2" fontId="50" fillId="0" borderId="51" xfId="0" applyNumberFormat="1" applyFont="1" applyBorder="1"/>
    <xf numFmtId="0" fontId="59" fillId="0" borderId="0" xfId="0" applyFont="1" applyAlignment="1">
      <alignment horizontal="center"/>
    </xf>
    <xf numFmtId="2" fontId="50" fillId="0" borderId="5" xfId="0" applyNumberFormat="1" applyFont="1" applyBorder="1" applyAlignment="1">
      <alignment horizontal="center"/>
    </xf>
    <xf numFmtId="2" fontId="50" fillId="0" borderId="25" xfId="0" applyNumberFormat="1" applyFont="1" applyBorder="1" applyAlignment="1">
      <alignment horizontal="right"/>
    </xf>
    <xf numFmtId="2" fontId="50" fillId="0" borderId="34" xfId="0" applyNumberFormat="1" applyFont="1" applyBorder="1"/>
    <xf numFmtId="164" fontId="59" fillId="0" borderId="5" xfId="0" applyNumberFormat="1" applyFont="1" applyBorder="1"/>
    <xf numFmtId="164" fontId="50" fillId="0" borderId="0" xfId="10" applyFont="1" applyFill="1" applyBorder="1"/>
    <xf numFmtId="164" fontId="59" fillId="0" borderId="0" xfId="0" applyNumberFormat="1" applyFont="1"/>
    <xf numFmtId="165" fontId="50" fillId="0" borderId="0" xfId="0" applyNumberFormat="1" applyFont="1"/>
    <xf numFmtId="2" fontId="50" fillId="24" borderId="5" xfId="0" applyNumberFormat="1" applyFont="1" applyFill="1" applyBorder="1" applyAlignment="1">
      <alignment horizontal="left" vertical="center" wrapText="1"/>
    </xf>
    <xf numFmtId="2" fontId="50" fillId="7" borderId="5" xfId="0" applyNumberFormat="1" applyFont="1" applyFill="1" applyBorder="1"/>
    <xf numFmtId="0" fontId="59" fillId="0" borderId="5" xfId="37" applyFont="1" applyFill="1" applyBorder="1" applyAlignment="1">
      <alignment horizontal="center"/>
    </xf>
    <xf numFmtId="0" fontId="50" fillId="0" borderId="0" xfId="37" applyFont="1" applyFill="1"/>
    <xf numFmtId="2" fontId="59" fillId="0" borderId="44" xfId="0" applyNumberFormat="1" applyFont="1" applyBorder="1" applyAlignment="1">
      <alignment horizontal="center"/>
    </xf>
    <xf numFmtId="165" fontId="50" fillId="0" borderId="5" xfId="0" applyNumberFormat="1" applyFont="1" applyBorder="1"/>
    <xf numFmtId="0" fontId="50" fillId="0" borderId="0" xfId="0" applyFont="1" applyAlignment="1">
      <alignment horizontal="center"/>
    </xf>
    <xf numFmtId="2" fontId="50" fillId="0" borderId="0" xfId="0" applyNumberFormat="1" applyFont="1" applyAlignment="1">
      <alignment horizontal="center"/>
    </xf>
    <xf numFmtId="16" fontId="50" fillId="0" borderId="0" xfId="0" applyNumberFormat="1" applyFont="1" applyAlignment="1">
      <alignment horizontal="left"/>
    </xf>
    <xf numFmtId="1" fontId="50" fillId="0" borderId="0" xfId="0" applyNumberFormat="1" applyFont="1" applyAlignment="1">
      <alignment horizontal="center"/>
    </xf>
    <xf numFmtId="0" fontId="59" fillId="0" borderId="25" xfId="0" applyFont="1" applyBorder="1" applyAlignment="1">
      <alignment horizontal="center"/>
    </xf>
    <xf numFmtId="0" fontId="112" fillId="0" borderId="0" xfId="0" applyFont="1" applyAlignment="1">
      <alignment horizontal="centerContinuous" vertical="top" wrapText="1"/>
    </xf>
    <xf numFmtId="0" fontId="50" fillId="0" borderId="5" xfId="0" applyFont="1" applyBorder="1" applyAlignment="1">
      <alignment horizontal="center"/>
    </xf>
    <xf numFmtId="165" fontId="50" fillId="0" borderId="25" xfId="0" applyNumberFormat="1" applyFont="1" applyBorder="1"/>
    <xf numFmtId="10" fontId="50" fillId="0" borderId="5" xfId="43" applyNumberFormat="1" applyFont="1" applyFill="1" applyBorder="1"/>
    <xf numFmtId="0" fontId="50" fillId="0" borderId="0" xfId="39" applyFont="1" applyAlignment="1" applyProtection="1">
      <alignment horizontal="left"/>
      <protection locked="0"/>
    </xf>
    <xf numFmtId="0" fontId="50" fillId="0" borderId="0" xfId="39" applyFont="1" applyAlignment="1" applyProtection="1">
      <alignment horizontal="centerContinuous" wrapText="1"/>
      <protection locked="0"/>
    </xf>
    <xf numFmtId="0" fontId="50" fillId="0" borderId="0" xfId="39" applyFont="1" applyAlignment="1" applyProtection="1">
      <alignment horizontal="left" wrapText="1"/>
      <protection locked="0"/>
    </xf>
    <xf numFmtId="0" fontId="59" fillId="0" borderId="0" xfId="39" applyFont="1" applyAlignment="1" applyProtection="1">
      <alignment horizontal="center" vertical="center"/>
      <protection locked="0"/>
    </xf>
    <xf numFmtId="0" fontId="59" fillId="0" borderId="5" xfId="39" applyFont="1" applyBorder="1" applyAlignment="1" applyProtection="1">
      <alignment horizontal="center" vertical="center"/>
      <protection locked="0"/>
    </xf>
    <xf numFmtId="0" fontId="59" fillId="0" borderId="23" xfId="39" applyFont="1" applyBorder="1" applyAlignment="1" applyProtection="1">
      <alignment horizontal="center" vertical="center" wrapText="1"/>
      <protection locked="0"/>
    </xf>
    <xf numFmtId="0" fontId="59" fillId="0" borderId="25" xfId="39" applyFont="1" applyBorder="1" applyAlignment="1" applyProtection="1">
      <alignment horizontal="center" vertical="center" wrapText="1"/>
      <protection locked="0"/>
    </xf>
    <xf numFmtId="0" fontId="59" fillId="0" borderId="5" xfId="39" applyFont="1" applyBorder="1" applyAlignment="1" applyProtection="1">
      <alignment horizontal="left" vertical="center" wrapText="1"/>
      <protection locked="0"/>
    </xf>
    <xf numFmtId="0" fontId="50" fillId="0" borderId="0" xfId="39" applyFont="1" applyProtection="1">
      <protection locked="0"/>
    </xf>
    <xf numFmtId="0" fontId="50" fillId="0" borderId="5" xfId="39" applyFont="1" applyBorder="1" applyAlignment="1" applyProtection="1">
      <alignment wrapText="1"/>
      <protection locked="0"/>
    </xf>
    <xf numFmtId="2" fontId="50" fillId="0" borderId="5" xfId="39" applyNumberFormat="1" applyFont="1" applyBorder="1" applyAlignment="1" applyProtection="1">
      <alignment wrapText="1"/>
      <protection locked="0"/>
    </xf>
    <xf numFmtId="2" fontId="50" fillId="0" borderId="25" xfId="39" applyNumberFormat="1" applyFont="1" applyBorder="1" applyAlignment="1" applyProtection="1">
      <alignment wrapText="1"/>
      <protection locked="0"/>
    </xf>
    <xf numFmtId="2" fontId="50" fillId="0" borderId="23" xfId="39" applyNumberFormat="1" applyFont="1" applyBorder="1" applyAlignment="1" applyProtection="1">
      <alignment wrapText="1"/>
      <protection locked="0"/>
    </xf>
    <xf numFmtId="9" fontId="50" fillId="0" borderId="0" xfId="43" applyFont="1" applyFill="1" applyBorder="1" applyAlignment="1" applyProtection="1">
      <protection locked="0"/>
    </xf>
    <xf numFmtId="2" fontId="50" fillId="0" borderId="0" xfId="39" applyNumberFormat="1" applyFont="1" applyProtection="1">
      <protection locked="0"/>
    </xf>
    <xf numFmtId="0" fontId="59" fillId="0" borderId="0" xfId="39" applyFont="1" applyProtection="1">
      <protection locked="0"/>
    </xf>
    <xf numFmtId="0" fontId="59" fillId="0" borderId="5" xfId="39" applyFont="1" applyBorder="1" applyAlignment="1" applyProtection="1">
      <alignment wrapText="1"/>
      <protection locked="0"/>
    </xf>
    <xf numFmtId="2" fontId="59" fillId="0" borderId="5" xfId="39" applyNumberFormat="1" applyFont="1" applyBorder="1" applyAlignment="1" applyProtection="1">
      <alignment wrapText="1"/>
      <protection locked="0"/>
    </xf>
    <xf numFmtId="0" fontId="59" fillId="0" borderId="23" xfId="39" applyFont="1" applyBorder="1" applyAlignment="1" applyProtection="1">
      <alignment wrapText="1"/>
      <protection locked="0"/>
    </xf>
    <xf numFmtId="0" fontId="59" fillId="0" borderId="25" xfId="39" applyFont="1" applyBorder="1" applyAlignment="1" applyProtection="1">
      <alignment wrapText="1"/>
      <protection locked="0"/>
    </xf>
    <xf numFmtId="0" fontId="50" fillId="0" borderId="25" xfId="39" applyFont="1" applyBorder="1" applyAlignment="1" applyProtection="1">
      <alignment wrapText="1"/>
      <protection locked="0"/>
    </xf>
    <xf numFmtId="0" fontId="50" fillId="0" borderId="23" xfId="39" applyFont="1" applyBorder="1" applyAlignment="1" applyProtection="1">
      <alignment wrapText="1"/>
      <protection locked="0"/>
    </xf>
    <xf numFmtId="164" fontId="50" fillId="0" borderId="5" xfId="10" applyFont="1" applyFill="1" applyBorder="1" applyAlignment="1" applyProtection="1">
      <alignment wrapText="1"/>
      <protection locked="0"/>
    </xf>
    <xf numFmtId="164" fontId="50" fillId="0" borderId="25" xfId="10" applyFont="1" applyFill="1" applyBorder="1" applyAlignment="1" applyProtection="1">
      <alignment wrapText="1"/>
      <protection locked="0"/>
    </xf>
    <xf numFmtId="164" fontId="50" fillId="0" borderId="23" xfId="10" applyFont="1" applyFill="1" applyBorder="1" applyAlignment="1" applyProtection="1">
      <alignment wrapText="1"/>
      <protection locked="0"/>
    </xf>
    <xf numFmtId="2" fontId="59" fillId="0" borderId="24" xfId="39" applyNumberFormat="1" applyFont="1" applyBorder="1" applyAlignment="1" applyProtection="1">
      <alignment wrapText="1"/>
      <protection locked="0"/>
    </xf>
    <xf numFmtId="2" fontId="59" fillId="0" borderId="25" xfId="39" applyNumberFormat="1" applyFont="1" applyBorder="1" applyAlignment="1" applyProtection="1">
      <alignment wrapText="1"/>
      <protection locked="0"/>
    </xf>
    <xf numFmtId="2" fontId="59" fillId="0" borderId="23" xfId="39" applyNumberFormat="1" applyFont="1" applyBorder="1" applyAlignment="1" applyProtection="1">
      <alignment wrapText="1"/>
      <protection locked="0"/>
    </xf>
    <xf numFmtId="0" fontId="116" fillId="0" borderId="5" xfId="0" applyFont="1" applyBorder="1" applyAlignment="1">
      <alignment horizontal="left" vertical="top" wrapText="1"/>
    </xf>
    <xf numFmtId="164" fontId="50" fillId="0" borderId="0" xfId="39" applyNumberFormat="1" applyFont="1" applyProtection="1">
      <protection locked="0"/>
    </xf>
    <xf numFmtId="2" fontId="117" fillId="0" borderId="0" xfId="39" applyNumberFormat="1" applyFont="1" applyProtection="1">
      <protection locked="0"/>
    </xf>
    <xf numFmtId="0" fontId="50" fillId="0" borderId="41" xfId="39" applyFont="1" applyBorder="1" applyAlignment="1" applyProtection="1">
      <alignment wrapText="1"/>
      <protection locked="0"/>
    </xf>
    <xf numFmtId="0" fontId="50" fillId="0" borderId="62" xfId="39" applyFont="1" applyBorder="1" applyAlignment="1" applyProtection="1">
      <alignment wrapText="1"/>
      <protection locked="0"/>
    </xf>
    <xf numFmtId="2" fontId="59" fillId="0" borderId="49" xfId="39" applyNumberFormat="1" applyFont="1" applyBorder="1" applyAlignment="1" applyProtection="1">
      <alignment wrapText="1"/>
      <protection locked="0"/>
    </xf>
    <xf numFmtId="2" fontId="59" fillId="0" borderId="33" xfId="39" applyNumberFormat="1" applyFont="1" applyBorder="1" applyAlignment="1" applyProtection="1">
      <alignment wrapText="1"/>
      <protection locked="0"/>
    </xf>
    <xf numFmtId="0" fontId="50" fillId="0" borderId="0" xfId="39" applyFont="1" applyAlignment="1" applyProtection="1">
      <alignment wrapText="1"/>
      <protection locked="0"/>
    </xf>
    <xf numFmtId="2" fontId="50" fillId="0" borderId="0" xfId="39" applyNumberFormat="1" applyFont="1" applyAlignment="1" applyProtection="1">
      <alignment wrapText="1"/>
      <protection locked="0"/>
    </xf>
    <xf numFmtId="0" fontId="59" fillId="0" borderId="33" xfId="39" applyFont="1" applyBorder="1" applyAlignment="1" applyProtection="1">
      <alignment wrapText="1"/>
      <protection locked="0"/>
    </xf>
    <xf numFmtId="0" fontId="59" fillId="0" borderId="51" xfId="39" applyFont="1" applyBorder="1" applyAlignment="1" applyProtection="1">
      <alignment wrapText="1"/>
      <protection locked="0"/>
    </xf>
    <xf numFmtId="2" fontId="59" fillId="0" borderId="51" xfId="39" applyNumberFormat="1" applyFont="1" applyBorder="1" applyAlignment="1" applyProtection="1">
      <alignment wrapText="1"/>
      <protection locked="0"/>
    </xf>
    <xf numFmtId="2" fontId="59" fillId="0" borderId="11" xfId="39" applyNumberFormat="1" applyFont="1" applyBorder="1" applyAlignment="1" applyProtection="1">
      <alignment wrapText="1"/>
      <protection locked="0"/>
    </xf>
    <xf numFmtId="2" fontId="59" fillId="0" borderId="71" xfId="39" applyNumberFormat="1" applyFont="1" applyBorder="1" applyAlignment="1" applyProtection="1">
      <alignment wrapText="1"/>
      <protection locked="0"/>
    </xf>
    <xf numFmtId="0" fontId="50" fillId="0" borderId="33" xfId="39" applyFont="1" applyBorder="1" applyAlignment="1" applyProtection="1">
      <alignment wrapText="1"/>
      <protection locked="0"/>
    </xf>
    <xf numFmtId="0" fontId="50" fillId="0" borderId="56" xfId="39" applyFont="1" applyBorder="1" applyAlignment="1" applyProtection="1">
      <alignment wrapText="1"/>
      <protection locked="0"/>
    </xf>
    <xf numFmtId="2" fontId="59" fillId="0" borderId="34" xfId="39" applyNumberFormat="1" applyFont="1" applyBorder="1" applyAlignment="1" applyProtection="1">
      <alignment wrapText="1"/>
      <protection locked="0"/>
    </xf>
    <xf numFmtId="2" fontId="59" fillId="0" borderId="4" xfId="40" applyNumberFormat="1" applyFont="1" applyFill="1" applyBorder="1"/>
    <xf numFmtId="2" fontId="59" fillId="0" borderId="23" xfId="40" applyNumberFormat="1" applyFont="1" applyFill="1" applyBorder="1"/>
    <xf numFmtId="2" fontId="59" fillId="0" borderId="25" xfId="40" applyNumberFormat="1" applyFont="1" applyFill="1" applyBorder="1"/>
    <xf numFmtId="0" fontId="59" fillId="0" borderId="5" xfId="39" applyFont="1" applyBorder="1" applyProtection="1">
      <protection locked="0"/>
    </xf>
    <xf numFmtId="2" fontId="59" fillId="0" borderId="5" xfId="39" applyNumberFormat="1" applyFont="1" applyBorder="1" applyProtection="1">
      <protection locked="0"/>
    </xf>
    <xf numFmtId="0" fontId="111" fillId="0" borderId="0" xfId="0" applyFont="1" applyAlignment="1">
      <alignment horizontal="centerContinuous" vertical="top" wrapText="1"/>
    </xf>
    <xf numFmtId="2" fontId="59" fillId="0" borderId="28" xfId="0" applyNumberFormat="1" applyFont="1" applyBorder="1"/>
    <xf numFmtId="169" fontId="50" fillId="0" borderId="0" xfId="0" applyNumberFormat="1" applyFont="1"/>
    <xf numFmtId="170" fontId="50" fillId="0" borderId="0" xfId="0" applyNumberFormat="1" applyFont="1"/>
    <xf numFmtId="0" fontId="50" fillId="0" borderId="0" xfId="0" applyFont="1" applyAlignment="1">
      <alignment horizontal="right"/>
    </xf>
    <xf numFmtId="0" fontId="113" fillId="0" borderId="5" xfId="0" applyFont="1" applyBorder="1" applyAlignment="1">
      <alignment horizontal="center" vertical="top"/>
    </xf>
    <xf numFmtId="0" fontId="50" fillId="0" borderId="5" xfId="0" applyFont="1" applyBorder="1" applyAlignment="1">
      <alignment horizontal="left" vertical="top" wrapText="1"/>
    </xf>
    <xf numFmtId="0" fontId="59" fillId="0" borderId="40" xfId="0" applyFont="1" applyBorder="1" applyAlignment="1">
      <alignment horizontal="center"/>
    </xf>
    <xf numFmtId="0" fontId="50" fillId="0" borderId="5" xfId="0" applyFont="1" applyBorder="1" applyAlignment="1">
      <alignment horizontal="left" wrapText="1"/>
    </xf>
    <xf numFmtId="164" fontId="59" fillId="0" borderId="0" xfId="10" applyFont="1" applyFill="1"/>
    <xf numFmtId="0" fontId="59" fillId="0" borderId="5" xfId="0" applyFont="1" applyBorder="1" applyAlignment="1">
      <alignment wrapText="1"/>
    </xf>
    <xf numFmtId="2" fontId="59" fillId="0" borderId="0" xfId="0" applyNumberFormat="1" applyFont="1" applyAlignment="1">
      <alignment horizontal="center"/>
    </xf>
    <xf numFmtId="0" fontId="118" fillId="0" borderId="0" xfId="0" applyFont="1" applyAlignment="1">
      <alignment horizontal="right"/>
    </xf>
    <xf numFmtId="0" fontId="118" fillId="0" borderId="0" xfId="0" applyFont="1"/>
    <xf numFmtId="0" fontId="59" fillId="0" borderId="5" xfId="0" applyFont="1" applyBorder="1" applyAlignment="1">
      <alignment horizontal="center"/>
    </xf>
    <xf numFmtId="0" fontId="59" fillId="0" borderId="5" xfId="0" applyFont="1" applyBorder="1" applyAlignment="1">
      <alignment horizontal="center" wrapText="1"/>
    </xf>
    <xf numFmtId="0" fontId="50" fillId="0" borderId="5" xfId="0" applyFont="1" applyBorder="1" applyAlignment="1">
      <alignment horizontal="left"/>
    </xf>
    <xf numFmtId="1" fontId="50" fillId="0" borderId="5" xfId="0" applyNumberFormat="1" applyFont="1" applyBorder="1"/>
    <xf numFmtId="171" fontId="59" fillId="0" borderId="24" xfId="43" applyNumberFormat="1" applyFont="1" applyFill="1" applyBorder="1" applyAlignment="1">
      <alignment horizontal="center"/>
    </xf>
    <xf numFmtId="0" fontId="119" fillId="0" borderId="5" xfId="0" applyFont="1" applyBorder="1"/>
    <xf numFmtId="0" fontId="119" fillId="0" borderId="5" xfId="0" applyFont="1" applyBorder="1" applyAlignment="1">
      <alignment wrapText="1"/>
    </xf>
    <xf numFmtId="0" fontId="50" fillId="0" borderId="51" xfId="0" applyFont="1" applyBorder="1"/>
    <xf numFmtId="0" fontId="120" fillId="0" borderId="5" xfId="0" applyFont="1" applyBorder="1" applyAlignment="1">
      <alignment wrapText="1"/>
    </xf>
    <xf numFmtId="173" fontId="50" fillId="0" borderId="5" xfId="0" applyNumberFormat="1" applyFont="1" applyBorder="1"/>
    <xf numFmtId="9" fontId="50" fillId="0" borderId="0" xfId="0" applyNumberFormat="1" applyFont="1"/>
    <xf numFmtId="167" fontId="50" fillId="0" borderId="0" xfId="0" applyNumberFormat="1" applyFont="1"/>
    <xf numFmtId="9" fontId="50" fillId="0" borderId="5" xfId="0" applyNumberFormat="1" applyFont="1" applyBorder="1"/>
    <xf numFmtId="0" fontId="114" fillId="0" borderId="0" xfId="0" applyFont="1"/>
    <xf numFmtId="0" fontId="50" fillId="0" borderId="26" xfId="0" applyFont="1" applyBorder="1"/>
    <xf numFmtId="1" fontId="50" fillId="0" borderId="0" xfId="0" applyNumberFormat="1" applyFont="1"/>
    <xf numFmtId="0" fontId="50" fillId="0" borderId="27" xfId="0" applyFont="1" applyBorder="1"/>
    <xf numFmtId="165" fontId="50" fillId="0" borderId="28" xfId="0" applyNumberFormat="1" applyFont="1" applyBorder="1"/>
    <xf numFmtId="9" fontId="50" fillId="0" borderId="0" xfId="0" applyNumberFormat="1" applyFont="1" applyAlignment="1">
      <alignment horizontal="center"/>
    </xf>
    <xf numFmtId="9" fontId="50" fillId="0" borderId="31" xfId="0" applyNumberFormat="1" applyFont="1" applyBorder="1"/>
    <xf numFmtId="10" fontId="50" fillId="0" borderId="32" xfId="43" applyNumberFormat="1" applyFont="1" applyFill="1" applyBorder="1"/>
    <xf numFmtId="10" fontId="50" fillId="0" borderId="33" xfId="43" applyNumberFormat="1" applyFont="1" applyFill="1" applyBorder="1"/>
    <xf numFmtId="9" fontId="50" fillId="0" borderId="34" xfId="0" applyNumberFormat="1" applyFont="1" applyBorder="1"/>
    <xf numFmtId="9" fontId="50" fillId="0" borderId="34" xfId="43" applyFont="1" applyFill="1" applyBorder="1"/>
    <xf numFmtId="9" fontId="50" fillId="0" borderId="0" xfId="43" applyFont="1" applyFill="1" applyBorder="1"/>
    <xf numFmtId="10" fontId="50" fillId="0" borderId="0" xfId="43" applyNumberFormat="1" applyFont="1" applyFill="1" applyBorder="1"/>
    <xf numFmtId="173" fontId="50" fillId="0" borderId="0" xfId="43" applyNumberFormat="1" applyFont="1" applyFill="1" applyBorder="1"/>
    <xf numFmtId="1" fontId="50" fillId="0" borderId="0" xfId="43" applyNumberFormat="1" applyFont="1" applyFill="1" applyBorder="1"/>
    <xf numFmtId="2" fontId="50" fillId="0" borderId="0" xfId="43" applyNumberFormat="1" applyFont="1" applyFill="1" applyBorder="1"/>
    <xf numFmtId="0" fontId="50" fillId="0" borderId="0" xfId="43" applyNumberFormat="1" applyFont="1" applyFill="1" applyBorder="1"/>
    <xf numFmtId="9" fontId="59" fillId="0" borderId="5" xfId="0" applyNumberFormat="1" applyFont="1" applyBorder="1"/>
    <xf numFmtId="2" fontId="59" fillId="0" borderId="5" xfId="43" applyNumberFormat="1" applyFont="1" applyFill="1" applyBorder="1" applyAlignment="1">
      <alignment horizontal="center"/>
    </xf>
    <xf numFmtId="0" fontId="59" fillId="0" borderId="5" xfId="43" applyNumberFormat="1" applyFont="1" applyFill="1" applyBorder="1" applyAlignment="1">
      <alignment horizontal="center"/>
    </xf>
    <xf numFmtId="1" fontId="50" fillId="0" borderId="5" xfId="43" applyNumberFormat="1" applyFont="1" applyFill="1" applyBorder="1" applyAlignment="1">
      <alignment horizontal="center"/>
    </xf>
    <xf numFmtId="0" fontId="50" fillId="0" borderId="5" xfId="43" applyNumberFormat="1" applyFont="1" applyFill="1" applyBorder="1" applyAlignment="1">
      <alignment horizontal="center"/>
    </xf>
    <xf numFmtId="1" fontId="59" fillId="0" borderId="5" xfId="43" applyNumberFormat="1" applyFont="1" applyFill="1" applyBorder="1" applyAlignment="1">
      <alignment horizontal="center"/>
    </xf>
    <xf numFmtId="10" fontId="59" fillId="0" borderId="5" xfId="43" applyNumberFormat="1" applyFont="1" applyFill="1" applyBorder="1"/>
    <xf numFmtId="2" fontId="59" fillId="0" borderId="5" xfId="43" applyNumberFormat="1" applyFont="1" applyFill="1" applyBorder="1" applyAlignment="1"/>
    <xf numFmtId="0" fontId="50" fillId="0" borderId="5" xfId="0" applyFont="1" applyBorder="1" applyAlignment="1">
      <alignment horizontal="right"/>
    </xf>
    <xf numFmtId="173" fontId="59" fillId="0" borderId="5" xfId="0" applyNumberFormat="1" applyFont="1" applyBorder="1" applyAlignment="1">
      <alignment horizontal="right"/>
    </xf>
    <xf numFmtId="173" fontId="50" fillId="0" borderId="5" xfId="0" applyNumberFormat="1" applyFont="1" applyBorder="1" applyAlignment="1">
      <alignment horizontal="right"/>
    </xf>
    <xf numFmtId="173" fontId="59" fillId="0" borderId="5" xfId="0" applyNumberFormat="1" applyFont="1" applyBorder="1"/>
    <xf numFmtId="0" fontId="59" fillId="0" borderId="0" xfId="0" applyFont="1" applyAlignment="1">
      <alignment horizontal="left"/>
    </xf>
    <xf numFmtId="4" fontId="50" fillId="0" borderId="5" xfId="0" applyNumberFormat="1" applyFont="1" applyBorder="1"/>
    <xf numFmtId="173" fontId="50" fillId="0" borderId="5" xfId="0" applyNumberFormat="1" applyFont="1" applyBorder="1" applyAlignment="1">
      <alignment horizontal="center"/>
    </xf>
    <xf numFmtId="0" fontId="50" fillId="0" borderId="5" xfId="0" applyFont="1" applyBorder="1" applyAlignment="1">
      <alignment horizontal="center" wrapText="1"/>
    </xf>
    <xf numFmtId="0" fontId="50" fillId="0" borderId="23" xfId="0" applyFont="1" applyBorder="1" applyAlignment="1">
      <alignment horizontal="center"/>
    </xf>
    <xf numFmtId="0" fontId="50" fillId="0" borderId="23" xfId="0" applyFont="1" applyBorder="1" applyAlignment="1">
      <alignment horizontal="left"/>
    </xf>
    <xf numFmtId="164" fontId="50" fillId="0" borderId="5" xfId="10" applyFont="1" applyBorder="1"/>
    <xf numFmtId="0" fontId="59" fillId="0" borderId="5" xfId="0" applyFont="1" applyBorder="1" applyAlignment="1">
      <alignment vertical="center"/>
    </xf>
    <xf numFmtId="0" fontId="59" fillId="0" borderId="5" xfId="0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2" fontId="50" fillId="24" borderId="5" xfId="0" applyNumberFormat="1" applyFont="1" applyFill="1" applyBorder="1" applyAlignment="1">
      <alignment vertical="center"/>
    </xf>
    <xf numFmtId="0" fontId="50" fillId="0" borderId="48" xfId="0" applyFont="1" applyBorder="1"/>
    <xf numFmtId="2" fontId="50" fillId="5" borderId="25" xfId="0" applyNumberFormat="1" applyFont="1" applyFill="1" applyBorder="1"/>
    <xf numFmtId="2" fontId="50" fillId="0" borderId="48" xfId="0" applyNumberFormat="1" applyFont="1" applyBorder="1"/>
    <xf numFmtId="164" fontId="50" fillId="24" borderId="5" xfId="10" applyFont="1" applyFill="1" applyBorder="1" applyAlignment="1">
      <alignment vertical="center"/>
    </xf>
    <xf numFmtId="2" fontId="59" fillId="0" borderId="0" xfId="0" applyNumberFormat="1" applyFont="1" applyAlignment="1">
      <alignment vertical="center"/>
    </xf>
    <xf numFmtId="2" fontId="59" fillId="24" borderId="5" xfId="0" applyNumberFormat="1" applyFont="1" applyFill="1" applyBorder="1" applyAlignment="1">
      <alignment vertical="center"/>
    </xf>
    <xf numFmtId="0" fontId="50" fillId="0" borderId="0" xfId="0" applyFont="1" applyAlignment="1">
      <alignment vertical="center"/>
    </xf>
    <xf numFmtId="2" fontId="59" fillId="0" borderId="48" xfId="0" applyNumberFormat="1" applyFont="1" applyBorder="1"/>
    <xf numFmtId="2" fontId="50" fillId="9" borderId="0" xfId="0" applyNumberFormat="1" applyFont="1" applyFill="1"/>
    <xf numFmtId="0" fontId="59" fillId="0" borderId="67" xfId="0" applyFont="1" applyBorder="1" applyAlignment="1">
      <alignment vertical="center"/>
    </xf>
    <xf numFmtId="2" fontId="59" fillId="0" borderId="68" xfId="0" applyNumberFormat="1" applyFont="1" applyBorder="1"/>
    <xf numFmtId="2" fontId="59" fillId="0" borderId="34" xfId="0" applyNumberFormat="1" applyFont="1" applyBorder="1"/>
    <xf numFmtId="0" fontId="59" fillId="5" borderId="5" xfId="0" applyFont="1" applyFill="1" applyBorder="1" applyAlignment="1">
      <alignment vertical="center"/>
    </xf>
    <xf numFmtId="0" fontId="50" fillId="9" borderId="0" xfId="0" applyFont="1" applyFill="1"/>
    <xf numFmtId="164" fontId="50" fillId="9" borderId="0" xfId="0" applyNumberFormat="1" applyFont="1" applyFill="1"/>
    <xf numFmtId="0" fontId="50" fillId="0" borderId="12" xfId="0" applyFont="1" applyBorder="1" applyAlignment="1">
      <alignment horizontal="center"/>
    </xf>
    <xf numFmtId="2" fontId="59" fillId="0" borderId="5" xfId="0" applyNumberFormat="1" applyFont="1" applyBorder="1" applyAlignment="1">
      <alignment horizontal="center"/>
    </xf>
    <xf numFmtId="164" fontId="50" fillId="24" borderId="5" xfId="0" applyNumberFormat="1" applyFont="1" applyFill="1" applyBorder="1"/>
    <xf numFmtId="2" fontId="59" fillId="24" borderId="5" xfId="0" applyNumberFormat="1" applyFont="1" applyFill="1" applyBorder="1"/>
    <xf numFmtId="164" fontId="114" fillId="0" borderId="0" xfId="10" applyFont="1"/>
    <xf numFmtId="0" fontId="59" fillId="0" borderId="23" xfId="0" applyFont="1" applyBorder="1" applyAlignment="1">
      <alignment horizontal="center"/>
    </xf>
    <xf numFmtId="0" fontId="59" fillId="0" borderId="0" xfId="0" applyFont="1" applyAlignment="1">
      <alignment wrapText="1"/>
    </xf>
    <xf numFmtId="2" fontId="59" fillId="0" borderId="34" xfId="0" applyNumberFormat="1" applyFont="1" applyBorder="1" applyAlignment="1">
      <alignment horizontal="right"/>
    </xf>
    <xf numFmtId="2" fontId="59" fillId="0" borderId="23" xfId="0" applyNumberFormat="1" applyFont="1" applyBorder="1" applyAlignment="1">
      <alignment horizontal="right"/>
    </xf>
    <xf numFmtId="2" fontId="59" fillId="0" borderId="0" xfId="0" applyNumberFormat="1" applyFont="1" applyAlignment="1">
      <alignment horizontal="right"/>
    </xf>
    <xf numFmtId="0" fontId="59" fillId="0" borderId="0" xfId="0" applyFont="1" applyAlignment="1">
      <alignment horizontal="centerContinuous"/>
    </xf>
    <xf numFmtId="0" fontId="124" fillId="0" borderId="0" xfId="0" applyFont="1"/>
    <xf numFmtId="0" fontId="59" fillId="0" borderId="5" xfId="0" applyFont="1" applyBorder="1" applyAlignment="1">
      <alignment horizontal="centerContinuous"/>
    </xf>
    <xf numFmtId="4" fontId="50" fillId="0" borderId="24" xfId="0" applyNumberFormat="1" applyFont="1" applyBorder="1"/>
    <xf numFmtId="4" fontId="59" fillId="0" borderId="5" xfId="0" applyNumberFormat="1" applyFont="1" applyBorder="1"/>
    <xf numFmtId="4" fontId="59" fillId="0" borderId="24" xfId="0" applyNumberFormat="1" applyFont="1" applyBorder="1"/>
    <xf numFmtId="4" fontId="59" fillId="0" borderId="0" xfId="0" applyNumberFormat="1" applyFont="1"/>
    <xf numFmtId="4" fontId="50" fillId="0" borderId="0" xfId="0" applyNumberFormat="1" applyFont="1"/>
    <xf numFmtId="2" fontId="59" fillId="0" borderId="5" xfId="0" applyNumberFormat="1" applyFont="1" applyBorder="1" applyAlignment="1">
      <alignment horizontal="right"/>
    </xf>
    <xf numFmtId="0" fontId="71" fillId="0" borderId="5" xfId="0" applyFont="1" applyBorder="1" applyAlignment="1">
      <alignment vertical="top" wrapText="1"/>
    </xf>
    <xf numFmtId="0" fontId="71" fillId="0" borderId="5" xfId="0" applyFont="1" applyBorder="1" applyAlignment="1">
      <alignment horizontal="center" vertical="top" wrapText="1"/>
    </xf>
    <xf numFmtId="0" fontId="58" fillId="0" borderId="5" xfId="0" applyFont="1" applyBorder="1"/>
    <xf numFmtId="164" fontId="59" fillId="0" borderId="5" xfId="10" applyFont="1" applyBorder="1"/>
    <xf numFmtId="0" fontId="59" fillId="0" borderId="28" xfId="0" applyFont="1" applyBorder="1" applyAlignment="1">
      <alignment horizontal="right"/>
    </xf>
    <xf numFmtId="0" fontId="50" fillId="0" borderId="32" xfId="0" applyFont="1" applyBorder="1"/>
    <xf numFmtId="164" fontId="50" fillId="0" borderId="33" xfId="10" applyFont="1" applyFill="1" applyBorder="1"/>
    <xf numFmtId="2" fontId="122" fillId="0" borderId="0" xfId="0" applyNumberFormat="1" applyFont="1"/>
    <xf numFmtId="0" fontId="59" fillId="0" borderId="7" xfId="0" applyFont="1" applyBorder="1" applyAlignment="1">
      <alignment wrapText="1"/>
    </xf>
    <xf numFmtId="0" fontId="59" fillId="0" borderId="8" xfId="0" applyFont="1" applyBorder="1" applyAlignment="1">
      <alignment horizontal="centerContinuous" wrapText="1"/>
    </xf>
    <xf numFmtId="0" fontId="59" fillId="0" borderId="8" xfId="0" applyFont="1" applyBorder="1" applyAlignment="1">
      <alignment horizontal="centerContinuous"/>
    </xf>
    <xf numFmtId="2" fontId="59" fillId="0" borderId="8" xfId="0" applyNumberFormat="1" applyFont="1" applyBorder="1" applyAlignment="1">
      <alignment horizontal="centerContinuous" wrapText="1"/>
    </xf>
    <xf numFmtId="0" fontId="59" fillId="0" borderId="9" xfId="0" applyFont="1" applyBorder="1" applyAlignment="1">
      <alignment horizontal="centerContinuous" wrapText="1"/>
    </xf>
    <xf numFmtId="0" fontId="50" fillId="0" borderId="0" xfId="0" applyFont="1" applyAlignment="1">
      <alignment wrapText="1"/>
    </xf>
    <xf numFmtId="0" fontId="59" fillId="0" borderId="7" xfId="0" applyFont="1" applyBorder="1" applyAlignment="1">
      <alignment horizontal="center" vertical="center" wrapText="1"/>
    </xf>
    <xf numFmtId="0" fontId="59" fillId="0" borderId="8" xfId="0" applyFont="1" applyBorder="1" applyAlignment="1">
      <alignment horizontal="center" vertical="center" wrapText="1"/>
    </xf>
    <xf numFmtId="2" fontId="59" fillId="0" borderId="8" xfId="0" applyNumberFormat="1" applyFont="1" applyBorder="1" applyAlignment="1">
      <alignment horizontal="center" vertical="center" wrapText="1"/>
    </xf>
    <xf numFmtId="0" fontId="59" fillId="0" borderId="9" xfId="0" applyFont="1" applyBorder="1" applyAlignment="1">
      <alignment horizontal="center" vertical="center" wrapText="1"/>
    </xf>
    <xf numFmtId="0" fontId="50" fillId="0" borderId="55" xfId="0" applyFont="1" applyBorder="1"/>
    <xf numFmtId="0" fontId="59" fillId="0" borderId="23" xfId="0" applyFont="1" applyBorder="1"/>
    <xf numFmtId="0" fontId="59" fillId="0" borderId="23" xfId="0" applyFont="1" applyBorder="1" applyAlignment="1">
      <alignment wrapText="1"/>
    </xf>
    <xf numFmtId="0" fontId="50" fillId="0" borderId="23" xfId="0" applyFont="1" applyBorder="1"/>
    <xf numFmtId="0" fontId="59" fillId="0" borderId="42" xfId="0" applyFont="1" applyBorder="1"/>
    <xf numFmtId="164" fontId="50" fillId="0" borderId="25" xfId="10" applyFont="1" applyBorder="1"/>
    <xf numFmtId="164" fontId="50" fillId="0" borderId="0" xfId="10" applyFont="1" applyBorder="1"/>
    <xf numFmtId="2" fontId="59" fillId="0" borderId="23" xfId="0" applyNumberFormat="1" applyFont="1" applyBorder="1"/>
    <xf numFmtId="169" fontId="50" fillId="0" borderId="25" xfId="0" applyNumberFormat="1" applyFont="1" applyBorder="1"/>
    <xf numFmtId="0" fontId="120" fillId="0" borderId="5" xfId="0" applyFont="1" applyBorder="1" applyAlignment="1">
      <alignment horizontal="left" wrapText="1"/>
    </xf>
    <xf numFmtId="169" fontId="59" fillId="0" borderId="5" xfId="0" applyNumberFormat="1" applyFont="1" applyBorder="1"/>
    <xf numFmtId="169" fontId="59" fillId="0" borderId="25" xfId="0" applyNumberFormat="1" applyFont="1" applyBorder="1"/>
    <xf numFmtId="169" fontId="59" fillId="0" borderId="0" xfId="0" applyNumberFormat="1" applyFont="1"/>
    <xf numFmtId="0" fontId="59" fillId="0" borderId="33" xfId="0" applyFont="1" applyBorder="1" applyAlignment="1">
      <alignment wrapText="1"/>
    </xf>
    <xf numFmtId="2" fontId="59" fillId="0" borderId="33" xfId="0" applyNumberFormat="1" applyFont="1" applyBorder="1" applyAlignment="1">
      <alignment horizontal="right"/>
    </xf>
    <xf numFmtId="164" fontId="59" fillId="0" borderId="0" xfId="10" applyFont="1" applyBorder="1" applyAlignment="1">
      <alignment horizontal="right"/>
    </xf>
    <xf numFmtId="2" fontId="50" fillId="6" borderId="0" xfId="0" applyNumberFormat="1" applyFont="1" applyFill="1"/>
    <xf numFmtId="164" fontId="114" fillId="0" borderId="0" xfId="10" applyFont="1" applyFill="1"/>
    <xf numFmtId="0" fontId="120" fillId="0" borderId="5" xfId="0" applyFont="1" applyBorder="1" applyAlignment="1">
      <alignment horizontal="center" wrapText="1"/>
    </xf>
    <xf numFmtId="2" fontId="50" fillId="24" borderId="25" xfId="0" applyNumberFormat="1" applyFont="1" applyFill="1" applyBorder="1"/>
    <xf numFmtId="169" fontId="59" fillId="0" borderId="33" xfId="0" applyNumberFormat="1" applyFont="1" applyBorder="1"/>
    <xf numFmtId="0" fontId="59" fillId="0" borderId="51" xfId="0" applyFont="1" applyBorder="1" applyAlignment="1">
      <alignment horizontal="center"/>
    </xf>
    <xf numFmtId="0" fontId="59" fillId="0" borderId="71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50" fillId="0" borderId="5" xfId="0" applyFont="1" applyBorder="1" applyAlignment="1">
      <alignment vertical="top" wrapText="1"/>
    </xf>
    <xf numFmtId="0" fontId="90" fillId="0" borderId="0" xfId="0" applyFont="1" applyAlignment="1">
      <alignment vertical="center" wrapText="1"/>
    </xf>
    <xf numFmtId="0" fontId="13" fillId="24" borderId="5" xfId="0" applyFont="1" applyFill="1" applyBorder="1" applyAlignment="1">
      <alignment vertical="top" wrapText="1"/>
    </xf>
    <xf numFmtId="0" fontId="13" fillId="0" borderId="5" xfId="0" quotePrefix="1" applyFont="1" applyBorder="1" applyAlignment="1">
      <alignment horizontal="center"/>
    </xf>
    <xf numFmtId="0" fontId="13" fillId="0" borderId="5" xfId="0" applyFont="1" applyBorder="1" applyAlignment="1">
      <alignment vertical="top" wrapText="1"/>
    </xf>
    <xf numFmtId="2" fontId="50" fillId="0" borderId="5" xfId="39" applyNumberFormat="1" applyFont="1" applyBorder="1" applyProtection="1">
      <protection locked="0"/>
    </xf>
    <xf numFmtId="0" fontId="71" fillId="0" borderId="5" xfId="0" applyFont="1" applyBorder="1"/>
    <xf numFmtId="0" fontId="96" fillId="0" borderId="5" xfId="60" applyFont="1" applyBorder="1" applyAlignment="1">
      <alignment horizontal="center"/>
    </xf>
    <xf numFmtId="0" fontId="12" fillId="2" borderId="0" xfId="60" applyFill="1"/>
    <xf numFmtId="0" fontId="14" fillId="7" borderId="38" xfId="60" applyFont="1" applyFill="1" applyBorder="1" applyAlignment="1">
      <alignment horizontal="center"/>
    </xf>
    <xf numFmtId="0" fontId="59" fillId="7" borderId="0" xfId="60" applyFont="1" applyFill="1" applyAlignment="1">
      <alignment horizontal="center"/>
    </xf>
    <xf numFmtId="0" fontId="59" fillId="7" borderId="36" xfId="60" applyFont="1" applyFill="1" applyBorder="1" applyAlignment="1">
      <alignment horizontal="center"/>
    </xf>
    <xf numFmtId="0" fontId="13" fillId="7" borderId="82" xfId="60" applyFont="1" applyFill="1" applyBorder="1" applyAlignment="1">
      <alignment horizontal="center"/>
    </xf>
    <xf numFmtId="0" fontId="12" fillId="7" borderId="37" xfId="60" applyFill="1" applyBorder="1"/>
    <xf numFmtId="0" fontId="12" fillId="7" borderId="37" xfId="60" applyFill="1" applyBorder="1" applyAlignment="1">
      <alignment horizontal="center"/>
    </xf>
    <xf numFmtId="173" fontId="13" fillId="7" borderId="37" xfId="10" applyNumberFormat="1" applyFont="1" applyFill="1" applyBorder="1" applyAlignment="1">
      <alignment horizontal="center"/>
    </xf>
    <xf numFmtId="173" fontId="13" fillId="7" borderId="21" xfId="10" applyNumberFormat="1" applyFont="1" applyFill="1" applyBorder="1"/>
    <xf numFmtId="0" fontId="70" fillId="7" borderId="37" xfId="60" applyFont="1" applyFill="1" applyBorder="1"/>
    <xf numFmtId="0" fontId="77" fillId="7" borderId="37" xfId="60" applyFont="1" applyFill="1" applyBorder="1"/>
    <xf numFmtId="0" fontId="64" fillId="7" borderId="37" xfId="60" applyFont="1" applyFill="1" applyBorder="1"/>
    <xf numFmtId="0" fontId="78" fillId="7" borderId="37" xfId="60" applyFont="1" applyFill="1" applyBorder="1" applyAlignment="1">
      <alignment horizontal="center"/>
    </xf>
    <xf numFmtId="173" fontId="80" fillId="7" borderId="38" xfId="10" applyNumberFormat="1" applyFont="1" applyFill="1" applyBorder="1"/>
    <xf numFmtId="173" fontId="12" fillId="2" borderId="0" xfId="60" applyNumberFormat="1" applyFill="1"/>
    <xf numFmtId="0" fontId="78" fillId="7" borderId="37" xfId="60" applyFont="1" applyFill="1" applyBorder="1"/>
    <xf numFmtId="173" fontId="80" fillId="7" borderId="85" xfId="10" applyNumberFormat="1" applyFont="1" applyFill="1" applyBorder="1"/>
    <xf numFmtId="173" fontId="78" fillId="7" borderId="37" xfId="60" applyNumberFormat="1" applyFont="1" applyFill="1" applyBorder="1"/>
    <xf numFmtId="173" fontId="80" fillId="7" borderId="92" xfId="10" applyNumberFormat="1" applyFont="1" applyFill="1" applyBorder="1"/>
    <xf numFmtId="164" fontId="12" fillId="2" borderId="0" xfId="60" applyNumberFormat="1" applyFill="1"/>
    <xf numFmtId="0" fontId="126" fillId="0" borderId="37" xfId="60" applyFont="1" applyBorder="1"/>
    <xf numFmtId="173" fontId="82" fillId="24" borderId="38" xfId="10" applyNumberFormat="1" applyFont="1" applyFill="1" applyBorder="1"/>
    <xf numFmtId="173" fontId="82" fillId="24" borderId="39" xfId="10" applyNumberFormat="1" applyFont="1" applyFill="1" applyBorder="1"/>
    <xf numFmtId="0" fontId="77" fillId="7" borderId="36" xfId="60" applyFont="1" applyFill="1" applyBorder="1"/>
    <xf numFmtId="0" fontId="77" fillId="7" borderId="16" xfId="60" applyFont="1" applyFill="1" applyBorder="1"/>
    <xf numFmtId="0" fontId="127" fillId="7" borderId="37" xfId="60" applyFont="1" applyFill="1" applyBorder="1"/>
    <xf numFmtId="0" fontId="12" fillId="7" borderId="0" xfId="60" applyFill="1"/>
    <xf numFmtId="0" fontId="64" fillId="7" borderId="0" xfId="60" applyFont="1" applyFill="1"/>
    <xf numFmtId="0" fontId="64" fillId="7" borderId="21" xfId="60" applyFont="1" applyFill="1" applyBorder="1"/>
    <xf numFmtId="0" fontId="64" fillId="7" borderId="38" xfId="60" applyFont="1" applyFill="1" applyBorder="1"/>
    <xf numFmtId="0" fontId="64" fillId="7" borderId="20" xfId="60" applyFont="1" applyFill="1" applyBorder="1"/>
    <xf numFmtId="0" fontId="64" fillId="7" borderId="39" xfId="60" applyFont="1" applyFill="1" applyBorder="1"/>
    <xf numFmtId="0" fontId="14" fillId="7" borderId="37" xfId="60" applyFont="1" applyFill="1" applyBorder="1" applyAlignment="1">
      <alignment horizontal="center"/>
    </xf>
    <xf numFmtId="0" fontId="59" fillId="7" borderId="16" xfId="60" applyFont="1" applyFill="1" applyBorder="1" applyAlignment="1">
      <alignment horizontal="center"/>
    </xf>
    <xf numFmtId="0" fontId="13" fillId="7" borderId="0" xfId="60" applyFont="1" applyFill="1" applyAlignment="1">
      <alignment horizontal="center"/>
    </xf>
    <xf numFmtId="0" fontId="12" fillId="7" borderId="81" xfId="60" applyFill="1" applyBorder="1" applyAlignment="1">
      <alignment horizontal="center"/>
    </xf>
    <xf numFmtId="0" fontId="12" fillId="7" borderId="21" xfId="60" applyFill="1" applyBorder="1"/>
    <xf numFmtId="0" fontId="101" fillId="7" borderId="37" xfId="60" applyFont="1" applyFill="1" applyBorder="1" applyAlignment="1">
      <alignment horizontal="center"/>
    </xf>
    <xf numFmtId="164" fontId="102" fillId="24" borderId="37" xfId="10" applyFont="1" applyFill="1" applyBorder="1"/>
    <xf numFmtId="0" fontId="12" fillId="24" borderId="21" xfId="60" applyFill="1" applyBorder="1"/>
    <xf numFmtId="173" fontId="79" fillId="0" borderId="21" xfId="10" applyNumberFormat="1" applyFont="1" applyFill="1" applyBorder="1"/>
    <xf numFmtId="0" fontId="91" fillId="24" borderId="37" xfId="60" applyFont="1" applyFill="1" applyBorder="1"/>
    <xf numFmtId="0" fontId="91" fillId="7" borderId="21" xfId="60" applyFont="1" applyFill="1" applyBorder="1"/>
    <xf numFmtId="173" fontId="103" fillId="24" borderId="21" xfId="10" applyNumberFormat="1" applyFont="1" applyFill="1" applyBorder="1"/>
    <xf numFmtId="164" fontId="79" fillId="24" borderId="37" xfId="10" applyFont="1" applyFill="1" applyBorder="1"/>
    <xf numFmtId="0" fontId="81" fillId="7" borderId="37" xfId="60" applyFont="1" applyFill="1" applyBorder="1"/>
    <xf numFmtId="173" fontId="80" fillId="24" borderId="19" xfId="10" applyNumberFormat="1" applyFont="1" applyFill="1" applyBorder="1"/>
    <xf numFmtId="173" fontId="79" fillId="24" borderId="19" xfId="10" applyNumberFormat="1" applyFont="1" applyFill="1" applyBorder="1"/>
    <xf numFmtId="9" fontId="79" fillId="24" borderId="37" xfId="61" applyFont="1" applyFill="1" applyBorder="1"/>
    <xf numFmtId="0" fontId="79" fillId="7" borderId="37" xfId="60" applyFont="1" applyFill="1" applyBorder="1"/>
    <xf numFmtId="0" fontId="12" fillId="24" borderId="0" xfId="60" applyFill="1"/>
    <xf numFmtId="164" fontId="12" fillId="24" borderId="37" xfId="10" applyFont="1" applyFill="1" applyBorder="1"/>
    <xf numFmtId="173" fontId="12" fillId="24" borderId="21" xfId="10" applyNumberFormat="1" applyFont="1" applyFill="1" applyBorder="1"/>
    <xf numFmtId="173" fontId="80" fillId="24" borderId="86" xfId="10" applyNumberFormat="1" applyFont="1" applyFill="1" applyBorder="1"/>
    <xf numFmtId="0" fontId="81" fillId="7" borderId="37" xfId="60" applyFont="1" applyFill="1" applyBorder="1" applyAlignment="1">
      <alignment horizontal="center"/>
    </xf>
    <xf numFmtId="0" fontId="64" fillId="24" borderId="37" xfId="60" applyFont="1" applyFill="1" applyBorder="1"/>
    <xf numFmtId="173" fontId="80" fillId="24" borderId="83" xfId="10" applyNumberFormat="1" applyFont="1" applyFill="1" applyBorder="1"/>
    <xf numFmtId="173" fontId="79" fillId="7" borderId="83" xfId="10" applyNumberFormat="1" applyFont="1" applyFill="1" applyBorder="1"/>
    <xf numFmtId="0" fontId="77" fillId="7" borderId="21" xfId="60" applyFont="1" applyFill="1" applyBorder="1"/>
    <xf numFmtId="0" fontId="82" fillId="7" borderId="21" xfId="60" applyFont="1" applyFill="1" applyBorder="1"/>
    <xf numFmtId="0" fontId="82" fillId="7" borderId="37" xfId="60" applyFont="1" applyFill="1" applyBorder="1"/>
    <xf numFmtId="192" fontId="82" fillId="7" borderId="21" xfId="60" applyNumberFormat="1" applyFont="1" applyFill="1" applyBorder="1"/>
    <xf numFmtId="0" fontId="77" fillId="7" borderId="38" xfId="60" applyFont="1" applyFill="1" applyBorder="1"/>
    <xf numFmtId="0" fontId="77" fillId="7" borderId="39" xfId="60" applyFont="1" applyFill="1" applyBorder="1"/>
    <xf numFmtId="0" fontId="12" fillId="7" borderId="36" xfId="60" applyFill="1" applyBorder="1"/>
    <xf numFmtId="0" fontId="12" fillId="7" borderId="16" xfId="60" applyFill="1" applyBorder="1"/>
    <xf numFmtId="0" fontId="83" fillId="7" borderId="0" xfId="60" applyFont="1" applyFill="1"/>
    <xf numFmtId="0" fontId="84" fillId="7" borderId="0" xfId="60" applyFont="1" applyFill="1"/>
    <xf numFmtId="1" fontId="70" fillId="7" borderId="0" xfId="60" applyNumberFormat="1" applyFont="1" applyFill="1"/>
    <xf numFmtId="0" fontId="84" fillId="7" borderId="37" xfId="60" applyFont="1" applyFill="1" applyBorder="1"/>
    <xf numFmtId="0" fontId="70" fillId="7" borderId="0" xfId="60" applyFont="1" applyFill="1"/>
    <xf numFmtId="1" fontId="64" fillId="7" borderId="0" xfId="60" applyNumberFormat="1" applyFont="1" applyFill="1"/>
    <xf numFmtId="0" fontId="64" fillId="7" borderId="37" xfId="60" applyFont="1" applyFill="1" applyBorder="1" applyAlignment="1">
      <alignment horizontal="left"/>
    </xf>
    <xf numFmtId="0" fontId="64" fillId="7" borderId="0" xfId="60" applyFont="1" applyFill="1" applyAlignment="1">
      <alignment horizontal="left"/>
    </xf>
    <xf numFmtId="0" fontId="64" fillId="7" borderId="37" xfId="60" applyFont="1" applyFill="1" applyBorder="1" applyAlignment="1">
      <alignment horizontal="right"/>
    </xf>
    <xf numFmtId="0" fontId="64" fillId="7" borderId="0" xfId="60" applyFont="1" applyFill="1" applyAlignment="1">
      <alignment horizontal="right"/>
    </xf>
    <xf numFmtId="164" fontId="64" fillId="24" borderId="0" xfId="10" applyFont="1" applyFill="1" applyBorder="1"/>
    <xf numFmtId="0" fontId="64" fillId="7" borderId="38" xfId="60" applyFont="1" applyFill="1" applyBorder="1" applyAlignment="1">
      <alignment horizontal="left"/>
    </xf>
    <xf numFmtId="173" fontId="59" fillId="7" borderId="17" xfId="60" applyNumberFormat="1" applyFont="1" applyFill="1" applyBorder="1" applyAlignment="1">
      <alignment horizontal="center"/>
    </xf>
    <xf numFmtId="173" fontId="50" fillId="7" borderId="17" xfId="60" applyNumberFormat="1" applyFont="1" applyFill="1" applyBorder="1" applyAlignment="1">
      <alignment horizontal="center"/>
    </xf>
    <xf numFmtId="3" fontId="12" fillId="2" borderId="0" xfId="60" applyNumberFormat="1" applyFill="1"/>
    <xf numFmtId="165" fontId="12" fillId="2" borderId="0" xfId="60" applyNumberFormat="1" applyFill="1"/>
    <xf numFmtId="0" fontId="128" fillId="24" borderId="37" xfId="60" applyFont="1" applyFill="1" applyBorder="1" applyAlignment="1">
      <alignment horizontal="right"/>
    </xf>
    <xf numFmtId="0" fontId="12" fillId="7" borderId="38" xfId="60" applyFill="1" applyBorder="1"/>
    <xf numFmtId="0" fontId="12" fillId="7" borderId="20" xfId="60" applyFill="1" applyBorder="1"/>
    <xf numFmtId="0" fontId="64" fillId="24" borderId="0" xfId="60" applyFont="1" applyFill="1"/>
    <xf numFmtId="0" fontId="77" fillId="7" borderId="0" xfId="60" applyFont="1" applyFill="1"/>
    <xf numFmtId="0" fontId="77" fillId="7" borderId="20" xfId="60" applyFont="1" applyFill="1" applyBorder="1"/>
    <xf numFmtId="0" fontId="82" fillId="7" borderId="0" xfId="60" applyFont="1" applyFill="1"/>
    <xf numFmtId="0" fontId="50" fillId="2" borderId="0" xfId="60" applyFont="1" applyFill="1"/>
    <xf numFmtId="0" fontId="106" fillId="24" borderId="37" xfId="60" applyFont="1" applyFill="1" applyBorder="1"/>
    <xf numFmtId="0" fontId="64" fillId="24" borderId="37" xfId="60" applyFont="1" applyFill="1" applyBorder="1" applyAlignment="1">
      <alignment horizontal="left"/>
    </xf>
    <xf numFmtId="0" fontId="79" fillId="24" borderId="37" xfId="60" applyFont="1" applyFill="1" applyBorder="1"/>
    <xf numFmtId="0" fontId="12" fillId="24" borderId="37" xfId="60" applyFill="1" applyBorder="1"/>
    <xf numFmtId="0" fontId="92" fillId="24" borderId="37" xfId="60" applyFont="1" applyFill="1" applyBorder="1"/>
    <xf numFmtId="0" fontId="92" fillId="24" borderId="38" xfId="60" applyFont="1" applyFill="1" applyBorder="1"/>
    <xf numFmtId="0" fontId="92" fillId="24" borderId="36" xfId="60" applyFont="1" applyFill="1" applyBorder="1"/>
    <xf numFmtId="0" fontId="70" fillId="24" borderId="37" xfId="60" applyFont="1" applyFill="1" applyBorder="1"/>
    <xf numFmtId="0" fontId="109" fillId="24" borderId="82" xfId="60" applyFont="1" applyFill="1" applyBorder="1"/>
    <xf numFmtId="0" fontId="59" fillId="24" borderId="37" xfId="60" applyFont="1" applyFill="1" applyBorder="1"/>
    <xf numFmtId="0" fontId="80" fillId="24" borderId="82" xfId="60" applyFont="1" applyFill="1" applyBorder="1"/>
    <xf numFmtId="0" fontId="110" fillId="24" borderId="37" xfId="60" applyFont="1" applyFill="1" applyBorder="1"/>
    <xf numFmtId="0" fontId="64" fillId="24" borderId="36" xfId="60" applyFont="1" applyFill="1" applyBorder="1"/>
    <xf numFmtId="0" fontId="70" fillId="24" borderId="82" xfId="60" applyFont="1" applyFill="1" applyBorder="1"/>
    <xf numFmtId="2" fontId="0" fillId="20" borderId="5" xfId="0" applyNumberFormat="1" applyFill="1" applyBorder="1"/>
    <xf numFmtId="166" fontId="16" fillId="20" borderId="5" xfId="0" applyNumberFormat="1" applyFont="1" applyFill="1" applyBorder="1"/>
    <xf numFmtId="2" fontId="123" fillId="0" borderId="5" xfId="0" applyNumberFormat="1" applyFont="1" applyBorder="1" applyAlignment="1">
      <alignment horizontal="right"/>
    </xf>
    <xf numFmtId="0" fontId="123" fillId="0" borderId="5" xfId="0" applyFont="1" applyBorder="1" applyAlignment="1">
      <alignment horizontal="right"/>
    </xf>
    <xf numFmtId="2" fontId="123" fillId="0" borderId="5" xfId="43" applyNumberFormat="1" applyFont="1" applyFill="1" applyBorder="1" applyAlignment="1"/>
    <xf numFmtId="2" fontId="129" fillId="5" borderId="5" xfId="0" applyNumberFormat="1" applyFont="1" applyFill="1" applyBorder="1"/>
    <xf numFmtId="2" fontId="125" fillId="0" borderId="25" xfId="0" applyNumberFormat="1" applyFont="1" applyBorder="1"/>
    <xf numFmtId="2" fontId="0" fillId="19" borderId="5" xfId="0" applyNumberFormat="1" applyFill="1" applyBorder="1"/>
    <xf numFmtId="2" fontId="50" fillId="24" borderId="0" xfId="0" applyNumberFormat="1" applyFont="1" applyFill="1"/>
    <xf numFmtId="2" fontId="13" fillId="0" borderId="24" xfId="0" applyNumberFormat="1" applyFon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112" fillId="0" borderId="44" xfId="0" applyFont="1" applyBorder="1" applyAlignment="1">
      <alignment horizontal="center"/>
    </xf>
    <xf numFmtId="2" fontId="0" fillId="18" borderId="5" xfId="0" applyNumberFormat="1" applyFill="1" applyBorder="1"/>
    <xf numFmtId="0" fontId="113" fillId="0" borderId="0" xfId="0" applyFont="1" applyAlignment="1">
      <alignment horizontal="right"/>
    </xf>
    <xf numFmtId="0" fontId="12" fillId="0" borderId="44" xfId="0" applyFont="1" applyBorder="1" applyAlignment="1">
      <alignment wrapText="1"/>
    </xf>
    <xf numFmtId="164" fontId="50" fillId="0" borderId="5" xfId="10" applyFont="1" applyBorder="1" applyAlignment="1">
      <alignment vertical="top" wrapText="1"/>
    </xf>
    <xf numFmtId="2" fontId="50" fillId="0" borderId="5" xfId="43" applyNumberFormat="1" applyFont="1" applyFill="1" applyBorder="1" applyAlignment="1"/>
    <xf numFmtId="2" fontId="12" fillId="13" borderId="0" xfId="0" applyNumberFormat="1" applyFont="1" applyFill="1" applyAlignment="1">
      <alignment horizontal="center"/>
    </xf>
    <xf numFmtId="0" fontId="24" fillId="0" borderId="0" xfId="62" applyFill="1" applyAlignment="1">
      <alignment vertical="center"/>
    </xf>
    <xf numFmtId="0" fontId="22" fillId="0" borderId="0" xfId="62" applyFont="1" applyFill="1" applyAlignment="1">
      <alignment vertical="center"/>
    </xf>
    <xf numFmtId="0" fontId="24" fillId="0" borderId="0" xfId="62" applyFill="1" applyAlignment="1">
      <alignment horizontal="centerContinuous" vertical="center"/>
    </xf>
    <xf numFmtId="0" fontId="14" fillId="0" borderId="0" xfId="62" applyFont="1" applyFill="1" applyAlignment="1">
      <alignment horizontal="right" vertical="center"/>
    </xf>
    <xf numFmtId="0" fontId="15" fillId="0" borderId="0" xfId="62" applyFont="1" applyFill="1" applyAlignment="1">
      <alignment horizontal="right" vertical="center"/>
    </xf>
    <xf numFmtId="0" fontId="132" fillId="0" borderId="0" xfId="62" applyFont="1" applyFill="1" applyAlignment="1">
      <alignment horizontal="centerContinuous" vertical="center"/>
    </xf>
    <xf numFmtId="0" fontId="21" fillId="0" borderId="0" xfId="62" applyFont="1" applyFill="1" applyAlignment="1">
      <alignment horizontal="centerContinuous" vertical="center"/>
    </xf>
    <xf numFmtId="0" fontId="24" fillId="0" borderId="5" xfId="62" applyFill="1" applyBorder="1" applyAlignment="1">
      <alignment vertical="center"/>
    </xf>
    <xf numFmtId="0" fontId="21" fillId="0" borderId="5" xfId="62" applyFont="1" applyFill="1" applyBorder="1" applyAlignment="1">
      <alignment horizontal="centerContinuous" vertical="center"/>
    </xf>
    <xf numFmtId="0" fontId="24" fillId="0" borderId="23" xfId="62" applyFill="1" applyBorder="1" applyAlignment="1">
      <alignment vertical="center"/>
    </xf>
    <xf numFmtId="0" fontId="18" fillId="0" borderId="5" xfId="62" applyFont="1" applyFill="1" applyBorder="1" applyAlignment="1">
      <alignment horizontal="center" vertical="center" wrapText="1"/>
    </xf>
    <xf numFmtId="0" fontId="12" fillId="0" borderId="23" xfId="62" applyFont="1" applyFill="1" applyBorder="1" applyAlignment="1">
      <alignment vertical="center" wrapText="1"/>
    </xf>
    <xf numFmtId="0" fontId="12" fillId="0" borderId="5" xfId="62" applyFont="1" applyFill="1" applyBorder="1" applyAlignment="1">
      <alignment vertical="center" wrapText="1"/>
    </xf>
    <xf numFmtId="0" fontId="24" fillId="0" borderId="5" xfId="62" applyFill="1" applyBorder="1" applyAlignment="1">
      <alignment vertical="center" wrapText="1"/>
    </xf>
    <xf numFmtId="0" fontId="12" fillId="0" borderId="5" xfId="62" applyFont="1" applyFill="1" applyBorder="1" applyAlignment="1">
      <alignment vertical="center"/>
    </xf>
    <xf numFmtId="0" fontId="24" fillId="0" borderId="5" xfId="62" applyFill="1" applyBorder="1" applyAlignment="1">
      <alignment horizontal="center" vertical="center"/>
    </xf>
    <xf numFmtId="0" fontId="12" fillId="0" borderId="0" xfId="62" applyFont="1" applyFill="1" applyAlignment="1">
      <alignment vertical="center"/>
    </xf>
    <xf numFmtId="0" fontId="12" fillId="0" borderId="5" xfId="62" applyFont="1" applyFill="1" applyBorder="1" applyAlignment="1">
      <alignment horizontal="center" vertical="center"/>
    </xf>
    <xf numFmtId="10" fontId="28" fillId="0" borderId="5" xfId="43" applyNumberFormat="1" applyFont="1" applyFill="1" applyBorder="1" applyAlignment="1">
      <alignment horizontal="center" vertical="center"/>
    </xf>
    <xf numFmtId="9" fontId="28" fillId="0" borderId="5" xfId="43" applyFont="1" applyFill="1" applyBorder="1" applyAlignment="1">
      <alignment horizontal="center" vertical="center"/>
    </xf>
    <xf numFmtId="0" fontId="21" fillId="0" borderId="5" xfId="62" applyFont="1" applyFill="1" applyBorder="1" applyAlignment="1">
      <alignment vertical="center"/>
    </xf>
    <xf numFmtId="165" fontId="14" fillId="0" borderId="5" xfId="62" applyNumberFormat="1" applyFont="1" applyFill="1" applyBorder="1" applyAlignment="1">
      <alignment horizontal="center" vertical="center"/>
    </xf>
    <xf numFmtId="9" fontId="21" fillId="0" borderId="5" xfId="43" applyFont="1" applyFill="1" applyBorder="1" applyAlignment="1">
      <alignment horizontal="center" vertical="center"/>
    </xf>
    <xf numFmtId="10" fontId="21" fillId="0" borderId="5" xfId="43" applyNumberFormat="1" applyFont="1" applyFill="1" applyBorder="1" applyAlignment="1">
      <alignment horizontal="center" vertical="center"/>
    </xf>
    <xf numFmtId="10" fontId="14" fillId="0" borderId="5" xfId="43" applyNumberFormat="1" applyFont="1" applyFill="1" applyBorder="1" applyAlignment="1">
      <alignment horizontal="center" vertical="center"/>
    </xf>
    <xf numFmtId="10" fontId="14" fillId="0" borderId="5" xfId="62" applyNumberFormat="1" applyFont="1" applyFill="1" applyBorder="1" applyAlignment="1">
      <alignment horizontal="center" vertical="center"/>
    </xf>
    <xf numFmtId="0" fontId="13" fillId="0" borderId="0" xfId="62" applyFont="1" applyFill="1" applyAlignment="1">
      <alignment vertical="center"/>
    </xf>
    <xf numFmtId="0" fontId="14" fillId="0" borderId="0" xfId="62" applyFont="1" applyFill="1" applyAlignment="1">
      <alignment vertical="center"/>
    </xf>
    <xf numFmtId="10" fontId="24" fillId="0" borderId="5" xfId="43" applyNumberFormat="1" applyFont="1" applyFill="1" applyBorder="1" applyAlignment="1">
      <alignment horizontal="center" vertical="center"/>
    </xf>
    <xf numFmtId="165" fontId="12" fillId="0" borderId="0" xfId="62" applyNumberFormat="1" applyFont="1" applyFill="1" applyAlignment="1">
      <alignment vertical="center"/>
    </xf>
    <xf numFmtId="10" fontId="13" fillId="0" borderId="0" xfId="43" applyNumberFormat="1" applyFont="1" applyFill="1" applyAlignment="1">
      <alignment vertical="center"/>
    </xf>
    <xf numFmtId="10" fontId="13" fillId="0" borderId="0" xfId="62" applyNumberFormat="1" applyFont="1" applyFill="1" applyAlignment="1">
      <alignment vertical="center"/>
    </xf>
    <xf numFmtId="165" fontId="12" fillId="0" borderId="0" xfId="62" applyNumberFormat="1" applyFont="1" applyFill="1" applyAlignment="1">
      <alignment horizontal="right" vertical="center"/>
    </xf>
    <xf numFmtId="191" fontId="12" fillId="0" borderId="0" xfId="62" applyNumberFormat="1" applyFont="1" applyFill="1" applyAlignment="1">
      <alignment vertical="center" wrapText="1"/>
    </xf>
    <xf numFmtId="165" fontId="14" fillId="0" borderId="0" xfId="62" applyNumberFormat="1" applyFont="1" applyFill="1" applyAlignment="1">
      <alignment vertical="center"/>
    </xf>
    <xf numFmtId="165" fontId="24" fillId="0" borderId="0" xfId="62" applyNumberFormat="1" applyFill="1" applyAlignment="1">
      <alignment vertical="center"/>
    </xf>
    <xf numFmtId="0" fontId="37" fillId="0" borderId="0" xfId="62" applyFont="1" applyFill="1" applyAlignment="1">
      <alignment vertical="center"/>
    </xf>
    <xf numFmtId="0" fontId="23" fillId="0" borderId="0" xfId="62" applyFont="1" applyFill="1" applyAlignment="1">
      <alignment vertical="center"/>
    </xf>
    <xf numFmtId="0" fontId="37" fillId="0" borderId="0" xfId="62" applyFont="1" applyFill="1" applyAlignment="1">
      <alignment horizontal="center" vertical="center"/>
    </xf>
    <xf numFmtId="0" fontId="22" fillId="0" borderId="5" xfId="62" applyFont="1" applyFill="1" applyBorder="1" applyAlignment="1">
      <alignment vertical="center"/>
    </xf>
    <xf numFmtId="0" fontId="37" fillId="0" borderId="5" xfId="62" applyFont="1" applyFill="1" applyBorder="1" applyAlignment="1">
      <alignment vertical="center"/>
    </xf>
    <xf numFmtId="0" fontId="24" fillId="0" borderId="0" xfId="62" applyFill="1" applyAlignment="1">
      <alignment horizontal="center" vertical="center" wrapText="1"/>
    </xf>
    <xf numFmtId="0" fontId="22" fillId="0" borderId="5" xfId="62" applyFont="1" applyFill="1" applyBorder="1" applyAlignment="1">
      <alignment horizontal="center" vertical="center"/>
    </xf>
    <xf numFmtId="184" fontId="22" fillId="0" borderId="5" xfId="62" applyNumberFormat="1" applyFont="1" applyFill="1" applyBorder="1" applyAlignment="1">
      <alignment horizontal="center" vertical="center" wrapText="1"/>
    </xf>
    <xf numFmtId="1" fontId="31" fillId="0" borderId="5" xfId="62" applyNumberFormat="1" applyFont="1" applyFill="1" applyBorder="1" applyAlignment="1">
      <alignment vertical="center"/>
    </xf>
    <xf numFmtId="2" fontId="24" fillId="0" borderId="0" xfId="62" applyNumberFormat="1" applyFill="1" applyAlignment="1">
      <alignment vertical="center"/>
    </xf>
    <xf numFmtId="1" fontId="22" fillId="0" borderId="5" xfId="62" applyNumberFormat="1" applyFont="1" applyFill="1" applyBorder="1" applyAlignment="1">
      <alignment vertical="center"/>
    </xf>
    <xf numFmtId="165" fontId="22" fillId="0" borderId="5" xfId="62" applyNumberFormat="1" applyFont="1" applyFill="1" applyBorder="1" applyAlignment="1">
      <alignment vertical="center"/>
    </xf>
    <xf numFmtId="2" fontId="22" fillId="0" borderId="5" xfId="62" applyNumberFormat="1" applyFont="1" applyFill="1" applyBorder="1" applyAlignment="1">
      <alignment vertical="center"/>
    </xf>
    <xf numFmtId="1" fontId="37" fillId="0" borderId="5" xfId="62" applyNumberFormat="1" applyFont="1" applyFill="1" applyBorder="1" applyAlignment="1">
      <alignment vertical="center"/>
    </xf>
    <xf numFmtId="165" fontId="37" fillId="0" borderId="5" xfId="62" applyNumberFormat="1" applyFont="1" applyFill="1" applyBorder="1" applyAlignment="1">
      <alignment vertical="center"/>
    </xf>
    <xf numFmtId="2" fontId="37" fillId="0" borderId="5" xfId="62" applyNumberFormat="1" applyFont="1" applyFill="1" applyBorder="1" applyAlignment="1">
      <alignment vertical="center"/>
    </xf>
    <xf numFmtId="0" fontId="22" fillId="0" borderId="51" xfId="62" applyFont="1" applyFill="1" applyBorder="1" applyAlignment="1">
      <alignment vertical="center" wrapText="1"/>
    </xf>
    <xf numFmtId="0" fontId="24" fillId="0" borderId="61" xfId="62" applyFill="1" applyBorder="1" applyAlignment="1">
      <alignment horizontal="center" vertical="center"/>
    </xf>
    <xf numFmtId="0" fontId="22" fillId="0" borderId="0" xfId="62" applyFont="1" applyFill="1" applyAlignment="1">
      <alignment vertical="center" wrapText="1"/>
    </xf>
    <xf numFmtId="0" fontId="24" fillId="0" borderId="0" xfId="62" applyFill="1" applyAlignment="1">
      <alignment horizontal="center" vertical="center"/>
    </xf>
    <xf numFmtId="0" fontId="24" fillId="0" borderId="0" xfId="62" applyFill="1" applyAlignment="1">
      <alignment vertical="center" wrapText="1"/>
    </xf>
    <xf numFmtId="0" fontId="31" fillId="0" borderId="0" xfId="62" applyFont="1" applyFill="1" applyAlignment="1">
      <alignment horizontal="center" vertical="center"/>
    </xf>
    <xf numFmtId="0" fontId="15" fillId="0" borderId="0" xfId="62" applyFont="1" applyFill="1" applyAlignment="1">
      <alignment vertical="center"/>
    </xf>
    <xf numFmtId="0" fontId="31" fillId="0" borderId="0" xfId="62" applyFont="1" applyFill="1" applyAlignment="1">
      <alignment vertical="center"/>
    </xf>
    <xf numFmtId="0" fontId="37" fillId="0" borderId="57" xfId="62" applyFont="1" applyFill="1" applyBorder="1" applyAlignment="1">
      <alignment horizontal="center" vertical="center"/>
    </xf>
    <xf numFmtId="0" fontId="31" fillId="0" borderId="57" xfId="62" applyFont="1" applyFill="1" applyBorder="1" applyAlignment="1">
      <alignment horizontal="center" vertical="center"/>
    </xf>
    <xf numFmtId="0" fontId="31" fillId="4" borderId="5" xfId="62" applyFont="1" applyBorder="1" applyAlignment="1">
      <alignment vertical="center"/>
    </xf>
    <xf numFmtId="0" fontId="31" fillId="0" borderId="0" xfId="62" applyFont="1" applyFill="1"/>
    <xf numFmtId="0" fontId="15" fillId="0" borderId="0" xfId="62" applyFont="1" applyFill="1"/>
    <xf numFmtId="0" fontId="24" fillId="0" borderId="0" xfId="62" applyFill="1"/>
    <xf numFmtId="0" fontId="37" fillId="0" borderId="0" xfId="62" applyFont="1" applyFill="1" applyAlignment="1">
      <alignment horizontal="left" vertical="center"/>
    </xf>
    <xf numFmtId="2" fontId="31" fillId="4" borderId="5" xfId="62" applyNumberFormat="1" applyFont="1" applyBorder="1" applyAlignment="1">
      <alignment vertical="center"/>
    </xf>
    <xf numFmtId="165" fontId="31" fillId="4" borderId="0" xfId="62" applyNumberFormat="1" applyFont="1" applyAlignment="1">
      <alignment vertical="center"/>
    </xf>
    <xf numFmtId="191" fontId="14" fillId="0" borderId="5" xfId="10" applyNumberFormat="1" applyFont="1" applyBorder="1" applyAlignment="1">
      <alignment horizontal="center" vertical="center"/>
    </xf>
    <xf numFmtId="191" fontId="14" fillId="0" borderId="5" xfId="10" applyNumberFormat="1" applyFont="1" applyBorder="1" applyAlignment="1">
      <alignment horizontal="center" vertical="center" wrapText="1"/>
    </xf>
    <xf numFmtId="191" fontId="46" fillId="0" borderId="98" xfId="10" applyNumberFormat="1" applyFont="1" applyBorder="1" applyAlignment="1">
      <alignment vertical="center"/>
    </xf>
    <xf numFmtId="191" fontId="46" fillId="0" borderId="99" xfId="10" applyNumberFormat="1" applyFont="1" applyBorder="1" applyAlignment="1">
      <alignment vertical="center"/>
    </xf>
    <xf numFmtId="175" fontId="34" fillId="0" borderId="98" xfId="10" applyNumberFormat="1" applyFont="1" applyBorder="1" applyAlignment="1">
      <alignment vertical="center"/>
    </xf>
    <xf numFmtId="175" fontId="34" fillId="0" borderId="99" xfId="10" applyNumberFormat="1" applyFont="1" applyBorder="1" applyAlignment="1">
      <alignment vertical="center"/>
    </xf>
    <xf numFmtId="164" fontId="34" fillId="0" borderId="99" xfId="10" applyFont="1" applyBorder="1" applyAlignment="1">
      <alignment vertical="center"/>
    </xf>
    <xf numFmtId="164" fontId="14" fillId="0" borderId="5" xfId="10" applyFont="1" applyBorder="1" applyAlignment="1">
      <alignment vertical="center"/>
    </xf>
    <xf numFmtId="175" fontId="34" fillId="0" borderId="0" xfId="10" applyNumberFormat="1" applyFont="1" applyBorder="1" applyAlignment="1">
      <alignment vertical="center"/>
    </xf>
    <xf numFmtId="191" fontId="46" fillId="0" borderId="0" xfId="10" applyNumberFormat="1" applyFont="1" applyBorder="1" applyAlignment="1">
      <alignment vertical="center"/>
    </xf>
    <xf numFmtId="164" fontId="34" fillId="0" borderId="0" xfId="10" applyFont="1" applyBorder="1" applyAlignment="1">
      <alignment vertical="center"/>
    </xf>
    <xf numFmtId="175" fontId="36" fillId="0" borderId="5" xfId="10" applyNumberFormat="1" applyFont="1" applyBorder="1" applyAlignment="1">
      <alignment horizontal="center" vertical="center"/>
    </xf>
    <xf numFmtId="0" fontId="22" fillId="0" borderId="0" xfId="62" applyFont="1" applyFill="1"/>
    <xf numFmtId="0" fontId="14" fillId="0" borderId="0" xfId="62" applyFont="1" applyFill="1" applyAlignment="1">
      <alignment horizontal="right"/>
    </xf>
    <xf numFmtId="0" fontId="14" fillId="0" borderId="0" xfId="62" applyFont="1" applyFill="1"/>
    <xf numFmtId="0" fontId="37" fillId="0" borderId="0" xfId="62" applyFont="1" applyFill="1"/>
    <xf numFmtId="0" fontId="23" fillId="0" borderId="0" xfId="62" applyFont="1" applyFill="1"/>
    <xf numFmtId="0" fontId="33" fillId="0" borderId="0" xfId="62" applyFont="1" applyFill="1"/>
    <xf numFmtId="0" fontId="37" fillId="0" borderId="0" xfId="62" applyFont="1" applyFill="1" applyAlignment="1">
      <alignment horizontal="left"/>
    </xf>
    <xf numFmtId="0" fontId="37" fillId="0" borderId="5" xfId="62" applyFont="1" applyFill="1" applyBorder="1"/>
    <xf numFmtId="0" fontId="24" fillId="0" borderId="5" xfId="62" applyFill="1" applyBorder="1"/>
    <xf numFmtId="184" fontId="22" fillId="0" borderId="5" xfId="62" applyNumberFormat="1" applyFont="1" applyFill="1" applyBorder="1" applyAlignment="1">
      <alignment horizontal="center"/>
    </xf>
    <xf numFmtId="2" fontId="24" fillId="0" borderId="0" xfId="62" applyNumberFormat="1" applyFill="1"/>
    <xf numFmtId="165" fontId="24" fillId="0" borderId="0" xfId="62" applyNumberFormat="1" applyFill="1"/>
    <xf numFmtId="0" fontId="21" fillId="0" borderId="0" xfId="62" applyFont="1" applyFill="1"/>
    <xf numFmtId="0" fontId="34" fillId="0" borderId="0" xfId="62" applyFont="1" applyFill="1" applyAlignment="1">
      <alignment horizontal="center"/>
    </xf>
    <xf numFmtId="0" fontId="34" fillId="0" borderId="0" xfId="62" applyFont="1" applyFill="1"/>
    <xf numFmtId="0" fontId="36" fillId="0" borderId="0" xfId="63" applyFont="1" applyFill="1" applyAlignment="1">
      <alignment horizontal="right"/>
    </xf>
    <xf numFmtId="0" fontId="24" fillId="4" borderId="0" xfId="62"/>
    <xf numFmtId="0" fontId="133" fillId="0" borderId="0" xfId="62" applyFont="1" applyFill="1" applyAlignment="1">
      <alignment horizontal="left"/>
    </xf>
    <xf numFmtId="2" fontId="34" fillId="0" borderId="0" xfId="62" applyNumberFormat="1" applyFont="1" applyFill="1" applyAlignment="1">
      <alignment horizontal="center"/>
    </xf>
    <xf numFmtId="2" fontId="36" fillId="0" borderId="0" xfId="62" applyNumberFormat="1" applyFont="1" applyFill="1" applyAlignment="1">
      <alignment horizontal="left"/>
    </xf>
    <xf numFmtId="2" fontId="134" fillId="0" borderId="0" xfId="62" applyNumberFormat="1" applyFont="1" applyFill="1" applyAlignment="1">
      <alignment horizontal="left"/>
    </xf>
    <xf numFmtId="0" fontId="34" fillId="0" borderId="5" xfId="62" applyFont="1" applyFill="1" applyBorder="1" applyAlignment="1">
      <alignment horizontal="center"/>
    </xf>
    <xf numFmtId="2" fontId="36" fillId="0" borderId="5" xfId="62" applyNumberFormat="1" applyFont="1" applyFill="1" applyBorder="1" applyAlignment="1">
      <alignment horizontal="center"/>
    </xf>
    <xf numFmtId="2" fontId="35" fillId="0" borderId="5" xfId="62" applyNumberFormat="1" applyFont="1" applyFill="1" applyBorder="1" applyAlignment="1">
      <alignment horizontal="center"/>
    </xf>
    <xf numFmtId="2" fontId="34" fillId="0" borderId="5" xfId="62" applyNumberFormat="1" applyFont="1" applyFill="1" applyBorder="1" applyAlignment="1">
      <alignment horizontal="center"/>
    </xf>
    <xf numFmtId="165" fontId="34" fillId="0" borderId="5" xfId="62" applyNumberFormat="1" applyFont="1" applyFill="1" applyBorder="1" applyAlignment="1">
      <alignment horizontal="right"/>
    </xf>
    <xf numFmtId="2" fontId="34" fillId="0" borderId="5" xfId="62" applyNumberFormat="1" applyFont="1" applyFill="1" applyBorder="1" applyAlignment="1">
      <alignment horizontal="right"/>
    </xf>
    <xf numFmtId="165" fontId="36" fillId="0" borderId="5" xfId="62" applyNumberFormat="1" applyFont="1" applyFill="1" applyBorder="1" applyAlignment="1">
      <alignment horizontal="right"/>
    </xf>
    <xf numFmtId="2" fontId="36" fillId="0" borderId="5" xfId="62" applyNumberFormat="1" applyFont="1" applyFill="1" applyBorder="1" applyAlignment="1">
      <alignment horizontal="right"/>
    </xf>
    <xf numFmtId="10" fontId="36" fillId="0" borderId="5" xfId="64" applyNumberFormat="1" applyFont="1" applyFill="1" applyBorder="1" applyAlignment="1">
      <alignment horizontal="right"/>
    </xf>
    <xf numFmtId="0" fontId="24" fillId="0" borderId="0" xfId="62" applyFill="1" applyAlignment="1">
      <alignment horizontal="center"/>
    </xf>
    <xf numFmtId="0" fontId="14" fillId="0" borderId="0" xfId="63" applyFont="1" applyFill="1" applyAlignment="1">
      <alignment horizontal="right"/>
    </xf>
    <xf numFmtId="0" fontId="20" fillId="0" borderId="0" xfId="62" applyFont="1" applyFill="1" applyAlignment="1">
      <alignment horizontal="left"/>
    </xf>
    <xf numFmtId="2" fontId="24" fillId="0" borderId="0" xfId="62" applyNumberFormat="1" applyFill="1" applyAlignment="1">
      <alignment horizontal="center"/>
    </xf>
    <xf numFmtId="2" fontId="14" fillId="0" borderId="0" xfId="62" applyNumberFormat="1" applyFont="1" applyFill="1" applyAlignment="1">
      <alignment horizontal="left"/>
    </xf>
    <xf numFmtId="2" fontId="45" fillId="0" borderId="0" xfId="62" applyNumberFormat="1" applyFont="1" applyFill="1" applyAlignment="1">
      <alignment horizontal="left"/>
    </xf>
    <xf numFmtId="2" fontId="14" fillId="0" borderId="5" xfId="62" applyNumberFormat="1" applyFont="1" applyFill="1" applyBorder="1" applyAlignment="1">
      <alignment horizontal="center" wrapText="1"/>
    </xf>
    <xf numFmtId="0" fontId="24" fillId="0" borderId="5" xfId="62" applyFill="1" applyBorder="1" applyAlignment="1">
      <alignment horizontal="center"/>
    </xf>
    <xf numFmtId="2" fontId="14" fillId="0" borderId="5" xfId="62" applyNumberFormat="1" applyFont="1" applyFill="1" applyBorder="1" applyAlignment="1">
      <alignment horizontal="center"/>
    </xf>
    <xf numFmtId="0" fontId="21" fillId="0" borderId="5" xfId="62" applyFont="1" applyFill="1" applyBorder="1" applyAlignment="1">
      <alignment horizontal="center"/>
    </xf>
    <xf numFmtId="2" fontId="21" fillId="0" borderId="5" xfId="62" applyNumberFormat="1" applyFont="1" applyFill="1" applyBorder="1" applyAlignment="1">
      <alignment horizontal="center"/>
    </xf>
    <xf numFmtId="2" fontId="24" fillId="0" borderId="5" xfId="62" applyNumberFormat="1" applyFill="1" applyBorder="1" applyAlignment="1">
      <alignment horizontal="center"/>
    </xf>
    <xf numFmtId="165" fontId="14" fillId="0" borderId="5" xfId="62" applyNumberFormat="1" applyFont="1" applyFill="1" applyBorder="1" applyAlignment="1">
      <alignment horizontal="right"/>
    </xf>
    <xf numFmtId="2" fontId="14" fillId="0" borderId="5" xfId="62" applyNumberFormat="1" applyFont="1" applyFill="1" applyBorder="1" applyAlignment="1">
      <alignment horizontal="right"/>
    </xf>
    <xf numFmtId="10" fontId="14" fillId="0" borderId="5" xfId="64" applyNumberFormat="1" applyFont="1" applyFill="1" applyBorder="1" applyAlignment="1">
      <alignment horizontal="right"/>
    </xf>
    <xf numFmtId="0" fontId="19" fillId="0" borderId="100" xfId="62" applyFont="1" applyFill="1" applyBorder="1" applyAlignment="1">
      <alignment horizontal="left"/>
    </xf>
    <xf numFmtId="0" fontId="39" fillId="0" borderId="0" xfId="62" applyFont="1" applyFill="1" applyAlignment="1">
      <alignment horizontal="centerContinuous"/>
    </xf>
    <xf numFmtId="0" fontId="39" fillId="0" borderId="0" xfId="62" applyFont="1" applyFill="1" applyAlignment="1">
      <alignment horizontal="center"/>
    </xf>
    <xf numFmtId="0" fontId="136" fillId="0" borderId="0" xfId="62" applyFont="1" applyFill="1"/>
    <xf numFmtId="0" fontId="24" fillId="0" borderId="0" xfId="62" applyFill="1" applyAlignment="1">
      <alignment horizontal="centerContinuous"/>
    </xf>
    <xf numFmtId="0" fontId="41" fillId="0" borderId="101" xfId="62" applyFont="1" applyFill="1" applyBorder="1" applyAlignment="1">
      <alignment horizontal="center"/>
    </xf>
    <xf numFmtId="0" fontId="41" fillId="0" borderId="35" xfId="62" applyFont="1" applyFill="1" applyBorder="1" applyAlignment="1">
      <alignment horizontal="center"/>
    </xf>
    <xf numFmtId="0" fontId="41" fillId="0" borderId="60" xfId="62" applyFont="1" applyFill="1" applyBorder="1" applyAlignment="1">
      <alignment horizontal="left"/>
    </xf>
    <xf numFmtId="0" fontId="41" fillId="0" borderId="59" xfId="62" applyFont="1" applyFill="1" applyBorder="1" applyAlignment="1">
      <alignment horizontal="center"/>
    </xf>
    <xf numFmtId="0" fontId="41" fillId="0" borderId="58" xfId="62" applyFont="1" applyFill="1" applyBorder="1" applyAlignment="1">
      <alignment horizontal="center"/>
    </xf>
    <xf numFmtId="0" fontId="41" fillId="0" borderId="100" xfId="62" applyFont="1" applyFill="1" applyBorder="1" applyAlignment="1">
      <alignment horizontal="center"/>
    </xf>
    <xf numFmtId="0" fontId="41" fillId="0" borderId="57" xfId="62" applyFont="1" applyFill="1" applyBorder="1" applyAlignment="1">
      <alignment horizontal="center"/>
    </xf>
    <xf numFmtId="0" fontId="41" fillId="0" borderId="60" xfId="62" applyFont="1" applyFill="1" applyBorder="1" applyAlignment="1">
      <alignment horizontal="center"/>
    </xf>
    <xf numFmtId="0" fontId="41" fillId="0" borderId="1" xfId="62" applyFont="1" applyFill="1" applyBorder="1" applyAlignment="1">
      <alignment horizontal="center"/>
    </xf>
    <xf numFmtId="0" fontId="41" fillId="0" borderId="0" xfId="62" applyFont="1" applyFill="1" applyAlignment="1">
      <alignment horizontal="center"/>
    </xf>
    <xf numFmtId="0" fontId="41" fillId="0" borderId="0" xfId="62" applyFont="1" applyFill="1"/>
    <xf numFmtId="2" fontId="41" fillId="0" borderId="57" xfId="62" applyNumberFormat="1" applyFont="1" applyFill="1" applyBorder="1" applyAlignment="1">
      <alignment horizontal="center"/>
    </xf>
    <xf numFmtId="0" fontId="18" fillId="0" borderId="30" xfId="62" applyFont="1" applyFill="1" applyBorder="1" applyAlignment="1">
      <alignment horizontal="center"/>
    </xf>
    <xf numFmtId="0" fontId="18" fillId="0" borderId="57" xfId="62" applyFont="1" applyFill="1" applyBorder="1" applyAlignment="1">
      <alignment horizontal="center" vertical="center"/>
    </xf>
    <xf numFmtId="0" fontId="12" fillId="0" borderId="57" xfId="62" applyFont="1" applyFill="1" applyBorder="1" applyAlignment="1">
      <alignment horizontal="center" vertical="center"/>
    </xf>
    <xf numFmtId="0" fontId="24" fillId="0" borderId="57" xfId="62" applyFill="1" applyBorder="1" applyAlignment="1">
      <alignment horizontal="center"/>
    </xf>
    <xf numFmtId="0" fontId="24" fillId="0" borderId="57" xfId="62" applyFill="1" applyBorder="1"/>
    <xf numFmtId="0" fontId="12" fillId="0" borderId="30" xfId="62" applyFont="1" applyFill="1" applyBorder="1" applyAlignment="1">
      <alignment vertical="center"/>
    </xf>
    <xf numFmtId="0" fontId="12" fillId="0" borderId="29" xfId="62" applyFont="1" applyFill="1" applyBorder="1" applyAlignment="1">
      <alignment horizontal="center" vertical="center"/>
    </xf>
    <xf numFmtId="0" fontId="24" fillId="0" borderId="29" xfId="62" applyFill="1" applyBorder="1" applyAlignment="1">
      <alignment horizontal="center"/>
    </xf>
    <xf numFmtId="0" fontId="24" fillId="0" borderId="29" xfId="62" applyFill="1" applyBorder="1"/>
    <xf numFmtId="2" fontId="24" fillId="0" borderId="29" xfId="63" applyNumberFormat="1" applyFill="1" applyBorder="1" applyAlignment="1">
      <alignment horizontal="center"/>
    </xf>
    <xf numFmtId="0" fontId="12" fillId="0" borderId="30" xfId="62" applyFont="1" applyFill="1" applyBorder="1" applyAlignment="1">
      <alignment horizontal="center" vertical="center"/>
    </xf>
    <xf numFmtId="0" fontId="12" fillId="0" borderId="29" xfId="62" applyFont="1" applyFill="1" applyBorder="1" applyAlignment="1">
      <alignment vertical="center"/>
    </xf>
    <xf numFmtId="165" fontId="24" fillId="0" borderId="29" xfId="62" applyNumberFormat="1" applyFill="1" applyBorder="1" applyAlignment="1">
      <alignment horizontal="center"/>
    </xf>
    <xf numFmtId="2" fontId="24" fillId="0" borderId="29" xfId="62" applyNumberFormat="1" applyFill="1" applyBorder="1" applyAlignment="1">
      <alignment horizontal="center"/>
    </xf>
    <xf numFmtId="1" fontId="24" fillId="0" borderId="29" xfId="62" applyNumberFormat="1" applyFill="1" applyBorder="1" applyAlignment="1">
      <alignment horizontal="center"/>
    </xf>
    <xf numFmtId="1" fontId="24" fillId="0" borderId="29" xfId="63" applyNumberFormat="1" applyFill="1" applyBorder="1" applyAlignment="1">
      <alignment horizontal="center"/>
    </xf>
    <xf numFmtId="2" fontId="14" fillId="0" borderId="29" xfId="62" applyNumberFormat="1" applyFont="1" applyFill="1" applyBorder="1" applyAlignment="1">
      <alignment horizontal="center"/>
    </xf>
    <xf numFmtId="0" fontId="12" fillId="0" borderId="35" xfId="62" applyFont="1" applyFill="1" applyBorder="1" applyAlignment="1">
      <alignment horizontal="center" vertical="center"/>
    </xf>
    <xf numFmtId="2" fontId="24" fillId="0" borderId="29" xfId="62" applyNumberFormat="1" applyFill="1" applyBorder="1"/>
    <xf numFmtId="0" fontId="18" fillId="0" borderId="29" xfId="62" applyFont="1" applyFill="1" applyBorder="1" applyAlignment="1">
      <alignment vertical="center"/>
    </xf>
    <xf numFmtId="165" fontId="14" fillId="0" borderId="29" xfId="62" applyNumberFormat="1" applyFont="1" applyFill="1" applyBorder="1" applyAlignment="1">
      <alignment horizontal="center"/>
    </xf>
    <xf numFmtId="0" fontId="14" fillId="0" borderId="29" xfId="62" applyFont="1" applyFill="1" applyBorder="1" applyAlignment="1">
      <alignment horizontal="center"/>
    </xf>
    <xf numFmtId="1" fontId="14" fillId="0" borderId="29" xfId="62" applyNumberFormat="1" applyFont="1" applyFill="1" applyBorder="1" applyAlignment="1">
      <alignment horizontal="center"/>
    </xf>
    <xf numFmtId="2" fontId="14" fillId="0" borderId="29" xfId="63" applyNumberFormat="1" applyFont="1" applyFill="1" applyBorder="1" applyAlignment="1">
      <alignment horizontal="center"/>
    </xf>
    <xf numFmtId="2" fontId="24" fillId="4" borderId="5" xfId="62" applyNumberFormat="1" applyBorder="1" applyAlignment="1">
      <alignment horizontal="center"/>
    </xf>
    <xf numFmtId="1" fontId="24" fillId="0" borderId="59" xfId="63" applyNumberFormat="1" applyFill="1" applyBorder="1" applyAlignment="1">
      <alignment horizontal="center"/>
    </xf>
    <xf numFmtId="1" fontId="24" fillId="0" borderId="5" xfId="63" applyNumberFormat="1" applyFill="1" applyBorder="1" applyAlignment="1">
      <alignment horizontal="center"/>
    </xf>
    <xf numFmtId="1" fontId="24" fillId="4" borderId="5" xfId="62" applyNumberFormat="1" applyBorder="1"/>
    <xf numFmtId="0" fontId="18" fillId="0" borderId="35" xfId="62" applyFont="1" applyFill="1" applyBorder="1" applyAlignment="1">
      <alignment vertical="center"/>
    </xf>
    <xf numFmtId="2" fontId="14" fillId="4" borderId="24" xfId="62" applyNumberFormat="1" applyFont="1" applyBorder="1" applyAlignment="1">
      <alignment horizontal="center"/>
    </xf>
    <xf numFmtId="2" fontId="14" fillId="4" borderId="5" xfId="62" applyNumberFormat="1" applyFont="1" applyBorder="1" applyAlignment="1">
      <alignment horizontal="center"/>
    </xf>
    <xf numFmtId="0" fontId="18" fillId="0" borderId="101" xfId="62" applyFont="1" applyFill="1" applyBorder="1" applyAlignment="1">
      <alignment horizontal="center" vertical="center"/>
    </xf>
    <xf numFmtId="2" fontId="24" fillId="4" borderId="24" xfId="62" applyNumberFormat="1" applyBorder="1" applyAlignment="1">
      <alignment horizontal="center"/>
    </xf>
    <xf numFmtId="1" fontId="24" fillId="0" borderId="0" xfId="63" applyNumberFormat="1" applyFill="1" applyAlignment="1">
      <alignment horizontal="center"/>
    </xf>
    <xf numFmtId="1" fontId="14" fillId="4" borderId="5" xfId="62" applyNumberFormat="1" applyFont="1" applyBorder="1" applyAlignment="1">
      <alignment horizontal="right"/>
    </xf>
    <xf numFmtId="1" fontId="24" fillId="4" borderId="24" xfId="62" applyNumberFormat="1" applyBorder="1" applyAlignment="1">
      <alignment horizontal="center"/>
    </xf>
    <xf numFmtId="1" fontId="24" fillId="4" borderId="5" xfId="62" applyNumberFormat="1" applyBorder="1" applyAlignment="1">
      <alignment horizontal="center"/>
    </xf>
    <xf numFmtId="166" fontId="24" fillId="4" borderId="5" xfId="62" applyNumberFormat="1" applyBorder="1" applyAlignment="1">
      <alignment horizontal="center"/>
    </xf>
    <xf numFmtId="0" fontId="24" fillId="4" borderId="5" xfId="62" applyBorder="1" applyAlignment="1">
      <alignment horizontal="center"/>
    </xf>
    <xf numFmtId="2" fontId="24" fillId="0" borderId="57" xfId="62" applyNumberFormat="1" applyFill="1" applyBorder="1"/>
    <xf numFmtId="0" fontId="24" fillId="0" borderId="35" xfId="62" applyFill="1" applyBorder="1" applyAlignment="1">
      <alignment horizontal="center"/>
    </xf>
    <xf numFmtId="0" fontId="24" fillId="0" borderId="35" xfId="62" applyFill="1" applyBorder="1"/>
    <xf numFmtId="166" fontId="24" fillId="4" borderId="5" xfId="62" applyNumberFormat="1" applyBorder="1" applyAlignment="1">
      <alignment horizontal="right"/>
    </xf>
    <xf numFmtId="2" fontId="24" fillId="0" borderId="35" xfId="62" applyNumberFormat="1" applyFill="1" applyBorder="1"/>
    <xf numFmtId="165" fontId="14" fillId="0" borderId="30" xfId="62" applyNumberFormat="1" applyFont="1" applyFill="1" applyBorder="1" applyAlignment="1">
      <alignment horizontal="center"/>
    </xf>
    <xf numFmtId="0" fontId="24" fillId="0" borderId="30" xfId="62" applyFill="1" applyBorder="1" applyAlignment="1">
      <alignment horizontal="center"/>
    </xf>
    <xf numFmtId="0" fontId="14" fillId="0" borderId="30" xfId="62" applyFont="1" applyFill="1" applyBorder="1" applyAlignment="1">
      <alignment horizontal="center"/>
    </xf>
    <xf numFmtId="0" fontId="24" fillId="0" borderId="30" xfId="62" applyFill="1" applyBorder="1"/>
    <xf numFmtId="2" fontId="14" fillId="0" borderId="30" xfId="62" applyNumberFormat="1" applyFont="1" applyFill="1" applyBorder="1" applyAlignment="1">
      <alignment horizontal="center"/>
    </xf>
    <xf numFmtId="166" fontId="14" fillId="4" borderId="5" xfId="62" applyNumberFormat="1" applyFont="1" applyBorder="1"/>
    <xf numFmtId="0" fontId="18" fillId="0" borderId="102" xfId="62" applyFont="1" applyFill="1" applyBorder="1" applyAlignment="1">
      <alignment horizontal="center" vertical="center"/>
    </xf>
    <xf numFmtId="2" fontId="24" fillId="0" borderId="30" xfId="62" applyNumberFormat="1" applyFill="1" applyBorder="1"/>
    <xf numFmtId="2" fontId="24" fillId="0" borderId="30" xfId="62" applyNumberFormat="1" applyFill="1" applyBorder="1" applyAlignment="1">
      <alignment horizontal="center"/>
    </xf>
    <xf numFmtId="165" fontId="24" fillId="0" borderId="30" xfId="62" applyNumberFormat="1" applyFill="1" applyBorder="1" applyAlignment="1">
      <alignment horizontal="center"/>
    </xf>
    <xf numFmtId="0" fontId="24" fillId="4" borderId="5" xfId="62" applyBorder="1"/>
    <xf numFmtId="165" fontId="14" fillId="0" borderId="0" xfId="62" applyNumberFormat="1" applyFont="1" applyFill="1"/>
    <xf numFmtId="0" fontId="23" fillId="0" borderId="100" xfId="62" applyFont="1" applyFill="1" applyBorder="1"/>
    <xf numFmtId="0" fontId="132" fillId="0" borderId="0" xfId="62" applyFont="1" applyFill="1" applyAlignment="1">
      <alignment horizontal="centerContinuous"/>
    </xf>
    <xf numFmtId="0" fontId="67" fillId="0" borderId="0" xfId="62" applyFont="1" applyFill="1"/>
    <xf numFmtId="0" fontId="41" fillId="0" borderId="61" xfId="62" applyFont="1" applyFill="1" applyBorder="1" applyAlignment="1">
      <alignment horizontal="center"/>
    </xf>
    <xf numFmtId="0" fontId="41" fillId="0" borderId="57" xfId="62" quotePrefix="1" applyFont="1" applyFill="1" applyBorder="1" applyAlignment="1">
      <alignment horizontal="center"/>
    </xf>
    <xf numFmtId="0" fontId="21" fillId="0" borderId="0" xfId="62" applyFont="1" applyFill="1" applyAlignment="1">
      <alignment horizontal="right"/>
    </xf>
    <xf numFmtId="0" fontId="100" fillId="0" borderId="0" xfId="65"/>
    <xf numFmtId="0" fontId="141" fillId="0" borderId="0" xfId="65" applyFont="1"/>
    <xf numFmtId="17" fontId="140" fillId="0" borderId="5" xfId="65" applyNumberFormat="1" applyFont="1" applyBorder="1" applyAlignment="1">
      <alignment horizontal="center"/>
    </xf>
    <xf numFmtId="0" fontId="140" fillId="0" borderId="5" xfId="65" applyFont="1" applyBorder="1" applyAlignment="1">
      <alignment horizontal="center"/>
    </xf>
    <xf numFmtId="0" fontId="139" fillId="0" borderId="5" xfId="65" applyFont="1" applyBorder="1" applyAlignment="1">
      <alignment horizontal="center"/>
    </xf>
    <xf numFmtId="0" fontId="139" fillId="0" borderId="5" xfId="65" applyFont="1" applyBorder="1"/>
    <xf numFmtId="165" fontId="139" fillId="0" borderId="5" xfId="65" applyNumberFormat="1" applyFont="1" applyBorder="1"/>
    <xf numFmtId="1" fontId="139" fillId="0" borderId="5" xfId="65" applyNumberFormat="1" applyFont="1" applyBorder="1"/>
    <xf numFmtId="0" fontId="139" fillId="0" borderId="0" xfId="65" applyFont="1"/>
    <xf numFmtId="0" fontId="100" fillId="0" borderId="5" xfId="65" applyBorder="1" applyAlignment="1">
      <alignment horizontal="center"/>
    </xf>
    <xf numFmtId="165" fontId="100" fillId="0" borderId="0" xfId="65" applyNumberFormat="1"/>
    <xf numFmtId="0" fontId="100" fillId="0" borderId="5" xfId="65" applyBorder="1"/>
    <xf numFmtId="0" fontId="142" fillId="24" borderId="5" xfId="65" applyFont="1" applyFill="1" applyBorder="1"/>
    <xf numFmtId="0" fontId="143" fillId="24" borderId="5" xfId="65" applyFont="1" applyFill="1" applyBorder="1"/>
    <xf numFmtId="0" fontId="142" fillId="5" borderId="0" xfId="65" applyFont="1" applyFill="1"/>
    <xf numFmtId="2" fontId="12" fillId="0" borderId="0" xfId="0" applyNumberFormat="1" applyFont="1"/>
    <xf numFmtId="2" fontId="0" fillId="19" borderId="0" xfId="0" applyNumberFormat="1" applyFill="1"/>
    <xf numFmtId="0" fontId="8" fillId="0" borderId="0" xfId="66"/>
    <xf numFmtId="0" fontId="146" fillId="29" borderId="40" xfId="66" applyFont="1" applyFill="1" applyBorder="1" applyAlignment="1">
      <alignment horizontal="center"/>
    </xf>
    <xf numFmtId="0" fontId="146" fillId="29" borderId="44" xfId="66" applyFont="1" applyFill="1" applyBorder="1"/>
    <xf numFmtId="0" fontId="146" fillId="29" borderId="44" xfId="66" applyFont="1" applyFill="1" applyBorder="1" applyAlignment="1">
      <alignment horizontal="center"/>
    </xf>
    <xf numFmtId="0" fontId="146" fillId="29" borderId="44" xfId="66" applyFont="1" applyFill="1" applyBorder="1" applyAlignment="1">
      <alignment horizontal="right"/>
    </xf>
    <xf numFmtId="0" fontId="130" fillId="0" borderId="0" xfId="66" applyFont="1"/>
    <xf numFmtId="0" fontId="147" fillId="0" borderId="28" xfId="66" applyFont="1" applyBorder="1" applyAlignment="1">
      <alignment horizontal="center"/>
    </xf>
    <xf numFmtId="0" fontId="147" fillId="0" borderId="5" xfId="66" applyFont="1" applyBorder="1"/>
    <xf numFmtId="43" fontId="147" fillId="0" borderId="5" xfId="67" applyNumberFormat="1" applyFont="1" applyBorder="1"/>
    <xf numFmtId="164" fontId="8" fillId="0" borderId="0" xfId="66" applyNumberFormat="1"/>
    <xf numFmtId="43" fontId="8" fillId="0" borderId="0" xfId="66" applyNumberFormat="1"/>
    <xf numFmtId="0" fontId="147" fillId="0" borderId="5" xfId="66" applyFont="1" applyBorder="1" applyAlignment="1">
      <alignment horizontal="center"/>
    </xf>
    <xf numFmtId="0" fontId="147" fillId="18" borderId="5" xfId="66" applyFont="1" applyFill="1" applyBorder="1"/>
    <xf numFmtId="43" fontId="147" fillId="24" borderId="5" xfId="67" applyNumberFormat="1" applyFont="1" applyFill="1" applyBorder="1"/>
    <xf numFmtId="0" fontId="147" fillId="24" borderId="5" xfId="66" applyFont="1" applyFill="1" applyBorder="1"/>
    <xf numFmtId="0" fontId="147" fillId="0" borderId="5" xfId="66" applyFont="1" applyBorder="1" applyAlignment="1">
      <alignment wrapText="1"/>
    </xf>
    <xf numFmtId="0" fontId="148" fillId="28" borderId="32" xfId="66" applyFont="1" applyFill="1" applyBorder="1" applyAlignment="1">
      <alignment horizontal="center"/>
    </xf>
    <xf numFmtId="0" fontId="148" fillId="28" borderId="33" xfId="66" applyFont="1" applyFill="1" applyBorder="1"/>
    <xf numFmtId="0" fontId="148" fillId="28" borderId="33" xfId="66" applyFont="1" applyFill="1" applyBorder="1" applyAlignment="1">
      <alignment horizontal="center"/>
    </xf>
    <xf numFmtId="43" fontId="148" fillId="28" borderId="33" xfId="66" applyNumberFormat="1" applyFont="1" applyFill="1" applyBorder="1"/>
    <xf numFmtId="0" fontId="148" fillId="28" borderId="5" xfId="66" applyFont="1" applyFill="1" applyBorder="1"/>
    <xf numFmtId="0" fontId="149" fillId="24" borderId="0" xfId="66" applyFont="1" applyFill="1"/>
    <xf numFmtId="0" fontId="8" fillId="0" borderId="0" xfId="66" applyAlignment="1">
      <alignment horizontal="center"/>
    </xf>
    <xf numFmtId="0" fontId="8" fillId="24" borderId="0" xfId="66" applyFill="1"/>
    <xf numFmtId="173" fontId="13" fillId="0" borderId="5" xfId="0" applyNumberFormat="1" applyFont="1" applyBorder="1"/>
    <xf numFmtId="2" fontId="24" fillId="0" borderId="0" xfId="37" applyNumberFormat="1" applyFill="1"/>
    <xf numFmtId="0" fontId="0" fillId="0" borderId="57" xfId="0" applyBorder="1"/>
    <xf numFmtId="0" fontId="0" fillId="0" borderId="29" xfId="0" applyBorder="1" applyAlignment="1">
      <alignment horizontal="center"/>
    </xf>
    <xf numFmtId="2" fontId="0" fillId="0" borderId="29" xfId="0" applyNumberFormat="1" applyBorder="1" applyAlignment="1">
      <alignment horizontal="center"/>
    </xf>
    <xf numFmtId="2" fontId="14" fillId="0" borderId="29" xfId="0" applyNumberFormat="1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35" xfId="0" applyBorder="1" applyAlignment="1">
      <alignment horizontal="center"/>
    </xf>
    <xf numFmtId="2" fontId="14" fillId="0" borderId="30" xfId="0" applyNumberFormat="1" applyFont="1" applyBorder="1" applyAlignment="1">
      <alignment horizontal="center"/>
    </xf>
    <xf numFmtId="0" fontId="0" fillId="0" borderId="30" xfId="0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12" fillId="0" borderId="0" xfId="0" applyFont="1" applyAlignment="1">
      <alignment wrapText="1"/>
    </xf>
    <xf numFmtId="1" fontId="24" fillId="0" borderId="0" xfId="62" applyNumberFormat="1" applyFill="1"/>
    <xf numFmtId="2" fontId="123" fillId="24" borderId="5" xfId="0" applyNumberFormat="1" applyFont="1" applyFill="1" applyBorder="1"/>
    <xf numFmtId="0" fontId="12" fillId="0" borderId="37" xfId="0" applyFont="1" applyBorder="1"/>
    <xf numFmtId="164" fontId="0" fillId="0" borderId="37" xfId="0" applyNumberFormat="1" applyBorder="1"/>
    <xf numFmtId="164" fontId="50" fillId="0" borderId="22" xfId="10" applyFont="1" applyFill="1" applyBorder="1"/>
    <xf numFmtId="0" fontId="50" fillId="0" borderId="20" xfId="0" applyFont="1" applyBorder="1" applyAlignment="1">
      <alignment horizontal="centerContinuous"/>
    </xf>
    <xf numFmtId="0" fontId="50" fillId="0" borderId="39" xfId="0" applyFont="1" applyBorder="1" applyAlignment="1">
      <alignment horizontal="centerContinuous"/>
    </xf>
    <xf numFmtId="164" fontId="50" fillId="0" borderId="62" xfId="10" applyFont="1" applyFill="1" applyBorder="1"/>
    <xf numFmtId="169" fontId="59" fillId="0" borderId="34" xfId="0" applyNumberFormat="1" applyFont="1" applyBorder="1"/>
    <xf numFmtId="0" fontId="50" fillId="0" borderId="67" xfId="0" applyFont="1" applyBorder="1" applyAlignment="1">
      <alignment vertical="center"/>
    </xf>
    <xf numFmtId="2" fontId="50" fillId="0" borderId="96" xfId="0" applyNumberFormat="1" applyFont="1" applyBorder="1"/>
    <xf numFmtId="2" fontId="50" fillId="0" borderId="97" xfId="0" applyNumberFormat="1" applyFont="1" applyBorder="1"/>
    <xf numFmtId="2" fontId="24" fillId="0" borderId="0" xfId="62" applyNumberFormat="1" applyFill="1" applyAlignment="1">
      <alignment horizontal="center" vertical="center" wrapText="1"/>
    </xf>
    <xf numFmtId="0" fontId="12" fillId="18" borderId="5" xfId="0" applyFont="1" applyFill="1" applyBorder="1"/>
    <xf numFmtId="164" fontId="12" fillId="0" borderId="0" xfId="0" applyNumberFormat="1" applyFont="1"/>
    <xf numFmtId="0" fontId="50" fillId="24" borderId="5" xfId="39" applyFont="1" applyFill="1" applyBorder="1" applyAlignment="1" applyProtection="1">
      <alignment wrapText="1"/>
      <protection locked="0"/>
    </xf>
    <xf numFmtId="169" fontId="59" fillId="0" borderId="5" xfId="39" applyNumberFormat="1" applyFont="1" applyBorder="1" applyAlignment="1" applyProtection="1">
      <alignment wrapText="1"/>
      <protection locked="0"/>
    </xf>
    <xf numFmtId="2" fontId="0" fillId="24" borderId="22" xfId="0" applyNumberFormat="1" applyFill="1" applyBorder="1"/>
    <xf numFmtId="10" fontId="0" fillId="24" borderId="62" xfId="43" applyNumberFormat="1" applyFont="1" applyFill="1" applyBorder="1"/>
    <xf numFmtId="2" fontId="0" fillId="24" borderId="47" xfId="0" applyNumberFormat="1" applyFill="1" applyBorder="1" applyAlignment="1">
      <alignment horizontal="center"/>
    </xf>
    <xf numFmtId="2" fontId="0" fillId="24" borderId="22" xfId="0" applyNumberFormat="1" applyFill="1" applyBorder="1" applyAlignment="1">
      <alignment horizontal="center"/>
    </xf>
    <xf numFmtId="2" fontId="0" fillId="24" borderId="25" xfId="0" applyNumberFormat="1" applyFill="1" applyBorder="1" applyAlignment="1">
      <alignment horizontal="center"/>
    </xf>
    <xf numFmtId="2" fontId="0" fillId="24" borderId="0" xfId="0" applyNumberFormat="1" applyFill="1" applyAlignment="1">
      <alignment horizontal="center"/>
    </xf>
    <xf numFmtId="2" fontId="13" fillId="24" borderId="0" xfId="0" applyNumberFormat="1" applyFont="1" applyFill="1"/>
    <xf numFmtId="0" fontId="150" fillId="0" borderId="0" xfId="0" applyFont="1"/>
    <xf numFmtId="2" fontId="150" fillId="0" borderId="0" xfId="0" applyNumberFormat="1" applyFont="1"/>
    <xf numFmtId="2" fontId="86" fillId="0" borderId="0" xfId="0" applyNumberFormat="1" applyFont="1" applyAlignment="1">
      <alignment horizontal="right"/>
    </xf>
    <xf numFmtId="2" fontId="86" fillId="0" borderId="0" xfId="0" applyNumberFormat="1" applyFont="1"/>
    <xf numFmtId="0" fontId="150" fillId="0" borderId="5" xfId="0" applyFont="1" applyBorder="1" applyAlignment="1">
      <alignment wrapText="1"/>
    </xf>
    <xf numFmtId="164" fontId="150" fillId="0" borderId="0" xfId="10" applyFont="1" applyFill="1" applyBorder="1"/>
    <xf numFmtId="0" fontId="150" fillId="0" borderId="0" xfId="40" applyFont="1" applyFill="1"/>
    <xf numFmtId="2" fontId="150" fillId="0" borderId="0" xfId="0" applyNumberFormat="1" applyFont="1" applyAlignment="1">
      <alignment horizontal="right"/>
    </xf>
    <xf numFmtId="1" fontId="150" fillId="0" borderId="0" xfId="0" applyNumberFormat="1" applyFont="1"/>
    <xf numFmtId="164" fontId="150" fillId="0" borderId="0" xfId="10" applyFont="1" applyFill="1" applyBorder="1" applyAlignment="1">
      <alignment horizontal="right"/>
    </xf>
    <xf numFmtId="164" fontId="150" fillId="0" borderId="0" xfId="10" applyFont="1" applyFill="1"/>
    <xf numFmtId="0" fontId="14" fillId="0" borderId="5" xfId="62" applyFont="1" applyFill="1" applyBorder="1" applyAlignment="1">
      <alignment horizontal="center" vertical="center"/>
    </xf>
    <xf numFmtId="0" fontId="150" fillId="0" borderId="0" xfId="0" applyFont="1" applyAlignment="1">
      <alignment wrapText="1"/>
    </xf>
    <xf numFmtId="0" fontId="86" fillId="0" borderId="5" xfId="0" applyFont="1" applyBorder="1" applyAlignment="1">
      <alignment horizontal="left" vertical="center" wrapText="1"/>
    </xf>
    <xf numFmtId="0" fontId="86" fillId="0" borderId="5" xfId="0" applyFont="1" applyBorder="1" applyAlignment="1">
      <alignment horizontal="center" vertical="center" wrapText="1"/>
    </xf>
    <xf numFmtId="0" fontId="86" fillId="0" borderId="5" xfId="0" applyFont="1" applyBorder="1" applyAlignment="1">
      <alignment horizontal="center" wrapText="1"/>
    </xf>
    <xf numFmtId="2" fontId="86" fillId="0" borderId="5" xfId="0" applyNumberFormat="1" applyFont="1" applyBorder="1" applyAlignment="1">
      <alignment horizontal="center" wrapText="1"/>
    </xf>
    <xf numFmtId="0" fontId="86" fillId="0" borderId="5" xfId="0" applyFont="1" applyBorder="1" applyAlignment="1">
      <alignment wrapText="1"/>
    </xf>
    <xf numFmtId="0" fontId="150" fillId="24" borderId="0" xfId="0" applyFont="1" applyFill="1"/>
    <xf numFmtId="0" fontId="150" fillId="24" borderId="0" xfId="0" applyFont="1" applyFill="1" applyAlignment="1">
      <alignment wrapText="1"/>
    </xf>
    <xf numFmtId="0" fontId="150" fillId="24" borderId="0" xfId="68" applyFont="1" applyFill="1"/>
    <xf numFmtId="0" fontId="115" fillId="0" borderId="0" xfId="0" applyFont="1"/>
    <xf numFmtId="0" fontId="64" fillId="0" borderId="0" xfId="0" applyFont="1"/>
    <xf numFmtId="0" fontId="70" fillId="0" borderId="0" xfId="0" applyFont="1" applyAlignment="1">
      <alignment horizontal="right"/>
    </xf>
    <xf numFmtId="0" fontId="152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152" fillId="0" borderId="0" xfId="0" applyFont="1"/>
    <xf numFmtId="0" fontId="70" fillId="0" borderId="40" xfId="0" applyFont="1" applyBorder="1" applyAlignment="1">
      <alignment horizontal="center"/>
    </xf>
    <xf numFmtId="0" fontId="70" fillId="0" borderId="44" xfId="0" applyFont="1" applyBorder="1" applyAlignment="1">
      <alignment horizontal="center"/>
    </xf>
    <xf numFmtId="17" fontId="70" fillId="0" borderId="44" xfId="0" applyNumberFormat="1" applyFont="1" applyBorder="1" applyAlignment="1">
      <alignment horizontal="center"/>
    </xf>
    <xf numFmtId="2" fontId="70" fillId="0" borderId="44" xfId="0" applyNumberFormat="1" applyFont="1" applyBorder="1" applyAlignment="1">
      <alignment horizontal="center"/>
    </xf>
    <xf numFmtId="2" fontId="70" fillId="0" borderId="45" xfId="0" applyNumberFormat="1" applyFont="1" applyBorder="1" applyAlignment="1">
      <alignment horizontal="center"/>
    </xf>
    <xf numFmtId="2" fontId="70" fillId="0" borderId="0" xfId="0" applyNumberFormat="1" applyFont="1" applyAlignment="1">
      <alignment horizontal="center"/>
    </xf>
    <xf numFmtId="0" fontId="70" fillId="0" borderId="28" xfId="0" applyFont="1" applyBorder="1" applyAlignment="1">
      <alignment horizontal="center"/>
    </xf>
    <xf numFmtId="0" fontId="70" fillId="0" borderId="5" xfId="0" applyFont="1" applyBorder="1" applyAlignment="1">
      <alignment horizontal="center"/>
    </xf>
    <xf numFmtId="0" fontId="70" fillId="0" borderId="25" xfId="0" applyFont="1" applyBorder="1" applyAlignment="1">
      <alignment horizontal="center"/>
    </xf>
    <xf numFmtId="0" fontId="64" fillId="0" borderId="28" xfId="0" applyFont="1" applyBorder="1"/>
    <xf numFmtId="0" fontId="64" fillId="0" borderId="5" xfId="0" applyFont="1" applyBorder="1"/>
    <xf numFmtId="0" fontId="64" fillId="0" borderId="25" xfId="0" applyFont="1" applyBorder="1"/>
    <xf numFmtId="0" fontId="64" fillId="0" borderId="40" xfId="0" applyFont="1" applyBorder="1"/>
    <xf numFmtId="0" fontId="64" fillId="0" borderId="44" xfId="0" applyFont="1" applyBorder="1" applyAlignment="1">
      <alignment horizontal="center"/>
    </xf>
    <xf numFmtId="0" fontId="64" fillId="0" borderId="45" xfId="0" applyFont="1" applyBorder="1" applyAlignment="1">
      <alignment horizontal="center"/>
    </xf>
    <xf numFmtId="0" fontId="64" fillId="0" borderId="28" xfId="0" applyFont="1" applyBorder="1" applyAlignment="1">
      <alignment horizontal="center"/>
    </xf>
    <xf numFmtId="2" fontId="64" fillId="0" borderId="5" xfId="0" applyNumberFormat="1" applyFont="1" applyBorder="1"/>
    <xf numFmtId="2" fontId="64" fillId="0" borderId="25" xfId="0" applyNumberFormat="1" applyFont="1" applyBorder="1"/>
    <xf numFmtId="2" fontId="64" fillId="0" borderId="0" xfId="0" applyNumberFormat="1" applyFont="1"/>
    <xf numFmtId="2" fontId="64" fillId="0" borderId="28" xfId="0" applyNumberFormat="1" applyFont="1" applyBorder="1"/>
    <xf numFmtId="2" fontId="70" fillId="0" borderId="5" xfId="0" applyNumberFormat="1" applyFont="1" applyBorder="1"/>
    <xf numFmtId="2" fontId="70" fillId="0" borderId="25" xfId="0" applyNumberFormat="1" applyFont="1" applyBorder="1"/>
    <xf numFmtId="2" fontId="70" fillId="0" borderId="0" xfId="0" applyNumberFormat="1" applyFont="1"/>
    <xf numFmtId="2" fontId="70" fillId="0" borderId="32" xfId="0" applyNumberFormat="1" applyFont="1" applyBorder="1"/>
    <xf numFmtId="0" fontId="64" fillId="0" borderId="32" xfId="0" applyFont="1" applyBorder="1"/>
    <xf numFmtId="0" fontId="64" fillId="0" borderId="33" xfId="0" applyFont="1" applyBorder="1"/>
    <xf numFmtId="0" fontId="64" fillId="0" borderId="34" xfId="0" applyFont="1" applyBorder="1"/>
    <xf numFmtId="164" fontId="64" fillId="0" borderId="0" xfId="0" applyNumberFormat="1" applyFont="1"/>
    <xf numFmtId="9" fontId="64" fillId="0" borderId="0" xfId="43" applyFont="1" applyFill="1"/>
    <xf numFmtId="2" fontId="64" fillId="0" borderId="33" xfId="0" applyNumberFormat="1" applyFont="1" applyBorder="1"/>
    <xf numFmtId="0" fontId="151" fillId="0" borderId="0" xfId="0" applyFont="1"/>
    <xf numFmtId="0" fontId="131" fillId="0" borderId="0" xfId="0" applyFont="1"/>
    <xf numFmtId="1" fontId="151" fillId="0" borderId="5" xfId="0" applyNumberFormat="1" applyFont="1" applyBorder="1"/>
    <xf numFmtId="2" fontId="155" fillId="0" borderId="5" xfId="0" applyNumberFormat="1" applyFont="1" applyBorder="1" applyAlignment="1">
      <alignment horizontal="center" vertical="center" wrapText="1"/>
    </xf>
    <xf numFmtId="0" fontId="50" fillId="26" borderId="5" xfId="0" applyFont="1" applyFill="1" applyBorder="1" applyAlignment="1">
      <alignment vertical="center"/>
    </xf>
    <xf numFmtId="0" fontId="59" fillId="27" borderId="32" xfId="0" applyFont="1" applyFill="1" applyBorder="1" applyAlignment="1">
      <alignment horizontal="center"/>
    </xf>
    <xf numFmtId="0" fontId="59" fillId="27" borderId="33" xfId="0" applyFont="1" applyFill="1" applyBorder="1"/>
    <xf numFmtId="2" fontId="59" fillId="27" borderId="34" xfId="0" applyNumberFormat="1" applyFont="1" applyFill="1" applyBorder="1"/>
    <xf numFmtId="0" fontId="114" fillId="0" borderId="5" xfId="0" applyFont="1" applyBorder="1"/>
    <xf numFmtId="0" fontId="50" fillId="24" borderId="0" xfId="0" applyFont="1" applyFill="1" applyAlignment="1">
      <alignment horizontal="center"/>
    </xf>
    <xf numFmtId="0" fontId="50" fillId="24" borderId="0" xfId="0" applyFont="1" applyFill="1"/>
    <xf numFmtId="0" fontId="50" fillId="24" borderId="0" xfId="0" applyFont="1" applyFill="1" applyAlignment="1">
      <alignment horizontal="right"/>
    </xf>
    <xf numFmtId="0" fontId="50" fillId="24" borderId="5" xfId="0" applyFont="1" applyFill="1" applyBorder="1" applyAlignment="1">
      <alignment horizontal="center" wrapText="1"/>
    </xf>
    <xf numFmtId="0" fontId="50" fillId="24" borderId="5" xfId="0" applyFont="1" applyFill="1" applyBorder="1" applyAlignment="1">
      <alignment wrapText="1"/>
    </xf>
    <xf numFmtId="0" fontId="50" fillId="24" borderId="5" xfId="0" applyFont="1" applyFill="1" applyBorder="1" applyAlignment="1">
      <alignment horizontal="center"/>
    </xf>
    <xf numFmtId="0" fontId="50" fillId="24" borderId="5" xfId="0" applyFont="1" applyFill="1" applyBorder="1"/>
    <xf numFmtId="0" fontId="59" fillId="24" borderId="5" xfId="0" applyFont="1" applyFill="1" applyBorder="1" applyAlignment="1">
      <alignment horizontal="left"/>
    </xf>
    <xf numFmtId="0" fontId="59" fillId="24" borderId="5" xfId="0" applyFont="1" applyFill="1" applyBorder="1" applyAlignment="1">
      <alignment horizontal="center" wrapText="1"/>
    </xf>
    <xf numFmtId="0" fontId="59" fillId="24" borderId="5" xfId="0" applyFont="1" applyFill="1" applyBorder="1" applyAlignment="1">
      <alignment wrapText="1"/>
    </xf>
    <xf numFmtId="0" fontId="59" fillId="24" borderId="5" xfId="0" applyFont="1" applyFill="1" applyBorder="1"/>
    <xf numFmtId="2" fontId="59" fillId="24" borderId="5" xfId="0" applyNumberFormat="1" applyFont="1" applyFill="1" applyBorder="1" applyAlignment="1">
      <alignment horizontal="right"/>
    </xf>
    <xf numFmtId="2" fontId="59" fillId="24" borderId="0" xfId="0" applyNumberFormat="1" applyFont="1" applyFill="1"/>
    <xf numFmtId="0" fontId="59" fillId="24" borderId="0" xfId="0" applyFont="1" applyFill="1"/>
    <xf numFmtId="0" fontId="59" fillId="24" borderId="5" xfId="0" applyFont="1" applyFill="1" applyBorder="1" applyAlignment="1">
      <alignment horizontal="center"/>
    </xf>
    <xf numFmtId="0" fontId="50" fillId="24" borderId="5" xfId="0" applyFont="1" applyFill="1" applyBorder="1" applyAlignment="1">
      <alignment horizontal="left"/>
    </xf>
    <xf numFmtId="2" fontId="50" fillId="24" borderId="5" xfId="0" applyNumberFormat="1" applyFont="1" applyFill="1" applyBorder="1" applyAlignment="1">
      <alignment horizontal="right"/>
    </xf>
    <xf numFmtId="0" fontId="59" fillId="24" borderId="0" xfId="0" applyFont="1" applyFill="1" applyAlignment="1">
      <alignment horizontal="center"/>
    </xf>
    <xf numFmtId="0" fontId="59" fillId="24" borderId="0" xfId="0" applyFont="1" applyFill="1" applyAlignment="1">
      <alignment horizontal="right"/>
    </xf>
    <xf numFmtId="0" fontId="59" fillId="24" borderId="5" xfId="0" applyFont="1" applyFill="1" applyBorder="1" applyAlignment="1">
      <alignment horizontal="left" vertical="center" wrapText="1"/>
    </xf>
    <xf numFmtId="0" fontId="50" fillId="24" borderId="5" xfId="0" applyFont="1" applyFill="1" applyBorder="1" applyAlignment="1">
      <alignment horizontal="left" wrapText="1"/>
    </xf>
    <xf numFmtId="1" fontId="50" fillId="24" borderId="0" xfId="0" applyNumberFormat="1" applyFont="1" applyFill="1"/>
    <xf numFmtId="164" fontId="50" fillId="24" borderId="0" xfId="0" applyNumberFormat="1" applyFont="1" applyFill="1"/>
    <xf numFmtId="164" fontId="50" fillId="24" borderId="0" xfId="10" applyFont="1" applyFill="1" applyBorder="1"/>
    <xf numFmtId="164" fontId="50" fillId="24" borderId="5" xfId="10" applyFont="1" applyFill="1" applyBorder="1"/>
    <xf numFmtId="164" fontId="59" fillId="0" borderId="5" xfId="10" applyFont="1" applyBorder="1" applyAlignment="1">
      <alignment vertical="top" wrapText="1"/>
    </xf>
    <xf numFmtId="164" fontId="59" fillId="24" borderId="5" xfId="10" applyFont="1" applyFill="1" applyBorder="1"/>
    <xf numFmtId="0" fontId="70" fillId="0" borderId="24" xfId="0" applyFont="1" applyBorder="1"/>
    <xf numFmtId="0" fontId="70" fillId="0" borderId="4" xfId="0" applyFont="1" applyBorder="1"/>
    <xf numFmtId="0" fontId="70" fillId="0" borderId="23" xfId="0" applyFont="1" applyBorder="1"/>
    <xf numFmtId="0" fontId="64" fillId="0" borderId="5" xfId="0" applyFont="1" applyBorder="1" applyAlignment="1">
      <alignment vertical="top"/>
    </xf>
    <xf numFmtId="0" fontId="64" fillId="0" borderId="5" xfId="0" applyFont="1" applyBorder="1" applyAlignment="1">
      <alignment vertical="center" wrapText="1"/>
    </xf>
    <xf numFmtId="2" fontId="64" fillId="24" borderId="5" xfId="0" applyNumberFormat="1" applyFont="1" applyFill="1" applyBorder="1"/>
    <xf numFmtId="9" fontId="50" fillId="0" borderId="23" xfId="0" applyNumberFormat="1" applyFont="1" applyBorder="1"/>
    <xf numFmtId="9" fontId="0" fillId="0" borderId="5" xfId="43" applyFont="1" applyBorder="1"/>
    <xf numFmtId="0" fontId="50" fillId="0" borderId="5" xfId="0" applyFont="1" applyBorder="1" applyAlignment="1">
      <alignment horizontal="center" vertical="top" wrapText="1"/>
    </xf>
    <xf numFmtId="0" fontId="113" fillId="24" borderId="5" xfId="0" applyFont="1" applyFill="1" applyBorder="1" applyAlignment="1">
      <alignment horizontal="center"/>
    </xf>
    <xf numFmtId="0" fontId="113" fillId="24" borderId="5" xfId="0" applyFont="1" applyFill="1" applyBorder="1"/>
    <xf numFmtId="164" fontId="50" fillId="24" borderId="0" xfId="10" applyFont="1" applyFill="1"/>
    <xf numFmtId="1" fontId="50" fillId="24" borderId="5" xfId="0" applyNumberFormat="1" applyFont="1" applyFill="1" applyBorder="1" applyAlignment="1">
      <alignment horizontal="center"/>
    </xf>
    <xf numFmtId="0" fontId="50" fillId="24" borderId="24" xfId="0" applyFont="1" applyFill="1" applyBorder="1"/>
    <xf numFmtId="2" fontId="50" fillId="24" borderId="24" xfId="0" applyNumberFormat="1" applyFont="1" applyFill="1" applyBorder="1"/>
    <xf numFmtId="0" fontId="50" fillId="24" borderId="33" xfId="0" applyFont="1" applyFill="1" applyBorder="1"/>
    <xf numFmtId="2" fontId="50" fillId="24" borderId="33" xfId="0" applyNumberFormat="1" applyFont="1" applyFill="1" applyBorder="1"/>
    <xf numFmtId="0" fontId="50" fillId="24" borderId="51" xfId="0" applyFont="1" applyFill="1" applyBorder="1"/>
    <xf numFmtId="2" fontId="50" fillId="24" borderId="5" xfId="0" applyNumberFormat="1" applyFont="1" applyFill="1" applyBorder="1" applyAlignment="1">
      <alignment horizontal="center"/>
    </xf>
    <xf numFmtId="2" fontId="50" fillId="24" borderId="25" xfId="0" applyNumberFormat="1" applyFont="1" applyFill="1" applyBorder="1" applyAlignment="1">
      <alignment horizontal="right"/>
    </xf>
    <xf numFmtId="2" fontId="50" fillId="24" borderId="34" xfId="0" applyNumberFormat="1" applyFont="1" applyFill="1" applyBorder="1"/>
    <xf numFmtId="164" fontId="59" fillId="24" borderId="0" xfId="10" applyFont="1" applyFill="1" applyBorder="1"/>
    <xf numFmtId="2" fontId="59" fillId="24" borderId="0" xfId="0" applyNumberFormat="1" applyFont="1" applyFill="1" applyAlignment="1">
      <alignment horizontal="right"/>
    </xf>
    <xf numFmtId="2" fontId="59" fillId="24" borderId="11" xfId="0" applyNumberFormat="1" applyFont="1" applyFill="1" applyBorder="1" applyAlignment="1">
      <alignment horizontal="center" vertical="center" wrapText="1"/>
    </xf>
    <xf numFmtId="2" fontId="123" fillId="24" borderId="22" xfId="0" applyNumberFormat="1" applyFont="1" applyFill="1" applyBorder="1"/>
    <xf numFmtId="2" fontId="123" fillId="24" borderId="0" xfId="0" applyNumberFormat="1" applyFont="1" applyFill="1"/>
    <xf numFmtId="2" fontId="50" fillId="24" borderId="0" xfId="0" applyNumberFormat="1" applyFont="1" applyFill="1" applyAlignment="1">
      <alignment horizontal="left"/>
    </xf>
    <xf numFmtId="0" fontId="59" fillId="24" borderId="0" xfId="0" applyFont="1" applyFill="1" applyAlignment="1">
      <alignment vertical="center"/>
    </xf>
    <xf numFmtId="0" fontId="59" fillId="24" borderId="0" xfId="0" applyFont="1" applyFill="1" applyAlignment="1">
      <alignment horizontal="center" vertical="center"/>
    </xf>
    <xf numFmtId="2" fontId="50" fillId="24" borderId="0" xfId="0" applyNumberFormat="1" applyFont="1" applyFill="1" applyAlignment="1">
      <alignment vertical="center"/>
    </xf>
    <xf numFmtId="164" fontId="50" fillId="24" borderId="0" xfId="10" applyFont="1" applyFill="1" applyBorder="1" applyAlignment="1">
      <alignment vertical="center"/>
    </xf>
    <xf numFmtId="2" fontId="59" fillId="24" borderId="0" xfId="0" applyNumberFormat="1" applyFont="1" applyFill="1" applyAlignment="1">
      <alignment vertical="center"/>
    </xf>
    <xf numFmtId="0" fontId="50" fillId="0" borderId="36" xfId="0" applyFont="1" applyBorder="1"/>
    <xf numFmtId="0" fontId="50" fillId="0" borderId="16" xfId="0" applyFont="1" applyBorder="1"/>
    <xf numFmtId="0" fontId="50" fillId="0" borderId="45" xfId="0" applyFont="1" applyBorder="1" applyAlignment="1">
      <alignment horizontal="center"/>
    </xf>
    <xf numFmtId="0" fontId="50" fillId="27" borderId="39" xfId="0" applyFont="1" applyFill="1" applyBorder="1"/>
    <xf numFmtId="0" fontId="50" fillId="24" borderId="0" xfId="0" applyFont="1" applyFill="1" applyAlignment="1">
      <alignment horizontal="left"/>
    </xf>
    <xf numFmtId="0" fontId="112" fillId="24" borderId="0" xfId="0" applyFont="1" applyFill="1" applyAlignment="1">
      <alignment horizontal="centerContinuous" vertical="top" wrapText="1"/>
    </xf>
    <xf numFmtId="0" fontId="50" fillId="24" borderId="0" xfId="0" applyFont="1" applyFill="1" applyAlignment="1">
      <alignment horizontal="centerContinuous" vertical="top" wrapText="1"/>
    </xf>
    <xf numFmtId="0" fontId="50" fillId="24" borderId="55" xfId="0" applyFont="1" applyFill="1" applyBorder="1" applyAlignment="1">
      <alignment horizontal="center"/>
    </xf>
    <xf numFmtId="0" fontId="113" fillId="24" borderId="51" xfId="0" applyFont="1" applyFill="1" applyBorder="1" applyAlignment="1">
      <alignment horizontal="center"/>
    </xf>
    <xf numFmtId="0" fontId="113" fillId="24" borderId="71" xfId="0" applyFont="1" applyFill="1" applyBorder="1" applyAlignment="1">
      <alignment horizontal="center"/>
    </xf>
    <xf numFmtId="0" fontId="50" fillId="24" borderId="28" xfId="0" applyFont="1" applyFill="1" applyBorder="1" applyAlignment="1">
      <alignment horizontal="center"/>
    </xf>
    <xf numFmtId="0" fontId="113" fillId="24" borderId="24" xfId="0" applyFont="1" applyFill="1" applyBorder="1" applyAlignment="1">
      <alignment horizontal="center"/>
    </xf>
    <xf numFmtId="165" fontId="50" fillId="24" borderId="5" xfId="0" applyNumberFormat="1" applyFont="1" applyFill="1" applyBorder="1"/>
    <xf numFmtId="165" fontId="50" fillId="24" borderId="24" xfId="0" applyNumberFormat="1" applyFont="1" applyFill="1" applyBorder="1"/>
    <xf numFmtId="10" fontId="50" fillId="24" borderId="5" xfId="43" applyNumberFormat="1" applyFont="1" applyFill="1" applyBorder="1"/>
    <xf numFmtId="10" fontId="50" fillId="24" borderId="24" xfId="43" applyNumberFormat="1" applyFont="1" applyFill="1" applyBorder="1"/>
    <xf numFmtId="10" fontId="50" fillId="24" borderId="25" xfId="0" applyNumberFormat="1" applyFont="1" applyFill="1" applyBorder="1"/>
    <xf numFmtId="165" fontId="50" fillId="24" borderId="25" xfId="0" applyNumberFormat="1" applyFont="1" applyFill="1" applyBorder="1"/>
    <xf numFmtId="164" fontId="50" fillId="24" borderId="24" xfId="0" applyNumberFormat="1" applyFont="1" applyFill="1" applyBorder="1"/>
    <xf numFmtId="167" fontId="50" fillId="24" borderId="24" xfId="0" applyNumberFormat="1" applyFont="1" applyFill="1" applyBorder="1"/>
    <xf numFmtId="167" fontId="50" fillId="24" borderId="5" xfId="0" applyNumberFormat="1" applyFont="1" applyFill="1" applyBorder="1"/>
    <xf numFmtId="167" fontId="50" fillId="24" borderId="25" xfId="0" applyNumberFormat="1" applyFont="1" applyFill="1" applyBorder="1"/>
    <xf numFmtId="0" fontId="50" fillId="24" borderId="32" xfId="0" applyFont="1" applyFill="1" applyBorder="1" applyAlignment="1">
      <alignment horizontal="center"/>
    </xf>
    <xf numFmtId="2" fontId="50" fillId="24" borderId="56" xfId="0" applyNumberFormat="1" applyFont="1" applyFill="1" applyBorder="1"/>
    <xf numFmtId="0" fontId="24" fillId="0" borderId="0" xfId="0" applyFont="1"/>
    <xf numFmtId="164" fontId="59" fillId="0" borderId="5" xfId="10" applyFont="1" applyFill="1" applyBorder="1" applyAlignment="1">
      <alignment horizontal="left" vertical="center" wrapText="1"/>
    </xf>
    <xf numFmtId="2" fontId="24" fillId="0" borderId="0" xfId="0" applyNumberFormat="1" applyFont="1"/>
    <xf numFmtId="0" fontId="24" fillId="0" borderId="5" xfId="0" applyFont="1" applyBorder="1"/>
    <xf numFmtId="2" fontId="24" fillId="0" borderId="5" xfId="0" applyNumberFormat="1" applyFont="1" applyBorder="1"/>
    <xf numFmtId="164" fontId="24" fillId="0" borderId="0" xfId="10" applyFont="1" applyFill="1"/>
    <xf numFmtId="0" fontId="14" fillId="0" borderId="5" xfId="0" applyFont="1" applyBorder="1"/>
    <xf numFmtId="2" fontId="59" fillId="24" borderId="5" xfId="0" applyNumberFormat="1" applyFont="1" applyFill="1" applyBorder="1" applyAlignment="1">
      <alignment horizontal="center"/>
    </xf>
    <xf numFmtId="0" fontId="122" fillId="24" borderId="0" xfId="0" applyFont="1" applyFill="1"/>
    <xf numFmtId="0" fontId="122" fillId="24" borderId="0" xfId="0" applyFont="1" applyFill="1" applyAlignment="1">
      <alignment horizontal="right"/>
    </xf>
    <xf numFmtId="0" fontId="50" fillId="24" borderId="40" xfId="0" applyFont="1" applyFill="1" applyBorder="1"/>
    <xf numFmtId="0" fontId="50" fillId="24" borderId="44" xfId="0" applyFont="1" applyFill="1" applyBorder="1" applyAlignment="1">
      <alignment horizontal="right"/>
    </xf>
    <xf numFmtId="0" fontId="50" fillId="24" borderId="45" xfId="0" applyFont="1" applyFill="1" applyBorder="1" applyAlignment="1">
      <alignment horizontal="right"/>
    </xf>
    <xf numFmtId="0" fontId="50" fillId="24" borderId="28" xfId="0" applyFont="1" applyFill="1" applyBorder="1"/>
    <xf numFmtId="0" fontId="50" fillId="24" borderId="5" xfId="0" applyFont="1" applyFill="1" applyBorder="1" applyAlignment="1">
      <alignment horizontal="right"/>
    </xf>
    <xf numFmtId="0" fontId="50" fillId="24" borderId="25" xfId="0" applyFont="1" applyFill="1" applyBorder="1" applyAlignment="1">
      <alignment horizontal="right"/>
    </xf>
    <xf numFmtId="0" fontId="59" fillId="24" borderId="40" xfId="0" applyFont="1" applyFill="1" applyBorder="1"/>
    <xf numFmtId="0" fontId="59" fillId="24" borderId="44" xfId="0" applyFont="1" applyFill="1" applyBorder="1" applyAlignment="1">
      <alignment horizontal="center"/>
    </xf>
    <xf numFmtId="0" fontId="59" fillId="24" borderId="45" xfId="0" applyFont="1" applyFill="1" applyBorder="1"/>
    <xf numFmtId="0" fontId="50" fillId="24" borderId="25" xfId="0" applyFont="1" applyFill="1" applyBorder="1"/>
    <xf numFmtId="0" fontId="59" fillId="24" borderId="32" xfId="0" applyFont="1" applyFill="1" applyBorder="1"/>
    <xf numFmtId="164" fontId="59" fillId="24" borderId="33" xfId="10" applyFont="1" applyFill="1" applyBorder="1" applyAlignment="1">
      <alignment horizontal="right"/>
    </xf>
    <xf numFmtId="164" fontId="59" fillId="24" borderId="34" xfId="10" applyFont="1" applyFill="1" applyBorder="1" applyAlignment="1">
      <alignment horizontal="right"/>
    </xf>
    <xf numFmtId="164" fontId="50" fillId="24" borderId="0" xfId="0" applyNumberFormat="1" applyFont="1" applyFill="1" applyAlignment="1">
      <alignment horizontal="right"/>
    </xf>
    <xf numFmtId="1" fontId="50" fillId="24" borderId="5" xfId="0" applyNumberFormat="1" applyFont="1" applyFill="1" applyBorder="1" applyAlignment="1">
      <alignment horizontal="right"/>
    </xf>
    <xf numFmtId="164" fontId="114" fillId="24" borderId="0" xfId="10" applyFont="1" applyFill="1" applyBorder="1"/>
    <xf numFmtId="0" fontId="59" fillId="24" borderId="28" xfId="0" applyFont="1" applyFill="1" applyBorder="1"/>
    <xf numFmtId="0" fontId="50" fillId="24" borderId="28" xfId="0" applyFont="1" applyFill="1" applyBorder="1" applyAlignment="1">
      <alignment wrapText="1"/>
    </xf>
    <xf numFmtId="164" fontId="114" fillId="24" borderId="32" xfId="10" applyFont="1" applyFill="1" applyBorder="1"/>
    <xf numFmtId="2" fontId="50" fillId="24" borderId="33" xfId="0" applyNumberFormat="1" applyFont="1" applyFill="1" applyBorder="1" applyAlignment="1">
      <alignment horizontal="right"/>
    </xf>
    <xf numFmtId="2" fontId="50" fillId="24" borderId="34" xfId="0" applyNumberFormat="1" applyFont="1" applyFill="1" applyBorder="1" applyAlignment="1">
      <alignment horizontal="right"/>
    </xf>
    <xf numFmtId="164" fontId="122" fillId="24" borderId="0" xfId="10" applyFont="1" applyFill="1" applyBorder="1"/>
    <xf numFmtId="164" fontId="114" fillId="24" borderId="40" xfId="10" applyFont="1" applyFill="1" applyBorder="1"/>
    <xf numFmtId="164" fontId="116" fillId="24" borderId="28" xfId="10" applyFont="1" applyFill="1" applyBorder="1" applyAlignment="1">
      <alignment wrapText="1"/>
    </xf>
    <xf numFmtId="0" fontId="50" fillId="24" borderId="33" xfId="0" applyFont="1" applyFill="1" applyBorder="1" applyAlignment="1">
      <alignment horizontal="right"/>
    </xf>
    <xf numFmtId="0" fontId="50" fillId="24" borderId="34" xfId="0" applyFont="1" applyFill="1" applyBorder="1" applyAlignment="1">
      <alignment horizontal="right"/>
    </xf>
    <xf numFmtId="164" fontId="114" fillId="24" borderId="0" xfId="10" applyFont="1" applyFill="1" applyBorder="1" applyAlignment="1">
      <alignment horizontal="right"/>
    </xf>
    <xf numFmtId="164" fontId="114" fillId="24" borderId="5" xfId="10" applyFont="1" applyFill="1" applyBorder="1" applyAlignment="1">
      <alignment horizontal="right"/>
    </xf>
    <xf numFmtId="173" fontId="50" fillId="24" borderId="25" xfId="10" applyNumberFormat="1" applyFont="1" applyFill="1" applyBorder="1" applyAlignment="1">
      <alignment horizontal="right"/>
    </xf>
    <xf numFmtId="164" fontId="114" fillId="24" borderId="33" xfId="10" applyFont="1" applyFill="1" applyBorder="1" applyAlignment="1">
      <alignment horizontal="right"/>
    </xf>
    <xf numFmtId="164" fontId="116" fillId="24" borderId="32" xfId="10" applyFont="1" applyFill="1" applyBorder="1" applyAlignment="1">
      <alignment wrapText="1"/>
    </xf>
    <xf numFmtId="164" fontId="50" fillId="24" borderId="33" xfId="10" applyFont="1" applyFill="1" applyBorder="1" applyAlignment="1">
      <alignment horizontal="right"/>
    </xf>
    <xf numFmtId="164" fontId="50" fillId="24" borderId="34" xfId="10" applyFont="1" applyFill="1" applyBorder="1" applyAlignment="1">
      <alignment horizontal="right"/>
    </xf>
    <xf numFmtId="0" fontId="120" fillId="24" borderId="5" xfId="0" applyFont="1" applyFill="1" applyBorder="1"/>
    <xf numFmtId="164" fontId="50" fillId="24" borderId="32" xfId="10" applyFont="1" applyFill="1" applyBorder="1" applyAlignment="1">
      <alignment wrapText="1"/>
    </xf>
    <xf numFmtId="173" fontId="50" fillId="24" borderId="33" xfId="10" applyNumberFormat="1" applyFont="1" applyFill="1" applyBorder="1" applyAlignment="1">
      <alignment horizontal="right"/>
    </xf>
    <xf numFmtId="0" fontId="122" fillId="24" borderId="75" xfId="0" applyFont="1" applyFill="1" applyBorder="1"/>
    <xf numFmtId="164" fontId="114" fillId="24" borderId="76" xfId="10" applyFont="1" applyFill="1" applyBorder="1" applyAlignment="1">
      <alignment horizontal="right"/>
    </xf>
    <xf numFmtId="164" fontId="114" fillId="24" borderId="6" xfId="10" applyFont="1" applyFill="1" applyBorder="1" applyAlignment="1">
      <alignment horizontal="right"/>
    </xf>
    <xf numFmtId="2" fontId="120" fillId="24" borderId="5" xfId="0" applyNumberFormat="1" applyFont="1" applyFill="1" applyBorder="1"/>
    <xf numFmtId="173" fontId="116" fillId="24" borderId="34" xfId="10" applyNumberFormat="1" applyFont="1" applyFill="1" applyBorder="1" applyAlignment="1">
      <alignment horizontal="right"/>
    </xf>
    <xf numFmtId="164" fontId="114" fillId="24" borderId="0" xfId="10" applyFont="1" applyFill="1"/>
    <xf numFmtId="164" fontId="114" fillId="24" borderId="0" xfId="10" applyFont="1" applyFill="1" applyAlignment="1">
      <alignment horizontal="right"/>
    </xf>
    <xf numFmtId="164" fontId="122" fillId="24" borderId="23" xfId="10" applyFont="1" applyFill="1" applyBorder="1"/>
    <xf numFmtId="164" fontId="122" fillId="24" borderId="5" xfId="10" applyFont="1" applyFill="1" applyBorder="1" applyAlignment="1">
      <alignment horizontal="right"/>
    </xf>
    <xf numFmtId="0" fontId="59" fillId="24" borderId="24" xfId="0" applyFont="1" applyFill="1" applyBorder="1" applyAlignment="1">
      <alignment horizontal="right"/>
    </xf>
    <xf numFmtId="164" fontId="50" fillId="24" borderId="5" xfId="0" applyNumberFormat="1" applyFont="1" applyFill="1" applyBorder="1" applyAlignment="1">
      <alignment wrapText="1"/>
    </xf>
    <xf numFmtId="164" fontId="122" fillId="24" borderId="24" xfId="10" applyFont="1" applyFill="1" applyBorder="1" applyAlignment="1">
      <alignment horizontal="right"/>
    </xf>
    <xf numFmtId="164" fontId="122" fillId="24" borderId="0" xfId="10" applyFont="1" applyFill="1"/>
    <xf numFmtId="164" fontId="122" fillId="24" borderId="0" xfId="10" applyFont="1" applyFill="1" applyAlignment="1">
      <alignment horizontal="right"/>
    </xf>
    <xf numFmtId="2" fontId="122" fillId="24" borderId="23" xfId="0" applyNumberFormat="1" applyFont="1" applyFill="1" applyBorder="1"/>
    <xf numFmtId="2" fontId="122" fillId="24" borderId="5" xfId="0" applyNumberFormat="1" applyFont="1" applyFill="1" applyBorder="1" applyAlignment="1">
      <alignment horizontal="right"/>
    </xf>
    <xf numFmtId="2" fontId="122" fillId="24" borderId="24" xfId="0" applyNumberFormat="1" applyFont="1" applyFill="1" applyBorder="1" applyAlignment="1">
      <alignment horizontal="right"/>
    </xf>
    <xf numFmtId="173" fontId="50" fillId="24" borderId="0" xfId="10" applyNumberFormat="1" applyFont="1" applyFill="1" applyBorder="1"/>
    <xf numFmtId="0" fontId="59" fillId="24" borderId="5" xfId="0" applyFont="1" applyFill="1" applyBorder="1" applyAlignment="1">
      <alignment horizontal="right"/>
    </xf>
    <xf numFmtId="2" fontId="59" fillId="24" borderId="5" xfId="0" applyNumberFormat="1" applyFont="1" applyFill="1" applyBorder="1" applyAlignment="1">
      <alignment horizontal="left"/>
    </xf>
    <xf numFmtId="173" fontId="59" fillId="24" borderId="0" xfId="0" applyNumberFormat="1" applyFont="1" applyFill="1"/>
    <xf numFmtId="0" fontId="122" fillId="24" borderId="5" xfId="0" applyFont="1" applyFill="1" applyBorder="1"/>
    <xf numFmtId="2" fontId="50" fillId="24" borderId="5" xfId="0" applyNumberFormat="1" applyFont="1" applyFill="1" applyBorder="1" applyAlignment="1">
      <alignment wrapText="1"/>
    </xf>
    <xf numFmtId="0" fontId="120" fillId="24" borderId="5" xfId="0" applyFont="1" applyFill="1" applyBorder="1" applyAlignment="1">
      <alignment horizontal="right"/>
    </xf>
    <xf numFmtId="9" fontId="50" fillId="24" borderId="0" xfId="43" applyFont="1" applyFill="1" applyBorder="1"/>
    <xf numFmtId="0" fontId="123" fillId="24" borderId="0" xfId="0" applyFont="1" applyFill="1" applyAlignment="1">
      <alignment wrapText="1"/>
    </xf>
    <xf numFmtId="2" fontId="123" fillId="24" borderId="0" xfId="0" applyNumberFormat="1" applyFont="1" applyFill="1" applyAlignment="1">
      <alignment horizontal="right"/>
    </xf>
    <xf numFmtId="10" fontId="50" fillId="24" borderId="5" xfId="43" applyNumberFormat="1" applyFont="1" applyFill="1" applyBorder="1" applyAlignment="1">
      <alignment horizontal="center"/>
    </xf>
    <xf numFmtId="0" fontId="59" fillId="24" borderId="0" xfId="0" applyFont="1" applyFill="1" applyAlignment="1">
      <alignment horizontal="right" wrapText="1"/>
    </xf>
    <xf numFmtId="0" fontId="59" fillId="24" borderId="0" xfId="0" applyFont="1" applyFill="1" applyAlignment="1">
      <alignment wrapText="1"/>
    </xf>
    <xf numFmtId="164" fontId="50" fillId="24" borderId="5" xfId="10" applyFont="1" applyFill="1" applyBorder="1" applyAlignment="1">
      <alignment horizontal="right"/>
    </xf>
    <xf numFmtId="164" fontId="59" fillId="24" borderId="5" xfId="10" applyFont="1" applyFill="1" applyBorder="1" applyAlignment="1">
      <alignment horizontal="left"/>
    </xf>
    <xf numFmtId="164" fontId="59" fillId="24" borderId="5" xfId="10" applyFont="1" applyFill="1" applyBorder="1" applyAlignment="1">
      <alignment horizontal="right"/>
    </xf>
    <xf numFmtId="1" fontId="50" fillId="24" borderId="5" xfId="0" applyNumberFormat="1" applyFont="1" applyFill="1" applyBorder="1"/>
    <xf numFmtId="1" fontId="24" fillId="0" borderId="0" xfId="62" applyNumberFormat="1" applyFill="1" applyAlignment="1">
      <alignment vertical="center"/>
    </xf>
    <xf numFmtId="0" fontId="14" fillId="0" borderId="5" xfId="62" applyFont="1" applyFill="1" applyBorder="1" applyAlignment="1">
      <alignment vertical="center"/>
    </xf>
    <xf numFmtId="164" fontId="14" fillId="0" borderId="5" xfId="0" applyNumberFormat="1" applyFont="1" applyBorder="1"/>
    <xf numFmtId="2" fontId="14" fillId="0" borderId="5" xfId="0" applyNumberFormat="1" applyFont="1" applyBorder="1"/>
    <xf numFmtId="2" fontId="14" fillId="0" borderId="0" xfId="62" applyNumberFormat="1" applyFont="1" applyFill="1"/>
    <xf numFmtId="1" fontId="14" fillId="0" borderId="0" xfId="62" applyNumberFormat="1" applyFont="1" applyFill="1"/>
    <xf numFmtId="2" fontId="72" fillId="0" borderId="0" xfId="0" applyNumberFormat="1" applyFont="1"/>
    <xf numFmtId="0" fontId="64" fillId="7" borderId="37" xfId="0" applyFont="1" applyFill="1" applyBorder="1"/>
    <xf numFmtId="0" fontId="96" fillId="18" borderId="5" xfId="0" applyFont="1" applyFill="1" applyBorder="1" applyAlignment="1">
      <alignment horizontal="center"/>
    </xf>
    <xf numFmtId="0" fontId="96" fillId="18" borderId="5" xfId="0" applyFont="1" applyFill="1" applyBorder="1" applyAlignment="1">
      <alignment horizontal="left"/>
    </xf>
    <xf numFmtId="165" fontId="96" fillId="18" borderId="5" xfId="0" applyNumberFormat="1" applyFont="1" applyFill="1" applyBorder="1" applyAlignment="1">
      <alignment horizontal="center"/>
    </xf>
    <xf numFmtId="0" fontId="96" fillId="0" borderId="5" xfId="0" applyFont="1" applyBorder="1" applyAlignment="1">
      <alignment horizontal="center"/>
    </xf>
    <xf numFmtId="164" fontId="12" fillId="22" borderId="5" xfId="10" applyFill="1" applyBorder="1" applyAlignment="1">
      <alignment horizontal="right"/>
    </xf>
    <xf numFmtId="2" fontId="31" fillId="20" borderId="5" xfId="0" applyNumberFormat="1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169" fontId="24" fillId="0" borderId="5" xfId="0" applyNumberFormat="1" applyFont="1" applyBorder="1"/>
    <xf numFmtId="0" fontId="24" fillId="0" borderId="5" xfId="0" applyFont="1" applyBorder="1" applyAlignment="1">
      <alignment horizontal="center"/>
    </xf>
    <xf numFmtId="164" fontId="160" fillId="0" borderId="5" xfId="10" applyFont="1" applyFill="1" applyBorder="1"/>
    <xf numFmtId="164" fontId="160" fillId="0" borderId="25" xfId="10" applyFont="1" applyFill="1" applyBorder="1"/>
    <xf numFmtId="164" fontId="160" fillId="0" borderId="33" xfId="10" applyFont="1" applyFill="1" applyBorder="1"/>
    <xf numFmtId="0" fontId="96" fillId="0" borderId="0" xfId="60" applyFont="1"/>
    <xf numFmtId="0" fontId="96" fillId="0" borderId="0" xfId="60" applyFont="1" applyAlignment="1">
      <alignment horizontal="center"/>
    </xf>
    <xf numFmtId="164" fontId="98" fillId="0" borderId="0" xfId="60" applyNumberFormat="1" applyFont="1" applyAlignment="1">
      <alignment horizontal="center"/>
    </xf>
    <xf numFmtId="0" fontId="96" fillId="12" borderId="0" xfId="60" applyFont="1" applyFill="1"/>
    <xf numFmtId="0" fontId="96" fillId="14" borderId="0" xfId="60" applyFont="1" applyFill="1"/>
    <xf numFmtId="0" fontId="96" fillId="20" borderId="0" xfId="60" applyFont="1" applyFill="1"/>
    <xf numFmtId="164" fontId="96" fillId="0" borderId="0" xfId="60" applyNumberFormat="1" applyFont="1"/>
    <xf numFmtId="0" fontId="97" fillId="0" borderId="0" xfId="60" applyFont="1"/>
    <xf numFmtId="164" fontId="97" fillId="0" borderId="0" xfId="60" applyNumberFormat="1" applyFont="1"/>
    <xf numFmtId="0" fontId="98" fillId="0" borderId="0" xfId="60" applyFont="1" applyAlignment="1">
      <alignment horizontal="center"/>
    </xf>
    <xf numFmtId="4" fontId="97" fillId="0" borderId="0" xfId="60" applyNumberFormat="1" applyFont="1"/>
    <xf numFmtId="2" fontId="96" fillId="0" borderId="0" xfId="60" applyNumberFormat="1" applyFont="1"/>
    <xf numFmtId="4" fontId="96" fillId="0" borderId="0" xfId="60" applyNumberFormat="1" applyFont="1" applyAlignment="1">
      <alignment horizontal="center"/>
    </xf>
    <xf numFmtId="0" fontId="96" fillId="5" borderId="0" xfId="60" applyFont="1" applyFill="1"/>
    <xf numFmtId="0" fontId="96" fillId="11" borderId="0" xfId="60" applyFont="1" applyFill="1"/>
    <xf numFmtId="0" fontId="107" fillId="24" borderId="0" xfId="60" applyFont="1" applyFill="1"/>
    <xf numFmtId="0" fontId="96" fillId="23" borderId="0" xfId="60" applyFont="1" applyFill="1"/>
    <xf numFmtId="164" fontId="12" fillId="2" borderId="0" xfId="10" applyFill="1"/>
    <xf numFmtId="43" fontId="12" fillId="2" borderId="0" xfId="60" applyNumberFormat="1" applyFill="1"/>
    <xf numFmtId="173" fontId="80" fillId="22" borderId="21" xfId="10" applyNumberFormat="1" applyFont="1" applyFill="1" applyBorder="1"/>
    <xf numFmtId="2" fontId="13" fillId="20" borderId="28" xfId="0" applyNumberFormat="1" applyFont="1" applyFill="1" applyBorder="1" applyAlignment="1">
      <alignment horizontal="left" vertical="center" wrapText="1"/>
    </xf>
    <xf numFmtId="2" fontId="0" fillId="20" borderId="22" xfId="0" applyNumberFormat="1" applyFill="1" applyBorder="1"/>
    <xf numFmtId="10" fontId="0" fillId="20" borderId="62" xfId="43" applyNumberFormat="1" applyFont="1" applyFill="1" applyBorder="1"/>
    <xf numFmtId="2" fontId="0" fillId="20" borderId="0" xfId="0" applyNumberFormat="1" applyFill="1"/>
    <xf numFmtId="2" fontId="0" fillId="20" borderId="47" xfId="0" applyNumberFormat="1" applyFill="1" applyBorder="1" applyAlignment="1">
      <alignment horizontal="center"/>
    </xf>
    <xf numFmtId="2" fontId="0" fillId="20" borderId="5" xfId="0" applyNumberFormat="1" applyFill="1" applyBorder="1" applyAlignment="1">
      <alignment horizontal="center"/>
    </xf>
    <xf numFmtId="2" fontId="0" fillId="20" borderId="25" xfId="0" applyNumberFormat="1" applyFill="1" applyBorder="1" applyAlignment="1">
      <alignment horizontal="center"/>
    </xf>
    <xf numFmtId="2" fontId="0" fillId="20" borderId="0" xfId="0" applyNumberFormat="1" applyFill="1" applyAlignment="1">
      <alignment horizontal="center"/>
    </xf>
    <xf numFmtId="164" fontId="59" fillId="24" borderId="5" xfId="10" applyFont="1" applyFill="1" applyBorder="1" applyAlignment="1">
      <alignment vertical="top" wrapText="1"/>
    </xf>
    <xf numFmtId="164" fontId="50" fillId="24" borderId="5" xfId="10" applyFont="1" applyFill="1" applyBorder="1" applyAlignment="1">
      <alignment vertical="top" wrapText="1"/>
    </xf>
    <xf numFmtId="164" fontId="59" fillId="0" borderId="5" xfId="10" applyFont="1" applyFill="1" applyBorder="1" applyAlignment="1" applyProtection="1">
      <alignment wrapText="1"/>
      <protection locked="0"/>
    </xf>
    <xf numFmtId="194" fontId="0" fillId="0" borderId="0" xfId="0" applyNumberFormat="1"/>
    <xf numFmtId="165" fontId="24" fillId="4" borderId="0" xfId="62" applyNumberFormat="1"/>
    <xf numFmtId="1" fontId="21" fillId="0" borderId="5" xfId="62" applyNumberFormat="1" applyFont="1" applyFill="1" applyBorder="1"/>
    <xf numFmtId="0" fontId="24" fillId="0" borderId="29" xfId="0" applyFont="1" applyBorder="1" applyAlignment="1">
      <alignment horizontal="center"/>
    </xf>
    <xf numFmtId="0" fontId="24" fillId="0" borderId="30" xfId="0" applyFont="1" applyBorder="1" applyAlignment="1">
      <alignment horizontal="center"/>
    </xf>
    <xf numFmtId="10" fontId="13" fillId="0" borderId="5" xfId="64" applyNumberFormat="1" applyFont="1" applyBorder="1"/>
    <xf numFmtId="164" fontId="59" fillId="0" borderId="5" xfId="10" applyFont="1" applyFill="1" applyBorder="1"/>
    <xf numFmtId="0" fontId="50" fillId="24" borderId="5" xfId="0" applyFont="1" applyFill="1" applyBorder="1" applyAlignment="1">
      <alignment vertical="center"/>
    </xf>
    <xf numFmtId="0" fontId="50" fillId="24" borderId="5" xfId="0" applyFont="1" applyFill="1" applyBorder="1" applyAlignment="1">
      <alignment vertical="center" wrapText="1"/>
    </xf>
    <xf numFmtId="164" fontId="0" fillId="13" borderId="0" xfId="10" applyFont="1" applyFill="1"/>
    <xf numFmtId="0" fontId="21" fillId="0" borderId="0" xfId="62" applyFont="1" applyFill="1" applyAlignment="1">
      <alignment vertical="center"/>
    </xf>
    <xf numFmtId="0" fontId="116" fillId="0" borderId="44" xfId="0" applyFont="1" applyBorder="1" applyAlignment="1">
      <alignment horizontal="center"/>
    </xf>
    <xf numFmtId="0" fontId="14" fillId="0" borderId="0" xfId="0" applyFont="1" applyAlignment="1">
      <alignment horizontal="left"/>
    </xf>
    <xf numFmtId="9" fontId="24" fillId="0" borderId="0" xfId="43" applyFont="1" applyAlignment="1">
      <alignment horizontal="center"/>
    </xf>
    <xf numFmtId="9" fontId="24" fillId="0" borderId="5" xfId="43" applyFont="1" applyBorder="1" applyAlignment="1">
      <alignment horizontal="center" wrapText="1"/>
    </xf>
    <xf numFmtId="0" fontId="24" fillId="0" borderId="5" xfId="0" applyFont="1" applyBorder="1" applyAlignment="1">
      <alignment horizontal="center" wrapText="1"/>
    </xf>
    <xf numFmtId="9" fontId="14" fillId="0" borderId="5" xfId="43" applyFont="1" applyBorder="1" applyAlignment="1">
      <alignment horizontal="center"/>
    </xf>
    <xf numFmtId="9" fontId="24" fillId="0" borderId="5" xfId="43" applyFont="1" applyBorder="1" applyAlignment="1">
      <alignment horizontal="center"/>
    </xf>
    <xf numFmtId="9" fontId="24" fillId="0" borderId="5" xfId="0" applyNumberFormat="1" applyFont="1" applyBorder="1" applyAlignment="1">
      <alignment horizontal="center"/>
    </xf>
    <xf numFmtId="0" fontId="24" fillId="0" borderId="5" xfId="0" applyFont="1" applyBorder="1" applyAlignment="1">
      <alignment vertical="center"/>
    </xf>
    <xf numFmtId="2" fontId="24" fillId="0" borderId="5" xfId="0" applyNumberFormat="1" applyFont="1" applyBorder="1" applyAlignment="1">
      <alignment vertical="center"/>
    </xf>
    <xf numFmtId="0" fontId="14" fillId="0" borderId="5" xfId="0" applyFont="1" applyBorder="1" applyAlignment="1">
      <alignment horizontal="right"/>
    </xf>
    <xf numFmtId="9" fontId="14" fillId="0" borderId="5" xfId="0" applyNumberFormat="1" applyFont="1" applyBorder="1" applyAlignment="1">
      <alignment horizontal="center"/>
    </xf>
    <xf numFmtId="0" fontId="161" fillId="24" borderId="5" xfId="0" applyFont="1" applyFill="1" applyBorder="1" applyAlignment="1">
      <alignment horizontal="center"/>
    </xf>
    <xf numFmtId="0" fontId="162" fillId="24" borderId="5" xfId="0" applyFont="1" applyFill="1" applyBorder="1" applyAlignment="1">
      <alignment horizontal="center" vertical="center"/>
    </xf>
    <xf numFmtId="0" fontId="163" fillId="24" borderId="5" xfId="0" applyFont="1" applyFill="1" applyBorder="1" applyAlignment="1">
      <alignment horizontal="center"/>
    </xf>
    <xf numFmtId="0" fontId="161" fillId="24" borderId="5" xfId="0" applyFont="1" applyFill="1" applyBorder="1"/>
    <xf numFmtId="164" fontId="161" fillId="24" borderId="0" xfId="10" applyFont="1" applyFill="1" applyBorder="1"/>
    <xf numFmtId="0" fontId="161" fillId="24" borderId="10" xfId="0" applyFont="1" applyFill="1" applyBorder="1" applyAlignment="1">
      <alignment horizontal="center"/>
    </xf>
    <xf numFmtId="0" fontId="161" fillId="24" borderId="0" xfId="0" applyFont="1" applyFill="1"/>
    <xf numFmtId="165" fontId="161" fillId="24" borderId="10" xfId="0" applyNumberFormat="1" applyFont="1" applyFill="1" applyBorder="1" applyAlignment="1">
      <alignment horizontal="center"/>
    </xf>
    <xf numFmtId="165" fontId="96" fillId="19" borderId="5" xfId="0" applyNumberFormat="1" applyFont="1" applyFill="1" applyBorder="1" applyAlignment="1">
      <alignment horizontal="center"/>
    </xf>
    <xf numFmtId="0" fontId="96" fillId="19" borderId="5" xfId="0" applyFont="1" applyFill="1" applyBorder="1" applyAlignment="1">
      <alignment horizontal="center"/>
    </xf>
    <xf numFmtId="0" fontId="97" fillId="12" borderId="5" xfId="0" applyFont="1" applyFill="1" applyBorder="1" applyAlignment="1">
      <alignment horizontal="center"/>
    </xf>
    <xf numFmtId="0" fontId="98" fillId="12" borderId="5" xfId="0" applyFont="1" applyFill="1" applyBorder="1"/>
    <xf numFmtId="165" fontId="96" fillId="30" borderId="5" xfId="0" applyNumberFormat="1" applyFont="1" applyFill="1" applyBorder="1" applyAlignment="1">
      <alignment horizontal="center"/>
    </xf>
    <xf numFmtId="0" fontId="97" fillId="0" borderId="5" xfId="60" applyFont="1" applyBorder="1"/>
    <xf numFmtId="0" fontId="107" fillId="0" borderId="0" xfId="60" applyFont="1"/>
    <xf numFmtId="173" fontId="80" fillId="24" borderId="38" xfId="10" applyNumberFormat="1" applyFont="1" applyFill="1" applyBorder="1"/>
    <xf numFmtId="0" fontId="14" fillId="22" borderId="0" xfId="60" applyFont="1" applyFill="1"/>
    <xf numFmtId="0" fontId="0" fillId="0" borderId="5" xfId="0" applyBorder="1" applyAlignment="1">
      <alignment vertical="top"/>
    </xf>
    <xf numFmtId="0" fontId="0" fillId="0" borderId="5" xfId="0" applyBorder="1" applyAlignment="1">
      <alignment horizontal="center" vertical="top"/>
    </xf>
    <xf numFmtId="0" fontId="0" fillId="0" borderId="5" xfId="0" applyBorder="1" applyAlignment="1">
      <alignment horizontal="center" vertical="top" wrapText="1"/>
    </xf>
    <xf numFmtId="0" fontId="24" fillId="0" borderId="5" xfId="0" applyFont="1" applyBorder="1" applyAlignment="1">
      <alignment horizontal="center" vertical="top" wrapText="1"/>
    </xf>
    <xf numFmtId="0" fontId="24" fillId="24" borderId="5" xfId="0" applyFont="1" applyFill="1" applyBorder="1" applyAlignment="1">
      <alignment vertical="center"/>
    </xf>
    <xf numFmtId="2" fontId="24" fillId="24" borderId="5" xfId="0" applyNumberFormat="1" applyFont="1" applyFill="1" applyBorder="1" applyAlignment="1">
      <alignment vertical="center"/>
    </xf>
    <xf numFmtId="165" fontId="31" fillId="24" borderId="5" xfId="0" applyNumberFormat="1" applyFont="1" applyFill="1" applyBorder="1" applyAlignment="1">
      <alignment vertical="center"/>
    </xf>
    <xf numFmtId="0" fontId="31" fillId="24" borderId="5" xfId="0" applyFont="1" applyFill="1" applyBorder="1" applyAlignment="1">
      <alignment vertical="center"/>
    </xf>
    <xf numFmtId="2" fontId="31" fillId="24" borderId="5" xfId="0" applyNumberFormat="1" applyFont="1" applyFill="1" applyBorder="1" applyAlignment="1">
      <alignment vertical="center"/>
    </xf>
    <xf numFmtId="0" fontId="22" fillId="24" borderId="5" xfId="62" applyFont="1" applyFill="1" applyBorder="1" applyAlignment="1">
      <alignment vertical="center"/>
    </xf>
    <xf numFmtId="165" fontId="22" fillId="24" borderId="5" xfId="62" applyNumberFormat="1" applyFont="1" applyFill="1" applyBorder="1" applyAlignment="1">
      <alignment vertical="center"/>
    </xf>
    <xf numFmtId="2" fontId="22" fillId="24" borderId="5" xfId="62" applyNumberFormat="1" applyFont="1" applyFill="1" applyBorder="1" applyAlignment="1">
      <alignment vertical="center"/>
    </xf>
    <xf numFmtId="10" fontId="12" fillId="18" borderId="5" xfId="0" applyNumberFormat="1" applyFont="1" applyFill="1" applyBorder="1" applyAlignment="1">
      <alignment horizontal="right"/>
    </xf>
    <xf numFmtId="164" fontId="14" fillId="0" borderId="5" xfId="10" applyFont="1" applyFill="1" applyBorder="1" applyAlignment="1">
      <alignment horizontal="left" vertical="center" wrapText="1"/>
    </xf>
    <xf numFmtId="175" fontId="36" fillId="0" borderId="5" xfId="10" applyNumberFormat="1" applyFont="1" applyFill="1" applyBorder="1" applyAlignment="1">
      <alignment horizontal="left" vertical="center"/>
    </xf>
    <xf numFmtId="175" fontId="14" fillId="0" borderId="5" xfId="10" applyNumberFormat="1" applyFont="1" applyFill="1" applyBorder="1" applyAlignment="1">
      <alignment vertical="center"/>
    </xf>
    <xf numFmtId="164" fontId="14" fillId="0" borderId="5" xfId="10" applyFont="1" applyFill="1" applyBorder="1" applyAlignment="1">
      <alignment horizontal="left" vertical="center"/>
    </xf>
    <xf numFmtId="164" fontId="36" fillId="0" borderId="5" xfId="10" applyFont="1" applyFill="1" applyBorder="1" applyAlignment="1">
      <alignment horizontal="left" vertical="center"/>
    </xf>
    <xf numFmtId="164" fontId="24" fillId="0" borderId="5" xfId="10" applyFont="1" applyFill="1" applyBorder="1" applyAlignment="1">
      <alignment vertical="center"/>
    </xf>
    <xf numFmtId="164" fontId="14" fillId="0" borderId="5" xfId="10" applyFont="1" applyFill="1" applyBorder="1" applyAlignment="1">
      <alignment vertical="center"/>
    </xf>
    <xf numFmtId="175" fontId="36" fillId="0" borderId="5" xfId="10" applyNumberFormat="1" applyFont="1" applyFill="1" applyBorder="1" applyAlignment="1">
      <alignment vertical="center"/>
    </xf>
    <xf numFmtId="164" fontId="36" fillId="0" borderId="5" xfId="10" applyFont="1" applyFill="1" applyBorder="1" applyAlignment="1">
      <alignment vertical="center"/>
    </xf>
    <xf numFmtId="164" fontId="34" fillId="0" borderId="5" xfId="10" applyFont="1" applyFill="1" applyBorder="1" applyAlignment="1">
      <alignment vertical="center"/>
    </xf>
    <xf numFmtId="175" fontId="34" fillId="0" borderId="5" xfId="10" applyNumberFormat="1" applyFont="1" applyFill="1" applyBorder="1" applyAlignment="1">
      <alignment vertical="center"/>
    </xf>
    <xf numFmtId="175" fontId="24" fillId="0" borderId="5" xfId="10" applyNumberFormat="1" applyFont="1" applyFill="1" applyBorder="1" applyAlignment="1">
      <alignment vertical="center"/>
    </xf>
    <xf numFmtId="165" fontId="135" fillId="0" borderId="5" xfId="62" applyNumberFormat="1" applyFont="1" applyFill="1" applyBorder="1" applyAlignment="1">
      <alignment horizontal="right"/>
    </xf>
    <xf numFmtId="2" fontId="135" fillId="0" borderId="5" xfId="62" applyNumberFormat="1" applyFont="1" applyFill="1" applyBorder="1" applyAlignment="1">
      <alignment horizontal="right"/>
    </xf>
    <xf numFmtId="165" fontId="28" fillId="0" borderId="5" xfId="62" applyNumberFormat="1" applyFont="1" applyFill="1" applyBorder="1" applyAlignment="1">
      <alignment horizontal="right"/>
    </xf>
    <xf numFmtId="2" fontId="28" fillId="0" borderId="5" xfId="62" applyNumberFormat="1" applyFont="1" applyFill="1" applyBorder="1" applyAlignment="1">
      <alignment horizontal="right"/>
    </xf>
    <xf numFmtId="165" fontId="158" fillId="0" borderId="5" xfId="62" applyNumberFormat="1" applyFont="1" applyFill="1" applyBorder="1" applyAlignment="1">
      <alignment horizontal="right"/>
    </xf>
    <xf numFmtId="9" fontId="139" fillId="0" borderId="5" xfId="43" applyFont="1" applyFill="1" applyBorder="1"/>
    <xf numFmtId="164" fontId="24" fillId="0" borderId="5" xfId="10" applyFont="1" applyFill="1" applyBorder="1"/>
    <xf numFmtId="173" fontId="59" fillId="0" borderId="5" xfId="0" applyNumberFormat="1" applyFont="1" applyBorder="1" applyAlignment="1">
      <alignment horizontal="center"/>
    </xf>
    <xf numFmtId="164" fontId="161" fillId="24" borderId="10" xfId="10" applyFont="1" applyFill="1" applyBorder="1"/>
    <xf numFmtId="164" fontId="161" fillId="24" borderId="42" xfId="10" applyFont="1" applyFill="1" applyBorder="1"/>
    <xf numFmtId="165" fontId="28" fillId="24" borderId="5" xfId="62" applyNumberFormat="1" applyFont="1" applyFill="1" applyBorder="1" applyAlignment="1">
      <alignment horizontal="right"/>
    </xf>
    <xf numFmtId="175" fontId="34" fillId="0" borderId="5" xfId="10" applyNumberFormat="1" applyFont="1" applyFill="1" applyBorder="1" applyAlignment="1">
      <alignment horizontal="center" vertical="center"/>
    </xf>
    <xf numFmtId="165" fontId="12" fillId="0" borderId="5" xfId="0" applyNumberFormat="1" applyFont="1" applyBorder="1" applyAlignment="1">
      <alignment horizontal="right"/>
    </xf>
    <xf numFmtId="165" fontId="0" fillId="18" borderId="5" xfId="0" applyNumberFormat="1" applyFill="1" applyBorder="1"/>
    <xf numFmtId="0" fontId="0" fillId="18" borderId="5" xfId="0" applyFill="1" applyBorder="1"/>
    <xf numFmtId="0" fontId="12" fillId="18" borderId="5" xfId="0" applyFont="1" applyFill="1" applyBorder="1" applyAlignment="1">
      <alignment wrapText="1"/>
    </xf>
    <xf numFmtId="1" fontId="0" fillId="18" borderId="5" xfId="0" applyNumberFormat="1" applyFill="1" applyBorder="1"/>
    <xf numFmtId="1" fontId="13" fillId="18" borderId="5" xfId="0" applyNumberFormat="1" applyFont="1" applyFill="1" applyBorder="1"/>
    <xf numFmtId="0" fontId="121" fillId="0" borderId="5" xfId="0" applyFont="1" applyBorder="1" applyAlignment="1">
      <alignment horizontal="center"/>
    </xf>
    <xf numFmtId="164" fontId="158" fillId="0" borderId="5" xfId="10" applyFont="1" applyFill="1" applyBorder="1"/>
    <xf numFmtId="164" fontId="14" fillId="0" borderId="5" xfId="10" applyFont="1" applyFill="1" applyBorder="1"/>
    <xf numFmtId="2" fontId="0" fillId="0" borderId="5" xfId="0" applyNumberFormat="1" applyBorder="1" applyAlignment="1">
      <alignment horizontal="center" wrapText="1"/>
    </xf>
    <xf numFmtId="2" fontId="12" fillId="0" borderId="5" xfId="0" applyNumberFormat="1" applyFont="1" applyBorder="1" applyAlignment="1">
      <alignment horizontal="center" wrapText="1"/>
    </xf>
    <xf numFmtId="165" fontId="96" fillId="19" borderId="51" xfId="0" applyNumberFormat="1" applyFont="1" applyFill="1" applyBorder="1" applyAlignment="1">
      <alignment horizontal="center"/>
    </xf>
    <xf numFmtId="164" fontId="12" fillId="0" borderId="5" xfId="0" applyNumberFormat="1" applyFont="1" applyBorder="1" applyAlignment="1">
      <alignment horizontal="left"/>
    </xf>
    <xf numFmtId="164" fontId="150" fillId="0" borderId="0" xfId="0" applyNumberFormat="1" applyFont="1"/>
    <xf numFmtId="0" fontId="24" fillId="24" borderId="0" xfId="62" applyFill="1" applyAlignment="1">
      <alignment horizontal="center" vertical="center"/>
    </xf>
    <xf numFmtId="0" fontId="37" fillId="24" borderId="0" xfId="62" applyFont="1" applyFill="1" applyAlignment="1">
      <alignment vertical="center"/>
    </xf>
    <xf numFmtId="0" fontId="23" fillId="24" borderId="0" xfId="62" applyFont="1" applyFill="1" applyAlignment="1">
      <alignment vertical="center"/>
    </xf>
    <xf numFmtId="0" fontId="22" fillId="24" borderId="0" xfId="62" applyFont="1" applyFill="1" applyAlignment="1">
      <alignment vertical="center"/>
    </xf>
    <xf numFmtId="0" fontId="24" fillId="24" borderId="5" xfId="62" applyFill="1" applyBorder="1" applyAlignment="1">
      <alignment horizontal="center" vertical="center"/>
    </xf>
    <xf numFmtId="0" fontId="22" fillId="24" borderId="5" xfId="62" applyFont="1" applyFill="1" applyBorder="1" applyAlignment="1">
      <alignment horizontal="center" vertical="center" wrapText="1"/>
    </xf>
    <xf numFmtId="0" fontId="37" fillId="24" borderId="5" xfId="62" applyFont="1" applyFill="1" applyBorder="1" applyAlignment="1">
      <alignment vertical="center"/>
    </xf>
    <xf numFmtId="184" fontId="22" fillId="24" borderId="5" xfId="62" applyNumberFormat="1" applyFont="1" applyFill="1" applyBorder="1" applyAlignment="1">
      <alignment horizontal="center" vertical="center" wrapText="1"/>
    </xf>
    <xf numFmtId="0" fontId="22" fillId="24" borderId="5" xfId="62" applyFont="1" applyFill="1" applyBorder="1" applyAlignment="1">
      <alignment horizontal="center" vertical="center"/>
    </xf>
    <xf numFmtId="0" fontId="100" fillId="24" borderId="5" xfId="65" applyFill="1" applyBorder="1" applyAlignment="1">
      <alignment horizontal="center"/>
    </xf>
    <xf numFmtId="0" fontId="100" fillId="24" borderId="5" xfId="65" applyFill="1" applyBorder="1"/>
    <xf numFmtId="1" fontId="139" fillId="24" borderId="5" xfId="65" applyNumberFormat="1" applyFont="1" applyFill="1" applyBorder="1"/>
    <xf numFmtId="9" fontId="100" fillId="24" borderId="5" xfId="43" applyFont="1" applyFill="1" applyBorder="1"/>
    <xf numFmtId="1" fontId="100" fillId="24" borderId="5" xfId="65" applyNumberFormat="1" applyFill="1" applyBorder="1"/>
    <xf numFmtId="0" fontId="139" fillId="24" borderId="5" xfId="65" applyFont="1" applyFill="1" applyBorder="1"/>
    <xf numFmtId="164" fontId="163" fillId="24" borderId="5" xfId="10" applyFont="1" applyFill="1" applyBorder="1" applyAlignment="1">
      <alignment horizontal="center" vertical="center"/>
    </xf>
    <xf numFmtId="0" fontId="96" fillId="32" borderId="5" xfId="0" applyFont="1" applyFill="1" applyBorder="1" applyAlignment="1">
      <alignment horizontal="center"/>
    </xf>
    <xf numFmtId="0" fontId="12" fillId="30" borderId="5" xfId="0" applyFont="1" applyFill="1" applyBorder="1" applyAlignment="1">
      <alignment horizontal="center"/>
    </xf>
    <xf numFmtId="0" fontId="97" fillId="12" borderId="22" xfId="0" applyFont="1" applyFill="1" applyBorder="1" applyAlignment="1">
      <alignment horizontal="center"/>
    </xf>
    <xf numFmtId="0" fontId="98" fillId="12" borderId="22" xfId="0" applyFont="1" applyFill="1" applyBorder="1"/>
    <xf numFmtId="0" fontId="77" fillId="21" borderId="15" xfId="0" applyFont="1" applyFill="1" applyBorder="1" applyAlignment="1">
      <alignment horizontal="center" vertical="center" shrinkToFit="1"/>
    </xf>
    <xf numFmtId="0" fontId="77" fillId="21" borderId="10" xfId="0" applyFont="1" applyFill="1" applyBorder="1" applyAlignment="1">
      <alignment horizontal="center" vertical="center" shrinkToFit="1"/>
    </xf>
    <xf numFmtId="0" fontId="77" fillId="21" borderId="11" xfId="0" applyFont="1" applyFill="1" applyBorder="1" applyAlignment="1">
      <alignment horizontal="center" vertical="center" shrinkToFit="1"/>
    </xf>
    <xf numFmtId="165" fontId="81" fillId="21" borderId="5" xfId="0" applyNumberFormat="1" applyFont="1" applyFill="1" applyBorder="1" applyAlignment="1">
      <alignment horizontal="center" vertical="center" shrinkToFit="1"/>
    </xf>
    <xf numFmtId="0" fontId="12" fillId="30" borderId="0" xfId="0" applyFont="1" applyFill="1" applyAlignment="1">
      <alignment horizontal="center"/>
    </xf>
    <xf numFmtId="0" fontId="12" fillId="30" borderId="0" xfId="0" applyFont="1" applyFill="1"/>
    <xf numFmtId="165" fontId="161" fillId="30" borderId="5" xfId="0" applyNumberFormat="1" applyFont="1" applyFill="1" applyBorder="1" applyAlignment="1">
      <alignment horizontal="center"/>
    </xf>
    <xf numFmtId="0" fontId="81" fillId="21" borderId="10" xfId="0" applyFont="1" applyFill="1" applyBorder="1" applyAlignment="1">
      <alignment horizontal="center" vertical="center" shrinkToFit="1"/>
    </xf>
    <xf numFmtId="0" fontId="77" fillId="21" borderId="0" xfId="0" applyFont="1" applyFill="1" applyAlignment="1">
      <alignment vertical="center" shrinkToFit="1"/>
    </xf>
    <xf numFmtId="0" fontId="81" fillId="21" borderId="5" xfId="0" applyFont="1" applyFill="1" applyBorder="1" applyAlignment="1">
      <alignment horizontal="center" vertical="center" shrinkToFit="1"/>
    </xf>
    <xf numFmtId="0" fontId="91" fillId="30" borderId="0" xfId="0" applyFont="1" applyFill="1" applyAlignment="1">
      <alignment horizontal="center"/>
    </xf>
    <xf numFmtId="0" fontId="96" fillId="30" borderId="5" xfId="0" applyFont="1" applyFill="1" applyBorder="1" applyAlignment="1">
      <alignment horizontal="center"/>
    </xf>
    <xf numFmtId="0" fontId="91" fillId="30" borderId="0" xfId="0" applyFont="1" applyFill="1"/>
    <xf numFmtId="165" fontId="81" fillId="30" borderId="5" xfId="0" applyNumberFormat="1" applyFont="1" applyFill="1" applyBorder="1" applyAlignment="1">
      <alignment horizontal="center" vertical="center" shrinkToFit="1"/>
    </xf>
    <xf numFmtId="0" fontId="91" fillId="30" borderId="23" xfId="0" applyFont="1" applyFill="1" applyBorder="1" applyAlignment="1">
      <alignment horizontal="center"/>
    </xf>
    <xf numFmtId="0" fontId="98" fillId="12" borderId="24" xfId="0" applyFont="1" applyFill="1" applyBorder="1"/>
    <xf numFmtId="0" fontId="12" fillId="30" borderId="24" xfId="0" applyFont="1" applyFill="1" applyBorder="1"/>
    <xf numFmtId="0" fontId="24" fillId="30" borderId="24" xfId="0" applyFont="1" applyFill="1" applyBorder="1"/>
    <xf numFmtId="0" fontId="166" fillId="30" borderId="24" xfId="0" applyFont="1" applyFill="1" applyBorder="1"/>
    <xf numFmtId="0" fontId="98" fillId="12" borderId="15" xfId="0" applyFont="1" applyFill="1" applyBorder="1"/>
    <xf numFmtId="0" fontId="77" fillId="21" borderId="13" xfId="0" applyFont="1" applyFill="1" applyBorder="1" applyAlignment="1">
      <alignment vertical="center" shrinkToFit="1"/>
    </xf>
    <xf numFmtId="0" fontId="77" fillId="21" borderId="12" xfId="0" applyFont="1" applyFill="1" applyBorder="1" applyAlignment="1">
      <alignment vertical="center" shrinkToFit="1"/>
    </xf>
    <xf numFmtId="0" fontId="77" fillId="21" borderId="24" xfId="0" applyFont="1" applyFill="1" applyBorder="1" applyAlignment="1">
      <alignment vertical="center" shrinkToFit="1"/>
    </xf>
    <xf numFmtId="0" fontId="77" fillId="30" borderId="24" xfId="0" applyFont="1" applyFill="1" applyBorder="1" applyAlignment="1">
      <alignment vertical="center" shrinkToFit="1"/>
    </xf>
    <xf numFmtId="0" fontId="96" fillId="30" borderId="24" xfId="0" applyFont="1" applyFill="1" applyBorder="1"/>
    <xf numFmtId="0" fontId="91" fillId="30" borderId="24" xfId="0" applyFont="1" applyFill="1" applyBorder="1"/>
    <xf numFmtId="0" fontId="96" fillId="19" borderId="11" xfId="0" applyFont="1" applyFill="1" applyBorder="1"/>
    <xf numFmtId="0" fontId="96" fillId="32" borderId="24" xfId="0" applyFont="1" applyFill="1" applyBorder="1" applyAlignment="1">
      <alignment horizontal="left"/>
    </xf>
    <xf numFmtId="0" fontId="96" fillId="0" borderId="5" xfId="0" applyFont="1" applyBorder="1" applyAlignment="1">
      <alignment horizontal="center" vertical="center"/>
    </xf>
    <xf numFmtId="0" fontId="98" fillId="0" borderId="24" xfId="0" applyFont="1" applyBorder="1" applyAlignment="1">
      <alignment vertical="center"/>
    </xf>
    <xf numFmtId="0" fontId="96" fillId="19" borderId="24" xfId="0" applyFont="1" applyFill="1" applyBorder="1"/>
    <xf numFmtId="0" fontId="96" fillId="32" borderId="24" xfId="0" applyFont="1" applyFill="1" applyBorder="1"/>
    <xf numFmtId="0" fontId="96" fillId="30" borderId="24" xfId="0" applyFont="1" applyFill="1" applyBorder="1" applyAlignment="1">
      <alignment horizontal="left"/>
    </xf>
    <xf numFmtId="0" fontId="96" fillId="19" borderId="24" xfId="0" applyFont="1" applyFill="1" applyBorder="1" applyAlignment="1">
      <alignment horizontal="left"/>
    </xf>
    <xf numFmtId="0" fontId="168" fillId="24" borderId="10" xfId="0" applyFont="1" applyFill="1" applyBorder="1" applyAlignment="1">
      <alignment horizontal="center"/>
    </xf>
    <xf numFmtId="0" fontId="168" fillId="24" borderId="0" xfId="0" applyFont="1" applyFill="1"/>
    <xf numFmtId="3" fontId="97" fillId="0" borderId="5" xfId="60" applyNumberFormat="1" applyFont="1" applyBorder="1"/>
    <xf numFmtId="3" fontId="97" fillId="0" borderId="5" xfId="10" applyNumberFormat="1" applyFont="1" applyFill="1" applyBorder="1"/>
    <xf numFmtId="0" fontId="13" fillId="24" borderId="0" xfId="0" applyFont="1" applyFill="1"/>
    <xf numFmtId="0" fontId="119" fillId="24" borderId="37" xfId="60" applyFont="1" applyFill="1" applyBorder="1"/>
    <xf numFmtId="173" fontId="59" fillId="7" borderId="36" xfId="60" applyNumberFormat="1" applyFont="1" applyFill="1" applyBorder="1" applyAlignment="1">
      <alignment horizontal="center"/>
    </xf>
    <xf numFmtId="173" fontId="59" fillId="24" borderId="17" xfId="60" applyNumberFormat="1" applyFont="1" applyFill="1" applyBorder="1" applyAlignment="1">
      <alignment horizontal="center"/>
    </xf>
    <xf numFmtId="173" fontId="59" fillId="24" borderId="36" xfId="60" applyNumberFormat="1" applyFont="1" applyFill="1" applyBorder="1" applyAlignment="1">
      <alignment horizontal="center"/>
    </xf>
    <xf numFmtId="173" fontId="50" fillId="24" borderId="17" xfId="60" applyNumberFormat="1" applyFont="1" applyFill="1" applyBorder="1" applyAlignment="1">
      <alignment horizontal="center"/>
    </xf>
    <xf numFmtId="2" fontId="13" fillId="33" borderId="5" xfId="0" applyNumberFormat="1" applyFont="1" applyFill="1" applyBorder="1"/>
    <xf numFmtId="2" fontId="0" fillId="33" borderId="5" xfId="0" applyNumberFormat="1" applyFill="1" applyBorder="1"/>
    <xf numFmtId="0" fontId="0" fillId="33" borderId="5" xfId="0" applyFill="1" applyBorder="1"/>
    <xf numFmtId="2" fontId="125" fillId="33" borderId="5" xfId="0" applyNumberFormat="1" applyFont="1" applyFill="1" applyBorder="1"/>
    <xf numFmtId="0" fontId="13" fillId="33" borderId="40" xfId="0" applyFont="1" applyFill="1" applyBorder="1"/>
    <xf numFmtId="0" fontId="0" fillId="33" borderId="44" xfId="0" applyFill="1" applyBorder="1" applyAlignment="1">
      <alignment horizontal="right"/>
    </xf>
    <xf numFmtId="0" fontId="0" fillId="33" borderId="45" xfId="0" applyFill="1" applyBorder="1" applyAlignment="1">
      <alignment horizontal="right"/>
    </xf>
    <xf numFmtId="0" fontId="0" fillId="33" borderId="28" xfId="0" applyFill="1" applyBorder="1"/>
    <xf numFmtId="0" fontId="12" fillId="33" borderId="5" xfId="0" applyFont="1" applyFill="1" applyBorder="1" applyAlignment="1">
      <alignment horizontal="right" wrapText="1"/>
    </xf>
    <xf numFmtId="0" fontId="12" fillId="33" borderId="25" xfId="0" applyFont="1" applyFill="1" applyBorder="1" applyAlignment="1">
      <alignment horizontal="right" wrapText="1"/>
    </xf>
    <xf numFmtId="164" fontId="12" fillId="33" borderId="5" xfId="10" applyFill="1" applyBorder="1" applyAlignment="1">
      <alignment horizontal="right"/>
    </xf>
    <xf numFmtId="164" fontId="12" fillId="33" borderId="25" xfId="10" applyFill="1" applyBorder="1" applyAlignment="1">
      <alignment horizontal="right"/>
    </xf>
    <xf numFmtId="0" fontId="13" fillId="33" borderId="28" xfId="0" applyFont="1" applyFill="1" applyBorder="1"/>
    <xf numFmtId="164" fontId="13" fillId="33" borderId="5" xfId="0" applyNumberFormat="1" applyFont="1" applyFill="1" applyBorder="1" applyAlignment="1">
      <alignment horizontal="right"/>
    </xf>
    <xf numFmtId="164" fontId="13" fillId="33" borderId="25" xfId="0" applyNumberFormat="1" applyFont="1" applyFill="1" applyBorder="1" applyAlignment="1">
      <alignment horizontal="right"/>
    </xf>
    <xf numFmtId="0" fontId="0" fillId="33" borderId="5" xfId="0" applyFill="1" applyBorder="1" applyAlignment="1">
      <alignment horizontal="right"/>
    </xf>
    <xf numFmtId="164" fontId="0" fillId="33" borderId="5" xfId="0" applyNumberFormat="1" applyFill="1" applyBorder="1" applyAlignment="1">
      <alignment horizontal="right"/>
    </xf>
    <xf numFmtId="164" fontId="0" fillId="33" borderId="25" xfId="0" applyNumberFormat="1" applyFill="1" applyBorder="1" applyAlignment="1">
      <alignment horizontal="right"/>
    </xf>
    <xf numFmtId="0" fontId="12" fillId="33" borderId="28" xfId="0" applyFont="1" applyFill="1" applyBorder="1"/>
    <xf numFmtId="0" fontId="0" fillId="33" borderId="25" xfId="0" applyFill="1" applyBorder="1" applyAlignment="1">
      <alignment horizontal="right"/>
    </xf>
    <xf numFmtId="0" fontId="0" fillId="33" borderId="28" xfId="0" applyFill="1" applyBorder="1" applyAlignment="1">
      <alignment horizontal="left"/>
    </xf>
    <xf numFmtId="2" fontId="0" fillId="33" borderId="5" xfId="0" applyNumberFormat="1" applyFill="1" applyBorder="1" applyAlignment="1">
      <alignment horizontal="right"/>
    </xf>
    <xf numFmtId="2" fontId="13" fillId="33" borderId="5" xfId="0" applyNumberFormat="1" applyFont="1" applyFill="1" applyBorder="1" applyAlignment="1">
      <alignment horizontal="right"/>
    </xf>
    <xf numFmtId="2" fontId="12" fillId="33" borderId="5" xfId="10" applyNumberFormat="1" applyFill="1" applyBorder="1" applyAlignment="1">
      <alignment horizontal="right"/>
    </xf>
    <xf numFmtId="164" fontId="13" fillId="33" borderId="25" xfId="10" applyFont="1" applyFill="1" applyBorder="1" applyAlignment="1">
      <alignment horizontal="right"/>
    </xf>
    <xf numFmtId="0" fontId="43" fillId="33" borderId="28" xfId="0" applyFont="1" applyFill="1" applyBorder="1"/>
    <xf numFmtId="0" fontId="13" fillId="33" borderId="5" xfId="0" applyFont="1" applyFill="1" applyBorder="1" applyAlignment="1">
      <alignment horizontal="right"/>
    </xf>
    <xf numFmtId="0" fontId="13" fillId="33" borderId="25" xfId="0" applyFont="1" applyFill="1" applyBorder="1" applyAlignment="1">
      <alignment horizontal="right"/>
    </xf>
    <xf numFmtId="0" fontId="12" fillId="33" borderId="5" xfId="0" applyFont="1" applyFill="1" applyBorder="1" applyAlignment="1">
      <alignment horizontal="left"/>
    </xf>
    <xf numFmtId="0" fontId="0" fillId="33" borderId="5" xfId="0" applyFill="1" applyBorder="1" applyAlignment="1">
      <alignment horizontal="left"/>
    </xf>
    <xf numFmtId="0" fontId="13" fillId="33" borderId="5" xfId="0" applyFont="1" applyFill="1" applyBorder="1" applyAlignment="1">
      <alignment horizontal="center"/>
    </xf>
    <xf numFmtId="0" fontId="13" fillId="33" borderId="5" xfId="0" applyFont="1" applyFill="1" applyBorder="1"/>
    <xf numFmtId="0" fontId="12" fillId="33" borderId="5" xfId="0" applyFont="1" applyFill="1" applyBorder="1"/>
    <xf numFmtId="0" fontId="13" fillId="33" borderId="0" xfId="0" applyFont="1" applyFill="1"/>
    <xf numFmtId="0" fontId="0" fillId="33" borderId="0" xfId="0" applyFill="1"/>
    <xf numFmtId="0" fontId="12" fillId="33" borderId="5" xfId="0" applyFont="1" applyFill="1" applyBorder="1" applyAlignment="1">
      <alignment wrapText="1"/>
    </xf>
    <xf numFmtId="0" fontId="21" fillId="0" borderId="5" xfId="62" applyFont="1" applyFill="1" applyBorder="1" applyAlignment="1">
      <alignment horizontal="center" vertical="center"/>
    </xf>
    <xf numFmtId="0" fontId="22" fillId="0" borderId="5" xfId="62" applyFont="1" applyFill="1" applyBorder="1" applyAlignment="1">
      <alignment horizontal="center" vertical="center" wrapText="1"/>
    </xf>
    <xf numFmtId="0" fontId="31" fillId="0" borderId="5" xfId="62" applyFont="1" applyFill="1" applyBorder="1" applyAlignment="1">
      <alignment horizontal="center" vertical="center"/>
    </xf>
    <xf numFmtId="164" fontId="14" fillId="0" borderId="5" xfId="10" applyFont="1" applyBorder="1" applyAlignment="1">
      <alignment horizontal="center" vertical="center" wrapText="1"/>
    </xf>
    <xf numFmtId="2" fontId="12" fillId="0" borderId="5" xfId="43" applyNumberFormat="1" applyFont="1" applyFill="1" applyBorder="1" applyAlignment="1" applyProtection="1">
      <alignment horizontal="center" vertical="center" wrapText="1"/>
      <protection locked="0"/>
    </xf>
    <xf numFmtId="43" fontId="59" fillId="0" borderId="0" xfId="0" applyNumberFormat="1" applyFont="1"/>
    <xf numFmtId="2" fontId="169" fillId="0" borderId="5" xfId="0" applyNumberFormat="1" applyFont="1" applyBorder="1"/>
    <xf numFmtId="173" fontId="12" fillId="2" borderId="0" xfId="10" applyNumberFormat="1" applyFill="1"/>
    <xf numFmtId="0" fontId="14" fillId="24" borderId="0" xfId="62" applyFont="1" applyFill="1" applyAlignment="1">
      <alignment horizontal="right" vertical="center"/>
    </xf>
    <xf numFmtId="0" fontId="14" fillId="24" borderId="0" xfId="62" applyFont="1" applyFill="1" applyAlignment="1">
      <alignment vertical="center"/>
    </xf>
    <xf numFmtId="0" fontId="24" fillId="24" borderId="0" xfId="62" applyFill="1" applyAlignment="1">
      <alignment vertical="center"/>
    </xf>
    <xf numFmtId="0" fontId="21" fillId="24" borderId="0" xfId="62" applyFont="1" applyFill="1" applyAlignment="1">
      <alignment horizontal="center" vertical="center"/>
    </xf>
    <xf numFmtId="0" fontId="37" fillId="24" borderId="0" xfId="62" applyFont="1" applyFill="1" applyAlignment="1">
      <alignment horizontal="center" vertical="center"/>
    </xf>
    <xf numFmtId="2" fontId="37" fillId="24" borderId="5" xfId="0" applyNumberFormat="1" applyFont="1" applyFill="1" applyBorder="1" applyAlignment="1">
      <alignment vertical="center"/>
    </xf>
    <xf numFmtId="0" fontId="59" fillId="24" borderId="5" xfId="0" applyFont="1" applyFill="1" applyBorder="1" applyAlignment="1">
      <alignment horizontal="center" vertical="center"/>
    </xf>
    <xf numFmtId="2" fontId="125" fillId="13" borderId="0" xfId="0" applyNumberFormat="1" applyFont="1" applyFill="1"/>
    <xf numFmtId="165" fontId="100" fillId="24" borderId="5" xfId="65" applyNumberFormat="1" applyFill="1" applyBorder="1"/>
    <xf numFmtId="2" fontId="119" fillId="0" borderId="5" xfId="0" applyNumberFormat="1" applyFont="1" applyBorder="1"/>
    <xf numFmtId="0" fontId="130" fillId="0" borderId="5" xfId="0" applyFont="1" applyBorder="1"/>
    <xf numFmtId="0" fontId="77" fillId="25" borderId="15" xfId="0" applyFont="1" applyFill="1" applyBorder="1" applyAlignment="1">
      <alignment horizontal="center" vertical="center" shrinkToFit="1"/>
    </xf>
    <xf numFmtId="0" fontId="77" fillId="25" borderId="41" xfId="0" applyFont="1" applyFill="1" applyBorder="1" applyAlignment="1">
      <alignment vertical="center" shrinkToFit="1"/>
    </xf>
    <xf numFmtId="0" fontId="77" fillId="25" borderId="10" xfId="0" applyFont="1" applyFill="1" applyBorder="1" applyAlignment="1">
      <alignment horizontal="center" vertical="center" shrinkToFit="1"/>
    </xf>
    <xf numFmtId="0" fontId="77" fillId="25" borderId="42" xfId="0" applyFont="1" applyFill="1" applyBorder="1" applyAlignment="1">
      <alignment vertical="center" shrinkToFit="1"/>
    </xf>
    <xf numFmtId="0" fontId="77" fillId="25" borderId="11" xfId="0" applyFont="1" applyFill="1" applyBorder="1" applyAlignment="1">
      <alignment horizontal="center" vertical="center" shrinkToFit="1"/>
    </xf>
    <xf numFmtId="0" fontId="77" fillId="25" borderId="43" xfId="0" applyFont="1" applyFill="1" applyBorder="1" applyAlignment="1">
      <alignment vertical="center" shrinkToFit="1"/>
    </xf>
    <xf numFmtId="165" fontId="81" fillId="25" borderId="104" xfId="0" applyNumberFormat="1" applyFont="1" applyFill="1" applyBorder="1" applyAlignment="1">
      <alignment horizontal="center" vertical="center" shrinkToFit="1"/>
    </xf>
    <xf numFmtId="0" fontId="77" fillId="25" borderId="99" xfId="0" applyFont="1" applyFill="1" applyBorder="1" applyAlignment="1">
      <alignment vertical="center" shrinkToFit="1"/>
    </xf>
    <xf numFmtId="165" fontId="81" fillId="25" borderId="105" xfId="0" applyNumberFormat="1" applyFont="1" applyFill="1" applyBorder="1" applyAlignment="1">
      <alignment horizontal="center" vertical="center" shrinkToFit="1"/>
    </xf>
    <xf numFmtId="0" fontId="77" fillId="25" borderId="106" xfId="0" applyFont="1" applyFill="1" applyBorder="1" applyAlignment="1">
      <alignment vertical="center" shrinkToFit="1"/>
    </xf>
    <xf numFmtId="0" fontId="81" fillId="25" borderId="104" xfId="0" applyFont="1" applyFill="1" applyBorder="1" applyAlignment="1">
      <alignment horizontal="center" vertical="center" shrinkToFit="1"/>
    </xf>
    <xf numFmtId="0" fontId="81" fillId="25" borderId="107" xfId="0" applyFont="1" applyFill="1" applyBorder="1" applyAlignment="1">
      <alignment horizontal="center" vertical="center" shrinkToFit="1"/>
    </xf>
    <xf numFmtId="0" fontId="77" fillId="25" borderId="108" xfId="0" applyFont="1" applyFill="1" applyBorder="1" applyAlignment="1">
      <alignment vertical="center" shrinkToFit="1"/>
    </xf>
    <xf numFmtId="165" fontId="81" fillId="25" borderId="107" xfId="0" applyNumberFormat="1" applyFont="1" applyFill="1" applyBorder="1" applyAlignment="1">
      <alignment horizontal="center" vertical="center" shrinkToFit="1"/>
    </xf>
    <xf numFmtId="0" fontId="81" fillId="25" borderId="5" xfId="0" applyFont="1" applyFill="1" applyBorder="1" applyAlignment="1">
      <alignment horizontal="center" vertical="center" shrinkToFit="1"/>
    </xf>
    <xf numFmtId="0" fontId="77" fillId="25" borderId="5" xfId="0" applyFont="1" applyFill="1" applyBorder="1" applyAlignment="1">
      <alignment vertical="center" shrinkToFit="1"/>
    </xf>
    <xf numFmtId="165" fontId="81" fillId="25" borderId="5" xfId="0" applyNumberFormat="1" applyFont="1" applyFill="1" applyBorder="1" applyAlignment="1">
      <alignment horizontal="center" vertical="center" shrinkToFit="1"/>
    </xf>
    <xf numFmtId="0" fontId="96" fillId="34" borderId="5" xfId="0" applyFont="1" applyFill="1" applyBorder="1" applyAlignment="1">
      <alignment horizontal="center"/>
    </xf>
    <xf numFmtId="0" fontId="96" fillId="34" borderId="5" xfId="0" applyFont="1" applyFill="1" applyBorder="1"/>
    <xf numFmtId="0" fontId="161" fillId="18" borderId="10" xfId="0" applyFont="1" applyFill="1" applyBorder="1" applyAlignment="1">
      <alignment horizontal="center"/>
    </xf>
    <xf numFmtId="0" fontId="161" fillId="18" borderId="0" xfId="0" applyFont="1" applyFill="1"/>
    <xf numFmtId="49" fontId="165" fillId="19" borderId="0" xfId="74" applyNumberFormat="1" applyFont="1" applyFill="1" applyAlignment="1">
      <alignment vertical="top"/>
    </xf>
    <xf numFmtId="2" fontId="0" fillId="18" borderId="5" xfId="0" applyNumberFormat="1" applyFill="1" applyBorder="1" applyAlignment="1">
      <alignment horizontal="right"/>
    </xf>
    <xf numFmtId="193" fontId="0" fillId="0" borderId="5" xfId="0" applyNumberFormat="1" applyBorder="1"/>
    <xf numFmtId="2" fontId="0" fillId="0" borderId="52" xfId="0" applyNumberFormat="1" applyBorder="1"/>
    <xf numFmtId="2" fontId="14" fillId="24" borderId="5" xfId="0" applyNumberFormat="1" applyFont="1" applyFill="1" applyBorder="1"/>
    <xf numFmtId="2" fontId="170" fillId="0" borderId="5" xfId="76" applyNumberFormat="1" applyFill="1" applyBorder="1" applyAlignment="1" applyProtection="1">
      <alignment horizontal="center"/>
    </xf>
    <xf numFmtId="2" fontId="50" fillId="0" borderId="5" xfId="0" applyNumberFormat="1" applyFont="1" applyBorder="1" applyAlignment="1">
      <alignment vertical="center"/>
    </xf>
    <xf numFmtId="2" fontId="24" fillId="4" borderId="0" xfId="62" applyNumberFormat="1"/>
    <xf numFmtId="0" fontId="0" fillId="18" borderId="0" xfId="0" applyFill="1"/>
    <xf numFmtId="0" fontId="96" fillId="18" borderId="5" xfId="0" applyFont="1" applyFill="1" applyBorder="1"/>
    <xf numFmtId="0" fontId="96" fillId="21" borderId="5" xfId="0" applyFont="1" applyFill="1" applyBorder="1" applyAlignment="1">
      <alignment horizontal="center"/>
    </xf>
    <xf numFmtId="49" fontId="165" fillId="21" borderId="0" xfId="0" applyNumberFormat="1" applyFont="1" applyFill="1" applyAlignment="1">
      <alignment vertical="top"/>
    </xf>
    <xf numFmtId="165" fontId="0" fillId="18" borderId="0" xfId="0" applyNumberFormat="1" applyFill="1" applyAlignment="1">
      <alignment horizontal="center"/>
    </xf>
    <xf numFmtId="0" fontId="96" fillId="36" borderId="5" xfId="0" applyFont="1" applyFill="1" applyBorder="1" applyAlignment="1">
      <alignment horizontal="center"/>
    </xf>
    <xf numFmtId="0" fontId="98" fillId="36" borderId="5" xfId="0" applyFont="1" applyFill="1" applyBorder="1"/>
    <xf numFmtId="165" fontId="161" fillId="21" borderId="0" xfId="0" applyNumberFormat="1" applyFont="1" applyFill="1" applyAlignment="1">
      <alignment horizontal="center"/>
    </xf>
    <xf numFmtId="165" fontId="96" fillId="21" borderId="5" xfId="0" applyNumberFormat="1" applyFont="1" applyFill="1" applyBorder="1" applyAlignment="1">
      <alignment horizontal="center"/>
    </xf>
    <xf numFmtId="0" fontId="172" fillId="0" borderId="109" xfId="0" applyFont="1" applyBorder="1" applyAlignment="1">
      <alignment horizontal="center" vertical="center" wrapText="1" readingOrder="1"/>
    </xf>
    <xf numFmtId="0" fontId="173" fillId="0" borderId="109" xfId="0" applyFont="1" applyBorder="1" applyAlignment="1">
      <alignment horizontal="left" vertical="center" wrapText="1" readingOrder="1"/>
    </xf>
    <xf numFmtId="0" fontId="174" fillId="0" borderId="109" xfId="0" applyFont="1" applyBorder="1" applyAlignment="1">
      <alignment horizontal="center" vertical="center" wrapText="1" readingOrder="1"/>
    </xf>
    <xf numFmtId="0" fontId="174" fillId="0" borderId="109" xfId="0" applyFont="1" applyBorder="1" applyAlignment="1">
      <alignment horizontal="left" vertical="center" wrapText="1" readingOrder="1"/>
    </xf>
    <xf numFmtId="0" fontId="171" fillId="0" borderId="109" xfId="0" applyFont="1" applyBorder="1" applyAlignment="1">
      <alignment horizontal="center" vertical="center" wrapText="1"/>
    </xf>
    <xf numFmtId="0" fontId="171" fillId="0" borderId="109" xfId="0" applyFont="1" applyBorder="1" applyAlignment="1">
      <alignment horizontal="center" wrapText="1"/>
    </xf>
    <xf numFmtId="0" fontId="172" fillId="0" borderId="109" xfId="0" applyFont="1" applyBorder="1" applyAlignment="1">
      <alignment horizontal="left" vertical="center" wrapText="1" readingOrder="1"/>
    </xf>
    <xf numFmtId="0" fontId="175" fillId="0" borderId="109" xfId="0" applyFont="1" applyBorder="1" applyAlignment="1">
      <alignment horizontal="left" vertical="center" wrapText="1" readingOrder="1"/>
    </xf>
    <xf numFmtId="0" fontId="175" fillId="0" borderId="109" xfId="0" applyFont="1" applyBorder="1" applyAlignment="1">
      <alignment horizontal="center" vertical="center" wrapText="1" readingOrder="1"/>
    </xf>
    <xf numFmtId="0" fontId="176" fillId="0" borderId="109" xfId="0" applyFont="1" applyBorder="1" applyAlignment="1">
      <alignment horizontal="center" wrapText="1" readingOrder="1"/>
    </xf>
    <xf numFmtId="0" fontId="173" fillId="0" borderId="109" xfId="0" applyFont="1" applyBorder="1" applyAlignment="1">
      <alignment horizontal="center" vertical="center" wrapText="1" readingOrder="1"/>
    </xf>
    <xf numFmtId="0" fontId="177" fillId="0" borderId="109" xfId="0" applyFont="1" applyBorder="1" applyAlignment="1">
      <alignment horizontal="left" vertical="center" wrapText="1" readingOrder="1"/>
    </xf>
    <xf numFmtId="0" fontId="177" fillId="0" borderId="109" xfId="0" applyFont="1" applyBorder="1" applyAlignment="1">
      <alignment horizontal="center" vertical="center" wrapText="1" readingOrder="1"/>
    </xf>
    <xf numFmtId="0" fontId="178" fillId="0" borderId="109" xfId="0" applyFont="1" applyBorder="1" applyAlignment="1">
      <alignment horizontal="left" vertical="center" wrapText="1" readingOrder="1"/>
    </xf>
    <xf numFmtId="0" fontId="178" fillId="0" borderId="109" xfId="0" applyFont="1" applyBorder="1" applyAlignment="1">
      <alignment horizontal="center" vertical="center" wrapText="1" readingOrder="1"/>
    </xf>
    <xf numFmtId="0" fontId="179" fillId="0" borderId="109" xfId="0" applyFont="1" applyBorder="1" applyAlignment="1">
      <alignment horizontal="center" vertical="center" wrapText="1" readingOrder="1"/>
    </xf>
    <xf numFmtId="0" fontId="180" fillId="0" borderId="109" xfId="0" applyFont="1" applyBorder="1" applyAlignment="1">
      <alignment horizontal="left" vertical="center" wrapText="1" readingOrder="1"/>
    </xf>
    <xf numFmtId="0" fontId="180" fillId="0" borderId="109" xfId="0" applyFont="1" applyBorder="1" applyAlignment="1">
      <alignment horizontal="center" vertical="center" wrapText="1" readingOrder="1"/>
    </xf>
    <xf numFmtId="0" fontId="181" fillId="0" borderId="109" xfId="0" applyFont="1" applyBorder="1" applyAlignment="1">
      <alignment horizontal="left" vertical="center" wrapText="1" readingOrder="1"/>
    </xf>
    <xf numFmtId="0" fontId="181" fillId="0" borderId="109" xfId="0" applyFont="1" applyBorder="1" applyAlignment="1">
      <alignment horizontal="center" vertical="center" wrapText="1" readingOrder="1"/>
    </xf>
    <xf numFmtId="173" fontId="0" fillId="0" borderId="0" xfId="10" applyNumberFormat="1" applyFont="1"/>
    <xf numFmtId="173" fontId="13" fillId="0" borderId="0" xfId="10" applyNumberFormat="1" applyFont="1"/>
    <xf numFmtId="0" fontId="172" fillId="0" borderId="111" xfId="0" applyFont="1" applyBorder="1" applyAlignment="1">
      <alignment horizontal="center" vertical="center" wrapText="1" readingOrder="1"/>
    </xf>
    <xf numFmtId="0" fontId="172" fillId="0" borderId="112" xfId="0" applyFont="1" applyBorder="1" applyAlignment="1">
      <alignment horizontal="center" vertical="center" wrapText="1" readingOrder="1"/>
    </xf>
    <xf numFmtId="0" fontId="172" fillId="0" borderId="5" xfId="0" applyFont="1" applyBorder="1" applyAlignment="1">
      <alignment vertical="center" wrapText="1" readingOrder="1"/>
    </xf>
    <xf numFmtId="0" fontId="171" fillId="0" borderId="112" xfId="0" applyFont="1" applyBorder="1" applyAlignment="1">
      <alignment horizontal="center" vertical="center" wrapText="1"/>
    </xf>
    <xf numFmtId="0" fontId="174" fillId="0" borderId="110" xfId="0" applyFont="1" applyBorder="1" applyAlignment="1">
      <alignment horizontal="left" vertical="center" wrapText="1" readingOrder="1"/>
    </xf>
    <xf numFmtId="173" fontId="0" fillId="0" borderId="0" xfId="0" applyNumberFormat="1"/>
    <xf numFmtId="2" fontId="174" fillId="0" borderId="112" xfId="0" applyNumberFormat="1" applyFont="1" applyBorder="1" applyAlignment="1">
      <alignment horizontal="center" vertical="center" wrapText="1" readingOrder="1"/>
    </xf>
    <xf numFmtId="2" fontId="172" fillId="0" borderId="112" xfId="0" applyNumberFormat="1" applyFont="1" applyBorder="1" applyAlignment="1">
      <alignment horizontal="center" vertical="center" wrapText="1" readingOrder="1"/>
    </xf>
    <xf numFmtId="2" fontId="175" fillId="0" borderId="112" xfId="0" applyNumberFormat="1" applyFont="1" applyBorder="1" applyAlignment="1">
      <alignment horizontal="center" vertical="center" wrapText="1" readingOrder="1"/>
    </xf>
    <xf numFmtId="2" fontId="173" fillId="0" borderId="112" xfId="0" applyNumberFormat="1" applyFont="1" applyBorder="1" applyAlignment="1">
      <alignment horizontal="center" vertical="center" wrapText="1" readingOrder="1"/>
    </xf>
    <xf numFmtId="2" fontId="177" fillId="0" borderId="112" xfId="0" applyNumberFormat="1" applyFont="1" applyBorder="1" applyAlignment="1">
      <alignment horizontal="center" vertical="center" wrapText="1" readingOrder="1"/>
    </xf>
    <xf numFmtId="2" fontId="182" fillId="0" borderId="112" xfId="0" applyNumberFormat="1" applyFont="1" applyBorder="1" applyAlignment="1">
      <alignment horizontal="center" vertical="center" wrapText="1" readingOrder="1"/>
    </xf>
    <xf numFmtId="2" fontId="181" fillId="0" borderId="112" xfId="0" applyNumberFormat="1" applyFont="1" applyBorder="1" applyAlignment="1">
      <alignment horizontal="center" vertical="center" wrapText="1" readingOrder="1"/>
    </xf>
    <xf numFmtId="2" fontId="174" fillId="0" borderId="5" xfId="0" applyNumberFormat="1" applyFont="1" applyBorder="1" applyAlignment="1">
      <alignment horizontal="center" vertical="center" wrapText="1" readingOrder="1"/>
    </xf>
    <xf numFmtId="2" fontId="172" fillId="0" borderId="5" xfId="0" applyNumberFormat="1" applyFont="1" applyBorder="1" applyAlignment="1">
      <alignment horizontal="center" vertical="center" wrapText="1" readingOrder="1"/>
    </xf>
    <xf numFmtId="2" fontId="175" fillId="0" borderId="5" xfId="0" applyNumberFormat="1" applyFont="1" applyBorder="1" applyAlignment="1">
      <alignment horizontal="center" vertical="center" wrapText="1" readingOrder="1"/>
    </xf>
    <xf numFmtId="2" fontId="173" fillId="0" borderId="5" xfId="0" applyNumberFormat="1" applyFont="1" applyBorder="1" applyAlignment="1">
      <alignment horizontal="center" vertical="center" wrapText="1" readingOrder="1"/>
    </xf>
    <xf numFmtId="2" fontId="177" fillId="0" borderId="5" xfId="0" applyNumberFormat="1" applyFont="1" applyBorder="1" applyAlignment="1">
      <alignment horizontal="center" vertical="center" wrapText="1" readingOrder="1"/>
    </xf>
    <xf numFmtId="2" fontId="182" fillId="0" borderId="5" xfId="0" applyNumberFormat="1" applyFont="1" applyBorder="1" applyAlignment="1">
      <alignment horizontal="center" vertical="center" wrapText="1" readingOrder="1"/>
    </xf>
    <xf numFmtId="2" fontId="181" fillId="0" borderId="5" xfId="0" applyNumberFormat="1" applyFont="1" applyBorder="1" applyAlignment="1">
      <alignment horizontal="center" vertical="center" wrapText="1" readingOrder="1"/>
    </xf>
    <xf numFmtId="165" fontId="161" fillId="18" borderId="10" xfId="0" applyNumberFormat="1" applyFont="1" applyFill="1" applyBorder="1" applyAlignment="1">
      <alignment horizontal="center"/>
    </xf>
    <xf numFmtId="0" fontId="0" fillId="18" borderId="36" xfId="0" applyFill="1" applyBorder="1" applyAlignment="1">
      <alignment horizontal="center"/>
    </xf>
    <xf numFmtId="0" fontId="0" fillId="18" borderId="16" xfId="0" applyFill="1" applyBorder="1"/>
    <xf numFmtId="0" fontId="0" fillId="18" borderId="37" xfId="0" applyFill="1" applyBorder="1" applyAlignment="1">
      <alignment horizontal="center"/>
    </xf>
    <xf numFmtId="0" fontId="0" fillId="18" borderId="0" xfId="0" applyFill="1" applyAlignment="1">
      <alignment horizontal="center"/>
    </xf>
    <xf numFmtId="0" fontId="0" fillId="18" borderId="20" xfId="0" applyFill="1" applyBorder="1"/>
    <xf numFmtId="165" fontId="0" fillId="18" borderId="37" xfId="0" applyNumberFormat="1" applyFill="1" applyBorder="1" applyAlignment="1">
      <alignment horizontal="center"/>
    </xf>
    <xf numFmtId="49" fontId="165" fillId="18" borderId="0" xfId="74" applyNumberFormat="1" applyFont="1" applyFill="1" applyAlignment="1">
      <alignment vertical="top"/>
    </xf>
    <xf numFmtId="2" fontId="96" fillId="18" borderId="5" xfId="0" applyNumberFormat="1" applyFont="1" applyFill="1" applyBorder="1"/>
    <xf numFmtId="0" fontId="31" fillId="18" borderId="113" xfId="0" applyFont="1" applyFill="1" applyBorder="1" applyAlignment="1">
      <alignment vertical="center" wrapText="1"/>
    </xf>
    <xf numFmtId="0" fontId="24" fillId="18" borderId="5" xfId="0" applyFont="1" applyFill="1" applyBorder="1" applyAlignment="1">
      <alignment horizontal="center" vertical="center" wrapText="1"/>
    </xf>
    <xf numFmtId="2" fontId="72" fillId="24" borderId="0" xfId="0" applyNumberFormat="1" applyFont="1" applyFill="1" applyAlignment="1">
      <alignment vertical="center"/>
    </xf>
    <xf numFmtId="49" fontId="165" fillId="18" borderId="0" xfId="0" applyNumberFormat="1" applyFont="1" applyFill="1" applyAlignment="1">
      <alignment vertical="top"/>
    </xf>
    <xf numFmtId="0" fontId="97" fillId="18" borderId="5" xfId="0" applyFont="1" applyFill="1" applyBorder="1" applyAlignment="1">
      <alignment horizontal="center"/>
    </xf>
    <xf numFmtId="0" fontId="96" fillId="18" borderId="0" xfId="0" applyFont="1" applyFill="1"/>
    <xf numFmtId="0" fontId="0" fillId="35" borderId="36" xfId="0" applyFill="1" applyBorder="1" applyAlignment="1">
      <alignment horizontal="center"/>
    </xf>
    <xf numFmtId="0" fontId="0" fillId="35" borderId="16" xfId="0" applyFill="1" applyBorder="1"/>
    <xf numFmtId="0" fontId="0" fillId="35" borderId="37" xfId="0" applyFill="1" applyBorder="1" applyAlignment="1">
      <alignment horizontal="center"/>
    </xf>
    <xf numFmtId="0" fontId="0" fillId="35" borderId="0" xfId="0" applyFill="1"/>
    <xf numFmtId="165" fontId="96" fillId="35" borderId="5" xfId="0" applyNumberFormat="1" applyFont="1" applyFill="1" applyBorder="1" applyAlignment="1">
      <alignment horizontal="center"/>
    </xf>
    <xf numFmtId="0" fontId="96" fillId="35" borderId="5" xfId="0" applyFont="1" applyFill="1" applyBorder="1"/>
    <xf numFmtId="0" fontId="96" fillId="35" borderId="5" xfId="0" applyFont="1" applyFill="1" applyBorder="1" applyAlignment="1">
      <alignment horizontal="left"/>
    </xf>
    <xf numFmtId="0" fontId="96" fillId="40" borderId="5" xfId="0" applyFont="1" applyFill="1" applyBorder="1" applyAlignment="1">
      <alignment horizontal="center"/>
    </xf>
    <xf numFmtId="0" fontId="96" fillId="40" borderId="5" xfId="0" applyFont="1" applyFill="1" applyBorder="1"/>
    <xf numFmtId="0" fontId="79" fillId="7" borderId="0" xfId="60" applyFont="1" applyFill="1"/>
    <xf numFmtId="165" fontId="24" fillId="0" borderId="5" xfId="62" applyNumberFormat="1" applyFill="1" applyBorder="1" applyAlignment="1">
      <alignment horizontal="center" vertical="center"/>
    </xf>
    <xf numFmtId="2" fontId="12" fillId="0" borderId="0" xfId="62" applyNumberFormat="1" applyFont="1" applyFill="1" applyAlignment="1">
      <alignment vertical="center"/>
    </xf>
    <xf numFmtId="184" fontId="12" fillId="0" borderId="0" xfId="62" applyNumberFormat="1" applyFont="1" applyFill="1" applyAlignment="1">
      <alignment vertical="center"/>
    </xf>
    <xf numFmtId="173" fontId="80" fillId="22" borderId="86" xfId="10" applyNumberFormat="1" applyFont="1" applyFill="1" applyBorder="1"/>
    <xf numFmtId="0" fontId="183" fillId="41" borderId="5" xfId="60" applyFont="1" applyFill="1" applyBorder="1" applyAlignment="1">
      <alignment horizontal="center" vertical="center" wrapText="1"/>
    </xf>
    <xf numFmtId="0" fontId="183" fillId="41" borderId="5" xfId="60" applyFont="1" applyFill="1" applyBorder="1" applyAlignment="1">
      <alignment horizontal="center" vertical="center"/>
    </xf>
    <xf numFmtId="0" fontId="184" fillId="0" borderId="0" xfId="78" applyFont="1" applyAlignment="1">
      <alignment vertical="top"/>
    </xf>
    <xf numFmtId="0" fontId="12" fillId="0" borderId="0" xfId="78" applyAlignment="1">
      <alignment vertical="top"/>
    </xf>
    <xf numFmtId="0" fontId="184" fillId="0" borderId="0" xfId="78" applyFont="1" applyAlignment="1">
      <alignment horizontal="center" vertical="top"/>
    </xf>
    <xf numFmtId="0" fontId="13" fillId="24" borderId="0" xfId="0" applyFont="1" applyFill="1" applyAlignment="1">
      <alignment horizontal="right"/>
    </xf>
    <xf numFmtId="0" fontId="12" fillId="0" borderId="0" xfId="0" applyFont="1" applyAlignment="1">
      <alignment horizontal="center"/>
    </xf>
    <xf numFmtId="0" fontId="0" fillId="24" borderId="0" xfId="0" applyFill="1" applyAlignment="1">
      <alignment wrapText="1"/>
    </xf>
    <xf numFmtId="0" fontId="12" fillId="16" borderId="5" xfId="0" applyFont="1" applyFill="1" applyBorder="1" applyAlignment="1">
      <alignment horizontal="right"/>
    </xf>
    <xf numFmtId="0" fontId="13" fillId="0" borderId="0" xfId="0" applyFont="1" applyAlignment="1">
      <alignment horizontal="right" vertical="top"/>
    </xf>
    <xf numFmtId="0" fontId="12" fillId="0" borderId="0" xfId="0" applyFont="1" applyAlignment="1">
      <alignment horizontal="center" wrapText="1"/>
    </xf>
    <xf numFmtId="0" fontId="13" fillId="0" borderId="0" xfId="0" applyFont="1" applyAlignment="1">
      <alignment vertical="top"/>
    </xf>
    <xf numFmtId="0" fontId="50" fillId="0" borderId="0" xfId="0" applyFont="1" applyAlignment="1">
      <alignment horizontal="justify"/>
    </xf>
    <xf numFmtId="184" fontId="31" fillId="24" borderId="5" xfId="62" applyNumberFormat="1" applyFont="1" applyFill="1" applyBorder="1" applyAlignment="1">
      <alignment horizontal="center" vertical="center" wrapText="1"/>
    </xf>
    <xf numFmtId="0" fontId="31" fillId="24" borderId="5" xfId="62" applyFont="1" applyFill="1" applyBorder="1" applyAlignment="1">
      <alignment vertical="center" wrapText="1"/>
    </xf>
    <xf numFmtId="0" fontId="14" fillId="24" borderId="5" xfId="0" applyFont="1" applyFill="1" applyBorder="1" applyAlignment="1">
      <alignment vertical="center"/>
    </xf>
    <xf numFmtId="165" fontId="14" fillId="24" borderId="5" xfId="0" applyNumberFormat="1" applyFont="1" applyFill="1" applyBorder="1" applyAlignment="1">
      <alignment vertical="center"/>
    </xf>
    <xf numFmtId="2" fontId="14" fillId="24" borderId="5" xfId="0" applyNumberFormat="1" applyFont="1" applyFill="1" applyBorder="1" applyAlignment="1">
      <alignment vertical="center"/>
    </xf>
    <xf numFmtId="0" fontId="31" fillId="24" borderId="5" xfId="62" applyFont="1" applyFill="1" applyBorder="1" applyAlignment="1">
      <alignment horizontal="left" vertical="center" wrapText="1"/>
    </xf>
    <xf numFmtId="165" fontId="24" fillId="24" borderId="5" xfId="0" applyNumberFormat="1" applyFont="1" applyFill="1" applyBorder="1" applyAlignment="1">
      <alignment vertical="center"/>
    </xf>
    <xf numFmtId="0" fontId="24" fillId="24" borderId="5" xfId="62" applyFill="1" applyBorder="1" applyAlignment="1">
      <alignment vertical="center"/>
    </xf>
    <xf numFmtId="2" fontId="24" fillId="24" borderId="5" xfId="62" applyNumberFormat="1" applyFill="1" applyBorder="1" applyAlignment="1">
      <alignment vertical="center"/>
    </xf>
    <xf numFmtId="0" fontId="31" fillId="24" borderId="5" xfId="62" applyFont="1" applyFill="1" applyBorder="1" applyAlignment="1">
      <alignment vertical="center"/>
    </xf>
    <xf numFmtId="2" fontId="31" fillId="24" borderId="5" xfId="62" applyNumberFormat="1" applyFont="1" applyFill="1" applyBorder="1" applyAlignment="1">
      <alignment vertical="center"/>
    </xf>
    <xf numFmtId="1" fontId="31" fillId="24" borderId="5" xfId="62" applyNumberFormat="1" applyFont="1" applyFill="1" applyBorder="1" applyAlignment="1">
      <alignment vertical="center"/>
    </xf>
    <xf numFmtId="165" fontId="31" fillId="24" borderId="5" xfId="62" applyNumberFormat="1" applyFont="1" applyFill="1" applyBorder="1" applyAlignment="1">
      <alignment vertical="center"/>
    </xf>
    <xf numFmtId="1" fontId="15" fillId="24" borderId="5" xfId="62" applyNumberFormat="1" applyFont="1" applyFill="1" applyBorder="1" applyAlignment="1">
      <alignment vertical="center"/>
    </xf>
    <xf numFmtId="165" fontId="15" fillId="24" borderId="5" xfId="62" applyNumberFormat="1" applyFont="1" applyFill="1" applyBorder="1" applyAlignment="1">
      <alignment vertical="center"/>
    </xf>
    <xf numFmtId="184" fontId="15" fillId="24" borderId="5" xfId="62" applyNumberFormat="1" applyFont="1" applyFill="1" applyBorder="1" applyAlignment="1">
      <alignment vertical="center"/>
    </xf>
    <xf numFmtId="0" fontId="31" fillId="24" borderId="0" xfId="62" applyFont="1" applyFill="1" applyAlignment="1">
      <alignment vertical="center" wrapText="1"/>
    </xf>
    <xf numFmtId="0" fontId="31" fillId="24" borderId="0" xfId="62" applyFont="1" applyFill="1" applyAlignment="1">
      <alignment vertical="center"/>
    </xf>
    <xf numFmtId="2" fontId="31" fillId="24" borderId="0" xfId="62" applyNumberFormat="1" applyFont="1" applyFill="1" applyAlignment="1">
      <alignment vertical="center"/>
    </xf>
    <xf numFmtId="0" fontId="14" fillId="24" borderId="0" xfId="62" applyFont="1" applyFill="1" applyAlignment="1">
      <alignment horizontal="center" vertical="center"/>
    </xf>
    <xf numFmtId="0" fontId="15" fillId="24" borderId="0" xfId="62" applyFont="1" applyFill="1" applyAlignment="1">
      <alignment horizontal="center" vertical="center"/>
    </xf>
    <xf numFmtId="0" fontId="15" fillId="24" borderId="0" xfId="62" applyFont="1" applyFill="1" applyAlignment="1">
      <alignment vertical="center"/>
    </xf>
    <xf numFmtId="0" fontId="186" fillId="24" borderId="0" xfId="62" applyFont="1" applyFill="1" applyAlignment="1">
      <alignment vertical="center"/>
    </xf>
    <xf numFmtId="0" fontId="15" fillId="24" borderId="5" xfId="62" applyFont="1" applyFill="1" applyBorder="1" applyAlignment="1">
      <alignment vertical="center"/>
    </xf>
    <xf numFmtId="0" fontId="31" fillId="24" borderId="5" xfId="62" applyFont="1" applyFill="1" applyBorder="1" applyAlignment="1">
      <alignment horizontal="center" vertical="center" wrapText="1"/>
    </xf>
    <xf numFmtId="2" fontId="31" fillId="24" borderId="5" xfId="62" applyNumberFormat="1" applyFont="1" applyFill="1" applyBorder="1" applyAlignment="1">
      <alignment horizontal="center" vertical="center" wrapText="1"/>
    </xf>
    <xf numFmtId="2" fontId="31" fillId="24" borderId="5" xfId="62" applyNumberFormat="1" applyFont="1" applyFill="1" applyBorder="1" applyAlignment="1">
      <alignment horizontal="center" vertical="center"/>
    </xf>
    <xf numFmtId="0" fontId="15" fillId="24" borderId="5" xfId="0" applyFont="1" applyFill="1" applyBorder="1" applyAlignment="1">
      <alignment vertical="center"/>
    </xf>
    <xf numFmtId="2" fontId="15" fillId="24" borderId="5" xfId="0" applyNumberFormat="1" applyFont="1" applyFill="1" applyBorder="1" applyAlignment="1">
      <alignment vertical="center"/>
    </xf>
    <xf numFmtId="1" fontId="31" fillId="24" borderId="5" xfId="62" applyNumberFormat="1" applyFont="1" applyFill="1" applyBorder="1" applyAlignment="1">
      <alignment horizontal="right" vertical="center" wrapText="1"/>
    </xf>
    <xf numFmtId="2" fontId="31" fillId="24" borderId="5" xfId="62" applyNumberFormat="1" applyFont="1" applyFill="1" applyBorder="1" applyAlignment="1">
      <alignment horizontal="right" vertical="center" wrapText="1"/>
    </xf>
    <xf numFmtId="165" fontId="31" fillId="24" borderId="5" xfId="62" applyNumberFormat="1" applyFont="1" applyFill="1" applyBorder="1" applyAlignment="1">
      <alignment horizontal="right" vertical="center" wrapText="1"/>
    </xf>
    <xf numFmtId="1" fontId="15" fillId="24" borderId="5" xfId="62" applyNumberFormat="1" applyFont="1" applyFill="1" applyBorder="1" applyAlignment="1">
      <alignment horizontal="right" vertical="center" wrapText="1"/>
    </xf>
    <xf numFmtId="165" fontId="15" fillId="24" borderId="5" xfId="62" applyNumberFormat="1" applyFont="1" applyFill="1" applyBorder="1" applyAlignment="1">
      <alignment horizontal="right" vertical="center" wrapText="1"/>
    </xf>
    <xf numFmtId="184" fontId="15" fillId="24" borderId="5" xfId="62" applyNumberFormat="1" applyFont="1" applyFill="1" applyBorder="1" applyAlignment="1">
      <alignment horizontal="right" vertical="center" wrapText="1"/>
    </xf>
    <xf numFmtId="0" fontId="15" fillId="24" borderId="5" xfId="62" applyFont="1" applyFill="1" applyBorder="1" applyAlignment="1">
      <alignment vertical="center" wrapText="1"/>
    </xf>
    <xf numFmtId="2" fontId="15" fillId="24" borderId="5" xfId="62" applyNumberFormat="1" applyFont="1" applyFill="1" applyBorder="1" applyAlignment="1">
      <alignment horizontal="right" vertical="center" wrapText="1"/>
    </xf>
    <xf numFmtId="0" fontId="31" fillId="24" borderId="1" xfId="62" applyFont="1" applyFill="1" applyBorder="1" applyAlignment="1">
      <alignment vertical="center"/>
    </xf>
    <xf numFmtId="0" fontId="186" fillId="24" borderId="5" xfId="62" applyFont="1" applyFill="1" applyBorder="1" applyAlignment="1">
      <alignment vertical="center" wrapText="1"/>
    </xf>
    <xf numFmtId="0" fontId="15" fillId="24" borderId="5" xfId="62" applyFont="1" applyFill="1" applyBorder="1" applyAlignment="1">
      <alignment horizontal="center" vertical="center"/>
    </xf>
    <xf numFmtId="0" fontId="31" fillId="24" borderId="5" xfId="62" applyFont="1" applyFill="1" applyBorder="1" applyAlignment="1">
      <alignment horizontal="center" vertical="center"/>
    </xf>
    <xf numFmtId="1" fontId="31" fillId="24" borderId="5" xfId="62" applyNumberFormat="1" applyFont="1" applyFill="1" applyBorder="1" applyAlignment="1">
      <alignment horizontal="center" vertical="center"/>
    </xf>
    <xf numFmtId="0" fontId="14" fillId="24" borderId="5" xfId="62" applyFont="1" applyFill="1" applyBorder="1" applyAlignment="1">
      <alignment vertical="center" wrapText="1"/>
    </xf>
    <xf numFmtId="0" fontId="31" fillId="0" borderId="5" xfId="0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165" fontId="31" fillId="0" borderId="5" xfId="0" applyNumberFormat="1" applyFont="1" applyBorder="1" applyAlignment="1">
      <alignment vertical="center"/>
    </xf>
    <xf numFmtId="165" fontId="22" fillId="0" borderId="5" xfId="0" applyNumberFormat="1" applyFont="1" applyBorder="1" applyAlignment="1">
      <alignment vertical="center"/>
    </xf>
    <xf numFmtId="2" fontId="31" fillId="0" borderId="5" xfId="0" applyNumberFormat="1" applyFont="1" applyBorder="1" applyAlignment="1">
      <alignment vertical="center"/>
    </xf>
    <xf numFmtId="0" fontId="22" fillId="0" borderId="5" xfId="62" applyFont="1" applyFill="1" applyBorder="1" applyAlignment="1">
      <alignment vertical="center" wrapText="1"/>
    </xf>
    <xf numFmtId="165" fontId="37" fillId="0" borderId="5" xfId="0" applyNumberFormat="1" applyFont="1" applyBorder="1" applyAlignment="1">
      <alignment vertical="center"/>
    </xf>
    <xf numFmtId="2" fontId="37" fillId="0" borderId="5" xfId="0" applyNumberFormat="1" applyFont="1" applyBorder="1" applyAlignment="1">
      <alignment vertical="center"/>
    </xf>
    <xf numFmtId="0" fontId="22" fillId="0" borderId="5" xfId="62" applyFont="1" applyFill="1" applyBorder="1" applyAlignment="1">
      <alignment horizontal="left" vertical="center" wrapText="1"/>
    </xf>
    <xf numFmtId="0" fontId="135" fillId="24" borderId="5" xfId="0" applyFont="1" applyFill="1" applyBorder="1" applyAlignment="1">
      <alignment vertical="center"/>
    </xf>
    <xf numFmtId="2" fontId="22" fillId="0" borderId="5" xfId="0" applyNumberFormat="1" applyFont="1" applyBorder="1" applyAlignment="1">
      <alignment vertical="center"/>
    </xf>
    <xf numFmtId="0" fontId="31" fillId="0" borderId="5" xfId="62" applyFont="1" applyFill="1" applyBorder="1" applyAlignment="1">
      <alignment vertical="center"/>
    </xf>
    <xf numFmtId="0" fontId="37" fillId="0" borderId="5" xfId="62" applyFont="1" applyFill="1" applyBorder="1" applyAlignment="1">
      <alignment vertical="center" wrapText="1"/>
    </xf>
    <xf numFmtId="0" fontId="22" fillId="0" borderId="1" xfId="62" applyFont="1" applyFill="1" applyBorder="1" applyAlignment="1">
      <alignment vertical="center"/>
    </xf>
    <xf numFmtId="0" fontId="23" fillId="24" borderId="5" xfId="62" applyFont="1" applyFill="1" applyBorder="1" applyAlignment="1">
      <alignment vertical="center" wrapText="1"/>
    </xf>
    <xf numFmtId="0" fontId="22" fillId="24" borderId="5" xfId="62" applyFont="1" applyFill="1" applyBorder="1" applyAlignment="1">
      <alignment vertical="center" wrapText="1"/>
    </xf>
    <xf numFmtId="0" fontId="37" fillId="24" borderId="5" xfId="62" applyFont="1" applyFill="1" applyBorder="1" applyAlignment="1">
      <alignment horizontal="center" vertical="center"/>
    </xf>
    <xf numFmtId="0" fontId="22" fillId="24" borderId="5" xfId="0" applyFont="1" applyFill="1" applyBorder="1" applyAlignment="1">
      <alignment vertical="center"/>
    </xf>
    <xf numFmtId="0" fontId="37" fillId="24" borderId="5" xfId="62" applyFont="1" applyFill="1" applyBorder="1" applyAlignment="1">
      <alignment vertical="center" wrapText="1"/>
    </xf>
    <xf numFmtId="0" fontId="37" fillId="24" borderId="5" xfId="0" applyFont="1" applyFill="1" applyBorder="1" applyAlignment="1">
      <alignment vertical="center"/>
    </xf>
    <xf numFmtId="165" fontId="15" fillId="24" borderId="5" xfId="0" applyNumberFormat="1" applyFont="1" applyFill="1" applyBorder="1" applyAlignment="1">
      <alignment vertical="center"/>
    </xf>
    <xf numFmtId="165" fontId="37" fillId="24" borderId="5" xfId="0" applyNumberFormat="1" applyFont="1" applyFill="1" applyBorder="1" applyAlignment="1">
      <alignment vertical="center"/>
    </xf>
    <xf numFmtId="0" fontId="23" fillId="0" borderId="5" xfId="62" applyFont="1" applyFill="1" applyBorder="1" applyAlignment="1">
      <alignment vertical="center" wrapText="1"/>
    </xf>
    <xf numFmtId="0" fontId="37" fillId="0" borderId="5" xfId="62" applyFont="1" applyFill="1" applyBorder="1" applyAlignment="1">
      <alignment horizontal="center" vertical="center"/>
    </xf>
    <xf numFmtId="165" fontId="31" fillId="0" borderId="0" xfId="0" applyNumberFormat="1" applyFont="1" applyAlignment="1">
      <alignment vertical="center"/>
    </xf>
    <xf numFmtId="0" fontId="37" fillId="0" borderId="5" xfId="62" applyFont="1" applyFill="1" applyBorder="1" applyAlignment="1">
      <alignment horizontal="center" vertical="center" wrapText="1"/>
    </xf>
    <xf numFmtId="0" fontId="22" fillId="0" borderId="5" xfId="62" applyFont="1" applyFill="1" applyBorder="1" applyAlignment="1">
      <alignment horizontal="center"/>
    </xf>
    <xf numFmtId="0" fontId="22" fillId="0" borderId="5" xfId="62" applyFont="1" applyFill="1" applyBorder="1"/>
    <xf numFmtId="0" fontId="28" fillId="0" borderId="5" xfId="0" applyFont="1" applyBorder="1"/>
    <xf numFmtId="1" fontId="28" fillId="0" borderId="5" xfId="0" applyNumberFormat="1" applyFont="1" applyBorder="1"/>
    <xf numFmtId="165" fontId="28" fillId="0" borderId="5" xfId="0" applyNumberFormat="1" applyFont="1" applyBorder="1"/>
    <xf numFmtId="165" fontId="24" fillId="0" borderId="5" xfId="0" applyNumberFormat="1" applyFont="1" applyBorder="1"/>
    <xf numFmtId="0" fontId="21" fillId="0" borderId="5" xfId="62" applyFont="1" applyFill="1" applyBorder="1"/>
    <xf numFmtId="165" fontId="21" fillId="0" borderId="5" xfId="0" applyNumberFormat="1" applyFont="1" applyBorder="1"/>
    <xf numFmtId="2" fontId="21" fillId="0" borderId="5" xfId="0" applyNumberFormat="1" applyFont="1" applyBorder="1"/>
    <xf numFmtId="0" fontId="21" fillId="0" borderId="5" xfId="0" applyFont="1" applyBorder="1"/>
    <xf numFmtId="1" fontId="21" fillId="0" borderId="5" xfId="0" applyNumberFormat="1" applyFont="1" applyBorder="1"/>
    <xf numFmtId="0" fontId="37" fillId="0" borderId="0" xfId="62" applyFont="1" applyFill="1" applyAlignment="1">
      <alignment horizontal="center" vertical="center" wrapText="1"/>
    </xf>
    <xf numFmtId="0" fontId="22" fillId="0" borderId="5" xfId="0" applyFont="1" applyBorder="1"/>
    <xf numFmtId="0" fontId="22" fillId="0" borderId="5" xfId="0" applyFont="1" applyBorder="1" applyAlignment="1">
      <alignment horizontal="right"/>
    </xf>
    <xf numFmtId="0" fontId="28" fillId="0" borderId="0" xfId="62" applyFont="1" applyFill="1"/>
    <xf numFmtId="0" fontId="35" fillId="0" borderId="5" xfId="62" applyFont="1" applyFill="1" applyBorder="1" applyAlignment="1">
      <alignment horizontal="center"/>
    </xf>
    <xf numFmtId="0" fontId="34" fillId="0" borderId="5" xfId="62" applyFont="1" applyFill="1" applyBorder="1" applyAlignment="1">
      <alignment horizontal="left"/>
    </xf>
    <xf numFmtId="0" fontId="34" fillId="0" borderId="5" xfId="63" applyFont="1" applyFill="1" applyBorder="1" applyAlignment="1">
      <alignment horizontal="left"/>
    </xf>
    <xf numFmtId="0" fontId="34" fillId="0" borderId="5" xfId="62" applyFont="1" applyFill="1" applyBorder="1"/>
    <xf numFmtId="0" fontId="35" fillId="0" borderId="5" xfId="62" applyFont="1" applyFill="1" applyBorder="1"/>
    <xf numFmtId="165" fontId="24" fillId="24" borderId="5" xfId="62" applyNumberFormat="1" applyFill="1" applyBorder="1" applyAlignment="1">
      <alignment horizontal="right"/>
    </xf>
    <xf numFmtId="165" fontId="24" fillId="0" borderId="5" xfId="62" applyNumberFormat="1" applyFill="1" applyBorder="1" applyAlignment="1">
      <alignment horizontal="right"/>
    </xf>
    <xf numFmtId="0" fontId="24" fillId="0" borderId="5" xfId="62" applyFill="1" applyBorder="1" applyAlignment="1">
      <alignment horizontal="left"/>
    </xf>
    <xf numFmtId="165" fontId="24" fillId="0" borderId="5" xfId="62" applyNumberFormat="1" applyFill="1" applyBorder="1" applyAlignment="1">
      <alignment horizontal="center"/>
    </xf>
    <xf numFmtId="2" fontId="24" fillId="0" borderId="5" xfId="62" applyNumberFormat="1" applyFill="1" applyBorder="1" applyAlignment="1">
      <alignment horizontal="right"/>
    </xf>
    <xf numFmtId="0" fontId="24" fillId="0" borderId="5" xfId="63" applyFill="1" applyBorder="1" applyAlignment="1">
      <alignment horizontal="left"/>
    </xf>
    <xf numFmtId="165" fontId="24" fillId="0" borderId="5" xfId="60" applyNumberFormat="1" applyFont="1" applyBorder="1" applyAlignment="1">
      <alignment horizontal="right"/>
    </xf>
    <xf numFmtId="175" fontId="0" fillId="0" borderId="0" xfId="10" applyNumberFormat="1" applyFont="1"/>
    <xf numFmtId="175" fontId="0" fillId="0" borderId="0" xfId="10" applyNumberFormat="1" applyFont="1" applyAlignment="1">
      <alignment horizontal="left"/>
    </xf>
    <xf numFmtId="173" fontId="50" fillId="0" borderId="0" xfId="0" applyNumberFormat="1" applyFont="1"/>
    <xf numFmtId="2" fontId="50" fillId="18" borderId="0" xfId="0" applyNumberFormat="1" applyFont="1" applyFill="1"/>
    <xf numFmtId="43" fontId="50" fillId="0" borderId="0" xfId="0" applyNumberFormat="1" applyFont="1"/>
    <xf numFmtId="2" fontId="0" fillId="18" borderId="25" xfId="0" applyNumberFormat="1" applyFill="1" applyBorder="1"/>
    <xf numFmtId="2" fontId="125" fillId="18" borderId="0" xfId="0" applyNumberFormat="1" applyFont="1" applyFill="1"/>
    <xf numFmtId="164" fontId="59" fillId="0" borderId="25" xfId="10" applyFont="1" applyFill="1" applyBorder="1"/>
    <xf numFmtId="2" fontId="41" fillId="20" borderId="25" xfId="0" applyNumberFormat="1" applyFont="1" applyFill="1" applyBorder="1"/>
    <xf numFmtId="0" fontId="12" fillId="0" borderId="116" xfId="62" applyFont="1" applyFill="1" applyBorder="1" applyAlignment="1">
      <alignment horizontal="center" vertical="center"/>
    </xf>
    <xf numFmtId="0" fontId="24" fillId="0" borderId="59" xfId="62" applyFill="1" applyBorder="1" applyAlignment="1">
      <alignment horizontal="center"/>
    </xf>
    <xf numFmtId="0" fontId="24" fillId="0" borderId="117" xfId="62" applyFill="1" applyBorder="1" applyAlignment="1">
      <alignment horizontal="center"/>
    </xf>
    <xf numFmtId="9" fontId="14" fillId="0" borderId="5" xfId="62" applyNumberFormat="1" applyFont="1" applyFill="1" applyBorder="1" applyAlignment="1">
      <alignment horizontal="center" vertical="center"/>
    </xf>
    <xf numFmtId="2" fontId="13" fillId="22" borderId="28" xfId="0" applyNumberFormat="1" applyFont="1" applyFill="1" applyBorder="1" applyAlignment="1">
      <alignment horizontal="left" vertical="center" wrapText="1"/>
    </xf>
    <xf numFmtId="2" fontId="0" fillId="22" borderId="5" xfId="0" applyNumberFormat="1" applyFill="1" applyBorder="1"/>
    <xf numFmtId="10" fontId="12" fillId="22" borderId="25" xfId="43" applyNumberFormat="1" applyFont="1" applyFill="1" applyBorder="1" applyAlignment="1">
      <alignment horizontal="right"/>
    </xf>
    <xf numFmtId="2" fontId="0" fillId="22" borderId="0" xfId="0" applyNumberFormat="1" applyFill="1"/>
    <xf numFmtId="2" fontId="0" fillId="22" borderId="28" xfId="0" applyNumberFormat="1" applyFill="1" applyBorder="1" applyAlignment="1">
      <alignment horizontal="center"/>
    </xf>
    <xf numFmtId="2" fontId="0" fillId="22" borderId="5" xfId="0" applyNumberFormat="1" applyFill="1" applyBorder="1" applyAlignment="1">
      <alignment horizontal="center"/>
    </xf>
    <xf numFmtId="2" fontId="0" fillId="22" borderId="25" xfId="0" applyNumberFormat="1" applyFill="1" applyBorder="1" applyAlignment="1">
      <alignment horizontal="center"/>
    </xf>
    <xf numFmtId="2" fontId="0" fillId="22" borderId="0" xfId="0" applyNumberFormat="1" applyFill="1" applyAlignment="1">
      <alignment horizontal="center"/>
    </xf>
    <xf numFmtId="2" fontId="0" fillId="22" borderId="28" xfId="0" applyNumberFormat="1" applyFill="1" applyBorder="1"/>
    <xf numFmtId="2" fontId="0" fillId="22" borderId="24" xfId="0" applyNumberFormat="1" applyFill="1" applyBorder="1"/>
    <xf numFmtId="2" fontId="0" fillId="22" borderId="25" xfId="0" applyNumberFormat="1" applyFill="1" applyBorder="1"/>
    <xf numFmtId="10" fontId="0" fillId="22" borderId="25" xfId="43" applyNumberFormat="1" applyFont="1" applyFill="1" applyBorder="1"/>
    <xf numFmtId="2" fontId="0" fillId="22" borderId="47" xfId="0" applyNumberFormat="1" applyFill="1" applyBorder="1"/>
    <xf numFmtId="2" fontId="0" fillId="22" borderId="22" xfId="0" applyNumberFormat="1" applyFill="1" applyBorder="1"/>
    <xf numFmtId="2" fontId="0" fillId="22" borderId="15" xfId="0" applyNumberFormat="1" applyFill="1" applyBorder="1"/>
    <xf numFmtId="2" fontId="0" fillId="22" borderId="62" xfId="0" applyNumberFormat="1" applyFill="1" applyBorder="1"/>
    <xf numFmtId="2" fontId="12" fillId="22" borderId="28" xfId="0" applyNumberFormat="1" applyFont="1" applyFill="1" applyBorder="1" applyAlignment="1">
      <alignment horizontal="center"/>
    </xf>
    <xf numFmtId="2" fontId="13" fillId="22" borderId="32" xfId="0" applyNumberFormat="1" applyFont="1" applyFill="1" applyBorder="1"/>
    <xf numFmtId="2" fontId="13" fillId="22" borderId="33" xfId="0" applyNumberFormat="1" applyFont="1" applyFill="1" applyBorder="1"/>
    <xf numFmtId="2" fontId="13" fillId="22" borderId="56" xfId="0" applyNumberFormat="1" applyFont="1" applyFill="1" applyBorder="1"/>
    <xf numFmtId="2" fontId="0" fillId="22" borderId="32" xfId="0" applyNumberFormat="1" applyFill="1" applyBorder="1"/>
    <xf numFmtId="2" fontId="13" fillId="22" borderId="34" xfId="0" applyNumberFormat="1" applyFont="1" applyFill="1" applyBorder="1"/>
    <xf numFmtId="0" fontId="13" fillId="18" borderId="0" xfId="0" applyFont="1" applyFill="1"/>
    <xf numFmtId="43" fontId="13" fillId="18" borderId="0" xfId="0" applyNumberFormat="1" applyFont="1" applyFill="1"/>
    <xf numFmtId="43" fontId="0" fillId="18" borderId="0" xfId="0" applyNumberFormat="1" applyFill="1"/>
    <xf numFmtId="43" fontId="0" fillId="0" borderId="0" xfId="0" applyNumberFormat="1"/>
    <xf numFmtId="9" fontId="0" fillId="0" borderId="0" xfId="0" applyNumberFormat="1"/>
    <xf numFmtId="164" fontId="0" fillId="0" borderId="0" xfId="10" applyFont="1" applyAlignment="1"/>
    <xf numFmtId="164" fontId="13" fillId="18" borderId="0" xfId="10" applyFont="1" applyFill="1" applyAlignment="1"/>
    <xf numFmtId="164" fontId="13" fillId="18" borderId="0" xfId="10" applyFont="1" applyFill="1"/>
    <xf numFmtId="164" fontId="0" fillId="18" borderId="0" xfId="10" applyFont="1" applyFill="1"/>
    <xf numFmtId="172" fontId="0" fillId="0" borderId="0" xfId="43" applyNumberFormat="1" applyFont="1"/>
    <xf numFmtId="0" fontId="0" fillId="26" borderId="5" xfId="0" applyFill="1" applyBorder="1"/>
    <xf numFmtId="164" fontId="188" fillId="0" borderId="5" xfId="10" applyFont="1" applyBorder="1" applyAlignment="1">
      <alignment horizontal="left" vertical="center" wrapText="1"/>
    </xf>
    <xf numFmtId="164" fontId="188" fillId="0" borderId="5" xfId="10" applyFont="1" applyBorder="1" applyAlignment="1">
      <alignment horizontal="right" vertical="center" wrapText="1"/>
    </xf>
    <xf numFmtId="164" fontId="0" fillId="0" borderId="5" xfId="10" applyFont="1" applyBorder="1" applyAlignment="1">
      <alignment vertical="center"/>
    </xf>
    <xf numFmtId="10" fontId="0" fillId="0" borderId="5" xfId="0" applyNumberFormat="1" applyBorder="1"/>
    <xf numFmtId="43" fontId="0" fillId="0" borderId="5" xfId="0" applyNumberFormat="1" applyBorder="1"/>
    <xf numFmtId="164" fontId="189" fillId="42" borderId="5" xfId="10" applyFont="1" applyFill="1" applyBorder="1" applyAlignment="1">
      <alignment horizontal="left" vertical="center" wrapText="1"/>
    </xf>
    <xf numFmtId="164" fontId="189" fillId="42" borderId="5" xfId="10" applyFont="1" applyFill="1" applyBorder="1" applyAlignment="1">
      <alignment horizontal="right" vertical="center" wrapText="1"/>
    </xf>
    <xf numFmtId="164" fontId="188" fillId="0" borderId="5" xfId="10" applyFont="1" applyBorder="1" applyAlignment="1">
      <alignment vertical="center" wrapText="1"/>
    </xf>
    <xf numFmtId="164" fontId="0" fillId="24" borderId="5" xfId="10" applyFont="1" applyFill="1" applyBorder="1" applyAlignment="1">
      <alignment vertical="center"/>
    </xf>
    <xf numFmtId="164" fontId="188" fillId="18" borderId="5" xfId="10" applyFont="1" applyFill="1" applyBorder="1" applyAlignment="1">
      <alignment horizontal="left" vertical="center" wrapText="1"/>
    </xf>
    <xf numFmtId="164" fontId="188" fillId="18" borderId="5" xfId="10" applyFont="1" applyFill="1" applyBorder="1" applyAlignment="1">
      <alignment horizontal="right" vertical="center" wrapText="1"/>
    </xf>
    <xf numFmtId="164" fontId="0" fillId="18" borderId="5" xfId="10" applyFont="1" applyFill="1" applyBorder="1" applyAlignment="1">
      <alignment vertical="center"/>
    </xf>
    <xf numFmtId="164" fontId="188" fillId="0" borderId="5" xfId="10" applyFont="1" applyBorder="1" applyAlignment="1">
      <alignment horizontal="left" vertical="center"/>
    </xf>
    <xf numFmtId="164" fontId="188" fillId="18" borderId="5" xfId="10" applyFont="1" applyFill="1" applyBorder="1" applyAlignment="1">
      <alignment horizontal="left" vertical="center"/>
    </xf>
    <xf numFmtId="9" fontId="0" fillId="0" borderId="5" xfId="0" applyNumberFormat="1" applyBorder="1"/>
    <xf numFmtId="164" fontId="120" fillId="0" borderId="5" xfId="10" applyFont="1" applyFill="1" applyBorder="1"/>
    <xf numFmtId="168" fontId="50" fillId="0" borderId="0" xfId="0" applyNumberFormat="1" applyFont="1"/>
    <xf numFmtId="0" fontId="50" fillId="0" borderId="24" xfId="0" applyFont="1" applyBorder="1" applyAlignment="1">
      <alignment horizontal="center" wrapText="1"/>
    </xf>
    <xf numFmtId="2" fontId="50" fillId="0" borderId="24" xfId="0" applyNumberFormat="1" applyFont="1" applyBorder="1"/>
    <xf numFmtId="164" fontId="50" fillId="0" borderId="24" xfId="10" applyFont="1" applyFill="1" applyBorder="1" applyAlignment="1"/>
    <xf numFmtId="0" fontId="120" fillId="0" borderId="0" xfId="0" applyFont="1"/>
    <xf numFmtId="164" fontId="0" fillId="18" borderId="0" xfId="0" applyNumberFormat="1" applyFill="1"/>
    <xf numFmtId="2" fontId="50" fillId="0" borderId="22" xfId="0" applyNumberFormat="1" applyFont="1" applyBorder="1"/>
    <xf numFmtId="194" fontId="50" fillId="0" borderId="0" xfId="39" applyNumberFormat="1" applyFont="1" applyProtection="1">
      <protection locked="0"/>
    </xf>
    <xf numFmtId="164" fontId="50" fillId="0" borderId="5" xfId="10" applyFont="1" applyFill="1" applyBorder="1" applyAlignment="1">
      <alignment vertical="center"/>
    </xf>
    <xf numFmtId="2" fontId="59" fillId="0" borderId="5" xfId="0" applyNumberFormat="1" applyFont="1" applyBorder="1" applyAlignment="1">
      <alignment vertical="center"/>
    </xf>
    <xf numFmtId="164" fontId="59" fillId="0" borderId="0" xfId="10" applyFont="1" applyFill="1" applyAlignment="1">
      <alignment horizontal="right"/>
    </xf>
    <xf numFmtId="164" fontId="59" fillId="0" borderId="5" xfId="10" applyFont="1" applyFill="1" applyBorder="1" applyAlignment="1">
      <alignment horizontal="center" vertical="center" wrapText="1"/>
    </xf>
    <xf numFmtId="164" fontId="59" fillId="0" borderId="5" xfId="10" applyFont="1" applyFill="1" applyBorder="1" applyAlignment="1">
      <alignment horizontal="center" vertical="center"/>
    </xf>
    <xf numFmtId="164" fontId="59" fillId="0" borderId="5" xfId="10" applyFont="1" applyFill="1" applyBorder="1" applyAlignment="1">
      <alignment horizontal="center"/>
    </xf>
    <xf numFmtId="164" fontId="50" fillId="0" borderId="5" xfId="10" applyFont="1" applyFill="1" applyBorder="1" applyAlignment="1">
      <alignment horizontal="left" vertical="center" wrapText="1"/>
    </xf>
    <xf numFmtId="164" fontId="50" fillId="0" borderId="5" xfId="10" applyFont="1" applyFill="1" applyBorder="1" applyAlignment="1">
      <alignment horizontal="center"/>
    </xf>
    <xf numFmtId="164" fontId="59" fillId="0" borderId="0" xfId="10" applyFont="1" applyFill="1" applyBorder="1"/>
    <xf numFmtId="164" fontId="50" fillId="0" borderId="5" xfId="10" applyFont="1" applyFill="1" applyBorder="1" applyAlignment="1">
      <alignment wrapText="1"/>
    </xf>
    <xf numFmtId="0" fontId="130" fillId="0" borderId="0" xfId="0" applyFont="1"/>
    <xf numFmtId="2" fontId="156" fillId="0" borderId="0" xfId="0" applyNumberFormat="1" applyFont="1"/>
    <xf numFmtId="2" fontId="157" fillId="0" borderId="0" xfId="0" applyNumberFormat="1" applyFont="1"/>
    <xf numFmtId="2" fontId="156" fillId="0" borderId="0" xfId="0" applyNumberFormat="1" applyFont="1" applyAlignment="1">
      <alignment horizontal="centerContinuous"/>
    </xf>
    <xf numFmtId="2" fontId="156" fillId="0" borderId="0" xfId="0" applyNumberFormat="1" applyFont="1" applyAlignment="1">
      <alignment horizontal="center"/>
    </xf>
    <xf numFmtId="2" fontId="91" fillId="0" borderId="0" xfId="0" applyNumberFormat="1" applyFont="1"/>
    <xf numFmtId="2" fontId="108" fillId="0" borderId="0" xfId="0" applyNumberFormat="1" applyFont="1"/>
    <xf numFmtId="2" fontId="123" fillId="0" borderId="0" xfId="0" applyNumberFormat="1" applyFont="1"/>
    <xf numFmtId="0" fontId="156" fillId="0" borderId="0" xfId="0" applyFont="1"/>
    <xf numFmtId="0" fontId="157" fillId="0" borderId="0" xfId="0" applyFont="1" applyAlignment="1">
      <alignment horizontal="left" vertical="center" wrapText="1"/>
    </xf>
    <xf numFmtId="2" fontId="157" fillId="0" borderId="0" xfId="43" applyNumberFormat="1" applyFont="1" applyFill="1" applyBorder="1"/>
    <xf numFmtId="2" fontId="157" fillId="0" borderId="0" xfId="0" applyNumberFormat="1" applyFont="1" applyAlignment="1">
      <alignment horizontal="center"/>
    </xf>
    <xf numFmtId="173" fontId="50" fillId="0" borderId="0" xfId="10" applyNumberFormat="1" applyFont="1" applyFill="1" applyBorder="1"/>
    <xf numFmtId="2" fontId="118" fillId="0" borderId="0" xfId="0" applyNumberFormat="1" applyFont="1"/>
    <xf numFmtId="0" fontId="50" fillId="0" borderId="0" xfId="0" applyFont="1" applyAlignment="1">
      <alignment horizontal="centerContinuous"/>
    </xf>
    <xf numFmtId="0" fontId="59" fillId="0" borderId="5" xfId="0" applyFont="1" applyBorder="1" applyAlignment="1">
      <alignment horizontal="left"/>
    </xf>
    <xf numFmtId="172" fontId="59" fillId="0" borderId="5" xfId="0" applyNumberFormat="1" applyFont="1" applyBorder="1"/>
    <xf numFmtId="172" fontId="50" fillId="0" borderId="5" xfId="0" applyNumberFormat="1" applyFont="1" applyBorder="1"/>
    <xf numFmtId="2" fontId="50" fillId="0" borderId="5" xfId="0" applyNumberFormat="1" applyFont="1" applyBorder="1" applyAlignment="1">
      <alignment horizontal="right"/>
    </xf>
    <xf numFmtId="14" fontId="59" fillId="0" borderId="0" xfId="0" applyNumberFormat="1" applyFont="1" applyAlignment="1">
      <alignment horizontal="right"/>
    </xf>
    <xf numFmtId="14" fontId="59" fillId="0" borderId="0" xfId="0" applyNumberFormat="1" applyFont="1" applyAlignment="1">
      <alignment horizontal="center"/>
    </xf>
    <xf numFmtId="0" fontId="59" fillId="0" borderId="5" xfId="0" applyFont="1" applyBorder="1" applyAlignment="1">
      <alignment horizontal="left" vertical="center" wrapText="1"/>
    </xf>
    <xf numFmtId="0" fontId="59" fillId="0" borderId="5" xfId="0" applyFont="1" applyBorder="1" applyAlignment="1">
      <alignment horizontal="center" vertical="center" wrapText="1"/>
    </xf>
    <xf numFmtId="171" fontId="50" fillId="0" borderId="5" xfId="0" applyNumberFormat="1" applyFont="1" applyBorder="1"/>
    <xf numFmtId="167" fontId="50" fillId="0" borderId="5" xfId="0" applyNumberFormat="1" applyFont="1" applyBorder="1"/>
    <xf numFmtId="2" fontId="123" fillId="0" borderId="5" xfId="0" applyNumberFormat="1" applyFont="1" applyBorder="1"/>
    <xf numFmtId="1" fontId="59" fillId="0" borderId="0" xfId="0" applyNumberFormat="1" applyFont="1"/>
    <xf numFmtId="2" fontId="131" fillId="0" borderId="5" xfId="0" applyNumberFormat="1" applyFont="1" applyBorder="1"/>
    <xf numFmtId="0" fontId="50" fillId="0" borderId="0" xfId="0" applyFont="1" applyAlignment="1">
      <alignment horizontal="left"/>
    </xf>
    <xf numFmtId="172" fontId="59" fillId="0" borderId="0" xfId="0" applyNumberFormat="1" applyFont="1"/>
    <xf numFmtId="2" fontId="34" fillId="22" borderId="5" xfId="0" applyNumberFormat="1" applyFont="1" applyFill="1" applyBorder="1"/>
    <xf numFmtId="2" fontId="169" fillId="22" borderId="5" xfId="0" applyNumberFormat="1" applyFont="1" applyFill="1" applyBorder="1"/>
    <xf numFmtId="164" fontId="34" fillId="22" borderId="5" xfId="10" applyFont="1" applyFill="1" applyBorder="1"/>
    <xf numFmtId="164" fontId="50" fillId="0" borderId="5" xfId="39" applyNumberFormat="1" applyFont="1" applyBorder="1" applyAlignment="1" applyProtection="1">
      <alignment wrapText="1"/>
      <protection locked="0"/>
    </xf>
    <xf numFmtId="165" fontId="50" fillId="0" borderId="0" xfId="39" applyNumberFormat="1" applyFont="1" applyAlignment="1" applyProtection="1">
      <alignment wrapText="1"/>
      <protection locked="0"/>
    </xf>
    <xf numFmtId="165" fontId="50" fillId="0" borderId="0" xfId="10" applyNumberFormat="1" applyFont="1" applyFill="1" applyBorder="1" applyAlignment="1" applyProtection="1">
      <alignment wrapText="1"/>
      <protection locked="0"/>
    </xf>
    <xf numFmtId="164" fontId="50" fillId="0" borderId="0" xfId="10" applyFont="1" applyFill="1" applyBorder="1" applyAlignment="1" applyProtection="1">
      <alignment wrapText="1"/>
      <protection locked="0"/>
    </xf>
    <xf numFmtId="164" fontId="123" fillId="0" borderId="0" xfId="10" applyFont="1" applyFill="1" applyBorder="1" applyAlignment="1" applyProtection="1">
      <alignment wrapText="1"/>
      <protection locked="0"/>
    </xf>
    <xf numFmtId="0" fontId="59" fillId="0" borderId="51" xfId="0" applyFont="1" applyBorder="1" applyAlignment="1">
      <alignment horizontal="center" wrapText="1"/>
    </xf>
    <xf numFmtId="186" fontId="50" fillId="0" borderId="0" xfId="0" applyNumberFormat="1" applyFont="1"/>
    <xf numFmtId="175" fontId="50" fillId="0" borderId="0" xfId="0" applyNumberFormat="1" applyFont="1"/>
    <xf numFmtId="0" fontId="50" fillId="0" borderId="40" xfId="0" applyFont="1" applyBorder="1" applyAlignment="1">
      <alignment horizontal="center"/>
    </xf>
    <xf numFmtId="0" fontId="50" fillId="0" borderId="44" xfId="0" applyFont="1" applyBorder="1"/>
    <xf numFmtId="0" fontId="59" fillId="0" borderId="28" xfId="0" applyFont="1" applyBorder="1" applyAlignment="1">
      <alignment horizontal="center"/>
    </xf>
    <xf numFmtId="171" fontId="59" fillId="0" borderId="25" xfId="43" applyNumberFormat="1" applyFont="1" applyFill="1" applyBorder="1" applyAlignment="1">
      <alignment horizontal="center"/>
    </xf>
    <xf numFmtId="0" fontId="59" fillId="0" borderId="5" xfId="0" applyFont="1" applyBorder="1" applyAlignment="1">
      <alignment horizontal="right"/>
    </xf>
    <xf numFmtId="2" fontId="114" fillId="0" borderId="0" xfId="0" applyNumberFormat="1" applyFont="1" applyAlignment="1">
      <alignment horizontal="right"/>
    </xf>
    <xf numFmtId="173" fontId="50" fillId="0" borderId="5" xfId="10" applyNumberFormat="1" applyFont="1" applyFill="1" applyBorder="1"/>
    <xf numFmtId="173" fontId="59" fillId="0" borderId="25" xfId="10" applyNumberFormat="1" applyFont="1" applyFill="1" applyBorder="1"/>
    <xf numFmtId="2" fontId="50" fillId="0" borderId="23" xfId="0" applyNumberFormat="1" applyFont="1" applyBorder="1"/>
    <xf numFmtId="0" fontId="50" fillId="0" borderId="0" xfId="0" applyFont="1" applyAlignment="1">
      <alignment vertical="top"/>
    </xf>
    <xf numFmtId="0" fontId="151" fillId="0" borderId="0" xfId="0" applyFont="1" applyAlignment="1">
      <alignment vertical="center"/>
    </xf>
    <xf numFmtId="0" fontId="131" fillId="0" borderId="0" xfId="0" applyFont="1" applyAlignment="1">
      <alignment vertical="center"/>
    </xf>
    <xf numFmtId="0" fontId="151" fillId="0" borderId="5" xfId="0" applyFont="1" applyBorder="1"/>
    <xf numFmtId="0" fontId="151" fillId="0" borderId="5" xfId="0" applyFont="1" applyBorder="1" applyAlignment="1">
      <alignment horizontal="center"/>
    </xf>
    <xf numFmtId="0" fontId="131" fillId="0" borderId="0" xfId="0" applyFont="1" applyAlignment="1">
      <alignment horizontal="center" vertical="center" wrapText="1"/>
    </xf>
    <xf numFmtId="0" fontId="131" fillId="0" borderId="5" xfId="0" applyFont="1" applyBorder="1" applyAlignment="1">
      <alignment horizontal="center" vertical="center"/>
    </xf>
    <xf numFmtId="0" fontId="131" fillId="0" borderId="5" xfId="0" applyFont="1" applyBorder="1" applyAlignment="1">
      <alignment vertical="center" wrapText="1"/>
    </xf>
    <xf numFmtId="0" fontId="151" fillId="0" borderId="0" xfId="0" applyFont="1" applyAlignment="1">
      <alignment horizontal="center" vertical="center"/>
    </xf>
    <xf numFmtId="1" fontId="151" fillId="0" borderId="0" xfId="0" applyNumberFormat="1" applyFont="1" applyAlignment="1">
      <alignment horizontal="center" vertical="center"/>
    </xf>
    <xf numFmtId="0" fontId="151" fillId="0" borderId="5" xfId="0" applyFont="1" applyBorder="1" applyAlignment="1">
      <alignment horizontal="center" vertical="center"/>
    </xf>
    <xf numFmtId="0" fontId="131" fillId="0" borderId="5" xfId="0" applyFont="1" applyBorder="1" applyAlignment="1">
      <alignment horizontal="center" vertical="center" wrapText="1"/>
    </xf>
    <xf numFmtId="0" fontId="151" fillId="0" borderId="5" xfId="0" applyFont="1" applyBorder="1" applyAlignment="1">
      <alignment horizontal="center" vertical="center" wrapText="1"/>
    </xf>
    <xf numFmtId="173" fontId="151" fillId="0" borderId="0" xfId="10" applyNumberFormat="1" applyFont="1" applyFill="1" applyBorder="1" applyAlignment="1">
      <alignment horizontal="center" vertical="center"/>
    </xf>
    <xf numFmtId="0" fontId="123" fillId="0" borderId="0" xfId="0" applyFont="1" applyAlignment="1">
      <alignment horizontal="center" vertical="center"/>
    </xf>
    <xf numFmtId="173" fontId="151" fillId="0" borderId="0" xfId="0" applyNumberFormat="1" applyFont="1" applyAlignment="1">
      <alignment horizontal="center" vertical="center"/>
    </xf>
    <xf numFmtId="195" fontId="151" fillId="0" borderId="5" xfId="0" applyNumberFormat="1" applyFont="1" applyBorder="1" applyAlignment="1">
      <alignment horizontal="center" vertical="center"/>
    </xf>
    <xf numFmtId="0" fontId="123" fillId="0" borderId="5" xfId="0" applyFont="1" applyBorder="1" applyAlignment="1">
      <alignment horizontal="center" vertical="center"/>
    </xf>
    <xf numFmtId="1" fontId="151" fillId="0" borderId="5" xfId="0" applyNumberFormat="1" applyFont="1" applyBorder="1" applyAlignment="1">
      <alignment horizontal="center" vertical="center"/>
    </xf>
    <xf numFmtId="164" fontId="50" fillId="0" borderId="5" xfId="0" applyNumberFormat="1" applyFont="1" applyBorder="1"/>
    <xf numFmtId="2" fontId="119" fillId="0" borderId="0" xfId="0" applyNumberFormat="1" applyFont="1"/>
    <xf numFmtId="2" fontId="119" fillId="0" borderId="28" xfId="0" applyNumberFormat="1" applyFont="1" applyBorder="1"/>
    <xf numFmtId="173" fontId="119" fillId="0" borderId="5" xfId="10" applyNumberFormat="1" applyFont="1" applyFill="1" applyBorder="1"/>
    <xf numFmtId="173" fontId="120" fillId="0" borderId="25" xfId="10" applyNumberFormat="1" applyFont="1" applyFill="1" applyBorder="1"/>
    <xf numFmtId="2" fontId="119" fillId="0" borderId="23" xfId="0" applyNumberFormat="1" applyFont="1" applyBorder="1"/>
    <xf numFmtId="0" fontId="119" fillId="0" borderId="0" xfId="0" applyFont="1"/>
    <xf numFmtId="0" fontId="131" fillId="0" borderId="0" xfId="0" applyFont="1" applyAlignment="1">
      <alignment horizontal="center" vertical="center"/>
    </xf>
    <xf numFmtId="173" fontId="131" fillId="0" borderId="0" xfId="10" applyNumberFormat="1" applyFont="1" applyFill="1" applyBorder="1" applyAlignment="1">
      <alignment horizontal="center" vertical="center"/>
    </xf>
    <xf numFmtId="1" fontId="131" fillId="0" borderId="0" xfId="0" applyNumberFormat="1" applyFont="1" applyAlignment="1">
      <alignment horizontal="center" vertical="center"/>
    </xf>
    <xf numFmtId="173" fontId="131" fillId="0" borderId="0" xfId="0" applyNumberFormat="1" applyFont="1" applyAlignment="1">
      <alignment horizontal="center" vertical="center"/>
    </xf>
    <xf numFmtId="0" fontId="131" fillId="0" borderId="5" xfId="0" applyFont="1" applyBorder="1" applyAlignment="1">
      <alignment horizontal="left" vertical="center"/>
    </xf>
    <xf numFmtId="195" fontId="131" fillId="0" borderId="5" xfId="0" applyNumberFormat="1" applyFont="1" applyBorder="1" applyAlignment="1">
      <alignment horizontal="center" vertical="center"/>
    </xf>
    <xf numFmtId="1" fontId="131" fillId="0" borderId="5" xfId="0" applyNumberFormat="1" applyFont="1" applyBorder="1" applyAlignment="1">
      <alignment horizontal="center" vertical="center"/>
    </xf>
    <xf numFmtId="0" fontId="131" fillId="0" borderId="5" xfId="0" applyFont="1" applyBorder="1"/>
    <xf numFmtId="195" fontId="151" fillId="0" borderId="5" xfId="0" applyNumberFormat="1" applyFont="1" applyBorder="1" applyAlignment="1">
      <alignment horizontal="center"/>
    </xf>
    <xf numFmtId="164" fontId="119" fillId="0" borderId="5" xfId="10" applyFont="1" applyFill="1" applyBorder="1"/>
    <xf numFmtId="2" fontId="59" fillId="0" borderId="32" xfId="0" applyNumberFormat="1" applyFont="1" applyBorder="1"/>
    <xf numFmtId="173" fontId="59" fillId="0" borderId="33" xfId="10" applyNumberFormat="1" applyFont="1" applyFill="1" applyBorder="1"/>
    <xf numFmtId="173" fontId="59" fillId="0" borderId="34" xfId="10" applyNumberFormat="1" applyFont="1" applyFill="1" applyBorder="1"/>
    <xf numFmtId="2" fontId="50" fillId="0" borderId="49" xfId="0" applyNumberFormat="1" applyFont="1" applyBorder="1"/>
    <xf numFmtId="0" fontId="164" fillId="0" borderId="5" xfId="0" applyFont="1" applyBorder="1" applyAlignment="1">
      <alignment wrapText="1"/>
    </xf>
    <xf numFmtId="2" fontId="59" fillId="0" borderId="55" xfId="0" applyNumberFormat="1" applyFont="1" applyBorder="1"/>
    <xf numFmtId="173" fontId="50" fillId="0" borderId="51" xfId="10" applyNumberFormat="1" applyFont="1" applyFill="1" applyBorder="1"/>
    <xf numFmtId="173" fontId="50" fillId="0" borderId="71" xfId="10" applyNumberFormat="1" applyFont="1" applyFill="1" applyBorder="1"/>
    <xf numFmtId="2" fontId="50" fillId="0" borderId="43" xfId="0" applyNumberFormat="1" applyFont="1" applyBorder="1"/>
    <xf numFmtId="0" fontId="131" fillId="0" borderId="5" xfId="0" applyFont="1" applyBorder="1" applyAlignment="1">
      <alignment horizontal="center"/>
    </xf>
    <xf numFmtId="195" fontId="131" fillId="0" borderId="5" xfId="0" applyNumberFormat="1" applyFont="1" applyBorder="1" applyAlignment="1">
      <alignment horizontal="center"/>
    </xf>
    <xf numFmtId="164" fontId="120" fillId="0" borderId="25" xfId="10" applyFont="1" applyFill="1" applyBorder="1"/>
    <xf numFmtId="0" fontId="131" fillId="0" borderId="5" xfId="0" applyFont="1" applyBorder="1" applyAlignment="1">
      <alignment wrapText="1"/>
    </xf>
    <xf numFmtId="44" fontId="131" fillId="0" borderId="5" xfId="0" applyNumberFormat="1" applyFont="1" applyBorder="1" applyAlignment="1">
      <alignment horizontal="center"/>
    </xf>
    <xf numFmtId="1" fontId="131" fillId="0" borderId="5" xfId="0" applyNumberFormat="1" applyFont="1" applyBorder="1" applyAlignment="1">
      <alignment horizontal="center"/>
    </xf>
    <xf numFmtId="173" fontId="114" fillId="0" borderId="5" xfId="10" applyNumberFormat="1" applyFont="1" applyFill="1" applyBorder="1"/>
    <xf numFmtId="173" fontId="59" fillId="0" borderId="5" xfId="10" applyNumberFormat="1" applyFont="1" applyFill="1" applyBorder="1"/>
    <xf numFmtId="173" fontId="50" fillId="0" borderId="25" xfId="10" applyNumberFormat="1" applyFont="1" applyFill="1" applyBorder="1"/>
    <xf numFmtId="173" fontId="59" fillId="0" borderId="0" xfId="0" applyNumberFormat="1" applyFont="1"/>
    <xf numFmtId="2" fontId="50" fillId="0" borderId="0" xfId="43" applyNumberFormat="1" applyFont="1" applyFill="1"/>
    <xf numFmtId="1" fontId="50" fillId="0" borderId="25" xfId="0" applyNumberFormat="1" applyFont="1" applyBorder="1"/>
    <xf numFmtId="2" fontId="114" fillId="0" borderId="23" xfId="0" applyNumberFormat="1" applyFont="1" applyBorder="1"/>
    <xf numFmtId="0" fontId="50" fillId="0" borderId="32" xfId="0" applyFont="1" applyBorder="1" applyAlignment="1">
      <alignment horizontal="center"/>
    </xf>
    <xf numFmtId="0" fontId="50" fillId="0" borderId="33" xfId="0" applyFont="1" applyBorder="1"/>
    <xf numFmtId="10" fontId="50" fillId="0" borderId="0" xfId="0" applyNumberFormat="1" applyFont="1"/>
    <xf numFmtId="2" fontId="59" fillId="0" borderId="47" xfId="0" applyNumberFormat="1" applyFont="1" applyBorder="1"/>
    <xf numFmtId="173" fontId="59" fillId="0" borderId="22" xfId="10" applyNumberFormat="1" applyFont="1" applyFill="1" applyBorder="1"/>
    <xf numFmtId="173" fontId="59" fillId="0" borderId="62" xfId="10" applyNumberFormat="1" applyFont="1" applyFill="1" applyBorder="1"/>
    <xf numFmtId="9" fontId="50" fillId="0" borderId="41" xfId="0" applyNumberFormat="1" applyFont="1" applyBorder="1"/>
    <xf numFmtId="9" fontId="50" fillId="0" borderId="22" xfId="0" applyNumberFormat="1" applyFont="1" applyBorder="1"/>
    <xf numFmtId="0" fontId="114" fillId="0" borderId="0" xfId="0" applyFont="1" applyAlignment="1">
      <alignment horizontal="center"/>
    </xf>
    <xf numFmtId="173" fontId="50" fillId="0" borderId="23" xfId="0" applyNumberFormat="1" applyFont="1" applyBorder="1"/>
    <xf numFmtId="0" fontId="50" fillId="0" borderId="43" xfId="0" applyFont="1" applyBorder="1"/>
    <xf numFmtId="0" fontId="50" fillId="0" borderId="5" xfId="0" quotePrefix="1" applyFont="1" applyBorder="1"/>
    <xf numFmtId="10" fontId="50" fillId="0" borderId="5" xfId="0" applyNumberFormat="1" applyFont="1" applyBorder="1" applyAlignment="1">
      <alignment horizontal="center"/>
    </xf>
    <xf numFmtId="164" fontId="123" fillId="0" borderId="5" xfId="0" applyNumberFormat="1" applyFont="1" applyBorder="1" applyAlignment="1">
      <alignment horizontal="right"/>
    </xf>
    <xf numFmtId="2" fontId="50" fillId="0" borderId="5" xfId="0" applyNumberFormat="1" applyFont="1" applyBorder="1" applyAlignment="1">
      <alignment wrapText="1"/>
    </xf>
    <xf numFmtId="14" fontId="50" fillId="0" borderId="0" xfId="0" applyNumberFormat="1" applyFont="1" applyAlignment="1">
      <alignment horizontal="center"/>
    </xf>
    <xf numFmtId="9" fontId="50" fillId="0" borderId="0" xfId="43" applyFont="1" applyFill="1" applyAlignment="1">
      <alignment horizontal="center"/>
    </xf>
    <xf numFmtId="2" fontId="59" fillId="0" borderId="5" xfId="0" applyNumberFormat="1" applyFont="1" applyBorder="1" applyAlignment="1">
      <alignment wrapText="1"/>
    </xf>
    <xf numFmtId="2" fontId="50" fillId="0" borderId="47" xfId="0" applyNumberFormat="1" applyFont="1" applyBorder="1"/>
    <xf numFmtId="173" fontId="50" fillId="0" borderId="22" xfId="10" applyNumberFormat="1" applyFont="1" applyFill="1" applyBorder="1"/>
    <xf numFmtId="0" fontId="50" fillId="0" borderId="41" xfId="0" applyFont="1" applyBorder="1"/>
    <xf numFmtId="0" fontId="50" fillId="0" borderId="22" xfId="0" applyFont="1" applyBorder="1"/>
    <xf numFmtId="0" fontId="50" fillId="0" borderId="49" xfId="0" applyFont="1" applyBorder="1"/>
    <xf numFmtId="173" fontId="50" fillId="0" borderId="0" xfId="10" applyNumberFormat="1" applyFont="1" applyFill="1"/>
    <xf numFmtId="9" fontId="50" fillId="0" borderId="0" xfId="43" applyFont="1" applyFill="1" applyAlignment="1">
      <alignment horizontal="center" vertical="center"/>
    </xf>
    <xf numFmtId="0" fontId="50" fillId="0" borderId="17" xfId="0" applyFont="1" applyBorder="1"/>
    <xf numFmtId="0" fontId="59" fillId="0" borderId="37" xfId="0" applyFont="1" applyBorder="1"/>
    <xf numFmtId="0" fontId="50" fillId="0" borderId="21" xfId="0" applyFont="1" applyBorder="1"/>
    <xf numFmtId="0" fontId="50" fillId="0" borderId="37" xfId="0" applyFont="1" applyBorder="1"/>
    <xf numFmtId="0" fontId="50" fillId="0" borderId="38" xfId="0" applyFont="1" applyBorder="1"/>
    <xf numFmtId="0" fontId="50" fillId="0" borderId="20" xfId="0" applyFont="1" applyBorder="1"/>
    <xf numFmtId="0" fontId="59" fillId="0" borderId="20" xfId="0" applyFont="1" applyBorder="1"/>
    <xf numFmtId="0" fontId="59" fillId="0" borderId="39" xfId="0" applyFont="1" applyBorder="1"/>
    <xf numFmtId="0" fontId="59" fillId="0" borderId="36" xfId="0" applyFont="1" applyBorder="1"/>
    <xf numFmtId="0" fontId="50" fillId="0" borderId="39" xfId="0" applyFont="1" applyBorder="1"/>
    <xf numFmtId="175" fontId="50" fillId="0" borderId="5" xfId="0" applyNumberFormat="1" applyFont="1" applyBorder="1"/>
    <xf numFmtId="0" fontId="50" fillId="0" borderId="40" xfId="0" applyFont="1" applyBorder="1"/>
    <xf numFmtId="0" fontId="59" fillId="0" borderId="44" xfId="0" applyFont="1" applyBorder="1" applyAlignment="1">
      <alignment horizontal="center" wrapText="1"/>
    </xf>
    <xf numFmtId="0" fontId="50" fillId="0" borderId="45" xfId="0" applyFont="1" applyBorder="1"/>
    <xf numFmtId="0" fontId="118" fillId="0" borderId="28" xfId="0" applyFont="1" applyBorder="1" applyAlignment="1">
      <alignment horizontal="center"/>
    </xf>
    <xf numFmtId="10" fontId="114" fillId="0" borderId="0" xfId="43" applyNumberFormat="1" applyFont="1" applyFill="1"/>
    <xf numFmtId="0" fontId="50" fillId="0" borderId="28" xfId="0" applyFont="1" applyBorder="1" applyAlignment="1">
      <alignment wrapText="1"/>
    </xf>
    <xf numFmtId="0" fontId="50" fillId="0" borderId="47" xfId="0" applyFont="1" applyBorder="1"/>
    <xf numFmtId="164" fontId="59" fillId="0" borderId="22" xfId="10" applyFont="1" applyFill="1" applyBorder="1"/>
    <xf numFmtId="0" fontId="59" fillId="0" borderId="32" xfId="0" applyFont="1" applyBorder="1" applyAlignment="1">
      <alignment horizontal="right"/>
    </xf>
    <xf numFmtId="164" fontId="59" fillId="0" borderId="33" xfId="10" applyFont="1" applyFill="1" applyBorder="1"/>
    <xf numFmtId="164" fontId="122" fillId="0" borderId="0" xfId="10" applyFont="1" applyFill="1" applyBorder="1"/>
    <xf numFmtId="0" fontId="122" fillId="0" borderId="0" xfId="0" applyFont="1"/>
    <xf numFmtId="164" fontId="122" fillId="0" borderId="0" xfId="0" applyNumberFormat="1" applyFont="1"/>
    <xf numFmtId="0" fontId="50" fillId="0" borderId="71" xfId="0" applyFont="1" applyBorder="1"/>
    <xf numFmtId="0" fontId="59" fillId="0" borderId="25" xfId="0" applyFont="1" applyBorder="1"/>
    <xf numFmtId="164" fontId="50" fillId="0" borderId="34" xfId="10" applyFont="1" applyFill="1" applyBorder="1"/>
    <xf numFmtId="2" fontId="50" fillId="0" borderId="0" xfId="0" applyNumberFormat="1" applyFont="1" applyAlignment="1">
      <alignment horizontal="left"/>
    </xf>
    <xf numFmtId="2" fontId="59" fillId="0" borderId="0" xfId="0" applyNumberFormat="1" applyFont="1" applyAlignment="1">
      <alignment horizontal="left"/>
    </xf>
    <xf numFmtId="164" fontId="59" fillId="0" borderId="5" xfId="10" applyFont="1" applyFill="1" applyBorder="1" applyAlignment="1">
      <alignment vertical="top" wrapText="1"/>
    </xf>
    <xf numFmtId="164" fontId="50" fillId="0" borderId="5" xfId="10" applyFont="1" applyFill="1" applyBorder="1" applyAlignment="1">
      <alignment vertical="top" wrapText="1"/>
    </xf>
    <xf numFmtId="0" fontId="59" fillId="0" borderId="5" xfId="0" applyFont="1" applyBorder="1" applyAlignment="1">
      <alignment horizontal="left" wrapText="1"/>
    </xf>
    <xf numFmtId="0" fontId="86" fillId="0" borderId="0" xfId="0" applyFont="1" applyAlignment="1">
      <alignment horizontal="center"/>
    </xf>
    <xf numFmtId="9" fontId="50" fillId="0" borderId="5" xfId="43" applyFont="1" applyFill="1" applyBorder="1"/>
    <xf numFmtId="9" fontId="50" fillId="24" borderId="5" xfId="43" applyFont="1" applyFill="1" applyBorder="1"/>
    <xf numFmtId="9" fontId="59" fillId="0" borderId="5" xfId="43" applyFont="1" applyFill="1" applyBorder="1"/>
    <xf numFmtId="0" fontId="21" fillId="0" borderId="65" xfId="62" applyFont="1" applyFill="1" applyBorder="1" applyAlignment="1">
      <alignment vertical="center"/>
    </xf>
    <xf numFmtId="0" fontId="59" fillId="0" borderId="5" xfId="0" applyFont="1" applyBorder="1" applyAlignment="1">
      <alignment vertical="top" wrapText="1"/>
    </xf>
    <xf numFmtId="0" fontId="150" fillId="0" borderId="5" xfId="0" applyFont="1" applyBorder="1"/>
    <xf numFmtId="2" fontId="150" fillId="0" borderId="5" xfId="0" applyNumberFormat="1" applyFont="1" applyBorder="1" applyAlignment="1">
      <alignment horizontal="right"/>
    </xf>
    <xf numFmtId="1" fontId="150" fillId="0" borderId="5" xfId="0" applyNumberFormat="1" applyFont="1" applyBorder="1"/>
    <xf numFmtId="2" fontId="150" fillId="0" borderId="5" xfId="0" applyNumberFormat="1" applyFont="1" applyBorder="1"/>
    <xf numFmtId="164" fontId="150" fillId="0" borderId="5" xfId="10" applyFont="1" applyFill="1" applyBorder="1"/>
    <xf numFmtId="0" fontId="150" fillId="0" borderId="5" xfId="68" applyFont="1" applyBorder="1"/>
    <xf numFmtId="2" fontId="86" fillId="0" borderId="5" xfId="0" applyNumberFormat="1" applyFont="1" applyBorder="1" applyAlignment="1">
      <alignment horizontal="right"/>
    </xf>
    <xf numFmtId="1" fontId="86" fillId="0" borderId="5" xfId="0" applyNumberFormat="1" applyFont="1" applyBorder="1"/>
    <xf numFmtId="164" fontId="80" fillId="0" borderId="5" xfId="10" applyFont="1" applyFill="1" applyBorder="1"/>
    <xf numFmtId="2" fontId="190" fillId="0" borderId="0" xfId="0" applyNumberFormat="1" applyFont="1"/>
    <xf numFmtId="2" fontId="191" fillId="24" borderId="0" xfId="0" applyNumberFormat="1" applyFont="1" applyFill="1"/>
    <xf numFmtId="2" fontId="191" fillId="0" borderId="0" xfId="0" applyNumberFormat="1" applyFont="1"/>
    <xf numFmtId="1" fontId="191" fillId="0" borderId="0" xfId="0" applyNumberFormat="1" applyFont="1"/>
    <xf numFmtId="0" fontId="59" fillId="0" borderId="38" xfId="0" applyFont="1" applyBorder="1" applyAlignment="1">
      <alignment horizontal="centerContinuous"/>
    </xf>
    <xf numFmtId="3" fontId="50" fillId="0" borderId="0" xfId="0" applyNumberFormat="1" applyFont="1"/>
    <xf numFmtId="0" fontId="59" fillId="0" borderId="28" xfId="0" applyFont="1" applyBorder="1" applyAlignment="1">
      <alignment wrapText="1"/>
    </xf>
    <xf numFmtId="0" fontId="50" fillId="0" borderId="28" xfId="0" applyFont="1" applyBorder="1" applyAlignment="1">
      <alignment vertical="center" wrapText="1"/>
    </xf>
    <xf numFmtId="0" fontId="59" fillId="0" borderId="32" xfId="0" applyFont="1" applyBorder="1" applyAlignment="1">
      <alignment wrapText="1"/>
    </xf>
    <xf numFmtId="164" fontId="14" fillId="0" borderId="5" xfId="10" applyFont="1" applyFill="1" applyBorder="1" applyAlignment="1">
      <alignment horizontal="center"/>
    </xf>
    <xf numFmtId="164" fontId="14" fillId="0" borderId="5" xfId="10" applyFont="1" applyFill="1" applyBorder="1" applyAlignment="1">
      <alignment horizontal="right"/>
    </xf>
    <xf numFmtId="164" fontId="159" fillId="0" borderId="5" xfId="10" applyFont="1" applyFill="1" applyBorder="1"/>
    <xf numFmtId="2" fontId="159" fillId="0" borderId="0" xfId="0" applyNumberFormat="1" applyFont="1"/>
    <xf numFmtId="0" fontId="159" fillId="0" borderId="0" xfId="0" applyFont="1"/>
    <xf numFmtId="0" fontId="24" fillId="0" borderId="28" xfId="0" applyFont="1" applyBorder="1"/>
    <xf numFmtId="164" fontId="24" fillId="0" borderId="5" xfId="10" applyFont="1" applyFill="1" applyBorder="1" applyAlignment="1">
      <alignment horizontal="left" vertical="center" wrapText="1"/>
    </xf>
    <xf numFmtId="0" fontId="24" fillId="0" borderId="0" xfId="0" applyFont="1" applyAlignment="1">
      <alignment horizontal="right"/>
    </xf>
    <xf numFmtId="164" fontId="14" fillId="0" borderId="5" xfId="10" applyFont="1" applyFill="1" applyBorder="1" applyAlignment="1">
      <alignment horizontal="left"/>
    </xf>
    <xf numFmtId="164" fontId="45" fillId="0" borderId="5" xfId="10" applyFont="1" applyFill="1" applyBorder="1"/>
    <xf numFmtId="164" fontId="24" fillId="0" borderId="0" xfId="0" applyNumberFormat="1" applyFont="1"/>
    <xf numFmtId="164" fontId="24" fillId="0" borderId="5" xfId="10" applyFont="1" applyFill="1" applyBorder="1" applyAlignment="1">
      <alignment wrapText="1"/>
    </xf>
    <xf numFmtId="43" fontId="24" fillId="0" borderId="0" xfId="0" applyNumberFormat="1" applyFont="1"/>
    <xf numFmtId="164" fontId="24" fillId="0" borderId="5" xfId="10" applyFont="1" applyFill="1" applyBorder="1" applyAlignment="1">
      <alignment horizontal="right" vertical="center" wrapText="1"/>
    </xf>
    <xf numFmtId="164" fontId="14" fillId="0" borderId="32" xfId="10" applyFont="1" applyFill="1" applyBorder="1"/>
    <xf numFmtId="164" fontId="14" fillId="0" borderId="49" xfId="10" applyFont="1" applyFill="1" applyBorder="1"/>
    <xf numFmtId="164" fontId="14" fillId="0" borderId="33" xfId="10" applyFont="1" applyFill="1" applyBorder="1"/>
    <xf numFmtId="164" fontId="14" fillId="0" borderId="34" xfId="10" applyFont="1" applyFill="1" applyBorder="1"/>
    <xf numFmtId="1" fontId="24" fillId="0" borderId="0" xfId="0" applyNumberFormat="1" applyFont="1"/>
    <xf numFmtId="164" fontId="24" fillId="0" borderId="5" xfId="10" applyFont="1" applyFill="1" applyBorder="1" applyAlignment="1">
      <alignment horizontal="right"/>
    </xf>
    <xf numFmtId="196" fontId="24" fillId="0" borderId="0" xfId="0" applyNumberFormat="1" applyFont="1"/>
    <xf numFmtId="43" fontId="50" fillId="0" borderId="0" xfId="39" applyNumberFormat="1" applyFont="1" applyProtection="1">
      <protection locked="0"/>
    </xf>
    <xf numFmtId="0" fontId="59" fillId="0" borderId="5" xfId="39" applyFont="1" applyBorder="1" applyAlignment="1" applyProtection="1">
      <alignment horizontal="center" vertical="center" wrapText="1"/>
      <protection locked="0"/>
    </xf>
    <xf numFmtId="0" fontId="113" fillId="0" borderId="0" xfId="0" applyFont="1" applyAlignment="1">
      <alignment horizontal="center"/>
    </xf>
    <xf numFmtId="43" fontId="0" fillId="22" borderId="0" xfId="0" applyNumberFormat="1" applyFill="1"/>
    <xf numFmtId="43" fontId="13" fillId="22" borderId="0" xfId="0" applyNumberFormat="1" applyFont="1" applyFill="1"/>
    <xf numFmtId="198" fontId="0" fillId="0" borderId="0" xfId="0" applyNumberFormat="1"/>
    <xf numFmtId="199" fontId="0" fillId="0" borderId="0" xfId="0" applyNumberFormat="1"/>
    <xf numFmtId="0" fontId="116" fillId="0" borderId="0" xfId="0" applyFont="1" applyAlignment="1">
      <alignment horizontal="centerContinuous"/>
    </xf>
    <xf numFmtId="2" fontId="113" fillId="0" borderId="0" xfId="0" applyNumberFormat="1" applyFont="1" applyAlignment="1">
      <alignment horizontal="centerContinuous"/>
    </xf>
    <xf numFmtId="198" fontId="50" fillId="0" borderId="0" xfId="0" applyNumberFormat="1" applyFont="1"/>
    <xf numFmtId="0" fontId="116" fillId="0" borderId="0" xfId="0" applyFont="1"/>
    <xf numFmtId="164" fontId="50" fillId="0" borderId="0" xfId="10" applyFont="1" applyFill="1" applyAlignment="1">
      <alignment horizontal="right"/>
    </xf>
    <xf numFmtId="0" fontId="50" fillId="0" borderId="63" xfId="0" applyFont="1" applyBorder="1" applyAlignment="1">
      <alignment horizontal="center"/>
    </xf>
    <xf numFmtId="0" fontId="50" fillId="0" borderId="28" xfId="0" applyFont="1" applyBorder="1" applyAlignment="1">
      <alignment horizontal="center" vertical="center" wrapText="1"/>
    </xf>
    <xf numFmtId="0" fontId="50" fillId="0" borderId="24" xfId="0" applyFont="1" applyBorder="1" applyAlignment="1">
      <alignment horizontal="center" vertical="center" wrapText="1"/>
    </xf>
    <xf numFmtId="0" fontId="50" fillId="0" borderId="5" xfId="0" applyFont="1" applyBorder="1" applyAlignment="1">
      <alignment horizontal="center" vertical="center" wrapText="1"/>
    </xf>
    <xf numFmtId="2" fontId="50" fillId="0" borderId="5" xfId="0" applyNumberFormat="1" applyFont="1" applyBorder="1" applyAlignment="1">
      <alignment horizontal="center" vertical="center" wrapText="1"/>
    </xf>
    <xf numFmtId="0" fontId="50" fillId="0" borderId="25" xfId="0" applyFont="1" applyBorder="1" applyAlignment="1">
      <alignment horizontal="center" vertical="center" wrapText="1"/>
    </xf>
    <xf numFmtId="0" fontId="50" fillId="0" borderId="23" xfId="0" applyFont="1" applyBorder="1" applyAlignment="1">
      <alignment horizontal="center" vertical="center" wrapText="1"/>
    </xf>
    <xf numFmtId="0" fontId="50" fillId="0" borderId="24" xfId="0" applyFont="1" applyBorder="1" applyAlignment="1">
      <alignment horizontal="center"/>
    </xf>
    <xf numFmtId="1" fontId="50" fillId="0" borderId="5" xfId="0" applyNumberFormat="1" applyFont="1" applyBorder="1" applyAlignment="1">
      <alignment horizontal="center"/>
    </xf>
    <xf numFmtId="0" fontId="50" fillId="0" borderId="24" xfId="0" applyFont="1" applyBorder="1"/>
    <xf numFmtId="164" fontId="50" fillId="0" borderId="23" xfId="10" applyFont="1" applyFill="1" applyBorder="1"/>
    <xf numFmtId="164" fontId="59" fillId="0" borderId="24" xfId="10" applyFont="1" applyFill="1" applyBorder="1"/>
    <xf numFmtId="164" fontId="50" fillId="0" borderId="28" xfId="10" applyFont="1" applyFill="1" applyBorder="1"/>
    <xf numFmtId="1" fontId="50" fillId="0" borderId="24" xfId="0" applyNumberFormat="1" applyFont="1" applyBorder="1"/>
    <xf numFmtId="2" fontId="59" fillId="0" borderId="24" xfId="0" applyNumberFormat="1" applyFont="1" applyBorder="1"/>
    <xf numFmtId="1" fontId="50" fillId="0" borderId="24" xfId="0" applyNumberFormat="1" applyFont="1" applyBorder="1" applyAlignment="1">
      <alignment horizontal="left"/>
    </xf>
    <xf numFmtId="1" fontId="50" fillId="0" borderId="24" xfId="0" applyNumberFormat="1" applyFont="1" applyBorder="1" applyAlignment="1">
      <alignment horizontal="right"/>
    </xf>
    <xf numFmtId="0" fontId="59" fillId="0" borderId="40" xfId="0" applyFont="1" applyBorder="1"/>
    <xf numFmtId="0" fontId="59" fillId="0" borderId="44" xfId="0" applyFont="1" applyBorder="1"/>
    <xf numFmtId="0" fontId="59" fillId="0" borderId="45" xfId="0" applyFont="1" applyBorder="1"/>
    <xf numFmtId="0" fontId="59" fillId="0" borderId="66" xfId="0" applyFont="1" applyBorder="1"/>
    <xf numFmtId="2" fontId="59" fillId="0" borderId="44" xfId="0" applyNumberFormat="1" applyFont="1" applyBorder="1"/>
    <xf numFmtId="0" fontId="59" fillId="0" borderId="44" xfId="0" applyFont="1" applyBorder="1" applyAlignment="1">
      <alignment horizontal="center"/>
    </xf>
    <xf numFmtId="0" fontId="59" fillId="0" borderId="44" xfId="0" applyFont="1" applyBorder="1" applyAlignment="1">
      <alignment wrapText="1"/>
    </xf>
    <xf numFmtId="0" fontId="59" fillId="0" borderId="45" xfId="0" applyFont="1" applyBorder="1" applyAlignment="1">
      <alignment wrapText="1"/>
    </xf>
    <xf numFmtId="43" fontId="50" fillId="0" borderId="5" xfId="0" applyNumberFormat="1" applyFont="1" applyBorder="1"/>
    <xf numFmtId="0" fontId="59" fillId="0" borderId="33" xfId="0" applyFont="1" applyBorder="1"/>
    <xf numFmtId="164" fontId="59" fillId="0" borderId="34" xfId="0" applyNumberFormat="1" applyFont="1" applyBorder="1"/>
    <xf numFmtId="0" fontId="50" fillId="0" borderId="41" xfId="0" applyFont="1" applyBorder="1" applyAlignment="1">
      <alignment horizontal="center"/>
    </xf>
    <xf numFmtId="164" fontId="59" fillId="0" borderId="34" xfId="10" applyFont="1" applyFill="1" applyBorder="1"/>
    <xf numFmtId="0" fontId="50" fillId="0" borderId="93" xfId="0" applyFont="1" applyBorder="1" applyAlignment="1">
      <alignment horizontal="center"/>
    </xf>
    <xf numFmtId="2" fontId="59" fillId="0" borderId="44" xfId="0" applyNumberFormat="1" applyFont="1" applyBorder="1" applyAlignment="1">
      <alignment wrapText="1"/>
    </xf>
    <xf numFmtId="43" fontId="50" fillId="0" borderId="44" xfId="0" applyNumberFormat="1" applyFont="1" applyBorder="1"/>
    <xf numFmtId="164" fontId="50" fillId="0" borderId="45" xfId="10" applyFont="1" applyFill="1" applyBorder="1"/>
    <xf numFmtId="0" fontId="50" fillId="0" borderId="62" xfId="0" applyFont="1" applyBorder="1"/>
    <xf numFmtId="43" fontId="50" fillId="0" borderId="33" xfId="0" applyNumberFormat="1" applyFont="1" applyBorder="1"/>
    <xf numFmtId="0" fontId="50" fillId="0" borderId="70" xfId="0" applyFont="1" applyBorder="1"/>
    <xf numFmtId="0" fontId="50" fillId="0" borderId="36" xfId="0" applyFont="1" applyBorder="1" applyAlignment="1">
      <alignment horizontal="center"/>
    </xf>
    <xf numFmtId="0" fontId="50" fillId="0" borderId="16" xfId="0" applyFont="1" applyBorder="1" applyAlignment="1">
      <alignment horizontal="center"/>
    </xf>
    <xf numFmtId="0" fontId="50" fillId="0" borderId="74" xfId="0" applyFont="1" applyBorder="1" applyAlignment="1">
      <alignment horizontal="center"/>
    </xf>
    <xf numFmtId="0" fontId="50" fillId="0" borderId="44" xfId="0" applyFont="1" applyBorder="1" applyAlignment="1">
      <alignment wrapText="1"/>
    </xf>
    <xf numFmtId="0" fontId="59" fillId="0" borderId="25" xfId="0" applyFont="1" applyBorder="1" applyAlignment="1">
      <alignment horizontal="center" wrapText="1"/>
    </xf>
    <xf numFmtId="164" fontId="50" fillId="0" borderId="45" xfId="0" applyNumberFormat="1" applyFont="1" applyBorder="1"/>
    <xf numFmtId="0" fontId="50" fillId="0" borderId="52" xfId="0" applyFont="1" applyBorder="1"/>
    <xf numFmtId="0" fontId="59" fillId="0" borderId="22" xfId="0" applyFont="1" applyBorder="1"/>
    <xf numFmtId="0" fontId="59" fillId="0" borderId="62" xfId="0" applyFont="1" applyBorder="1"/>
    <xf numFmtId="0" fontId="59" fillId="0" borderId="51" xfId="0" applyFont="1" applyBorder="1"/>
    <xf numFmtId="164" fontId="59" fillId="0" borderId="71" xfId="10" applyFont="1" applyFill="1" applyBorder="1"/>
    <xf numFmtId="0" fontId="50" fillId="0" borderId="34" xfId="0" applyFont="1" applyBorder="1"/>
    <xf numFmtId="164" fontId="50" fillId="0" borderId="24" xfId="10" applyFont="1" applyFill="1" applyBorder="1"/>
    <xf numFmtId="0" fontId="50" fillId="0" borderId="44" xfId="0" applyFont="1" applyBorder="1" applyAlignment="1">
      <alignment horizontal="center" wrapText="1"/>
    </xf>
    <xf numFmtId="0" fontId="50" fillId="0" borderId="45" xfId="0" applyFont="1" applyBorder="1" applyAlignment="1">
      <alignment horizontal="right" wrapText="1"/>
    </xf>
    <xf numFmtId="0" fontId="50" fillId="0" borderId="28" xfId="0" applyFont="1" applyBorder="1" applyAlignment="1">
      <alignment horizontal="left"/>
    </xf>
    <xf numFmtId="0" fontId="50" fillId="0" borderId="33" xfId="0" applyFont="1" applyBorder="1" applyAlignment="1">
      <alignment horizontal="center"/>
    </xf>
    <xf numFmtId="0" fontId="59" fillId="0" borderId="40" xfId="0" applyFont="1" applyBorder="1" applyAlignment="1">
      <alignment horizontal="center" wrapText="1"/>
    </xf>
    <xf numFmtId="0" fontId="50" fillId="0" borderId="72" xfId="0" applyFont="1" applyBorder="1"/>
    <xf numFmtId="173" fontId="59" fillId="0" borderId="0" xfId="10" applyNumberFormat="1" applyFont="1" applyFill="1" applyBorder="1" applyAlignment="1"/>
    <xf numFmtId="173" fontId="59" fillId="0" borderId="0" xfId="10" applyNumberFormat="1" applyFont="1" applyFill="1" applyBorder="1"/>
    <xf numFmtId="175" fontId="59" fillId="0" borderId="0" xfId="10" applyNumberFormat="1" applyFont="1" applyFill="1" applyBorder="1"/>
    <xf numFmtId="1" fontId="50" fillId="0" borderId="72" xfId="0" applyNumberFormat="1" applyFont="1" applyBorder="1"/>
    <xf numFmtId="1" fontId="50" fillId="0" borderId="73" xfId="0" applyNumberFormat="1" applyFont="1" applyBorder="1"/>
    <xf numFmtId="1" fontId="50" fillId="0" borderId="11" xfId="0" applyNumberFormat="1" applyFont="1" applyBorder="1"/>
    <xf numFmtId="0" fontId="50" fillId="0" borderId="0" xfId="0" applyFont="1" applyAlignment="1">
      <alignment horizontal="center" wrapText="1"/>
    </xf>
    <xf numFmtId="1" fontId="50" fillId="0" borderId="72" xfId="0" applyNumberFormat="1" applyFont="1" applyBorder="1" applyAlignment="1">
      <alignment horizontal="left"/>
    </xf>
    <xf numFmtId="1" fontId="50" fillId="0" borderId="72" xfId="0" applyNumberFormat="1" applyFont="1" applyBorder="1" applyAlignment="1">
      <alignment horizontal="left" wrapText="1"/>
    </xf>
    <xf numFmtId="1" fontId="50" fillId="0" borderId="24" xfId="0" applyNumberFormat="1" applyFont="1" applyBorder="1" applyAlignment="1">
      <alignment horizontal="left" wrapText="1"/>
    </xf>
    <xf numFmtId="0" fontId="50" fillId="0" borderId="4" xfId="0" applyFont="1" applyBorder="1"/>
    <xf numFmtId="1" fontId="50" fillId="0" borderId="28" xfId="0" applyNumberFormat="1" applyFont="1" applyBorder="1" applyAlignment="1">
      <alignment horizontal="left"/>
    </xf>
    <xf numFmtId="1" fontId="50" fillId="0" borderId="5" xfId="0" applyNumberFormat="1" applyFont="1" applyBorder="1" applyAlignment="1">
      <alignment horizontal="left"/>
    </xf>
    <xf numFmtId="0" fontId="50" fillId="0" borderId="92" xfId="0" applyFont="1" applyBorder="1"/>
    <xf numFmtId="0" fontId="50" fillId="0" borderId="56" xfId="0" applyFont="1" applyBorder="1"/>
    <xf numFmtId="0" fontId="59" fillId="0" borderId="73" xfId="0" applyFont="1" applyBorder="1"/>
    <xf numFmtId="2" fontId="59" fillId="0" borderId="51" xfId="0" applyNumberFormat="1" applyFont="1" applyBorder="1"/>
    <xf numFmtId="0" fontId="59" fillId="0" borderId="11" xfId="0" applyFont="1" applyBorder="1"/>
    <xf numFmtId="1" fontId="50" fillId="0" borderId="37" xfId="0" applyNumberFormat="1" applyFont="1" applyBorder="1"/>
    <xf numFmtId="1" fontId="50" fillId="0" borderId="38" xfId="0" applyNumberFormat="1" applyFont="1" applyBorder="1" applyAlignment="1">
      <alignment horizontal="right"/>
    </xf>
    <xf numFmtId="2" fontId="50" fillId="0" borderId="20" xfId="0" applyNumberFormat="1" applyFont="1" applyBorder="1"/>
    <xf numFmtId="2" fontId="50" fillId="0" borderId="39" xfId="0" applyNumberFormat="1" applyFont="1" applyBorder="1"/>
    <xf numFmtId="0" fontId="50" fillId="0" borderId="39" xfId="0" applyFont="1" applyBorder="1" applyAlignment="1">
      <alignment horizontal="right"/>
    </xf>
    <xf numFmtId="2" fontId="24" fillId="20" borderId="0" xfId="0" applyNumberFormat="1" applyFont="1" applyFill="1"/>
    <xf numFmtId="43" fontId="24" fillId="18" borderId="0" xfId="0" applyNumberFormat="1" applyFont="1" applyFill="1"/>
    <xf numFmtId="0" fontId="119" fillId="0" borderId="5" xfId="0" applyFont="1" applyBorder="1" applyAlignment="1">
      <alignment horizontal="center"/>
    </xf>
    <xf numFmtId="164" fontId="123" fillId="0" borderId="5" xfId="10" applyFont="1" applyFill="1" applyBorder="1"/>
    <xf numFmtId="1" fontId="50" fillId="0" borderId="5" xfId="0" applyNumberFormat="1" applyFont="1" applyBorder="1" applyAlignment="1">
      <alignment wrapText="1"/>
    </xf>
    <xf numFmtId="1" fontId="50" fillId="0" borderId="5" xfId="0" applyNumberFormat="1" applyFont="1" applyBorder="1" applyAlignment="1">
      <alignment horizontal="left" wrapText="1"/>
    </xf>
    <xf numFmtId="197" fontId="50" fillId="0" borderId="5" xfId="10" applyNumberFormat="1" applyFont="1" applyFill="1" applyBorder="1"/>
    <xf numFmtId="0" fontId="24" fillId="0" borderId="5" xfId="0" applyFont="1" applyBorder="1" applyAlignment="1">
      <alignment horizontal="center" vertical="center"/>
    </xf>
    <xf numFmtId="165" fontId="28" fillId="0" borderId="5" xfId="62" applyNumberFormat="1" applyFont="1" applyFill="1" applyBorder="1" applyAlignment="1">
      <alignment horizontal="center" vertical="center"/>
    </xf>
    <xf numFmtId="0" fontId="28" fillId="0" borderId="5" xfId="62" applyFont="1" applyFill="1" applyBorder="1" applyAlignment="1">
      <alignment horizontal="center" vertical="center"/>
    </xf>
    <xf numFmtId="165" fontId="28" fillId="0" borderId="5" xfId="0" applyNumberFormat="1" applyFont="1" applyBorder="1" applyAlignment="1">
      <alignment horizontal="center" vertical="center"/>
    </xf>
    <xf numFmtId="2" fontId="24" fillId="0" borderId="5" xfId="62" applyNumberFormat="1" applyFill="1" applyBorder="1" applyAlignment="1">
      <alignment horizontal="center" vertical="center"/>
    </xf>
    <xf numFmtId="165" fontId="21" fillId="0" borderId="5" xfId="62" applyNumberFormat="1" applyFont="1" applyFill="1" applyBorder="1" applyAlignment="1">
      <alignment horizontal="center" vertical="center"/>
    </xf>
    <xf numFmtId="1" fontId="21" fillId="0" borderId="5" xfId="62" applyNumberFormat="1" applyFont="1" applyFill="1" applyBorder="1" applyAlignment="1">
      <alignment horizontal="center" vertical="center"/>
    </xf>
    <xf numFmtId="2" fontId="28" fillId="0" borderId="5" xfId="62" applyNumberFormat="1" applyFont="1" applyFill="1" applyBorder="1" applyAlignment="1">
      <alignment horizontal="center" vertical="center"/>
    </xf>
    <xf numFmtId="1" fontId="28" fillId="0" borderId="5" xfId="62" applyNumberFormat="1" applyFont="1" applyFill="1" applyBorder="1" applyAlignment="1">
      <alignment horizontal="center" vertical="center"/>
    </xf>
    <xf numFmtId="184" fontId="28" fillId="0" borderId="5" xfId="62" applyNumberFormat="1" applyFont="1" applyFill="1" applyBorder="1" applyAlignment="1">
      <alignment horizontal="center" vertical="center"/>
    </xf>
    <xf numFmtId="1" fontId="24" fillId="0" borderId="5" xfId="62" applyNumberFormat="1" applyFill="1" applyBorder="1" applyAlignment="1">
      <alignment horizontal="center" vertical="center"/>
    </xf>
    <xf numFmtId="1" fontId="24" fillId="0" borderId="5" xfId="0" applyNumberFormat="1" applyFont="1" applyBorder="1" applyAlignment="1">
      <alignment horizontal="center" vertical="center"/>
    </xf>
    <xf numFmtId="165" fontId="24" fillId="0" borderId="5" xfId="0" applyNumberFormat="1" applyFont="1" applyBorder="1" applyAlignment="1">
      <alignment horizontal="center" vertical="center"/>
    </xf>
    <xf numFmtId="1" fontId="14" fillId="0" borderId="5" xfId="62" applyNumberFormat="1" applyFont="1" applyFill="1" applyBorder="1" applyAlignment="1">
      <alignment horizontal="center" vertical="center"/>
    </xf>
    <xf numFmtId="0" fontId="13" fillId="31" borderId="0" xfId="0" applyFont="1" applyFill="1"/>
    <xf numFmtId="0" fontId="0" fillId="31" borderId="0" xfId="0" applyFill="1"/>
    <xf numFmtId="0" fontId="12" fillId="31" borderId="5" xfId="0" applyFont="1" applyFill="1" applyBorder="1" applyAlignment="1">
      <alignment wrapText="1"/>
    </xf>
    <xf numFmtId="2" fontId="0" fillId="31" borderId="5" xfId="0" applyNumberFormat="1" applyFill="1" applyBorder="1"/>
    <xf numFmtId="0" fontId="0" fillId="31" borderId="5" xfId="0" applyFill="1" applyBorder="1" applyAlignment="1">
      <alignment wrapText="1"/>
    </xf>
    <xf numFmtId="0" fontId="13" fillId="31" borderId="5" xfId="0" applyFont="1" applyFill="1" applyBorder="1" applyAlignment="1">
      <alignment wrapText="1"/>
    </xf>
    <xf numFmtId="2" fontId="13" fillId="31" borderId="5" xfId="0" applyNumberFormat="1" applyFont="1" applyFill="1" applyBorder="1"/>
    <xf numFmtId="164" fontId="13" fillId="31" borderId="0" xfId="10" applyFont="1" applyFill="1"/>
    <xf numFmtId="0" fontId="0" fillId="31" borderId="5" xfId="0" applyFill="1" applyBorder="1"/>
    <xf numFmtId="164" fontId="12" fillId="31" borderId="5" xfId="10" applyFont="1" applyFill="1" applyBorder="1" applyAlignment="1">
      <alignment horizontal="center"/>
    </xf>
    <xf numFmtId="0" fontId="12" fillId="31" borderId="5" xfId="0" applyFont="1" applyFill="1" applyBorder="1" applyAlignment="1">
      <alignment horizontal="center"/>
    </xf>
    <xf numFmtId="165" fontId="125" fillId="31" borderId="5" xfId="0" applyNumberFormat="1" applyFont="1" applyFill="1" applyBorder="1"/>
    <xf numFmtId="165" fontId="0" fillId="31" borderId="5" xfId="0" applyNumberFormat="1" applyFill="1" applyBorder="1"/>
    <xf numFmtId="10" fontId="0" fillId="31" borderId="5" xfId="43" applyNumberFormat="1" applyFont="1" applyFill="1" applyBorder="1"/>
    <xf numFmtId="0" fontId="13" fillId="31" borderId="5" xfId="0" applyFont="1" applyFill="1" applyBorder="1"/>
    <xf numFmtId="164" fontId="13" fillId="31" borderId="5" xfId="10" applyFont="1" applyFill="1" applyBorder="1"/>
    <xf numFmtId="10" fontId="12" fillId="0" borderId="5" xfId="43" applyNumberFormat="1" applyFont="1" applyBorder="1"/>
    <xf numFmtId="10" fontId="12" fillId="0" borderId="5" xfId="43" applyNumberFormat="1" applyFont="1" applyBorder="1" applyAlignment="1">
      <alignment horizontal="center" wrapText="1"/>
    </xf>
    <xf numFmtId="10" fontId="12" fillId="0" borderId="5" xfId="43" applyNumberFormat="1" applyFont="1" applyBorder="1" applyAlignment="1">
      <alignment wrapText="1"/>
    </xf>
    <xf numFmtId="10" fontId="125" fillId="0" borderId="5" xfId="43" applyNumberFormat="1" applyFont="1" applyBorder="1"/>
    <xf numFmtId="10" fontId="125" fillId="0" borderId="5" xfId="0" applyNumberFormat="1" applyFont="1" applyBorder="1"/>
    <xf numFmtId="0" fontId="16" fillId="31" borderId="5" xfId="0" applyFont="1" applyFill="1" applyBorder="1"/>
    <xf numFmtId="0" fontId="13" fillId="31" borderId="5" xfId="0" applyFont="1" applyFill="1" applyBorder="1" applyAlignment="1">
      <alignment horizontal="center"/>
    </xf>
    <xf numFmtId="165" fontId="16" fillId="31" borderId="5" xfId="0" applyNumberFormat="1" applyFont="1" applyFill="1" applyBorder="1"/>
    <xf numFmtId="0" fontId="16" fillId="31" borderId="5" xfId="0" applyFont="1" applyFill="1" applyBorder="1" applyAlignment="1">
      <alignment horizontal="left"/>
    </xf>
    <xf numFmtId="165" fontId="13" fillId="31" borderId="5" xfId="0" applyNumberFormat="1" applyFont="1" applyFill="1" applyBorder="1"/>
    <xf numFmtId="10" fontId="13" fillId="0" borderId="5" xfId="43" applyNumberFormat="1" applyFont="1" applyFill="1" applyBorder="1"/>
    <xf numFmtId="0" fontId="12" fillId="31" borderId="5" xfId="0" applyFont="1" applyFill="1" applyBorder="1"/>
    <xf numFmtId="0" fontId="34" fillId="31" borderId="5" xfId="0" applyFont="1" applyFill="1" applyBorder="1"/>
    <xf numFmtId="0" fontId="73" fillId="31" borderId="5" xfId="0" applyFont="1" applyFill="1" applyBorder="1"/>
    <xf numFmtId="0" fontId="73" fillId="31" borderId="5" xfId="0" applyFont="1" applyFill="1" applyBorder="1" applyAlignment="1">
      <alignment horizontal="center"/>
    </xf>
    <xf numFmtId="0" fontId="36" fillId="31" borderId="5" xfId="0" applyFont="1" applyFill="1" applyBorder="1"/>
    <xf numFmtId="0" fontId="65" fillId="31" borderId="5" xfId="0" applyFont="1" applyFill="1" applyBorder="1" applyAlignment="1">
      <alignment horizontal="center"/>
    </xf>
    <xf numFmtId="0" fontId="13" fillId="31" borderId="5" xfId="0" applyFont="1" applyFill="1" applyBorder="1" applyAlignment="1">
      <alignment horizontal="center" wrapText="1"/>
    </xf>
    <xf numFmtId="2" fontId="16" fillId="31" borderId="5" xfId="0" applyNumberFormat="1" applyFont="1" applyFill="1" applyBorder="1"/>
    <xf numFmtId="0" fontId="13" fillId="31" borderId="0" xfId="0" applyFont="1" applyFill="1" applyAlignment="1">
      <alignment horizontal="center"/>
    </xf>
    <xf numFmtId="0" fontId="0" fillId="31" borderId="0" xfId="0" applyFill="1" applyAlignment="1">
      <alignment horizontal="center"/>
    </xf>
    <xf numFmtId="0" fontId="0" fillId="31" borderId="5" xfId="0" applyFill="1" applyBorder="1" applyAlignment="1">
      <alignment horizontal="center"/>
    </xf>
    <xf numFmtId="0" fontId="113" fillId="0" borderId="5" xfId="0" applyFont="1" applyBorder="1" applyAlignment="1">
      <alignment horizontal="center"/>
    </xf>
    <xf numFmtId="2" fontId="50" fillId="0" borderId="0" xfId="43" applyNumberFormat="1" applyFont="1" applyFill="1" applyBorder="1" applyAlignment="1" applyProtection="1">
      <protection locked="0"/>
    </xf>
    <xf numFmtId="0" fontId="50" fillId="0" borderId="3" xfId="0" applyFont="1" applyBorder="1"/>
    <xf numFmtId="0" fontId="59" fillId="0" borderId="3" xfId="0" applyFont="1" applyBorder="1" applyAlignment="1">
      <alignment horizontal="right"/>
    </xf>
    <xf numFmtId="0" fontId="112" fillId="0" borderId="89" xfId="0" applyFont="1" applyBorder="1"/>
    <xf numFmtId="0" fontId="111" fillId="0" borderId="5" xfId="0" applyFont="1" applyBorder="1" applyAlignment="1">
      <alignment horizontal="centerContinuous"/>
    </xf>
    <xf numFmtId="0" fontId="112" fillId="0" borderId="5" xfId="0" applyFont="1" applyBorder="1" applyAlignment="1">
      <alignment horizontal="center"/>
    </xf>
    <xf numFmtId="0" fontId="113" fillId="0" borderId="5" xfId="0" applyFont="1" applyBorder="1" applyAlignment="1">
      <alignment horizontal="center" vertical="center" wrapText="1"/>
    </xf>
    <xf numFmtId="0" fontId="113" fillId="0" borderId="5" xfId="0" applyFont="1" applyBorder="1" applyAlignment="1">
      <alignment horizontal="right"/>
    </xf>
    <xf numFmtId="164" fontId="113" fillId="0" borderId="5" xfId="10" applyFont="1" applyFill="1" applyBorder="1" applyAlignment="1">
      <alignment horizontal="center"/>
    </xf>
    <xf numFmtId="164" fontId="49" fillId="0" borderId="0" xfId="10" applyFont="1" applyFill="1"/>
    <xf numFmtId="173" fontId="79" fillId="18" borderId="80" xfId="10" applyNumberFormat="1" applyFont="1" applyFill="1" applyBorder="1"/>
    <xf numFmtId="173" fontId="79" fillId="18" borderId="88" xfId="10" applyNumberFormat="1" applyFont="1" applyFill="1" applyBorder="1"/>
    <xf numFmtId="1" fontId="0" fillId="24" borderId="5" xfId="0" applyNumberFormat="1" applyFill="1" applyBorder="1"/>
    <xf numFmtId="1" fontId="143" fillId="24" borderId="5" xfId="65" applyNumberFormat="1" applyFont="1" applyFill="1" applyBorder="1"/>
    <xf numFmtId="0" fontId="14" fillId="0" borderId="5" xfId="62" applyFont="1" applyFill="1" applyBorder="1" applyAlignment="1">
      <alignment horizontal="center"/>
    </xf>
    <xf numFmtId="0" fontId="19" fillId="0" borderId="0" xfId="62" applyFont="1" applyFill="1" applyAlignment="1">
      <alignment horizontal="left"/>
    </xf>
    <xf numFmtId="0" fontId="18" fillId="0" borderId="5" xfId="62" applyFont="1" applyFill="1" applyBorder="1"/>
    <xf numFmtId="0" fontId="18" fillId="0" borderId="5" xfId="62" applyFont="1" applyFill="1" applyBorder="1" applyAlignment="1">
      <alignment horizontal="center"/>
    </xf>
    <xf numFmtId="0" fontId="18" fillId="0" borderId="5" xfId="62" applyFont="1" applyFill="1" applyBorder="1" applyAlignment="1">
      <alignment horizontal="center" vertical="center"/>
    </xf>
    <xf numFmtId="2" fontId="24" fillId="0" borderId="5" xfId="63" applyNumberFormat="1" applyFill="1" applyBorder="1" applyAlignment="1">
      <alignment horizontal="center"/>
    </xf>
    <xf numFmtId="1" fontId="24" fillId="0" borderId="5" xfId="62" applyNumberFormat="1" applyFill="1" applyBorder="1"/>
    <xf numFmtId="1" fontId="14" fillId="0" borderId="5" xfId="62" applyNumberFormat="1" applyFont="1" applyFill="1" applyBorder="1" applyAlignment="1">
      <alignment horizontal="center"/>
    </xf>
    <xf numFmtId="9" fontId="24" fillId="0" borderId="5" xfId="43" applyFont="1" applyFill="1" applyBorder="1"/>
    <xf numFmtId="1" fontId="24" fillId="0" borderId="5" xfId="62" applyNumberFormat="1" applyFill="1" applyBorder="1" applyAlignment="1">
      <alignment horizontal="center"/>
    </xf>
    <xf numFmtId="2" fontId="14" fillId="0" borderId="5" xfId="0" applyNumberFormat="1" applyFont="1" applyBorder="1" applyAlignment="1">
      <alignment horizontal="center"/>
    </xf>
    <xf numFmtId="2" fontId="24" fillId="0" borderId="5" xfId="62" applyNumberFormat="1" applyFill="1" applyBorder="1"/>
    <xf numFmtId="0" fontId="18" fillId="0" borderId="5" xfId="62" applyFont="1" applyFill="1" applyBorder="1" applyAlignment="1">
      <alignment vertical="center"/>
    </xf>
    <xf numFmtId="165" fontId="14" fillId="0" borderId="5" xfId="62" applyNumberFormat="1" applyFont="1" applyFill="1" applyBorder="1" applyAlignment="1">
      <alignment horizontal="center"/>
    </xf>
    <xf numFmtId="2" fontId="14" fillId="0" borderId="5" xfId="63" applyNumberFormat="1" applyFont="1" applyFill="1" applyBorder="1" applyAlignment="1">
      <alignment horizontal="center"/>
    </xf>
    <xf numFmtId="167" fontId="24" fillId="0" borderId="5" xfId="62" applyNumberFormat="1" applyFill="1" applyBorder="1" applyAlignment="1">
      <alignment horizontal="center"/>
    </xf>
    <xf numFmtId="9" fontId="24" fillId="0" borderId="5" xfId="62" applyNumberFormat="1" applyFill="1" applyBorder="1" applyAlignment="1">
      <alignment horizontal="center"/>
    </xf>
    <xf numFmtId="1" fontId="14" fillId="0" borderId="5" xfId="62" applyNumberFormat="1" applyFont="1" applyFill="1" applyBorder="1"/>
    <xf numFmtId="0" fontId="42" fillId="0" borderId="5" xfId="62" applyFont="1" applyFill="1" applyBorder="1" applyAlignment="1">
      <alignment horizontal="center"/>
    </xf>
    <xf numFmtId="0" fontId="42" fillId="0" borderId="5" xfId="62" applyFont="1" applyFill="1" applyBorder="1"/>
    <xf numFmtId="165" fontId="42" fillId="0" borderId="5" xfId="62" applyNumberFormat="1" applyFont="1" applyFill="1" applyBorder="1" applyAlignment="1">
      <alignment horizontal="center"/>
    </xf>
    <xf numFmtId="1" fontId="42" fillId="0" borderId="5" xfId="62" applyNumberFormat="1" applyFont="1" applyFill="1" applyBorder="1" applyAlignment="1">
      <alignment horizontal="center"/>
    </xf>
    <xf numFmtId="2" fontId="42" fillId="0" borderId="5" xfId="62" applyNumberFormat="1" applyFont="1" applyFill="1" applyBorder="1" applyAlignment="1">
      <alignment horizontal="center"/>
    </xf>
    <xf numFmtId="1" fontId="42" fillId="0" borderId="5" xfId="62" applyNumberFormat="1" applyFont="1" applyFill="1" applyBorder="1"/>
    <xf numFmtId="9" fontId="42" fillId="0" borderId="5" xfId="43" applyFont="1" applyFill="1" applyBorder="1"/>
    <xf numFmtId="2" fontId="42" fillId="0" borderId="5" xfId="62" applyNumberFormat="1" applyFont="1" applyFill="1" applyBorder="1"/>
    <xf numFmtId="165" fontId="24" fillId="0" borderId="5" xfId="62" applyNumberFormat="1" applyFill="1" applyBorder="1"/>
    <xf numFmtId="165" fontId="137" fillId="0" borderId="5" xfId="62" applyNumberFormat="1" applyFont="1" applyFill="1" applyBorder="1" applyAlignment="1">
      <alignment horizontal="center"/>
    </xf>
    <xf numFmtId="1" fontId="137" fillId="0" borderId="5" xfId="62" applyNumberFormat="1" applyFont="1" applyFill="1" applyBorder="1" applyAlignment="1">
      <alignment horizontal="center"/>
    </xf>
    <xf numFmtId="2" fontId="137" fillId="0" borderId="5" xfId="62" applyNumberFormat="1" applyFont="1" applyFill="1" applyBorder="1" applyAlignment="1">
      <alignment horizontal="center"/>
    </xf>
    <xf numFmtId="1" fontId="137" fillId="0" borderId="5" xfId="62" applyNumberFormat="1" applyFont="1" applyFill="1" applyBorder="1"/>
    <xf numFmtId="0" fontId="137" fillId="0" borderId="5" xfId="62" applyFont="1" applyFill="1" applyBorder="1"/>
    <xf numFmtId="9" fontId="137" fillId="0" borderId="5" xfId="43" applyFont="1" applyFill="1" applyBorder="1"/>
    <xf numFmtId="2" fontId="137" fillId="0" borderId="5" xfId="62" applyNumberFormat="1" applyFont="1" applyFill="1" applyBorder="1"/>
    <xf numFmtId="0" fontId="41" fillId="0" borderId="118" xfId="62" applyFont="1" applyFill="1" applyBorder="1" applyAlignment="1">
      <alignment horizontal="center"/>
    </xf>
    <xf numFmtId="0" fontId="41" fillId="0" borderId="119" xfId="62" applyFont="1" applyFill="1" applyBorder="1" applyAlignment="1">
      <alignment horizontal="center"/>
    </xf>
    <xf numFmtId="0" fontId="41" fillId="0" borderId="119" xfId="62" applyFont="1" applyFill="1" applyBorder="1"/>
    <xf numFmtId="0" fontId="41" fillId="0" borderId="120" xfId="62" applyFont="1" applyFill="1" applyBorder="1" applyAlignment="1">
      <alignment horizontal="center"/>
    </xf>
    <xf numFmtId="0" fontId="24" fillId="0" borderId="36" xfId="62" applyFill="1" applyBorder="1"/>
    <xf numFmtId="0" fontId="24" fillId="0" borderId="16" xfId="62" applyFill="1" applyBorder="1"/>
    <xf numFmtId="0" fontId="24" fillId="0" borderId="17" xfId="62" applyFill="1" applyBorder="1"/>
    <xf numFmtId="0" fontId="41" fillId="0" borderId="121" xfId="62" applyFont="1" applyFill="1" applyBorder="1" applyAlignment="1">
      <alignment horizontal="center"/>
    </xf>
    <xf numFmtId="0" fontId="41" fillId="0" borderId="122" xfId="62" applyFont="1" applyFill="1" applyBorder="1" applyAlignment="1">
      <alignment horizontal="center"/>
    </xf>
    <xf numFmtId="0" fontId="41" fillId="0" borderId="37" xfId="62" applyFont="1" applyFill="1" applyBorder="1" applyAlignment="1">
      <alignment horizontal="center"/>
    </xf>
    <xf numFmtId="0" fontId="41" fillId="0" borderId="123" xfId="62" applyFont="1" applyFill="1" applyBorder="1" applyAlignment="1">
      <alignment horizontal="center"/>
    </xf>
    <xf numFmtId="0" fontId="18" fillId="0" borderId="28" xfId="62" applyFont="1" applyFill="1" applyBorder="1" applyAlignment="1">
      <alignment horizontal="center"/>
    </xf>
    <xf numFmtId="0" fontId="18" fillId="0" borderId="25" xfId="62" applyFont="1" applyFill="1" applyBorder="1" applyAlignment="1">
      <alignment horizontal="center"/>
    </xf>
    <xf numFmtId="0" fontId="12" fillId="0" borderId="28" xfId="62" applyFont="1" applyFill="1" applyBorder="1" applyAlignment="1">
      <alignment horizontal="center" vertical="center"/>
    </xf>
    <xf numFmtId="0" fontId="42" fillId="0" borderId="25" xfId="62" applyFont="1" applyFill="1" applyBorder="1"/>
    <xf numFmtId="2" fontId="42" fillId="0" borderId="25" xfId="62" applyNumberFormat="1" applyFont="1" applyFill="1" applyBorder="1"/>
    <xf numFmtId="2" fontId="137" fillId="0" borderId="25" xfId="62" applyNumberFormat="1" applyFont="1" applyFill="1" applyBorder="1"/>
    <xf numFmtId="0" fontId="12" fillId="0" borderId="28" xfId="62" applyFont="1" applyFill="1" applyBorder="1" applyAlignment="1">
      <alignment vertical="center"/>
    </xf>
    <xf numFmtId="0" fontId="12" fillId="0" borderId="32" xfId="62" applyFont="1" applyFill="1" applyBorder="1" applyAlignment="1">
      <alignment horizontal="center" vertical="center"/>
    </xf>
    <xf numFmtId="0" fontId="18" fillId="0" borderId="33" xfId="62" applyFont="1" applyFill="1" applyBorder="1" applyAlignment="1">
      <alignment horizontal="center" vertical="center"/>
    </xf>
    <xf numFmtId="0" fontId="12" fillId="0" borderId="33" xfId="62" applyFont="1" applyFill="1" applyBorder="1" applyAlignment="1">
      <alignment horizontal="center" vertical="center"/>
    </xf>
    <xf numFmtId="165" fontId="137" fillId="0" borderId="33" xfId="62" applyNumberFormat="1" applyFont="1" applyFill="1" applyBorder="1" applyAlignment="1">
      <alignment horizontal="center"/>
    </xf>
    <xf numFmtId="1" fontId="137" fillId="0" borderId="33" xfId="62" applyNumberFormat="1" applyFont="1" applyFill="1" applyBorder="1" applyAlignment="1">
      <alignment horizontal="center"/>
    </xf>
    <xf numFmtId="2" fontId="137" fillId="0" borderId="33" xfId="62" applyNumberFormat="1" applyFont="1" applyFill="1" applyBorder="1" applyAlignment="1">
      <alignment horizontal="center"/>
    </xf>
    <xf numFmtId="1" fontId="42" fillId="0" borderId="33" xfId="62" applyNumberFormat="1" applyFont="1" applyFill="1" applyBorder="1" applyAlignment="1">
      <alignment horizontal="center"/>
    </xf>
    <xf numFmtId="2" fontId="42" fillId="0" borderId="33" xfId="62" applyNumberFormat="1" applyFont="1" applyFill="1" applyBorder="1" applyAlignment="1">
      <alignment horizontal="center"/>
    </xf>
    <xf numFmtId="1" fontId="42" fillId="0" borderId="33" xfId="62" applyNumberFormat="1" applyFont="1" applyFill="1" applyBorder="1"/>
    <xf numFmtId="2" fontId="42" fillId="0" borderId="33" xfId="62" applyNumberFormat="1" applyFont="1" applyFill="1" applyBorder="1"/>
    <xf numFmtId="9" fontId="42" fillId="0" borderId="33" xfId="43" applyFont="1" applyFill="1" applyBorder="1"/>
    <xf numFmtId="2" fontId="137" fillId="0" borderId="33" xfId="62" applyNumberFormat="1" applyFont="1" applyFill="1" applyBorder="1"/>
    <xf numFmtId="2" fontId="137" fillId="0" borderId="34" xfId="62" applyNumberFormat="1" applyFont="1" applyFill="1" applyBorder="1"/>
    <xf numFmtId="0" fontId="23" fillId="0" borderId="5" xfId="62" applyFont="1" applyFill="1" applyBorder="1" applyAlignment="1">
      <alignment vertical="center"/>
    </xf>
    <xf numFmtId="0" fontId="23" fillId="24" borderId="5" xfId="62" applyFont="1" applyFill="1" applyBorder="1" applyAlignment="1">
      <alignment vertical="center"/>
    </xf>
    <xf numFmtId="0" fontId="41" fillId="0" borderId="36" xfId="62" applyFont="1" applyFill="1" applyBorder="1" applyAlignment="1">
      <alignment horizontal="center"/>
    </xf>
    <xf numFmtId="0" fontId="41" fillId="0" borderId="124" xfId="62" applyFont="1" applyFill="1" applyBorder="1" applyAlignment="1">
      <alignment horizontal="center"/>
    </xf>
    <xf numFmtId="0" fontId="41" fillId="0" borderId="125" xfId="62" applyFont="1" applyFill="1" applyBorder="1" applyAlignment="1">
      <alignment horizontal="left"/>
    </xf>
    <xf numFmtId="0" fontId="41" fillId="0" borderId="126" xfId="62" applyFont="1" applyFill="1" applyBorder="1" applyAlignment="1">
      <alignment horizontal="center"/>
    </xf>
    <xf numFmtId="0" fontId="41" fillId="0" borderId="16" xfId="62" applyFont="1" applyFill="1" applyBorder="1" applyAlignment="1">
      <alignment horizontal="center"/>
    </xf>
    <xf numFmtId="0" fontId="41" fillId="0" borderId="127" xfId="62" applyFont="1" applyFill="1" applyBorder="1" applyAlignment="1">
      <alignment horizontal="center"/>
    </xf>
    <xf numFmtId="0" fontId="18" fillId="0" borderId="46" xfId="62" applyFont="1" applyFill="1" applyBorder="1"/>
    <xf numFmtId="0" fontId="18" fillId="0" borderId="128" xfId="62" applyFont="1" applyFill="1" applyBorder="1" applyAlignment="1">
      <alignment horizontal="center"/>
    </xf>
    <xf numFmtId="0" fontId="12" fillId="0" borderId="37" xfId="62" applyFont="1" applyFill="1" applyBorder="1" applyAlignment="1">
      <alignment vertical="center"/>
    </xf>
    <xf numFmtId="0" fontId="24" fillId="0" borderId="123" xfId="62" applyFill="1" applyBorder="1"/>
    <xf numFmtId="0" fontId="12" fillId="0" borderId="46" xfId="62" applyFont="1" applyFill="1" applyBorder="1" applyAlignment="1">
      <alignment horizontal="center" vertical="center"/>
    </xf>
    <xf numFmtId="0" fontId="24" fillId="0" borderId="129" xfId="62" applyFill="1" applyBorder="1"/>
    <xf numFmtId="165" fontId="24" fillId="0" borderId="129" xfId="62" applyNumberFormat="1" applyFill="1" applyBorder="1"/>
    <xf numFmtId="0" fontId="12" fillId="0" borderId="121" xfId="62" applyFont="1" applyFill="1" applyBorder="1" applyAlignment="1">
      <alignment horizontal="center" vertical="center"/>
    </xf>
    <xf numFmtId="0" fontId="12" fillId="0" borderId="121" xfId="62" applyFont="1" applyFill="1" applyBorder="1" applyAlignment="1">
      <alignment vertical="center"/>
    </xf>
    <xf numFmtId="0" fontId="12" fillId="0" borderId="130" xfId="62" applyFont="1" applyFill="1" applyBorder="1" applyAlignment="1">
      <alignment horizontal="center" vertical="center"/>
    </xf>
    <xf numFmtId="0" fontId="18" fillId="0" borderId="131" xfId="62" applyFont="1" applyFill="1" applyBorder="1" applyAlignment="1">
      <alignment horizontal="center" vertical="center"/>
    </xf>
    <xf numFmtId="0" fontId="12" fillId="0" borderId="131" xfId="62" applyFont="1" applyFill="1" applyBorder="1" applyAlignment="1">
      <alignment horizontal="center" vertical="center"/>
    </xf>
    <xf numFmtId="165" fontId="14" fillId="0" borderId="131" xfId="62" applyNumberFormat="1" applyFont="1" applyFill="1" applyBorder="1" applyAlignment="1">
      <alignment horizontal="center"/>
    </xf>
    <xf numFmtId="1" fontId="14" fillId="0" borderId="131" xfId="62" applyNumberFormat="1" applyFont="1" applyFill="1" applyBorder="1" applyAlignment="1">
      <alignment horizontal="center"/>
    </xf>
    <xf numFmtId="0" fontId="24" fillId="0" borderId="131" xfId="62" applyFill="1" applyBorder="1" applyAlignment="1">
      <alignment horizontal="center"/>
    </xf>
    <xf numFmtId="0" fontId="24" fillId="0" borderId="131" xfId="62" applyFill="1" applyBorder="1"/>
    <xf numFmtId="0" fontId="24" fillId="4" borderId="33" xfId="62" applyBorder="1"/>
    <xf numFmtId="9" fontId="24" fillId="0" borderId="131" xfId="62" applyNumberFormat="1" applyFill="1" applyBorder="1" applyAlignment="1">
      <alignment horizontal="center"/>
    </xf>
    <xf numFmtId="2" fontId="14" fillId="0" borderId="131" xfId="0" applyNumberFormat="1" applyFont="1" applyBorder="1" applyAlignment="1">
      <alignment horizontal="center"/>
    </xf>
    <xf numFmtId="2" fontId="14" fillId="0" borderId="131" xfId="62" applyNumberFormat="1" applyFont="1" applyFill="1" applyBorder="1" applyAlignment="1">
      <alignment horizontal="center"/>
    </xf>
    <xf numFmtId="2" fontId="24" fillId="0" borderId="131" xfId="62" applyNumberFormat="1" applyFill="1" applyBorder="1"/>
    <xf numFmtId="1" fontId="14" fillId="0" borderId="132" xfId="62" applyNumberFormat="1" applyFont="1" applyFill="1" applyBorder="1" applyAlignment="1">
      <alignment horizontal="center"/>
    </xf>
    <xf numFmtId="2" fontId="14" fillId="0" borderId="132" xfId="62" applyNumberFormat="1" applyFont="1" applyFill="1" applyBorder="1" applyAlignment="1">
      <alignment horizontal="center"/>
    </xf>
    <xf numFmtId="165" fontId="24" fillId="0" borderId="133" xfId="62" applyNumberFormat="1" applyFill="1" applyBorder="1"/>
    <xf numFmtId="0" fontId="5" fillId="0" borderId="0" xfId="79" applyAlignment="1">
      <alignment horizontal="center"/>
    </xf>
    <xf numFmtId="0" fontId="5" fillId="0" borderId="0" xfId="79"/>
    <xf numFmtId="173" fontId="0" fillId="0" borderId="0" xfId="80" applyNumberFormat="1" applyFont="1"/>
    <xf numFmtId="0" fontId="5" fillId="0" borderId="0" xfId="79" applyAlignment="1">
      <alignment horizontal="left"/>
    </xf>
    <xf numFmtId="0" fontId="130" fillId="0" borderId="0" xfId="79" applyFont="1" applyAlignment="1">
      <alignment horizontal="center" vertical="center"/>
    </xf>
    <xf numFmtId="0" fontId="130" fillId="0" borderId="0" xfId="79" applyFont="1" applyAlignment="1">
      <alignment horizontal="center" vertical="center" wrapText="1"/>
    </xf>
    <xf numFmtId="173" fontId="130" fillId="0" borderId="0" xfId="80" quotePrefix="1" applyNumberFormat="1" applyFont="1" applyAlignment="1">
      <alignment horizontal="center" vertical="center"/>
    </xf>
    <xf numFmtId="0" fontId="5" fillId="0" borderId="0" xfId="79" applyAlignment="1">
      <alignment vertical="center"/>
    </xf>
    <xf numFmtId="0" fontId="130" fillId="0" borderId="0" xfId="79" applyFont="1" applyAlignment="1">
      <alignment vertical="center"/>
    </xf>
    <xf numFmtId="4" fontId="5" fillId="0" borderId="0" xfId="79" applyNumberFormat="1"/>
    <xf numFmtId="0" fontId="5" fillId="0" borderId="5" xfId="79" applyBorder="1"/>
    <xf numFmtId="0" fontId="5" fillId="0" borderId="5" xfId="79" applyBorder="1" applyAlignment="1">
      <alignment vertical="top"/>
    </xf>
    <xf numFmtId="0" fontId="192" fillId="0" borderId="0" xfId="79" applyFont="1"/>
    <xf numFmtId="0" fontId="192" fillId="0" borderId="0" xfId="79" applyFont="1" applyAlignment="1">
      <alignment horizontal="center"/>
    </xf>
    <xf numFmtId="4" fontId="192" fillId="0" borderId="0" xfId="79" applyNumberFormat="1" applyFont="1"/>
    <xf numFmtId="0" fontId="192" fillId="0" borderId="0" xfId="79" applyFont="1" applyAlignment="1">
      <alignment vertical="top"/>
    </xf>
    <xf numFmtId="0" fontId="5" fillId="18" borderId="0" xfId="79" applyFill="1" applyAlignment="1">
      <alignment vertical="top"/>
    </xf>
    <xf numFmtId="4" fontId="5" fillId="22" borderId="0" xfId="79" applyNumberFormat="1" applyFill="1"/>
    <xf numFmtId="0" fontId="5" fillId="19" borderId="0" xfId="79" applyFill="1"/>
    <xf numFmtId="0" fontId="193" fillId="0" borderId="0" xfId="79" applyFont="1"/>
    <xf numFmtId="173" fontId="192" fillId="0" borderId="0" xfId="80" applyNumberFormat="1" applyFont="1"/>
    <xf numFmtId="173" fontId="0" fillId="22" borderId="0" xfId="80" applyNumberFormat="1" applyFont="1" applyFill="1"/>
    <xf numFmtId="1" fontId="12" fillId="2" borderId="0" xfId="60" applyNumberFormat="1" applyFill="1"/>
    <xf numFmtId="0" fontId="12" fillId="2" borderId="0" xfId="60" applyFill="1" applyAlignment="1">
      <alignment horizontal="center"/>
    </xf>
    <xf numFmtId="1" fontId="12" fillId="2" borderId="0" xfId="60" applyNumberFormat="1" applyFill="1" applyAlignment="1">
      <alignment horizontal="center"/>
    </xf>
    <xf numFmtId="0" fontId="15" fillId="2" borderId="0" xfId="60" applyFont="1" applyFill="1"/>
    <xf numFmtId="0" fontId="15" fillId="7" borderId="0" xfId="60" applyFont="1" applyFill="1" applyAlignment="1">
      <alignment horizontal="center"/>
    </xf>
    <xf numFmtId="173" fontId="12" fillId="7" borderId="0" xfId="81" applyNumberFormat="1" applyFont="1" applyFill="1" applyBorder="1"/>
    <xf numFmtId="173" fontId="77" fillId="7" borderId="36" xfId="60" applyNumberFormat="1" applyFont="1" applyFill="1" applyBorder="1"/>
    <xf numFmtId="173" fontId="77" fillId="7" borderId="82" xfId="81" applyNumberFormat="1" applyFont="1" applyFill="1" applyBorder="1"/>
    <xf numFmtId="173" fontId="76" fillId="7" borderId="83" xfId="81" applyNumberFormat="1" applyFont="1" applyFill="1" applyBorder="1" applyAlignment="1">
      <alignment horizontal="center"/>
    </xf>
    <xf numFmtId="173" fontId="76" fillId="7" borderId="82" xfId="81" applyNumberFormat="1" applyFont="1" applyFill="1" applyBorder="1" applyAlignment="1">
      <alignment horizontal="center"/>
    </xf>
    <xf numFmtId="173" fontId="87" fillId="7" borderId="83" xfId="81" applyNumberFormat="1" applyFont="1" applyFill="1" applyBorder="1" applyAlignment="1">
      <alignment horizontal="center"/>
    </xf>
    <xf numFmtId="173" fontId="77" fillId="7" borderId="37" xfId="81" applyNumberFormat="1" applyFont="1" applyFill="1" applyBorder="1"/>
    <xf numFmtId="173" fontId="77" fillId="7" borderId="21" xfId="81" applyNumberFormat="1" applyFont="1" applyFill="1" applyBorder="1"/>
    <xf numFmtId="173" fontId="77" fillId="0" borderId="21" xfId="81" applyNumberFormat="1" applyFont="1" applyFill="1" applyBorder="1"/>
    <xf numFmtId="173" fontId="77" fillId="0" borderId="37" xfId="81" applyNumberFormat="1" applyFont="1" applyFill="1" applyBorder="1"/>
    <xf numFmtId="173" fontId="80" fillId="24" borderId="21" xfId="81" applyNumberFormat="1" applyFont="1" applyFill="1" applyBorder="1"/>
    <xf numFmtId="173" fontId="80" fillId="24" borderId="37" xfId="81" applyNumberFormat="1" applyFont="1" applyFill="1" applyBorder="1"/>
    <xf numFmtId="173" fontId="79" fillId="7" borderId="21" xfId="80" applyNumberFormat="1" applyFont="1" applyFill="1" applyBorder="1"/>
    <xf numFmtId="173" fontId="80" fillId="7" borderId="21" xfId="81" applyNumberFormat="1" applyFont="1" applyFill="1" applyBorder="1"/>
    <xf numFmtId="173" fontId="80" fillId="7" borderId="37" xfId="81" applyNumberFormat="1" applyFont="1" applyFill="1" applyBorder="1"/>
    <xf numFmtId="173" fontId="79" fillId="7" borderId="21" xfId="81" applyNumberFormat="1" applyFont="1" applyFill="1" applyBorder="1"/>
    <xf numFmtId="173" fontId="80" fillId="7" borderId="19" xfId="81" applyNumberFormat="1" applyFont="1" applyFill="1" applyBorder="1"/>
    <xf numFmtId="173" fontId="80" fillId="7" borderId="95" xfId="81" applyNumberFormat="1" applyFont="1" applyFill="1" applyBorder="1"/>
    <xf numFmtId="173" fontId="79" fillId="7" borderId="19" xfId="81" applyNumberFormat="1" applyFont="1" applyFill="1" applyBorder="1"/>
    <xf numFmtId="173" fontId="79" fillId="7" borderId="37" xfId="81" applyNumberFormat="1" applyFont="1" applyFill="1" applyBorder="1"/>
    <xf numFmtId="173" fontId="12" fillId="7" borderId="38" xfId="81" applyNumberFormat="1" applyFont="1" applyFill="1" applyBorder="1"/>
    <xf numFmtId="173" fontId="12" fillId="7" borderId="39" xfId="81" applyNumberFormat="1" applyFont="1" applyFill="1" applyBorder="1"/>
    <xf numFmtId="173" fontId="12" fillId="7" borderId="0" xfId="81" applyNumberFormat="1" applyFont="1" applyFill="1"/>
    <xf numFmtId="173" fontId="77" fillId="24" borderId="36" xfId="81" applyNumberFormat="1" applyFont="1" applyFill="1" applyBorder="1"/>
    <xf numFmtId="173" fontId="77" fillId="24" borderId="82" xfId="81" applyNumberFormat="1" applyFont="1" applyFill="1" applyBorder="1"/>
    <xf numFmtId="173" fontId="76" fillId="24" borderId="83" xfId="81" applyNumberFormat="1" applyFont="1" applyFill="1" applyBorder="1" applyAlignment="1">
      <alignment horizontal="center"/>
    </xf>
    <xf numFmtId="173" fontId="76" fillId="24" borderId="82" xfId="81" applyNumberFormat="1" applyFont="1" applyFill="1" applyBorder="1" applyAlignment="1">
      <alignment horizontal="center"/>
    </xf>
    <xf numFmtId="173" fontId="87" fillId="24" borderId="83" xfId="81" applyNumberFormat="1" applyFont="1" applyFill="1" applyBorder="1" applyAlignment="1">
      <alignment horizontal="center"/>
    </xf>
    <xf numFmtId="173" fontId="79" fillId="24" borderId="37" xfId="81" applyNumberFormat="1" applyFont="1" applyFill="1" applyBorder="1"/>
    <xf numFmtId="173" fontId="79" fillId="24" borderId="21" xfId="81" applyNumberFormat="1" applyFont="1" applyFill="1" applyBorder="1"/>
    <xf numFmtId="173" fontId="80" fillId="24" borderId="73" xfId="81" applyNumberFormat="1" applyFont="1" applyFill="1" applyBorder="1"/>
    <xf numFmtId="173" fontId="79" fillId="24" borderId="73" xfId="81" applyNumberFormat="1" applyFont="1" applyFill="1" applyBorder="1"/>
    <xf numFmtId="173" fontId="12" fillId="24" borderId="21" xfId="81" applyNumberFormat="1" applyFont="1" applyFill="1" applyBorder="1"/>
    <xf numFmtId="0" fontId="150" fillId="24" borderId="37" xfId="60" applyFont="1" applyFill="1" applyBorder="1"/>
    <xf numFmtId="173" fontId="64" fillId="24" borderId="37" xfId="81" applyNumberFormat="1" applyFont="1" applyFill="1" applyBorder="1"/>
    <xf numFmtId="173" fontId="70" fillId="24" borderId="21" xfId="81" applyNumberFormat="1" applyFont="1" applyFill="1" applyBorder="1"/>
    <xf numFmtId="173" fontId="64" fillId="24" borderId="21" xfId="81" applyNumberFormat="1" applyFont="1" applyFill="1" applyBorder="1"/>
    <xf numFmtId="0" fontId="64" fillId="24" borderId="37" xfId="81" applyNumberFormat="1" applyFont="1" applyFill="1" applyBorder="1"/>
    <xf numFmtId="173" fontId="64" fillId="24" borderId="73" xfId="81" applyNumberFormat="1" applyFont="1" applyFill="1" applyBorder="1"/>
    <xf numFmtId="173" fontId="79" fillId="24" borderId="0" xfId="81" applyNumberFormat="1" applyFont="1" applyFill="1" applyBorder="1"/>
    <xf numFmtId="0" fontId="150" fillId="24" borderId="37" xfId="81" applyNumberFormat="1" applyFont="1" applyFill="1" applyBorder="1"/>
    <xf numFmtId="173" fontId="79" fillId="24" borderId="38" xfId="81" applyNumberFormat="1" applyFont="1" applyFill="1" applyBorder="1"/>
    <xf numFmtId="173" fontId="70" fillId="24" borderId="134" xfId="81" applyNumberFormat="1" applyFont="1" applyFill="1" applyBorder="1"/>
    <xf numFmtId="173" fontId="80" fillId="24" borderId="92" xfId="81" applyNumberFormat="1" applyFont="1" applyFill="1" applyBorder="1"/>
    <xf numFmtId="173" fontId="77" fillId="7" borderId="38" xfId="81" applyNumberFormat="1" applyFont="1" applyFill="1" applyBorder="1"/>
    <xf numFmtId="173" fontId="77" fillId="7" borderId="39" xfId="81" applyNumberFormat="1" applyFont="1" applyFill="1" applyBorder="1"/>
    <xf numFmtId="173" fontId="12" fillId="2" borderId="0" xfId="81" applyNumberFormat="1" applyFont="1" applyFill="1"/>
    <xf numFmtId="173" fontId="12" fillId="7" borderId="20" xfId="81" applyNumberFormat="1" applyFont="1" applyFill="1" applyBorder="1"/>
    <xf numFmtId="173" fontId="50" fillId="7" borderId="36" xfId="81" applyNumberFormat="1" applyFont="1" applyFill="1" applyBorder="1" applyAlignment="1"/>
    <xf numFmtId="173" fontId="59" fillId="24" borderId="16" xfId="81" applyNumberFormat="1" applyFont="1" applyFill="1" applyBorder="1" applyAlignment="1">
      <alignment horizontal="center"/>
    </xf>
    <xf numFmtId="173" fontId="50" fillId="24" borderId="79" xfId="81" applyNumberFormat="1" applyFont="1" applyFill="1" applyBorder="1" applyAlignment="1">
      <alignment horizontal="center"/>
    </xf>
    <xf numFmtId="173" fontId="76" fillId="24" borderId="81" xfId="81" applyNumberFormat="1" applyFont="1" applyFill="1" applyBorder="1" applyAlignment="1">
      <alignment horizontal="center"/>
    </xf>
    <xf numFmtId="173" fontId="87" fillId="24" borderId="84" xfId="81" applyNumberFormat="1" applyFont="1" applyFill="1" applyBorder="1" applyAlignment="1">
      <alignment horizontal="center"/>
    </xf>
    <xf numFmtId="173" fontId="77" fillId="7" borderId="80" xfId="81" applyNumberFormat="1" applyFont="1" applyFill="1" applyBorder="1"/>
    <xf numFmtId="173" fontId="77" fillId="24" borderId="37" xfId="81" applyNumberFormat="1" applyFont="1" applyFill="1" applyBorder="1"/>
    <xf numFmtId="173" fontId="77" fillId="24" borderId="21" xfId="81" applyNumberFormat="1" applyFont="1" applyFill="1" applyBorder="1"/>
    <xf numFmtId="173" fontId="80" fillId="22" borderId="21" xfId="81" applyNumberFormat="1" applyFont="1" applyFill="1" applyBorder="1"/>
    <xf numFmtId="173" fontId="79" fillId="7" borderId="80" xfId="81" applyNumberFormat="1" applyFont="1" applyFill="1" applyBorder="1"/>
    <xf numFmtId="173" fontId="80" fillId="24" borderId="19" xfId="81" applyNumberFormat="1" applyFont="1" applyFill="1" applyBorder="1"/>
    <xf numFmtId="0" fontId="95" fillId="7" borderId="37" xfId="60" applyFont="1" applyFill="1" applyBorder="1" applyAlignment="1">
      <alignment vertical="center"/>
    </xf>
    <xf numFmtId="0" fontId="64" fillId="7" borderId="37" xfId="60" applyFont="1" applyFill="1" applyBorder="1" applyAlignment="1">
      <alignment horizontal="justify" vertical="top" wrapText="1"/>
    </xf>
    <xf numFmtId="0" fontId="64" fillId="7" borderId="0" xfId="60" applyFont="1" applyFill="1" applyAlignment="1">
      <alignment horizontal="center" vertical="justify" wrapText="1"/>
    </xf>
    <xf numFmtId="0" fontId="64" fillId="7" borderId="37" xfId="60" applyFont="1" applyFill="1" applyBorder="1" applyAlignment="1">
      <alignment horizontal="justify" vertical="center" wrapText="1"/>
    </xf>
    <xf numFmtId="0" fontId="64" fillId="7" borderId="0" xfId="60" applyFont="1" applyFill="1" applyAlignment="1">
      <alignment horizontal="left" vertical="justify"/>
    </xf>
    <xf numFmtId="0" fontId="64" fillId="7" borderId="37" xfId="60" applyFont="1" applyFill="1" applyBorder="1" applyAlignment="1">
      <alignment horizontal="justify" vertical="justify" wrapText="1"/>
    </xf>
    <xf numFmtId="0" fontId="108" fillId="7" borderId="37" xfId="60" applyFont="1" applyFill="1" applyBorder="1"/>
    <xf numFmtId="0" fontId="64" fillId="24" borderId="37" xfId="60" applyFont="1" applyFill="1" applyBorder="1" applyAlignment="1">
      <alignment horizontal="justify" vertical="justify" wrapText="1"/>
    </xf>
    <xf numFmtId="0" fontId="64" fillId="24" borderId="37" xfId="60" applyFont="1" applyFill="1" applyBorder="1" applyAlignment="1">
      <alignment horizontal="justify" vertical="center" wrapText="1"/>
    </xf>
    <xf numFmtId="0" fontId="64" fillId="24" borderId="38" xfId="60" applyFont="1" applyFill="1" applyBorder="1" applyAlignment="1">
      <alignment horizontal="justify" vertical="center" wrapText="1"/>
    </xf>
    <xf numFmtId="173" fontId="77" fillId="7" borderId="88" xfId="81" applyNumberFormat="1" applyFont="1" applyFill="1" applyBorder="1"/>
    <xf numFmtId="173" fontId="12" fillId="24" borderId="0" xfId="81" applyNumberFormat="1" applyFont="1" applyFill="1" applyBorder="1"/>
    <xf numFmtId="173" fontId="82" fillId="24" borderId="16" xfId="81" applyNumberFormat="1" applyFont="1" applyFill="1" applyBorder="1" applyAlignment="1">
      <alignment horizontal="center"/>
    </xf>
    <xf numFmtId="173" fontId="77" fillId="24" borderId="79" xfId="81" applyNumberFormat="1" applyFont="1" applyFill="1" applyBorder="1" applyAlignment="1">
      <alignment horizontal="center"/>
    </xf>
    <xf numFmtId="0" fontId="82" fillId="24" borderId="37" xfId="60" applyFont="1" applyFill="1" applyBorder="1"/>
    <xf numFmtId="0" fontId="82" fillId="24" borderId="21" xfId="60" applyFont="1" applyFill="1" applyBorder="1"/>
    <xf numFmtId="173" fontId="77" fillId="24" borderId="80" xfId="81" applyNumberFormat="1" applyFont="1" applyFill="1" applyBorder="1"/>
    <xf numFmtId="0" fontId="77" fillId="24" borderId="21" xfId="60" applyFont="1" applyFill="1" applyBorder="1"/>
    <xf numFmtId="173" fontId="79" fillId="24" borderId="80" xfId="81" applyNumberFormat="1" applyFont="1" applyFill="1" applyBorder="1"/>
    <xf numFmtId="0" fontId="77" fillId="24" borderId="37" xfId="60" applyFont="1" applyFill="1" applyBorder="1"/>
    <xf numFmtId="173" fontId="79" fillId="24" borderId="19" xfId="81" applyNumberFormat="1" applyFont="1" applyFill="1" applyBorder="1"/>
    <xf numFmtId="0" fontId="77" fillId="24" borderId="38" xfId="60" applyFont="1" applyFill="1" applyBorder="1"/>
    <xf numFmtId="0" fontId="77" fillId="24" borderId="39" xfId="60" applyFont="1" applyFill="1" applyBorder="1"/>
    <xf numFmtId="173" fontId="77" fillId="24" borderId="38" xfId="81" applyNumberFormat="1" applyFont="1" applyFill="1" applyBorder="1"/>
    <xf numFmtId="173" fontId="77" fillId="24" borderId="39" xfId="81" applyNumberFormat="1" applyFont="1" applyFill="1" applyBorder="1"/>
    <xf numFmtId="173" fontId="77" fillId="24" borderId="88" xfId="81" applyNumberFormat="1" applyFont="1" applyFill="1" applyBorder="1"/>
    <xf numFmtId="0" fontId="77" fillId="24" borderId="0" xfId="60" applyFont="1" applyFill="1"/>
    <xf numFmtId="173" fontId="77" fillId="24" borderId="0" xfId="81" applyNumberFormat="1" applyFont="1" applyFill="1" applyBorder="1"/>
    <xf numFmtId="173" fontId="80" fillId="24" borderId="0" xfId="81" applyNumberFormat="1" applyFont="1" applyFill="1" applyBorder="1"/>
    <xf numFmtId="0" fontId="82" fillId="24" borderId="16" xfId="60" applyFont="1" applyFill="1" applyBorder="1"/>
    <xf numFmtId="0" fontId="82" fillId="24" borderId="81" xfId="60" applyFont="1" applyFill="1" applyBorder="1"/>
    <xf numFmtId="0" fontId="89" fillId="24" borderId="37" xfId="60" applyFont="1" applyFill="1" applyBorder="1"/>
    <xf numFmtId="0" fontId="82" fillId="24" borderId="0" xfId="60" applyFont="1" applyFill="1"/>
    <xf numFmtId="173" fontId="82" fillId="24" borderId="37" xfId="81" applyNumberFormat="1" applyFont="1" applyFill="1" applyBorder="1"/>
    <xf numFmtId="173" fontId="82" fillId="24" borderId="21" xfId="81" applyNumberFormat="1" applyFont="1" applyFill="1" applyBorder="1"/>
    <xf numFmtId="173" fontId="79" fillId="24" borderId="87" xfId="81" applyNumberFormat="1" applyFont="1" applyFill="1" applyBorder="1"/>
    <xf numFmtId="0" fontId="77" fillId="24" borderId="20" xfId="60" applyFont="1" applyFill="1" applyBorder="1"/>
    <xf numFmtId="173" fontId="77" fillId="24" borderId="87" xfId="81" applyNumberFormat="1" applyFont="1" applyFill="1" applyBorder="1"/>
    <xf numFmtId="173" fontId="80" fillId="19" borderId="19" xfId="81" applyNumberFormat="1" applyFont="1" applyFill="1" applyBorder="1"/>
    <xf numFmtId="173" fontId="82" fillId="24" borderId="38" xfId="81" applyNumberFormat="1" applyFont="1" applyFill="1" applyBorder="1"/>
    <xf numFmtId="173" fontId="82" fillId="24" borderId="39" xfId="81" applyNumberFormat="1" applyFont="1" applyFill="1" applyBorder="1"/>
    <xf numFmtId="0" fontId="70" fillId="24" borderId="0" xfId="60" applyFont="1" applyFill="1"/>
    <xf numFmtId="173" fontId="91" fillId="24" borderId="0" xfId="81" applyNumberFormat="1" applyFont="1" applyFill="1" applyBorder="1"/>
    <xf numFmtId="164" fontId="91" fillId="24" borderId="0" xfId="81" applyFont="1" applyFill="1" applyBorder="1"/>
    <xf numFmtId="164" fontId="12" fillId="24" borderId="0" xfId="81" applyFont="1" applyFill="1" applyBorder="1"/>
    <xf numFmtId="0" fontId="82" fillId="24" borderId="16" xfId="60" applyFont="1" applyFill="1" applyBorder="1" applyAlignment="1">
      <alignment horizontal="center" vertical="center" wrapText="1"/>
    </xf>
    <xf numFmtId="164" fontId="82" fillId="24" borderId="16" xfId="81" applyFont="1" applyFill="1" applyBorder="1" applyAlignment="1">
      <alignment horizontal="center"/>
    </xf>
    <xf numFmtId="173" fontId="77" fillId="24" borderId="65" xfId="81" applyNumberFormat="1" applyFont="1" applyFill="1" applyBorder="1" applyAlignment="1">
      <alignment horizontal="center" vertical="center" wrapText="1"/>
    </xf>
    <xf numFmtId="164" fontId="77" fillId="24" borderId="3" xfId="81" applyFont="1" applyFill="1" applyBorder="1" applyAlignment="1">
      <alignment horizontal="center" vertical="center" wrapText="1"/>
    </xf>
    <xf numFmtId="0" fontId="87" fillId="24" borderId="3" xfId="60" applyFont="1" applyFill="1" applyBorder="1" applyAlignment="1">
      <alignment horizontal="center" vertical="center" wrapText="1"/>
    </xf>
    <xf numFmtId="173" fontId="82" fillId="24" borderId="3" xfId="81" applyNumberFormat="1" applyFont="1" applyFill="1" applyBorder="1" applyAlignment="1">
      <alignment horizontal="center" vertical="center" wrapText="1"/>
    </xf>
    <xf numFmtId="173" fontId="77" fillId="24" borderId="3" xfId="81" applyNumberFormat="1" applyFont="1" applyFill="1" applyBorder="1" applyAlignment="1">
      <alignment horizontal="center" vertical="center" wrapText="1"/>
    </xf>
    <xf numFmtId="173" fontId="82" fillId="24" borderId="89" xfId="81" applyNumberFormat="1" applyFont="1" applyFill="1" applyBorder="1" applyAlignment="1">
      <alignment horizontal="center" vertical="center" wrapText="1"/>
    </xf>
    <xf numFmtId="0" fontId="79" fillId="24" borderId="79" xfId="60" applyFont="1" applyFill="1" applyBorder="1" applyAlignment="1">
      <alignment vertical="center" wrapText="1"/>
    </xf>
    <xf numFmtId="0" fontId="79" fillId="24" borderId="36" xfId="60" applyFont="1" applyFill="1" applyBorder="1" applyAlignment="1">
      <alignment vertical="center" wrapText="1"/>
    </xf>
    <xf numFmtId="0" fontId="79" fillId="24" borderId="16" xfId="60" applyFont="1" applyFill="1" applyBorder="1" applyAlignment="1">
      <alignment vertical="center" wrapText="1"/>
    </xf>
    <xf numFmtId="0" fontId="79" fillId="24" borderId="0" xfId="60" applyFont="1" applyFill="1" applyAlignment="1">
      <alignment vertical="center" wrapText="1"/>
    </xf>
    <xf numFmtId="164" fontId="77" fillId="24" borderId="0" xfId="81" applyFont="1" applyFill="1" applyBorder="1"/>
    <xf numFmtId="164" fontId="79" fillId="24" borderId="0" xfId="81" applyFont="1" applyFill="1" applyBorder="1"/>
    <xf numFmtId="173" fontId="79" fillId="24" borderId="36" xfId="81" applyNumberFormat="1" applyFont="1" applyFill="1" applyBorder="1"/>
    <xf numFmtId="173" fontId="79" fillId="24" borderId="17" xfId="81" applyNumberFormat="1" applyFont="1" applyFill="1" applyBorder="1"/>
    <xf numFmtId="0" fontId="79" fillId="24" borderId="80" xfId="60" applyFont="1" applyFill="1" applyBorder="1"/>
    <xf numFmtId="0" fontId="79" fillId="24" borderId="0" xfId="60" applyFont="1" applyFill="1"/>
    <xf numFmtId="173" fontId="79" fillId="24" borderId="0" xfId="60" applyNumberFormat="1" applyFont="1" applyFill="1"/>
    <xf numFmtId="0" fontId="77" fillId="24" borderId="88" xfId="60" applyFont="1" applyFill="1" applyBorder="1"/>
    <xf numFmtId="0" fontId="82" fillId="24" borderId="65" xfId="60" applyFont="1" applyFill="1" applyBorder="1" applyAlignment="1">
      <alignment horizontal="center"/>
    </xf>
    <xf numFmtId="173" fontId="82" fillId="24" borderId="65" xfId="60" applyNumberFormat="1" applyFont="1" applyFill="1" applyBorder="1" applyAlignment="1">
      <alignment horizontal="center"/>
    </xf>
    <xf numFmtId="173" fontId="79" fillId="24" borderId="65" xfId="81" applyNumberFormat="1" applyFont="1" applyFill="1" applyBorder="1"/>
    <xf numFmtId="173" fontId="79" fillId="24" borderId="3" xfId="81" applyNumberFormat="1" applyFont="1" applyFill="1" applyBorder="1"/>
    <xf numFmtId="173" fontId="80" fillId="24" borderId="3" xfId="81" applyNumberFormat="1" applyFont="1" applyFill="1" applyBorder="1"/>
    <xf numFmtId="173" fontId="79" fillId="24" borderId="89" xfId="81" applyNumberFormat="1" applyFont="1" applyFill="1" applyBorder="1"/>
    <xf numFmtId="0" fontId="59" fillId="24" borderId="78" xfId="60" applyFont="1" applyFill="1" applyBorder="1"/>
    <xf numFmtId="0" fontId="59" fillId="24" borderId="65" xfId="60" applyFont="1" applyFill="1" applyBorder="1"/>
    <xf numFmtId="0" fontId="92" fillId="24" borderId="20" xfId="60" applyFont="1" applyFill="1" applyBorder="1"/>
    <xf numFmtId="173" fontId="92" fillId="24" borderId="20" xfId="81" applyNumberFormat="1" applyFont="1" applyFill="1" applyBorder="1"/>
    <xf numFmtId="164" fontId="92" fillId="24" borderId="20" xfId="81" applyFont="1" applyFill="1" applyBorder="1"/>
    <xf numFmtId="173" fontId="92" fillId="24" borderId="39" xfId="81" applyNumberFormat="1" applyFont="1" applyFill="1" applyBorder="1"/>
    <xf numFmtId="173" fontId="12" fillId="2" borderId="0" xfId="81" applyNumberFormat="1" applyFont="1" applyFill="1" applyBorder="1"/>
    <xf numFmtId="164" fontId="12" fillId="2" borderId="0" xfId="81" applyFont="1" applyFill="1"/>
    <xf numFmtId="164" fontId="12" fillId="2" borderId="0" xfId="81" quotePrefix="1" applyFont="1" applyFill="1"/>
    <xf numFmtId="0" fontId="82" fillId="24" borderId="37" xfId="60" applyFont="1" applyFill="1" applyBorder="1" applyAlignment="1">
      <alignment horizontal="left" vertical="center"/>
    </xf>
    <xf numFmtId="0" fontId="82" fillId="24" borderId="0" xfId="60" applyFont="1" applyFill="1" applyAlignment="1">
      <alignment horizontal="left" vertical="center"/>
    </xf>
    <xf numFmtId="173" fontId="93" fillId="24" borderId="0" xfId="81" applyNumberFormat="1" applyFont="1" applyFill="1" applyBorder="1" applyAlignment="1">
      <alignment horizontal="center"/>
    </xf>
    <xf numFmtId="173" fontId="94" fillId="24" borderId="80" xfId="81" applyNumberFormat="1" applyFont="1" applyFill="1" applyBorder="1" applyAlignment="1">
      <alignment horizontal="center"/>
    </xf>
    <xf numFmtId="173" fontId="94" fillId="24" borderId="0" xfId="81" applyNumberFormat="1" applyFont="1" applyFill="1" applyBorder="1"/>
    <xf numFmtId="173" fontId="94" fillId="24" borderId="80" xfId="81" applyNumberFormat="1" applyFont="1" applyFill="1" applyBorder="1"/>
    <xf numFmtId="173" fontId="80" fillId="24" borderId="18" xfId="81" applyNumberFormat="1" applyFont="1" applyFill="1" applyBorder="1"/>
    <xf numFmtId="173" fontId="79" fillId="24" borderId="91" xfId="81" applyNumberFormat="1" applyFont="1" applyFill="1" applyBorder="1"/>
    <xf numFmtId="173" fontId="77" fillId="24" borderId="20" xfId="81" applyNumberFormat="1" applyFont="1" applyFill="1" applyBorder="1"/>
    <xf numFmtId="173" fontId="82" fillId="24" borderId="73" xfId="81" applyNumberFormat="1" applyFont="1" applyFill="1" applyBorder="1"/>
    <xf numFmtId="173" fontId="80" fillId="24" borderId="85" xfId="81" applyNumberFormat="1" applyFont="1" applyFill="1" applyBorder="1"/>
    <xf numFmtId="0" fontId="12" fillId="2" borderId="0" xfId="60" applyFill="1" applyAlignment="1">
      <alignment vertical="center"/>
    </xf>
    <xf numFmtId="0" fontId="15" fillId="24" borderId="37" xfId="60" applyFont="1" applyFill="1" applyBorder="1" applyAlignment="1">
      <alignment horizontal="center"/>
    </xf>
    <xf numFmtId="0" fontId="15" fillId="24" borderId="0" xfId="60" applyFont="1" applyFill="1" applyAlignment="1">
      <alignment horizontal="center"/>
    </xf>
    <xf numFmtId="0" fontId="15" fillId="24" borderId="21" xfId="60" applyFont="1" applyFill="1" applyBorder="1" applyAlignment="1">
      <alignment horizontal="center"/>
    </xf>
    <xf numFmtId="173" fontId="82" fillId="24" borderId="17" xfId="81" applyNumberFormat="1" applyFont="1" applyFill="1" applyBorder="1" applyAlignment="1">
      <alignment horizontal="center" vertical="center"/>
    </xf>
    <xf numFmtId="173" fontId="77" fillId="24" borderId="79" xfId="81" applyNumberFormat="1" applyFont="1" applyFill="1" applyBorder="1" applyAlignment="1">
      <alignment horizontal="center" vertical="center"/>
    </xf>
    <xf numFmtId="173" fontId="64" fillId="24" borderId="0" xfId="81" applyNumberFormat="1" applyFont="1" applyFill="1" applyBorder="1"/>
    <xf numFmtId="173" fontId="70" fillId="24" borderId="0" xfId="81" applyNumberFormat="1" applyFont="1" applyFill="1" applyBorder="1"/>
    <xf numFmtId="0" fontId="64" fillId="24" borderId="37" xfId="60" applyFont="1" applyFill="1" applyBorder="1" applyAlignment="1">
      <alignment vertical="top"/>
    </xf>
    <xf numFmtId="173" fontId="80" fillId="24" borderId="86" xfId="81" applyNumberFormat="1" applyFont="1" applyFill="1" applyBorder="1"/>
    <xf numFmtId="173" fontId="12" fillId="24" borderId="37" xfId="81" applyNumberFormat="1" applyFont="1" applyFill="1" applyBorder="1"/>
    <xf numFmtId="173" fontId="12" fillId="24" borderId="80" xfId="81" applyNumberFormat="1" applyFont="1" applyFill="1" applyBorder="1"/>
    <xf numFmtId="173" fontId="82" fillId="24" borderId="91" xfId="81" applyNumberFormat="1" applyFont="1" applyFill="1" applyBorder="1"/>
    <xf numFmtId="173" fontId="76" fillId="24" borderId="91" xfId="81" applyNumberFormat="1" applyFont="1" applyFill="1" applyBorder="1" applyAlignment="1">
      <alignment horizontal="center"/>
    </xf>
    <xf numFmtId="173" fontId="77" fillId="24" borderId="91" xfId="81" applyNumberFormat="1" applyFont="1" applyFill="1" applyBorder="1"/>
    <xf numFmtId="173" fontId="87" fillId="24" borderId="90" xfId="81" applyNumberFormat="1" applyFont="1" applyFill="1" applyBorder="1" applyAlignment="1">
      <alignment horizontal="center"/>
    </xf>
    <xf numFmtId="175" fontId="80" fillId="24" borderId="80" xfId="81" applyNumberFormat="1" applyFont="1" applyFill="1" applyBorder="1"/>
    <xf numFmtId="175" fontId="79" fillId="24" borderId="80" xfId="81" applyNumberFormat="1" applyFont="1" applyFill="1" applyBorder="1"/>
    <xf numFmtId="173" fontId="80" fillId="24" borderId="80" xfId="81" applyNumberFormat="1" applyFont="1" applyFill="1" applyBorder="1"/>
    <xf numFmtId="175" fontId="70" fillId="24" borderId="85" xfId="81" applyNumberFormat="1" applyFont="1" applyFill="1" applyBorder="1"/>
    <xf numFmtId="173" fontId="70" fillId="24" borderId="85" xfId="81" applyNumberFormat="1" applyFont="1" applyFill="1" applyBorder="1"/>
    <xf numFmtId="175" fontId="64" fillId="24" borderId="85" xfId="81" applyNumberFormat="1" applyFont="1" applyFill="1" applyBorder="1"/>
    <xf numFmtId="173" fontId="64" fillId="24" borderId="85" xfId="81" applyNumberFormat="1" applyFont="1" applyFill="1" applyBorder="1"/>
    <xf numFmtId="173" fontId="64" fillId="24" borderId="88" xfId="81" applyNumberFormat="1" applyFont="1" applyFill="1" applyBorder="1"/>
    <xf numFmtId="173" fontId="64" fillId="24" borderId="38" xfId="81" applyNumberFormat="1" applyFont="1" applyFill="1" applyBorder="1"/>
    <xf numFmtId="164" fontId="12" fillId="24" borderId="21" xfId="81" applyFont="1" applyFill="1" applyBorder="1"/>
    <xf numFmtId="164" fontId="92" fillId="24" borderId="36" xfId="81" applyFont="1" applyFill="1" applyBorder="1"/>
    <xf numFmtId="164" fontId="82" fillId="24" borderId="17" xfId="81" applyFont="1" applyFill="1" applyBorder="1"/>
    <xf numFmtId="164" fontId="77" fillId="24" borderId="16" xfId="81" applyFont="1" applyFill="1" applyBorder="1"/>
    <xf numFmtId="164" fontId="77" fillId="24" borderId="17" xfId="81" applyFont="1" applyFill="1" applyBorder="1"/>
    <xf numFmtId="164" fontId="92" fillId="24" borderId="37" xfId="81" applyFont="1" applyFill="1" applyBorder="1"/>
    <xf numFmtId="164" fontId="82" fillId="24" borderId="21" xfId="81" applyFont="1" applyFill="1" applyBorder="1" applyAlignment="1">
      <alignment horizontal="center"/>
    </xf>
    <xf numFmtId="164" fontId="77" fillId="24" borderId="0" xfId="81" applyFont="1" applyFill="1" applyBorder="1" applyAlignment="1">
      <alignment horizontal="center"/>
    </xf>
    <xf numFmtId="164" fontId="77" fillId="24" borderId="21" xfId="81" applyFont="1" applyFill="1" applyBorder="1" applyAlignment="1">
      <alignment horizontal="center"/>
    </xf>
    <xf numFmtId="164" fontId="109" fillId="24" borderId="82" xfId="81" applyFont="1" applyFill="1" applyBorder="1" applyAlignment="1">
      <alignment horizontal="center"/>
    </xf>
    <xf numFmtId="173" fontId="87" fillId="24" borderId="81" xfId="81" applyNumberFormat="1" applyFont="1" applyFill="1" applyBorder="1" applyAlignment="1">
      <alignment horizontal="center"/>
    </xf>
    <xf numFmtId="0" fontId="109" fillId="24" borderId="37" xfId="60" applyFont="1" applyFill="1" applyBorder="1"/>
    <xf numFmtId="164" fontId="92" fillId="24" borderId="0" xfId="81" applyFont="1" applyFill="1" applyBorder="1"/>
    <xf numFmtId="164" fontId="92" fillId="24" borderId="21" xfId="81" applyFont="1" applyFill="1" applyBorder="1"/>
    <xf numFmtId="173" fontId="109" fillId="24" borderId="37" xfId="81" applyNumberFormat="1" applyFont="1" applyFill="1" applyBorder="1"/>
    <xf numFmtId="173" fontId="92" fillId="24" borderId="37" xfId="81" applyNumberFormat="1" applyFont="1" applyFill="1" applyBorder="1"/>
    <xf numFmtId="164" fontId="92" fillId="24" borderId="38" xfId="81" applyFont="1" applyFill="1" applyBorder="1"/>
    <xf numFmtId="164" fontId="92" fillId="24" borderId="39" xfId="81" applyFont="1" applyFill="1" applyBorder="1"/>
    <xf numFmtId="0" fontId="92" fillId="24" borderId="36" xfId="60" applyFont="1" applyFill="1" applyBorder="1" applyAlignment="1">
      <alignment vertical="center"/>
    </xf>
    <xf numFmtId="173" fontId="109" fillId="24" borderId="16" xfId="81" applyNumberFormat="1" applyFont="1" applyFill="1" applyBorder="1" applyAlignment="1">
      <alignment vertical="center"/>
    </xf>
    <xf numFmtId="0" fontId="12" fillId="2" borderId="0" xfId="60" applyFill="1" applyAlignment="1">
      <alignment horizontal="center" vertical="center"/>
    </xf>
    <xf numFmtId="164" fontId="109" fillId="24" borderId="0" xfId="81" applyFont="1" applyFill="1" applyBorder="1" applyAlignment="1">
      <alignment horizontal="center"/>
    </xf>
    <xf numFmtId="164" fontId="109" fillId="24" borderId="37" xfId="81" applyFont="1" applyFill="1" applyBorder="1" applyAlignment="1">
      <alignment horizontal="center"/>
    </xf>
    <xf numFmtId="164" fontId="109" fillId="24" borderId="21" xfId="81" applyFont="1" applyFill="1" applyBorder="1" applyAlignment="1">
      <alignment horizontal="center"/>
    </xf>
    <xf numFmtId="164" fontId="92" fillId="24" borderId="0" xfId="81" applyFont="1" applyFill="1" applyBorder="1" applyAlignment="1">
      <alignment horizontal="center"/>
    </xf>
    <xf numFmtId="164" fontId="92" fillId="24" borderId="21" xfId="81" applyFont="1" applyFill="1" applyBorder="1" applyAlignment="1">
      <alignment horizontal="center"/>
    </xf>
    <xf numFmtId="164" fontId="109" fillId="24" borderId="81" xfId="81" applyFont="1" applyFill="1" applyBorder="1"/>
    <xf numFmtId="164" fontId="109" fillId="24" borderId="82" xfId="81" applyFont="1" applyFill="1" applyBorder="1"/>
    <xf numFmtId="164" fontId="92" fillId="24" borderId="81" xfId="81" applyFont="1" applyFill="1" applyBorder="1"/>
    <xf numFmtId="175" fontId="80" fillId="24" borderId="37" xfId="81" applyNumberFormat="1" applyFont="1" applyFill="1" applyBorder="1"/>
    <xf numFmtId="175" fontId="79" fillId="24" borderId="0" xfId="81" applyNumberFormat="1" applyFont="1" applyFill="1" applyBorder="1"/>
    <xf numFmtId="173" fontId="12" fillId="2" borderId="0" xfId="60" applyNumberFormat="1" applyFill="1" applyAlignment="1">
      <alignment horizontal="center"/>
    </xf>
    <xf numFmtId="164" fontId="79" fillId="24" borderId="37" xfId="81" applyFont="1" applyFill="1" applyBorder="1"/>
    <xf numFmtId="164" fontId="79" fillId="24" borderId="21" xfId="81" applyFont="1" applyFill="1" applyBorder="1"/>
    <xf numFmtId="175" fontId="80" fillId="24" borderId="95" xfId="81" applyNumberFormat="1" applyFont="1" applyFill="1" applyBorder="1"/>
    <xf numFmtId="164" fontId="79" fillId="24" borderId="18" xfId="81" applyFont="1" applyFill="1" applyBorder="1"/>
    <xf numFmtId="173" fontId="92" fillId="24" borderId="0" xfId="81" applyNumberFormat="1" applyFont="1" applyFill="1" applyBorder="1"/>
    <xf numFmtId="173" fontId="92" fillId="24" borderId="21" xfId="81" applyNumberFormat="1" applyFont="1" applyFill="1" applyBorder="1"/>
    <xf numFmtId="164" fontId="92" fillId="24" borderId="16" xfId="81" applyFont="1" applyFill="1" applyBorder="1"/>
    <xf numFmtId="164" fontId="82" fillId="24" borderId="16" xfId="81" applyFont="1" applyFill="1" applyBorder="1"/>
    <xf numFmtId="164" fontId="77" fillId="24" borderId="36" xfId="81" applyFont="1" applyFill="1" applyBorder="1"/>
    <xf numFmtId="164" fontId="82" fillId="24" borderId="0" xfId="81" applyFont="1" applyFill="1" applyBorder="1" applyAlignment="1">
      <alignment horizontal="center"/>
    </xf>
    <xf numFmtId="164" fontId="77" fillId="24" borderId="37" xfId="81" applyFont="1" applyFill="1" applyBorder="1" applyAlignment="1">
      <alignment horizontal="center"/>
    </xf>
    <xf numFmtId="164" fontId="79" fillId="24" borderId="81" xfId="81" applyFont="1" applyFill="1" applyBorder="1"/>
    <xf numFmtId="173" fontId="87" fillId="24" borderId="82" xfId="81" applyNumberFormat="1" applyFont="1" applyFill="1" applyBorder="1" applyAlignment="1">
      <alignment horizontal="center"/>
    </xf>
    <xf numFmtId="0" fontId="64" fillId="24" borderId="37" xfId="60" applyFont="1" applyFill="1" applyBorder="1" applyAlignment="1">
      <alignment vertical="top" wrapText="1"/>
    </xf>
    <xf numFmtId="173" fontId="79" fillId="24" borderId="86" xfId="81" applyNumberFormat="1" applyFont="1" applyFill="1" applyBorder="1"/>
    <xf numFmtId="173" fontId="80" fillId="24" borderId="37" xfId="81" applyNumberFormat="1" applyFont="1" applyFill="1" applyBorder="1" applyAlignment="1">
      <alignment vertical="top"/>
    </xf>
    <xf numFmtId="173" fontId="80" fillId="24" borderId="21" xfId="81" applyNumberFormat="1" applyFont="1" applyFill="1" applyBorder="1" applyAlignment="1">
      <alignment vertical="top"/>
    </xf>
    <xf numFmtId="173" fontId="80" fillId="24" borderId="73" xfId="81" applyNumberFormat="1" applyFont="1" applyFill="1" applyBorder="1" applyAlignment="1">
      <alignment vertical="top"/>
    </xf>
    <xf numFmtId="164" fontId="80" fillId="24" borderId="37" xfId="81" applyFont="1" applyFill="1" applyBorder="1"/>
    <xf numFmtId="0" fontId="119" fillId="24" borderId="37" xfId="60" applyFont="1" applyFill="1" applyBorder="1" applyAlignment="1">
      <alignment horizontal="left"/>
    </xf>
    <xf numFmtId="173" fontId="59" fillId="24" borderId="0" xfId="81" applyNumberFormat="1" applyFont="1" applyFill="1" applyBorder="1"/>
    <xf numFmtId="173" fontId="92" fillId="24" borderId="38" xfId="81" applyNumberFormat="1" applyFont="1" applyFill="1" applyBorder="1"/>
    <xf numFmtId="164" fontId="12" fillId="2" borderId="0" xfId="81" applyFont="1" applyFill="1" applyBorder="1"/>
    <xf numFmtId="164" fontId="77" fillId="24" borderId="79" xfId="81" applyFont="1" applyFill="1" applyBorder="1"/>
    <xf numFmtId="164" fontId="77" fillId="24" borderId="80" xfId="81" applyFont="1" applyFill="1" applyBorder="1" applyAlignment="1">
      <alignment horizontal="center"/>
    </xf>
    <xf numFmtId="164" fontId="64" fillId="24" borderId="0" xfId="81" applyFont="1" applyFill="1" applyBorder="1"/>
    <xf numFmtId="164" fontId="64" fillId="24" borderId="16" xfId="81" applyFont="1" applyFill="1" applyBorder="1"/>
    <xf numFmtId="164" fontId="64" fillId="24" borderId="81" xfId="81" applyFont="1" applyFill="1" applyBorder="1"/>
    <xf numFmtId="173" fontId="59" fillId="7" borderId="36" xfId="81" applyNumberFormat="1" applyFont="1" applyFill="1" applyBorder="1"/>
    <xf numFmtId="173" fontId="59" fillId="7" borderId="17" xfId="81" applyNumberFormat="1" applyFont="1" applyFill="1" applyBorder="1" applyAlignment="1">
      <alignment horizontal="center"/>
    </xf>
    <xf numFmtId="173" fontId="50" fillId="7" borderId="79" xfId="81" applyNumberFormat="1" applyFont="1" applyFill="1" applyBorder="1" applyAlignment="1">
      <alignment horizontal="center"/>
    </xf>
    <xf numFmtId="0" fontId="91" fillId="24" borderId="0" xfId="60" applyFont="1" applyFill="1"/>
    <xf numFmtId="0" fontId="64" fillId="7" borderId="0" xfId="0" applyFont="1" applyFill="1"/>
    <xf numFmtId="0" fontId="64" fillId="7" borderId="20" xfId="60" applyFont="1" applyFill="1" applyBorder="1" applyAlignment="1">
      <alignment horizontal="left"/>
    </xf>
    <xf numFmtId="0" fontId="14" fillId="7" borderId="0" xfId="60" applyFont="1" applyFill="1" applyAlignment="1">
      <alignment horizontal="center"/>
    </xf>
    <xf numFmtId="164" fontId="14" fillId="7" borderId="0" xfId="81" applyFont="1" applyFill="1" applyBorder="1" applyAlignment="1">
      <alignment horizontal="center"/>
    </xf>
    <xf numFmtId="173" fontId="14" fillId="7" borderId="0" xfId="81" applyNumberFormat="1" applyFont="1" applyFill="1" applyBorder="1" applyAlignment="1">
      <alignment horizontal="center"/>
    </xf>
    <xf numFmtId="173" fontId="14" fillId="7" borderId="21" xfId="81" applyNumberFormat="1" applyFont="1" applyFill="1" applyBorder="1" applyAlignment="1">
      <alignment horizontal="center"/>
    </xf>
    <xf numFmtId="173" fontId="50" fillId="7" borderId="17" xfId="81" applyNumberFormat="1" applyFont="1" applyFill="1" applyBorder="1" applyAlignment="1">
      <alignment horizontal="center"/>
    </xf>
    <xf numFmtId="173" fontId="59" fillId="7" borderId="21" xfId="81" quotePrefix="1" applyNumberFormat="1" applyFont="1" applyFill="1" applyBorder="1" applyAlignment="1">
      <alignment horizontal="center"/>
    </xf>
    <xf numFmtId="173" fontId="50" fillId="7" borderId="21" xfId="81" quotePrefix="1" applyNumberFormat="1" applyFont="1" applyFill="1" applyBorder="1" applyAlignment="1">
      <alignment horizontal="center"/>
    </xf>
    <xf numFmtId="0" fontId="50" fillId="22" borderId="5" xfId="0" applyFont="1" applyFill="1" applyBorder="1" applyAlignment="1">
      <alignment horizontal="center" vertical="center" wrapText="1"/>
    </xf>
    <xf numFmtId="0" fontId="50" fillId="22" borderId="5" xfId="0" applyFont="1" applyFill="1" applyBorder="1"/>
    <xf numFmtId="2" fontId="50" fillId="22" borderId="5" xfId="0" applyNumberFormat="1" applyFont="1" applyFill="1" applyBorder="1"/>
    <xf numFmtId="2" fontId="59" fillId="22" borderId="5" xfId="0" applyNumberFormat="1" applyFont="1" applyFill="1" applyBorder="1"/>
    <xf numFmtId="164" fontId="50" fillId="22" borderId="5" xfId="10" applyFont="1" applyFill="1" applyBorder="1"/>
    <xf numFmtId="0" fontId="50" fillId="22" borderId="0" xfId="0" applyFont="1" applyFill="1"/>
    <xf numFmtId="173" fontId="130" fillId="0" borderId="0" xfId="10" quotePrefix="1" applyNumberFormat="1" applyFont="1" applyAlignment="1">
      <alignment horizontal="center" vertical="center"/>
    </xf>
    <xf numFmtId="173" fontId="5" fillId="34" borderId="0" xfId="10" applyNumberFormat="1" applyFont="1" applyFill="1"/>
    <xf numFmtId="173" fontId="5" fillId="22" borderId="0" xfId="10" applyNumberFormat="1" applyFont="1" applyFill="1"/>
    <xf numFmtId="173" fontId="5" fillId="0" borderId="0" xfId="10" applyNumberFormat="1" applyFont="1" applyFill="1"/>
    <xf numFmtId="173" fontId="5" fillId="43" borderId="0" xfId="10" applyNumberFormat="1" applyFont="1" applyFill="1"/>
    <xf numFmtId="173" fontId="5" fillId="44" borderId="0" xfId="10" applyNumberFormat="1" applyFont="1" applyFill="1"/>
    <xf numFmtId="173" fontId="192" fillId="44" borderId="0" xfId="10" applyNumberFormat="1" applyFont="1" applyFill="1"/>
    <xf numFmtId="173" fontId="5" fillId="36" borderId="0" xfId="10" applyNumberFormat="1" applyFont="1" applyFill="1"/>
    <xf numFmtId="173" fontId="5" fillId="45" borderId="0" xfId="10" applyNumberFormat="1" applyFont="1" applyFill="1"/>
    <xf numFmtId="4" fontId="5" fillId="18" borderId="0" xfId="79" applyNumberFormat="1" applyFill="1"/>
    <xf numFmtId="0" fontId="192" fillId="18" borderId="0" xfId="79" applyFont="1" applyFill="1"/>
    <xf numFmtId="0" fontId="5" fillId="18" borderId="0" xfId="79" applyFill="1"/>
    <xf numFmtId="0" fontId="151" fillId="22" borderId="5" xfId="0" applyFont="1" applyFill="1" applyBorder="1"/>
    <xf numFmtId="0" fontId="131" fillId="22" borderId="5" xfId="0" applyFont="1" applyFill="1" applyBorder="1" applyAlignment="1">
      <alignment horizontal="center"/>
    </xf>
    <xf numFmtId="0" fontId="131" fillId="22" borderId="5" xfId="0" applyFont="1" applyFill="1" applyBorder="1" applyAlignment="1">
      <alignment horizontal="center" wrapText="1"/>
    </xf>
    <xf numFmtId="0" fontId="151" fillId="22" borderId="5" xfId="0" applyFont="1" applyFill="1" applyBorder="1" applyAlignment="1">
      <alignment horizontal="center"/>
    </xf>
    <xf numFmtId="0" fontId="131" fillId="22" borderId="5" xfId="0" applyFont="1" applyFill="1" applyBorder="1"/>
    <xf numFmtId="0" fontId="151" fillId="22" borderId="5" xfId="0" applyFont="1" applyFill="1" applyBorder="1" applyAlignment="1">
      <alignment horizontal="left"/>
    </xf>
    <xf numFmtId="2" fontId="151" fillId="22" borderId="5" xfId="0" applyNumberFormat="1" applyFont="1" applyFill="1" applyBorder="1"/>
    <xf numFmtId="1" fontId="151" fillId="22" borderId="5" xfId="0" applyNumberFormat="1" applyFont="1" applyFill="1" applyBorder="1"/>
    <xf numFmtId="2" fontId="131" fillId="22" borderId="5" xfId="0" applyNumberFormat="1" applyFont="1" applyFill="1" applyBorder="1"/>
    <xf numFmtId="0" fontId="59" fillId="22" borderId="51" xfId="0" applyFont="1" applyFill="1" applyBorder="1" applyAlignment="1">
      <alignment horizontal="center"/>
    </xf>
    <xf numFmtId="0" fontId="59" fillId="22" borderId="5" xfId="0" applyFont="1" applyFill="1" applyBorder="1" applyAlignment="1">
      <alignment horizontal="center"/>
    </xf>
    <xf numFmtId="169" fontId="59" fillId="22" borderId="5" xfId="0" applyNumberFormat="1" applyFont="1" applyFill="1" applyBorder="1"/>
    <xf numFmtId="169" fontId="50" fillId="22" borderId="5" xfId="0" applyNumberFormat="1" applyFont="1" applyFill="1" applyBorder="1"/>
    <xf numFmtId="2" fontId="59" fillId="22" borderId="33" xfId="0" applyNumberFormat="1" applyFont="1" applyFill="1" applyBorder="1" applyAlignment="1">
      <alignment horizontal="right"/>
    </xf>
    <xf numFmtId="164" fontId="50" fillId="22" borderId="22" xfId="10" applyFont="1" applyFill="1" applyBorder="1"/>
    <xf numFmtId="169" fontId="59" fillId="22" borderId="33" xfId="0" applyNumberFormat="1" applyFont="1" applyFill="1" applyBorder="1"/>
    <xf numFmtId="0" fontId="0" fillId="0" borderId="5" xfId="0" applyBorder="1" applyAlignment="1">
      <alignment vertical="center"/>
    </xf>
    <xf numFmtId="164" fontId="0" fillId="0" borderId="5" xfId="0" applyNumberFormat="1" applyBorder="1" applyAlignment="1">
      <alignment vertical="center"/>
    </xf>
    <xf numFmtId="0" fontId="50" fillId="0" borderId="5" xfId="0" applyFont="1" applyBorder="1" applyAlignment="1">
      <alignment horizontal="left" vertical="center" wrapText="1"/>
    </xf>
    <xf numFmtId="0" fontId="50" fillId="0" borderId="22" xfId="0" applyFont="1" applyBorder="1" applyAlignment="1">
      <alignment horizontal="center" vertical="center" wrapText="1"/>
    </xf>
    <xf numFmtId="0" fontId="50" fillId="0" borderId="52" xfId="0" applyFont="1" applyBorder="1" applyAlignment="1">
      <alignment horizontal="center" vertical="center" wrapText="1"/>
    </xf>
    <xf numFmtId="0" fontId="0" fillId="46" borderId="5" xfId="0" applyFill="1" applyBorder="1" applyAlignment="1">
      <alignment vertical="center"/>
    </xf>
    <xf numFmtId="164" fontId="0" fillId="46" borderId="5" xfId="10" applyFont="1" applyFill="1" applyBorder="1" applyAlignment="1">
      <alignment vertical="center"/>
    </xf>
    <xf numFmtId="14" fontId="0" fillId="46" borderId="5" xfId="0" applyNumberFormat="1" applyFill="1" applyBorder="1" applyAlignment="1">
      <alignment vertical="center"/>
    </xf>
    <xf numFmtId="10" fontId="0" fillId="46" borderId="5" xfId="0" applyNumberFormat="1" applyFill="1" applyBorder="1" applyAlignment="1">
      <alignment vertical="center"/>
    </xf>
    <xf numFmtId="4" fontId="0" fillId="46" borderId="5" xfId="0" applyNumberFormat="1" applyFill="1" applyBorder="1" applyAlignment="1">
      <alignment vertical="center"/>
    </xf>
    <xf numFmtId="0" fontId="0" fillId="46" borderId="5" xfId="0" applyFill="1" applyBorder="1"/>
    <xf numFmtId="164" fontId="0" fillId="46" borderId="5" xfId="10" applyFont="1" applyFill="1" applyBorder="1"/>
    <xf numFmtId="0" fontId="50" fillId="0" borderId="5" xfId="0" applyFont="1" applyBorder="1" applyAlignment="1">
      <alignment vertical="center" wrapText="1"/>
    </xf>
    <xf numFmtId="0" fontId="50" fillId="0" borderId="0" xfId="0" applyFont="1" applyAlignment="1">
      <alignment horizontal="center" vertical="center" wrapText="1"/>
    </xf>
    <xf numFmtId="0" fontId="50" fillId="0" borderId="0" xfId="0" applyFont="1" applyAlignment="1">
      <alignment horizontal="right" vertical="center"/>
    </xf>
    <xf numFmtId="0" fontId="59" fillId="45" borderId="5" xfId="0" applyFont="1" applyFill="1" applyBorder="1" applyAlignment="1">
      <alignment horizontal="left"/>
    </xf>
    <xf numFmtId="0" fontId="59" fillId="45" borderId="5" xfId="0" applyFont="1" applyFill="1" applyBorder="1" applyAlignment="1">
      <alignment horizontal="center" wrapText="1"/>
    </xf>
    <xf numFmtId="0" fontId="59" fillId="45" borderId="5" xfId="0" applyFont="1" applyFill="1" applyBorder="1" applyAlignment="1">
      <alignment wrapText="1"/>
    </xf>
    <xf numFmtId="164" fontId="59" fillId="45" borderId="5" xfId="0" applyNumberFormat="1" applyFont="1" applyFill="1" applyBorder="1"/>
    <xf numFmtId="14" fontId="59" fillId="45" borderId="5" xfId="0" applyNumberFormat="1" applyFont="1" applyFill="1" applyBorder="1"/>
    <xf numFmtId="2" fontId="59" fillId="45" borderId="5" xfId="0" applyNumberFormat="1" applyFont="1" applyFill="1" applyBorder="1"/>
    <xf numFmtId="0" fontId="59" fillId="45" borderId="5" xfId="0" applyFont="1" applyFill="1" applyBorder="1"/>
    <xf numFmtId="172" fontId="59" fillId="45" borderId="5" xfId="0" applyNumberFormat="1" applyFont="1" applyFill="1" applyBorder="1"/>
    <xf numFmtId="2" fontId="50" fillId="45" borderId="5" xfId="0" applyNumberFormat="1" applyFont="1" applyFill="1" applyBorder="1"/>
    <xf numFmtId="0" fontId="59" fillId="45" borderId="5" xfId="0" applyFont="1" applyFill="1" applyBorder="1" applyAlignment="1">
      <alignment horizontal="center"/>
    </xf>
    <xf numFmtId="0" fontId="90" fillId="45" borderId="5" xfId="0" applyFont="1" applyFill="1" applyBorder="1" applyAlignment="1">
      <alignment wrapText="1"/>
    </xf>
    <xf numFmtId="0" fontId="0" fillId="45" borderId="5" xfId="0" applyFill="1" applyBorder="1" applyAlignment="1">
      <alignment vertical="center"/>
    </xf>
    <xf numFmtId="164" fontId="0" fillId="45" borderId="5" xfId="10" applyFont="1" applyFill="1" applyBorder="1" applyAlignment="1">
      <alignment vertical="center"/>
    </xf>
    <xf numFmtId="10" fontId="0" fillId="45" borderId="5" xfId="0" applyNumberFormat="1" applyFill="1" applyBorder="1" applyAlignment="1">
      <alignment vertical="center"/>
    </xf>
    <xf numFmtId="43" fontId="0" fillId="45" borderId="5" xfId="0" applyNumberFormat="1" applyFill="1" applyBorder="1" applyAlignment="1">
      <alignment vertical="center"/>
    </xf>
    <xf numFmtId="4" fontId="0" fillId="45" borderId="5" xfId="0" applyNumberFormat="1" applyFill="1" applyBorder="1" applyAlignment="1">
      <alignment vertical="center"/>
    </xf>
    <xf numFmtId="164" fontId="0" fillId="45" borderId="5" xfId="0" applyNumberFormat="1" applyFill="1" applyBorder="1" applyAlignment="1">
      <alignment vertical="center"/>
    </xf>
    <xf numFmtId="0" fontId="0" fillId="45" borderId="5" xfId="0" applyFill="1" applyBorder="1"/>
    <xf numFmtId="164" fontId="0" fillId="45" borderId="5" xfId="10" applyFont="1" applyFill="1" applyBorder="1"/>
    <xf numFmtId="0" fontId="90" fillId="45" borderId="5" xfId="0" applyFont="1" applyFill="1" applyBorder="1" applyAlignment="1">
      <alignment horizontal="left" wrapText="1"/>
    </xf>
    <xf numFmtId="0" fontId="90" fillId="45" borderId="5" xfId="0" applyFont="1" applyFill="1" applyBorder="1"/>
    <xf numFmtId="0" fontId="0" fillId="33" borderId="5" xfId="0" applyFill="1" applyBorder="1" applyAlignment="1">
      <alignment vertical="center"/>
    </xf>
    <xf numFmtId="14" fontId="0" fillId="33" borderId="5" xfId="0" applyNumberFormat="1" applyFill="1" applyBorder="1" applyAlignment="1">
      <alignment vertical="center"/>
    </xf>
    <xf numFmtId="164" fontId="0" fillId="33" borderId="5" xfId="10" applyFont="1" applyFill="1" applyBorder="1" applyAlignment="1">
      <alignment vertical="center"/>
    </xf>
    <xf numFmtId="4" fontId="0" fillId="33" borderId="5" xfId="0" applyNumberFormat="1" applyFill="1" applyBorder="1" applyAlignment="1">
      <alignment vertical="center"/>
    </xf>
    <xf numFmtId="0" fontId="59" fillId="46" borderId="5" xfId="0" applyFont="1" applyFill="1" applyBorder="1" applyAlignment="1">
      <alignment horizontal="left"/>
    </xf>
    <xf numFmtId="0" fontId="59" fillId="46" borderId="5" xfId="0" applyFont="1" applyFill="1" applyBorder="1" applyAlignment="1">
      <alignment horizontal="center"/>
    </xf>
    <xf numFmtId="0" fontId="59" fillId="46" borderId="5" xfId="0" applyFont="1" applyFill="1" applyBorder="1" applyAlignment="1">
      <alignment wrapText="1"/>
    </xf>
    <xf numFmtId="2" fontId="50" fillId="46" borderId="5" xfId="0" applyNumberFormat="1" applyFont="1" applyFill="1" applyBorder="1"/>
    <xf numFmtId="0" fontId="59" fillId="46" borderId="5" xfId="0" applyFont="1" applyFill="1" applyBorder="1"/>
    <xf numFmtId="2" fontId="59" fillId="46" borderId="5" xfId="0" applyNumberFormat="1" applyFont="1" applyFill="1" applyBorder="1"/>
    <xf numFmtId="172" fontId="59" fillId="46" borderId="5" xfId="0" applyNumberFormat="1" applyFont="1" applyFill="1" applyBorder="1"/>
    <xf numFmtId="167" fontId="59" fillId="46" borderId="5" xfId="0" applyNumberFormat="1" applyFont="1" applyFill="1" applyBorder="1"/>
    <xf numFmtId="0" fontId="90" fillId="46" borderId="5" xfId="0" applyFont="1" applyFill="1" applyBorder="1" applyAlignment="1">
      <alignment wrapText="1"/>
    </xf>
    <xf numFmtId="0" fontId="0" fillId="47" borderId="5" xfId="0" applyFill="1" applyBorder="1" applyAlignment="1">
      <alignment vertical="center"/>
    </xf>
    <xf numFmtId="164" fontId="0" fillId="47" borderId="5" xfId="10" applyFont="1" applyFill="1" applyBorder="1" applyAlignment="1">
      <alignment vertical="center"/>
    </xf>
    <xf numFmtId="10" fontId="0" fillId="47" borderId="5" xfId="0" applyNumberFormat="1" applyFill="1" applyBorder="1" applyAlignment="1">
      <alignment vertical="center"/>
    </xf>
    <xf numFmtId="164" fontId="0" fillId="47" borderId="5" xfId="0" applyNumberFormat="1" applyFill="1" applyBorder="1" applyAlignment="1">
      <alignment vertical="center"/>
    </xf>
    <xf numFmtId="0" fontId="0" fillId="47" borderId="5" xfId="0" applyFill="1" applyBorder="1"/>
    <xf numFmtId="0" fontId="91" fillId="45" borderId="5" xfId="0" applyFont="1" applyFill="1" applyBorder="1" applyAlignment="1">
      <alignment horizontal="center" wrapText="1"/>
    </xf>
    <xf numFmtId="0" fontId="50" fillId="45" borderId="5" xfId="0" applyFont="1" applyFill="1" applyBorder="1"/>
    <xf numFmtId="0" fontId="50" fillId="45" borderId="5" xfId="0" applyFont="1" applyFill="1" applyBorder="1" applyAlignment="1">
      <alignment horizontal="left"/>
    </xf>
    <xf numFmtId="0" fontId="50" fillId="45" borderId="5" xfId="0" applyFont="1" applyFill="1" applyBorder="1" applyAlignment="1">
      <alignment horizontal="center"/>
    </xf>
    <xf numFmtId="2" fontId="123" fillId="45" borderId="5" xfId="0" applyNumberFormat="1" applyFont="1" applyFill="1" applyBorder="1"/>
    <xf numFmtId="172" fontId="50" fillId="45" borderId="5" xfId="0" applyNumberFormat="1" applyFont="1" applyFill="1" applyBorder="1"/>
    <xf numFmtId="0" fontId="0" fillId="48" borderId="5" xfId="0" applyFill="1" applyBorder="1" applyAlignment="1">
      <alignment vertical="center"/>
    </xf>
    <xf numFmtId="164" fontId="0" fillId="48" borderId="5" xfId="10" applyFont="1" applyFill="1" applyBorder="1" applyAlignment="1">
      <alignment horizontal="center" vertical="center"/>
    </xf>
    <xf numFmtId="10" fontId="0" fillId="48" borderId="5" xfId="0" applyNumberFormat="1" applyFill="1" applyBorder="1" applyAlignment="1">
      <alignment vertical="center"/>
    </xf>
    <xf numFmtId="164" fontId="0" fillId="48" borderId="5" xfId="10" applyFont="1" applyFill="1" applyBorder="1" applyAlignment="1">
      <alignment vertical="center"/>
    </xf>
    <xf numFmtId="4" fontId="0" fillId="48" borderId="5" xfId="0" applyNumberFormat="1" applyFill="1" applyBorder="1" applyAlignment="1">
      <alignment vertical="center"/>
    </xf>
    <xf numFmtId="164" fontId="0" fillId="48" borderId="5" xfId="0" applyNumberFormat="1" applyFill="1" applyBorder="1" applyAlignment="1">
      <alignment vertical="center"/>
    </xf>
    <xf numFmtId="10" fontId="0" fillId="48" borderId="5" xfId="43" applyNumberFormat="1" applyFont="1" applyFill="1" applyBorder="1" applyAlignment="1">
      <alignment vertical="center"/>
    </xf>
    <xf numFmtId="0" fontId="0" fillId="48" borderId="5" xfId="0" applyFill="1" applyBorder="1"/>
    <xf numFmtId="0" fontId="59" fillId="49" borderId="5" xfId="0" applyFont="1" applyFill="1" applyBorder="1" applyAlignment="1">
      <alignment horizontal="left"/>
    </xf>
    <xf numFmtId="0" fontId="59" fillId="49" borderId="5" xfId="0" applyFont="1" applyFill="1" applyBorder="1" applyAlignment="1">
      <alignment horizontal="center"/>
    </xf>
    <xf numFmtId="0" fontId="59" fillId="49" borderId="5" xfId="0" applyFont="1" applyFill="1" applyBorder="1" applyAlignment="1">
      <alignment wrapText="1"/>
    </xf>
    <xf numFmtId="164" fontId="59" fillId="49" borderId="5" xfId="0" applyNumberFormat="1" applyFont="1" applyFill="1" applyBorder="1"/>
    <xf numFmtId="0" fontId="59" fillId="49" borderId="5" xfId="0" applyFont="1" applyFill="1" applyBorder="1"/>
    <xf numFmtId="2" fontId="59" fillId="49" borderId="5" xfId="0" applyNumberFormat="1" applyFont="1" applyFill="1" applyBorder="1"/>
    <xf numFmtId="172" fontId="59" fillId="49" borderId="5" xfId="0" applyNumberFormat="1" applyFont="1" applyFill="1" applyBorder="1"/>
    <xf numFmtId="0" fontId="90" fillId="49" borderId="5" xfId="0" applyFont="1" applyFill="1" applyBorder="1" applyAlignment="1">
      <alignment wrapText="1"/>
    </xf>
    <xf numFmtId="0" fontId="0" fillId="34" borderId="5" xfId="0" applyFill="1" applyBorder="1" applyAlignment="1">
      <alignment vertical="center"/>
    </xf>
    <xf numFmtId="164" fontId="0" fillId="34" borderId="5" xfId="10" applyFont="1" applyFill="1" applyBorder="1" applyAlignment="1">
      <alignment vertical="center"/>
    </xf>
    <xf numFmtId="10" fontId="0" fillId="34" borderId="5" xfId="43" applyNumberFormat="1" applyFont="1" applyFill="1" applyBorder="1" applyAlignment="1">
      <alignment vertical="center"/>
    </xf>
    <xf numFmtId="164" fontId="0" fillId="34" borderId="5" xfId="0" applyNumberFormat="1" applyFill="1" applyBorder="1" applyAlignment="1">
      <alignment vertical="center"/>
    </xf>
    <xf numFmtId="0" fontId="0" fillId="34" borderId="5" xfId="0" applyFill="1" applyBorder="1"/>
    <xf numFmtId="164" fontId="0" fillId="34" borderId="5" xfId="10" applyFont="1" applyFill="1" applyBorder="1"/>
    <xf numFmtId="2" fontId="50" fillId="34" borderId="5" xfId="0" applyNumberFormat="1" applyFont="1" applyFill="1" applyBorder="1"/>
    <xf numFmtId="0" fontId="59" fillId="34" borderId="5" xfId="0" applyFont="1" applyFill="1" applyBorder="1" applyAlignment="1">
      <alignment horizontal="left"/>
    </xf>
    <xf numFmtId="2" fontId="50" fillId="34" borderId="22" xfId="0" applyNumberFormat="1" applyFont="1" applyFill="1" applyBorder="1"/>
    <xf numFmtId="0" fontId="90" fillId="34" borderId="5" xfId="0" applyFont="1" applyFill="1" applyBorder="1" applyAlignment="1">
      <alignment horizontal="left" wrapText="1"/>
    </xf>
    <xf numFmtId="2" fontId="0" fillId="0" borderId="5" xfId="0" applyNumberFormat="1" applyBorder="1" applyAlignment="1">
      <alignment vertical="center"/>
    </xf>
    <xf numFmtId="2" fontId="50" fillId="0" borderId="5" xfId="0" applyNumberFormat="1" applyFont="1" applyBorder="1" applyAlignment="1">
      <alignment horizontal="center" vertical="center"/>
    </xf>
    <xf numFmtId="2" fontId="0" fillId="33" borderId="5" xfId="0" applyNumberFormat="1" applyFill="1" applyBorder="1" applyAlignment="1">
      <alignment vertical="center"/>
    </xf>
    <xf numFmtId="0" fontId="82" fillId="24" borderId="37" xfId="60" applyFont="1" applyFill="1" applyBorder="1" applyAlignment="1">
      <alignment horizontal="center"/>
    </xf>
    <xf numFmtId="173" fontId="82" fillId="24" borderId="0" xfId="60" applyNumberFormat="1" applyFont="1" applyFill="1" applyAlignment="1">
      <alignment horizontal="center"/>
    </xf>
    <xf numFmtId="0" fontId="4" fillId="0" borderId="0" xfId="79" applyFont="1" applyAlignment="1">
      <alignment vertical="center"/>
    </xf>
    <xf numFmtId="0" fontId="4" fillId="0" borderId="0" xfId="79" applyFont="1"/>
    <xf numFmtId="164" fontId="64" fillId="18" borderId="5" xfId="10" applyFont="1" applyFill="1" applyBorder="1"/>
    <xf numFmtId="164" fontId="64" fillId="0" borderId="5" xfId="10" applyFont="1" applyFill="1" applyBorder="1"/>
    <xf numFmtId="164" fontId="64" fillId="18" borderId="33" xfId="10" applyFont="1" applyFill="1" applyBorder="1"/>
    <xf numFmtId="164" fontId="64" fillId="0" borderId="0" xfId="10" applyFont="1" applyFill="1"/>
    <xf numFmtId="164" fontId="64" fillId="0" borderId="25" xfId="10" applyFont="1" applyFill="1" applyBorder="1"/>
    <xf numFmtId="0" fontId="5" fillId="34" borderId="0" xfId="79" applyFill="1"/>
    <xf numFmtId="173" fontId="24" fillId="0" borderId="5" xfId="10" applyNumberFormat="1" applyFont="1" applyFill="1" applyBorder="1"/>
    <xf numFmtId="173" fontId="24" fillId="0" borderId="5" xfId="10" applyNumberFormat="1" applyFont="1" applyFill="1" applyBorder="1" applyAlignment="1">
      <alignment horizontal="right"/>
    </xf>
    <xf numFmtId="173" fontId="24" fillId="0" borderId="5" xfId="0" applyNumberFormat="1" applyFont="1" applyBorder="1"/>
    <xf numFmtId="0" fontId="90" fillId="0" borderId="5" xfId="0" applyFont="1" applyBorder="1" applyAlignment="1">
      <alignment horizontal="center" vertical="center" wrapText="1"/>
    </xf>
    <xf numFmtId="0" fontId="188" fillId="0" borderId="5" xfId="0" applyFont="1" applyBorder="1" applyAlignment="1">
      <alignment vertical="center"/>
    </xf>
    <xf numFmtId="0" fontId="189" fillId="0" borderId="5" xfId="0" applyFont="1" applyBorder="1" applyAlignment="1">
      <alignment vertical="center"/>
    </xf>
    <xf numFmtId="2" fontId="194" fillId="0" borderId="5" xfId="0" applyNumberFormat="1" applyFont="1" applyBorder="1" applyAlignment="1">
      <alignment vertical="center"/>
    </xf>
    <xf numFmtId="2" fontId="189" fillId="0" borderId="5" xfId="0" applyNumberFormat="1" applyFont="1" applyBorder="1" applyAlignment="1">
      <alignment vertical="center"/>
    </xf>
    <xf numFmtId="0" fontId="50" fillId="22" borderId="22" xfId="0" applyFont="1" applyFill="1" applyBorder="1" applyAlignment="1">
      <alignment horizontal="center" vertical="center" wrapText="1"/>
    </xf>
    <xf numFmtId="2" fontId="50" fillId="22" borderId="22" xfId="0" applyNumberFormat="1" applyFont="1" applyFill="1" applyBorder="1" applyAlignment="1">
      <alignment horizontal="center" wrapText="1"/>
    </xf>
    <xf numFmtId="0" fontId="50" fillId="22" borderId="5" xfId="0" applyFont="1" applyFill="1" applyBorder="1" applyAlignment="1">
      <alignment horizontal="center" wrapText="1"/>
    </xf>
    <xf numFmtId="0" fontId="71" fillId="24" borderId="5" xfId="0" applyFont="1" applyFill="1" applyBorder="1" applyAlignment="1">
      <alignment horizontal="center" vertical="center" wrapText="1"/>
    </xf>
    <xf numFmtId="2" fontId="50" fillId="24" borderId="0" xfId="0" applyNumberFormat="1" applyFont="1" applyFill="1" applyAlignment="1">
      <alignment horizontal="center" vertical="center"/>
    </xf>
    <xf numFmtId="173" fontId="50" fillId="24" borderId="5" xfId="0" applyNumberFormat="1" applyFont="1" applyFill="1" applyBorder="1"/>
    <xf numFmtId="175" fontId="50" fillId="24" borderId="0" xfId="10" applyNumberFormat="1" applyFont="1" applyFill="1"/>
    <xf numFmtId="0" fontId="114" fillId="24" borderId="0" xfId="0" applyFont="1" applyFill="1"/>
    <xf numFmtId="164" fontId="114" fillId="24" borderId="0" xfId="0" applyNumberFormat="1" applyFont="1" applyFill="1"/>
    <xf numFmtId="2" fontId="114" fillId="24" borderId="0" xfId="0" applyNumberFormat="1" applyFont="1" applyFill="1"/>
    <xf numFmtId="0" fontId="90" fillId="0" borderId="5" xfId="0" applyFont="1" applyBorder="1" applyAlignment="1">
      <alignment horizontal="center" vertical="center"/>
    </xf>
    <xf numFmtId="0" fontId="195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2" fontId="5" fillId="0" borderId="0" xfId="79" applyNumberFormat="1"/>
    <xf numFmtId="0" fontId="184" fillId="43" borderId="5" xfId="60" applyFont="1" applyFill="1" applyBorder="1" applyAlignment="1">
      <alignment horizontal="center" vertical="top"/>
    </xf>
    <xf numFmtId="0" fontId="184" fillId="43" borderId="5" xfId="60" applyFont="1" applyFill="1" applyBorder="1" applyAlignment="1">
      <alignment vertical="top"/>
    </xf>
    <xf numFmtId="0" fontId="184" fillId="43" borderId="5" xfId="78" applyFont="1" applyFill="1" applyBorder="1" applyAlignment="1">
      <alignment vertical="top"/>
    </xf>
    <xf numFmtId="0" fontId="184" fillId="43" borderId="5" xfId="78" applyFont="1" applyFill="1" applyBorder="1" applyAlignment="1">
      <alignment horizontal="center" vertical="top"/>
    </xf>
    <xf numFmtId="0" fontId="185" fillId="43" borderId="5" xfId="78" applyFont="1" applyFill="1" applyBorder="1" applyAlignment="1">
      <alignment vertical="top"/>
    </xf>
    <xf numFmtId="0" fontId="184" fillId="43" borderId="5" xfId="0" applyFont="1" applyFill="1" applyBorder="1" applyAlignment="1">
      <alignment vertical="top"/>
    </xf>
    <xf numFmtId="0" fontId="12" fillId="43" borderId="5" xfId="78" applyFill="1" applyBorder="1" applyAlignment="1">
      <alignment vertical="top"/>
    </xf>
    <xf numFmtId="0" fontId="0" fillId="50" borderId="5" xfId="0" applyFill="1" applyBorder="1"/>
    <xf numFmtId="0" fontId="0" fillId="43" borderId="5" xfId="0" applyFill="1" applyBorder="1" applyAlignment="1">
      <alignment vertical="top"/>
    </xf>
    <xf numFmtId="0" fontId="0" fillId="43" borderId="5" xfId="0" applyFill="1" applyBorder="1" applyAlignment="1">
      <alignment horizontal="center"/>
    </xf>
    <xf numFmtId="0" fontId="0" fillId="43" borderId="5" xfId="0" applyFill="1" applyBorder="1"/>
    <xf numFmtId="164" fontId="183" fillId="41" borderId="5" xfId="10" applyFont="1" applyFill="1" applyBorder="1" applyAlignment="1">
      <alignment horizontal="center" vertical="center" wrapText="1"/>
    </xf>
    <xf numFmtId="164" fontId="184" fillId="34" borderId="5" xfId="10" applyFont="1" applyFill="1" applyBorder="1" applyAlignment="1">
      <alignment vertical="top"/>
    </xf>
    <xf numFmtId="164" fontId="184" fillId="0" borderId="5" xfId="10" applyFont="1" applyFill="1" applyBorder="1" applyAlignment="1">
      <alignment vertical="top"/>
    </xf>
    <xf numFmtId="164" fontId="184" fillId="22" borderId="5" xfId="10" applyFont="1" applyFill="1" applyBorder="1" applyAlignment="1">
      <alignment vertical="top"/>
    </xf>
    <xf numFmtId="164" fontId="184" fillId="20" borderId="5" xfId="10" applyFont="1" applyFill="1" applyBorder="1" applyAlignment="1">
      <alignment vertical="top"/>
    </xf>
    <xf numFmtId="164" fontId="184" fillId="33" borderId="5" xfId="10" applyFont="1" applyFill="1" applyBorder="1" applyAlignment="1">
      <alignment vertical="top"/>
    </xf>
    <xf numFmtId="175" fontId="12" fillId="0" borderId="0" xfId="10" applyNumberFormat="1" applyFont="1" applyAlignment="1">
      <alignment horizontal="center"/>
    </xf>
    <xf numFmtId="175" fontId="0" fillId="0" borderId="0" xfId="10" applyNumberFormat="1" applyFont="1" applyAlignment="1">
      <alignment horizontal="center"/>
    </xf>
    <xf numFmtId="2" fontId="86" fillId="0" borderId="5" xfId="0" applyNumberFormat="1" applyFont="1" applyBorder="1" applyAlignment="1">
      <alignment horizontal="center" vertical="center" wrapText="1"/>
    </xf>
    <xf numFmtId="0" fontId="150" fillId="0" borderId="0" xfId="0" applyFont="1" applyAlignment="1">
      <alignment vertical="center"/>
    </xf>
    <xf numFmtId="164" fontId="150" fillId="0" borderId="0" xfId="10" applyFont="1" applyFill="1" applyBorder="1" applyAlignment="1">
      <alignment wrapText="1"/>
    </xf>
    <xf numFmtId="0" fontId="184" fillId="22" borderId="5" xfId="78" applyFont="1" applyFill="1" applyBorder="1" applyAlignment="1">
      <alignment vertical="top"/>
    </xf>
    <xf numFmtId="0" fontId="184" fillId="0" borderId="52" xfId="78" applyFont="1" applyBorder="1" applyAlignment="1">
      <alignment vertical="top"/>
    </xf>
    <xf numFmtId="0" fontId="3" fillId="0" borderId="5" xfId="82" applyBorder="1"/>
    <xf numFmtId="0" fontId="130" fillId="18" borderId="12" xfId="82" applyFont="1" applyFill="1" applyBorder="1"/>
    <xf numFmtId="0" fontId="130" fillId="18" borderId="0" xfId="82" applyFont="1" applyFill="1"/>
    <xf numFmtId="0" fontId="3" fillId="0" borderId="0" xfId="82"/>
    <xf numFmtId="0" fontId="130" fillId="0" borderId="5" xfId="82" applyFont="1" applyBorder="1"/>
    <xf numFmtId="17" fontId="130" fillId="0" borderId="5" xfId="82" applyNumberFormat="1" applyFont="1" applyBorder="1"/>
    <xf numFmtId="17" fontId="130" fillId="18" borderId="5" xfId="82" applyNumberFormat="1" applyFont="1" applyFill="1" applyBorder="1"/>
    <xf numFmtId="0" fontId="130" fillId="0" borderId="5" xfId="82" applyFont="1" applyBorder="1" applyAlignment="1">
      <alignment wrapText="1"/>
    </xf>
    <xf numFmtId="2" fontId="3" fillId="0" borderId="5" xfId="82" applyNumberFormat="1" applyBorder="1"/>
    <xf numFmtId="2" fontId="3" fillId="18" borderId="5" xfId="82" applyNumberFormat="1" applyFill="1" applyBorder="1"/>
    <xf numFmtId="2" fontId="0" fillId="0" borderId="5" xfId="83" applyNumberFormat="1" applyFont="1" applyBorder="1"/>
    <xf numFmtId="43" fontId="130" fillId="0" borderId="5" xfId="84" applyFont="1" applyBorder="1"/>
    <xf numFmtId="2" fontId="130" fillId="0" borderId="5" xfId="82" applyNumberFormat="1" applyFont="1" applyBorder="1"/>
    <xf numFmtId="2" fontId="130" fillId="18" borderId="5" xfId="82" applyNumberFormat="1" applyFont="1" applyFill="1" applyBorder="1"/>
    <xf numFmtId="165" fontId="3" fillId="0" borderId="5" xfId="82" applyNumberFormat="1" applyBorder="1"/>
    <xf numFmtId="0" fontId="3" fillId="18" borderId="0" xfId="82" applyFill="1"/>
    <xf numFmtId="0" fontId="3" fillId="0" borderId="135" xfId="82" applyBorder="1"/>
    <xf numFmtId="0" fontId="130" fillId="0" borderId="135" xfId="82" applyFont="1" applyBorder="1"/>
    <xf numFmtId="2" fontId="130" fillId="0" borderId="135" xfId="82" applyNumberFormat="1" applyFont="1" applyBorder="1"/>
    <xf numFmtId="2" fontId="130" fillId="18" borderId="135" xfId="82" applyNumberFormat="1" applyFont="1" applyFill="1" applyBorder="1"/>
    <xf numFmtId="2" fontId="130" fillId="0" borderId="136" xfId="82" applyNumberFormat="1" applyFont="1" applyBorder="1"/>
    <xf numFmtId="196" fontId="0" fillId="0" borderId="0" xfId="84" applyNumberFormat="1" applyFont="1"/>
    <xf numFmtId="184" fontId="50" fillId="6" borderId="0" xfId="0" applyNumberFormat="1" applyFont="1" applyFill="1"/>
    <xf numFmtId="0" fontId="139" fillId="0" borderId="5" xfId="65" applyFont="1" applyBorder="1" applyAlignment="1">
      <alignment horizontal="center" vertical="center" wrapText="1"/>
    </xf>
    <xf numFmtId="164" fontId="64" fillId="0" borderId="24" xfId="10" applyFont="1" applyFill="1" applyBorder="1"/>
    <xf numFmtId="0" fontId="154" fillId="0" borderId="28" xfId="0" applyFont="1" applyBorder="1" applyAlignment="1">
      <alignment horizontal="center"/>
    </xf>
    <xf numFmtId="0" fontId="154" fillId="0" borderId="5" xfId="0" applyFont="1" applyBorder="1"/>
    <xf numFmtId="0" fontId="50" fillId="0" borderId="5" xfId="0" applyFont="1" applyBorder="1" applyAlignment="1">
      <alignment horizontal="center" vertical="center"/>
    </xf>
    <xf numFmtId="0" fontId="50" fillId="0" borderId="55" xfId="0" applyFont="1" applyBorder="1" applyAlignment="1">
      <alignment horizontal="center"/>
    </xf>
    <xf numFmtId="173" fontId="50" fillId="24" borderId="51" xfId="0" applyNumberFormat="1" applyFont="1" applyFill="1" applyBorder="1"/>
    <xf numFmtId="173" fontId="50" fillId="0" borderId="51" xfId="0" applyNumberFormat="1" applyFont="1" applyBorder="1"/>
    <xf numFmtId="1" fontId="50" fillId="0" borderId="71" xfId="0" applyNumberFormat="1" applyFont="1" applyBorder="1"/>
    <xf numFmtId="171" fontId="59" fillId="24" borderId="5" xfId="43" applyNumberFormat="1" applyFont="1" applyFill="1" applyBorder="1" applyAlignment="1">
      <alignment horizontal="center"/>
    </xf>
    <xf numFmtId="0" fontId="50" fillId="0" borderId="5" xfId="0" applyFont="1" applyBorder="1" applyAlignment="1">
      <alignment vertical="top"/>
    </xf>
    <xf numFmtId="2" fontId="50" fillId="0" borderId="5" xfId="0" applyNumberFormat="1" applyFont="1" applyBorder="1" applyAlignment="1">
      <alignment vertical="top"/>
    </xf>
    <xf numFmtId="0" fontId="153" fillId="24" borderId="40" xfId="0" applyFont="1" applyFill="1" applyBorder="1" applyAlignment="1">
      <alignment horizontal="center"/>
    </xf>
    <xf numFmtId="0" fontId="153" fillId="24" borderId="44" xfId="0" applyFont="1" applyFill="1" applyBorder="1" applyAlignment="1">
      <alignment horizontal="center"/>
    </xf>
    <xf numFmtId="17" fontId="70" fillId="24" borderId="44" xfId="0" applyNumberFormat="1" applyFont="1" applyFill="1" applyBorder="1" applyAlignment="1">
      <alignment horizontal="center"/>
    </xf>
    <xf numFmtId="2" fontId="153" fillId="24" borderId="44" xfId="0" applyNumberFormat="1" applyFont="1" applyFill="1" applyBorder="1" applyAlignment="1">
      <alignment horizontal="center"/>
    </xf>
    <xf numFmtId="2" fontId="153" fillId="24" borderId="45" xfId="0" applyNumberFormat="1" applyFont="1" applyFill="1" applyBorder="1" applyAlignment="1">
      <alignment horizontal="center"/>
    </xf>
    <xf numFmtId="0" fontId="153" fillId="24" borderId="28" xfId="0" applyFont="1" applyFill="1" applyBorder="1" applyAlignment="1">
      <alignment horizontal="center"/>
    </xf>
    <xf numFmtId="0" fontId="153" fillId="24" borderId="5" xfId="0" applyFont="1" applyFill="1" applyBorder="1" applyAlignment="1">
      <alignment horizontal="center"/>
    </xf>
    <xf numFmtId="0" fontId="153" fillId="24" borderId="25" xfId="0" applyFont="1" applyFill="1" applyBorder="1" applyAlignment="1">
      <alignment horizontal="center"/>
    </xf>
    <xf numFmtId="0" fontId="154" fillId="24" borderId="28" xfId="0" applyFont="1" applyFill="1" applyBorder="1"/>
    <xf numFmtId="0" fontId="154" fillId="24" borderId="5" xfId="0" applyFont="1" applyFill="1" applyBorder="1"/>
    <xf numFmtId="0" fontId="154" fillId="24" borderId="25" xfId="0" applyFont="1" applyFill="1" applyBorder="1"/>
    <xf numFmtId="0" fontId="154" fillId="24" borderId="28" xfId="0" applyFont="1" applyFill="1" applyBorder="1" applyAlignment="1">
      <alignment horizontal="center"/>
    </xf>
    <xf numFmtId="2" fontId="154" fillId="24" borderId="5" xfId="0" applyNumberFormat="1" applyFont="1" applyFill="1" applyBorder="1"/>
    <xf numFmtId="2" fontId="154" fillId="24" borderId="25" xfId="0" applyNumberFormat="1" applyFont="1" applyFill="1" applyBorder="1"/>
    <xf numFmtId="2" fontId="153" fillId="24" borderId="5" xfId="0" applyNumberFormat="1" applyFont="1" applyFill="1" applyBorder="1"/>
    <xf numFmtId="2" fontId="153" fillId="24" borderId="25" xfId="0" applyNumberFormat="1" applyFont="1" applyFill="1" applyBorder="1"/>
    <xf numFmtId="0" fontId="154" fillId="24" borderId="32" xfId="0" applyFont="1" applyFill="1" applyBorder="1"/>
    <xf numFmtId="0" fontId="154" fillId="24" borderId="33" xfId="0" applyFont="1" applyFill="1" applyBorder="1"/>
    <xf numFmtId="0" fontId="154" fillId="24" borderId="34" xfId="0" applyFont="1" applyFill="1" applyBorder="1"/>
    <xf numFmtId="0" fontId="12" fillId="0" borderId="5" xfId="0" applyFont="1" applyBorder="1" applyAlignment="1">
      <alignment vertical="center"/>
    </xf>
    <xf numFmtId="0" fontId="12" fillId="0" borderId="5" xfId="0" quotePrefix="1" applyFont="1" applyBorder="1" applyAlignment="1">
      <alignment horizontal="left"/>
    </xf>
    <xf numFmtId="0" fontId="13" fillId="0" borderId="5" xfId="0" applyFont="1" applyBorder="1" applyAlignment="1">
      <alignment vertical="center" wrapText="1"/>
    </xf>
    <xf numFmtId="0" fontId="113" fillId="0" borderId="12" xfId="0" applyFont="1" applyBorder="1"/>
    <xf numFmtId="0" fontId="196" fillId="41" borderId="0" xfId="0" applyFont="1" applyFill="1" applyAlignment="1">
      <alignment vertical="center"/>
    </xf>
    <xf numFmtId="0" fontId="196" fillId="41" borderId="0" xfId="0" applyFont="1" applyFill="1" applyAlignment="1">
      <alignment horizontal="center" vertical="center"/>
    </xf>
    <xf numFmtId="173" fontId="0" fillId="0" borderId="5" xfId="13" applyNumberFormat="1" applyFont="1" applyBorder="1" applyAlignment="1">
      <alignment vertical="center"/>
    </xf>
    <xf numFmtId="0" fontId="130" fillId="0" borderId="5" xfId="0" quotePrefix="1" applyFont="1" applyBorder="1" applyAlignment="1">
      <alignment vertical="center"/>
    </xf>
    <xf numFmtId="16" fontId="0" fillId="0" borderId="5" xfId="0" quotePrefix="1" applyNumberFormat="1" applyBorder="1" applyAlignment="1">
      <alignment vertical="center"/>
    </xf>
    <xf numFmtId="0" fontId="0" fillId="0" borderId="5" xfId="0" quotePrefix="1" applyBorder="1" applyAlignment="1">
      <alignment vertical="center"/>
    </xf>
    <xf numFmtId="173" fontId="0" fillId="0" borderId="22" xfId="13" applyNumberFormat="1" applyFont="1" applyBorder="1" applyAlignment="1">
      <alignment vertical="center"/>
    </xf>
    <xf numFmtId="173" fontId="0" fillId="0" borderId="52" xfId="13" applyNumberFormat="1" applyFont="1" applyBorder="1" applyAlignment="1">
      <alignment vertical="center"/>
    </xf>
    <xf numFmtId="173" fontId="0" fillId="0" borderId="51" xfId="13" applyNumberFormat="1" applyFont="1" applyBorder="1" applyAlignment="1">
      <alignment vertical="center"/>
    </xf>
    <xf numFmtId="16" fontId="0" fillId="0" borderId="52" xfId="0" quotePrefix="1" applyNumberFormat="1" applyBorder="1" applyAlignment="1">
      <alignment vertical="center"/>
    </xf>
    <xf numFmtId="173" fontId="0" fillId="0" borderId="5" xfId="0" applyNumberFormat="1" applyBorder="1"/>
    <xf numFmtId="0" fontId="59" fillId="0" borderId="22" xfId="0" applyFont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97" fillId="0" borderId="78" xfId="0" applyFont="1" applyBorder="1" applyAlignment="1">
      <alignment horizontal="justify" vertical="center" wrapText="1"/>
    </xf>
    <xf numFmtId="0" fontId="197" fillId="0" borderId="89" xfId="0" applyFont="1" applyBorder="1" applyAlignment="1">
      <alignment horizontal="center" vertical="center" wrapText="1"/>
    </xf>
    <xf numFmtId="0" fontId="198" fillId="0" borderId="88" xfId="0" applyFont="1" applyBorder="1" applyAlignment="1">
      <alignment horizontal="justify" vertical="center" wrapText="1"/>
    </xf>
    <xf numFmtId="0" fontId="198" fillId="0" borderId="39" xfId="0" applyFont="1" applyBorder="1" applyAlignment="1">
      <alignment horizontal="right" vertical="center" wrapText="1"/>
    </xf>
    <xf numFmtId="0" fontId="197" fillId="0" borderId="88" xfId="0" applyFont="1" applyBorder="1" applyAlignment="1">
      <alignment horizontal="center" vertical="center" wrapText="1"/>
    </xf>
    <xf numFmtId="0" fontId="197" fillId="0" borderId="39" xfId="0" applyFont="1" applyBorder="1" applyAlignment="1">
      <alignment horizontal="right" vertical="center" wrapText="1"/>
    </xf>
    <xf numFmtId="10" fontId="0" fillId="0" borderId="5" xfId="43" applyNumberFormat="1" applyFont="1" applyBorder="1" applyAlignment="1">
      <alignment vertical="center"/>
    </xf>
    <xf numFmtId="10" fontId="12" fillId="0" borderId="5" xfId="43" applyNumberFormat="1" applyFont="1" applyBorder="1" applyAlignment="1">
      <alignment vertical="center"/>
    </xf>
    <xf numFmtId="0" fontId="59" fillId="0" borderId="0" xfId="0" applyFont="1" applyAlignment="1">
      <alignment vertical="center"/>
    </xf>
    <xf numFmtId="164" fontId="0" fillId="0" borderId="0" xfId="10" applyFont="1" applyAlignment="1">
      <alignment horizontal="right"/>
    </xf>
    <xf numFmtId="2" fontId="50" fillId="51" borderId="5" xfId="0" applyNumberFormat="1" applyFont="1" applyFill="1" applyBorder="1"/>
    <xf numFmtId="0" fontId="12" fillId="30" borderId="5" xfId="0" applyFont="1" applyFill="1" applyBorder="1"/>
    <xf numFmtId="164" fontId="0" fillId="30" borderId="5" xfId="10" applyFont="1" applyFill="1" applyBorder="1"/>
    <xf numFmtId="0" fontId="0" fillId="30" borderId="5" xfId="0" applyFill="1" applyBorder="1"/>
    <xf numFmtId="164" fontId="0" fillId="30" borderId="5" xfId="0" applyNumberFormat="1" applyFill="1" applyBorder="1"/>
    <xf numFmtId="2" fontId="0" fillId="30" borderId="5" xfId="0" applyNumberFormat="1" applyFill="1" applyBorder="1"/>
    <xf numFmtId="0" fontId="14" fillId="0" borderId="0" xfId="62" applyFont="1" applyFill="1" applyAlignment="1">
      <alignment horizontal="left"/>
    </xf>
    <xf numFmtId="0" fontId="67" fillId="0" borderId="100" xfId="62" applyFont="1" applyFill="1" applyBorder="1"/>
    <xf numFmtId="1" fontId="100" fillId="0" borderId="5" xfId="65" applyNumberFormat="1" applyBorder="1"/>
    <xf numFmtId="0" fontId="143" fillId="0" borderId="5" xfId="65" applyFont="1" applyBorder="1"/>
    <xf numFmtId="1" fontId="143" fillId="0" borderId="5" xfId="65" applyNumberFormat="1" applyFont="1" applyBorder="1"/>
    <xf numFmtId="165" fontId="100" fillId="0" borderId="5" xfId="65" applyNumberFormat="1" applyBorder="1"/>
    <xf numFmtId="164" fontId="31" fillId="24" borderId="5" xfId="10" applyFont="1" applyFill="1" applyBorder="1" applyAlignment="1">
      <alignment vertical="center"/>
    </xf>
    <xf numFmtId="2" fontId="24" fillId="0" borderId="24" xfId="60" applyNumberFormat="1" applyFont="1" applyBorder="1"/>
    <xf numFmtId="2" fontId="24" fillId="0" borderId="5" xfId="60" applyNumberFormat="1" applyFont="1" applyBorder="1"/>
    <xf numFmtId="0" fontId="2" fillId="0" borderId="0" xfId="79" applyFont="1"/>
    <xf numFmtId="0" fontId="1" fillId="0" borderId="0" xfId="79" applyFont="1"/>
    <xf numFmtId="167" fontId="28" fillId="0" borderId="5" xfId="62" applyNumberFormat="1" applyFont="1" applyFill="1" applyBorder="1" applyAlignment="1">
      <alignment horizontal="center" vertical="center"/>
    </xf>
    <xf numFmtId="2" fontId="50" fillId="0" borderId="22" xfId="0" applyNumberFormat="1" applyFont="1" applyBorder="1" applyAlignment="1">
      <alignment horizontal="right"/>
    </xf>
    <xf numFmtId="0" fontId="50" fillId="0" borderId="22" xfId="0" applyFont="1" applyBorder="1" applyAlignment="1">
      <alignment horizontal="right"/>
    </xf>
    <xf numFmtId="164" fontId="50" fillId="0" borderId="5" xfId="10" applyFont="1" applyFill="1" applyBorder="1" applyAlignment="1">
      <alignment horizontal="right"/>
    </xf>
    <xf numFmtId="2" fontId="50" fillId="24" borderId="52" xfId="0" applyNumberFormat="1" applyFont="1" applyFill="1" applyBorder="1"/>
    <xf numFmtId="2" fontId="36" fillId="0" borderId="5" xfId="62" applyNumberFormat="1" applyFont="1" applyFill="1" applyBorder="1" applyAlignment="1">
      <alignment horizontal="center" vertical="center" wrapText="1"/>
    </xf>
    <xf numFmtId="165" fontId="24" fillId="46" borderId="5" xfId="62" applyNumberFormat="1" applyFill="1" applyBorder="1" applyAlignment="1">
      <alignment horizontal="center"/>
    </xf>
    <xf numFmtId="1" fontId="39" fillId="0" borderId="0" xfId="62" applyNumberFormat="1" applyFont="1" applyFill="1" applyAlignment="1">
      <alignment horizontal="centerContinuous"/>
    </xf>
    <xf numFmtId="164" fontId="24" fillId="0" borderId="0" xfId="10" applyFont="1" applyFill="1" applyAlignment="1">
      <alignment vertical="center"/>
    </xf>
    <xf numFmtId="2" fontId="199" fillId="0" borderId="5" xfId="62" applyNumberFormat="1" applyFont="1" applyFill="1" applyBorder="1" applyAlignment="1">
      <alignment horizontal="right" vertical="top"/>
    </xf>
    <xf numFmtId="165" fontId="200" fillId="0" borderId="5" xfId="62" applyNumberFormat="1" applyFont="1" applyFill="1" applyBorder="1" applyAlignment="1">
      <alignment horizontal="right" vertical="top"/>
    </xf>
    <xf numFmtId="2" fontId="200" fillId="0" borderId="5" xfId="62" applyNumberFormat="1" applyFont="1" applyFill="1" applyBorder="1" applyAlignment="1">
      <alignment horizontal="right" vertical="top"/>
    </xf>
    <xf numFmtId="2" fontId="201" fillId="0" borderId="5" xfId="62" applyNumberFormat="1" applyFont="1" applyFill="1" applyBorder="1" applyAlignment="1">
      <alignment horizontal="right" vertical="top"/>
    </xf>
    <xf numFmtId="165" fontId="201" fillId="0" borderId="5" xfId="62" applyNumberFormat="1" applyFont="1" applyFill="1" applyBorder="1" applyAlignment="1">
      <alignment horizontal="right" vertical="top"/>
    </xf>
    <xf numFmtId="0" fontId="199" fillId="0" borderId="5" xfId="62" applyFont="1" applyFill="1" applyBorder="1" applyAlignment="1">
      <alignment horizontal="center" vertical="top"/>
    </xf>
    <xf numFmtId="0" fontId="199" fillId="0" borderId="5" xfId="62" applyFont="1" applyFill="1" applyBorder="1" applyAlignment="1">
      <alignment horizontal="left" vertical="top"/>
    </xf>
    <xf numFmtId="0" fontId="0" fillId="0" borderId="5" xfId="0" applyBorder="1" applyAlignment="1">
      <alignment horizontal="center" vertical="center"/>
    </xf>
    <xf numFmtId="175" fontId="14" fillId="24" borderId="5" xfId="10" applyNumberFormat="1" applyFont="1" applyFill="1" applyBorder="1" applyAlignment="1">
      <alignment vertical="center"/>
    </xf>
    <xf numFmtId="164" fontId="24" fillId="24" borderId="5" xfId="10" applyFont="1" applyFill="1" applyBorder="1" applyAlignment="1">
      <alignment vertical="center"/>
    </xf>
    <xf numFmtId="164" fontId="34" fillId="24" borderId="5" xfId="10" applyFont="1" applyFill="1" applyBorder="1" applyAlignment="1">
      <alignment vertical="center"/>
    </xf>
    <xf numFmtId="175" fontId="24" fillId="24" borderId="5" xfId="10" applyNumberFormat="1" applyFont="1" applyFill="1" applyBorder="1" applyAlignment="1">
      <alignment vertical="center"/>
    </xf>
    <xf numFmtId="175" fontId="34" fillId="24" borderId="5" xfId="10" applyNumberFormat="1" applyFont="1" applyFill="1" applyBorder="1" applyAlignment="1">
      <alignment vertical="center"/>
    </xf>
    <xf numFmtId="175" fontId="36" fillId="24" borderId="5" xfId="10" applyNumberFormat="1" applyFont="1" applyFill="1" applyBorder="1" applyAlignment="1">
      <alignment vertical="center"/>
    </xf>
    <xf numFmtId="164" fontId="24" fillId="0" borderId="0" xfId="62" applyNumberFormat="1" applyFill="1" applyAlignment="1">
      <alignment vertical="center"/>
    </xf>
    <xf numFmtId="171" fontId="59" fillId="0" borderId="5" xfId="43" applyNumberFormat="1" applyFont="1" applyFill="1" applyBorder="1" applyAlignment="1">
      <alignment horizontal="center"/>
    </xf>
    <xf numFmtId="164" fontId="13" fillId="0" borderId="5" xfId="0" applyNumberFormat="1" applyFont="1" applyBorder="1" applyAlignment="1">
      <alignment vertical="center"/>
    </xf>
    <xf numFmtId="0" fontId="50" fillId="0" borderId="28" xfId="0" applyFont="1" applyBorder="1" applyAlignment="1">
      <alignment horizontal="center" vertical="center"/>
    </xf>
    <xf numFmtId="1" fontId="0" fillId="0" borderId="5" xfId="0" applyNumberFormat="1" applyBorder="1" applyAlignment="1">
      <alignment vertical="center"/>
    </xf>
    <xf numFmtId="0" fontId="50" fillId="0" borderId="32" xfId="0" applyFont="1" applyBorder="1" applyAlignment="1">
      <alignment horizontal="center" vertical="center"/>
    </xf>
    <xf numFmtId="0" fontId="50" fillId="0" borderId="33" xfId="0" applyFont="1" applyBorder="1" applyAlignment="1">
      <alignment vertical="center"/>
    </xf>
    <xf numFmtId="164" fontId="191" fillId="0" borderId="0" xfId="10" applyFont="1" applyFill="1" applyBorder="1"/>
    <xf numFmtId="164" fontId="191" fillId="0" borderId="0" xfId="0" applyNumberFormat="1" applyFont="1"/>
    <xf numFmtId="0" fontId="190" fillId="0" borderId="0" xfId="0" applyFont="1"/>
    <xf numFmtId="200" fontId="190" fillId="0" borderId="0" xfId="10" applyNumberFormat="1" applyFont="1" applyFill="1" applyBorder="1"/>
    <xf numFmtId="164" fontId="190" fillId="0" borderId="0" xfId="0" applyNumberFormat="1" applyFont="1"/>
    <xf numFmtId="164" fontId="0" fillId="0" borderId="0" xfId="10" applyFont="1" applyAlignment="1">
      <alignment vertical="center"/>
    </xf>
    <xf numFmtId="0" fontId="12" fillId="0" borderId="0" xfId="0" applyFont="1" applyAlignment="1">
      <alignment vertical="center"/>
    </xf>
    <xf numFmtId="165" fontId="35" fillId="24" borderId="5" xfId="62" applyNumberFormat="1" applyFont="1" applyFill="1" applyBorder="1" applyAlignment="1">
      <alignment horizontal="right"/>
    </xf>
    <xf numFmtId="165" fontId="36" fillId="24" borderId="5" xfId="62" applyNumberFormat="1" applyFont="1" applyFill="1" applyBorder="1" applyAlignment="1">
      <alignment horizontal="right"/>
    </xf>
    <xf numFmtId="165" fontId="14" fillId="24" borderId="5" xfId="62" applyNumberFormat="1" applyFont="1" applyFill="1" applyBorder="1" applyAlignment="1">
      <alignment horizontal="right"/>
    </xf>
    <xf numFmtId="0" fontId="21" fillId="0" borderId="0" xfId="62" applyFont="1" applyFill="1" applyAlignment="1">
      <alignment vertical="top"/>
    </xf>
    <xf numFmtId="0" fontId="59" fillId="0" borderId="0" xfId="0" applyFont="1" applyAlignment="1">
      <alignment horizontal="right" vertical="top"/>
    </xf>
    <xf numFmtId="0" fontId="112" fillId="0" borderId="0" xfId="0" applyFont="1" applyAlignment="1">
      <alignment horizontal="center" vertical="top"/>
    </xf>
    <xf numFmtId="0" fontId="113" fillId="0" borderId="0" xfId="0" applyFont="1" applyAlignment="1">
      <alignment vertical="top"/>
    </xf>
    <xf numFmtId="0" fontId="112" fillId="0" borderId="0" xfId="0" applyFont="1" applyAlignment="1">
      <alignment vertical="top"/>
    </xf>
    <xf numFmtId="0" fontId="50" fillId="0" borderId="0" xfId="0" applyFont="1" applyAlignment="1">
      <alignment horizontal="center" vertical="top"/>
    </xf>
    <xf numFmtId="0" fontId="59" fillId="0" borderId="0" xfId="0" applyFont="1" applyAlignment="1">
      <alignment horizontal="center" vertical="top"/>
    </xf>
    <xf numFmtId="0" fontId="113" fillId="0" borderId="5" xfId="0" applyFont="1" applyBorder="1" applyAlignment="1">
      <alignment vertical="top"/>
    </xf>
    <xf numFmtId="0" fontId="113" fillId="0" borderId="24" xfId="0" applyFont="1" applyBorder="1" applyAlignment="1">
      <alignment horizontal="center" vertical="top"/>
    </xf>
    <xf numFmtId="0" fontId="50" fillId="0" borderId="5" xfId="0" applyFont="1" applyBorder="1" applyAlignment="1">
      <alignment horizontal="center" vertical="top"/>
    </xf>
    <xf numFmtId="2" fontId="50" fillId="0" borderId="5" xfId="0" applyNumberFormat="1" applyFont="1" applyBorder="1" applyAlignment="1">
      <alignment horizontal="center" vertical="top"/>
    </xf>
    <xf numFmtId="164" fontId="50" fillId="0" borderId="5" xfId="10" applyFont="1" applyFill="1" applyBorder="1" applyAlignment="1">
      <alignment horizontal="center" vertical="top" wrapText="1"/>
    </xf>
    <xf numFmtId="2" fontId="123" fillId="24" borderId="5" xfId="0" applyNumberFormat="1" applyFont="1" applyFill="1" applyBorder="1" applyAlignment="1">
      <alignment horizontal="center" vertical="top"/>
    </xf>
    <xf numFmtId="2" fontId="50" fillId="0" borderId="5" xfId="0" applyNumberFormat="1" applyFont="1" applyBorder="1" applyAlignment="1">
      <alignment horizontal="center" vertical="top" wrapText="1"/>
    </xf>
    <xf numFmtId="0" fontId="111" fillId="0" borderId="5" xfId="0" applyFont="1" applyBorder="1" applyAlignment="1">
      <alignment horizontal="center" vertical="top"/>
    </xf>
    <xf numFmtId="1" fontId="50" fillId="0" borderId="0" xfId="0" applyNumberFormat="1" applyFont="1" applyAlignment="1">
      <alignment vertical="top"/>
    </xf>
    <xf numFmtId="2" fontId="59" fillId="24" borderId="5" xfId="39" applyNumberFormat="1" applyFont="1" applyFill="1" applyBorder="1" applyAlignment="1" applyProtection="1">
      <alignment wrapText="1"/>
      <protection locked="0"/>
    </xf>
    <xf numFmtId="2" fontId="50" fillId="24" borderId="5" xfId="39" applyNumberFormat="1" applyFont="1" applyFill="1" applyBorder="1" applyAlignment="1" applyProtection="1">
      <alignment wrapText="1"/>
      <protection locked="0"/>
    </xf>
    <xf numFmtId="164" fontId="50" fillId="24" borderId="5" xfId="10" applyFont="1" applyFill="1" applyBorder="1" applyAlignment="1" applyProtection="1">
      <alignment wrapText="1"/>
      <protection locked="0"/>
    </xf>
    <xf numFmtId="2" fontId="50" fillId="24" borderId="5" xfId="10" applyNumberFormat="1" applyFont="1" applyFill="1" applyBorder="1" applyAlignment="1" applyProtection="1">
      <alignment wrapText="1"/>
      <protection locked="0"/>
    </xf>
    <xf numFmtId="0" fontId="59" fillId="18" borderId="0" xfId="39" applyFont="1" applyFill="1" applyProtection="1">
      <protection locked="0"/>
    </xf>
    <xf numFmtId="9" fontId="50" fillId="18" borderId="0" xfId="43" applyFont="1" applyFill="1" applyBorder="1" applyAlignment="1" applyProtection="1">
      <protection locked="0"/>
    </xf>
    <xf numFmtId="2" fontId="13" fillId="0" borderId="5" xfId="42" applyNumberFormat="1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0" fontId="36" fillId="0" borderId="5" xfId="0" applyFont="1" applyBorder="1" applyAlignment="1">
      <alignment horizontal="left" vertical="center"/>
    </xf>
    <xf numFmtId="0" fontId="36" fillId="0" borderId="5" xfId="0" applyFont="1" applyBorder="1" applyAlignment="1">
      <alignment horizontal="center" vertical="center" wrapText="1"/>
    </xf>
    <xf numFmtId="2" fontId="34" fillId="0" borderId="22" xfId="0" applyNumberFormat="1" applyFont="1" applyBorder="1" applyAlignment="1">
      <alignment horizontal="left" vertical="center" wrapText="1"/>
    </xf>
    <xf numFmtId="2" fontId="34" fillId="0" borderId="52" xfId="0" applyNumberFormat="1" applyFont="1" applyBorder="1" applyAlignment="1">
      <alignment horizontal="left" vertical="center" wrapText="1"/>
    </xf>
    <xf numFmtId="2" fontId="34" fillId="0" borderId="51" xfId="0" applyNumberFormat="1" applyFont="1" applyBorder="1" applyAlignment="1">
      <alignment horizontal="left" vertical="center" wrapText="1"/>
    </xf>
    <xf numFmtId="0" fontId="60" fillId="0" borderId="0" xfId="0" applyFont="1" applyAlignment="1">
      <alignment horizontal="left" vertical="center"/>
    </xf>
    <xf numFmtId="0" fontId="60" fillId="0" borderId="24" xfId="0" applyFont="1" applyBorder="1" applyAlignment="1">
      <alignment horizontal="left" vertical="center" wrapText="1"/>
    </xf>
    <xf numFmtId="0" fontId="60" fillId="0" borderId="4" xfId="0" applyFont="1" applyBorder="1" applyAlignment="1">
      <alignment horizontal="left" vertical="center" wrapText="1"/>
    </xf>
    <xf numFmtId="0" fontId="60" fillId="0" borderId="23" xfId="0" applyFont="1" applyBorder="1" applyAlignment="1">
      <alignment horizontal="left" vertical="center" wrapText="1"/>
    </xf>
    <xf numFmtId="0" fontId="172" fillId="0" borderId="110" xfId="0" applyFont="1" applyBorder="1" applyAlignment="1">
      <alignment horizontal="center" vertical="center" wrapText="1" readingOrder="1"/>
    </xf>
    <xf numFmtId="0" fontId="172" fillId="0" borderId="111" xfId="0" applyFont="1" applyBorder="1" applyAlignment="1">
      <alignment horizontal="center" vertical="center" wrapText="1" readingOrder="1"/>
    </xf>
    <xf numFmtId="0" fontId="31" fillId="37" borderId="112" xfId="0" applyFont="1" applyFill="1" applyBorder="1" applyAlignment="1">
      <alignment horizontal="center" vertical="center" wrapText="1"/>
    </xf>
    <xf numFmtId="0" fontId="31" fillId="37" borderId="115" xfId="0" applyFont="1" applyFill="1" applyBorder="1" applyAlignment="1">
      <alignment horizontal="center" vertical="center" wrapText="1"/>
    </xf>
    <xf numFmtId="0" fontId="24" fillId="38" borderId="112" xfId="0" applyFont="1" applyFill="1" applyBorder="1" applyAlignment="1">
      <alignment horizontal="center" vertical="center" wrapText="1"/>
    </xf>
    <xf numFmtId="0" fontId="24" fillId="38" borderId="113" xfId="0" applyFont="1" applyFill="1" applyBorder="1" applyAlignment="1">
      <alignment horizontal="center" vertical="center" wrapText="1"/>
    </xf>
    <xf numFmtId="0" fontId="31" fillId="18" borderId="112" xfId="0" applyFont="1" applyFill="1" applyBorder="1" applyAlignment="1">
      <alignment horizontal="center" vertical="center" wrapText="1"/>
    </xf>
    <xf numFmtId="0" fontId="31" fillId="18" borderId="113" xfId="0" applyFont="1" applyFill="1" applyBorder="1" applyAlignment="1">
      <alignment horizontal="center" vertical="center" wrapText="1"/>
    </xf>
    <xf numFmtId="0" fontId="31" fillId="39" borderId="112" xfId="0" applyFont="1" applyFill="1" applyBorder="1" applyAlignment="1">
      <alignment horizontal="center" vertical="center" wrapText="1"/>
    </xf>
    <xf numFmtId="0" fontId="31" fillId="39" borderId="114" xfId="0" applyFont="1" applyFill="1" applyBorder="1" applyAlignment="1">
      <alignment horizontal="center" vertical="center" wrapText="1"/>
    </xf>
    <xf numFmtId="0" fontId="31" fillId="39" borderId="113" xfId="0" applyFont="1" applyFill="1" applyBorder="1" applyAlignment="1">
      <alignment horizontal="center" vertical="center" wrapText="1"/>
    </xf>
    <xf numFmtId="0" fontId="172" fillId="0" borderId="112" xfId="0" applyFont="1" applyBorder="1" applyAlignment="1">
      <alignment horizontal="center" vertical="center" wrapText="1" readingOrder="1"/>
    </xf>
    <xf numFmtId="0" fontId="172" fillId="0" borderId="114" xfId="0" applyFont="1" applyBorder="1" applyAlignment="1">
      <alignment horizontal="center" vertical="center" wrapText="1" readingOrder="1"/>
    </xf>
    <xf numFmtId="0" fontId="172" fillId="0" borderId="113" xfId="0" applyFont="1" applyBorder="1" applyAlignment="1">
      <alignment horizontal="center" vertical="center" wrapText="1" readingOrder="1"/>
    </xf>
    <xf numFmtId="0" fontId="98" fillId="0" borderId="0" xfId="60" applyFont="1" applyAlignment="1">
      <alignment horizontal="center"/>
    </xf>
    <xf numFmtId="164" fontId="163" fillId="24" borderId="5" xfId="10" applyFont="1" applyFill="1" applyBorder="1" applyAlignment="1">
      <alignment horizontal="center" vertical="center" wrapText="1"/>
    </xf>
    <xf numFmtId="164" fontId="163" fillId="24" borderId="5" xfId="10" applyFont="1" applyFill="1" applyBorder="1" applyAlignment="1">
      <alignment horizontal="center" vertical="center"/>
    </xf>
    <xf numFmtId="164" fontId="163" fillId="24" borderId="5" xfId="10" applyFont="1" applyFill="1" applyBorder="1" applyAlignment="1">
      <alignment horizontal="center" wrapText="1"/>
    </xf>
    <xf numFmtId="0" fontId="86" fillId="7" borderId="36" xfId="60" applyFont="1" applyFill="1" applyBorder="1" applyAlignment="1">
      <alignment horizontal="center"/>
    </xf>
    <xf numFmtId="0" fontId="86" fillId="7" borderId="16" xfId="60" applyFont="1" applyFill="1" applyBorder="1" applyAlignment="1">
      <alignment horizontal="center"/>
    </xf>
    <xf numFmtId="0" fontId="86" fillId="7" borderId="17" xfId="60" applyFont="1" applyFill="1" applyBorder="1" applyAlignment="1">
      <alignment horizontal="center"/>
    </xf>
    <xf numFmtId="0" fontId="99" fillId="7" borderId="37" xfId="60" applyFont="1" applyFill="1" applyBorder="1" applyAlignment="1">
      <alignment horizontal="center" vertical="center"/>
    </xf>
    <xf numFmtId="0" fontId="99" fillId="7" borderId="0" xfId="60" applyFont="1" applyFill="1" applyAlignment="1">
      <alignment horizontal="center" vertical="center"/>
    </xf>
    <xf numFmtId="0" fontId="99" fillId="7" borderId="21" xfId="60" applyFont="1" applyFill="1" applyBorder="1" applyAlignment="1">
      <alignment horizontal="center" vertical="center"/>
    </xf>
    <xf numFmtId="0" fontId="70" fillId="7" borderId="37" xfId="60" applyFont="1" applyFill="1" applyBorder="1" applyAlignment="1">
      <alignment horizontal="center"/>
    </xf>
    <xf numFmtId="0" fontId="70" fillId="7" borderId="0" xfId="60" applyFont="1" applyFill="1" applyAlignment="1">
      <alignment horizontal="center"/>
    </xf>
    <xf numFmtId="0" fontId="64" fillId="0" borderId="21" xfId="60" applyFont="1" applyBorder="1"/>
    <xf numFmtId="0" fontId="15" fillId="7" borderId="79" xfId="60" applyFont="1" applyFill="1" applyBorder="1" applyAlignment="1">
      <alignment horizontal="center" vertical="center"/>
    </xf>
    <xf numFmtId="0" fontId="15" fillId="7" borderId="84" xfId="60" applyFont="1" applyFill="1" applyBorder="1" applyAlignment="1">
      <alignment horizontal="center" vertical="center"/>
    </xf>
    <xf numFmtId="0" fontId="75" fillId="7" borderId="36" xfId="60" applyFont="1" applyFill="1" applyBorder="1" applyAlignment="1">
      <alignment horizontal="center"/>
    </xf>
    <xf numFmtId="0" fontId="75" fillId="7" borderId="16" xfId="60" applyFont="1" applyFill="1" applyBorder="1" applyAlignment="1">
      <alignment horizontal="center"/>
    </xf>
    <xf numFmtId="0" fontId="75" fillId="7" borderId="17" xfId="60" applyFont="1" applyFill="1" applyBorder="1" applyAlignment="1">
      <alignment horizontal="center"/>
    </xf>
    <xf numFmtId="0" fontId="38" fillId="7" borderId="36" xfId="60" applyFont="1" applyFill="1" applyBorder="1" applyAlignment="1">
      <alignment horizontal="center" vertical="center"/>
    </xf>
    <xf numFmtId="0" fontId="38" fillId="7" borderId="16" xfId="60" applyFont="1" applyFill="1" applyBorder="1" applyAlignment="1">
      <alignment horizontal="center" vertical="center"/>
    </xf>
    <xf numFmtId="0" fontId="38" fillId="7" borderId="17" xfId="60" applyFont="1" applyFill="1" applyBorder="1" applyAlignment="1">
      <alignment horizontal="center" vertical="center"/>
    </xf>
    <xf numFmtId="0" fontId="38" fillId="7" borderId="37" xfId="60" applyFont="1" applyFill="1" applyBorder="1" applyAlignment="1">
      <alignment horizontal="center" vertical="center"/>
    </xf>
    <xf numFmtId="0" fontId="38" fillId="7" borderId="0" xfId="60" applyFont="1" applyFill="1" applyAlignment="1">
      <alignment horizontal="center" vertical="center"/>
    </xf>
    <xf numFmtId="0" fontId="38" fillId="7" borderId="21" xfId="60" applyFont="1" applyFill="1" applyBorder="1" applyAlignment="1">
      <alignment horizontal="center" vertical="center"/>
    </xf>
    <xf numFmtId="0" fontId="38" fillId="7" borderId="82" xfId="60" applyFont="1" applyFill="1" applyBorder="1" applyAlignment="1">
      <alignment horizontal="center" vertical="center"/>
    </xf>
    <xf numFmtId="0" fontId="38" fillId="7" borderId="81" xfId="60" applyFont="1" applyFill="1" applyBorder="1" applyAlignment="1">
      <alignment horizontal="center" vertical="center"/>
    </xf>
    <xf numFmtId="0" fontId="38" fillId="7" borderId="83" xfId="60" applyFont="1" applyFill="1" applyBorder="1" applyAlignment="1">
      <alignment horizontal="center" vertical="center"/>
    </xf>
    <xf numFmtId="0" fontId="70" fillId="7" borderId="36" xfId="60" applyFont="1" applyFill="1" applyBorder="1" applyAlignment="1">
      <alignment horizontal="left" vertical="center"/>
    </xf>
    <xf numFmtId="0" fontId="70" fillId="7" borderId="82" xfId="60" applyFont="1" applyFill="1" applyBorder="1" applyAlignment="1">
      <alignment horizontal="left" vertical="center"/>
    </xf>
    <xf numFmtId="0" fontId="86" fillId="7" borderId="0" xfId="60" applyFont="1" applyFill="1" applyAlignment="1">
      <alignment horizontal="center"/>
    </xf>
    <xf numFmtId="0" fontId="70" fillId="7" borderId="79" xfId="60" applyFont="1" applyFill="1" applyBorder="1" applyAlignment="1">
      <alignment horizontal="left" vertical="center"/>
    </xf>
    <xf numFmtId="0" fontId="70" fillId="7" borderId="84" xfId="60" applyFont="1" applyFill="1" applyBorder="1" applyAlignment="1">
      <alignment horizontal="left" vertical="center"/>
    </xf>
    <xf numFmtId="0" fontId="74" fillId="7" borderId="37" xfId="60" applyFont="1" applyFill="1" applyBorder="1" applyAlignment="1">
      <alignment horizontal="center" vertical="center"/>
    </xf>
    <xf numFmtId="0" fontId="74" fillId="7" borderId="0" xfId="60" applyFont="1" applyFill="1" applyAlignment="1">
      <alignment horizontal="center" vertical="center"/>
    </xf>
    <xf numFmtId="0" fontId="74" fillId="7" borderId="21" xfId="60" applyFont="1" applyFill="1" applyBorder="1" applyAlignment="1">
      <alignment horizontal="center" vertical="center"/>
    </xf>
    <xf numFmtId="0" fontId="70" fillId="7" borderId="21" xfId="60" applyFont="1" applyFill="1" applyBorder="1" applyAlignment="1">
      <alignment horizontal="center"/>
    </xf>
    <xf numFmtId="0" fontId="70" fillId="24" borderId="36" xfId="60" applyFont="1" applyFill="1" applyBorder="1" applyAlignment="1">
      <alignment horizontal="left" vertical="center"/>
    </xf>
    <xf numFmtId="0" fontId="70" fillId="24" borderId="16" xfId="60" applyFont="1" applyFill="1" applyBorder="1" applyAlignment="1">
      <alignment horizontal="left" vertical="center"/>
    </xf>
    <xf numFmtId="0" fontId="70" fillId="24" borderId="82" xfId="60" applyFont="1" applyFill="1" applyBorder="1" applyAlignment="1">
      <alignment horizontal="left" vertical="center"/>
    </xf>
    <xf numFmtId="0" fontId="70" fillId="24" borderId="81" xfId="60" applyFont="1" applyFill="1" applyBorder="1" applyAlignment="1">
      <alignment horizontal="left" vertical="center"/>
    </xf>
    <xf numFmtId="0" fontId="70" fillId="24" borderId="17" xfId="60" applyFont="1" applyFill="1" applyBorder="1" applyAlignment="1">
      <alignment horizontal="left" vertical="center"/>
    </xf>
    <xf numFmtId="0" fontId="70" fillId="24" borderId="83" xfId="60" applyFont="1" applyFill="1" applyBorder="1" applyAlignment="1">
      <alignment horizontal="left" vertical="center"/>
    </xf>
    <xf numFmtId="173" fontId="104" fillId="24" borderId="37" xfId="60" applyNumberFormat="1" applyFont="1" applyFill="1" applyBorder="1" applyAlignment="1">
      <alignment horizontal="left" vertical="center" wrapText="1"/>
    </xf>
    <xf numFmtId="173" fontId="104" fillId="24" borderId="21" xfId="60" applyNumberFormat="1" applyFont="1" applyFill="1" applyBorder="1" applyAlignment="1">
      <alignment horizontal="left" vertical="center" wrapText="1"/>
    </xf>
    <xf numFmtId="173" fontId="104" fillId="24" borderId="38" xfId="60" applyNumberFormat="1" applyFont="1" applyFill="1" applyBorder="1" applyAlignment="1">
      <alignment horizontal="left" vertical="center" wrapText="1"/>
    </xf>
    <xf numFmtId="173" fontId="104" fillId="24" borderId="39" xfId="60" applyNumberFormat="1" applyFont="1" applyFill="1" applyBorder="1" applyAlignment="1">
      <alignment horizontal="left" vertical="center" wrapText="1"/>
    </xf>
    <xf numFmtId="0" fontId="86" fillId="24" borderId="36" xfId="60" applyFont="1" applyFill="1" applyBorder="1" applyAlignment="1">
      <alignment horizontal="center"/>
    </xf>
    <xf numFmtId="0" fontId="86" fillId="24" borderId="16" xfId="60" applyFont="1" applyFill="1" applyBorder="1" applyAlignment="1">
      <alignment horizontal="center"/>
    </xf>
    <xf numFmtId="0" fontId="86" fillId="24" borderId="17" xfId="60" applyFont="1" applyFill="1" applyBorder="1" applyAlignment="1">
      <alignment horizontal="center"/>
    </xf>
    <xf numFmtId="0" fontId="74" fillId="24" borderId="37" xfId="60" applyFont="1" applyFill="1" applyBorder="1" applyAlignment="1">
      <alignment horizontal="center" vertical="center"/>
    </xf>
    <xf numFmtId="0" fontId="74" fillId="24" borderId="0" xfId="60" applyFont="1" applyFill="1" applyAlignment="1">
      <alignment horizontal="center" vertical="center"/>
    </xf>
    <xf numFmtId="0" fontId="74" fillId="24" borderId="21" xfId="60" applyFont="1" applyFill="1" applyBorder="1" applyAlignment="1">
      <alignment horizontal="center" vertical="center"/>
    </xf>
    <xf numFmtId="0" fontId="70" fillId="24" borderId="37" xfId="60" applyFont="1" applyFill="1" applyBorder="1" applyAlignment="1">
      <alignment horizontal="center"/>
    </xf>
    <xf numFmtId="0" fontId="70" fillId="24" borderId="0" xfId="60" applyFont="1" applyFill="1" applyAlignment="1">
      <alignment horizontal="center"/>
    </xf>
    <xf numFmtId="0" fontId="70" fillId="24" borderId="21" xfId="60" applyFont="1" applyFill="1" applyBorder="1" applyAlignment="1">
      <alignment horizontal="center"/>
    </xf>
    <xf numFmtId="0" fontId="59" fillId="24" borderId="36" xfId="60" applyFont="1" applyFill="1" applyBorder="1" applyAlignment="1">
      <alignment horizontal="left" vertical="center"/>
    </xf>
    <xf numFmtId="0" fontId="59" fillId="24" borderId="17" xfId="60" applyFont="1" applyFill="1" applyBorder="1" applyAlignment="1">
      <alignment horizontal="left" vertical="center"/>
    </xf>
    <xf numFmtId="0" fontId="59" fillId="24" borderId="82" xfId="60" applyFont="1" applyFill="1" applyBorder="1" applyAlignment="1">
      <alignment horizontal="left" vertical="center"/>
    </xf>
    <xf numFmtId="0" fontId="59" fillId="24" borderId="83" xfId="60" applyFont="1" applyFill="1" applyBorder="1" applyAlignment="1">
      <alignment horizontal="left" vertical="center"/>
    </xf>
    <xf numFmtId="0" fontId="82" fillId="24" borderId="79" xfId="60" applyFont="1" applyFill="1" applyBorder="1" applyAlignment="1">
      <alignment horizontal="left" vertical="center" wrapText="1"/>
    </xf>
    <xf numFmtId="0" fontId="82" fillId="24" borderId="38" xfId="60" applyFont="1" applyFill="1" applyBorder="1" applyAlignment="1">
      <alignment horizontal="left" vertical="center" wrapText="1"/>
    </xf>
    <xf numFmtId="0" fontId="82" fillId="24" borderId="36" xfId="60" applyFont="1" applyFill="1" applyBorder="1" applyAlignment="1">
      <alignment horizontal="center" vertical="center" wrapText="1"/>
    </xf>
    <xf numFmtId="0" fontId="82" fillId="24" borderId="16" xfId="60" applyFont="1" applyFill="1" applyBorder="1" applyAlignment="1">
      <alignment horizontal="center" vertical="center" wrapText="1"/>
    </xf>
    <xf numFmtId="0" fontId="82" fillId="24" borderId="17" xfId="60" applyFont="1" applyFill="1" applyBorder="1" applyAlignment="1">
      <alignment horizontal="center" vertical="center" wrapText="1"/>
    </xf>
    <xf numFmtId="164" fontId="82" fillId="24" borderId="36" xfId="81" applyFont="1" applyFill="1" applyBorder="1" applyAlignment="1">
      <alignment horizontal="center"/>
    </xf>
    <xf numFmtId="164" fontId="82" fillId="24" borderId="16" xfId="81" applyFont="1" applyFill="1" applyBorder="1" applyAlignment="1">
      <alignment horizontal="center"/>
    </xf>
    <xf numFmtId="164" fontId="82" fillId="24" borderId="17" xfId="81" applyFont="1" applyFill="1" applyBorder="1" applyAlignment="1">
      <alignment horizontal="center"/>
    </xf>
    <xf numFmtId="164" fontId="82" fillId="24" borderId="65" xfId="81" applyFont="1" applyFill="1" applyBorder="1" applyAlignment="1">
      <alignment horizontal="center"/>
    </xf>
    <xf numFmtId="164" fontId="82" fillId="24" borderId="89" xfId="81" applyFont="1" applyFill="1" applyBorder="1" applyAlignment="1">
      <alignment horizontal="center"/>
    </xf>
    <xf numFmtId="0" fontId="75" fillId="24" borderId="36" xfId="60" applyFont="1" applyFill="1" applyBorder="1" applyAlignment="1">
      <alignment horizontal="center"/>
    </xf>
    <xf numFmtId="0" fontId="75" fillId="24" borderId="16" xfId="60" applyFont="1" applyFill="1" applyBorder="1" applyAlignment="1">
      <alignment horizontal="center"/>
    </xf>
    <xf numFmtId="0" fontId="75" fillId="24" borderId="17" xfId="60" applyFont="1" applyFill="1" applyBorder="1" applyAlignment="1">
      <alignment horizontal="center"/>
    </xf>
    <xf numFmtId="173" fontId="90" fillId="24" borderId="0" xfId="81" applyNumberFormat="1" applyFont="1" applyFill="1" applyBorder="1" applyAlignment="1">
      <alignment horizontal="center"/>
    </xf>
    <xf numFmtId="0" fontId="12" fillId="24" borderId="21" xfId="60" applyFill="1" applyBorder="1"/>
    <xf numFmtId="0" fontId="82" fillId="24" borderId="79" xfId="60" applyFont="1" applyFill="1" applyBorder="1" applyAlignment="1">
      <alignment horizontal="center" vertical="center" wrapText="1"/>
    </xf>
    <xf numFmtId="0" fontId="82" fillId="24" borderId="38" xfId="60" applyFont="1" applyFill="1" applyBorder="1" applyAlignment="1">
      <alignment horizontal="center" vertical="center" wrapText="1"/>
    </xf>
    <xf numFmtId="0" fontId="70" fillId="24" borderId="38" xfId="60" applyFont="1" applyFill="1" applyBorder="1" applyAlignment="1">
      <alignment horizontal="center" vertical="center"/>
    </xf>
    <xf numFmtId="0" fontId="70" fillId="24" borderId="20" xfId="60" applyFont="1" applyFill="1" applyBorder="1" applyAlignment="1">
      <alignment horizontal="center" vertical="center"/>
    </xf>
    <xf numFmtId="0" fontId="70" fillId="24" borderId="39" xfId="60" applyFont="1" applyFill="1" applyBorder="1" applyAlignment="1">
      <alignment horizontal="center" vertical="center"/>
    </xf>
    <xf numFmtId="0" fontId="80" fillId="24" borderId="79" xfId="60" applyFont="1" applyFill="1" applyBorder="1" applyAlignment="1">
      <alignment horizontal="left" vertical="center"/>
    </xf>
    <xf numFmtId="0" fontId="80" fillId="24" borderId="84" xfId="60" applyFont="1" applyFill="1" applyBorder="1" applyAlignment="1">
      <alignment horizontal="left" vertical="center"/>
    </xf>
    <xf numFmtId="173" fontId="82" fillId="24" borderId="36" xfId="81" applyNumberFormat="1" applyFont="1" applyFill="1" applyBorder="1" applyAlignment="1">
      <alignment horizontal="center"/>
    </xf>
    <xf numFmtId="173" fontId="82" fillId="24" borderId="17" xfId="81" applyNumberFormat="1" applyFont="1" applyFill="1" applyBorder="1" applyAlignment="1">
      <alignment horizontal="center"/>
    </xf>
    <xf numFmtId="173" fontId="77" fillId="24" borderId="36" xfId="81" applyNumberFormat="1" applyFont="1" applyFill="1" applyBorder="1" applyAlignment="1">
      <alignment horizontal="center"/>
    </xf>
    <xf numFmtId="173" fontId="77" fillId="24" borderId="17" xfId="81" applyNumberFormat="1" applyFont="1" applyFill="1" applyBorder="1" applyAlignment="1">
      <alignment horizontal="center"/>
    </xf>
    <xf numFmtId="0" fontId="106" fillId="24" borderId="0" xfId="60" applyFont="1" applyFill="1" applyAlignment="1">
      <alignment horizontal="justify" vertical="center" wrapText="1"/>
    </xf>
    <xf numFmtId="0" fontId="70" fillId="24" borderId="38" xfId="60" applyFont="1" applyFill="1" applyBorder="1" applyAlignment="1">
      <alignment horizontal="center"/>
    </xf>
    <xf numFmtId="0" fontId="70" fillId="24" borderId="20" xfId="60" applyFont="1" applyFill="1" applyBorder="1" applyAlignment="1">
      <alignment horizontal="center"/>
    </xf>
    <xf numFmtId="0" fontId="70" fillId="24" borderId="39" xfId="60" applyFont="1" applyFill="1" applyBorder="1" applyAlignment="1">
      <alignment horizontal="center"/>
    </xf>
    <xf numFmtId="0" fontId="70" fillId="24" borderId="37" xfId="60" applyFont="1" applyFill="1" applyBorder="1" applyAlignment="1">
      <alignment horizontal="left" vertical="center"/>
    </xf>
    <xf numFmtId="0" fontId="70" fillId="24" borderId="0" xfId="60" applyFont="1" applyFill="1" applyAlignment="1">
      <alignment horizontal="left" vertical="center"/>
    </xf>
    <xf numFmtId="173" fontId="109" fillId="24" borderId="65" xfId="81" applyNumberFormat="1" applyFont="1" applyFill="1" applyBorder="1" applyAlignment="1">
      <alignment horizontal="center" vertical="center"/>
    </xf>
    <xf numFmtId="173" fontId="109" fillId="24" borderId="89" xfId="81" applyNumberFormat="1" applyFont="1" applyFill="1" applyBorder="1" applyAlignment="1">
      <alignment horizontal="center" vertical="center"/>
    </xf>
    <xf numFmtId="173" fontId="92" fillId="24" borderId="65" xfId="81" applyNumberFormat="1" applyFont="1" applyFill="1" applyBorder="1" applyAlignment="1">
      <alignment horizontal="center" vertical="center"/>
    </xf>
    <xf numFmtId="173" fontId="92" fillId="24" borderId="89" xfId="81" applyNumberFormat="1" applyFont="1" applyFill="1" applyBorder="1" applyAlignment="1">
      <alignment horizontal="center" vertical="center"/>
    </xf>
    <xf numFmtId="0" fontId="70" fillId="24" borderId="21" xfId="60" applyFont="1" applyFill="1" applyBorder="1" applyAlignment="1">
      <alignment horizontal="left" vertical="center"/>
    </xf>
    <xf numFmtId="0" fontId="0" fillId="46" borderId="22" xfId="0" applyFill="1" applyBorder="1" applyAlignment="1">
      <alignment horizontal="left" vertical="center"/>
    </xf>
    <xf numFmtId="0" fontId="0" fillId="46" borderId="52" xfId="0" applyFill="1" applyBorder="1" applyAlignment="1">
      <alignment horizontal="left" vertical="center"/>
    </xf>
    <xf numFmtId="0" fontId="0" fillId="46" borderId="51" xfId="0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48" borderId="22" xfId="0" applyFill="1" applyBorder="1" applyAlignment="1">
      <alignment horizontal="left" vertical="center"/>
    </xf>
    <xf numFmtId="0" fontId="0" fillId="48" borderId="52" xfId="0" applyFill="1" applyBorder="1" applyAlignment="1">
      <alignment horizontal="left" vertical="center"/>
    </xf>
    <xf numFmtId="0" fontId="0" fillId="48" borderId="51" xfId="0" applyFill="1" applyBorder="1" applyAlignment="1">
      <alignment horizontal="left" vertical="center"/>
    </xf>
    <xf numFmtId="0" fontId="0" fillId="45" borderId="22" xfId="0" applyFill="1" applyBorder="1" applyAlignment="1">
      <alignment horizontal="left" vertical="center"/>
    </xf>
    <xf numFmtId="0" fontId="0" fillId="45" borderId="52" xfId="0" applyFill="1" applyBorder="1" applyAlignment="1">
      <alignment horizontal="left" vertical="center"/>
    </xf>
    <xf numFmtId="0" fontId="0" fillId="45" borderId="51" xfId="0" applyFill="1" applyBorder="1" applyAlignment="1">
      <alignment horizontal="left" vertical="center"/>
    </xf>
    <xf numFmtId="0" fontId="0" fillId="33" borderId="22" xfId="0" applyFill="1" applyBorder="1" applyAlignment="1">
      <alignment horizontal="left" vertical="center"/>
    </xf>
    <xf numFmtId="0" fontId="0" fillId="33" borderId="52" xfId="0" applyFill="1" applyBorder="1" applyAlignment="1">
      <alignment horizontal="left" vertical="center"/>
    </xf>
    <xf numFmtId="0" fontId="0" fillId="33" borderId="51" xfId="0" applyFill="1" applyBorder="1" applyAlignment="1">
      <alignment horizontal="left" vertical="center"/>
    </xf>
    <xf numFmtId="0" fontId="0" fillId="47" borderId="22" xfId="0" applyFill="1" applyBorder="1" applyAlignment="1">
      <alignment horizontal="left" vertical="center"/>
    </xf>
    <xf numFmtId="0" fontId="0" fillId="47" borderId="52" xfId="0" applyFill="1" applyBorder="1" applyAlignment="1">
      <alignment horizontal="left" vertical="center"/>
    </xf>
    <xf numFmtId="0" fontId="0" fillId="47" borderId="51" xfId="0" applyFill="1" applyBorder="1" applyAlignment="1">
      <alignment horizontal="left" vertical="center"/>
    </xf>
    <xf numFmtId="0" fontId="0" fillId="34" borderId="22" xfId="0" applyFill="1" applyBorder="1" applyAlignment="1">
      <alignment horizontal="left" vertical="center"/>
    </xf>
    <xf numFmtId="0" fontId="0" fillId="34" borderId="52" xfId="0" applyFill="1" applyBorder="1" applyAlignment="1">
      <alignment horizontal="left" vertical="center"/>
    </xf>
    <xf numFmtId="0" fontId="0" fillId="34" borderId="51" xfId="0" applyFill="1" applyBorder="1" applyAlignment="1">
      <alignment horizontal="left" vertical="center"/>
    </xf>
    <xf numFmtId="0" fontId="130" fillId="0" borderId="5" xfId="82" applyFont="1" applyBorder="1" applyAlignment="1">
      <alignment horizontal="center"/>
    </xf>
    <xf numFmtId="0" fontId="130" fillId="0" borderId="12" xfId="82" applyFont="1" applyBorder="1" applyAlignment="1">
      <alignment horizontal="center"/>
    </xf>
    <xf numFmtId="164" fontId="188" fillId="0" borderId="5" xfId="10" applyFont="1" applyBorder="1" applyAlignment="1">
      <alignment horizontal="center" vertical="center" wrapText="1"/>
    </xf>
    <xf numFmtId="164" fontId="188" fillId="0" borderId="22" xfId="10" applyFont="1" applyBorder="1" applyAlignment="1">
      <alignment horizontal="center" vertical="center" wrapText="1"/>
    </xf>
    <xf numFmtId="164" fontId="188" fillId="0" borderId="52" xfId="10" applyFont="1" applyBorder="1" applyAlignment="1">
      <alignment horizontal="center" vertical="center" wrapText="1"/>
    </xf>
    <xf numFmtId="164" fontId="188" fillId="0" borderId="51" xfId="1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0" fillId="26" borderId="22" xfId="0" applyFill="1" applyBorder="1" applyAlignment="1">
      <alignment horizontal="center"/>
    </xf>
    <xf numFmtId="0" fontId="0" fillId="26" borderId="51" xfId="0" applyFill="1" applyBorder="1" applyAlignment="1">
      <alignment horizontal="center"/>
    </xf>
    <xf numFmtId="0" fontId="13" fillId="26" borderId="22" xfId="0" applyFont="1" applyFill="1" applyBorder="1" applyAlignment="1">
      <alignment horizontal="center"/>
    </xf>
    <xf numFmtId="0" fontId="13" fillId="26" borderId="51" xfId="0" applyFont="1" applyFill="1" applyBorder="1" applyAlignment="1">
      <alignment horizontal="center"/>
    </xf>
    <xf numFmtId="0" fontId="0" fillId="26" borderId="5" xfId="0" applyFill="1" applyBorder="1" applyAlignment="1">
      <alignment horizontal="center" wrapText="1"/>
    </xf>
    <xf numFmtId="0" fontId="0" fillId="26" borderId="5" xfId="0" applyFill="1" applyBorder="1" applyAlignment="1">
      <alignment horizontal="center"/>
    </xf>
    <xf numFmtId="0" fontId="113" fillId="0" borderId="51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5" fillId="0" borderId="5" xfId="0" applyFont="1" applyBorder="1" applyAlignment="1">
      <alignment horizontal="center"/>
    </xf>
    <xf numFmtId="0" fontId="113" fillId="0" borderId="5" xfId="0" applyFont="1" applyBorder="1" applyAlignment="1">
      <alignment horizontal="center"/>
    </xf>
    <xf numFmtId="0" fontId="50" fillId="0" borderId="24" xfId="0" applyFont="1" applyBorder="1" applyAlignment="1">
      <alignment horizontal="left" wrapText="1"/>
    </xf>
    <xf numFmtId="0" fontId="50" fillId="0" borderId="4" xfId="0" applyFont="1" applyBorder="1" applyAlignment="1">
      <alignment horizontal="left" wrapText="1"/>
    </xf>
    <xf numFmtId="0" fontId="50" fillId="0" borderId="23" xfId="0" applyFont="1" applyBorder="1" applyAlignment="1">
      <alignment horizontal="left" wrapText="1"/>
    </xf>
    <xf numFmtId="0" fontId="59" fillId="0" borderId="5" xfId="0" applyFont="1" applyBorder="1" applyAlignment="1">
      <alignment horizontal="center"/>
    </xf>
    <xf numFmtId="0" fontId="50" fillId="0" borderId="65" xfId="0" applyFont="1" applyBorder="1" applyAlignment="1">
      <alignment horizontal="center"/>
    </xf>
    <xf numFmtId="0" fontId="50" fillId="0" borderId="3" xfId="0" applyFont="1" applyBorder="1" applyAlignment="1">
      <alignment horizontal="center"/>
    </xf>
    <xf numFmtId="0" fontId="50" fillId="0" borderId="94" xfId="0" applyFont="1" applyBorder="1" applyAlignment="1">
      <alignment horizontal="center"/>
    </xf>
    <xf numFmtId="0" fontId="59" fillId="0" borderId="24" xfId="0" applyFont="1" applyBorder="1" applyAlignment="1">
      <alignment horizontal="left"/>
    </xf>
    <xf numFmtId="0" fontId="59" fillId="0" borderId="4" xfId="0" applyFont="1" applyBorder="1" applyAlignment="1">
      <alignment horizontal="left"/>
    </xf>
    <xf numFmtId="0" fontId="59" fillId="0" borderId="23" xfId="0" applyFont="1" applyBorder="1" applyAlignment="1">
      <alignment horizontal="left"/>
    </xf>
    <xf numFmtId="0" fontId="59" fillId="0" borderId="65" xfId="0" applyFont="1" applyBorder="1" applyAlignment="1">
      <alignment horizontal="center"/>
    </xf>
    <xf numFmtId="0" fontId="59" fillId="0" borderId="3" xfId="0" applyFont="1" applyBorder="1" applyAlignment="1">
      <alignment horizontal="center"/>
    </xf>
    <xf numFmtId="0" fontId="59" fillId="0" borderId="94" xfId="0" applyFont="1" applyBorder="1" applyAlignment="1">
      <alignment horizontal="center"/>
    </xf>
    <xf numFmtId="0" fontId="50" fillId="0" borderId="65" xfId="0" applyFont="1" applyBorder="1" applyAlignment="1">
      <alignment horizontal="center" wrapText="1"/>
    </xf>
    <xf numFmtId="0" fontId="50" fillId="0" borderId="3" xfId="0" applyFont="1" applyBorder="1" applyAlignment="1">
      <alignment horizontal="center" wrapText="1"/>
    </xf>
    <xf numFmtId="0" fontId="50" fillId="0" borderId="94" xfId="0" applyFont="1" applyBorder="1" applyAlignment="1">
      <alignment horizontal="center" wrapText="1"/>
    </xf>
    <xf numFmtId="0" fontId="50" fillId="0" borderId="5" xfId="0" applyFont="1" applyBorder="1" applyAlignment="1">
      <alignment horizontal="center"/>
    </xf>
    <xf numFmtId="0" fontId="50" fillId="0" borderId="24" xfId="0" applyFont="1" applyBorder="1" applyAlignment="1">
      <alignment horizontal="left"/>
    </xf>
    <xf numFmtId="0" fontId="50" fillId="0" borderId="4" xfId="0" applyFont="1" applyBorder="1" applyAlignment="1">
      <alignment horizontal="left"/>
    </xf>
    <xf numFmtId="0" fontId="50" fillId="0" borderId="23" xfId="0" applyFont="1" applyBorder="1" applyAlignment="1">
      <alignment horizontal="left"/>
    </xf>
    <xf numFmtId="0" fontId="59" fillId="0" borderId="92" xfId="0" applyFont="1" applyBorder="1" applyAlignment="1">
      <alignment horizontal="center"/>
    </xf>
    <xf numFmtId="0" fontId="59" fillId="0" borderId="54" xfId="0" applyFont="1" applyBorder="1" applyAlignment="1">
      <alignment horizontal="center"/>
    </xf>
    <xf numFmtId="0" fontId="59" fillId="0" borderId="49" xfId="0" applyFont="1" applyBorder="1" applyAlignment="1">
      <alignment horizontal="center"/>
    </xf>
    <xf numFmtId="0" fontId="50" fillId="0" borderId="40" xfId="0" applyFont="1" applyBorder="1" applyAlignment="1">
      <alignment horizontal="left" wrapText="1"/>
    </xf>
    <xf numFmtId="0" fontId="50" fillId="0" borderId="66" xfId="0" applyFont="1" applyBorder="1" applyAlignment="1">
      <alignment horizontal="left" wrapText="1"/>
    </xf>
    <xf numFmtId="0" fontId="50" fillId="0" borderId="44" xfId="0" applyFont="1" applyBorder="1" applyAlignment="1">
      <alignment horizontal="left" wrapText="1"/>
    </xf>
    <xf numFmtId="0" fontId="50" fillId="0" borderId="72" xfId="0" applyFont="1" applyBorder="1" applyAlignment="1">
      <alignment horizontal="left"/>
    </xf>
    <xf numFmtId="2" fontId="113" fillId="0" borderId="40" xfId="0" applyNumberFormat="1" applyFont="1" applyBorder="1" applyAlignment="1">
      <alignment horizontal="center"/>
    </xf>
    <xf numFmtId="2" fontId="113" fillId="0" borderId="44" xfId="0" applyNumberFormat="1" applyFont="1" applyBorder="1" applyAlignment="1">
      <alignment horizontal="center"/>
    </xf>
    <xf numFmtId="2" fontId="113" fillId="0" borderId="45" xfId="0" applyNumberFormat="1" applyFont="1" applyBorder="1" applyAlignment="1">
      <alignment horizontal="center"/>
    </xf>
    <xf numFmtId="0" fontId="113" fillId="0" borderId="66" xfId="0" applyFont="1" applyBorder="1" applyAlignment="1">
      <alignment horizontal="center"/>
    </xf>
    <xf numFmtId="0" fontId="113" fillId="0" borderId="44" xfId="0" applyFont="1" applyBorder="1" applyAlignment="1">
      <alignment horizontal="center"/>
    </xf>
    <xf numFmtId="0" fontId="113" fillId="0" borderId="63" xfId="0" applyFont="1" applyBorder="1" applyAlignment="1">
      <alignment horizontal="center"/>
    </xf>
    <xf numFmtId="0" fontId="113" fillId="0" borderId="40" xfId="0" applyFont="1" applyBorder="1" applyAlignment="1">
      <alignment horizontal="center"/>
    </xf>
    <xf numFmtId="0" fontId="113" fillId="0" borderId="45" xfId="0" applyFont="1" applyBorder="1" applyAlignment="1">
      <alignment horizontal="center"/>
    </xf>
    <xf numFmtId="0" fontId="50" fillId="0" borderId="38" xfId="0" applyFont="1" applyBorder="1" applyAlignment="1">
      <alignment horizontal="center"/>
    </xf>
    <xf numFmtId="0" fontId="50" fillId="0" borderId="20" xfId="0" applyFont="1" applyBorder="1" applyAlignment="1">
      <alignment horizontal="center"/>
    </xf>
    <xf numFmtId="0" fontId="50" fillId="0" borderId="93" xfId="0" applyFont="1" applyBorder="1" applyAlignment="1">
      <alignment horizontal="center"/>
    </xf>
    <xf numFmtId="2" fontId="113" fillId="0" borderId="5" xfId="0" applyNumberFormat="1" applyFont="1" applyBorder="1" applyAlignment="1">
      <alignment horizontal="center"/>
    </xf>
    <xf numFmtId="0" fontId="50" fillId="0" borderId="47" xfId="0" applyFont="1" applyBorder="1" applyAlignment="1">
      <alignment horizontal="center"/>
    </xf>
    <xf numFmtId="0" fontId="50" fillId="0" borderId="67" xfId="0" applyFont="1" applyBorder="1" applyAlignment="1">
      <alignment horizontal="center"/>
    </xf>
    <xf numFmtId="0" fontId="59" fillId="0" borderId="28" xfId="0" applyFont="1" applyBorder="1" applyAlignment="1">
      <alignment horizontal="center"/>
    </xf>
    <xf numFmtId="0" fontId="59" fillId="0" borderId="23" xfId="0" applyFont="1" applyBorder="1" applyAlignment="1">
      <alignment horizontal="center"/>
    </xf>
    <xf numFmtId="2" fontId="59" fillId="24" borderId="5" xfId="0" applyNumberFormat="1" applyFont="1" applyFill="1" applyBorder="1" applyAlignment="1">
      <alignment horizontal="center"/>
    </xf>
    <xf numFmtId="0" fontId="113" fillId="24" borderId="12" xfId="0" applyFont="1" applyFill="1" applyBorder="1" applyAlignment="1">
      <alignment horizontal="center"/>
    </xf>
    <xf numFmtId="0" fontId="59" fillId="0" borderId="12" xfId="0" applyFont="1" applyBorder="1" applyAlignment="1">
      <alignment horizontal="center"/>
    </xf>
    <xf numFmtId="0" fontId="50" fillId="0" borderId="0" xfId="0" applyFont="1"/>
    <xf numFmtId="0" fontId="113" fillId="0" borderId="22" xfId="0" applyFont="1" applyBorder="1" applyAlignment="1">
      <alignment horizontal="center" vertical="top" wrapText="1"/>
    </xf>
    <xf numFmtId="0" fontId="59" fillId="0" borderId="103" xfId="0" applyFont="1" applyBorder="1" applyAlignment="1">
      <alignment horizontal="center" wrapText="1"/>
    </xf>
    <xf numFmtId="0" fontId="59" fillId="0" borderId="74" xfId="0" applyFont="1" applyBorder="1" applyAlignment="1">
      <alignment horizontal="center" wrapText="1"/>
    </xf>
    <xf numFmtId="0" fontId="59" fillId="0" borderId="17" xfId="0" applyFont="1" applyBorder="1" applyAlignment="1">
      <alignment horizontal="center" wrapText="1"/>
    </xf>
    <xf numFmtId="0" fontId="50" fillId="24" borderId="0" xfId="0" applyFont="1" applyFill="1"/>
    <xf numFmtId="0" fontId="59" fillId="24" borderId="24" xfId="0" applyFont="1" applyFill="1" applyBorder="1" applyAlignment="1">
      <alignment horizontal="center"/>
    </xf>
    <xf numFmtId="0" fontId="59" fillId="24" borderId="4" xfId="0" applyFont="1" applyFill="1" applyBorder="1" applyAlignment="1">
      <alignment horizontal="center"/>
    </xf>
    <xf numFmtId="0" fontId="59" fillId="24" borderId="23" xfId="0" applyFont="1" applyFill="1" applyBorder="1" applyAlignment="1">
      <alignment horizontal="center"/>
    </xf>
    <xf numFmtId="0" fontId="112" fillId="24" borderId="0" xfId="0" applyFont="1" applyFill="1" applyAlignment="1">
      <alignment horizontal="center" vertical="top" wrapText="1"/>
    </xf>
    <xf numFmtId="0" fontId="59" fillId="24" borderId="0" xfId="0" applyFont="1" applyFill="1" applyAlignment="1">
      <alignment horizontal="center"/>
    </xf>
    <xf numFmtId="0" fontId="59" fillId="0" borderId="0" xfId="39" applyFont="1" applyAlignment="1" applyProtection="1">
      <alignment horizontal="center" wrapText="1"/>
      <protection locked="0"/>
    </xf>
    <xf numFmtId="0" fontId="59" fillId="0" borderId="5" xfId="39" applyFont="1" applyBorder="1" applyAlignment="1" applyProtection="1">
      <alignment horizontal="center" wrapText="1"/>
      <protection locked="0"/>
    </xf>
    <xf numFmtId="0" fontId="59" fillId="0" borderId="5" xfId="39" applyFont="1" applyBorder="1" applyAlignment="1" applyProtection="1">
      <alignment horizontal="center" vertical="center" wrapText="1"/>
      <protection locked="0"/>
    </xf>
    <xf numFmtId="0" fontId="50" fillId="0" borderId="5" xfId="0" applyFont="1" applyBorder="1" applyAlignment="1">
      <alignment wrapText="1"/>
    </xf>
    <xf numFmtId="0" fontId="113" fillId="0" borderId="0" xfId="0" applyFont="1" applyAlignment="1">
      <alignment horizontal="center"/>
    </xf>
    <xf numFmtId="0" fontId="59" fillId="0" borderId="5" xfId="0" applyFont="1" applyBorder="1"/>
    <xf numFmtId="0" fontId="113" fillId="0" borderId="0" xfId="0" applyFont="1" applyAlignment="1">
      <alignment horizontal="center" vertical="top"/>
    </xf>
    <xf numFmtId="0" fontId="21" fillId="0" borderId="0" xfId="62" applyFont="1" applyFill="1" applyAlignment="1">
      <alignment horizontal="center" vertical="center"/>
    </xf>
    <xf numFmtId="0" fontId="13" fillId="0" borderId="2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64" fillId="0" borderId="0" xfId="0" applyFont="1" applyAlignment="1">
      <alignment horizontal="center"/>
    </xf>
    <xf numFmtId="0" fontId="64" fillId="0" borderId="0" xfId="0" applyFont="1"/>
    <xf numFmtId="0" fontId="70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59" fillId="0" borderId="0" xfId="0" applyFont="1"/>
    <xf numFmtId="0" fontId="131" fillId="0" borderId="0" xfId="0" applyFont="1"/>
    <xf numFmtId="0" fontId="131" fillId="0" borderId="5" xfId="0" applyFont="1" applyBorder="1" applyAlignment="1">
      <alignment horizontal="center" vertical="center"/>
    </xf>
    <xf numFmtId="0" fontId="131" fillId="0" borderId="5" xfId="0" applyFont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50" fillId="0" borderId="5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50" fillId="0" borderId="22" xfId="0" applyFont="1" applyBorder="1" applyAlignment="1">
      <alignment horizontal="center" vertical="center"/>
    </xf>
    <xf numFmtId="0" fontId="50" fillId="0" borderId="52" xfId="0" applyFont="1" applyBorder="1" applyAlignment="1">
      <alignment horizontal="center" vertical="center"/>
    </xf>
    <xf numFmtId="0" fontId="50" fillId="0" borderId="51" xfId="0" applyFont="1" applyBorder="1" applyAlignment="1">
      <alignment horizontal="center" vertical="center"/>
    </xf>
    <xf numFmtId="0" fontId="131" fillId="0" borderId="0" xfId="0" applyFont="1" applyAlignment="1">
      <alignment horizontal="center" vertical="center" wrapText="1"/>
    </xf>
    <xf numFmtId="0" fontId="131" fillId="0" borderId="0" xfId="0" applyFont="1" applyAlignment="1">
      <alignment horizontal="center" vertical="center"/>
    </xf>
    <xf numFmtId="0" fontId="50" fillId="0" borderId="22" xfId="0" applyFont="1" applyBorder="1" applyAlignment="1">
      <alignment horizontal="center"/>
    </xf>
    <xf numFmtId="0" fontId="50" fillId="0" borderId="51" xfId="0" applyFont="1" applyBorder="1" applyAlignment="1">
      <alignment horizontal="center"/>
    </xf>
    <xf numFmtId="175" fontId="50" fillId="0" borderId="24" xfId="0" applyNumberFormat="1" applyFont="1" applyBorder="1" applyAlignment="1">
      <alignment horizontal="center"/>
    </xf>
    <xf numFmtId="175" fontId="50" fillId="0" borderId="4" xfId="0" applyNumberFormat="1" applyFont="1" applyBorder="1" applyAlignment="1">
      <alignment horizontal="center"/>
    </xf>
    <xf numFmtId="175" fontId="50" fillId="0" borderId="41" xfId="0" applyNumberFormat="1" applyFont="1" applyBorder="1" applyAlignment="1">
      <alignment horizontal="center"/>
    </xf>
    <xf numFmtId="0" fontId="50" fillId="0" borderId="24" xfId="0" applyFont="1" applyBorder="1" applyAlignment="1">
      <alignment horizontal="center"/>
    </xf>
    <xf numFmtId="0" fontId="50" fillId="0" borderId="23" xfId="0" applyFont="1" applyBorder="1" applyAlignment="1">
      <alignment horizontal="center"/>
    </xf>
    <xf numFmtId="0" fontId="50" fillId="0" borderId="16" xfId="0" applyFont="1" applyBorder="1"/>
    <xf numFmtId="0" fontId="50" fillId="0" borderId="5" xfId="0" applyFont="1" applyBorder="1"/>
    <xf numFmtId="0" fontId="50" fillId="0" borderId="63" xfId="0" applyFont="1" applyBorder="1" applyAlignment="1">
      <alignment horizontal="center"/>
    </xf>
    <xf numFmtId="0" fontId="50" fillId="0" borderId="64" xfId="0" applyFont="1" applyBorder="1" applyAlignment="1">
      <alignment horizontal="center"/>
    </xf>
    <xf numFmtId="0" fontId="50" fillId="0" borderId="69" xfId="0" applyFont="1" applyBorder="1" applyAlignment="1">
      <alignment horizontal="center"/>
    </xf>
    <xf numFmtId="0" fontId="59" fillId="0" borderId="44" xfId="0" applyFont="1" applyBorder="1" applyAlignment="1">
      <alignment horizontal="center" vertical="center"/>
    </xf>
    <xf numFmtId="0" fontId="50" fillId="0" borderId="40" xfId="0" applyFont="1" applyBorder="1"/>
    <xf numFmtId="0" fontId="50" fillId="0" borderId="28" xfId="0" applyFont="1" applyBorder="1"/>
    <xf numFmtId="0" fontId="59" fillId="0" borderId="45" xfId="0" applyFont="1" applyBorder="1" applyAlignment="1">
      <alignment horizontal="center" vertical="center"/>
    </xf>
    <xf numFmtId="0" fontId="50" fillId="0" borderId="77" xfId="0" applyFont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0" fillId="0" borderId="52" xfId="0" applyFont="1" applyBorder="1" applyAlignment="1">
      <alignment horizontal="center"/>
    </xf>
    <xf numFmtId="0" fontId="59" fillId="0" borderId="24" xfId="0" applyFont="1" applyBorder="1" applyAlignment="1">
      <alignment horizontal="center"/>
    </xf>
    <xf numFmtId="0" fontId="59" fillId="0" borderId="4" xfId="0" applyFont="1" applyBorder="1" applyAlignment="1">
      <alignment horizontal="center"/>
    </xf>
    <xf numFmtId="0" fontId="59" fillId="0" borderId="5" xfId="0" applyFont="1" applyBorder="1" applyAlignment="1">
      <alignment horizontal="left" wrapText="1"/>
    </xf>
    <xf numFmtId="0" fontId="59" fillId="24" borderId="44" xfId="0" applyFont="1" applyFill="1" applyBorder="1" applyAlignment="1">
      <alignment horizontal="center" vertical="center"/>
    </xf>
    <xf numFmtId="0" fontId="59" fillId="24" borderId="5" xfId="0" applyFont="1" applyFill="1" applyBorder="1" applyAlignment="1">
      <alignment horizontal="center"/>
    </xf>
    <xf numFmtId="164" fontId="14" fillId="0" borderId="0" xfId="10" applyFont="1" applyFill="1"/>
    <xf numFmtId="164" fontId="24" fillId="0" borderId="0" xfId="10" applyFont="1" applyFill="1"/>
    <xf numFmtId="164" fontId="14" fillId="0" borderId="5" xfId="10" applyFont="1" applyFill="1" applyBorder="1" applyAlignment="1">
      <alignment horizontal="center"/>
    </xf>
    <xf numFmtId="0" fontId="59" fillId="0" borderId="24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59" fillId="0" borderId="0" xfId="0" applyFont="1" applyAlignment="1">
      <alignment horizontal="left"/>
    </xf>
    <xf numFmtId="0" fontId="50" fillId="24" borderId="24" xfId="0" applyFont="1" applyFill="1" applyBorder="1" applyAlignment="1">
      <alignment horizontal="center"/>
    </xf>
    <xf numFmtId="0" fontId="50" fillId="24" borderId="4" xfId="0" applyFont="1" applyFill="1" applyBorder="1" applyAlignment="1">
      <alignment horizontal="center"/>
    </xf>
    <xf numFmtId="0" fontId="50" fillId="24" borderId="23" xfId="0" applyFont="1" applyFill="1" applyBorder="1" applyAlignment="1">
      <alignment horizontal="center"/>
    </xf>
    <xf numFmtId="0" fontId="59" fillId="24" borderId="24" xfId="0" applyFont="1" applyFill="1" applyBorder="1" applyAlignment="1">
      <alignment horizontal="right"/>
    </xf>
    <xf numFmtId="0" fontId="59" fillId="24" borderId="23" xfId="0" applyFont="1" applyFill="1" applyBorder="1" applyAlignment="1">
      <alignment horizontal="right"/>
    </xf>
    <xf numFmtId="164" fontId="59" fillId="0" borderId="24" xfId="10" applyFont="1" applyFill="1" applyBorder="1" applyAlignment="1">
      <alignment horizontal="center"/>
    </xf>
    <xf numFmtId="164" fontId="59" fillId="0" borderId="23" xfId="10" applyFont="1" applyFill="1" applyBorder="1" applyAlignment="1">
      <alignment horizontal="center"/>
    </xf>
    <xf numFmtId="0" fontId="50" fillId="24" borderId="5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0" fontId="59" fillId="0" borderId="5" xfId="0" applyFont="1" applyBorder="1" applyAlignment="1">
      <alignment horizontal="center" wrapText="1"/>
    </xf>
    <xf numFmtId="0" fontId="71" fillId="0" borderId="5" xfId="0" applyFont="1" applyBorder="1" applyAlignment="1">
      <alignment horizontal="center"/>
    </xf>
    <xf numFmtId="0" fontId="113" fillId="0" borderId="12" xfId="0" applyFont="1" applyBorder="1" applyAlignment="1">
      <alignment horizontal="left"/>
    </xf>
    <xf numFmtId="0" fontId="59" fillId="0" borderId="0" xfId="0" applyFont="1" applyAlignment="1">
      <alignment vertical="center"/>
    </xf>
    <xf numFmtId="0" fontId="59" fillId="0" borderId="8" xfId="0" applyFont="1" applyBorder="1" applyAlignment="1">
      <alignment vertical="center"/>
    </xf>
    <xf numFmtId="0" fontId="59" fillId="0" borderId="20" xfId="0" applyFont="1" applyBorder="1" applyAlignment="1">
      <alignment horizontal="center"/>
    </xf>
    <xf numFmtId="0" fontId="59" fillId="0" borderId="15" xfId="0" applyFont="1" applyBorder="1" applyAlignment="1">
      <alignment horizontal="center"/>
    </xf>
    <xf numFmtId="0" fontId="59" fillId="0" borderId="13" xfId="0" applyFont="1" applyBorder="1" applyAlignment="1">
      <alignment horizontal="center"/>
    </xf>
    <xf numFmtId="0" fontId="59" fillId="0" borderId="41" xfId="0" applyFont="1" applyBorder="1" applyAlignment="1">
      <alignment horizontal="center"/>
    </xf>
    <xf numFmtId="0" fontId="59" fillId="0" borderId="11" xfId="0" applyFont="1" applyBorder="1" applyAlignment="1">
      <alignment horizontal="center"/>
    </xf>
    <xf numFmtId="0" fontId="59" fillId="0" borderId="43" xfId="0" applyFont="1" applyBorder="1" applyAlignment="1">
      <alignment horizontal="center"/>
    </xf>
    <xf numFmtId="0" fontId="59" fillId="0" borderId="6" xfId="0" applyFont="1" applyBorder="1" applyAlignment="1">
      <alignment wrapText="1"/>
    </xf>
    <xf numFmtId="0" fontId="59" fillId="0" borderId="71" xfId="0" applyFont="1" applyBorder="1" applyAlignment="1">
      <alignment wrapText="1"/>
    </xf>
    <xf numFmtId="0" fontId="59" fillId="0" borderId="76" xfId="0" applyFont="1" applyBorder="1" applyAlignment="1">
      <alignment horizontal="center" wrapText="1"/>
    </xf>
    <xf numFmtId="0" fontId="59" fillId="0" borderId="51" xfId="0" applyFont="1" applyBorder="1" applyAlignment="1">
      <alignment horizontal="center" wrapText="1"/>
    </xf>
    <xf numFmtId="0" fontId="59" fillId="0" borderId="40" xfId="0" applyFont="1" applyBorder="1"/>
    <xf numFmtId="0" fontId="59" fillId="0" borderId="28" xfId="0" applyFont="1" applyBorder="1"/>
    <xf numFmtId="0" fontId="59" fillId="22" borderId="76" xfId="0" applyFont="1" applyFill="1" applyBorder="1" applyAlignment="1">
      <alignment horizontal="center" wrapText="1"/>
    </xf>
    <xf numFmtId="0" fontId="59" fillId="22" borderId="51" xfId="0" applyFont="1" applyFill="1" applyBorder="1" applyAlignment="1">
      <alignment horizontal="center" wrapText="1"/>
    </xf>
    <xf numFmtId="0" fontId="113" fillId="0" borderId="36" xfId="0" applyFont="1" applyBorder="1" applyAlignment="1">
      <alignment horizontal="center"/>
    </xf>
    <xf numFmtId="0" fontId="113" fillId="0" borderId="16" xfId="0" applyFont="1" applyBorder="1" applyAlignment="1">
      <alignment horizontal="center"/>
    </xf>
    <xf numFmtId="0" fontId="113" fillId="0" borderId="17" xfId="0" applyFont="1" applyBorder="1" applyAlignment="1">
      <alignment horizontal="center"/>
    </xf>
    <xf numFmtId="0" fontId="90" fillId="0" borderId="51" xfId="0" applyFont="1" applyBorder="1" applyAlignment="1">
      <alignment horizontal="center" vertical="center" wrapText="1"/>
    </xf>
    <xf numFmtId="0" fontId="90" fillId="0" borderId="5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0" fillId="0" borderId="4" xfId="0" applyFont="1" applyBorder="1" applyAlignment="1">
      <alignment horizontal="center" vertical="center" wrapText="1"/>
    </xf>
    <xf numFmtId="0" fontId="70" fillId="0" borderId="23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37" fillId="0" borderId="0" xfId="62" applyFont="1" applyFill="1" applyAlignment="1">
      <alignment horizontal="left" vertical="center"/>
    </xf>
    <xf numFmtId="0" fontId="21" fillId="0" borderId="5" xfId="62" applyFont="1" applyFill="1" applyBorder="1" applyAlignment="1">
      <alignment horizontal="center" vertical="center"/>
    </xf>
    <xf numFmtId="0" fontId="35" fillId="0" borderId="24" xfId="62" applyFont="1" applyFill="1" applyBorder="1" applyAlignment="1">
      <alignment horizontal="center" vertical="center" wrapText="1"/>
    </xf>
    <xf numFmtId="0" fontId="35" fillId="0" borderId="4" xfId="62" applyFont="1" applyFill="1" applyBorder="1" applyAlignment="1">
      <alignment horizontal="center" vertical="center" wrapText="1"/>
    </xf>
    <xf numFmtId="0" fontId="35" fillId="0" borderId="23" xfId="62" applyFont="1" applyFill="1" applyBorder="1" applyAlignment="1">
      <alignment horizontal="center" vertical="center" wrapText="1"/>
    </xf>
    <xf numFmtId="0" fontId="21" fillId="0" borderId="24" xfId="62" applyFont="1" applyFill="1" applyBorder="1" applyAlignment="1">
      <alignment horizontal="center" vertical="center" wrapText="1"/>
    </xf>
    <xf numFmtId="0" fontId="21" fillId="0" borderId="4" xfId="62" applyFont="1" applyFill="1" applyBorder="1" applyAlignment="1">
      <alignment horizontal="center" vertical="center" wrapText="1"/>
    </xf>
    <xf numFmtId="0" fontId="21" fillId="0" borderId="23" xfId="62" applyFont="1" applyFill="1" applyBorder="1" applyAlignment="1">
      <alignment horizontal="center" vertical="center" wrapText="1"/>
    </xf>
    <xf numFmtId="0" fontId="15" fillId="24" borderId="5" xfId="62" applyFont="1" applyFill="1" applyBorder="1" applyAlignment="1">
      <alignment horizontal="center" vertical="center" wrapText="1"/>
    </xf>
    <xf numFmtId="0" fontId="24" fillId="24" borderId="5" xfId="62" applyFill="1" applyBorder="1" applyAlignment="1">
      <alignment horizontal="center" vertical="center"/>
    </xf>
    <xf numFmtId="0" fontId="22" fillId="24" borderId="5" xfId="62" applyFont="1" applyFill="1" applyBorder="1" applyAlignment="1">
      <alignment horizontal="center" vertical="center" wrapText="1"/>
    </xf>
    <xf numFmtId="0" fontId="31" fillId="24" borderId="5" xfId="62" applyFont="1" applyFill="1" applyBorder="1" applyAlignment="1">
      <alignment horizontal="center" vertical="center" wrapText="1"/>
    </xf>
    <xf numFmtId="0" fontId="37" fillId="24" borderId="5" xfId="62" applyFont="1" applyFill="1" applyBorder="1" applyAlignment="1">
      <alignment horizontal="center" vertical="center" wrapText="1"/>
    </xf>
    <xf numFmtId="0" fontId="31" fillId="0" borderId="5" xfId="62" applyFont="1" applyFill="1" applyBorder="1" applyAlignment="1">
      <alignment horizontal="center" vertical="center"/>
    </xf>
    <xf numFmtId="0" fontId="22" fillId="0" borderId="5" xfId="62" applyFont="1" applyFill="1" applyBorder="1" applyAlignment="1">
      <alignment horizontal="center" vertical="center" wrapText="1"/>
    </xf>
    <xf numFmtId="0" fontId="37" fillId="0" borderId="12" xfId="62" applyFont="1" applyFill="1" applyBorder="1" applyAlignment="1">
      <alignment horizontal="center" vertical="center"/>
    </xf>
    <xf numFmtId="0" fontId="37" fillId="0" borderId="4" xfId="62" applyFont="1" applyFill="1" applyBorder="1" applyAlignment="1">
      <alignment horizontal="center" vertical="center" wrapText="1"/>
    </xf>
    <xf numFmtId="0" fontId="37" fillId="0" borderId="23" xfId="62" applyFont="1" applyFill="1" applyBorder="1" applyAlignment="1">
      <alignment horizontal="center" vertical="center" wrapText="1"/>
    </xf>
    <xf numFmtId="0" fontId="37" fillId="0" borderId="5" xfId="62" applyFont="1" applyFill="1" applyBorder="1" applyAlignment="1">
      <alignment horizontal="center" vertical="center" wrapText="1"/>
    </xf>
    <xf numFmtId="0" fontId="14" fillId="0" borderId="22" xfId="62" applyFont="1" applyFill="1" applyBorder="1" applyAlignment="1">
      <alignment horizontal="center" vertical="center"/>
    </xf>
    <xf numFmtId="0" fontId="14" fillId="0" borderId="51" xfId="62" applyFont="1" applyFill="1" applyBorder="1" applyAlignment="1">
      <alignment horizontal="center" vertical="center"/>
    </xf>
    <xf numFmtId="175" fontId="14" fillId="0" borderId="5" xfId="10" applyNumberFormat="1" applyFont="1" applyFill="1" applyBorder="1" applyAlignment="1">
      <alignment horizontal="center" vertical="center" wrapText="1"/>
    </xf>
    <xf numFmtId="0" fontId="15" fillId="0" borderId="5" xfId="62" applyFont="1" applyFill="1" applyBorder="1" applyAlignment="1">
      <alignment horizontal="center" vertical="center"/>
    </xf>
    <xf numFmtId="164" fontId="14" fillId="0" borderId="5" xfId="10" applyFont="1" applyBorder="1" applyAlignment="1">
      <alignment horizontal="center" vertical="center" wrapText="1"/>
    </xf>
    <xf numFmtId="175" fontId="14" fillId="0" borderId="22" xfId="10" applyNumberFormat="1" applyFont="1" applyFill="1" applyBorder="1" applyAlignment="1">
      <alignment horizontal="center" vertical="center" wrapText="1"/>
    </xf>
    <xf numFmtId="175" fontId="14" fillId="0" borderId="51" xfId="10" applyNumberFormat="1" applyFont="1" applyFill="1" applyBorder="1" applyAlignment="1">
      <alignment horizontal="center" vertical="center" wrapText="1"/>
    </xf>
    <xf numFmtId="0" fontId="15" fillId="0" borderId="24" xfId="62" applyFont="1" applyFill="1" applyBorder="1" applyAlignment="1">
      <alignment horizontal="center" vertical="center"/>
    </xf>
    <xf numFmtId="0" fontId="15" fillId="0" borderId="4" xfId="62" applyFont="1" applyFill="1" applyBorder="1" applyAlignment="1">
      <alignment horizontal="center" vertical="center"/>
    </xf>
    <xf numFmtId="0" fontId="15" fillId="0" borderId="23" xfId="62" applyFont="1" applyFill="1" applyBorder="1" applyAlignment="1">
      <alignment horizontal="center" vertical="center"/>
    </xf>
    <xf numFmtId="164" fontId="14" fillId="0" borderId="22" xfId="10" applyFont="1" applyBorder="1" applyAlignment="1">
      <alignment horizontal="center" vertical="center" wrapText="1"/>
    </xf>
    <xf numFmtId="164" fontId="14" fillId="0" borderId="51" xfId="10" applyFont="1" applyBorder="1" applyAlignment="1">
      <alignment horizontal="center" vertical="center" wrapText="1"/>
    </xf>
    <xf numFmtId="0" fontId="37" fillId="0" borderId="24" xfId="62" applyFont="1" applyFill="1" applyBorder="1" applyAlignment="1">
      <alignment horizontal="center"/>
    </xf>
    <xf numFmtId="0" fontId="37" fillId="0" borderId="4" xfId="62" applyFont="1" applyFill="1" applyBorder="1" applyAlignment="1">
      <alignment horizontal="center"/>
    </xf>
    <xf numFmtId="0" fontId="37" fillId="0" borderId="23" xfId="62" applyFont="1" applyFill="1" applyBorder="1" applyAlignment="1">
      <alignment horizontal="center"/>
    </xf>
    <xf numFmtId="0" fontId="14" fillId="0" borderId="24" xfId="62" applyFont="1" applyFill="1" applyBorder="1" applyAlignment="1">
      <alignment horizontal="center"/>
    </xf>
    <xf numFmtId="0" fontId="14" fillId="0" borderId="4" xfId="62" applyFont="1" applyFill="1" applyBorder="1" applyAlignment="1">
      <alignment horizontal="center"/>
    </xf>
    <xf numFmtId="0" fontId="14" fillId="0" borderId="23" xfId="62" applyFont="1" applyFill="1" applyBorder="1" applyAlignment="1">
      <alignment horizontal="center"/>
    </xf>
    <xf numFmtId="0" fontId="37" fillId="0" borderId="5" xfId="62" applyFont="1" applyFill="1" applyBorder="1" applyAlignment="1">
      <alignment horizontal="center" vertical="center"/>
    </xf>
    <xf numFmtId="2" fontId="37" fillId="0" borderId="0" xfId="62" applyNumberFormat="1" applyFont="1" applyFill="1" applyAlignment="1">
      <alignment horizontal="center" vertical="center"/>
    </xf>
    <xf numFmtId="0" fontId="24" fillId="0" borderId="0" xfId="62" applyFill="1" applyAlignment="1">
      <alignment horizontal="center"/>
    </xf>
    <xf numFmtId="0" fontId="19" fillId="0" borderId="0" xfId="62" applyFont="1" applyFill="1" applyAlignment="1">
      <alignment horizontal="center"/>
    </xf>
    <xf numFmtId="0" fontId="139" fillId="0" borderId="5" xfId="65" applyFont="1" applyBorder="1" applyAlignment="1">
      <alignment horizontal="center" vertical="top" wrapText="1"/>
    </xf>
    <xf numFmtId="0" fontId="138" fillId="0" borderId="24" xfId="65" applyFont="1" applyBorder="1" applyAlignment="1">
      <alignment horizontal="left" vertical="center" wrapText="1"/>
    </xf>
    <xf numFmtId="0" fontId="138" fillId="0" borderId="4" xfId="65" applyFont="1" applyBorder="1" applyAlignment="1">
      <alignment horizontal="left" vertical="center" wrapText="1"/>
    </xf>
    <xf numFmtId="0" fontId="138" fillId="0" borderId="23" xfId="65" applyFont="1" applyBorder="1" applyAlignment="1">
      <alignment horizontal="left" vertical="center" wrapText="1"/>
    </xf>
    <xf numFmtId="0" fontId="139" fillId="0" borderId="5" xfId="65" applyFont="1" applyBorder="1" applyAlignment="1">
      <alignment horizontal="center" vertical="center" wrapText="1"/>
    </xf>
    <xf numFmtId="0" fontId="140" fillId="0" borderId="5" xfId="65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10" fontId="16" fillId="0" borderId="24" xfId="0" applyNumberFormat="1" applyFont="1" applyBorder="1" applyAlignment="1">
      <alignment horizontal="center"/>
    </xf>
    <xf numFmtId="10" fontId="16" fillId="0" borderId="4" xfId="0" applyNumberFormat="1" applyFont="1" applyBorder="1" applyAlignment="1">
      <alignment horizontal="center"/>
    </xf>
    <xf numFmtId="10" fontId="16" fillId="0" borderId="23" xfId="0" applyNumberFormat="1" applyFont="1" applyBorder="1" applyAlignment="1">
      <alignment horizontal="center"/>
    </xf>
    <xf numFmtId="0" fontId="12" fillId="31" borderId="5" xfId="0" applyFont="1" applyFill="1" applyBorder="1" applyAlignment="1">
      <alignment horizontal="center"/>
    </xf>
    <xf numFmtId="0" fontId="0" fillId="31" borderId="5" xfId="0" applyFill="1" applyBorder="1" applyAlignment="1">
      <alignment horizontal="center"/>
    </xf>
    <xf numFmtId="0" fontId="73" fillId="31" borderId="5" xfId="0" applyFont="1" applyFill="1" applyBorder="1" applyAlignment="1">
      <alignment horizontal="center"/>
    </xf>
    <xf numFmtId="0" fontId="73" fillId="31" borderId="22" xfId="0" applyFont="1" applyFill="1" applyBorder="1" applyAlignment="1">
      <alignment horizontal="center"/>
    </xf>
    <xf numFmtId="0" fontId="73" fillId="31" borderId="5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3" fillId="0" borderId="22" xfId="0" applyFont="1" applyBorder="1" applyAlignment="1">
      <alignment horizontal="center"/>
    </xf>
    <xf numFmtId="0" fontId="13" fillId="0" borderId="51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3" fillId="0" borderId="0" xfId="0" applyFont="1"/>
    <xf numFmtId="0" fontId="13" fillId="0" borderId="0" xfId="0" applyFont="1" applyAlignment="1">
      <alignment vertical="top" wrapText="1"/>
    </xf>
    <xf numFmtId="164" fontId="0" fillId="33" borderId="62" xfId="0" applyNumberFormat="1" applyFill="1" applyBorder="1" applyAlignment="1">
      <alignment horizontal="center"/>
    </xf>
    <xf numFmtId="164" fontId="0" fillId="33" borderId="71" xfId="0" applyNumberFormat="1" applyFill="1" applyBorder="1" applyAlignment="1">
      <alignment horizontal="center"/>
    </xf>
    <xf numFmtId="0" fontId="12" fillId="33" borderId="24" xfId="0" applyFont="1" applyFill="1" applyBorder="1" applyAlignment="1">
      <alignment horizontal="center"/>
    </xf>
    <xf numFmtId="0" fontId="0" fillId="33" borderId="4" xfId="0" applyFill="1" applyBorder="1" applyAlignment="1">
      <alignment horizontal="center"/>
    </xf>
    <xf numFmtId="0" fontId="0" fillId="33" borderId="23" xfId="0" applyFill="1" applyBorder="1" applyAlignment="1">
      <alignment horizontal="center"/>
    </xf>
    <xf numFmtId="0" fontId="12" fillId="0" borderId="0" xfId="0" applyFont="1" applyAlignment="1">
      <alignment wrapText="1"/>
    </xf>
    <xf numFmtId="0" fontId="12" fillId="0" borderId="0" xfId="0" applyFont="1"/>
    <xf numFmtId="0" fontId="12" fillId="0" borderId="0" xfId="0" applyFont="1" applyAlignment="1">
      <alignment vertical="top" wrapText="1"/>
    </xf>
    <xf numFmtId="0" fontId="14" fillId="0" borderId="0" xfId="0" applyFont="1" applyAlignment="1">
      <alignment horizontal="center"/>
    </xf>
    <xf numFmtId="0" fontId="24" fillId="0" borderId="12" xfId="0" applyFon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40" xfId="0" applyNumberFormat="1" applyBorder="1" applyAlignment="1">
      <alignment horizontal="center"/>
    </xf>
    <xf numFmtId="2" fontId="0" fillId="0" borderId="44" xfId="0" applyNumberForma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0" fontId="0" fillId="0" borderId="17" xfId="0" applyBorder="1"/>
    <xf numFmtId="0" fontId="0" fillId="0" borderId="0" xfId="0"/>
    <xf numFmtId="0" fontId="13" fillId="0" borderId="77" xfId="0" applyFont="1" applyBorder="1" applyAlignment="1">
      <alignment horizontal="center"/>
    </xf>
    <xf numFmtId="0" fontId="13" fillId="0" borderId="64" xfId="0" applyFont="1" applyBorder="1" applyAlignment="1">
      <alignment horizontal="center"/>
    </xf>
    <xf numFmtId="0" fontId="13" fillId="0" borderId="69" xfId="0" applyFon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2" fontId="0" fillId="0" borderId="22" xfId="0" applyNumberFormat="1" applyBorder="1" applyAlignment="1">
      <alignment horizontal="left"/>
    </xf>
    <xf numFmtId="2" fontId="0" fillId="0" borderId="51" xfId="0" applyNumberFormat="1" applyBorder="1" applyAlignment="1">
      <alignment horizontal="left"/>
    </xf>
    <xf numFmtId="0" fontId="12" fillId="18" borderId="0" xfId="0" applyFont="1" applyFill="1"/>
    <xf numFmtId="0" fontId="0" fillId="18" borderId="0" xfId="0" applyFill="1"/>
    <xf numFmtId="0" fontId="0" fillId="0" borderId="24" xfId="0" applyBorder="1" applyAlignment="1">
      <alignment horizontal="right"/>
    </xf>
    <xf numFmtId="0" fontId="0" fillId="0" borderId="23" xfId="0" applyBorder="1" applyAlignment="1">
      <alignment horizontal="right"/>
    </xf>
    <xf numFmtId="0" fontId="144" fillId="0" borderId="0" xfId="66" applyFont="1" applyAlignment="1">
      <alignment horizontal="left"/>
    </xf>
    <xf numFmtId="0" fontId="145" fillId="0" borderId="20" xfId="66" applyFont="1" applyBorder="1" applyAlignment="1">
      <alignment horizontal="center"/>
    </xf>
    <xf numFmtId="0" fontId="147" fillId="0" borderId="5" xfId="66" applyFont="1" applyBorder="1" applyAlignment="1">
      <alignment horizontal="center"/>
    </xf>
    <xf numFmtId="0" fontId="147" fillId="0" borderId="5" xfId="66" applyFont="1" applyBorder="1"/>
    <xf numFmtId="0" fontId="147" fillId="0" borderId="5" xfId="66" applyFont="1" applyBorder="1" applyAlignment="1">
      <alignment horizontal="center" vertical="center" wrapText="1"/>
    </xf>
    <xf numFmtId="0" fontId="147" fillId="0" borderId="22" xfId="66" applyFont="1" applyBorder="1" applyAlignment="1">
      <alignment horizontal="center"/>
    </xf>
    <xf numFmtId="0" fontId="147" fillId="0" borderId="51" xfId="66" applyFont="1" applyBorder="1" applyAlignment="1">
      <alignment horizontal="center"/>
    </xf>
  </cellXfs>
  <cellStyles count="85">
    <cellStyle name="Body" xfId="1" xr:uid="{00000000-0005-0000-0000-000000000000}"/>
    <cellStyle name="Calc Currency (0)" xfId="2" xr:uid="{00000000-0005-0000-0000-000001000000}"/>
    <cellStyle name="Calc Currency (2)" xfId="3" xr:uid="{00000000-0005-0000-0000-000002000000}"/>
    <cellStyle name="Calc Percent (0)" xfId="4" xr:uid="{00000000-0005-0000-0000-000003000000}"/>
    <cellStyle name="Calc Percent (1)" xfId="5" xr:uid="{00000000-0005-0000-0000-000004000000}"/>
    <cellStyle name="Calc Percent (2)" xfId="6" xr:uid="{00000000-0005-0000-0000-000005000000}"/>
    <cellStyle name="Calc Units (0)" xfId="7" xr:uid="{00000000-0005-0000-0000-000006000000}"/>
    <cellStyle name="Calc Units (1)" xfId="8" xr:uid="{00000000-0005-0000-0000-000007000000}"/>
    <cellStyle name="Calc Units (2)" xfId="9" xr:uid="{00000000-0005-0000-0000-000008000000}"/>
    <cellStyle name="Comma" xfId="10" builtinId="3"/>
    <cellStyle name="Comma  - Style1" xfId="11" xr:uid="{00000000-0005-0000-0000-00000A000000}"/>
    <cellStyle name="Comma [00]" xfId="12" xr:uid="{00000000-0005-0000-0000-00000B000000}"/>
    <cellStyle name="Comma 2" xfId="13" xr:uid="{00000000-0005-0000-0000-00000C000000}"/>
    <cellStyle name="Comma 2 2" xfId="67" xr:uid="{00000000-0005-0000-0000-00000D000000}"/>
    <cellStyle name="Comma 2 2 2" xfId="83" xr:uid="{CD319424-8ECC-4BF9-8A3A-8090B655F398}"/>
    <cellStyle name="Comma 2 3" xfId="81" xr:uid="{817664C6-11B5-41B8-9F44-B4D9F0BFCB99}"/>
    <cellStyle name="Comma 3" xfId="77" xr:uid="{00000000-0005-0000-0000-00000E000000}"/>
    <cellStyle name="Comma 4" xfId="80" xr:uid="{D5D2976B-9733-491B-B430-30FB58238E3F}"/>
    <cellStyle name="Comma 5" xfId="73" xr:uid="{00000000-0005-0000-0000-00000F000000}"/>
    <cellStyle name="Comma 6" xfId="69" xr:uid="{00000000-0005-0000-0000-000010000000}"/>
    <cellStyle name="Comma 7" xfId="84" xr:uid="{C90EA3EC-02C1-486E-9B0B-CC6892B9BC28}"/>
    <cellStyle name="Curren - Style2" xfId="14" xr:uid="{00000000-0005-0000-0000-000011000000}"/>
    <cellStyle name="Currency [00]" xfId="15" xr:uid="{00000000-0005-0000-0000-000012000000}"/>
    <cellStyle name="date" xfId="16" xr:uid="{00000000-0005-0000-0000-000013000000}"/>
    <cellStyle name="Date Short" xfId="17" xr:uid="{00000000-0005-0000-0000-000014000000}"/>
    <cellStyle name="DELTA" xfId="18" xr:uid="{00000000-0005-0000-0000-000015000000}"/>
    <cellStyle name="Enter Currency (0)" xfId="19" xr:uid="{00000000-0005-0000-0000-000016000000}"/>
    <cellStyle name="Enter Currency (2)" xfId="20" xr:uid="{00000000-0005-0000-0000-000017000000}"/>
    <cellStyle name="Enter Units (0)" xfId="21" xr:uid="{00000000-0005-0000-0000-000018000000}"/>
    <cellStyle name="Enter Units (1)" xfId="22" xr:uid="{00000000-0005-0000-0000-000019000000}"/>
    <cellStyle name="Enter Units (2)" xfId="23" xr:uid="{00000000-0005-0000-0000-00001A000000}"/>
    <cellStyle name="Grey" xfId="24" xr:uid="{00000000-0005-0000-0000-00001B000000}"/>
    <cellStyle name="Header1" xfId="25" xr:uid="{00000000-0005-0000-0000-00001C000000}"/>
    <cellStyle name="Header2" xfId="26" xr:uid="{00000000-0005-0000-0000-00001D000000}"/>
    <cellStyle name="Hyperlink" xfId="76" builtinId="8"/>
    <cellStyle name="Input [yellow]" xfId="27" xr:uid="{00000000-0005-0000-0000-00001F000000}"/>
    <cellStyle name="Link Currency (0)" xfId="28" xr:uid="{00000000-0005-0000-0000-000020000000}"/>
    <cellStyle name="Link Currency (2)" xfId="29" xr:uid="{00000000-0005-0000-0000-000021000000}"/>
    <cellStyle name="Link Units (0)" xfId="30" xr:uid="{00000000-0005-0000-0000-000022000000}"/>
    <cellStyle name="Link Units (1)" xfId="31" xr:uid="{00000000-0005-0000-0000-000023000000}"/>
    <cellStyle name="Link Units (2)" xfId="32" xr:uid="{00000000-0005-0000-0000-000024000000}"/>
    <cellStyle name="no dec" xfId="33" xr:uid="{00000000-0005-0000-0000-000025000000}"/>
    <cellStyle name="Normal" xfId="0" builtinId="0"/>
    <cellStyle name="Normal - Style1" xfId="34" xr:uid="{00000000-0005-0000-0000-000027000000}"/>
    <cellStyle name="Normal 10" xfId="82" xr:uid="{2D09CB66-3521-494B-85B1-F770874D0FC4}"/>
    <cellStyle name="Normal 2" xfId="35" xr:uid="{00000000-0005-0000-0000-000028000000}"/>
    <cellStyle name="Normal 2 10" xfId="78" xr:uid="{00000000-0005-0000-0000-000029000000}"/>
    <cellStyle name="Normal 2 2" xfId="60" xr:uid="{00000000-0005-0000-0000-00002A000000}"/>
    <cellStyle name="Normal 2 3" xfId="66" xr:uid="{00000000-0005-0000-0000-00002B000000}"/>
    <cellStyle name="Normal 3" xfId="57" xr:uid="{00000000-0005-0000-0000-00002C000000}"/>
    <cellStyle name="Normal 4" xfId="62" xr:uid="{00000000-0005-0000-0000-00002D000000}"/>
    <cellStyle name="Normal 5" xfId="74" xr:uid="{00000000-0005-0000-0000-00002E000000}"/>
    <cellStyle name="Normal 5 2" xfId="75" xr:uid="{00000000-0005-0000-0000-00002F000000}"/>
    <cellStyle name="Normal 6" xfId="70" xr:uid="{00000000-0005-0000-0000-000030000000}"/>
    <cellStyle name="Normal 7" xfId="71" xr:uid="{00000000-0005-0000-0000-000031000000}"/>
    <cellStyle name="Normal 8" xfId="72" xr:uid="{00000000-0005-0000-0000-000032000000}"/>
    <cellStyle name="Normal 9" xfId="79" xr:uid="{C041A96F-6AD0-4EB7-A7CB-F13C65A06749}"/>
    <cellStyle name="Normal_Additional F- Formats  New-05-06" xfId="36" xr:uid="{00000000-0005-0000-0000-000033000000}"/>
    <cellStyle name="Normal_Book2" xfId="37" xr:uid="{00000000-0005-0000-0000-000034000000}"/>
    <cellStyle name="Normal_CONSUMPTION GREATER THAN 1 MVA" xfId="65" xr:uid="{00000000-0005-0000-0000-000035000000}"/>
    <cellStyle name="Normal_REV-RELIEF" xfId="38" xr:uid="{00000000-0005-0000-0000-000036000000}"/>
    <cellStyle name="Normal_SOUTHCO___ARR_2005-06" xfId="39" xr:uid="{00000000-0005-0000-0000-000037000000}"/>
    <cellStyle name="Normal_tarif revision" xfId="40" xr:uid="{00000000-0005-0000-0000-000038000000}"/>
    <cellStyle name="Normal_tarif revision 2" xfId="41" xr:uid="{00000000-0005-0000-0000-000039000000}"/>
    <cellStyle name="Normal_tarif revision 2 2" xfId="63" xr:uid="{00000000-0005-0000-0000-00003A000000}"/>
    <cellStyle name="Normal_Tariff 05-06 2" xfId="42" xr:uid="{00000000-0005-0000-0000-00003B000000}"/>
    <cellStyle name="Normal_TEMPLATE 2" xfId="68" xr:uid="{00000000-0005-0000-0000-00003C000000}"/>
    <cellStyle name="Percent" xfId="43" builtinId="5"/>
    <cellStyle name="Percent [0]" xfId="44" xr:uid="{00000000-0005-0000-0000-00003E000000}"/>
    <cellStyle name="Percent [00]" xfId="45" xr:uid="{00000000-0005-0000-0000-00003F000000}"/>
    <cellStyle name="Percent [2]" xfId="46" xr:uid="{00000000-0005-0000-0000-000040000000}"/>
    <cellStyle name="Percent 2" xfId="47" xr:uid="{00000000-0005-0000-0000-000041000000}"/>
    <cellStyle name="Percent 2 2" xfId="64" xr:uid="{00000000-0005-0000-0000-000042000000}"/>
    <cellStyle name="Percent 3" xfId="48" xr:uid="{00000000-0005-0000-0000-000043000000}"/>
    <cellStyle name="Percent 4" xfId="58" xr:uid="{00000000-0005-0000-0000-000044000000}"/>
    <cellStyle name="Percent 5" xfId="59" xr:uid="{00000000-0005-0000-0000-000045000000}"/>
    <cellStyle name="Percent 6" xfId="61" xr:uid="{00000000-0005-0000-0000-000046000000}"/>
    <cellStyle name="PrePop Currency (0)" xfId="49" xr:uid="{00000000-0005-0000-0000-000047000000}"/>
    <cellStyle name="PrePop Currency (2)" xfId="50" xr:uid="{00000000-0005-0000-0000-000048000000}"/>
    <cellStyle name="PrePop Units (0)" xfId="51" xr:uid="{00000000-0005-0000-0000-000049000000}"/>
    <cellStyle name="PrePop Units (1)" xfId="52" xr:uid="{00000000-0005-0000-0000-00004A000000}"/>
    <cellStyle name="PrePop Units (2)" xfId="53" xr:uid="{00000000-0005-0000-0000-00004B000000}"/>
    <cellStyle name="Text Indent A" xfId="54" xr:uid="{00000000-0005-0000-0000-00004C000000}"/>
    <cellStyle name="Text Indent B" xfId="55" xr:uid="{00000000-0005-0000-0000-00004D000000}"/>
    <cellStyle name="Text Indent C" xfId="56" xr:uid="{00000000-0005-0000-0000-00004E000000}"/>
  </cellStyles>
  <dxfs count="10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6.xml"/><Relationship Id="rId108" Type="http://schemas.openxmlformats.org/officeDocument/2006/relationships/externalLink" Target="externalLinks/externalLink1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3.xml"/><Relationship Id="rId105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Users\AGM%20FINANCE\Desktop\OERC%20ACCOUNTS%20-2012-13%20FINAL%20WORKING%20FIL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SOUTHCO%20ARR%202009-10\ARR-2009-10\Distribution\Consumer%20Analysis%20working%20shee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S\ARR%20DATA\SOUTHCO%20ARR%202009-10\ARR-2009-10\Distribution\Consumer%20Analysis%20working%20she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S\ARR%20DATA\Users\AGM%20FINANCE\Desktop\OERC%20ACCOUNTS%20-2012-13%20FINAL%20WORKING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S\ARR%20DATA\SOUTHCO%20ARR%202009-10\ARR-2009-10\Distribution\CESC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S\ARR%20DATA\O%20E%20R%20C\ARRWESCO%20NOV-2006\Distribution\SOUTH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S\ARR%20DATA\AM(F&amp;C)\A.G.M.COMM\ARR-2007-08\ARR-2007-08%20Finail-Anil-29-11-06\OERC-ARR-2007-08\Distribution\SOUTH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SOUTHCO%20ARR%202009-10\ARR-2009-10\Distribution\SOUTHC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S\ARR%20DATA\SOUTHCO%20ARR%202009-10\ARR-2009-10\Distribution\SOUTH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S\ARR%20DATA\O%20E%20R%20C\ARRWESCO%20NOV-2006\Distribution\Consumer%20Analysis%20working%20she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S\ARR%20DATA\AM(F&amp;C)\A.G.M.COMM\ARR-2007-08\ARR-2007-08%20Finail-Anil-29-11-06\OERC-ARR-2007-08\Distribution\Consumer%20Analysis%20working%20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01.04.12"/>
      <sheetName val="TRIAL ALL UNITS-Mar-12"/>
      <sheetName val="CONSOLIDATED TB"/>
      <sheetName val="Final"/>
      <sheetName val="Notes Wise"/>
      <sheetName val="PL"/>
      <sheetName val="BS"/>
      <sheetName val="OERC 1 &amp; 2"/>
      <sheetName val="OERC 3"/>
      <sheetName val="OERC 4,5,6, 8 &amp; 9"/>
      <sheetName val="OERC 7"/>
      <sheetName val="OERC 10 ,11 &amp; 12"/>
      <sheetName val="OERC 13 &amp; 14"/>
      <sheetName val="OERC 15,16 &amp; 17"/>
      <sheetName val="OERC 18 &amp; 19"/>
      <sheetName val="Sheet1"/>
      <sheetName val="CASH"/>
    </sheetNames>
    <sheetDataSet>
      <sheetData sheetId="0"/>
      <sheetData sheetId="1"/>
      <sheetData sheetId="2">
        <row r="7">
          <cell r="C7">
            <v>10901814.880000001</v>
          </cell>
        </row>
      </sheetData>
      <sheetData sheetId="3"/>
      <sheetData sheetId="4">
        <row r="5">
          <cell r="A5">
            <v>52.101999999999997</v>
          </cell>
        </row>
        <row r="23">
          <cell r="I23">
            <v>17281340.16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 Categories"/>
      <sheetName val="Category &amp; Voltages"/>
      <sheetName val="Consumer Analysis"/>
      <sheetName val="MD to CD"/>
      <sheetName val="MD to CD analysis"/>
      <sheetName val="Working Sheet"/>
      <sheetName val="Consumer Data &gt;100kV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 Categories"/>
      <sheetName val="Category &amp; Voltages"/>
      <sheetName val="Consumer Analysis"/>
      <sheetName val="MD to CD"/>
      <sheetName val="MD to CD analysis"/>
      <sheetName val="Working Sheet"/>
      <sheetName val="Consumer Data &gt;100kV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01.04.12"/>
      <sheetName val="TRIAL ALL UNITS-Mar-12"/>
      <sheetName val="CONSOLIDATED TB"/>
      <sheetName val="Final"/>
      <sheetName val="Notes Wise"/>
      <sheetName val="PL"/>
      <sheetName val="BS"/>
      <sheetName val="OERC 1 &amp; 2"/>
      <sheetName val="OERC 3"/>
      <sheetName val="OERC 4,5,6, 8 &amp; 9"/>
      <sheetName val="OERC 7"/>
      <sheetName val="OERC 10 ,11 &amp; 12"/>
      <sheetName val="OERC 13 &amp; 14"/>
      <sheetName val="OERC 15,16 &amp; 17"/>
      <sheetName val="OERC 18 &amp; 19"/>
      <sheetName val="Sheet1"/>
      <sheetName val="CASH"/>
    </sheetNames>
    <sheetDataSet>
      <sheetData sheetId="0"/>
      <sheetData sheetId="1"/>
      <sheetData sheetId="2">
        <row r="7">
          <cell r="C7">
            <v>10901814.880000001</v>
          </cell>
        </row>
      </sheetData>
      <sheetData sheetId="3"/>
      <sheetData sheetId="4">
        <row r="5">
          <cell r="A5">
            <v>52.101999999999997</v>
          </cell>
        </row>
        <row r="23">
          <cell r="I23">
            <v>17281340.16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Capitalization Expenses Manual"/>
      <sheetName val="Capitalization of Expenses"/>
      <sheetName val="Loan Summary - Working Cap"/>
      <sheetName val="Details of Loan - Working Cap"/>
      <sheetName val="Details of Loan - Capital Works"/>
      <sheetName val="Loan Summary - Capital Works"/>
      <sheetName val="Current Year"/>
      <sheetName val="Costs at voltage Current year"/>
      <sheetName val="CWIP"/>
      <sheetName val="Other revenue sources Manual"/>
      <sheetName val="A&amp;G Expenses Manual"/>
      <sheetName val="Special Appropriations Manual"/>
      <sheetName val="Employee Cost Manual"/>
      <sheetName val="Interest Charges Manual"/>
      <sheetName val="Manual CWIP"/>
      <sheetName val="R&amp;M Manual"/>
      <sheetName val="Manual Loss Details"/>
      <sheetName val="Discounts and Penalties Manual"/>
      <sheetName val="Revenue Current Past Manual "/>
      <sheetName val="Power Purchase Cost Manual"/>
      <sheetName val="Power Purchase Cost"/>
      <sheetName val="Allocation-Network, Supply cost"/>
      <sheetName val="Special Appropriations"/>
      <sheetName val="Cost Allocation"/>
      <sheetName val="Employee Costs"/>
      <sheetName val="Other revenue sources"/>
      <sheetName val="Revenue-Current and Past Year"/>
      <sheetName val="Bad Debt"/>
      <sheetName val="RoE"/>
      <sheetName val="Allocation LT HT EHT"/>
      <sheetName val="Loss Details"/>
      <sheetName val="Manual Consumption Data"/>
      <sheetName val="Consumption Compute - Purchase"/>
      <sheetName val="Consumption Compute-Demand"/>
      <sheetName val="Depreciation Working"/>
      <sheetName val="Depreciation Schedule"/>
      <sheetName val="A&amp;G Expenses"/>
      <sheetName val="Computation of IDC"/>
      <sheetName val="Interest Charges"/>
      <sheetName val="R&amp;M"/>
      <sheetName val="Billing for Residential"/>
      <sheetName val="Billing for Commercial "/>
      <sheetName val="Verification of inputs"/>
      <sheetName val="EHT Load Factor Billing"/>
      <sheetName val="HT Load Factor Billing"/>
      <sheetName val="Costs at diff voltage levels"/>
      <sheetName val="Discounts and Penalties"/>
      <sheetName val="Tariff Design"/>
      <sheetName val="Ensuing Year-Proposed Tarif"/>
      <sheetName val="Consumption Data "/>
      <sheetName val="Ensuing Year-Existing Tariff"/>
      <sheetName val="Existing Tariff Structure"/>
      <sheetName val="Final Consumption Status"/>
      <sheetName val="Existing Gap"/>
      <sheetName val="Tariff Comparision"/>
      <sheetName val="Network Cost Calculation"/>
      <sheetName val="Process Flow"/>
      <sheetName val="CESCO"/>
    </sheetNames>
    <sheetDataSet>
      <sheetData sheetId="0"/>
      <sheetData sheetId="1"/>
      <sheetData sheetId="2"/>
      <sheetData sheetId="3"/>
      <sheetData sheetId="4"/>
      <sheetData sheetId="5">
        <row r="6">
          <cell r="B6" t="str">
            <v>Source 1 - Capital Work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0">
          <cell r="D10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Capitalization Expenses Manual"/>
      <sheetName val="Capitalization of Expenses"/>
      <sheetName val="Loan Summary - Working Cap"/>
      <sheetName val="Details of Loan - Working Cap"/>
      <sheetName val="Details of Loan - Capital Works"/>
      <sheetName val="Loan Summary - Capital Works"/>
      <sheetName val="Current Year"/>
      <sheetName val="Costs at voltage Current year"/>
      <sheetName val="CWIP"/>
      <sheetName val="Other revenue sources Manual"/>
      <sheetName val="A&amp;G Expenses Manual"/>
      <sheetName val="Special Appropriations Manual"/>
      <sheetName val="Employee Cost Manual"/>
      <sheetName val="Interest Charges Manual"/>
      <sheetName val="Manual CWIP"/>
      <sheetName val="R&amp;M Manual"/>
      <sheetName val="Manual Loss Details"/>
      <sheetName val="Discounts and Penalties Manual"/>
      <sheetName val="Revenue Current Past Manual "/>
      <sheetName val="Power Purchase Cost Manual"/>
      <sheetName val="Power Purchase Cost"/>
      <sheetName val="Allocation-Network, Supply cost"/>
      <sheetName val="Special Appropriations"/>
      <sheetName val="Cost Allocation"/>
      <sheetName val="Employee Costs"/>
      <sheetName val="Other revenue sources"/>
      <sheetName val="Revenue-Current and Past Year"/>
      <sheetName val="Bad Debt"/>
      <sheetName val="RoE"/>
      <sheetName val="Allocation LT HT EHT"/>
      <sheetName val="Loss Details"/>
      <sheetName val="Manual Consumption Data"/>
      <sheetName val="Consumption Compute - Purchase"/>
      <sheetName val="Consumption Compute-Demand"/>
      <sheetName val="Depreciation Working"/>
      <sheetName val="Depreciation Schedule"/>
      <sheetName val="A&amp;G Expenses"/>
      <sheetName val="Computation of IDC"/>
      <sheetName val="Interest Charges"/>
      <sheetName val="R&amp;M"/>
      <sheetName val="Billing for Residential"/>
      <sheetName val="Billing for Commercial "/>
      <sheetName val="Verification of inputs"/>
      <sheetName val="EHT Load Factor Billing"/>
      <sheetName val="HT Load Factor Billing"/>
      <sheetName val="Costs at diff voltage levels"/>
      <sheetName val="Discounts and Penalties"/>
      <sheetName val="Tariff Design"/>
      <sheetName val="Ensuing Year-Proposed Tarif"/>
      <sheetName val="Consumption Data "/>
      <sheetName val="Ensuing Year-Existing Tariff"/>
      <sheetName val="Existing Tariff Structure"/>
      <sheetName val="Final Consumption Status"/>
      <sheetName val="Existing Gap"/>
      <sheetName val="Tariff Comparision"/>
      <sheetName val="Network Cost Calculation"/>
      <sheetName val="Process 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Capitalization Expenses Manual"/>
      <sheetName val="Capitalization of Expenses"/>
      <sheetName val="Loan Summary - Working Cap"/>
      <sheetName val="Details of Loan - Working Cap"/>
      <sheetName val="Details of Loan - Capital Works"/>
      <sheetName val="Loan Summary - Capital Works"/>
      <sheetName val="Current Year"/>
      <sheetName val="Costs at voltage Current year"/>
      <sheetName val="CWIP"/>
      <sheetName val="Other revenue sources Manual"/>
      <sheetName val="A&amp;G Expenses Manual"/>
      <sheetName val="Special Appropriations Manual"/>
      <sheetName val="Employee Cost Manual"/>
      <sheetName val="Interest Charges Manual"/>
      <sheetName val="Manual CWIP"/>
      <sheetName val="R&amp;M Manual"/>
      <sheetName val="Manual Loss Details"/>
      <sheetName val="Discounts and Penalties Manual"/>
      <sheetName val="Revenue Current Past Manual "/>
      <sheetName val="Power Purchase Cost Manual"/>
      <sheetName val="Power Purchase Cost"/>
      <sheetName val="Allocation-Network, Supply cost"/>
      <sheetName val="Special Appropriations"/>
      <sheetName val="Cost Allocation"/>
      <sheetName val="Employee Costs"/>
      <sheetName val="Other revenue sources"/>
      <sheetName val="Revenue-Current and Past Year"/>
      <sheetName val="Bad Debt"/>
      <sheetName val="RoE"/>
      <sheetName val="Allocation LT HT EHT"/>
      <sheetName val="Loss Details"/>
      <sheetName val="Manual Consumption Data"/>
      <sheetName val="Consumption Compute - Purchase"/>
      <sheetName val="Consumption Compute-Demand"/>
      <sheetName val="Depreciation Working"/>
      <sheetName val="Depreciation Schedule"/>
      <sheetName val="A&amp;G Expenses"/>
      <sheetName val="Computation of IDC"/>
      <sheetName val="Interest Charges"/>
      <sheetName val="R&amp;M"/>
      <sheetName val="Billing for Residential"/>
      <sheetName val="Billing for Commercial "/>
      <sheetName val="Verification of inputs"/>
      <sheetName val="EHT Load Factor Billing"/>
      <sheetName val="HT Load Factor Billing"/>
      <sheetName val="Costs at diff voltage levels"/>
      <sheetName val="Discounts and Penalties"/>
      <sheetName val="Tariff Design"/>
      <sheetName val="Ensuing Year-Proposed Tarif"/>
      <sheetName val="Consumption Data "/>
      <sheetName val="Ensuing Year-Existing Tariff"/>
      <sheetName val="Existing Tariff Structure"/>
      <sheetName val="Final Consumption Status"/>
      <sheetName val="Existing Gap"/>
      <sheetName val="Tariff Comparision"/>
      <sheetName val="Network Cost Calculation"/>
      <sheetName val="Process 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Capitalization Expenses Manual"/>
      <sheetName val="Capitalization of Expenses"/>
      <sheetName val="Loan Summary - Working Cap"/>
      <sheetName val="Details of Loan - Working Cap"/>
      <sheetName val="Details of Loan - Capital Works"/>
      <sheetName val="Loan Summary - Capital Works"/>
      <sheetName val="Current Year"/>
      <sheetName val="Costs at voltage Current year"/>
      <sheetName val="CWIP"/>
      <sheetName val="Other revenue sources Manual"/>
      <sheetName val="A&amp;G Expenses Manual"/>
      <sheetName val="Special Appropriations Manual"/>
      <sheetName val="Employee Cost Manual"/>
      <sheetName val="Interest Charges Manual"/>
      <sheetName val="Manual CWIP"/>
      <sheetName val="R&amp;M Manual"/>
      <sheetName val="Manual Loss Details"/>
      <sheetName val="Discounts and Penalties Manual"/>
      <sheetName val="Revenue Current Past Manual "/>
      <sheetName val="Power Purchase Cost Manual"/>
      <sheetName val="Power Purchase Cost"/>
      <sheetName val="Allocation-Network, Supply cost"/>
      <sheetName val="Special Appropriations"/>
      <sheetName val="Cost Allocation"/>
      <sheetName val="Employee Costs"/>
      <sheetName val="Other revenue sources"/>
      <sheetName val="Revenue-Current and Past Year"/>
      <sheetName val="Bad Debt"/>
      <sheetName val="RoE"/>
      <sheetName val="Allocation LT HT EHT"/>
      <sheetName val="Loss Details"/>
      <sheetName val="Manual Consumption Data"/>
      <sheetName val="Consumption Compute - Purchase"/>
      <sheetName val="Consumption Compute-Demand"/>
      <sheetName val="Depreciation Working"/>
      <sheetName val="Depreciation Schedule"/>
      <sheetName val="A&amp;G Expenses"/>
      <sheetName val="Computation of IDC"/>
      <sheetName val="Interest Charges"/>
      <sheetName val="R&amp;M"/>
      <sheetName val="Billing for Residential"/>
      <sheetName val="Billing for Commercial "/>
      <sheetName val="Verification of inputs"/>
      <sheetName val="EHT Load Factor Billing"/>
      <sheetName val="HT Load Factor Billing"/>
      <sheetName val="Costs at diff voltage levels"/>
      <sheetName val="Discounts and Penalties"/>
      <sheetName val="Tariff Design"/>
      <sheetName val="Ensuing Year-Proposed Tarif"/>
      <sheetName val="Consumption Data "/>
      <sheetName val="Ensuing Year-Existing Tariff"/>
      <sheetName val="Existing Tariff Structure"/>
      <sheetName val="Final Consumption Status"/>
      <sheetName val="Existing Gap"/>
      <sheetName val="Tariff Comparision"/>
      <sheetName val="Network Cost Calculation"/>
      <sheetName val="Process 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Capitalization Expenses Manual"/>
      <sheetName val="Capitalization of Expenses"/>
      <sheetName val="Loan Summary - Working Cap"/>
      <sheetName val="Details of Loan - Working Cap"/>
      <sheetName val="Details of Loan - Capital Works"/>
      <sheetName val="Loan Summary - Capital Works"/>
      <sheetName val="Current Year"/>
      <sheetName val="Costs at voltage Current year"/>
      <sheetName val="CWIP"/>
      <sheetName val="Other revenue sources Manual"/>
      <sheetName val="A&amp;G Expenses Manual"/>
      <sheetName val="Special Appropriations Manual"/>
      <sheetName val="Employee Cost Manual"/>
      <sheetName val="Interest Charges Manual"/>
      <sheetName val="Manual CWIP"/>
      <sheetName val="R&amp;M Manual"/>
      <sheetName val="Manual Loss Details"/>
      <sheetName val="Discounts and Penalties Manual"/>
      <sheetName val="Revenue Current Past Manual "/>
      <sheetName val="Power Purchase Cost Manual"/>
      <sheetName val="Power Purchase Cost"/>
      <sheetName val="Allocation-Network, Supply cost"/>
      <sheetName val="Special Appropriations"/>
      <sheetName val="Cost Allocation"/>
      <sheetName val="Employee Costs"/>
      <sheetName val="Other revenue sources"/>
      <sheetName val="Revenue-Current and Past Year"/>
      <sheetName val="Bad Debt"/>
      <sheetName val="RoE"/>
      <sheetName val="Allocation LT HT EHT"/>
      <sheetName val="Loss Details"/>
      <sheetName val="Manual Consumption Data"/>
      <sheetName val="Consumption Compute - Purchase"/>
      <sheetName val="Consumption Compute-Demand"/>
      <sheetName val="Depreciation Working"/>
      <sheetName val="Depreciation Schedule"/>
      <sheetName val="A&amp;G Expenses"/>
      <sheetName val="Computation of IDC"/>
      <sheetName val="Interest Charges"/>
      <sheetName val="R&amp;M"/>
      <sheetName val="Billing for Residential"/>
      <sheetName val="Billing for Commercial "/>
      <sheetName val="Verification of inputs"/>
      <sheetName val="EHT Load Factor Billing"/>
      <sheetName val="HT Load Factor Billing"/>
      <sheetName val="Costs at diff voltage levels"/>
      <sheetName val="Discounts and Penalties"/>
      <sheetName val="Tariff Design"/>
      <sheetName val="Ensuing Year-Proposed Tarif"/>
      <sheetName val="Consumption Data "/>
      <sheetName val="Ensuing Year-Existing Tariff"/>
      <sheetName val="Existing Tariff Structure"/>
      <sheetName val="Final Consumption Status"/>
      <sheetName val="Existing Gap"/>
      <sheetName val="Tariff Comparision"/>
      <sheetName val="Network Cost Calculation"/>
      <sheetName val="Process 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 Categories"/>
      <sheetName val="Category &amp; Voltages"/>
      <sheetName val="Consumer Analysis"/>
      <sheetName val="MD to CD"/>
      <sheetName val="MD to CD analysis"/>
      <sheetName val="Working Sheet"/>
      <sheetName val="Consumer Data &gt;100kV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 Categories"/>
      <sheetName val="Category &amp; Voltages"/>
      <sheetName val="Consumer Analysis"/>
      <sheetName val="MD to CD"/>
      <sheetName val="MD to CD analysis"/>
      <sheetName val="Working Sheet"/>
      <sheetName val="Consumer Data &gt;100kV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mailto:INT@5.4%25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7"/>
  <sheetViews>
    <sheetView workbookViewId="0">
      <pane xSplit="2" ySplit="8" topLeftCell="C52" activePane="bottomRight" state="frozen"/>
      <selection activeCell="C21" sqref="C21"/>
      <selection pane="topRight" activeCell="C21" sqref="C21"/>
      <selection pane="bottomLeft" activeCell="C21" sqref="C21"/>
      <selection pane="bottomRight" activeCell="I63" sqref="I63"/>
    </sheetView>
  </sheetViews>
  <sheetFormatPr defaultColWidth="14.7265625" defaultRowHeight="12.5"/>
  <cols>
    <col min="1" max="1" width="2" style="332" hidden="1" customWidth="1"/>
    <col min="2" max="2" width="4.1796875" style="332" customWidth="1"/>
    <col min="3" max="3" width="35.81640625" style="332" customWidth="1"/>
    <col min="4" max="4" width="7.7265625" style="332" customWidth="1"/>
    <col min="5" max="5" width="10.54296875" style="333" customWidth="1"/>
    <col min="6" max="6" width="9.453125" style="333" hidden="1" customWidth="1"/>
    <col min="7" max="7" width="9.1796875" style="333" hidden="1" customWidth="1"/>
    <col min="8" max="8" width="11.26953125" style="333" customWidth="1"/>
    <col min="9" max="9" width="12.1796875" style="332" customWidth="1"/>
    <col min="10" max="10" width="10" style="332" hidden="1" customWidth="1"/>
    <col min="11" max="11" width="9.453125" style="332" hidden="1" customWidth="1"/>
    <col min="12" max="12" width="10.81640625" style="332" customWidth="1"/>
    <col min="13" max="16384" width="14.7265625" style="332"/>
  </cols>
  <sheetData>
    <row r="1" spans="2:12" ht="24.75" customHeight="1"/>
    <row r="2" spans="2:12" ht="15.5">
      <c r="B2" s="334"/>
      <c r="C2" s="335"/>
      <c r="D2" s="335"/>
      <c r="E2" s="336"/>
      <c r="F2" s="336"/>
      <c r="G2" s="336"/>
      <c r="H2" s="336"/>
    </row>
    <row r="3" spans="2:12" ht="15.5">
      <c r="B3" s="334"/>
      <c r="C3" s="335"/>
      <c r="D3" s="335"/>
      <c r="E3" s="336"/>
      <c r="F3" s="336"/>
      <c r="G3" s="336"/>
      <c r="H3" s="336"/>
    </row>
    <row r="4" spans="2:12" ht="15.5">
      <c r="B4" s="334" t="s">
        <v>340</v>
      </c>
      <c r="C4" s="335"/>
      <c r="D4" s="335"/>
      <c r="E4" s="336"/>
      <c r="F4" s="336"/>
      <c r="G4" s="336"/>
      <c r="H4" s="336"/>
    </row>
    <row r="5" spans="2:12" ht="13">
      <c r="C5" s="337"/>
    </row>
    <row r="6" spans="2:12" ht="13">
      <c r="B6" s="338"/>
      <c r="C6" s="339"/>
      <c r="D6" s="338"/>
      <c r="E6" s="3164" t="s">
        <v>945</v>
      </c>
      <c r="F6" s="3164"/>
      <c r="G6" s="3164"/>
      <c r="H6" s="3164"/>
      <c r="I6" s="3164" t="s">
        <v>425</v>
      </c>
      <c r="J6" s="3164"/>
      <c r="K6" s="3164"/>
      <c r="L6" s="3164"/>
    </row>
    <row r="7" spans="2:12" s="344" customFormat="1" ht="76.5" customHeight="1">
      <c r="B7" s="341"/>
      <c r="C7" s="342" t="s">
        <v>485</v>
      </c>
      <c r="D7" s="342" t="s">
        <v>464</v>
      </c>
      <c r="E7" s="343" t="s">
        <v>1006</v>
      </c>
      <c r="F7" s="343" t="s">
        <v>1007</v>
      </c>
      <c r="G7" s="343" t="s">
        <v>1008</v>
      </c>
      <c r="H7" s="343" t="s">
        <v>1009</v>
      </c>
      <c r="I7" s="343" t="s">
        <v>1006</v>
      </c>
      <c r="J7" s="343" t="s">
        <v>1007</v>
      </c>
      <c r="K7" s="343" t="s">
        <v>1008</v>
      </c>
      <c r="L7" s="343" t="s">
        <v>1009</v>
      </c>
    </row>
    <row r="8" spans="2:12" s="337" customFormat="1" ht="13">
      <c r="B8" s="345"/>
      <c r="C8" s="345"/>
      <c r="D8" s="345"/>
      <c r="E8" s="345" t="s">
        <v>665</v>
      </c>
      <c r="F8" s="345" t="s">
        <v>665</v>
      </c>
      <c r="G8" s="345" t="s">
        <v>665</v>
      </c>
      <c r="H8" s="345" t="s">
        <v>665</v>
      </c>
      <c r="I8" s="345" t="s">
        <v>665</v>
      </c>
      <c r="J8" s="345" t="s">
        <v>665</v>
      </c>
      <c r="K8" s="345" t="s">
        <v>665</v>
      </c>
      <c r="L8" s="345" t="s">
        <v>665</v>
      </c>
    </row>
    <row r="9" spans="2:12" s="337" customFormat="1" ht="13">
      <c r="B9" s="346"/>
      <c r="C9" s="346" t="s">
        <v>161</v>
      </c>
      <c r="D9" s="346"/>
      <c r="E9" s="347"/>
      <c r="F9" s="347"/>
      <c r="G9" s="347"/>
      <c r="H9" s="347"/>
      <c r="I9" s="339"/>
      <c r="J9" s="339"/>
      <c r="K9" s="339"/>
      <c r="L9" s="339"/>
    </row>
    <row r="10" spans="2:12">
      <c r="B10" s="348">
        <v>1</v>
      </c>
      <c r="C10" s="349" t="s">
        <v>666</v>
      </c>
      <c r="D10" s="348" t="s">
        <v>1496</v>
      </c>
      <c r="E10" s="350"/>
      <c r="F10" s="350"/>
      <c r="G10" s="350"/>
      <c r="H10" s="350"/>
      <c r="I10" s="338"/>
      <c r="J10" s="338"/>
      <c r="K10" s="338"/>
      <c r="L10" s="338"/>
    </row>
    <row r="11" spans="2:12">
      <c r="B11" s="348" t="s">
        <v>637</v>
      </c>
      <c r="C11" s="349" t="s">
        <v>465</v>
      </c>
      <c r="D11" s="338"/>
      <c r="E11" s="350"/>
      <c r="F11" s="350">
        <v>0.18</v>
      </c>
      <c r="G11" s="350"/>
      <c r="H11" s="350"/>
      <c r="I11" s="338"/>
      <c r="J11" s="428">
        <v>0.1</v>
      </c>
      <c r="K11" s="338"/>
      <c r="L11" s="338"/>
    </row>
    <row r="12" spans="2:12">
      <c r="B12" s="348" t="s">
        <v>441</v>
      </c>
      <c r="C12" s="349" t="s">
        <v>116</v>
      </c>
      <c r="D12" s="338"/>
      <c r="E12" s="350"/>
      <c r="F12" s="350"/>
      <c r="G12" s="350"/>
      <c r="H12" s="350"/>
      <c r="I12" s="338"/>
      <c r="J12" s="338"/>
      <c r="K12" s="338"/>
      <c r="L12" s="338"/>
    </row>
    <row r="13" spans="2:12">
      <c r="B13" s="348"/>
      <c r="C13" s="349" t="s">
        <v>1324</v>
      </c>
      <c r="D13" s="338"/>
      <c r="E13" s="350"/>
      <c r="F13" s="350"/>
      <c r="G13" s="350"/>
      <c r="H13" s="350"/>
      <c r="I13" s="338"/>
      <c r="J13" s="338"/>
      <c r="K13" s="338"/>
      <c r="L13" s="338"/>
    </row>
    <row r="14" spans="2:12">
      <c r="B14" s="348"/>
      <c r="C14" s="349" t="s">
        <v>1325</v>
      </c>
      <c r="D14" s="338"/>
      <c r="E14" s="350"/>
      <c r="F14" s="350"/>
      <c r="G14" s="350"/>
      <c r="H14" s="350"/>
      <c r="I14" s="338"/>
      <c r="J14" s="338"/>
      <c r="K14" s="338"/>
      <c r="L14" s="338"/>
    </row>
    <row r="15" spans="2:12">
      <c r="B15" s="348"/>
      <c r="C15" s="349" t="s">
        <v>1326</v>
      </c>
      <c r="D15" s="338"/>
      <c r="E15" s="350"/>
      <c r="F15" s="350"/>
      <c r="G15" s="350"/>
      <c r="H15" s="350"/>
      <c r="I15" s="338"/>
      <c r="J15" s="338"/>
      <c r="K15" s="338"/>
      <c r="L15" s="338"/>
    </row>
    <row r="16" spans="2:12" s="337" customFormat="1" ht="13">
      <c r="B16" s="345"/>
      <c r="C16" s="339" t="s">
        <v>957</v>
      </c>
      <c r="D16" s="345"/>
      <c r="E16" s="350"/>
      <c r="F16" s="350">
        <v>173.5</v>
      </c>
      <c r="G16" s="350">
        <v>3.76</v>
      </c>
      <c r="H16" s="350"/>
      <c r="I16" s="339"/>
      <c r="J16" s="429">
        <v>71.94</v>
      </c>
      <c r="K16" s="345">
        <v>2.0699999999999998</v>
      </c>
      <c r="L16" s="348"/>
    </row>
    <row r="17" spans="2:12">
      <c r="B17" s="348">
        <v>2</v>
      </c>
      <c r="C17" s="338" t="s">
        <v>958</v>
      </c>
      <c r="D17" s="348" t="s">
        <v>1496</v>
      </c>
      <c r="E17" s="350"/>
      <c r="F17" s="350"/>
      <c r="G17" s="350"/>
      <c r="H17" s="350"/>
      <c r="I17" s="338"/>
      <c r="J17" s="338"/>
      <c r="K17" s="338"/>
      <c r="L17" s="338"/>
    </row>
    <row r="18" spans="2:12">
      <c r="B18" s="348"/>
      <c r="C18" s="349" t="s">
        <v>1328</v>
      </c>
      <c r="D18" s="348"/>
      <c r="E18" s="350"/>
      <c r="F18" s="350"/>
      <c r="G18" s="350"/>
      <c r="H18" s="350"/>
      <c r="I18" s="338"/>
      <c r="J18" s="338"/>
      <c r="K18" s="338"/>
      <c r="L18" s="338"/>
    </row>
    <row r="19" spans="2:12">
      <c r="B19" s="348"/>
      <c r="C19" s="349" t="s">
        <v>1329</v>
      </c>
      <c r="D19" s="348"/>
      <c r="E19" s="350"/>
      <c r="F19" s="350"/>
      <c r="G19" s="350"/>
      <c r="H19" s="350"/>
      <c r="I19" s="338"/>
      <c r="J19" s="338"/>
      <c r="K19" s="338"/>
      <c r="L19" s="338"/>
    </row>
    <row r="20" spans="2:12">
      <c r="B20" s="348"/>
      <c r="C20" s="349" t="s">
        <v>1330</v>
      </c>
      <c r="D20" s="338"/>
      <c r="E20" s="350"/>
      <c r="F20" s="350"/>
      <c r="G20" s="350"/>
      <c r="H20" s="350"/>
      <c r="I20" s="338"/>
      <c r="J20" s="338"/>
      <c r="K20" s="338"/>
      <c r="L20" s="338"/>
    </row>
    <row r="21" spans="2:12">
      <c r="B21" s="348"/>
      <c r="C21" s="349" t="s">
        <v>1331</v>
      </c>
      <c r="D21" s="348"/>
      <c r="E21" s="350"/>
      <c r="F21" s="350"/>
      <c r="G21" s="350"/>
      <c r="H21" s="350"/>
      <c r="I21" s="338"/>
      <c r="J21" s="338"/>
      <c r="K21" s="338"/>
      <c r="L21" s="338"/>
    </row>
    <row r="22" spans="2:12" s="337" customFormat="1" ht="13">
      <c r="B22" s="345"/>
      <c r="C22" s="339" t="s">
        <v>959</v>
      </c>
      <c r="D22" s="339"/>
      <c r="E22" s="350">
        <v>0.35</v>
      </c>
      <c r="F22" s="350">
        <v>13.47</v>
      </c>
      <c r="G22" s="350">
        <v>48.85</v>
      </c>
      <c r="H22" s="350"/>
      <c r="I22" s="339"/>
      <c r="J22" s="348">
        <v>4.93</v>
      </c>
      <c r="K22" s="348">
        <v>33.79</v>
      </c>
      <c r="L22" s="339"/>
    </row>
    <row r="23" spans="2:12">
      <c r="B23" s="348">
        <v>3</v>
      </c>
      <c r="C23" s="349" t="s">
        <v>667</v>
      </c>
      <c r="D23" s="348" t="s">
        <v>1496</v>
      </c>
      <c r="E23" s="350"/>
      <c r="F23" s="350"/>
      <c r="G23" s="350">
        <v>9.3800000000000008</v>
      </c>
      <c r="H23" s="350"/>
      <c r="I23" s="338"/>
      <c r="J23" s="338"/>
      <c r="K23" s="348">
        <v>4.2300000000000004</v>
      </c>
      <c r="L23" s="338"/>
    </row>
    <row r="24" spans="2:12">
      <c r="B24" s="348">
        <v>4</v>
      </c>
      <c r="C24" s="349" t="s">
        <v>423</v>
      </c>
      <c r="D24" s="348" t="s">
        <v>1496</v>
      </c>
      <c r="E24" s="350">
        <v>0.09</v>
      </c>
      <c r="F24" s="350"/>
      <c r="G24" s="350"/>
      <c r="H24" s="350"/>
      <c r="I24" s="338"/>
      <c r="J24" s="338"/>
      <c r="K24" s="348"/>
      <c r="L24" s="338"/>
    </row>
    <row r="25" spans="2:12">
      <c r="B25" s="348">
        <v>5</v>
      </c>
      <c r="C25" s="349" t="s">
        <v>424</v>
      </c>
      <c r="D25" s="348" t="s">
        <v>1496</v>
      </c>
      <c r="E25" s="350"/>
      <c r="F25" s="350"/>
      <c r="G25" s="350"/>
      <c r="H25" s="350"/>
      <c r="I25" s="338"/>
      <c r="J25" s="338"/>
      <c r="K25" s="348"/>
      <c r="L25" s="338"/>
    </row>
    <row r="26" spans="2:12">
      <c r="B26" s="348">
        <v>6</v>
      </c>
      <c r="C26" s="349" t="s">
        <v>934</v>
      </c>
      <c r="D26" s="348" t="s">
        <v>1496</v>
      </c>
      <c r="E26" s="350"/>
      <c r="F26" s="350"/>
      <c r="G26" s="350">
        <v>0.57999999999999996</v>
      </c>
      <c r="H26" s="350"/>
      <c r="I26" s="338"/>
      <c r="J26" s="338"/>
      <c r="K26" s="348">
        <v>0.33</v>
      </c>
      <c r="L26" s="338"/>
    </row>
    <row r="27" spans="2:12">
      <c r="B27" s="348">
        <v>7</v>
      </c>
      <c r="C27" s="349" t="s">
        <v>968</v>
      </c>
      <c r="D27" s="348" t="s">
        <v>1496</v>
      </c>
      <c r="E27" s="350"/>
      <c r="F27" s="350"/>
      <c r="G27" s="350">
        <v>25.9</v>
      </c>
      <c r="H27" s="350"/>
      <c r="I27" s="338"/>
      <c r="J27" s="338"/>
      <c r="K27" s="348">
        <v>12.73</v>
      </c>
      <c r="L27" s="338"/>
    </row>
    <row r="28" spans="2:12">
      <c r="B28" s="348">
        <v>8</v>
      </c>
      <c r="C28" s="349" t="s">
        <v>969</v>
      </c>
      <c r="D28" s="348" t="s">
        <v>1496</v>
      </c>
      <c r="E28" s="350">
        <v>1.1299999999999999</v>
      </c>
      <c r="F28" s="350"/>
      <c r="G28" s="350">
        <v>7.85</v>
      </c>
      <c r="H28" s="350"/>
      <c r="I28" s="338"/>
      <c r="J28" s="338"/>
      <c r="K28" s="348">
        <v>4.03</v>
      </c>
      <c r="L28" s="338"/>
    </row>
    <row r="29" spans="2:12">
      <c r="B29" s="348">
        <v>9</v>
      </c>
      <c r="C29" s="349" t="s">
        <v>561</v>
      </c>
      <c r="D29" s="348" t="s">
        <v>1496</v>
      </c>
      <c r="E29" s="350">
        <v>0.11</v>
      </c>
      <c r="F29" s="350">
        <v>3.78</v>
      </c>
      <c r="G29" s="350">
        <v>4.88</v>
      </c>
      <c r="H29" s="350"/>
      <c r="I29" s="338"/>
      <c r="J29" s="348">
        <v>0.66</v>
      </c>
      <c r="K29" s="348">
        <v>2.46</v>
      </c>
      <c r="L29" s="338"/>
    </row>
    <row r="30" spans="2:12">
      <c r="B30" s="348">
        <v>10</v>
      </c>
      <c r="C30" s="349" t="s">
        <v>1004</v>
      </c>
      <c r="D30" s="348" t="s">
        <v>1496</v>
      </c>
      <c r="E30" s="350"/>
      <c r="F30" s="350"/>
      <c r="G30" s="350"/>
      <c r="H30" s="350"/>
      <c r="I30" s="338"/>
      <c r="J30" s="338"/>
      <c r="K30" s="338"/>
      <c r="L30" s="338"/>
    </row>
    <row r="31" spans="2:12">
      <c r="B31" s="348" t="s">
        <v>970</v>
      </c>
      <c r="C31" s="348" t="s">
        <v>971</v>
      </c>
      <c r="D31" s="348"/>
      <c r="E31" s="350"/>
      <c r="F31" s="350"/>
      <c r="G31" s="350">
        <v>11.56</v>
      </c>
      <c r="H31" s="350"/>
      <c r="I31" s="338"/>
      <c r="J31" s="338"/>
      <c r="K31" s="348">
        <v>4.7300000000000004</v>
      </c>
      <c r="L31" s="338"/>
    </row>
    <row r="32" spans="2:12">
      <c r="B32" s="348" t="s">
        <v>972</v>
      </c>
      <c r="C32" s="348" t="s">
        <v>973</v>
      </c>
      <c r="D32" s="348" t="s">
        <v>1496</v>
      </c>
      <c r="E32" s="350"/>
      <c r="F32" s="350"/>
      <c r="G32" s="350"/>
      <c r="H32" s="350"/>
      <c r="I32" s="338"/>
      <c r="J32" s="338"/>
      <c r="K32" s="348"/>
      <c r="L32" s="338"/>
    </row>
    <row r="33" spans="2:12">
      <c r="B33" s="348"/>
      <c r="C33" s="349" t="s">
        <v>1005</v>
      </c>
      <c r="D33" s="348"/>
      <c r="E33" s="350"/>
      <c r="F33" s="350"/>
      <c r="G33" s="350">
        <f>G31+G32</f>
        <v>11.56</v>
      </c>
      <c r="H33" s="350"/>
      <c r="I33" s="338"/>
      <c r="J33" s="338"/>
      <c r="K33" s="350">
        <f>K31+K32</f>
        <v>4.7300000000000004</v>
      </c>
      <c r="L33" s="338"/>
    </row>
    <row r="34" spans="2:12">
      <c r="B34" s="348">
        <v>11</v>
      </c>
      <c r="C34" s="338" t="s">
        <v>974</v>
      </c>
      <c r="D34" s="348" t="s">
        <v>1496</v>
      </c>
      <c r="E34" s="350"/>
      <c r="F34" s="350"/>
      <c r="G34" s="350"/>
      <c r="H34" s="350"/>
      <c r="I34" s="338"/>
      <c r="J34" s="338"/>
      <c r="K34" s="348"/>
      <c r="L34" s="338"/>
    </row>
    <row r="35" spans="2:12">
      <c r="B35" s="348">
        <v>12</v>
      </c>
      <c r="C35" s="338" t="s">
        <v>890</v>
      </c>
      <c r="D35" s="348" t="s">
        <v>1496</v>
      </c>
      <c r="E35" s="350"/>
      <c r="F35" s="350"/>
      <c r="G35" s="350"/>
      <c r="H35" s="350"/>
      <c r="I35" s="338"/>
      <c r="J35" s="338"/>
      <c r="K35" s="350"/>
      <c r="L35" s="348"/>
    </row>
    <row r="36" spans="2:12" s="337" customFormat="1" ht="13">
      <c r="B36" s="345"/>
      <c r="C36" s="339" t="s">
        <v>975</v>
      </c>
      <c r="D36" s="345"/>
      <c r="E36" s="340">
        <f t="shared" ref="E36:L36" si="0">E16+E22+SUM(E23:E29,E33:E35)</f>
        <v>1.6800000000000002</v>
      </c>
      <c r="F36" s="340">
        <f t="shared" si="0"/>
        <v>190.75</v>
      </c>
      <c r="G36" s="340">
        <f t="shared" si="0"/>
        <v>112.76</v>
      </c>
      <c r="H36" s="340">
        <f t="shared" si="0"/>
        <v>0</v>
      </c>
      <c r="I36" s="340">
        <f t="shared" si="0"/>
        <v>0</v>
      </c>
      <c r="J36" s="340">
        <f t="shared" si="0"/>
        <v>77.53</v>
      </c>
      <c r="K36" s="340">
        <f t="shared" si="0"/>
        <v>64.37</v>
      </c>
      <c r="L36" s="340">
        <f t="shared" si="0"/>
        <v>0</v>
      </c>
    </row>
    <row r="37" spans="2:12" s="337" customFormat="1" ht="13">
      <c r="B37" s="345"/>
      <c r="C37" s="345" t="s">
        <v>1333</v>
      </c>
      <c r="D37" s="345"/>
      <c r="E37" s="340"/>
      <c r="F37" s="340"/>
      <c r="G37" s="340"/>
      <c r="H37" s="340"/>
      <c r="I37" s="345"/>
      <c r="J37" s="339"/>
      <c r="K37" s="339"/>
      <c r="L37" s="339"/>
    </row>
    <row r="38" spans="2:12">
      <c r="B38" s="348">
        <v>13</v>
      </c>
      <c r="C38" s="338" t="s">
        <v>1334</v>
      </c>
      <c r="D38" s="348" t="s">
        <v>169</v>
      </c>
      <c r="E38" s="350">
        <v>1.1399999999999999</v>
      </c>
      <c r="F38" s="350"/>
      <c r="G38" s="350"/>
      <c r="H38" s="350"/>
      <c r="I38" s="348">
        <v>0.67</v>
      </c>
      <c r="J38" s="338"/>
      <c r="K38" s="348"/>
      <c r="L38" s="338"/>
    </row>
    <row r="39" spans="2:12">
      <c r="B39" s="348">
        <v>14</v>
      </c>
      <c r="C39" s="338" t="s">
        <v>667</v>
      </c>
      <c r="D39" s="348" t="s">
        <v>169</v>
      </c>
      <c r="E39" s="350"/>
      <c r="F39" s="350"/>
      <c r="G39" s="350"/>
      <c r="H39" s="350"/>
      <c r="I39" s="348"/>
      <c r="J39" s="338"/>
      <c r="K39" s="338"/>
      <c r="L39" s="338"/>
    </row>
    <row r="40" spans="2:12">
      <c r="B40" s="348">
        <v>15</v>
      </c>
      <c r="C40" s="349" t="s">
        <v>423</v>
      </c>
      <c r="D40" s="348" t="s">
        <v>169</v>
      </c>
      <c r="E40" s="350">
        <f>0.33</f>
        <v>0.33</v>
      </c>
      <c r="F40" s="350"/>
      <c r="G40" s="350"/>
      <c r="H40" s="350"/>
      <c r="I40" s="348">
        <v>0.16</v>
      </c>
      <c r="J40" s="338"/>
      <c r="K40" s="338"/>
      <c r="L40" s="338"/>
    </row>
    <row r="41" spans="2:12">
      <c r="B41" s="348">
        <v>16</v>
      </c>
      <c r="C41" s="349" t="s">
        <v>424</v>
      </c>
      <c r="D41" s="348" t="s">
        <v>169</v>
      </c>
      <c r="E41" s="350">
        <v>0.04</v>
      </c>
      <c r="F41" s="350"/>
      <c r="G41" s="350"/>
      <c r="H41" s="350"/>
      <c r="I41" s="348"/>
      <c r="J41" s="338"/>
      <c r="K41" s="338"/>
      <c r="L41" s="338"/>
    </row>
    <row r="42" spans="2:12">
      <c r="B42" s="348">
        <v>17</v>
      </c>
      <c r="C42" s="349" t="s">
        <v>561</v>
      </c>
      <c r="D42" s="348" t="s">
        <v>169</v>
      </c>
      <c r="E42" s="350">
        <v>1.8</v>
      </c>
      <c r="F42" s="350"/>
      <c r="G42" s="350"/>
      <c r="H42" s="350"/>
      <c r="I42" s="348">
        <v>0.99</v>
      </c>
      <c r="J42" s="338"/>
      <c r="K42" s="348"/>
      <c r="L42" s="338"/>
    </row>
    <row r="43" spans="2:12">
      <c r="B43" s="348">
        <v>18</v>
      </c>
      <c r="C43" s="338" t="s">
        <v>976</v>
      </c>
      <c r="D43" s="348" t="s">
        <v>169</v>
      </c>
      <c r="E43" s="350"/>
      <c r="F43" s="350"/>
      <c r="G43" s="350"/>
      <c r="H43" s="350"/>
      <c r="I43" s="348"/>
      <c r="J43" s="338"/>
      <c r="K43" s="338"/>
      <c r="L43" s="338"/>
    </row>
    <row r="44" spans="2:12">
      <c r="B44" s="348">
        <v>19</v>
      </c>
      <c r="C44" s="349" t="s">
        <v>977</v>
      </c>
      <c r="D44" s="348" t="s">
        <v>169</v>
      </c>
      <c r="E44" s="350"/>
      <c r="F44" s="350"/>
      <c r="G44" s="350">
        <v>10.15</v>
      </c>
      <c r="H44" s="350"/>
      <c r="I44" s="348">
        <v>1.51</v>
      </c>
      <c r="J44" s="338"/>
      <c r="K44" s="338">
        <v>6.06</v>
      </c>
      <c r="L44" s="338"/>
    </row>
    <row r="45" spans="2:12">
      <c r="B45" s="348">
        <v>20</v>
      </c>
      <c r="C45" s="338" t="s">
        <v>974</v>
      </c>
      <c r="D45" s="348" t="s">
        <v>169</v>
      </c>
      <c r="E45" s="350">
        <v>6.14</v>
      </c>
      <c r="F45" s="350"/>
      <c r="G45" s="350"/>
      <c r="H45" s="350">
        <v>3.62</v>
      </c>
      <c r="I45" s="348">
        <v>3.09</v>
      </c>
      <c r="J45" s="338"/>
      <c r="K45" s="348"/>
      <c r="L45" s="348">
        <v>2.83</v>
      </c>
    </row>
    <row r="46" spans="2:12">
      <c r="B46" s="348">
        <v>21</v>
      </c>
      <c r="C46" s="349" t="s">
        <v>1004</v>
      </c>
      <c r="D46" s="348" t="s">
        <v>169</v>
      </c>
      <c r="E46" s="350">
        <v>5.04</v>
      </c>
      <c r="F46" s="350"/>
      <c r="G46" s="350"/>
      <c r="H46" s="350">
        <v>3.18</v>
      </c>
      <c r="I46" s="350">
        <v>2.39</v>
      </c>
      <c r="J46" s="338"/>
      <c r="K46" s="348"/>
      <c r="L46" s="350">
        <v>1.87</v>
      </c>
    </row>
    <row r="47" spans="2:12">
      <c r="B47" s="348">
        <v>22</v>
      </c>
      <c r="C47" s="338" t="s">
        <v>890</v>
      </c>
      <c r="D47" s="348" t="s">
        <v>169</v>
      </c>
      <c r="E47" s="350">
        <v>32.22</v>
      </c>
      <c r="F47" s="350"/>
      <c r="G47" s="350"/>
      <c r="H47" s="350">
        <v>66.62</v>
      </c>
      <c r="I47" s="350">
        <f>29.18-12.78</f>
        <v>16.399999999999999</v>
      </c>
      <c r="J47" s="338"/>
      <c r="K47" s="348"/>
      <c r="L47" s="348">
        <v>22.57</v>
      </c>
    </row>
    <row r="48" spans="2:12">
      <c r="B48" s="348">
        <v>23</v>
      </c>
      <c r="C48" s="338" t="s">
        <v>893</v>
      </c>
      <c r="D48" s="348" t="s">
        <v>169</v>
      </c>
      <c r="E48" s="350"/>
      <c r="F48" s="350"/>
      <c r="G48" s="350"/>
      <c r="H48" s="350"/>
      <c r="I48" s="348"/>
      <c r="J48" s="338"/>
      <c r="K48" s="348"/>
      <c r="L48" s="350"/>
    </row>
    <row r="49" spans="2:12">
      <c r="B49" s="348">
        <v>24</v>
      </c>
      <c r="C49" s="338" t="s">
        <v>1336</v>
      </c>
      <c r="D49" s="348" t="s">
        <v>169</v>
      </c>
      <c r="E49" s="350"/>
      <c r="F49" s="350"/>
      <c r="G49" s="350"/>
      <c r="H49" s="350"/>
      <c r="I49" s="348"/>
      <c r="J49" s="338"/>
      <c r="K49" s="338"/>
      <c r="L49" s="338"/>
    </row>
    <row r="50" spans="2:12">
      <c r="B50" s="348">
        <v>25</v>
      </c>
      <c r="C50" s="338" t="s">
        <v>891</v>
      </c>
      <c r="D50" s="348" t="s">
        <v>169</v>
      </c>
      <c r="E50" s="350"/>
      <c r="F50" s="350"/>
      <c r="G50" s="350"/>
      <c r="H50" s="350"/>
      <c r="I50" s="348"/>
      <c r="J50" s="338"/>
      <c r="K50" s="338"/>
      <c r="L50" s="338"/>
    </row>
    <row r="51" spans="2:12">
      <c r="B51" s="348">
        <v>26</v>
      </c>
      <c r="C51" s="338" t="s">
        <v>1339</v>
      </c>
      <c r="D51" s="348" t="s">
        <v>169</v>
      </c>
      <c r="E51" s="350"/>
      <c r="F51" s="350"/>
      <c r="G51" s="350"/>
      <c r="H51" s="350"/>
      <c r="I51" s="348"/>
      <c r="J51" s="338"/>
      <c r="K51" s="338"/>
      <c r="L51" s="338"/>
    </row>
    <row r="52" spans="2:12">
      <c r="B52" s="348">
        <v>27</v>
      </c>
      <c r="C52" s="338" t="s">
        <v>1337</v>
      </c>
      <c r="D52" s="348" t="s">
        <v>169</v>
      </c>
      <c r="E52" s="350"/>
      <c r="F52" s="350"/>
      <c r="G52" s="350"/>
      <c r="H52" s="350"/>
      <c r="I52" s="348"/>
      <c r="J52" s="338"/>
      <c r="K52" s="338"/>
      <c r="L52" s="338"/>
    </row>
    <row r="53" spans="2:12">
      <c r="B53" s="348">
        <v>28</v>
      </c>
      <c r="C53" s="338" t="s">
        <v>646</v>
      </c>
      <c r="D53" s="348"/>
      <c r="E53" s="350"/>
      <c r="F53" s="350"/>
      <c r="G53" s="350"/>
      <c r="H53" s="350"/>
      <c r="I53" s="348"/>
      <c r="J53" s="338"/>
      <c r="K53" s="348"/>
      <c r="L53" s="338"/>
    </row>
    <row r="54" spans="2:12" s="337" customFormat="1" ht="13">
      <c r="B54" s="345"/>
      <c r="C54" s="339" t="s">
        <v>967</v>
      </c>
      <c r="D54" s="345"/>
      <c r="E54" s="340">
        <f t="shared" ref="E54:L54" si="1">SUM(E38:E53)</f>
        <v>46.709999999999994</v>
      </c>
      <c r="F54" s="340">
        <f t="shared" si="1"/>
        <v>0</v>
      </c>
      <c r="G54" s="340">
        <f t="shared" si="1"/>
        <v>10.15</v>
      </c>
      <c r="H54" s="340">
        <f t="shared" si="1"/>
        <v>73.42</v>
      </c>
      <c r="I54" s="340">
        <f t="shared" si="1"/>
        <v>25.21</v>
      </c>
      <c r="J54" s="340">
        <f t="shared" si="1"/>
        <v>0</v>
      </c>
      <c r="K54" s="340">
        <f t="shared" si="1"/>
        <v>6.06</v>
      </c>
      <c r="L54" s="340">
        <f t="shared" si="1"/>
        <v>27.27</v>
      </c>
    </row>
    <row r="55" spans="2:12" s="337" customFormat="1" ht="13">
      <c r="B55" s="345"/>
      <c r="C55" s="345" t="s">
        <v>1338</v>
      </c>
      <c r="D55" s="345"/>
      <c r="E55" s="340"/>
      <c r="F55" s="340"/>
      <c r="G55" s="340"/>
      <c r="H55" s="340"/>
      <c r="I55" s="339"/>
      <c r="J55" s="339"/>
      <c r="K55" s="339"/>
      <c r="L55" s="339"/>
    </row>
    <row r="56" spans="2:12">
      <c r="B56" s="348">
        <v>29</v>
      </c>
      <c r="C56" s="338" t="s">
        <v>670</v>
      </c>
      <c r="D56" s="348" t="s">
        <v>1494</v>
      </c>
      <c r="E56" s="350"/>
      <c r="F56" s="350"/>
      <c r="G56" s="350"/>
      <c r="H56" s="350"/>
      <c r="I56" s="338"/>
      <c r="J56" s="338"/>
      <c r="K56" s="338"/>
      <c r="L56" s="338"/>
    </row>
    <row r="57" spans="2:12">
      <c r="B57" s="348">
        <v>30</v>
      </c>
      <c r="C57" s="338" t="s">
        <v>890</v>
      </c>
      <c r="D57" s="348" t="s">
        <v>1494</v>
      </c>
      <c r="E57" s="350">
        <v>28.31</v>
      </c>
      <c r="F57" s="350"/>
      <c r="G57" s="350"/>
      <c r="H57" s="350">
        <v>39.94</v>
      </c>
      <c r="I57" s="350">
        <v>12.78</v>
      </c>
      <c r="J57" s="338"/>
      <c r="K57" s="348"/>
      <c r="L57" s="350">
        <v>3.3</v>
      </c>
    </row>
    <row r="58" spans="2:12">
      <c r="B58" s="348">
        <v>31</v>
      </c>
      <c r="C58" s="338" t="s">
        <v>891</v>
      </c>
      <c r="D58" s="348" t="s">
        <v>1494</v>
      </c>
      <c r="E58" s="350"/>
      <c r="F58" s="350"/>
      <c r="G58" s="350"/>
      <c r="H58" s="350">
        <v>4.6100000000000003</v>
      </c>
      <c r="I58" s="338"/>
      <c r="J58" s="338"/>
      <c r="K58" s="348"/>
      <c r="L58" s="348">
        <v>1.92</v>
      </c>
    </row>
    <row r="59" spans="2:12">
      <c r="B59" s="348">
        <v>32</v>
      </c>
      <c r="C59" s="338" t="s">
        <v>892</v>
      </c>
      <c r="D59" s="348" t="s">
        <v>1494</v>
      </c>
      <c r="E59" s="350"/>
      <c r="F59" s="350"/>
      <c r="G59" s="350"/>
      <c r="H59" s="350"/>
      <c r="I59" s="338"/>
      <c r="J59" s="338"/>
      <c r="K59" s="338"/>
      <c r="L59" s="338"/>
    </row>
    <row r="60" spans="2:12">
      <c r="B60" s="348">
        <v>33</v>
      </c>
      <c r="C60" s="338" t="s">
        <v>893</v>
      </c>
      <c r="D60" s="348" t="s">
        <v>1494</v>
      </c>
      <c r="E60" s="350"/>
      <c r="F60" s="350"/>
      <c r="G60" s="350"/>
      <c r="H60" s="350"/>
      <c r="I60" s="338"/>
      <c r="J60" s="338"/>
      <c r="K60" s="338"/>
      <c r="L60" s="338"/>
    </row>
    <row r="61" spans="2:12">
      <c r="B61" s="348">
        <v>34</v>
      </c>
      <c r="C61" s="338" t="s">
        <v>1336</v>
      </c>
      <c r="D61" s="348" t="s">
        <v>1494</v>
      </c>
      <c r="E61" s="350"/>
      <c r="F61" s="350"/>
      <c r="G61" s="350"/>
      <c r="H61" s="350"/>
      <c r="I61" s="338"/>
      <c r="J61" s="338"/>
      <c r="K61" s="338"/>
      <c r="L61" s="338"/>
    </row>
    <row r="62" spans="2:12">
      <c r="B62" s="348">
        <v>35</v>
      </c>
      <c r="C62" s="338" t="s">
        <v>1339</v>
      </c>
      <c r="D62" s="348" t="s">
        <v>1494</v>
      </c>
      <c r="E62" s="350"/>
      <c r="F62" s="350"/>
      <c r="G62" s="350"/>
      <c r="H62" s="350"/>
      <c r="I62" s="338"/>
      <c r="J62" s="338"/>
      <c r="K62" s="338"/>
      <c r="L62" s="338"/>
    </row>
    <row r="63" spans="2:12">
      <c r="B63" s="348">
        <v>36</v>
      </c>
      <c r="C63" s="338" t="s">
        <v>1337</v>
      </c>
      <c r="D63" s="348" t="s">
        <v>1494</v>
      </c>
      <c r="E63" s="350"/>
      <c r="F63" s="350"/>
      <c r="G63" s="350"/>
      <c r="H63" s="350"/>
      <c r="I63" s="338"/>
      <c r="J63" s="338"/>
      <c r="K63" s="338"/>
      <c r="L63" s="338"/>
    </row>
    <row r="64" spans="2:12">
      <c r="B64" s="348">
        <v>37</v>
      </c>
      <c r="C64" s="338" t="s">
        <v>646</v>
      </c>
      <c r="D64" s="348"/>
      <c r="E64" s="350"/>
      <c r="F64" s="350"/>
      <c r="G64" s="350"/>
      <c r="H64" s="350"/>
      <c r="I64" s="338"/>
      <c r="J64" s="338"/>
      <c r="K64" s="338"/>
      <c r="L64" s="338"/>
    </row>
    <row r="65" spans="2:12" s="337" customFormat="1" ht="13">
      <c r="B65" s="351"/>
      <c r="C65" s="339" t="s">
        <v>1265</v>
      </c>
      <c r="D65" s="345"/>
      <c r="E65" s="340">
        <f t="shared" ref="E65:L65" si="2">SUM(E56:E64)</f>
        <v>28.31</v>
      </c>
      <c r="F65" s="340">
        <f t="shared" si="2"/>
        <v>0</v>
      </c>
      <c r="G65" s="340">
        <f t="shared" si="2"/>
        <v>0</v>
      </c>
      <c r="H65" s="340">
        <f t="shared" si="2"/>
        <v>44.55</v>
      </c>
      <c r="I65" s="340">
        <f t="shared" si="2"/>
        <v>12.78</v>
      </c>
      <c r="J65" s="340">
        <f t="shared" si="2"/>
        <v>0</v>
      </c>
      <c r="K65" s="340">
        <f t="shared" si="2"/>
        <v>0</v>
      </c>
      <c r="L65" s="340">
        <f t="shared" si="2"/>
        <v>5.22</v>
      </c>
    </row>
    <row r="66" spans="2:12" s="337" customFormat="1" ht="13">
      <c r="B66" s="352"/>
      <c r="C66" s="352" t="s">
        <v>1584</v>
      </c>
      <c r="D66" s="345"/>
      <c r="E66" s="340">
        <f t="shared" ref="E66:L66" si="3">E36+E54+E65</f>
        <v>76.699999999999989</v>
      </c>
      <c r="F66" s="340">
        <f t="shared" si="3"/>
        <v>190.75</v>
      </c>
      <c r="G66" s="340">
        <f t="shared" si="3"/>
        <v>122.91000000000001</v>
      </c>
      <c r="H66" s="340">
        <f t="shared" si="3"/>
        <v>117.97</v>
      </c>
      <c r="I66" s="340">
        <f t="shared" si="3"/>
        <v>37.99</v>
      </c>
      <c r="J66" s="340">
        <f t="shared" si="3"/>
        <v>77.53</v>
      </c>
      <c r="K66" s="340">
        <f t="shared" si="3"/>
        <v>70.430000000000007</v>
      </c>
      <c r="L66" s="340">
        <f t="shared" si="3"/>
        <v>32.49</v>
      </c>
    </row>
    <row r="67" spans="2:12" ht="13">
      <c r="B67" s="353"/>
      <c r="C67" s="337"/>
      <c r="D67" s="353"/>
    </row>
  </sheetData>
  <mergeCells count="2">
    <mergeCell ref="E6:H6"/>
    <mergeCell ref="I6:L6"/>
  </mergeCells>
  <phoneticPr fontId="0" type="noConversion"/>
  <printOptions horizontalCentered="1" verticalCentered="1"/>
  <pageMargins left="0.15" right="0.18" top="0.5" bottom="0.25" header="0.5" footer="0.5"/>
  <pageSetup paperSize="9" scale="85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65297-35D4-4529-AC4B-5F2E0E4ED15E}">
  <sheetPr>
    <pageSetUpPr fitToPage="1"/>
  </sheetPr>
  <dimension ref="A1:K81"/>
  <sheetViews>
    <sheetView zoomScale="62" zoomScaleNormal="62" workbookViewId="0">
      <selection activeCell="F35" sqref="F35"/>
    </sheetView>
  </sheetViews>
  <sheetFormatPr defaultColWidth="9.1796875" defaultRowHeight="12.5"/>
  <cols>
    <col min="1" max="1" width="83.81640625" style="885" customWidth="1"/>
    <col min="2" max="2" width="20.81640625" style="2623" customWidth="1"/>
    <col min="3" max="4" width="20.453125" style="2623" customWidth="1"/>
    <col min="5" max="5" width="21.36328125" style="2623" customWidth="1"/>
    <col min="6" max="6" width="15" style="885" bestFit="1" customWidth="1"/>
    <col min="7" max="8" width="9.1796875" style="885"/>
    <col min="9" max="9" width="11.54296875" style="885" bestFit="1" customWidth="1"/>
    <col min="10" max="10" width="9.1796875" style="885"/>
    <col min="11" max="11" width="12.26953125" style="885" bestFit="1" customWidth="1"/>
    <col min="12" max="16384" width="9.1796875" style="885"/>
  </cols>
  <sheetData>
    <row r="1" spans="1:9" ht="23.25" customHeight="1">
      <c r="A1" s="3218" t="s">
        <v>7155</v>
      </c>
      <c r="B1" s="3218"/>
      <c r="C1" s="3218"/>
      <c r="D1" s="3218"/>
      <c r="E1" s="3218"/>
      <c r="F1" s="2575"/>
      <c r="G1" s="2575"/>
    </row>
    <row r="2" spans="1:9" ht="6.75" customHeight="1">
      <c r="A2" s="3197"/>
      <c r="B2" s="3197"/>
      <c r="C2" s="3197"/>
      <c r="D2" s="3197"/>
      <c r="E2" s="3197"/>
      <c r="F2" s="2575"/>
      <c r="G2" s="2575"/>
    </row>
    <row r="3" spans="1:9" ht="14.25" customHeight="1">
      <c r="A3" s="3200" t="s">
        <v>1668</v>
      </c>
      <c r="B3" s="3200"/>
      <c r="C3" s="3200"/>
      <c r="D3" s="3200"/>
      <c r="E3" s="3200"/>
      <c r="F3" s="2575"/>
      <c r="G3" s="2575"/>
    </row>
    <row r="4" spans="1:9" ht="4.5" customHeight="1">
      <c r="A4" s="2576"/>
      <c r="B4" s="2576"/>
      <c r="C4" s="2576"/>
      <c r="D4" s="2576"/>
      <c r="E4" s="2576"/>
      <c r="F4" s="2575"/>
      <c r="G4" s="2575"/>
    </row>
    <row r="5" spans="1:9" ht="13.5" customHeight="1" thickBot="1">
      <c r="A5" s="911"/>
      <c r="B5" s="2577"/>
      <c r="C5" s="2577"/>
      <c r="D5" s="2577"/>
      <c r="E5" s="2577"/>
      <c r="F5" s="2575"/>
      <c r="G5" s="2575"/>
    </row>
    <row r="6" spans="1:9" ht="20.25" customHeight="1">
      <c r="A6" s="3219" t="s">
        <v>7939</v>
      </c>
      <c r="B6" s="2578"/>
      <c r="C6" s="963" t="s">
        <v>7932</v>
      </c>
      <c r="D6" s="1721"/>
      <c r="E6" s="964" t="s">
        <v>5468</v>
      </c>
      <c r="F6" s="2575"/>
      <c r="G6" s="2575"/>
    </row>
    <row r="7" spans="1:9" ht="15" customHeight="1" thickBot="1">
      <c r="A7" s="3220"/>
      <c r="B7" s="2579"/>
      <c r="C7" s="2580" t="s">
        <v>1645</v>
      </c>
      <c r="D7" s="2581"/>
      <c r="E7" s="2582" t="s">
        <v>1645</v>
      </c>
    </row>
    <row r="8" spans="1:9" ht="18" customHeight="1" thickTop="1">
      <c r="A8" s="894" t="s">
        <v>1669</v>
      </c>
      <c r="B8" s="2583"/>
      <c r="C8" s="2584"/>
      <c r="D8" s="2583"/>
      <c r="E8" s="2584"/>
    </row>
    <row r="9" spans="1:9" ht="4.5" customHeight="1">
      <c r="A9" s="896"/>
      <c r="B9" s="2583"/>
      <c r="C9" s="2584"/>
      <c r="D9" s="2583"/>
      <c r="E9" s="2584"/>
    </row>
    <row r="10" spans="1:9" ht="18">
      <c r="A10" s="896" t="s">
        <v>7940</v>
      </c>
      <c r="B10" s="2583"/>
      <c r="C10" s="2585"/>
      <c r="D10" s="2586"/>
      <c r="E10" s="2584"/>
    </row>
    <row r="11" spans="1:9" ht="18">
      <c r="A11" s="896" t="s">
        <v>1670</v>
      </c>
      <c r="B11" s="2583"/>
      <c r="C11" s="2587">
        <f>E11</f>
        <v>10000000000</v>
      </c>
      <c r="D11" s="2588"/>
      <c r="E11" s="2589">
        <f>1000*10^7</f>
        <v>10000000000</v>
      </c>
      <c r="F11" s="899"/>
      <c r="G11" s="965"/>
    </row>
    <row r="12" spans="1:9" ht="13" customHeight="1">
      <c r="A12" s="896"/>
      <c r="B12" s="2583"/>
      <c r="C12" s="2590"/>
      <c r="D12" s="2591"/>
      <c r="E12" s="2592"/>
      <c r="I12" s="899">
        <f>C13*16%/12*9</f>
        <v>1200000000</v>
      </c>
    </row>
    <row r="13" spans="1:9" ht="18.5" thickBot="1">
      <c r="A13" s="896"/>
      <c r="B13" s="2583"/>
      <c r="C13" s="2593">
        <f>+C11</f>
        <v>10000000000</v>
      </c>
      <c r="D13" s="2594"/>
      <c r="E13" s="2595">
        <f>E11</f>
        <v>10000000000</v>
      </c>
    </row>
    <row r="14" spans="1:9" ht="33" customHeight="1" thickTop="1">
      <c r="A14" s="894" t="s">
        <v>7941</v>
      </c>
      <c r="B14" s="2583"/>
      <c r="C14" s="2592"/>
      <c r="D14" s="2596"/>
      <c r="E14" s="2592"/>
    </row>
    <row r="15" spans="1:9" ht="4.5" customHeight="1">
      <c r="A15" s="896"/>
      <c r="B15" s="2583"/>
      <c r="C15" s="2592"/>
      <c r="D15" s="2596"/>
      <c r="E15" s="2592"/>
    </row>
    <row r="16" spans="1:9" ht="18">
      <c r="A16" s="896" t="s">
        <v>7942</v>
      </c>
      <c r="B16" s="2583"/>
      <c r="C16" s="2590">
        <f>-SUMIF('TB FY-2021-22'!$F$3:$F$1332,'OERC 1 &amp; 2'!H16,'TB FY-2021-22'!$G$3:$G$1332)</f>
        <v>2479400000</v>
      </c>
      <c r="D16" s="2596"/>
      <c r="E16" s="2592">
        <f>-SUMIF('TB FY-2021-22'!$F$3:$F$1332,'OERC 1 &amp; 2'!H16,'TB FY-2021-22'!$H$3:$H$1332)</f>
        <v>2000000000</v>
      </c>
      <c r="H16" s="885">
        <v>65</v>
      </c>
    </row>
    <row r="17" spans="1:8" ht="9" customHeight="1">
      <c r="A17" s="896"/>
      <c r="B17" s="2583"/>
      <c r="C17" s="2590"/>
      <c r="D17" s="2591"/>
      <c r="E17" s="2592">
        <f>-SUMIF('TB FY-2021-22'!$F$3:$F$1332,'OERC 1 &amp; 2'!H17,'TB FY-2021-22'!$H$3:$H$1332)</f>
        <v>0</v>
      </c>
    </row>
    <row r="18" spans="1:8" ht="18" hidden="1">
      <c r="A18" s="896"/>
      <c r="B18" s="2583"/>
      <c r="C18" s="2592"/>
      <c r="D18" s="2596"/>
      <c r="E18" s="2592"/>
    </row>
    <row r="19" spans="1:8" ht="16.5" hidden="1">
      <c r="A19" s="934"/>
      <c r="B19" s="2583"/>
      <c r="C19" s="2592"/>
      <c r="D19" s="2596"/>
      <c r="E19" s="2592"/>
    </row>
    <row r="20" spans="1:8" ht="16.5" hidden="1">
      <c r="A20" s="934"/>
      <c r="B20" s="2583"/>
      <c r="C20" s="2592"/>
      <c r="D20" s="2596"/>
      <c r="E20" s="2592"/>
    </row>
    <row r="21" spans="1:8" ht="16.5" hidden="1">
      <c r="A21" s="934"/>
      <c r="B21" s="2583"/>
      <c r="C21" s="2592"/>
      <c r="D21" s="2596"/>
      <c r="E21" s="2592"/>
    </row>
    <row r="22" spans="1:8" ht="17.25" customHeight="1">
      <c r="A22" s="934"/>
      <c r="B22" s="2583"/>
      <c r="C22" s="2592"/>
      <c r="D22" s="2596"/>
      <c r="E22" s="2592"/>
    </row>
    <row r="23" spans="1:8" ht="18.5" thickBot="1">
      <c r="A23" s="896"/>
      <c r="B23" s="2583"/>
      <c r="C23" s="2593">
        <f>C16</f>
        <v>2479400000</v>
      </c>
      <c r="D23" s="2594"/>
      <c r="E23" s="2595">
        <f>E16</f>
        <v>2000000000</v>
      </c>
    </row>
    <row r="24" spans="1:8" ht="13.5" thickTop="1" thickBot="1">
      <c r="A24" s="968"/>
      <c r="B24" s="2597"/>
      <c r="C24" s="2598"/>
      <c r="D24" s="2597"/>
      <c r="E24" s="2598"/>
    </row>
    <row r="25" spans="1:8">
      <c r="A25" s="911"/>
      <c r="B25" s="2599"/>
      <c r="C25" s="2599"/>
      <c r="D25" s="2599"/>
      <c r="E25" s="2599"/>
    </row>
    <row r="26" spans="1:8" ht="52.5" customHeight="1" thickBot="1">
      <c r="A26" s="911"/>
      <c r="B26" s="2599"/>
      <c r="C26" s="2599"/>
      <c r="D26" s="2599"/>
      <c r="E26" s="2599"/>
    </row>
    <row r="27" spans="1:8" ht="15.5">
      <c r="A27" s="3216" t="s">
        <v>7943</v>
      </c>
      <c r="B27" s="2600"/>
      <c r="C27" s="1722" t="s">
        <v>7932</v>
      </c>
      <c r="D27" s="1723"/>
      <c r="E27" s="1724" t="s">
        <v>5468</v>
      </c>
    </row>
    <row r="28" spans="1:8" ht="14" thickBot="1">
      <c r="A28" s="3217"/>
      <c r="B28" s="2601"/>
      <c r="C28" s="2602" t="s">
        <v>1645</v>
      </c>
      <c r="D28" s="2603"/>
      <c r="E28" s="2604" t="s">
        <v>1645</v>
      </c>
    </row>
    <row r="29" spans="1:8" ht="18" thickTop="1">
      <c r="A29" s="894" t="s">
        <v>7944</v>
      </c>
      <c r="B29" s="2605"/>
      <c r="C29" s="2606"/>
      <c r="D29" s="2605"/>
      <c r="E29" s="2606"/>
    </row>
    <row r="30" spans="1:8" ht="18">
      <c r="A30" s="896"/>
      <c r="B30" s="2605"/>
      <c r="C30" s="2606"/>
      <c r="D30" s="2605"/>
      <c r="E30" s="2606"/>
    </row>
    <row r="31" spans="1:8" ht="18">
      <c r="A31" s="896" t="s">
        <v>1673</v>
      </c>
      <c r="B31" s="2588"/>
      <c r="C31" s="2606">
        <v>0</v>
      </c>
      <c r="D31" s="2605"/>
      <c r="E31" s="2592">
        <v>0</v>
      </c>
    </row>
    <row r="32" spans="1:8" ht="18">
      <c r="A32" s="896" t="s">
        <v>7945</v>
      </c>
      <c r="B32" s="2588"/>
      <c r="C32" s="2606">
        <f>-SUMIF('TB FY-2021-22'!$F$3:$F$1332,'OERC 1 &amp; 2'!H32,'TB FY-2021-22'!$G$3:$G$1332)</f>
        <v>224054838.58000001</v>
      </c>
      <c r="D32" s="2605"/>
      <c r="E32" s="2592">
        <f>-SUMIF('TB FY-2021-22'!$F$3:$F$1332,'OERC 1 &amp; 2'!H32,'TB FY-2021-22'!$H$3:$H$1332)</f>
        <v>0</v>
      </c>
      <c r="H32" s="885" t="s">
        <v>7614</v>
      </c>
    </row>
    <row r="33" spans="1:7" ht="18">
      <c r="A33" s="896"/>
      <c r="B33" s="2607"/>
      <c r="C33" s="2606"/>
      <c r="D33" s="2608"/>
      <c r="E33" s="2609"/>
    </row>
    <row r="34" spans="1:7" ht="18.5" thickBot="1">
      <c r="A34" s="896"/>
      <c r="B34" s="2583"/>
      <c r="C34" s="2593">
        <f>C31+C32</f>
        <v>224054838.58000001</v>
      </c>
      <c r="D34" s="2594"/>
      <c r="E34" s="2595">
        <f>E31+E32</f>
        <v>0</v>
      </c>
    </row>
    <row r="35" spans="1:7" ht="13.5" thickTop="1" thickBot="1">
      <c r="A35" s="968"/>
      <c r="B35" s="2597"/>
      <c r="C35" s="2598"/>
      <c r="D35" s="2597"/>
      <c r="E35" s="2598"/>
    </row>
    <row r="36" spans="1:7">
      <c r="A36" s="911"/>
      <c r="B36" s="2599"/>
      <c r="C36" s="2599"/>
      <c r="D36" s="2599"/>
      <c r="E36" s="2599"/>
    </row>
    <row r="37" spans="1:7">
      <c r="A37" s="911"/>
      <c r="B37" s="2599"/>
      <c r="C37" s="2599"/>
      <c r="D37" s="2599"/>
      <c r="E37" s="2599"/>
    </row>
    <row r="38" spans="1:7">
      <c r="A38" s="911"/>
      <c r="B38" s="2599"/>
      <c r="C38" s="2599"/>
      <c r="D38" s="2599"/>
      <c r="E38" s="2599"/>
    </row>
    <row r="39" spans="1:7">
      <c r="A39" s="911"/>
      <c r="B39" s="2599"/>
      <c r="C39" s="2599"/>
      <c r="D39" s="2599"/>
      <c r="E39" s="2599"/>
    </row>
    <row r="40" spans="1:7">
      <c r="A40" s="911"/>
      <c r="B40" s="2599"/>
      <c r="C40" s="2599"/>
      <c r="D40" s="2599"/>
      <c r="E40" s="2599"/>
    </row>
    <row r="41" spans="1:7" ht="13" thickBot="1">
      <c r="A41" s="911"/>
      <c r="B41" s="2599"/>
      <c r="C41" s="2599"/>
      <c r="D41" s="2599"/>
      <c r="E41" s="2599"/>
    </row>
    <row r="42" spans="1:7" ht="18" customHeight="1">
      <c r="A42" s="3216" t="s">
        <v>1671</v>
      </c>
      <c r="B42" s="2600"/>
      <c r="C42" s="1722" t="s">
        <v>7932</v>
      </c>
      <c r="D42" s="1723"/>
      <c r="E42" s="1724" t="s">
        <v>5468</v>
      </c>
    </row>
    <row r="43" spans="1:7" ht="17.25" customHeight="1" thickBot="1">
      <c r="A43" s="3217"/>
      <c r="B43" s="2601"/>
      <c r="C43" s="2602" t="s">
        <v>1645</v>
      </c>
      <c r="D43" s="2603"/>
      <c r="E43" s="2604" t="s">
        <v>1645</v>
      </c>
    </row>
    <row r="44" spans="1:7" ht="21" hidden="1" customHeight="1" thickTop="1">
      <c r="A44" s="894" t="s">
        <v>1672</v>
      </c>
      <c r="B44" s="2605"/>
      <c r="C44" s="2606"/>
      <c r="D44" s="2605"/>
      <c r="E44" s="2606"/>
    </row>
    <row r="45" spans="1:7" ht="6.75" hidden="1" customHeight="1">
      <c r="A45" s="896"/>
      <c r="B45" s="2605"/>
      <c r="C45" s="2606"/>
      <c r="D45" s="2605"/>
      <c r="E45" s="2606"/>
    </row>
    <row r="46" spans="1:7" ht="13.5" hidden="1" customHeight="1">
      <c r="A46" s="896" t="s">
        <v>1673</v>
      </c>
      <c r="B46" s="2588">
        <v>0</v>
      </c>
      <c r="C46" s="2606"/>
      <c r="D46" s="2605"/>
      <c r="E46" s="2609"/>
    </row>
    <row r="47" spans="1:7" ht="16.5" hidden="1" customHeight="1">
      <c r="A47" s="896" t="s">
        <v>3575</v>
      </c>
      <c r="B47" s="2588">
        <v>0</v>
      </c>
      <c r="C47" s="2606"/>
      <c r="D47" s="2605"/>
      <c r="E47" s="2609"/>
      <c r="F47" s="899"/>
      <c r="G47" s="966"/>
    </row>
    <row r="48" spans="1:7" ht="4.5" hidden="1" customHeight="1">
      <c r="A48" s="896"/>
      <c r="B48" s="2607"/>
      <c r="C48" s="2606"/>
      <c r="D48" s="2608"/>
      <c r="E48" s="2609"/>
      <c r="F48" s="899"/>
    </row>
    <row r="49" spans="1:11" ht="17" hidden="1" thickTop="1">
      <c r="A49" s="967" t="s">
        <v>4008</v>
      </c>
      <c r="B49" s="2605"/>
      <c r="C49" s="2587">
        <f>+B46+B47</f>
        <v>0</v>
      </c>
      <c r="D49" s="2588"/>
      <c r="E49" s="2606">
        <f>+D46+D47</f>
        <v>0</v>
      </c>
      <c r="F49" s="899"/>
    </row>
    <row r="50" spans="1:11" ht="10.5" customHeight="1" thickTop="1">
      <c r="A50" s="896"/>
      <c r="B50" s="2605"/>
      <c r="C50" s="2606"/>
      <c r="D50" s="2605"/>
      <c r="E50" s="2606"/>
      <c r="F50" s="899"/>
    </row>
    <row r="51" spans="1:11" ht="17.5">
      <c r="A51" s="894" t="s">
        <v>7946</v>
      </c>
      <c r="B51" s="2605"/>
      <c r="C51" s="2606"/>
      <c r="D51" s="2605"/>
      <c r="E51" s="2606"/>
      <c r="F51" s="899"/>
    </row>
    <row r="52" spans="1:11" ht="16.5" customHeight="1">
      <c r="A52" s="894" t="s">
        <v>1674</v>
      </c>
      <c r="B52" s="2605"/>
      <c r="C52" s="2606"/>
      <c r="D52" s="2605"/>
      <c r="E52" s="2606"/>
      <c r="F52" s="899"/>
    </row>
    <row r="53" spans="1:11" ht="17.25" customHeight="1">
      <c r="A53" s="2610" t="s">
        <v>7947</v>
      </c>
      <c r="B53" s="2588">
        <f>E59</f>
        <v>934583428.10000002</v>
      </c>
      <c r="C53" s="2606"/>
      <c r="D53" s="2605">
        <v>933079502</v>
      </c>
      <c r="E53" s="924"/>
      <c r="F53" s="899"/>
    </row>
    <row r="54" spans="1:11" ht="17.25" customHeight="1">
      <c r="A54" s="2610" t="s">
        <v>7948</v>
      </c>
      <c r="B54" s="2588">
        <v>4737175</v>
      </c>
      <c r="C54" s="2606"/>
      <c r="D54" s="2605">
        <v>1771956.75</v>
      </c>
      <c r="E54" s="924"/>
      <c r="F54" s="899"/>
    </row>
    <row r="55" spans="1:11" ht="17.25" hidden="1" customHeight="1">
      <c r="A55" s="2610" t="s">
        <v>7949</v>
      </c>
      <c r="B55" s="2588"/>
      <c r="C55" s="2606"/>
      <c r="D55" s="2605"/>
      <c r="E55" s="924"/>
      <c r="F55" s="899"/>
    </row>
    <row r="56" spans="1:11" ht="17.25" customHeight="1">
      <c r="A56" s="2610" t="s">
        <v>7950</v>
      </c>
      <c r="B56" s="2588">
        <v>45849329</v>
      </c>
      <c r="C56" s="2606"/>
      <c r="D56" s="2605"/>
      <c r="E56" s="924"/>
      <c r="F56" s="899"/>
    </row>
    <row r="57" spans="1:11" ht="17.25" customHeight="1">
      <c r="A57" s="2610" t="s">
        <v>7951</v>
      </c>
      <c r="B57" s="2588"/>
      <c r="C57" s="2606"/>
      <c r="D57" s="2605"/>
      <c r="E57" s="924"/>
      <c r="F57" s="899"/>
    </row>
    <row r="58" spans="1:11" ht="17.25" customHeight="1">
      <c r="A58" s="2610" t="s">
        <v>7952</v>
      </c>
      <c r="B58" s="2607"/>
      <c r="C58" s="2606"/>
      <c r="D58" s="2608"/>
      <c r="E58" s="924"/>
      <c r="F58" s="899"/>
    </row>
    <row r="59" spans="1:11" ht="20.25" customHeight="1">
      <c r="A59" s="896"/>
      <c r="B59" s="2588"/>
      <c r="C59" s="2587">
        <f>-SUMIF('TB FY-2021-22'!$F$3:$F$1332,'OERC 1 &amp; 2'!H59,'TB FY-2021-22'!$G$3:$G$1332)</f>
        <v>893471274.10000002</v>
      </c>
      <c r="D59" s="2605"/>
      <c r="E59" s="2606">
        <f>-SUMIF('TB FY-2021-22'!$F$3:$F$1332,'OERC 1 &amp; 2'!H59,'TB FY-2021-22'!$H$3:$H$1332)</f>
        <v>934583428.10000002</v>
      </c>
      <c r="F59" s="899"/>
      <c r="H59" s="885">
        <v>155</v>
      </c>
      <c r="K59" s="899">
        <f>B53-B56</f>
        <v>888734099.10000002</v>
      </c>
    </row>
    <row r="60" spans="1:11" ht="17.25" hidden="1" customHeight="1">
      <c r="A60" s="894" t="s">
        <v>5098</v>
      </c>
      <c r="B60" s="2588"/>
      <c r="C60" s="2606"/>
      <c r="D60" s="2605"/>
      <c r="E60" s="2606"/>
      <c r="F60" s="899"/>
    </row>
    <row r="61" spans="1:11" ht="17.25" hidden="1" customHeight="1">
      <c r="A61" s="896" t="s">
        <v>5097</v>
      </c>
      <c r="B61" s="2588"/>
      <c r="C61" s="2606"/>
      <c r="D61" s="2611"/>
      <c r="E61" s="2612"/>
      <c r="F61" s="899"/>
    </row>
    <row r="62" spans="1:11" ht="17.25" hidden="1" customHeight="1">
      <c r="A62" s="2610" t="s">
        <v>5099</v>
      </c>
      <c r="B62" s="2588"/>
      <c r="C62" s="2606"/>
      <c r="D62" s="2611"/>
      <c r="E62" s="2613"/>
      <c r="F62" s="899"/>
    </row>
    <row r="63" spans="1:11" ht="17.25" hidden="1" customHeight="1">
      <c r="A63" s="2614" t="s">
        <v>5328</v>
      </c>
      <c r="B63" s="2588"/>
      <c r="C63" s="2606"/>
      <c r="D63" s="2611"/>
      <c r="E63" s="2613"/>
      <c r="F63" s="899"/>
    </row>
    <row r="64" spans="1:11" ht="17.25" hidden="1" customHeight="1">
      <c r="A64" s="2614" t="s">
        <v>5100</v>
      </c>
      <c r="B64" s="2607"/>
      <c r="C64" s="935"/>
      <c r="D64" s="2615"/>
      <c r="E64" s="2609"/>
      <c r="F64" s="899"/>
    </row>
    <row r="65" spans="1:11" ht="19.5" hidden="1" customHeight="1">
      <c r="A65" s="896"/>
      <c r="B65" s="2588"/>
      <c r="C65" s="2587">
        <f>+B61+B62-B63-B64</f>
        <v>0</v>
      </c>
      <c r="D65" s="2605"/>
      <c r="E65" s="2613">
        <f>+D61+D62-D63-D64</f>
        <v>0</v>
      </c>
      <c r="F65" s="899"/>
    </row>
    <row r="66" spans="1:11" ht="17.25" customHeight="1">
      <c r="A66" s="894" t="s">
        <v>7953</v>
      </c>
      <c r="B66" s="2588"/>
      <c r="C66" s="2606"/>
      <c r="D66" s="2605"/>
      <c r="E66" s="2606"/>
      <c r="F66" s="899"/>
      <c r="K66" s="899">
        <f>C59-K59</f>
        <v>4737175</v>
      </c>
    </row>
    <row r="67" spans="1:11" ht="17.25" customHeight="1">
      <c r="A67" s="896" t="s">
        <v>5097</v>
      </c>
      <c r="B67" s="2588">
        <f>E72</f>
        <v>525940203</v>
      </c>
      <c r="C67" s="2606"/>
      <c r="D67" s="2611">
        <v>525940203</v>
      </c>
      <c r="E67" s="2613"/>
      <c r="F67" s="899"/>
    </row>
    <row r="68" spans="1:11" ht="17.25" customHeight="1">
      <c r="A68" s="2610" t="s">
        <v>5477</v>
      </c>
      <c r="B68" s="2588">
        <v>4590485</v>
      </c>
      <c r="C68" s="2606"/>
      <c r="D68" s="2611">
        <f>E72-D67</f>
        <v>0</v>
      </c>
      <c r="E68" s="2613"/>
      <c r="F68" s="899"/>
      <c r="K68" s="899"/>
    </row>
    <row r="69" spans="1:11" ht="17.25" customHeight="1">
      <c r="A69" s="2610" t="s">
        <v>5478</v>
      </c>
      <c r="B69" s="2588">
        <v>0</v>
      </c>
      <c r="C69" s="2616"/>
      <c r="D69" s="2611">
        <v>0</v>
      </c>
      <c r="E69" s="2613"/>
      <c r="F69" s="899"/>
      <c r="K69" s="899"/>
    </row>
    <row r="70" spans="1:11" ht="17.25" customHeight="1">
      <c r="A70" s="2617" t="s">
        <v>5479</v>
      </c>
      <c r="B70" s="2588">
        <v>0</v>
      </c>
      <c r="C70" s="2616"/>
      <c r="D70" s="2611">
        <v>0</v>
      </c>
      <c r="E70" s="2613"/>
      <c r="F70" s="899"/>
    </row>
    <row r="71" spans="1:11" ht="17.25" customHeight="1">
      <c r="A71" s="2610" t="s">
        <v>5480</v>
      </c>
      <c r="B71" s="2607">
        <v>338668599</v>
      </c>
      <c r="C71" s="2616"/>
      <c r="D71" s="2615">
        <v>0</v>
      </c>
      <c r="E71" s="2613"/>
      <c r="F71" s="899"/>
    </row>
    <row r="72" spans="1:11" ht="17.25" customHeight="1">
      <c r="A72" s="896"/>
      <c r="B72" s="2588"/>
      <c r="C72" s="2587">
        <f>-SUMIF('TB FY-2021-22'!$F$3:$F$1332,'OERC 1 &amp; 2'!H72,'TB FY-2021-22'!$G$3:$G$1332)</f>
        <v>191862089</v>
      </c>
      <c r="D72" s="2605"/>
      <c r="E72" s="2587">
        <f>-SUMIF('TB FY-2021-22'!$F$3:$F$1332,'OERC 1 &amp; 2'!H72,'TB FY-2021-22'!$H$3:$H$1332)</f>
        <v>525940203</v>
      </c>
      <c r="F72" s="899"/>
      <c r="H72" s="885">
        <v>153</v>
      </c>
    </row>
    <row r="73" spans="1:11" ht="17.25" customHeight="1">
      <c r="A73" s="894" t="s">
        <v>7954</v>
      </c>
      <c r="B73" s="2588"/>
      <c r="C73" s="2606"/>
      <c r="D73" s="2605"/>
      <c r="E73" s="2606"/>
      <c r="F73" s="899"/>
    </row>
    <row r="74" spans="1:11" ht="17.25" customHeight="1">
      <c r="A74" s="896" t="s">
        <v>5097</v>
      </c>
      <c r="B74" s="2588">
        <f>E77</f>
        <v>20956341</v>
      </c>
      <c r="C74" s="2606"/>
      <c r="D74" s="2611">
        <v>20956341</v>
      </c>
      <c r="E74" s="2613"/>
      <c r="F74" s="899"/>
    </row>
    <row r="75" spans="1:11" ht="17.25" customHeight="1">
      <c r="A75" s="940" t="s">
        <v>5102</v>
      </c>
      <c r="B75" s="2588">
        <v>0</v>
      </c>
      <c r="C75" s="2606"/>
      <c r="D75" s="2611">
        <f>E77-D74</f>
        <v>0</v>
      </c>
      <c r="E75" s="2613"/>
      <c r="F75" s="899"/>
    </row>
    <row r="76" spans="1:11" ht="17.25" customHeight="1">
      <c r="A76" s="2614" t="s">
        <v>5101</v>
      </c>
      <c r="B76" s="2607">
        <v>0</v>
      </c>
      <c r="C76" s="2606"/>
      <c r="D76" s="2615"/>
      <c r="E76" s="924"/>
      <c r="F76" s="899"/>
    </row>
    <row r="77" spans="1:11" ht="17.25" customHeight="1">
      <c r="A77" s="896"/>
      <c r="B77" s="2588"/>
      <c r="C77" s="2587">
        <f>-SUMIF('TB FY-2021-22'!$F$3:$F$1332,'OERC 1 &amp; 2'!H77,'TB FY-2021-22'!$G$3:$G$1332)</f>
        <v>20956341</v>
      </c>
      <c r="D77" s="2605"/>
      <c r="E77" s="2613">
        <f>-SUMIF('TB FY-2021-22'!$F$3:$F$1332,'OERC 1 &amp; 2'!H77,'TB FY-2021-22'!$H$3:$H$1332)</f>
        <v>20956341</v>
      </c>
      <c r="F77" s="899"/>
      <c r="H77" s="885">
        <v>154</v>
      </c>
    </row>
    <row r="78" spans="1:11" ht="8.25" customHeight="1">
      <c r="A78" s="896"/>
      <c r="B78" s="2605"/>
      <c r="C78" s="2587"/>
      <c r="D78" s="2588"/>
      <c r="E78" s="2606"/>
      <c r="F78" s="899"/>
    </row>
    <row r="79" spans="1:11" ht="16.5">
      <c r="A79" s="934"/>
      <c r="B79" s="2605"/>
      <c r="C79" s="2606"/>
      <c r="D79" s="2605"/>
      <c r="E79" s="2606"/>
    </row>
    <row r="80" spans="1:11" ht="18" thickBot="1">
      <c r="A80" s="934"/>
      <c r="B80" s="2618"/>
      <c r="C80" s="2619">
        <f>C59+C72+C77</f>
        <v>1106289704.0999999</v>
      </c>
      <c r="D80" s="2620"/>
      <c r="E80" s="2619">
        <f>E59+E72+E77</f>
        <v>1481479972.0999999</v>
      </c>
    </row>
    <row r="81" spans="1:5" ht="14" thickBot="1">
      <c r="A81" s="947"/>
      <c r="B81" s="2621"/>
      <c r="C81" s="2622"/>
      <c r="D81" s="2621"/>
      <c r="E81" s="2622"/>
    </row>
  </sheetData>
  <mergeCells count="6">
    <mergeCell ref="A42:A43"/>
    <mergeCell ref="A1:E1"/>
    <mergeCell ref="A2:E2"/>
    <mergeCell ref="A3:E3"/>
    <mergeCell ref="A6:A7"/>
    <mergeCell ref="A27:A28"/>
  </mergeCells>
  <printOptions horizontalCentered="1"/>
  <pageMargins left="0.55000000000000004" right="0.32" top="0.74803149606299213" bottom="0.74803149606299213" header="0.31496062992125984" footer="0.31496062992125984"/>
  <pageSetup paperSize="9" scale="74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FABC7-2134-45E5-898E-41EFABB8C251}">
  <sheetPr>
    <pageSetUpPr fitToPage="1"/>
  </sheetPr>
  <dimension ref="A1:H66"/>
  <sheetViews>
    <sheetView zoomScale="71" zoomScaleNormal="71" workbookViewId="0">
      <selection activeCell="F35" sqref="F35"/>
    </sheetView>
  </sheetViews>
  <sheetFormatPr defaultColWidth="9.1796875" defaultRowHeight="12.5"/>
  <cols>
    <col min="1" max="1" width="67.1796875" style="885" customWidth="1"/>
    <col min="2" max="2" width="12.54296875" style="885" customWidth="1"/>
    <col min="3" max="3" width="19.26953125" style="2623" customWidth="1"/>
    <col min="4" max="4" width="20.26953125" style="2623" customWidth="1"/>
    <col min="5" max="5" width="30.1796875" style="2623" customWidth="1"/>
    <col min="6" max="6" width="15.54296875" style="885" customWidth="1"/>
    <col min="7" max="7" width="16.1796875" style="885" customWidth="1"/>
    <col min="8" max="8" width="7.90625" style="2573" customWidth="1"/>
    <col min="9" max="16384" width="9.1796875" style="885"/>
  </cols>
  <sheetData>
    <row r="1" spans="1:8" ht="24" customHeight="1">
      <c r="A1" s="3193" t="s">
        <v>7155</v>
      </c>
      <c r="B1" s="3194"/>
      <c r="C1" s="3194"/>
      <c r="D1" s="3194"/>
      <c r="E1" s="3195"/>
      <c r="F1" s="2575"/>
      <c r="G1" s="2575"/>
    </row>
    <row r="2" spans="1:8" ht="8.25" customHeight="1">
      <c r="A2" s="3221"/>
      <c r="B2" s="3222"/>
      <c r="C2" s="3222"/>
      <c r="D2" s="3222"/>
      <c r="E2" s="3223"/>
      <c r="F2" s="2575"/>
    </row>
    <row r="3" spans="1:8" ht="18.75" customHeight="1">
      <c r="A3" s="3199" t="s">
        <v>1668</v>
      </c>
      <c r="B3" s="3200"/>
      <c r="C3" s="3200"/>
      <c r="D3" s="3200"/>
      <c r="E3" s="3224"/>
      <c r="F3" s="2575"/>
      <c r="G3" s="2575"/>
    </row>
    <row r="4" spans="1:8" ht="13.5" customHeight="1" thickBot="1">
      <c r="A4" s="968"/>
      <c r="B4" s="969"/>
      <c r="C4" s="2624"/>
      <c r="D4" s="2624"/>
      <c r="E4" s="2598"/>
      <c r="F4" s="2575"/>
      <c r="G4" s="2575"/>
    </row>
    <row r="5" spans="1:8" ht="15.75" customHeight="1">
      <c r="A5" s="3225" t="s">
        <v>8069</v>
      </c>
      <c r="B5" s="3226"/>
      <c r="C5" s="2625"/>
      <c r="D5" s="2626" t="s">
        <v>7932</v>
      </c>
      <c r="E5" s="2627" t="s">
        <v>5468</v>
      </c>
      <c r="F5" s="2575"/>
      <c r="G5" s="2575"/>
    </row>
    <row r="6" spans="1:8" ht="16.5" customHeight="1" thickBot="1">
      <c r="A6" s="3227"/>
      <c r="B6" s="3228"/>
      <c r="C6" s="2579"/>
      <c r="D6" s="2628" t="s">
        <v>1645</v>
      </c>
      <c r="E6" s="2629" t="s">
        <v>1645</v>
      </c>
    </row>
    <row r="7" spans="1:8" ht="18" thickTop="1">
      <c r="A7" s="894"/>
      <c r="B7" s="955"/>
      <c r="C7" s="2583"/>
      <c r="D7" s="2584"/>
      <c r="E7" s="2630"/>
    </row>
    <row r="8" spans="1:8" ht="18">
      <c r="A8" s="982" t="s">
        <v>8060</v>
      </c>
      <c r="B8" s="912"/>
      <c r="C8" s="2631"/>
      <c r="D8" s="2632"/>
      <c r="E8" s="2630"/>
    </row>
    <row r="9" spans="1:8" ht="18">
      <c r="A9" s="982" t="s">
        <v>8061</v>
      </c>
      <c r="B9" s="912"/>
      <c r="C9" s="2631"/>
      <c r="D9" s="2632"/>
      <c r="E9" s="2630"/>
    </row>
    <row r="10" spans="1:8" ht="18">
      <c r="A10" s="940" t="s">
        <v>8062</v>
      </c>
      <c r="B10" s="912"/>
      <c r="C10" s="2605"/>
      <c r="D10" s="2633">
        <f>-SUMIF('TB FY-2021-22'!F7:F1336,'OERC 3'!H10,'TB FY-2021-22'!G7:G1336)</f>
        <v>400000000</v>
      </c>
      <c r="E10" s="2634">
        <f>-SUMIF('TB FY-2021-22'!F3:F1332,'OERC 3'!H10,'TB FY-2021-22'!H3:H1332)</f>
        <v>0</v>
      </c>
      <c r="H10" s="2573">
        <v>82</v>
      </c>
    </row>
    <row r="11" spans="1:8" ht="18">
      <c r="A11" s="940" t="s">
        <v>8063</v>
      </c>
      <c r="B11" s="912"/>
      <c r="C11" s="2605"/>
      <c r="D11" s="2633">
        <f>-SUMIF('TB FY-2021-22'!F19:F1348,'OERC 3'!H11,'TB FY-2021-22'!G19:G1348)</f>
        <v>975200</v>
      </c>
      <c r="E11" s="2634">
        <f>-SUMIF('TB FY-2021-22'!F3:F1332,'OERC 3'!H11,'TB FY-2021-22'!H3:H1332)</f>
        <v>83733</v>
      </c>
      <c r="G11" s="899"/>
      <c r="H11" s="2573">
        <v>84</v>
      </c>
    </row>
    <row r="12" spans="1:8" ht="18">
      <c r="A12" s="940"/>
      <c r="B12" s="912"/>
      <c r="C12" s="2631"/>
      <c r="D12" s="2632"/>
      <c r="E12" s="2630"/>
    </row>
    <row r="13" spans="1:8" ht="18">
      <c r="A13" s="982" t="s">
        <v>8064</v>
      </c>
      <c r="B13" s="912"/>
      <c r="C13" s="2631"/>
      <c r="D13" s="2632"/>
      <c r="E13" s="2630"/>
    </row>
    <row r="14" spans="1:8" ht="18">
      <c r="A14" s="940" t="s">
        <v>8062</v>
      </c>
      <c r="B14" s="912"/>
      <c r="C14" s="2605"/>
      <c r="D14" s="2633">
        <f>-SUMIF('TB FY-2021-22'!F3:F1332,'OERC 3'!H14,'TB FY-2021-22'!G3:G1332)</f>
        <v>302945240.80000001</v>
      </c>
      <c r="E14" s="2634">
        <f>-SUMIF('TB FY-2021-22'!F3:F1332,'OERC 3'!H14,'TB FY-2021-22'!H3:H1332)</f>
        <v>239782839.99999976</v>
      </c>
      <c r="F14" s="899">
        <f>D14+D25-E14-E25</f>
        <v>63162400.80000025</v>
      </c>
      <c r="H14" s="2573">
        <v>76</v>
      </c>
    </row>
    <row r="15" spans="1:8" ht="18">
      <c r="A15" s="940" t="s">
        <v>8065</v>
      </c>
      <c r="B15" s="912"/>
      <c r="C15" s="2605"/>
      <c r="D15" s="2633">
        <f>-SUMIF('TB FY-2021-22'!F9:F1338,'OERC 3'!H15,'TB FY-2021-22'!G9:G1338)</f>
        <v>605770504.21000004</v>
      </c>
      <c r="E15" s="2634">
        <f>-SUMIF('TB FY-2021-22'!F3:F1332,'OERC 3'!H15,'TB FY-2021-22'!H3:H1332)</f>
        <v>618883614</v>
      </c>
      <c r="H15" s="2573">
        <v>78</v>
      </c>
    </row>
    <row r="16" spans="1:8" ht="18">
      <c r="A16" s="940" t="s">
        <v>8066</v>
      </c>
      <c r="B16" s="912"/>
      <c r="C16" s="2605"/>
      <c r="D16" s="2633">
        <f>-SUMIF('TB FY-2021-22'!F11:F1340,'OERC 3'!H16,'TB FY-2021-22'!G11:G1340)</f>
        <v>1242329952.28</v>
      </c>
      <c r="E16" s="2634">
        <f>-SUMIF('TB FY-2021-22'!F3:F1332,'OERC 3'!H16,'TB FY-2021-22'!H3:H1332)</f>
        <v>0</v>
      </c>
      <c r="H16" s="2573">
        <v>79</v>
      </c>
    </row>
    <row r="17" spans="1:8" ht="18">
      <c r="A17" s="940"/>
      <c r="B17" s="912"/>
      <c r="C17" s="2631"/>
      <c r="D17" s="2632"/>
      <c r="E17" s="2630"/>
    </row>
    <row r="18" spans="1:8" ht="18">
      <c r="A18" s="982" t="s">
        <v>8067</v>
      </c>
      <c r="B18" s="912"/>
      <c r="C18" s="2631"/>
      <c r="D18" s="2632"/>
      <c r="E18" s="2630"/>
    </row>
    <row r="19" spans="1:8" ht="18">
      <c r="A19" s="940"/>
      <c r="B19" s="912"/>
      <c r="C19" s="2631"/>
      <c r="D19" s="2632"/>
      <c r="E19" s="2630"/>
    </row>
    <row r="20" spans="1:8" ht="18">
      <c r="A20" s="982" t="s">
        <v>8064</v>
      </c>
      <c r="B20" s="912"/>
      <c r="C20" s="2631"/>
      <c r="D20" s="2632"/>
      <c r="E20" s="2630"/>
    </row>
    <row r="21" spans="1:8" ht="18">
      <c r="A21" s="940" t="s">
        <v>8068</v>
      </c>
      <c r="B21" s="912"/>
      <c r="C21" s="2605"/>
      <c r="D21" s="2633">
        <f>-SUMIF('TB FY-2021-22'!F15:F1344,'OERC 3'!H21,'TB FY-2021-22'!G15:G1344)</f>
        <v>850000000</v>
      </c>
      <c r="E21" s="2634">
        <f>-SUMIF('TB FY-2021-22'!F3:F1332,'OERC 3'!H21,'TB FY-2021-22'!H3:H1332)</f>
        <v>0</v>
      </c>
      <c r="H21" s="2573">
        <v>81</v>
      </c>
    </row>
    <row r="22" spans="1:8" ht="18">
      <c r="A22" s="896"/>
      <c r="B22" s="912"/>
      <c r="C22" s="2631"/>
      <c r="D22" s="2632"/>
      <c r="E22" s="2630"/>
    </row>
    <row r="23" spans="1:8" ht="18" hidden="1">
      <c r="A23" s="896" t="s">
        <v>7955</v>
      </c>
      <c r="B23" s="912"/>
      <c r="C23" s="885"/>
      <c r="D23" s="885"/>
      <c r="E23" s="885"/>
      <c r="H23" s="885"/>
    </row>
    <row r="24" spans="1:8" ht="4" hidden="1" customHeight="1">
      <c r="A24" s="896"/>
      <c r="B24" s="912"/>
      <c r="C24" s="2605"/>
      <c r="D24" s="2606"/>
      <c r="E24" s="2634"/>
    </row>
    <row r="25" spans="1:8" ht="18" hidden="1">
      <c r="A25" s="896" t="s">
        <v>7956</v>
      </c>
      <c r="B25" s="912"/>
      <c r="C25" s="2605"/>
      <c r="D25" s="2633">
        <f>-SUMIF('TB FY-2021-22'!F5:F1334,'OERC 3'!H25,'TB FY-2021-22'!G5:G1334)</f>
        <v>0</v>
      </c>
      <c r="E25" s="2606">
        <f>-SUMIF('TB FY-2021-22'!F3:F1332,'OERC 3'!H25,'TB FY-2021-22'!H3:H1332)</f>
        <v>0</v>
      </c>
    </row>
    <row r="26" spans="1:8" ht="7" hidden="1" customHeight="1">
      <c r="A26" s="896"/>
      <c r="B26" s="912"/>
      <c r="C26" s="2605"/>
      <c r="D26" s="2606"/>
      <c r="E26" s="2634"/>
    </row>
    <row r="27" spans="1:8" ht="17" hidden="1" customHeight="1">
      <c r="A27" s="896" t="s">
        <v>7957</v>
      </c>
      <c r="B27" s="912"/>
      <c r="C27" s="885"/>
      <c r="D27" s="885"/>
      <c r="E27" s="885"/>
      <c r="H27" s="885"/>
    </row>
    <row r="28" spans="1:8" ht="7" hidden="1" customHeight="1">
      <c r="A28" s="896"/>
      <c r="B28" s="912"/>
      <c r="C28" s="2605"/>
      <c r="D28" s="2606"/>
      <c r="E28" s="2634"/>
    </row>
    <row r="29" spans="1:8" ht="18.5" hidden="1" customHeight="1">
      <c r="A29" s="896" t="s">
        <v>7958</v>
      </c>
      <c r="B29" s="912"/>
      <c r="C29" s="885"/>
      <c r="D29" s="885"/>
      <c r="E29" s="885"/>
      <c r="H29" s="885"/>
    </row>
    <row r="30" spans="1:8" ht="6.5" hidden="1" customHeight="1">
      <c r="A30" s="896"/>
      <c r="B30" s="912"/>
      <c r="C30" s="2605"/>
      <c r="D30" s="2606"/>
      <c r="E30" s="2634"/>
    </row>
    <row r="31" spans="1:8" ht="19" hidden="1" customHeight="1">
      <c r="A31" s="896" t="s">
        <v>7959</v>
      </c>
      <c r="B31" s="912"/>
      <c r="C31" s="885"/>
      <c r="D31" s="885"/>
      <c r="E31" s="885"/>
      <c r="H31" s="885"/>
    </row>
    <row r="32" spans="1:8" ht="12" hidden="1" customHeight="1">
      <c r="A32" s="896"/>
      <c r="B32" s="912"/>
      <c r="C32" s="2605"/>
      <c r="D32" s="2606"/>
      <c r="E32" s="2634"/>
    </row>
    <row r="33" spans="1:8" ht="18" hidden="1" customHeight="1">
      <c r="A33" s="896" t="s">
        <v>7960</v>
      </c>
      <c r="B33" s="912"/>
      <c r="C33" s="2605"/>
      <c r="D33" s="2587">
        <f>-SUMIF('TB FY-2021-22'!F13:F1342,'OERC 3'!H33,'TB FY-2021-22'!G13:G1342)</f>
        <v>0</v>
      </c>
      <c r="E33" s="2634">
        <f>-SUMIF('TB FY-2021-22'!F3:F1332,'OERC 3'!H33,'TB FY-2021-22'!H3:H1332)</f>
        <v>0</v>
      </c>
      <c r="H33" s="2573">
        <v>80</v>
      </c>
    </row>
    <row r="34" spans="1:8" ht="7" hidden="1" customHeight="1">
      <c r="A34" s="896"/>
      <c r="B34" s="912"/>
      <c r="C34" s="2605"/>
      <c r="D34" s="2606"/>
      <c r="E34" s="2634"/>
    </row>
    <row r="35" spans="1:8" ht="19" hidden="1" customHeight="1">
      <c r="A35" s="896" t="s">
        <v>7961</v>
      </c>
      <c r="B35" s="912"/>
      <c r="C35" s="885"/>
      <c r="D35" s="885"/>
      <c r="E35" s="885"/>
      <c r="H35" s="885"/>
    </row>
    <row r="36" spans="1:8" ht="6.5" hidden="1" customHeight="1">
      <c r="A36" s="896"/>
      <c r="B36" s="912"/>
      <c r="C36" s="2605"/>
      <c r="D36" s="2606"/>
      <c r="E36" s="2634"/>
    </row>
    <row r="37" spans="1:8" ht="19" hidden="1" customHeight="1">
      <c r="A37" s="896" t="s">
        <v>7962</v>
      </c>
      <c r="B37" s="912"/>
      <c r="C37" s="2605"/>
      <c r="D37" s="2587">
        <f>-SUMIF('TB FY-2021-22'!F17:F1346,'OERC 3'!H37,'TB FY-2021-22'!G17:G1346)</f>
        <v>0</v>
      </c>
      <c r="E37" s="2634">
        <f>-SUMIF('TB FY-2021-22'!F3:F1332,'OERC 3'!H37,'TB FY-2021-22'!H3:H1332)</f>
        <v>0</v>
      </c>
      <c r="H37" s="2573">
        <v>83</v>
      </c>
    </row>
    <row r="38" spans="1:8" ht="11.5" hidden="1" customHeight="1">
      <c r="A38" s="896"/>
      <c r="B38" s="912"/>
      <c r="C38" s="2605"/>
      <c r="D38" s="2606"/>
      <c r="E38" s="2634"/>
    </row>
    <row r="39" spans="1:8" ht="18" hidden="1">
      <c r="A39" s="896" t="s">
        <v>7963</v>
      </c>
      <c r="B39" s="912"/>
      <c r="C39" s="885"/>
      <c r="D39" s="885"/>
      <c r="E39" s="885"/>
      <c r="H39" s="885"/>
    </row>
    <row r="40" spans="1:8" ht="11" customHeight="1">
      <c r="A40" s="896"/>
      <c r="B40" s="912"/>
      <c r="C40" s="2605"/>
      <c r="D40" s="2606"/>
      <c r="E40" s="2634"/>
    </row>
    <row r="41" spans="1:8" ht="18" hidden="1">
      <c r="A41" s="896" t="s">
        <v>3576</v>
      </c>
      <c r="B41" s="912"/>
      <c r="C41" s="2605"/>
      <c r="D41" s="2587">
        <v>0</v>
      </c>
      <c r="E41" s="2634">
        <v>0</v>
      </c>
      <c r="F41" s="899"/>
      <c r="G41" s="899"/>
    </row>
    <row r="42" spans="1:8" ht="12" hidden="1" customHeight="1">
      <c r="A42" s="896"/>
      <c r="B42" s="912"/>
      <c r="C42" s="2605"/>
      <c r="D42" s="2587"/>
      <c r="E42" s="2634"/>
    </row>
    <row r="43" spans="1:8" ht="18" hidden="1">
      <c r="A43" s="896" t="s">
        <v>3577</v>
      </c>
      <c r="B43" s="912"/>
      <c r="C43" s="2605"/>
      <c r="D43" s="2587">
        <v>0</v>
      </c>
      <c r="E43" s="2634"/>
      <c r="F43" s="899"/>
    </row>
    <row r="44" spans="1:8" ht="12" hidden="1" customHeight="1">
      <c r="A44" s="896"/>
      <c r="B44" s="912"/>
      <c r="C44" s="2605"/>
      <c r="D44" s="2587"/>
      <c r="E44" s="2634"/>
    </row>
    <row r="45" spans="1:8" ht="18" hidden="1">
      <c r="A45" s="896" t="s">
        <v>3578</v>
      </c>
      <c r="B45" s="912"/>
      <c r="C45" s="2605"/>
      <c r="D45" s="2587"/>
      <c r="E45" s="2634"/>
      <c r="F45" s="899"/>
      <c r="G45" s="899"/>
    </row>
    <row r="46" spans="1:8" ht="6" hidden="1" customHeight="1">
      <c r="A46" s="896"/>
      <c r="B46" s="912"/>
      <c r="C46" s="2605"/>
      <c r="D46" s="2587"/>
      <c r="E46" s="2634"/>
      <c r="G46" s="899"/>
    </row>
    <row r="47" spans="1:8" ht="18">
      <c r="A47" s="896"/>
      <c r="B47" s="912"/>
      <c r="C47" s="2605"/>
      <c r="D47" s="2606"/>
      <c r="E47" s="2634"/>
    </row>
    <row r="48" spans="1:8" ht="18.5" thickBot="1">
      <c r="A48" s="896"/>
      <c r="B48" s="912"/>
      <c r="C48" s="2605"/>
      <c r="D48" s="2635">
        <f>SUM(D10:D47)</f>
        <v>3402020897.29</v>
      </c>
      <c r="E48" s="2635">
        <f>SUM(E10:E45)</f>
        <v>858750186.99999976</v>
      </c>
      <c r="G48" s="899"/>
    </row>
    <row r="49" spans="1:5" ht="18.5" thickTop="1">
      <c r="A49" s="896"/>
      <c r="B49" s="912"/>
      <c r="C49" s="2631"/>
      <c r="D49" s="2632"/>
      <c r="E49" s="2630"/>
    </row>
    <row r="50" spans="1:5" ht="26.25" customHeight="1">
      <c r="A50" s="2636" t="s">
        <v>1675</v>
      </c>
      <c r="B50" s="912"/>
      <c r="C50" s="2631"/>
      <c r="D50" s="2632"/>
      <c r="E50" s="2630"/>
    </row>
    <row r="51" spans="1:5" ht="24" customHeight="1">
      <c r="A51" s="2637"/>
      <c r="B51" s="2638"/>
      <c r="C51" s="2631"/>
      <c r="D51" s="2632"/>
      <c r="E51" s="2630"/>
    </row>
    <row r="52" spans="1:5" ht="24" customHeight="1">
      <c r="A52" s="2637"/>
      <c r="B52" s="2638"/>
      <c r="C52" s="2631"/>
      <c r="D52" s="2632"/>
      <c r="E52" s="2630"/>
    </row>
    <row r="53" spans="1:5" ht="24" customHeight="1">
      <c r="A53" s="2639"/>
      <c r="B53" s="2640"/>
      <c r="C53" s="2583"/>
      <c r="D53" s="2584"/>
      <c r="E53" s="2630"/>
    </row>
    <row r="54" spans="1:5" ht="24" customHeight="1">
      <c r="A54" s="2639"/>
      <c r="B54" s="958"/>
      <c r="C54" s="2583"/>
      <c r="D54" s="2584"/>
      <c r="E54" s="2630"/>
    </row>
    <row r="55" spans="1:5" ht="24" customHeight="1">
      <c r="A55" s="2639"/>
      <c r="B55" s="958"/>
      <c r="C55" s="2583"/>
      <c r="D55" s="2584"/>
      <c r="E55" s="2630"/>
    </row>
    <row r="56" spans="1:5" ht="24" customHeight="1">
      <c r="A56" s="2641"/>
      <c r="B56" s="958"/>
      <c r="C56" s="2583"/>
      <c r="D56" s="2584"/>
      <c r="E56" s="2630"/>
    </row>
    <row r="57" spans="1:5" ht="24" customHeight="1">
      <c r="A57" s="2639"/>
      <c r="B57" s="958"/>
      <c r="C57" s="2583"/>
      <c r="D57" s="2584"/>
      <c r="E57" s="2630"/>
    </row>
    <row r="58" spans="1:5" ht="24" customHeight="1">
      <c r="A58" s="2639"/>
      <c r="B58" s="912"/>
      <c r="C58" s="2583"/>
      <c r="D58" s="2584"/>
      <c r="E58" s="2630"/>
    </row>
    <row r="59" spans="1:5" ht="24" customHeight="1">
      <c r="A59" s="2639"/>
      <c r="B59" s="912"/>
      <c r="C59" s="2583"/>
      <c r="D59" s="2584"/>
      <c r="E59" s="2630"/>
    </row>
    <row r="60" spans="1:5" ht="24" customHeight="1">
      <c r="A60" s="2642"/>
      <c r="B60" s="912"/>
      <c r="C60" s="2583"/>
      <c r="D60" s="2584"/>
      <c r="E60" s="2630"/>
    </row>
    <row r="61" spans="1:5" ht="24" customHeight="1">
      <c r="A61" s="2639"/>
      <c r="B61" s="912"/>
      <c r="C61" s="2583"/>
      <c r="D61" s="2584"/>
      <c r="E61" s="2630"/>
    </row>
    <row r="62" spans="1:5" ht="24" customHeight="1">
      <c r="A62" s="2642"/>
      <c r="B62" s="912"/>
      <c r="C62" s="2583"/>
      <c r="D62" s="2584"/>
      <c r="E62" s="2630"/>
    </row>
    <row r="63" spans="1:5" ht="24" customHeight="1">
      <c r="A63" s="2643"/>
      <c r="B63" s="912"/>
      <c r="C63" s="2583"/>
      <c r="D63" s="2584"/>
      <c r="E63" s="2630"/>
    </row>
    <row r="64" spans="1:5" ht="24" customHeight="1">
      <c r="A64" s="896"/>
      <c r="B64" s="971"/>
      <c r="C64" s="2583"/>
      <c r="D64" s="2584"/>
      <c r="E64" s="2630"/>
    </row>
    <row r="65" spans="1:5" ht="24" customHeight="1">
      <c r="A65" s="2644"/>
      <c r="B65" s="971"/>
      <c r="C65" s="2583"/>
      <c r="D65" s="2584"/>
      <c r="E65" s="2630"/>
    </row>
    <row r="66" spans="1:5" ht="24" customHeight="1" thickBot="1">
      <c r="A66" s="2645"/>
      <c r="B66" s="972"/>
      <c r="C66" s="2621"/>
      <c r="D66" s="2622"/>
      <c r="E66" s="2646"/>
    </row>
  </sheetData>
  <mergeCells count="4">
    <mergeCell ref="A1:E1"/>
    <mergeCell ref="A2:E2"/>
    <mergeCell ref="A3:E3"/>
    <mergeCell ref="A5:B6"/>
  </mergeCells>
  <printOptions horizontalCentered="1"/>
  <pageMargins left="0.51" right="0.26" top="0.45" bottom="0.74803149606299213" header="0.31496062992125984" footer="0.31496062992125984"/>
  <pageSetup paperSize="9" scale="56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A591F-B026-4FC6-AAE8-418388C558D1}">
  <sheetPr>
    <pageSetUpPr fitToPage="1"/>
  </sheetPr>
  <dimension ref="A1:J63"/>
  <sheetViews>
    <sheetView topLeftCell="A10" zoomScale="70" zoomScaleNormal="70" workbookViewId="0">
      <selection activeCell="F35" sqref="F35"/>
    </sheetView>
  </sheetViews>
  <sheetFormatPr defaultColWidth="9.1796875" defaultRowHeight="12.5"/>
  <cols>
    <col min="1" max="1" width="63.26953125" style="885" customWidth="1"/>
    <col min="2" max="2" width="19.54296875" style="885" customWidth="1"/>
    <col min="3" max="3" width="18.1796875" style="2623" customWidth="1"/>
    <col min="4" max="4" width="20.453125" style="2623" customWidth="1"/>
    <col min="5" max="5" width="22.1796875" style="2623" customWidth="1"/>
    <col min="6" max="6" width="17.26953125" style="885" customWidth="1"/>
    <col min="7" max="7" width="13.36328125" style="885" customWidth="1"/>
    <col min="8" max="8" width="20.453125" style="885" customWidth="1"/>
    <col min="9" max="9" width="9.1796875" style="885"/>
    <col min="10" max="10" width="15.26953125" style="885" bestFit="1" customWidth="1"/>
    <col min="11" max="16384" width="9.1796875" style="885"/>
  </cols>
  <sheetData>
    <row r="1" spans="1:8" ht="24" customHeight="1">
      <c r="A1" s="3235" t="s">
        <v>7155</v>
      </c>
      <c r="B1" s="3236"/>
      <c r="C1" s="3236"/>
      <c r="D1" s="3236"/>
      <c r="E1" s="3237"/>
      <c r="F1" s="2575"/>
      <c r="G1" s="2575"/>
    </row>
    <row r="2" spans="1:8" ht="5.25" customHeight="1">
      <c r="A2" s="3238"/>
      <c r="B2" s="3239"/>
      <c r="C2" s="3239"/>
      <c r="D2" s="3239"/>
      <c r="E2" s="3240"/>
      <c r="F2" s="2575"/>
      <c r="G2" s="2575"/>
    </row>
    <row r="3" spans="1:8" ht="17.25" customHeight="1">
      <c r="A3" s="3241" t="s">
        <v>1668</v>
      </c>
      <c r="B3" s="3242"/>
      <c r="C3" s="3242"/>
      <c r="D3" s="3242"/>
      <c r="E3" s="3243"/>
      <c r="F3" s="2575"/>
      <c r="G3" s="2575"/>
    </row>
    <row r="4" spans="1:8" ht="20.25" customHeight="1" thickBot="1">
      <c r="A4" s="978"/>
      <c r="B4" s="935"/>
      <c r="C4" s="2647"/>
      <c r="D4" s="2647"/>
      <c r="E4" s="2609"/>
      <c r="F4" s="2575"/>
      <c r="G4" s="2575"/>
    </row>
    <row r="5" spans="1:8" ht="18" customHeight="1">
      <c r="A5" s="3244" t="s">
        <v>3611</v>
      </c>
      <c r="B5" s="3245"/>
      <c r="C5" s="2600"/>
      <c r="D5" s="2648" t="s">
        <v>7932</v>
      </c>
      <c r="E5" s="2649" t="s">
        <v>5468</v>
      </c>
    </row>
    <row r="6" spans="1:8" ht="18.75" customHeight="1" thickBot="1">
      <c r="A6" s="3246"/>
      <c r="B6" s="3247"/>
      <c r="C6" s="2601"/>
      <c r="D6" s="2628" t="s">
        <v>1645</v>
      </c>
      <c r="E6" s="2629" t="s">
        <v>1645</v>
      </c>
    </row>
    <row r="7" spans="1:8" ht="9.75" customHeight="1" thickTop="1">
      <c r="A7" s="2650"/>
      <c r="B7" s="2651"/>
      <c r="C7" s="2631"/>
      <c r="D7" s="2632"/>
      <c r="E7" s="2652"/>
    </row>
    <row r="8" spans="1:8" ht="23.25" customHeight="1">
      <c r="A8" s="940" t="s">
        <v>1676</v>
      </c>
      <c r="B8" s="2653"/>
      <c r="C8" s="2588">
        <f>E12</f>
        <v>2729246443.4700003</v>
      </c>
      <c r="D8" s="2587"/>
      <c r="E8" s="2654">
        <v>2695364461.25</v>
      </c>
    </row>
    <row r="9" spans="1:8" ht="23.25" customHeight="1">
      <c r="A9" s="940" t="s">
        <v>3579</v>
      </c>
      <c r="B9" s="2653"/>
      <c r="C9" s="2607">
        <f>D12-C8</f>
        <v>340932889.18999958</v>
      </c>
      <c r="D9" s="2587"/>
      <c r="E9" s="2654">
        <f>E12-E8</f>
        <v>33881982.220000267</v>
      </c>
    </row>
    <row r="10" spans="1:8" ht="6" customHeight="1">
      <c r="A10" s="2655"/>
      <c r="B10" s="2653"/>
      <c r="C10" s="2588"/>
      <c r="D10" s="2587"/>
      <c r="E10" s="2654"/>
    </row>
    <row r="11" spans="1:8" ht="15" customHeight="1">
      <c r="A11" s="2655"/>
      <c r="B11" s="2653"/>
      <c r="C11" s="2588"/>
      <c r="D11" s="2587"/>
      <c r="E11" s="2654"/>
    </row>
    <row r="12" spans="1:8" ht="17.25" customHeight="1" thickBot="1">
      <c r="A12" s="2655"/>
      <c r="B12" s="2653"/>
      <c r="C12" s="2588"/>
      <c r="D12" s="2635">
        <f>-SUMIF('TB FY-2021-22'!F3:F1332,'OERC 4,5,7,8'!H12,'TB FY-2021-22'!G3:G1332)</f>
        <v>3070179332.6599998</v>
      </c>
      <c r="E12" s="2656">
        <f>-SUMIF('TB FY-2021-22'!F3:F1332,'OERC 4,5,7,8'!H12,'TB FY-2021-22'!H3:H1332)</f>
        <v>2729246443.4700003</v>
      </c>
      <c r="H12" s="885">
        <v>130</v>
      </c>
    </row>
    <row r="13" spans="1:8" ht="10.5" customHeight="1" thickTop="1" thickBot="1">
      <c r="A13" s="2657"/>
      <c r="B13" s="2658"/>
      <c r="C13" s="2659"/>
      <c r="D13" s="2660"/>
      <c r="E13" s="2661"/>
    </row>
    <row r="14" spans="1:8" ht="24.75" customHeight="1" thickBot="1">
      <c r="A14" s="2655"/>
      <c r="B14" s="2662"/>
      <c r="C14" s="2663"/>
      <c r="D14" s="2663"/>
      <c r="E14" s="2632"/>
    </row>
    <row r="15" spans="1:8" ht="18.75" customHeight="1">
      <c r="A15" s="3244" t="s">
        <v>4009</v>
      </c>
      <c r="B15" s="3245"/>
      <c r="C15" s="2600"/>
      <c r="D15" s="2648" t="s">
        <v>7932</v>
      </c>
      <c r="E15" s="2649" t="s">
        <v>5468</v>
      </c>
    </row>
    <row r="16" spans="1:8" ht="18.75" customHeight="1" thickBot="1">
      <c r="A16" s="3246"/>
      <c r="B16" s="3247"/>
      <c r="C16" s="2601"/>
      <c r="D16" s="2628" t="s">
        <v>1645</v>
      </c>
      <c r="E16" s="2629" t="s">
        <v>1645</v>
      </c>
    </row>
    <row r="17" spans="1:10" ht="14" thickTop="1">
      <c r="A17" s="2650"/>
      <c r="B17" s="2651"/>
      <c r="C17" s="2631"/>
      <c r="D17" s="2632"/>
      <c r="E17" s="2652"/>
    </row>
    <row r="18" spans="1:10" ht="17.25" customHeight="1">
      <c r="A18" s="940" t="s">
        <v>1676</v>
      </c>
      <c r="B18" s="2653"/>
      <c r="C18" s="2588">
        <f>E22</f>
        <v>2287322308.4400001</v>
      </c>
      <c r="D18" s="2587"/>
      <c r="E18" s="2654">
        <f>228.732230866596*10^7</f>
        <v>2287322308.6659603</v>
      </c>
    </row>
    <row r="19" spans="1:10" ht="17.25" customHeight="1">
      <c r="A19" s="940" t="s">
        <v>1677</v>
      </c>
      <c r="B19" s="2653"/>
      <c r="C19" s="2664">
        <v>0</v>
      </c>
      <c r="D19" s="2587"/>
      <c r="E19" s="2654">
        <v>0</v>
      </c>
    </row>
    <row r="20" spans="1:10" ht="17.25" customHeight="1">
      <c r="A20" s="940" t="s">
        <v>4010</v>
      </c>
      <c r="B20" s="2653"/>
      <c r="C20" s="2607">
        <f>C18-D22</f>
        <v>123427084.67999983</v>
      </c>
      <c r="D20" s="2587">
        <f>+C18+C19-C20</f>
        <v>2163895223.7600002</v>
      </c>
      <c r="E20" s="2654">
        <v>0</v>
      </c>
      <c r="F20" s="899" t="e">
        <f>+E20+'OERC 1 &amp; 2'!#REF!</f>
        <v>#REF!</v>
      </c>
    </row>
    <row r="21" spans="1:10" ht="16.5">
      <c r="A21" s="2655"/>
      <c r="B21" s="2653"/>
      <c r="C21" s="2588"/>
      <c r="D21" s="2587"/>
      <c r="E21" s="2654"/>
    </row>
    <row r="22" spans="1:10" ht="17" thickBot="1">
      <c r="A22" s="2655"/>
      <c r="B22" s="2653"/>
      <c r="C22" s="2588"/>
      <c r="D22" s="2635">
        <f>-SUMIF('TB FY-2021-22'!F3:F1332,'OERC 4,5,7,8'!H22,'TB FY-2021-22'!G3:G1332)</f>
        <v>2163895223.7600002</v>
      </c>
      <c r="E22" s="2656">
        <f>-SUMIF('TB FY-2021-22'!F3:F1332,'OERC 4,5,7,8'!H22,'TB FY-2021-22'!H3:H1332)</f>
        <v>2287322308.4400001</v>
      </c>
      <c r="H22" s="885">
        <v>134</v>
      </c>
    </row>
    <row r="23" spans="1:10" ht="14.5" thickTop="1" thickBot="1">
      <c r="A23" s="2657"/>
      <c r="B23" s="2658"/>
      <c r="C23" s="2659"/>
      <c r="D23" s="2660"/>
      <c r="E23" s="2661"/>
    </row>
    <row r="24" spans="1:10" ht="6" customHeight="1">
      <c r="A24" s="2655"/>
      <c r="B24" s="2662"/>
      <c r="C24" s="2663"/>
      <c r="D24" s="2663"/>
      <c r="E24" s="2632"/>
    </row>
    <row r="25" spans="1:10" ht="15.75" customHeight="1" thickBot="1">
      <c r="A25" s="2655"/>
      <c r="B25" s="2662"/>
      <c r="C25" s="2663"/>
      <c r="D25" s="2663"/>
      <c r="E25" s="2632"/>
    </row>
    <row r="26" spans="1:10" ht="18.75" customHeight="1">
      <c r="A26" s="3225" t="s">
        <v>3612</v>
      </c>
      <c r="B26" s="2665"/>
      <c r="C26" s="2600"/>
      <c r="D26" s="2648" t="s">
        <v>7932</v>
      </c>
      <c r="E26" s="2649" t="s">
        <v>5468</v>
      </c>
    </row>
    <row r="27" spans="1:10" ht="18" customHeight="1" thickBot="1">
      <c r="A27" s="3227"/>
      <c r="B27" s="2666"/>
      <c r="C27" s="2601"/>
      <c r="D27" s="2628" t="s">
        <v>1645</v>
      </c>
      <c r="E27" s="2629" t="s">
        <v>1645</v>
      </c>
    </row>
    <row r="28" spans="1:10" ht="11.25" customHeight="1" thickTop="1">
      <c r="A28" s="2667"/>
      <c r="B28" s="2668"/>
      <c r="C28" s="2631"/>
      <c r="D28" s="2632"/>
      <c r="E28" s="2632"/>
    </row>
    <row r="29" spans="1:10" ht="19.5" customHeight="1">
      <c r="A29" s="982"/>
      <c r="B29" s="2662"/>
      <c r="C29" s="2669"/>
      <c r="D29" s="2670"/>
      <c r="E29" s="2632"/>
      <c r="J29" s="899">
        <v>789337824.03000033</v>
      </c>
    </row>
    <row r="30" spans="1:10" ht="16.5" customHeight="1">
      <c r="A30" s="940" t="s">
        <v>1678</v>
      </c>
      <c r="B30" s="2662"/>
      <c r="C30" s="2588">
        <f>SUMIF('TB FY-2021-22'!F3:F1332,'OERC 4,5,7,8'!H30,'TB FY-2021-22'!G3:G1332)</f>
        <v>250221022.98999995</v>
      </c>
      <c r="D30" s="2587"/>
      <c r="E30" s="2606">
        <f>SUMIF('TB FY-2021-22'!F3:F1332,'OERC 4,5,7,8'!H30,'TB FY-2021-22'!H3:H1332)</f>
        <v>434934808.08999997</v>
      </c>
      <c r="F30" s="899"/>
      <c r="H30" s="885">
        <v>131</v>
      </c>
      <c r="J30" s="899">
        <f>C30+C31</f>
        <v>789337827.39999986</v>
      </c>
    </row>
    <row r="31" spans="1:10" ht="19.5" customHeight="1">
      <c r="A31" s="940" t="s">
        <v>1679</v>
      </c>
      <c r="B31" s="2662"/>
      <c r="C31" s="2588">
        <f>SUMIF('TB FY-2021-22'!F4:F1333,'OERC 4,5,7,8'!H31,'TB FY-2021-22'!G4:G1333)</f>
        <v>539116804.40999997</v>
      </c>
      <c r="D31" s="2587"/>
      <c r="E31" s="2606">
        <f>SUMIF('TB FY-2021-22'!F3:F1332,'OERC 4,5,7,8'!H31,'TB FY-2021-22'!H3:H1332)</f>
        <v>343308859.83999997</v>
      </c>
      <c r="H31" s="885">
        <v>133</v>
      </c>
    </row>
    <row r="32" spans="1:10" ht="17.25" customHeight="1">
      <c r="A32" s="940" t="s">
        <v>1680</v>
      </c>
      <c r="B32" s="2662"/>
      <c r="C32" s="2588">
        <f>SUMIF('TB FY-2021-22'!F5:F1334,'OERC 4,5,7,8'!H32,'TB FY-2021-22'!G5:G1334)</f>
        <v>9388782.0500000007</v>
      </c>
      <c r="D32" s="2587"/>
      <c r="E32" s="2671">
        <f>SUMIF('TB FY-2021-22'!F3:F1332,'OERC 4,5,7,8'!H32,'TB FY-2021-22'!H3:H1332)</f>
        <v>8088435.0499999998</v>
      </c>
      <c r="F32" s="899"/>
      <c r="G32" s="899"/>
      <c r="H32" s="885">
        <v>132</v>
      </c>
    </row>
    <row r="33" spans="1:7" ht="16.5" hidden="1">
      <c r="A33" s="2650"/>
      <c r="B33" s="2662"/>
      <c r="C33" s="2588"/>
      <c r="D33" s="2587"/>
      <c r="E33" s="2606"/>
      <c r="G33" s="899"/>
    </row>
    <row r="34" spans="1:7" ht="17.5" hidden="1">
      <c r="A34" s="982"/>
      <c r="B34" s="2662"/>
      <c r="C34" s="2588"/>
      <c r="D34" s="2587"/>
      <c r="E34" s="2606"/>
      <c r="G34" s="904"/>
    </row>
    <row r="35" spans="1:7" ht="18" hidden="1">
      <c r="A35" s="940"/>
      <c r="B35" s="2662"/>
      <c r="C35" s="2588"/>
      <c r="D35" s="2587"/>
      <c r="E35" s="2606"/>
      <c r="F35" s="899"/>
      <c r="G35" s="904"/>
    </row>
    <row r="36" spans="1:7" ht="18" hidden="1">
      <c r="A36" s="940"/>
      <c r="B36" s="2662"/>
      <c r="C36" s="2607"/>
      <c r="D36" s="2587"/>
      <c r="E36" s="2671"/>
      <c r="F36" s="899"/>
    </row>
    <row r="37" spans="1:7" ht="16.5" hidden="1">
      <c r="A37" s="2650"/>
      <c r="B37" s="2662"/>
      <c r="C37" s="2588"/>
      <c r="D37" s="2587"/>
      <c r="E37" s="2606"/>
    </row>
    <row r="38" spans="1:7" ht="16.5">
      <c r="A38" s="2650"/>
      <c r="B38" s="2662"/>
      <c r="C38" s="2588"/>
      <c r="D38" s="2587"/>
      <c r="E38" s="2671"/>
    </row>
    <row r="39" spans="1:7" ht="17" thickBot="1">
      <c r="A39" s="2655"/>
      <c r="B39" s="2662"/>
      <c r="C39" s="2588"/>
      <c r="D39" s="2635">
        <f>SUM(C30:C32)</f>
        <v>798726609.44999981</v>
      </c>
      <c r="E39" s="2656">
        <f>SUM(E30:E32)</f>
        <v>786332102.9799999</v>
      </c>
      <c r="F39" s="899"/>
    </row>
    <row r="40" spans="1:7" ht="14.5" thickTop="1" thickBot="1">
      <c r="A40" s="2657"/>
      <c r="B40" s="2672"/>
      <c r="C40" s="2659"/>
      <c r="D40" s="2660"/>
      <c r="E40" s="2660"/>
    </row>
    <row r="41" spans="1:7" ht="12" customHeight="1">
      <c r="A41" s="2655"/>
      <c r="B41" s="2662"/>
      <c r="C41" s="2663"/>
      <c r="D41" s="2663"/>
      <c r="E41" s="2632"/>
    </row>
    <row r="42" spans="1:7" ht="8.25" customHeight="1" thickBot="1">
      <c r="A42" s="2655"/>
      <c r="B42" s="2662"/>
      <c r="C42" s="2663"/>
      <c r="D42" s="2663"/>
      <c r="E42" s="2632"/>
    </row>
    <row r="43" spans="1:7" ht="15.75" customHeight="1">
      <c r="A43" s="3225" t="s">
        <v>3613</v>
      </c>
      <c r="B43" s="3229"/>
      <c r="C43" s="2600"/>
      <c r="D43" s="2648" t="s">
        <v>7932</v>
      </c>
      <c r="E43" s="2649" t="s">
        <v>5468</v>
      </c>
    </row>
    <row r="44" spans="1:7" ht="18" customHeight="1" thickBot="1">
      <c r="A44" s="3227"/>
      <c r="B44" s="3230"/>
      <c r="C44" s="2601"/>
      <c r="D44" s="2628" t="s">
        <v>1645</v>
      </c>
      <c r="E44" s="2629" t="s">
        <v>1645</v>
      </c>
    </row>
    <row r="45" spans="1:7" ht="14" thickTop="1">
      <c r="A45" s="2655"/>
      <c r="B45" s="2653"/>
      <c r="C45" s="2631"/>
      <c r="D45" s="2632"/>
      <c r="E45" s="2632"/>
    </row>
    <row r="46" spans="1:7" ht="18">
      <c r="A46" s="940" t="s">
        <v>7964</v>
      </c>
      <c r="B46" s="2613"/>
      <c r="C46" s="2669"/>
      <c r="D46" s="2670"/>
      <c r="E46" s="2632"/>
    </row>
    <row r="47" spans="1:7" ht="16.5" customHeight="1">
      <c r="A47" s="940" t="s">
        <v>7965</v>
      </c>
      <c r="B47" s="2613"/>
      <c r="C47" s="2669"/>
      <c r="D47" s="2670"/>
      <c r="E47" s="2632"/>
    </row>
    <row r="48" spans="1:7" ht="16.5" customHeight="1">
      <c r="A48" s="940" t="s">
        <v>7966</v>
      </c>
      <c r="B48" s="2613"/>
      <c r="C48" s="2588">
        <f>74.5449372008992*10^7</f>
        <v>745449372.00899196</v>
      </c>
      <c r="D48" s="2670"/>
      <c r="E48" s="2632">
        <f>107.52362413*10^7</f>
        <v>1075236241.3</v>
      </c>
    </row>
    <row r="49" spans="1:8" ht="22" customHeight="1">
      <c r="A49" s="940" t="s">
        <v>7967</v>
      </c>
      <c r="B49" s="2613"/>
      <c r="C49" s="2588">
        <f>43.7*10^7</f>
        <v>437000000</v>
      </c>
      <c r="D49" s="2670"/>
      <c r="E49" s="2652">
        <f>92.162*10^7</f>
        <v>921620000.00000012</v>
      </c>
    </row>
    <row r="50" spans="1:8" ht="22" customHeight="1">
      <c r="A50" s="940" t="s">
        <v>4011</v>
      </c>
      <c r="B50" s="2613"/>
      <c r="C50" s="2607">
        <f>SUMIF('TB FY-2021-22'!F4:F1333,'OERC 4,5,7,8'!H50,'TB FY-2021-22'!G4:G1333)</f>
        <v>-200793339.06999999</v>
      </c>
      <c r="D50" s="2670"/>
      <c r="E50" s="2673">
        <f>SUMIF('TB FY-2021-22'!F3:F1332,'OERC 4,5,7,8'!H50,'TB FY-2021-22'!H3:H1332)</f>
        <v>-35330351</v>
      </c>
      <c r="H50" s="885">
        <v>117</v>
      </c>
    </row>
    <row r="51" spans="1:8" ht="16.5" customHeight="1">
      <c r="A51" s="940"/>
      <c r="B51" s="2613"/>
      <c r="C51" s="2588"/>
      <c r="D51" s="2670">
        <f>SUM(C48:C50)</f>
        <v>981656032.93899202</v>
      </c>
      <c r="E51" s="2670">
        <f>SUM(E48:E50)</f>
        <v>1961525890.3000002</v>
      </c>
    </row>
    <row r="52" spans="1:8" ht="16.5" customHeight="1">
      <c r="A52" s="940"/>
      <c r="B52" s="2613"/>
      <c r="C52" s="2588"/>
      <c r="D52" s="2670"/>
      <c r="E52" s="2632"/>
    </row>
    <row r="53" spans="1:8" ht="16.5" customHeight="1">
      <c r="A53" s="940" t="s">
        <v>7968</v>
      </c>
      <c r="B53" s="2613"/>
      <c r="C53" s="2588"/>
      <c r="D53" s="2670"/>
      <c r="E53" s="2632"/>
    </row>
    <row r="54" spans="1:8" ht="19.5" customHeight="1">
      <c r="A54" s="940" t="s">
        <v>7966</v>
      </c>
      <c r="B54" s="2613"/>
      <c r="C54" s="2588">
        <f>SUMIF('TB FY-2021-22'!F3:F1332,'OERC 4,5,7,8'!H54,'TB FY-2021-22'!G3:G1332)-C48-C49-C55</f>
        <v>2401099576.7510071</v>
      </c>
      <c r="D54" s="2670"/>
      <c r="E54" s="2670">
        <f>SUMIF('TB FY-2021-22'!F3:F1375,'OERC 4,5,7,8'!H54,'TB FY-2021-22'!H3:H1375)-E48-E49</f>
        <v>0</v>
      </c>
      <c r="H54" s="885">
        <v>116</v>
      </c>
    </row>
    <row r="55" spans="1:8" ht="21" customHeight="1">
      <c r="A55" s="940" t="s">
        <v>7967</v>
      </c>
      <c r="B55" s="2613"/>
      <c r="C55" s="2588">
        <f>76.78*10^7</f>
        <v>767800000</v>
      </c>
      <c r="D55" s="2670"/>
      <c r="E55" s="2632">
        <v>0</v>
      </c>
    </row>
    <row r="56" spans="1:8" ht="6" customHeight="1">
      <c r="A56" s="940"/>
      <c r="B56" s="2613"/>
      <c r="C56" s="2607"/>
      <c r="D56" s="2670"/>
      <c r="E56" s="2673"/>
    </row>
    <row r="57" spans="1:8" ht="16.5" customHeight="1">
      <c r="A57" s="940"/>
      <c r="B57" s="2613"/>
      <c r="C57" s="2669"/>
      <c r="D57" s="2670">
        <f>SUM(C54:C56)</f>
        <v>3168899576.7510071</v>
      </c>
      <c r="E57" s="2632">
        <f>SUM(E54:E56)</f>
        <v>0</v>
      </c>
    </row>
    <row r="58" spans="1:8" ht="16.5" customHeight="1">
      <c r="A58" s="940" t="s">
        <v>7969</v>
      </c>
      <c r="B58" s="2613"/>
      <c r="C58" s="2669"/>
      <c r="D58" s="2670"/>
      <c r="E58" s="2632"/>
    </row>
    <row r="59" spans="1:8" ht="21" customHeight="1">
      <c r="A59" s="940" t="s">
        <v>7970</v>
      </c>
      <c r="B59" s="2613"/>
      <c r="C59" s="2669"/>
      <c r="D59" s="2670">
        <f>SUMIF('TB FY-2021-22'!F3:F1332,'OERC 4,5,7,8'!H59,'TB FY-2021-22'!G3:G1332)</f>
        <v>1211100172</v>
      </c>
      <c r="E59" s="2670">
        <f>SUMIF('TB FY-2021-22'!F3:F1332,'OERC 4,5,7,8'!H59,'TB FY-2021-22'!H3:H1332)</f>
        <v>830336106</v>
      </c>
      <c r="H59" s="885">
        <v>118</v>
      </c>
    </row>
    <row r="60" spans="1:8" ht="16.5" customHeight="1">
      <c r="A60" s="940"/>
      <c r="B60" s="2613"/>
      <c r="C60" s="2669"/>
      <c r="D60" s="2670"/>
      <c r="E60" s="2632"/>
    </row>
    <row r="61" spans="1:8" ht="16.5">
      <c r="A61" s="2655"/>
      <c r="B61" s="2632"/>
      <c r="C61" s="2588"/>
      <c r="D61" s="2587"/>
      <c r="E61" s="2606"/>
    </row>
    <row r="62" spans="1:8" ht="17.25" customHeight="1" thickBot="1">
      <c r="A62" s="3231"/>
      <c r="B62" s="3232"/>
      <c r="C62" s="2588"/>
      <c r="D62" s="2635">
        <f>SUM(D51+D57+D59)</f>
        <v>5361655781.6899986</v>
      </c>
      <c r="E62" s="2674">
        <f>SUM(E51+E57+E59)</f>
        <v>2791861996.3000002</v>
      </c>
      <c r="F62" s="899"/>
    </row>
    <row r="63" spans="1:8" ht="14.5" thickTop="1" thickBot="1">
      <c r="A63" s="3233"/>
      <c r="B63" s="3234"/>
      <c r="C63" s="2675"/>
      <c r="D63" s="2676"/>
      <c r="E63" s="2660"/>
    </row>
  </sheetData>
  <mergeCells count="8">
    <mergeCell ref="A43:B44"/>
    <mergeCell ref="A62:B63"/>
    <mergeCell ref="A1:E1"/>
    <mergeCell ref="A2:E2"/>
    <mergeCell ref="A3:E3"/>
    <mergeCell ref="A5:B6"/>
    <mergeCell ref="A15:B16"/>
    <mergeCell ref="A26:A27"/>
  </mergeCells>
  <printOptions horizontalCentered="1"/>
  <pageMargins left="0.59" right="0.38" top="0.74803149606299213" bottom="0.74803149606299213" header="0.31496062992125984" footer="0.31496062992125984"/>
  <pageSetup paperSize="9" scale="6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3DC60-160B-4C5B-940B-41E398343AB3}">
  <sheetPr>
    <pageSetUpPr fitToPage="1"/>
  </sheetPr>
  <dimension ref="A1:W114"/>
  <sheetViews>
    <sheetView topLeftCell="A11" zoomScale="70" zoomScaleNormal="70" workbookViewId="0">
      <selection activeCell="F35" sqref="F35"/>
    </sheetView>
  </sheetViews>
  <sheetFormatPr defaultColWidth="9.1796875" defaultRowHeight="12.5"/>
  <cols>
    <col min="1" max="1" width="42.453125" style="885" customWidth="1"/>
    <col min="2" max="2" width="22.1796875" style="885" customWidth="1"/>
    <col min="3" max="3" width="20.81640625" style="885" customWidth="1"/>
    <col min="4" max="4" width="19.81640625" style="885" customWidth="1"/>
    <col min="5" max="5" width="22.1796875" style="885" customWidth="1"/>
    <col min="6" max="6" width="8.81640625" style="885" customWidth="1"/>
    <col min="7" max="7" width="18" style="2623" hidden="1" customWidth="1"/>
    <col min="8" max="8" width="0.1796875" style="2623" hidden="1" customWidth="1"/>
    <col min="9" max="9" width="17.453125" style="2714" hidden="1" customWidth="1"/>
    <col min="10" max="10" width="15.7265625" style="2714" hidden="1" customWidth="1"/>
    <col min="11" max="11" width="20.453125" style="2623" hidden="1" customWidth="1"/>
    <col min="12" max="12" width="7.7265625" style="2623" hidden="1" customWidth="1"/>
    <col min="13" max="13" width="18.26953125" style="2623" customWidth="1"/>
    <col min="14" max="14" width="2.54296875" style="2714" hidden="1" customWidth="1"/>
    <col min="15" max="15" width="18.26953125" style="2714" customWidth="1"/>
    <col min="16" max="16" width="16.54296875" style="2714" customWidth="1"/>
    <col min="17" max="17" width="19" style="2623" customWidth="1"/>
    <col min="18" max="18" width="7.08984375" style="2623" customWidth="1"/>
    <col min="19" max="19" width="21.54296875" style="2623" customWidth="1"/>
    <col min="20" max="20" width="18.453125" style="2623" customWidth="1"/>
    <col min="21" max="21" width="9.1796875" style="885"/>
    <col min="22" max="22" width="17" style="885" bestFit="1" customWidth="1"/>
    <col min="23" max="23" width="15.26953125" style="885" bestFit="1" customWidth="1"/>
    <col min="24" max="16384" width="9.1796875" style="885"/>
  </cols>
  <sheetData>
    <row r="1" spans="1:22" ht="22.5">
      <c r="A1" s="3258" t="s">
        <v>7155</v>
      </c>
      <c r="B1" s="3259"/>
      <c r="C1" s="3259"/>
      <c r="D1" s="3259"/>
      <c r="E1" s="3259"/>
      <c r="F1" s="3259"/>
      <c r="G1" s="3259"/>
      <c r="H1" s="3259"/>
      <c r="I1" s="3259"/>
      <c r="J1" s="3259"/>
      <c r="K1" s="3259"/>
      <c r="L1" s="3259"/>
      <c r="M1" s="3259"/>
      <c r="N1" s="3259"/>
      <c r="O1" s="3259"/>
      <c r="P1" s="3259"/>
      <c r="Q1" s="3259"/>
      <c r="R1" s="3259"/>
      <c r="S1" s="3259"/>
      <c r="T1" s="3260"/>
    </row>
    <row r="2" spans="1:22" ht="7.5" customHeight="1">
      <c r="A2" s="3238"/>
      <c r="B2" s="3239"/>
      <c r="C2" s="3239"/>
      <c r="D2" s="3239"/>
      <c r="E2" s="3239"/>
      <c r="F2" s="3239"/>
      <c r="G2" s="3239"/>
      <c r="H2" s="3239"/>
      <c r="I2" s="3239"/>
      <c r="J2" s="3239"/>
      <c r="K2" s="3239"/>
      <c r="L2" s="3239"/>
      <c r="M2" s="3239"/>
      <c r="N2" s="3239"/>
      <c r="O2" s="3239"/>
      <c r="P2" s="3239"/>
      <c r="Q2" s="3239"/>
      <c r="R2" s="3239"/>
      <c r="S2" s="3239"/>
      <c r="T2" s="3240"/>
    </row>
    <row r="3" spans="1:22" ht="18" customHeight="1">
      <c r="A3" s="3241" t="s">
        <v>1668</v>
      </c>
      <c r="B3" s="3242"/>
      <c r="C3" s="3242"/>
      <c r="D3" s="3242"/>
      <c r="E3" s="3242"/>
      <c r="F3" s="3242"/>
      <c r="G3" s="3242"/>
      <c r="H3" s="3242"/>
      <c r="I3" s="3242"/>
      <c r="J3" s="3242"/>
      <c r="K3" s="3242"/>
      <c r="L3" s="3242"/>
      <c r="M3" s="3242"/>
      <c r="N3" s="3242"/>
      <c r="O3" s="3242"/>
      <c r="P3" s="3242"/>
      <c r="Q3" s="3242"/>
      <c r="R3" s="3242"/>
      <c r="S3" s="3242"/>
      <c r="T3" s="3243"/>
    </row>
    <row r="4" spans="1:22" ht="17.5">
      <c r="A4" s="982" t="s">
        <v>4012</v>
      </c>
      <c r="B4" s="2677"/>
      <c r="C4" s="2677"/>
      <c r="D4" s="2677"/>
      <c r="E4" s="2677"/>
      <c r="F4" s="2677"/>
      <c r="G4" s="2678"/>
      <c r="H4" s="2678"/>
      <c r="I4" s="2679"/>
      <c r="J4" s="2679"/>
      <c r="K4" s="2678"/>
      <c r="L4" s="2678"/>
      <c r="M4" s="2678"/>
      <c r="N4" s="2679"/>
      <c r="O4" s="2679"/>
      <c r="P4" s="2679"/>
      <c r="Q4" s="2678"/>
      <c r="R4" s="2678"/>
      <c r="S4" s="3261" t="s">
        <v>3580</v>
      </c>
      <c r="T4" s="3262"/>
    </row>
    <row r="5" spans="1:22" ht="6.75" customHeight="1" thickBot="1">
      <c r="A5" s="978"/>
      <c r="B5" s="935"/>
      <c r="C5" s="935"/>
      <c r="D5" s="935"/>
      <c r="E5" s="935"/>
      <c r="F5" s="935"/>
      <c r="G5" s="2647"/>
      <c r="H5" s="2647"/>
      <c r="I5" s="2680"/>
      <c r="J5" s="2680"/>
      <c r="K5" s="2647"/>
      <c r="L5" s="2647"/>
      <c r="M5" s="2647"/>
      <c r="N5" s="2680"/>
      <c r="O5" s="2680"/>
      <c r="P5" s="2680"/>
      <c r="Q5" s="2647"/>
      <c r="R5" s="2647"/>
      <c r="S5" s="2647"/>
      <c r="T5" s="2609"/>
    </row>
    <row r="6" spans="1:22" ht="14" thickBot="1">
      <c r="A6" s="3263" t="s">
        <v>1682</v>
      </c>
      <c r="B6" s="3250" t="s">
        <v>1683</v>
      </c>
      <c r="C6" s="3251"/>
      <c r="D6" s="3251"/>
      <c r="E6" s="3252"/>
      <c r="F6" s="2681"/>
      <c r="G6" s="3253"/>
      <c r="H6" s="3254"/>
      <c r="I6" s="3254"/>
      <c r="J6" s="3254"/>
      <c r="K6" s="3255"/>
      <c r="L6" s="2682"/>
      <c r="M6" s="3253" t="s">
        <v>1684</v>
      </c>
      <c r="N6" s="3254"/>
      <c r="O6" s="3254"/>
      <c r="P6" s="3254"/>
      <c r="Q6" s="3255"/>
      <c r="R6" s="2682"/>
      <c r="S6" s="3256" t="s">
        <v>1685</v>
      </c>
      <c r="T6" s="3257"/>
    </row>
    <row r="7" spans="1:22" ht="38.25" customHeight="1" thickBot="1">
      <c r="A7" s="3264"/>
      <c r="B7" s="2683" t="s">
        <v>7971</v>
      </c>
      <c r="C7" s="2684" t="s">
        <v>1302</v>
      </c>
      <c r="D7" s="2685" t="s">
        <v>3581</v>
      </c>
      <c r="E7" s="2686" t="s">
        <v>7972</v>
      </c>
      <c r="F7" s="2686"/>
      <c r="G7" s="2683"/>
      <c r="H7" s="2687"/>
      <c r="I7" s="2684"/>
      <c r="J7" s="2685"/>
      <c r="K7" s="2686"/>
      <c r="L7" s="2686"/>
      <c r="M7" s="2683" t="s">
        <v>7971</v>
      </c>
      <c r="N7" s="2684"/>
      <c r="O7" s="2684" t="s">
        <v>1686</v>
      </c>
      <c r="P7" s="2685" t="s">
        <v>3581</v>
      </c>
      <c r="Q7" s="2688" t="s">
        <v>7972</v>
      </c>
      <c r="R7" s="2686"/>
      <c r="S7" s="2686" t="s">
        <v>7972</v>
      </c>
      <c r="T7" s="2688" t="s">
        <v>5476</v>
      </c>
    </row>
    <row r="8" spans="1:22" ht="15.75" customHeight="1">
      <c r="A8" s="2689" t="s">
        <v>1243</v>
      </c>
      <c r="B8" s="2690"/>
      <c r="C8" s="2691"/>
      <c r="D8" s="2691"/>
      <c r="E8" s="2692"/>
      <c r="F8" s="2692"/>
      <c r="G8" s="2631"/>
      <c r="H8" s="2663"/>
      <c r="I8" s="2693"/>
      <c r="J8" s="2693"/>
      <c r="K8" s="2632"/>
      <c r="L8" s="2663"/>
      <c r="M8" s="2605"/>
      <c r="N8" s="2694"/>
      <c r="O8" s="2694"/>
      <c r="P8" s="2694"/>
      <c r="Q8" s="2587"/>
      <c r="R8" s="2664"/>
      <c r="S8" s="2695"/>
      <c r="T8" s="2696"/>
    </row>
    <row r="9" spans="1:22" ht="16.5">
      <c r="A9" s="2697" t="s">
        <v>1687</v>
      </c>
      <c r="B9" s="2605">
        <f>E45</f>
        <v>0</v>
      </c>
      <c r="C9" s="2698"/>
      <c r="D9" s="2698"/>
      <c r="E9" s="2699">
        <f>B9+C9-D9</f>
        <v>0</v>
      </c>
      <c r="F9" s="2699"/>
      <c r="G9" s="2605"/>
      <c r="H9" s="2616"/>
      <c r="I9" s="2616"/>
      <c r="J9" s="2616"/>
      <c r="K9" s="2587"/>
      <c r="L9" s="2664"/>
      <c r="M9" s="2605">
        <f>Q45</f>
        <v>0</v>
      </c>
      <c r="N9" s="2616"/>
      <c r="O9" s="2616">
        <v>0</v>
      </c>
      <c r="P9" s="2616"/>
      <c r="Q9" s="2587">
        <f>+M9+O9</f>
        <v>0</v>
      </c>
      <c r="R9" s="2664"/>
      <c r="S9" s="2588">
        <f>+K9-Q9</f>
        <v>0</v>
      </c>
      <c r="T9" s="2606"/>
    </row>
    <row r="10" spans="1:22" ht="16.5">
      <c r="A10" s="2697" t="s">
        <v>1688</v>
      </c>
      <c r="B10" s="2605">
        <f>E46</f>
        <v>0</v>
      </c>
      <c r="C10" s="2698"/>
      <c r="D10" s="2698"/>
      <c r="E10" s="2699">
        <f>B10+C10-D10</f>
        <v>0</v>
      </c>
      <c r="F10" s="2699"/>
      <c r="G10" s="2605"/>
      <c r="H10" s="2616"/>
      <c r="I10" s="2616"/>
      <c r="J10" s="2616"/>
      <c r="K10" s="2587"/>
      <c r="L10" s="2664"/>
      <c r="M10" s="2605">
        <f>Q46</f>
        <v>0</v>
      </c>
      <c r="N10" s="2616"/>
      <c r="O10" s="2616">
        <v>0</v>
      </c>
      <c r="P10" s="2616"/>
      <c r="Q10" s="2587">
        <f>+M10+O10</f>
        <v>0</v>
      </c>
      <c r="R10" s="2664"/>
      <c r="S10" s="2588">
        <f>+K10-Q10</f>
        <v>0</v>
      </c>
      <c r="T10" s="2606"/>
    </row>
    <row r="11" spans="1:22" ht="12.75" customHeight="1">
      <c r="A11" s="2697"/>
      <c r="B11" s="2605"/>
      <c r="C11" s="2698"/>
      <c r="D11" s="2698"/>
      <c r="E11" s="2698"/>
      <c r="F11" s="2698"/>
      <c r="G11" s="2605"/>
      <c r="H11" s="2616"/>
      <c r="I11" s="2616"/>
      <c r="J11" s="2616"/>
      <c r="K11" s="2587"/>
      <c r="L11" s="2664"/>
      <c r="M11" s="2605"/>
      <c r="N11" s="2616"/>
      <c r="O11" s="2616"/>
      <c r="P11" s="2616"/>
      <c r="Q11" s="2587"/>
      <c r="R11" s="2664"/>
      <c r="S11" s="2588"/>
      <c r="T11" s="2606"/>
    </row>
    <row r="12" spans="1:22" ht="16.5">
      <c r="A12" s="2697" t="s">
        <v>119</v>
      </c>
      <c r="B12" s="2605">
        <f>E48</f>
        <v>59799991.960000001</v>
      </c>
      <c r="C12" s="2616">
        <f>E12-B12</f>
        <v>233899920.49999997</v>
      </c>
      <c r="D12" s="2694"/>
      <c r="E12" s="2699">
        <f>SUMIF('TB FY-2021-22'!F3:F1332,'OERC 6'!F48,'TB FY-2021-22'!G3:G1332)</f>
        <v>293699912.45999998</v>
      </c>
      <c r="F12" s="2699">
        <v>120</v>
      </c>
      <c r="G12" s="2605"/>
      <c r="H12" s="2616"/>
      <c r="I12" s="2616"/>
      <c r="J12" s="2616"/>
      <c r="K12" s="2587"/>
      <c r="L12" s="2664"/>
      <c r="M12" s="2605">
        <f>Q48</f>
        <v>24542608.300000001</v>
      </c>
      <c r="N12" s="2616"/>
      <c r="O12" s="2616">
        <f>Q12-M12</f>
        <v>2878616.2799999975</v>
      </c>
      <c r="P12" s="2616"/>
      <c r="Q12" s="2587">
        <f>-SUMIF('TB FY-2021-22'!F3:F1332,'OERC 6'!R48,'TB FY-2021-22'!G3:G1332)</f>
        <v>27421224.579999998</v>
      </c>
      <c r="R12" s="2664">
        <v>125</v>
      </c>
      <c r="S12" s="2588">
        <f>E12-Q12</f>
        <v>266278687.88</v>
      </c>
      <c r="T12" s="2606">
        <f>B12-M12</f>
        <v>35257383.659999996</v>
      </c>
    </row>
    <row r="13" spans="1:22" ht="8.25" customHeight="1">
      <c r="A13" s="2697"/>
      <c r="B13" s="2605"/>
      <c r="C13" s="2698"/>
      <c r="D13" s="2698"/>
      <c r="E13" s="2698"/>
      <c r="F13" s="2698"/>
      <c r="G13" s="2605"/>
      <c r="H13" s="2616"/>
      <c r="I13" s="2616"/>
      <c r="J13" s="2616"/>
      <c r="K13" s="2587"/>
      <c r="L13" s="2664"/>
      <c r="M13" s="2605"/>
      <c r="N13" s="2616"/>
      <c r="O13" s="2616"/>
      <c r="P13" s="2616"/>
      <c r="Q13" s="2587"/>
      <c r="R13" s="2664"/>
      <c r="S13" s="2588"/>
      <c r="T13" s="2606"/>
    </row>
    <row r="14" spans="1:22" ht="16.5">
      <c r="A14" s="2697" t="s">
        <v>1689</v>
      </c>
      <c r="B14" s="2605"/>
      <c r="C14" s="2698"/>
      <c r="D14" s="2698"/>
      <c r="E14" s="2698"/>
      <c r="F14" s="2698"/>
      <c r="G14" s="2605"/>
      <c r="H14" s="2616"/>
      <c r="I14" s="2616"/>
      <c r="J14" s="2616"/>
      <c r="K14" s="2587"/>
      <c r="L14" s="2664"/>
      <c r="M14" s="2605"/>
      <c r="N14" s="2616"/>
      <c r="O14" s="2616"/>
      <c r="P14" s="2616"/>
      <c r="Q14" s="2587"/>
      <c r="R14" s="2664"/>
      <c r="S14" s="2588"/>
      <c r="T14" s="2606"/>
    </row>
    <row r="15" spans="1:22" ht="16.5">
      <c r="A15" s="2697" t="s">
        <v>1690</v>
      </c>
      <c r="B15" s="2605">
        <f>E51</f>
        <v>9849292266.6700001</v>
      </c>
      <c r="C15" s="2616">
        <v>874813050.90999985</v>
      </c>
      <c r="D15" s="2616"/>
      <c r="E15" s="2699">
        <f>B15+C15</f>
        <v>10724105317.58</v>
      </c>
      <c r="F15" s="2699">
        <v>121</v>
      </c>
      <c r="G15" s="2605"/>
      <c r="H15" s="2616"/>
      <c r="I15" s="2616"/>
      <c r="J15" s="2616"/>
      <c r="K15" s="2587"/>
      <c r="L15" s="2664"/>
      <c r="M15" s="2605">
        <f>Q51</f>
        <v>3515226107.4400001</v>
      </c>
      <c r="N15" s="2616"/>
      <c r="O15" s="2616">
        <f>374847048.18+481223.74</f>
        <v>375328271.92000002</v>
      </c>
      <c r="P15" s="2616">
        <v>0</v>
      </c>
      <c r="Q15" s="2587">
        <f>M15+O15</f>
        <v>3890554379.3600001</v>
      </c>
      <c r="R15" s="2664">
        <v>126</v>
      </c>
      <c r="S15" s="2588">
        <f>E15-Q15</f>
        <v>6833550938.2199993</v>
      </c>
      <c r="T15" s="2606">
        <f>B15-M15</f>
        <v>6334066159.2299995</v>
      </c>
      <c r="V15" s="885">
        <v>-481223.7499961853</v>
      </c>
    </row>
    <row r="16" spans="1:22" ht="9" customHeight="1">
      <c r="A16" s="2697"/>
      <c r="B16" s="2605"/>
      <c r="C16" s="2616"/>
      <c r="D16" s="2616"/>
      <c r="E16" s="2698"/>
      <c r="F16" s="2698"/>
      <c r="G16" s="2605"/>
      <c r="H16" s="2616"/>
      <c r="I16" s="2616"/>
      <c r="J16" s="2616"/>
      <c r="K16" s="2587"/>
      <c r="L16" s="2664"/>
      <c r="M16" s="2605"/>
      <c r="N16" s="2616"/>
      <c r="O16" s="2616"/>
      <c r="P16" s="2616"/>
      <c r="Q16" s="2587"/>
      <c r="R16" s="2664"/>
      <c r="S16" s="2588"/>
      <c r="T16" s="2606"/>
    </row>
    <row r="17" spans="1:23" ht="16.5">
      <c r="A17" s="2697" t="s">
        <v>121</v>
      </c>
      <c r="B17" s="2605">
        <f>E53</f>
        <v>16269776.18</v>
      </c>
      <c r="C17" s="2616">
        <f>E17-B17</f>
        <v>6554141</v>
      </c>
      <c r="D17" s="2616"/>
      <c r="E17" s="2699">
        <f>SUMIF('TB FY-2021-22'!F8:F1337,'OERC 6'!F53,'TB FY-2021-22'!G8:G1337)</f>
        <v>22823917.18</v>
      </c>
      <c r="F17" s="2699">
        <v>122</v>
      </c>
      <c r="G17" s="2605"/>
      <c r="H17" s="2616"/>
      <c r="I17" s="2616"/>
      <c r="J17" s="2616"/>
      <c r="K17" s="2587"/>
      <c r="L17" s="2664"/>
      <c r="M17" s="2605">
        <f>Q53</f>
        <v>12796835.42</v>
      </c>
      <c r="N17" s="2616"/>
      <c r="O17" s="2616">
        <f>Q17-M17</f>
        <v>1940409.9800000004</v>
      </c>
      <c r="P17" s="2616"/>
      <c r="Q17" s="2587">
        <f>-SUMIF('TB FY-2021-22'!F8:F1337,'OERC 6'!R53,'TB FY-2021-22'!G8:G1337)</f>
        <v>14737245.4</v>
      </c>
      <c r="R17" s="2664">
        <v>127</v>
      </c>
      <c r="S17" s="2588">
        <f>E17-Q17</f>
        <v>8086671.7799999993</v>
      </c>
      <c r="T17" s="2606">
        <f>B17-M17</f>
        <v>3472940.76</v>
      </c>
    </row>
    <row r="18" spans="1:23" ht="9.75" customHeight="1">
      <c r="A18" s="2697"/>
      <c r="B18" s="2605"/>
      <c r="C18" s="2616"/>
      <c r="D18" s="2616"/>
      <c r="E18" s="2698"/>
      <c r="F18" s="2698"/>
      <c r="G18" s="2605"/>
      <c r="H18" s="2616"/>
      <c r="I18" s="2616"/>
      <c r="J18" s="2616"/>
      <c r="K18" s="2587"/>
      <c r="L18" s="2664"/>
      <c r="M18" s="2605"/>
      <c r="N18" s="2616"/>
      <c r="O18" s="2616"/>
      <c r="P18" s="2616"/>
      <c r="Q18" s="2587"/>
      <c r="R18" s="2664"/>
      <c r="S18" s="2588"/>
      <c r="T18" s="2606"/>
    </row>
    <row r="19" spans="1:23" ht="16.5">
      <c r="A19" s="2697" t="s">
        <v>1691</v>
      </c>
      <c r="B19" s="2605">
        <f>E55</f>
        <v>20081180.990000002</v>
      </c>
      <c r="C19" s="2616">
        <f>E19-B19</f>
        <v>53025942.06000001</v>
      </c>
      <c r="D19" s="2616"/>
      <c r="E19" s="2699">
        <f>SUMIF('TB FY-2021-22'!F10:F1339,'OERC 6'!F55,'TB FY-2021-22'!G10:G1339)</f>
        <v>73107123.050000012</v>
      </c>
      <c r="F19" s="2699">
        <v>123</v>
      </c>
      <c r="G19" s="2605"/>
      <c r="H19" s="2616"/>
      <c r="I19" s="2616"/>
      <c r="J19" s="2616"/>
      <c r="K19" s="2587"/>
      <c r="L19" s="2664"/>
      <c r="M19" s="2605">
        <f>Q55</f>
        <v>18209769.350000001</v>
      </c>
      <c r="N19" s="2616"/>
      <c r="O19" s="2616">
        <f>Q19-M19</f>
        <v>1153158.4100000001</v>
      </c>
      <c r="P19" s="2616"/>
      <c r="Q19" s="2587">
        <f>-SUMIF('TB FY-2021-22'!F10:F1339,'OERC 6'!R55,'TB FY-2021-22'!G10:G1339)</f>
        <v>19362927.760000002</v>
      </c>
      <c r="R19" s="2664">
        <v>128</v>
      </c>
      <c r="S19" s="2588">
        <f>E19-Q19</f>
        <v>53744195.290000007</v>
      </c>
      <c r="T19" s="2606">
        <f>B19-M19</f>
        <v>1871411.6400000006</v>
      </c>
    </row>
    <row r="20" spans="1:23" ht="9" customHeight="1">
      <c r="A20" s="2697"/>
      <c r="B20" s="2605"/>
      <c r="C20" s="2616"/>
      <c r="D20" s="2616"/>
      <c r="E20" s="2698"/>
      <c r="F20" s="2698"/>
      <c r="G20" s="2605"/>
      <c r="H20" s="2616"/>
      <c r="I20" s="2616"/>
      <c r="J20" s="2616"/>
      <c r="K20" s="2587"/>
      <c r="L20" s="2664"/>
      <c r="M20" s="2605"/>
      <c r="N20" s="2616"/>
      <c r="O20" s="2616"/>
      <c r="P20" s="2616"/>
      <c r="Q20" s="2587"/>
      <c r="R20" s="2664"/>
      <c r="S20" s="2588"/>
      <c r="T20" s="2606"/>
    </row>
    <row r="21" spans="1:23" ht="16.5">
      <c r="A21" s="2697" t="s">
        <v>1692</v>
      </c>
      <c r="B21" s="2605">
        <f>E57</f>
        <v>60504921.740000002</v>
      </c>
      <c r="C21" s="2616">
        <f>E21-B21</f>
        <v>346720074.42999995</v>
      </c>
      <c r="D21" s="2616"/>
      <c r="E21" s="2699">
        <f>SUMIF('TB FY-2021-22'!F12:F1341,'OERC 6'!F57,'TB FY-2021-22'!G12:G1341)-E31</f>
        <v>407224996.16999996</v>
      </c>
      <c r="F21" s="2699">
        <v>124</v>
      </c>
      <c r="G21" s="2605"/>
      <c r="H21" s="2616"/>
      <c r="I21" s="2616"/>
      <c r="J21" s="2616"/>
      <c r="K21" s="2587"/>
      <c r="L21" s="2664"/>
      <c r="M21" s="2605">
        <f>Q57</f>
        <v>48740389.439999998</v>
      </c>
      <c r="N21" s="2616"/>
      <c r="O21" s="2616">
        <f>Q21-M21</f>
        <v>17516306.807317637</v>
      </c>
      <c r="P21" s="2616"/>
      <c r="Q21" s="2587">
        <f>-SUMIF('TB FY-2021-22'!F12:F1341,'OERC 6'!R57,'TB FY-2021-22'!G12:G1341)-Q31</f>
        <v>66256696.247317635</v>
      </c>
      <c r="R21" s="2664">
        <v>129</v>
      </c>
      <c r="S21" s="2588">
        <f>E21-Q21</f>
        <v>340968299.92268234</v>
      </c>
      <c r="T21" s="2606">
        <f>B21-M21</f>
        <v>11764532.300000004</v>
      </c>
    </row>
    <row r="22" spans="1:23" ht="17" thickBot="1">
      <c r="A22" s="2700"/>
      <c r="B22" s="2657"/>
      <c r="C22" s="2672"/>
      <c r="D22" s="2672"/>
      <c r="E22" s="2662"/>
      <c r="F22" s="2662"/>
      <c r="G22" s="2631"/>
      <c r="H22" s="2663"/>
      <c r="I22" s="2663"/>
      <c r="J22" s="2663"/>
      <c r="K22" s="2632"/>
      <c r="L22" s="2663"/>
      <c r="M22" s="2605"/>
      <c r="N22" s="2616"/>
      <c r="O22" s="2616"/>
      <c r="P22" s="2616"/>
      <c r="Q22" s="2587"/>
      <c r="R22" s="2664"/>
      <c r="S22" s="2588"/>
      <c r="T22" s="2606"/>
    </row>
    <row r="23" spans="1:23" ht="17" thickBot="1">
      <c r="A23" s="2701" t="s">
        <v>1101</v>
      </c>
      <c r="B23" s="2702">
        <f>SUM(B9:B21)</f>
        <v>10005948137.539999</v>
      </c>
      <c r="C23" s="2702">
        <f t="shared" ref="C23:D23" si="0">SUM(C9:C21)</f>
        <v>1515013128.8999996</v>
      </c>
      <c r="D23" s="2702">
        <f t="shared" si="0"/>
        <v>0</v>
      </c>
      <c r="E23" s="2702">
        <f>SUM(E9:E21)</f>
        <v>11520961266.439999</v>
      </c>
      <c r="F23" s="2702"/>
      <c r="G23" s="2703"/>
      <c r="H23" s="2704"/>
      <c r="I23" s="2704"/>
      <c r="J23" s="2704"/>
      <c r="K23" s="2705"/>
      <c r="L23" s="2705"/>
      <c r="M23" s="2703">
        <f>SUM(M9:M21)</f>
        <v>3619515709.9500003</v>
      </c>
      <c r="N23" s="2704">
        <v>0</v>
      </c>
      <c r="O23" s="2704">
        <f>SUM(O9:O21)</f>
        <v>398816763.39731765</v>
      </c>
      <c r="P23" s="2704">
        <f>SUM(P9:P21)</f>
        <v>0</v>
      </c>
      <c r="Q23" s="2705">
        <f>SUM(Q9:Q21)</f>
        <v>4018332473.3473182</v>
      </c>
      <c r="R23" s="2705"/>
      <c r="S23" s="2703">
        <f>SUM(S9:S21)</f>
        <v>7502628793.0926819</v>
      </c>
      <c r="T23" s="2706">
        <f>SUM(T9:T21)</f>
        <v>6386432427.5900002</v>
      </c>
      <c r="V23" s="904"/>
      <c r="W23" s="904"/>
    </row>
    <row r="24" spans="1:23" ht="16.5">
      <c r="A24" s="2948"/>
      <c r="B24" s="2949"/>
      <c r="C24" s="2949"/>
      <c r="D24" s="2949"/>
      <c r="E24" s="2949"/>
      <c r="F24" s="2949"/>
      <c r="G24" s="2616"/>
      <c r="H24" s="2616"/>
      <c r="I24" s="2616"/>
      <c r="J24" s="2616"/>
      <c r="K24" s="2664"/>
      <c r="L24" s="2664"/>
      <c r="M24" s="2616"/>
      <c r="N24" s="2616"/>
      <c r="O24" s="2616"/>
      <c r="P24" s="2616"/>
      <c r="Q24" s="2664"/>
      <c r="R24" s="2664"/>
      <c r="S24" s="2616"/>
      <c r="T24" s="2606"/>
      <c r="V24" s="904"/>
      <c r="W24" s="904"/>
    </row>
    <row r="25" spans="1:23" ht="16.5">
      <c r="A25" s="2948"/>
      <c r="B25" s="2949"/>
      <c r="C25" s="2949"/>
      <c r="D25" s="2949"/>
      <c r="E25" s="2949"/>
      <c r="F25" s="2949"/>
      <c r="G25" s="2616"/>
      <c r="H25" s="2616"/>
      <c r="I25" s="2616"/>
      <c r="J25" s="2616"/>
      <c r="K25" s="2664"/>
      <c r="L25" s="2664"/>
      <c r="M25" s="2616"/>
      <c r="N25" s="2616"/>
      <c r="O25" s="2616"/>
      <c r="P25" s="2616"/>
      <c r="Q25" s="2664"/>
      <c r="R25" s="2664"/>
      <c r="S25" s="2616"/>
      <c r="T25" s="2606"/>
      <c r="V25" s="904"/>
      <c r="W25" s="904"/>
    </row>
    <row r="26" spans="1:23" ht="13.5">
      <c r="A26" s="2655"/>
      <c r="B26" s="2662"/>
      <c r="C26" s="2662"/>
      <c r="D26" s="2662"/>
      <c r="E26" s="2662"/>
      <c r="F26" s="2662"/>
      <c r="G26" s="2663"/>
      <c r="H26" s="2663"/>
      <c r="I26" s="2693"/>
      <c r="J26" s="2693"/>
      <c r="K26" s="2663"/>
      <c r="L26" s="2663"/>
      <c r="M26" s="2663"/>
      <c r="N26" s="2693"/>
      <c r="O26" s="2693"/>
      <c r="P26" s="2693"/>
      <c r="Q26" s="2663"/>
      <c r="R26" s="2663"/>
      <c r="S26" s="2663"/>
      <c r="T26" s="2632"/>
    </row>
    <row r="27" spans="1:23" ht="14" thickBot="1">
      <c r="A27" s="2655"/>
      <c r="B27" s="2662"/>
      <c r="C27" s="2662"/>
      <c r="D27" s="2662"/>
      <c r="E27" s="2662"/>
      <c r="F27" s="2662"/>
      <c r="G27" s="2663"/>
      <c r="H27" s="2663"/>
      <c r="I27" s="2693"/>
      <c r="J27" s="2693"/>
      <c r="K27" s="2663"/>
      <c r="L27" s="2663"/>
      <c r="M27" s="2663"/>
      <c r="N27" s="2693"/>
      <c r="O27" s="2693"/>
      <c r="P27" s="2693"/>
      <c r="Q27" s="2663"/>
      <c r="R27" s="2663"/>
      <c r="S27" s="2663"/>
      <c r="T27" s="2632"/>
    </row>
    <row r="28" spans="1:23" ht="14" thickBot="1">
      <c r="A28" s="3248" t="s">
        <v>8091</v>
      </c>
      <c r="B28" s="3250" t="s">
        <v>1683</v>
      </c>
      <c r="C28" s="3251"/>
      <c r="D28" s="3251"/>
      <c r="E28" s="3252"/>
      <c r="F28" s="2681"/>
      <c r="G28" s="3253"/>
      <c r="H28" s="3254"/>
      <c r="I28" s="3254"/>
      <c r="J28" s="3254"/>
      <c r="K28" s="3255"/>
      <c r="L28" s="2682"/>
      <c r="M28" s="3253" t="s">
        <v>1684</v>
      </c>
      <c r="N28" s="3254"/>
      <c r="O28" s="3254"/>
      <c r="P28" s="3254"/>
      <c r="Q28" s="3255"/>
      <c r="R28" s="2682"/>
      <c r="S28" s="3256" t="s">
        <v>1685</v>
      </c>
      <c r="T28" s="3257"/>
    </row>
    <row r="29" spans="1:23" ht="38" thickBot="1">
      <c r="A29" s="3249"/>
      <c r="B29" s="2683" t="s">
        <v>7971</v>
      </c>
      <c r="C29" s="2684" t="s">
        <v>1302</v>
      </c>
      <c r="D29" s="2685" t="s">
        <v>3581</v>
      </c>
      <c r="E29" s="2686" t="s">
        <v>7972</v>
      </c>
      <c r="F29" s="2686"/>
      <c r="G29" s="2683"/>
      <c r="H29" s="2687"/>
      <c r="I29" s="2684"/>
      <c r="J29" s="2685"/>
      <c r="K29" s="2686"/>
      <c r="L29" s="2686"/>
      <c r="M29" s="2683" t="s">
        <v>7971</v>
      </c>
      <c r="N29" s="2684"/>
      <c r="O29" s="2684" t="s">
        <v>1686</v>
      </c>
      <c r="P29" s="2685" t="s">
        <v>3581</v>
      </c>
      <c r="Q29" s="2688" t="s">
        <v>7972</v>
      </c>
      <c r="R29" s="2686"/>
      <c r="S29" s="2686" t="s">
        <v>7972</v>
      </c>
      <c r="T29" s="2688" t="s">
        <v>5476</v>
      </c>
    </row>
    <row r="30" spans="1:23" ht="16.5">
      <c r="A30" s="2697"/>
      <c r="B30" s="2605"/>
      <c r="C30" s="2616"/>
      <c r="D30" s="2616"/>
      <c r="E30" s="2698"/>
      <c r="F30" s="2698"/>
      <c r="G30" s="2605"/>
      <c r="H30" s="2616"/>
      <c r="I30" s="2616"/>
      <c r="J30" s="2616"/>
      <c r="K30" s="2587"/>
      <c r="L30" s="2664"/>
      <c r="M30" s="2605"/>
      <c r="N30" s="2616"/>
      <c r="O30" s="2616"/>
      <c r="P30" s="2616"/>
      <c r="Q30" s="2587"/>
      <c r="R30" s="2664"/>
      <c r="S30" s="2588"/>
      <c r="T30" s="2606"/>
    </row>
    <row r="31" spans="1:23" ht="16.5">
      <c r="A31" s="2697" t="s">
        <v>8092</v>
      </c>
      <c r="B31" s="2605">
        <v>0</v>
      </c>
      <c r="C31" s="2616">
        <f>34.817747363*10^7</f>
        <v>348177473.63</v>
      </c>
      <c r="D31" s="2616"/>
      <c r="E31" s="2699">
        <f>B31+C31-D31</f>
        <v>348177473.63</v>
      </c>
      <c r="F31" s="2699">
        <v>124</v>
      </c>
      <c r="G31" s="2605"/>
      <c r="H31" s="2616"/>
      <c r="I31" s="2616"/>
      <c r="J31" s="2616"/>
      <c r="K31" s="2587"/>
      <c r="L31" s="2664"/>
      <c r="M31" s="2605">
        <f>Q84</f>
        <v>0</v>
      </c>
      <c r="N31" s="2616"/>
      <c r="O31" s="2616">
        <f>0.795312029268236*10^7</f>
        <v>7953120.2926823599</v>
      </c>
      <c r="P31" s="2616"/>
      <c r="Q31" s="2587">
        <f>M31+O31-P31</f>
        <v>7953120.2926823599</v>
      </c>
      <c r="R31" s="2664">
        <v>129</v>
      </c>
      <c r="S31" s="2588">
        <f>E31-Q31</f>
        <v>340224353.33731765</v>
      </c>
      <c r="T31" s="2606">
        <f>B31-M31</f>
        <v>0</v>
      </c>
    </row>
    <row r="32" spans="1:23" ht="17" thickBot="1">
      <c r="A32" s="2700"/>
      <c r="B32" s="2657"/>
      <c r="C32" s="2672"/>
      <c r="D32" s="2672"/>
      <c r="E32" s="2662"/>
      <c r="F32" s="2662"/>
      <c r="G32" s="2631"/>
      <c r="H32" s="2663"/>
      <c r="I32" s="2663"/>
      <c r="J32" s="2663"/>
      <c r="K32" s="2632"/>
      <c r="L32" s="2663"/>
      <c r="M32" s="2605"/>
      <c r="N32" s="2616"/>
      <c r="O32" s="2616"/>
      <c r="P32" s="2616"/>
      <c r="Q32" s="2587"/>
      <c r="R32" s="2664"/>
      <c r="S32" s="2588"/>
      <c r="T32" s="2606"/>
    </row>
    <row r="33" spans="1:20" ht="17" thickBot="1">
      <c r="A33" s="2701" t="s">
        <v>1101</v>
      </c>
      <c r="B33" s="2702">
        <f>SUM(B30:B31)</f>
        <v>0</v>
      </c>
      <c r="C33" s="2702">
        <f>SUM(C30:C31)</f>
        <v>348177473.63</v>
      </c>
      <c r="D33" s="2702">
        <f>SUM(D30:D31)</f>
        <v>0</v>
      </c>
      <c r="E33" s="2702">
        <f>SUM(E30:E31)</f>
        <v>348177473.63</v>
      </c>
      <c r="F33" s="2702"/>
      <c r="G33" s="2703"/>
      <c r="H33" s="2704"/>
      <c r="I33" s="2704"/>
      <c r="J33" s="2704"/>
      <c r="K33" s="2705"/>
      <c r="L33" s="2705"/>
      <c r="M33" s="2703">
        <f>SUM(M30:M31)</f>
        <v>0</v>
      </c>
      <c r="N33" s="2704">
        <v>0</v>
      </c>
      <c r="O33" s="2704">
        <f>SUM(O30:O31)</f>
        <v>7953120.2926823599</v>
      </c>
      <c r="P33" s="2704">
        <f>SUM(P30:P31)</f>
        <v>0</v>
      </c>
      <c r="Q33" s="2705">
        <f>SUM(Q30:Q31)</f>
        <v>7953120.2926823599</v>
      </c>
      <c r="R33" s="2705"/>
      <c r="S33" s="2703">
        <f>SUM(S30:S31)</f>
        <v>340224353.33731765</v>
      </c>
      <c r="T33" s="2706">
        <f>SUM(T30:T31)</f>
        <v>0</v>
      </c>
    </row>
    <row r="34" spans="1:20" ht="13.5">
      <c r="A34" s="2655"/>
      <c r="B34" s="2662"/>
      <c r="C34" s="2662"/>
      <c r="D34" s="2662"/>
      <c r="E34" s="2662"/>
      <c r="F34" s="2662"/>
      <c r="G34" s="2663"/>
      <c r="H34" s="2663"/>
      <c r="I34" s="2693"/>
      <c r="J34" s="2693"/>
      <c r="K34" s="2663"/>
      <c r="L34" s="2663"/>
      <c r="M34" s="2663"/>
      <c r="N34" s="2693"/>
      <c r="O34" s="2693"/>
      <c r="P34" s="2693"/>
      <c r="Q34" s="2663"/>
      <c r="R34" s="2663"/>
      <c r="S34" s="2663"/>
      <c r="T34" s="2632"/>
    </row>
    <row r="35" spans="1:20" ht="13.5">
      <c r="A35" s="2655"/>
      <c r="B35" s="2662"/>
      <c r="C35" s="2662"/>
      <c r="D35" s="2662"/>
      <c r="E35" s="2662"/>
      <c r="F35" s="2662"/>
      <c r="G35" s="2663"/>
      <c r="H35" s="2663"/>
      <c r="I35" s="2693"/>
      <c r="J35" s="2693"/>
      <c r="K35" s="2663"/>
      <c r="L35" s="2663"/>
      <c r="M35" s="2663"/>
      <c r="N35" s="2693"/>
      <c r="O35" s="2693"/>
      <c r="P35" s="2693"/>
      <c r="Q35" s="2663"/>
      <c r="R35" s="2663"/>
      <c r="S35" s="2663"/>
      <c r="T35" s="2632"/>
    </row>
    <row r="36" spans="1:20" ht="13.5">
      <c r="A36" s="2655"/>
      <c r="B36" s="2662"/>
      <c r="C36" s="2662"/>
      <c r="D36" s="2662"/>
      <c r="E36" s="2662"/>
      <c r="F36" s="2662"/>
      <c r="G36" s="2663"/>
      <c r="H36" s="2663"/>
      <c r="I36" s="2693"/>
      <c r="J36" s="2693"/>
      <c r="K36" s="2663"/>
      <c r="L36" s="2663"/>
      <c r="M36" s="2663"/>
      <c r="N36" s="2693"/>
      <c r="O36" s="2693"/>
      <c r="P36" s="2693"/>
      <c r="Q36" s="2663"/>
      <c r="R36" s="2663"/>
      <c r="S36" s="2663"/>
      <c r="T36" s="2632"/>
    </row>
    <row r="37" spans="1:20" ht="13.5">
      <c r="A37" s="2655"/>
      <c r="B37" s="2662"/>
      <c r="C37" s="2662"/>
      <c r="D37" s="2662"/>
      <c r="E37" s="2662"/>
      <c r="F37" s="2662"/>
      <c r="G37" s="2663"/>
      <c r="H37" s="2663"/>
      <c r="I37" s="2693"/>
      <c r="J37" s="2693"/>
      <c r="K37" s="2663"/>
      <c r="L37" s="2663"/>
      <c r="M37" s="2663"/>
      <c r="N37" s="2693"/>
      <c r="O37" s="2693"/>
      <c r="P37" s="2693"/>
      <c r="Q37" s="2663"/>
      <c r="R37" s="2663"/>
      <c r="S37" s="2663"/>
      <c r="T37" s="2632"/>
    </row>
    <row r="38" spans="1:20" ht="13.5">
      <c r="A38" s="2655"/>
      <c r="B38" s="2662"/>
      <c r="C38" s="2662"/>
      <c r="D38" s="2662"/>
      <c r="E38" s="2662"/>
      <c r="F38" s="2662"/>
      <c r="G38" s="2663"/>
      <c r="H38" s="2663"/>
      <c r="I38" s="2693"/>
      <c r="J38" s="2693"/>
      <c r="K38" s="2663"/>
      <c r="L38" s="2663"/>
      <c r="M38" s="2663"/>
      <c r="N38" s="2693"/>
      <c r="O38" s="2693"/>
      <c r="P38" s="2693"/>
      <c r="Q38" s="2663"/>
      <c r="R38" s="2663"/>
      <c r="S38" s="2663"/>
      <c r="T38" s="2632"/>
    </row>
    <row r="39" spans="1:20" ht="13.5">
      <c r="A39" s="2655"/>
      <c r="B39" s="2662"/>
      <c r="C39" s="2662"/>
      <c r="D39" s="2662"/>
      <c r="E39" s="2662"/>
      <c r="F39" s="2662"/>
      <c r="G39" s="2663"/>
      <c r="H39" s="2663"/>
      <c r="I39" s="2693"/>
      <c r="J39" s="2693"/>
      <c r="K39" s="2663"/>
      <c r="L39" s="2663"/>
      <c r="M39" s="2663"/>
      <c r="N39" s="2693"/>
      <c r="O39" s="2693"/>
      <c r="P39" s="2693"/>
      <c r="Q39" s="2663"/>
      <c r="R39" s="2663"/>
      <c r="S39" s="2663"/>
      <c r="T39" s="2632"/>
    </row>
    <row r="40" spans="1:20" ht="17.5" hidden="1">
      <c r="A40" s="982"/>
      <c r="B40" s="2677"/>
      <c r="C40" s="2677"/>
      <c r="D40" s="2677"/>
      <c r="E40" s="2677"/>
      <c r="F40" s="2677"/>
      <c r="G40" s="2678"/>
      <c r="H40" s="2678"/>
      <c r="I40" s="2679"/>
      <c r="J40" s="2679"/>
      <c r="K40" s="2678"/>
      <c r="L40" s="2678"/>
      <c r="M40" s="2678"/>
      <c r="N40" s="2679"/>
      <c r="O40" s="2679"/>
      <c r="P40" s="2679"/>
      <c r="Q40" s="2678"/>
      <c r="R40" s="2678"/>
      <c r="S40" s="3261" t="s">
        <v>3580</v>
      </c>
      <c r="T40" s="3262"/>
    </row>
    <row r="41" spans="1:20">
      <c r="A41" s="978"/>
      <c r="B41" s="935"/>
      <c r="C41" s="935"/>
      <c r="D41" s="935"/>
      <c r="E41" s="935"/>
      <c r="F41" s="935"/>
      <c r="G41" s="2647"/>
      <c r="H41" s="2647"/>
      <c r="I41" s="2680"/>
      <c r="J41" s="2680"/>
      <c r="K41" s="2647"/>
      <c r="L41" s="2647"/>
      <c r="M41" s="2647"/>
      <c r="N41" s="2680"/>
      <c r="O41" s="2680"/>
      <c r="P41" s="2680"/>
      <c r="Q41" s="2647"/>
      <c r="R41" s="2647"/>
      <c r="S41" s="2647"/>
      <c r="T41" s="2609"/>
    </row>
    <row r="42" spans="1:20" ht="14" hidden="1" thickBot="1">
      <c r="A42" s="3263" t="s">
        <v>7973</v>
      </c>
      <c r="B42" s="3250" t="s">
        <v>1683</v>
      </c>
      <c r="C42" s="3251"/>
      <c r="D42" s="3251"/>
      <c r="E42" s="3252"/>
      <c r="F42" s="2681"/>
      <c r="G42" s="3253"/>
      <c r="H42" s="3254"/>
      <c r="I42" s="3254"/>
      <c r="J42" s="3254"/>
      <c r="K42" s="3255"/>
      <c r="L42" s="2682"/>
      <c r="M42" s="3253" t="s">
        <v>1684</v>
      </c>
      <c r="N42" s="3254"/>
      <c r="O42" s="3254"/>
      <c r="P42" s="3254"/>
      <c r="Q42" s="3255"/>
      <c r="R42" s="2682"/>
      <c r="S42" s="3256" t="s">
        <v>1685</v>
      </c>
      <c r="T42" s="3257"/>
    </row>
    <row r="43" spans="1:20" ht="38" hidden="1" thickBot="1">
      <c r="A43" s="3264"/>
      <c r="B43" s="2683" t="s">
        <v>5515</v>
      </c>
      <c r="C43" s="2684" t="s">
        <v>1302</v>
      </c>
      <c r="D43" s="2685" t="s">
        <v>3581</v>
      </c>
      <c r="E43" s="2686" t="s">
        <v>5476</v>
      </c>
      <c r="F43" s="2686"/>
      <c r="G43" s="2683"/>
      <c r="H43" s="2687"/>
      <c r="I43" s="2684"/>
      <c r="J43" s="2685"/>
      <c r="K43" s="2688"/>
      <c r="L43" s="2686"/>
      <c r="M43" s="2683" t="s">
        <v>5515</v>
      </c>
      <c r="N43" s="2684"/>
      <c r="O43" s="2684" t="s">
        <v>1686</v>
      </c>
      <c r="P43" s="2685" t="s">
        <v>3581</v>
      </c>
      <c r="Q43" s="2688" t="s">
        <v>5476</v>
      </c>
      <c r="R43" s="2686"/>
      <c r="S43" s="2686" t="s">
        <v>5476</v>
      </c>
      <c r="T43" s="2688" t="s">
        <v>5515</v>
      </c>
    </row>
    <row r="44" spans="1:20" ht="16.5" hidden="1">
      <c r="A44" s="2689" t="s">
        <v>1243</v>
      </c>
      <c r="B44" s="2690"/>
      <c r="C44" s="2691"/>
      <c r="D44" s="2691"/>
      <c r="E44" s="2692"/>
      <c r="F44" s="2692"/>
      <c r="G44" s="2631"/>
      <c r="H44" s="2663"/>
      <c r="I44" s="2693"/>
      <c r="J44" s="2693"/>
      <c r="K44" s="2632"/>
      <c r="L44" s="2663"/>
      <c r="M44" s="2605"/>
      <c r="N44" s="2694"/>
      <c r="O44" s="2694"/>
      <c r="P44" s="2694"/>
      <c r="Q44" s="2587"/>
      <c r="R44" s="2664"/>
      <c r="S44" s="2695"/>
      <c r="T44" s="2696"/>
    </row>
    <row r="45" spans="1:20" ht="16.5" hidden="1">
      <c r="A45" s="2697" t="s">
        <v>1687</v>
      </c>
      <c r="B45" s="2605"/>
      <c r="C45" s="2698"/>
      <c r="D45" s="2698"/>
      <c r="E45" s="2699">
        <f>B45+C45-D45</f>
        <v>0</v>
      </c>
      <c r="F45" s="2699"/>
      <c r="G45" s="2605"/>
      <c r="H45" s="2616"/>
      <c r="I45" s="2616"/>
      <c r="J45" s="2616"/>
      <c r="K45" s="2587"/>
      <c r="L45" s="2664"/>
      <c r="M45" s="2605">
        <v>0</v>
      </c>
      <c r="N45" s="2616"/>
      <c r="O45" s="2616">
        <v>0</v>
      </c>
      <c r="P45" s="2616"/>
      <c r="Q45" s="2587">
        <f>+M45+O45</f>
        <v>0</v>
      </c>
      <c r="R45" s="2664"/>
      <c r="S45" s="2588">
        <f>+K45-Q45</f>
        <v>0</v>
      </c>
      <c r="T45" s="2606"/>
    </row>
    <row r="46" spans="1:20" ht="16.5" hidden="1">
      <c r="A46" s="2697" t="s">
        <v>1688</v>
      </c>
      <c r="B46" s="2605"/>
      <c r="C46" s="2698"/>
      <c r="D46" s="2698"/>
      <c r="E46" s="2699">
        <f>B46+C46-D46</f>
        <v>0</v>
      </c>
      <c r="F46" s="2699"/>
      <c r="G46" s="2605"/>
      <c r="H46" s="2616"/>
      <c r="I46" s="2616"/>
      <c r="J46" s="2616"/>
      <c r="K46" s="2587"/>
      <c r="L46" s="2664"/>
      <c r="M46" s="2605">
        <v>0</v>
      </c>
      <c r="N46" s="2616"/>
      <c r="O46" s="2616">
        <v>0</v>
      </c>
      <c r="P46" s="2616"/>
      <c r="Q46" s="2587">
        <f>+M46+O46</f>
        <v>0</v>
      </c>
      <c r="R46" s="2664"/>
      <c r="S46" s="2588">
        <f>+K46-Q46</f>
        <v>0</v>
      </c>
      <c r="T46" s="2606"/>
    </row>
    <row r="47" spans="1:20" ht="16.5" hidden="1">
      <c r="A47" s="2697"/>
      <c r="B47" s="2605"/>
      <c r="C47" s="2698"/>
      <c r="D47" s="2698"/>
      <c r="E47" s="2698"/>
      <c r="F47" s="2698"/>
      <c r="G47" s="2605"/>
      <c r="H47" s="2616"/>
      <c r="I47" s="2616"/>
      <c r="J47" s="2616"/>
      <c r="K47" s="2587"/>
      <c r="L47" s="2664"/>
      <c r="M47" s="2605"/>
      <c r="N47" s="2616"/>
      <c r="O47" s="2616"/>
      <c r="P47" s="2616"/>
      <c r="Q47" s="2587"/>
      <c r="R47" s="2664"/>
      <c r="S47" s="2588"/>
      <c r="T47" s="2606"/>
    </row>
    <row r="48" spans="1:20" ht="16.5" hidden="1">
      <c r="A48" s="2697" t="s">
        <v>119</v>
      </c>
      <c r="B48" s="2605">
        <v>59799991.960000008</v>
      </c>
      <c r="C48" s="2616">
        <f>E48-B48</f>
        <v>0</v>
      </c>
      <c r="D48" s="2694"/>
      <c r="E48" s="2699">
        <f>SUMIF('TB FY-2021-22'!F3:F1332,'OERC 6'!F48,'TB FY-2021-22'!H3:H1332)</f>
        <v>59799991.960000001</v>
      </c>
      <c r="F48" s="2699">
        <v>120</v>
      </c>
      <c r="G48" s="2605"/>
      <c r="H48" s="2616"/>
      <c r="I48" s="2616"/>
      <c r="J48" s="2616"/>
      <c r="K48" s="2587"/>
      <c r="L48" s="2664"/>
      <c r="M48" s="2605">
        <v>24302261.301740002</v>
      </c>
      <c r="N48" s="2616"/>
      <c r="O48" s="2616">
        <f>Q48-M48</f>
        <v>240346.99825999886</v>
      </c>
      <c r="P48" s="2616"/>
      <c r="Q48" s="2587">
        <f>-SUMIF('TB FY-2021-22'!F3:F1332,'OERC 6'!R48,'TB FY-2021-22'!H3:H1332)</f>
        <v>24542608.300000001</v>
      </c>
      <c r="R48" s="2664">
        <v>125</v>
      </c>
      <c r="S48" s="2588">
        <f>E48-Q48</f>
        <v>35257383.659999996</v>
      </c>
      <c r="T48" s="2606">
        <f>B48-M48</f>
        <v>35497730.658260003</v>
      </c>
    </row>
    <row r="49" spans="1:20" ht="16.5" hidden="1">
      <c r="A49" s="2697"/>
      <c r="B49" s="2605"/>
      <c r="C49" s="2698"/>
      <c r="D49" s="2698"/>
      <c r="E49" s="2698"/>
      <c r="F49" s="2698"/>
      <c r="G49" s="2605"/>
      <c r="H49" s="2616"/>
      <c r="I49" s="2616"/>
      <c r="J49" s="2616"/>
      <c r="K49" s="2587"/>
      <c r="L49" s="2664"/>
      <c r="M49" s="2605"/>
      <c r="N49" s="2616"/>
      <c r="O49" s="2616"/>
      <c r="P49" s="2616"/>
      <c r="Q49" s="2587"/>
      <c r="R49" s="2664"/>
      <c r="S49" s="2588"/>
      <c r="T49" s="2606"/>
    </row>
    <row r="50" spans="1:20" ht="16.5" hidden="1">
      <c r="A50" s="2697" t="s">
        <v>1689</v>
      </c>
      <c r="B50" s="2605"/>
      <c r="C50" s="2698"/>
      <c r="D50" s="2698"/>
      <c r="E50" s="2698"/>
      <c r="F50" s="2698"/>
      <c r="G50" s="2605"/>
      <c r="H50" s="2616"/>
      <c r="I50" s="2616"/>
      <c r="J50" s="2616"/>
      <c r="K50" s="2587"/>
      <c r="L50" s="2664"/>
      <c r="M50" s="2605"/>
      <c r="N50" s="2616"/>
      <c r="O50" s="2616"/>
      <c r="P50" s="2616"/>
      <c r="Q50" s="2587"/>
      <c r="R50" s="2664"/>
      <c r="S50" s="2588"/>
      <c r="T50" s="2606"/>
    </row>
    <row r="51" spans="1:20" ht="16.5" hidden="1">
      <c r="A51" s="2697" t="s">
        <v>1690</v>
      </c>
      <c r="B51" s="2605">
        <f>9849588081.04346-B65</f>
        <v>9849052596.67346</v>
      </c>
      <c r="C51" s="2616">
        <f>E51-B51</f>
        <v>239669.99654006958</v>
      </c>
      <c r="D51" s="2616"/>
      <c r="E51" s="2699">
        <f>SUMIF('TB FY-2021-22'!F6:F1335,'OERC 6'!F51,'TB FY-2021-22'!H6:H1335)</f>
        <v>9849292266.6700001</v>
      </c>
      <c r="F51" s="2699">
        <v>121</v>
      </c>
      <c r="G51" s="2605"/>
      <c r="H51" s="2616"/>
      <c r="I51" s="2616"/>
      <c r="J51" s="2616"/>
      <c r="K51" s="2587"/>
      <c r="L51" s="2664"/>
      <c r="M51" s="2605">
        <v>3446773115.4372559</v>
      </c>
      <c r="N51" s="2616"/>
      <c r="O51" s="2616">
        <f>Q51-M51</f>
        <v>68452992.002744198</v>
      </c>
      <c r="P51" s="2616">
        <v>0</v>
      </c>
      <c r="Q51" s="2587">
        <f>-SUMIF('TB FY-2021-22'!F6:F1335,'OERC 6'!R51,'TB FY-2021-22'!H6:H1335)</f>
        <v>3515226107.4400001</v>
      </c>
      <c r="R51" s="2664">
        <v>126</v>
      </c>
      <c r="S51" s="2588">
        <f>E51-Q51</f>
        <v>6334066159.2299995</v>
      </c>
      <c r="T51" s="2606">
        <f>B51-M51</f>
        <v>6402279481.2362041</v>
      </c>
    </row>
    <row r="52" spans="1:20" ht="16.5" hidden="1">
      <c r="A52" s="2697"/>
      <c r="B52" s="2605"/>
      <c r="C52" s="2616"/>
      <c r="D52" s="2616"/>
      <c r="E52" s="2698"/>
      <c r="F52" s="2698"/>
      <c r="G52" s="2605"/>
      <c r="H52" s="2616"/>
      <c r="I52" s="2616"/>
      <c r="J52" s="2616"/>
      <c r="K52" s="2587"/>
      <c r="L52" s="2664"/>
      <c r="M52" s="2605"/>
      <c r="N52" s="2616"/>
      <c r="O52" s="2616"/>
      <c r="P52" s="2616"/>
      <c r="Q52" s="2587"/>
      <c r="R52" s="2664"/>
      <c r="S52" s="2588"/>
      <c r="T52" s="2606"/>
    </row>
    <row r="53" spans="1:20" ht="16.5" hidden="1">
      <c r="A53" s="2697" t="s">
        <v>121</v>
      </c>
      <c r="B53" s="2605">
        <v>12796835.42</v>
      </c>
      <c r="C53" s="2616">
        <f>E53-B53</f>
        <v>3472940.76</v>
      </c>
      <c r="D53" s="2616"/>
      <c r="E53" s="2699">
        <f>SUMIF('TB FY-2021-22'!F8:F1337,'OERC 6'!F53,'TB FY-2021-22'!H8:H1337)</f>
        <v>16269776.18</v>
      </c>
      <c r="F53" s="2699">
        <v>122</v>
      </c>
      <c r="G53" s="2605"/>
      <c r="H53" s="2616"/>
      <c r="I53" s="2616"/>
      <c r="J53" s="2616"/>
      <c r="K53" s="2587"/>
      <c r="L53" s="2664"/>
      <c r="M53" s="2605">
        <v>12796835.42</v>
      </c>
      <c r="N53" s="2616"/>
      <c r="O53" s="2616">
        <f>Q53-M53</f>
        <v>0</v>
      </c>
      <c r="P53" s="2616"/>
      <c r="Q53" s="2587">
        <f>-SUMIF('TB FY-2021-22'!F8:F1337,'OERC 6'!R53,'TB FY-2021-22'!H8:H1337)</f>
        <v>12796835.42</v>
      </c>
      <c r="R53" s="2664">
        <v>127</v>
      </c>
      <c r="S53" s="2588">
        <f>E53-Q53</f>
        <v>3472940.76</v>
      </c>
      <c r="T53" s="2606">
        <f>B53-M53</f>
        <v>0</v>
      </c>
    </row>
    <row r="54" spans="1:20" ht="16.5" hidden="1">
      <c r="A54" s="2697"/>
      <c r="B54" s="2605"/>
      <c r="C54" s="2616"/>
      <c r="D54" s="2616"/>
      <c r="E54" s="2698"/>
      <c r="F54" s="2698"/>
      <c r="G54" s="2605"/>
      <c r="H54" s="2616"/>
      <c r="I54" s="2616"/>
      <c r="J54" s="2616"/>
      <c r="K54" s="2587"/>
      <c r="L54" s="2664"/>
      <c r="M54" s="2605"/>
      <c r="N54" s="2616"/>
      <c r="O54" s="2616"/>
      <c r="P54" s="2616"/>
      <c r="Q54" s="2587"/>
      <c r="R54" s="2664"/>
      <c r="S54" s="2588"/>
      <c r="T54" s="2606"/>
    </row>
    <row r="55" spans="1:20" ht="16.5" hidden="1">
      <c r="A55" s="2697" t="s">
        <v>1691</v>
      </c>
      <c r="B55" s="2605">
        <f>21882225.87-E68</f>
        <v>18883092.050000001</v>
      </c>
      <c r="C55" s="2616">
        <f>E55-B55</f>
        <v>1198088.9400000013</v>
      </c>
      <c r="D55" s="2616"/>
      <c r="E55" s="2699">
        <f>SUMIF('TB FY-2021-22'!F10:F1339,'OERC 6'!F55,'TB FY-2021-22'!H10:H1339)</f>
        <v>20081180.990000002</v>
      </c>
      <c r="F55" s="2699">
        <v>123</v>
      </c>
      <c r="G55" s="2605"/>
      <c r="H55" s="2616"/>
      <c r="I55" s="2616"/>
      <c r="J55" s="2616"/>
      <c r="K55" s="2587"/>
      <c r="L55" s="2664"/>
      <c r="M55" s="2605">
        <v>18138997.354345001</v>
      </c>
      <c r="N55" s="2616"/>
      <c r="O55" s="2616">
        <f>Q55-M55</f>
        <v>70771.99565500021</v>
      </c>
      <c r="P55" s="2616"/>
      <c r="Q55" s="2587">
        <f>-SUMIF('TB FY-2021-22'!F10:F1339,'OERC 6'!R55,'TB FY-2021-22'!H10:H1339)</f>
        <v>18209769.350000001</v>
      </c>
      <c r="R55" s="2664">
        <v>128</v>
      </c>
      <c r="S55" s="2588">
        <f>E55-Q55</f>
        <v>1871411.6400000006</v>
      </c>
      <c r="T55" s="2606">
        <f>B55-M55</f>
        <v>744094.69565499946</v>
      </c>
    </row>
    <row r="56" spans="1:20" ht="16.5" hidden="1">
      <c r="A56" s="2697"/>
      <c r="B56" s="2605"/>
      <c r="C56" s="2616"/>
      <c r="D56" s="2616"/>
      <c r="E56" s="2698"/>
      <c r="F56" s="2698"/>
      <c r="G56" s="2605"/>
      <c r="H56" s="2616"/>
      <c r="I56" s="2616"/>
      <c r="J56" s="2616"/>
      <c r="K56" s="2587"/>
      <c r="L56" s="2664"/>
      <c r="M56" s="2605"/>
      <c r="N56" s="2616"/>
      <c r="O56" s="2616"/>
      <c r="P56" s="2616"/>
      <c r="Q56" s="2587"/>
      <c r="R56" s="2664"/>
      <c r="S56" s="2588"/>
      <c r="T56" s="2606"/>
    </row>
    <row r="57" spans="1:20" ht="16.5" hidden="1">
      <c r="A57" s="2697" t="s">
        <v>7974</v>
      </c>
      <c r="B57" s="2605">
        <f>54702989.07+B65+E68</f>
        <v>58237607.259999998</v>
      </c>
      <c r="C57" s="2616">
        <f>E57-B57</f>
        <v>2267314.4800000042</v>
      </c>
      <c r="D57" s="2616"/>
      <c r="E57" s="2699">
        <f>SUMIF('TB FY-2021-22'!F12:F1341,'OERC 6'!F57,'TB FY-2021-22'!H12:H1341)</f>
        <v>60504921.740000002</v>
      </c>
      <c r="F57" s="2699">
        <v>124</v>
      </c>
      <c r="G57" s="2605"/>
      <c r="H57" s="2616"/>
      <c r="I57" s="2616"/>
      <c r="J57" s="2616"/>
      <c r="K57" s="2587"/>
      <c r="L57" s="2664"/>
      <c r="M57" s="2605">
        <v>48479691.444541998</v>
      </c>
      <c r="N57" s="2616"/>
      <c r="O57" s="2616">
        <f>Q57-M57</f>
        <v>260697.99545799941</v>
      </c>
      <c r="P57" s="2616"/>
      <c r="Q57" s="2587">
        <f>-SUMIF('TB FY-2021-22'!F12:F1341,'OERC 6'!R57,'TB FY-2021-22'!H12:H1341)</f>
        <v>48740389.439999998</v>
      </c>
      <c r="R57" s="2664">
        <v>129</v>
      </c>
      <c r="S57" s="2588">
        <f>E57-Q57</f>
        <v>11764532.300000004</v>
      </c>
      <c r="T57" s="2606">
        <f>B57-M57</f>
        <v>9757915.8154579997</v>
      </c>
    </row>
    <row r="58" spans="1:20" ht="17" hidden="1" thickBot="1">
      <c r="A58" s="2700"/>
      <c r="B58" s="2657"/>
      <c r="C58" s="2672"/>
      <c r="D58" s="2672"/>
      <c r="E58" s="2662"/>
      <c r="F58" s="2662"/>
      <c r="G58" s="2631"/>
      <c r="H58" s="2663"/>
      <c r="I58" s="2663"/>
      <c r="J58" s="2663"/>
      <c r="K58" s="2632"/>
      <c r="L58" s="2663"/>
      <c r="M58" s="2605"/>
      <c r="N58" s="2616"/>
      <c r="O58" s="2616"/>
      <c r="P58" s="2616"/>
      <c r="Q58" s="2587"/>
      <c r="R58" s="2664"/>
      <c r="S58" s="2588"/>
      <c r="T58" s="2606"/>
    </row>
    <row r="59" spans="1:20" ht="17" hidden="1" thickBot="1">
      <c r="A59" s="2701" t="s">
        <v>1101</v>
      </c>
      <c r="B59" s="2702">
        <f>SUM(B45:B57)</f>
        <v>9998770123.3634586</v>
      </c>
      <c r="C59" s="2702">
        <f t="shared" ref="C59:D59" si="1">SUM(C45:C57)</f>
        <v>7178014.1765400749</v>
      </c>
      <c r="D59" s="2702">
        <f t="shared" si="1"/>
        <v>0</v>
      </c>
      <c r="E59" s="2702">
        <f>SUM(E45:E57)</f>
        <v>10005948137.539999</v>
      </c>
      <c r="F59" s="2702"/>
      <c r="G59" s="2703"/>
      <c r="H59" s="2704"/>
      <c r="I59" s="2704"/>
      <c r="J59" s="2704"/>
      <c r="K59" s="2705"/>
      <c r="L59" s="2705"/>
      <c r="M59" s="2703">
        <f>SUM(M45:M57)</f>
        <v>3550490900.9578829</v>
      </c>
      <c r="N59" s="2704">
        <v>0</v>
      </c>
      <c r="O59" s="2704">
        <f>SUM(O45:O57)</f>
        <v>69024808.992117196</v>
      </c>
      <c r="P59" s="2704">
        <f>SUM(P45:P57)</f>
        <v>0</v>
      </c>
      <c r="Q59" s="2705">
        <f>SUM(Q45:Q57)</f>
        <v>3619515709.9500003</v>
      </c>
      <c r="R59" s="2705"/>
      <c r="S59" s="2703">
        <f>SUM(S45:S57)</f>
        <v>6386432427.5900002</v>
      </c>
      <c r="T59" s="2706">
        <f>SUM(T45:T57)</f>
        <v>6448279222.4055777</v>
      </c>
    </row>
    <row r="60" spans="1:20" ht="13.5">
      <c r="A60" s="2655"/>
      <c r="B60" s="2662"/>
      <c r="C60" s="2662"/>
      <c r="D60" s="2662"/>
      <c r="E60" s="2662"/>
      <c r="F60" s="2662"/>
      <c r="G60" s="2663"/>
      <c r="H60" s="2663"/>
      <c r="I60" s="2693"/>
      <c r="J60" s="2693"/>
      <c r="K60" s="2663"/>
      <c r="L60" s="2663"/>
      <c r="M60" s="2663"/>
      <c r="N60" s="2693"/>
      <c r="O60" s="2693"/>
      <c r="P60" s="2693"/>
      <c r="Q60" s="2663"/>
      <c r="R60" s="2663"/>
      <c r="S60" s="2663"/>
      <c r="T60" s="2632"/>
    </row>
    <row r="61" spans="1:20" ht="13.5" hidden="1">
      <c r="A61" s="2655"/>
      <c r="B61" s="2662"/>
      <c r="C61" s="2662"/>
      <c r="D61" s="2662"/>
      <c r="E61" s="2662"/>
      <c r="F61" s="2662"/>
      <c r="G61" s="2663"/>
      <c r="H61" s="2663"/>
      <c r="I61" s="2693"/>
      <c r="J61" s="2693"/>
      <c r="K61" s="2663"/>
      <c r="L61" s="2663"/>
      <c r="M61" s="2663"/>
      <c r="N61" s="2693"/>
      <c r="O61" s="2693"/>
      <c r="P61" s="2693"/>
      <c r="Q61" s="2663"/>
      <c r="R61" s="2663"/>
      <c r="S61" s="2663"/>
      <c r="T61" s="2632"/>
    </row>
    <row r="62" spans="1:20" ht="13.5" hidden="1">
      <c r="A62" s="2655"/>
      <c r="B62" s="2662"/>
      <c r="C62" s="2662"/>
      <c r="D62" s="2662"/>
      <c r="E62" s="2662"/>
      <c r="F62" s="2662"/>
      <c r="G62" s="2663"/>
      <c r="H62" s="2663"/>
      <c r="I62" s="2693"/>
      <c r="J62" s="2693"/>
      <c r="K62" s="2663"/>
      <c r="L62" s="2663"/>
      <c r="M62" s="2663"/>
      <c r="N62" s="2693"/>
      <c r="O62" s="2693"/>
      <c r="P62" s="2693"/>
      <c r="Q62" s="2663"/>
      <c r="R62" s="2663"/>
      <c r="S62" s="2663"/>
      <c r="T62" s="2632"/>
    </row>
    <row r="63" spans="1:20" ht="13.5" hidden="1">
      <c r="A63" s="2655"/>
      <c r="B63" s="2662"/>
      <c r="C63" s="2662"/>
      <c r="D63" s="2662"/>
      <c r="E63" s="2662"/>
      <c r="F63" s="2662"/>
      <c r="G63" s="2663"/>
      <c r="H63" s="2663"/>
      <c r="I63" s="2693"/>
      <c r="J63" s="2693"/>
      <c r="K63" s="2663"/>
      <c r="L63" s="2663"/>
      <c r="M63" s="2663"/>
      <c r="N63" s="2693"/>
      <c r="O63" s="2693"/>
      <c r="P63" s="2693"/>
      <c r="Q63" s="2663"/>
      <c r="R63" s="2663"/>
      <c r="S63" s="2663"/>
      <c r="T63" s="2632"/>
    </row>
    <row r="64" spans="1:20" ht="13.5" hidden="1">
      <c r="A64" s="2655"/>
      <c r="B64" s="2662"/>
      <c r="C64" s="2662"/>
      <c r="D64" s="2662"/>
      <c r="E64" s="2662">
        <v>1052264.73</v>
      </c>
      <c r="F64" s="2662"/>
      <c r="G64" s="2663"/>
      <c r="H64" s="2663"/>
      <c r="I64" s="2693"/>
      <c r="J64" s="2693"/>
      <c r="K64" s="2663"/>
      <c r="L64" s="2663"/>
      <c r="M64" s="2663"/>
      <c r="N64" s="2693"/>
      <c r="O64" s="2693"/>
      <c r="P64" s="2693"/>
      <c r="Q64" s="2663"/>
      <c r="R64" s="2663"/>
      <c r="S64" s="2663"/>
      <c r="T64" s="2632"/>
    </row>
    <row r="65" spans="1:20" ht="13.5" hidden="1">
      <c r="A65" s="2655"/>
      <c r="B65" s="2662">
        <v>535484.37</v>
      </c>
      <c r="C65" s="2662"/>
      <c r="D65" s="2662"/>
      <c r="E65" s="2662">
        <v>1905807.2900000003</v>
      </c>
      <c r="F65" s="2662"/>
      <c r="G65" s="2663"/>
      <c r="H65" s="2663"/>
      <c r="I65" s="2693"/>
      <c r="J65" s="2693"/>
      <c r="K65" s="2663"/>
      <c r="L65" s="2663"/>
      <c r="M65" s="2663"/>
      <c r="N65" s="2693"/>
      <c r="O65" s="2693"/>
      <c r="P65" s="2693"/>
      <c r="Q65" s="2663"/>
      <c r="R65" s="2663"/>
      <c r="S65" s="2663"/>
      <c r="T65" s="2632"/>
    </row>
    <row r="66" spans="1:20" ht="13.5" hidden="1">
      <c r="A66" s="2655"/>
      <c r="B66" s="2662"/>
      <c r="C66" s="2662"/>
      <c r="D66" s="2662"/>
      <c r="E66" s="2662">
        <v>40709.18</v>
      </c>
      <c r="F66" s="2662"/>
      <c r="G66" s="2663"/>
      <c r="H66" s="2663"/>
      <c r="I66" s="2693"/>
      <c r="J66" s="2693"/>
      <c r="K66" s="2663"/>
      <c r="L66" s="2663"/>
      <c r="M66" s="2663"/>
      <c r="N66" s="2693"/>
      <c r="O66" s="2693"/>
      <c r="P66" s="2693"/>
      <c r="Q66" s="2663"/>
      <c r="R66" s="2663"/>
      <c r="S66" s="2663"/>
      <c r="T66" s="2632"/>
    </row>
    <row r="67" spans="1:20" ht="13.5" hidden="1">
      <c r="A67" s="2655"/>
      <c r="B67" s="2662"/>
      <c r="C67" s="2662"/>
      <c r="D67" s="2662"/>
      <c r="E67" s="2662">
        <v>352.62</v>
      </c>
      <c r="F67" s="2662"/>
      <c r="G67" s="2663"/>
      <c r="H67" s="2663"/>
      <c r="I67" s="2693"/>
      <c r="J67" s="2693"/>
      <c r="K67" s="2663"/>
      <c r="L67" s="2663"/>
      <c r="M67" s="2663"/>
      <c r="N67" s="2693"/>
      <c r="O67" s="2693"/>
      <c r="P67" s="2693"/>
      <c r="Q67" s="2663"/>
      <c r="R67" s="2663"/>
      <c r="S67" s="2663"/>
      <c r="T67" s="2632"/>
    </row>
    <row r="68" spans="1:20" ht="13.5" hidden="1">
      <c r="A68" s="2655"/>
      <c r="B68" s="2662"/>
      <c r="C68" s="2662"/>
      <c r="D68" s="2662"/>
      <c r="E68" s="2662">
        <f>SUM(E64:E67)</f>
        <v>2999133.8200000008</v>
      </c>
      <c r="F68" s="2662"/>
      <c r="G68" s="2663"/>
      <c r="H68" s="2663"/>
      <c r="I68" s="2693"/>
      <c r="J68" s="2693"/>
      <c r="K68" s="2663"/>
      <c r="L68" s="2663"/>
      <c r="M68" s="2663"/>
      <c r="N68" s="2693"/>
      <c r="O68" s="2693"/>
      <c r="P68" s="2693"/>
      <c r="Q68" s="2663"/>
      <c r="R68" s="2663"/>
      <c r="S68" s="2663"/>
      <c r="T68" s="2632"/>
    </row>
    <row r="69" spans="1:20" ht="13.5" hidden="1">
      <c r="A69" s="2655"/>
      <c r="B69" s="2662"/>
      <c r="C69" s="2662"/>
      <c r="D69" s="2662"/>
      <c r="E69" s="2662"/>
      <c r="F69" s="2662"/>
      <c r="G69" s="2663"/>
      <c r="H69" s="2663"/>
      <c r="I69" s="2693"/>
      <c r="J69" s="2693"/>
      <c r="K69" s="2663"/>
      <c r="L69" s="2663"/>
      <c r="M69" s="2663"/>
      <c r="N69" s="2693"/>
      <c r="O69" s="2693"/>
      <c r="P69" s="2693"/>
      <c r="Q69" s="2663"/>
      <c r="R69" s="2663"/>
      <c r="S69" s="2663"/>
      <c r="T69" s="2632"/>
    </row>
    <row r="70" spans="1:20" ht="13.5" hidden="1">
      <c r="A70" s="2655"/>
      <c r="B70" s="2662"/>
      <c r="C70" s="2662"/>
      <c r="D70" s="2662"/>
      <c r="E70" s="2662"/>
      <c r="F70" s="2662"/>
      <c r="G70" s="2663"/>
      <c r="H70" s="2663"/>
      <c r="I70" s="2693"/>
      <c r="J70" s="2693"/>
      <c r="K70" s="2663"/>
      <c r="L70" s="2663"/>
      <c r="M70" s="2663"/>
      <c r="N70" s="2693"/>
      <c r="O70" s="2693"/>
      <c r="P70" s="2693"/>
      <c r="Q70" s="2663"/>
      <c r="R70" s="2663"/>
      <c r="S70" s="2663"/>
      <c r="T70" s="2632"/>
    </row>
    <row r="71" spans="1:20" ht="13.5" hidden="1">
      <c r="A71" s="2655"/>
      <c r="B71" s="2662"/>
      <c r="C71" s="2662"/>
      <c r="D71" s="2662"/>
      <c r="E71" s="2662"/>
      <c r="F71" s="2662"/>
      <c r="G71" s="2663"/>
      <c r="H71" s="2663"/>
      <c r="I71" s="2693"/>
      <c r="J71" s="2693"/>
      <c r="K71" s="2663"/>
      <c r="L71" s="2663"/>
      <c r="M71" s="2663"/>
      <c r="N71" s="2693"/>
      <c r="O71" s="2693"/>
      <c r="P71" s="2693"/>
      <c r="Q71" s="2663"/>
      <c r="R71" s="2663"/>
      <c r="S71" s="2663"/>
      <c r="T71" s="2632"/>
    </row>
    <row r="72" spans="1:20" ht="13.5" hidden="1">
      <c r="A72" s="2655"/>
      <c r="B72" s="2662"/>
      <c r="C72" s="2662"/>
      <c r="D72" s="2662"/>
      <c r="E72" s="2662"/>
      <c r="F72" s="2662"/>
      <c r="G72" s="2663"/>
      <c r="H72" s="2663"/>
      <c r="I72" s="2693"/>
      <c r="J72" s="2693"/>
      <c r="K72" s="2663"/>
      <c r="L72" s="2663"/>
      <c r="M72" s="2663"/>
      <c r="N72" s="2693"/>
      <c r="O72" s="2693"/>
      <c r="P72" s="2693"/>
      <c r="Q72" s="2663"/>
      <c r="R72" s="2663"/>
      <c r="S72" s="2663"/>
      <c r="T72" s="2632"/>
    </row>
    <row r="73" spans="1:20" ht="13.5" hidden="1">
      <c r="A73" s="2655"/>
      <c r="B73" s="2662"/>
      <c r="C73" s="2662"/>
      <c r="D73" s="2662"/>
      <c r="E73" s="2662"/>
      <c r="F73" s="2662"/>
      <c r="G73" s="2663"/>
      <c r="H73" s="2663"/>
      <c r="I73" s="2693"/>
      <c r="J73" s="2693"/>
      <c r="K73" s="2663"/>
      <c r="L73" s="2663"/>
      <c r="M73" s="2663"/>
      <c r="N73" s="2693"/>
      <c r="O73" s="2693"/>
      <c r="P73" s="2693"/>
      <c r="Q73" s="2663"/>
      <c r="R73" s="2663"/>
      <c r="S73" s="2663"/>
      <c r="T73" s="2632"/>
    </row>
    <row r="74" spans="1:20" ht="13.5" hidden="1">
      <c r="A74" s="2655"/>
      <c r="B74" s="2662"/>
      <c r="C74" s="2662"/>
      <c r="D74" s="2662"/>
      <c r="E74" s="2662"/>
      <c r="F74" s="2662"/>
      <c r="G74" s="2663"/>
      <c r="H74" s="2663"/>
      <c r="I74" s="2693"/>
      <c r="J74" s="2693"/>
      <c r="K74" s="2663"/>
      <c r="L74" s="2663"/>
      <c r="M74" s="2663"/>
      <c r="N74" s="2693"/>
      <c r="O74" s="2693"/>
      <c r="P74" s="2693"/>
      <c r="Q74" s="2663"/>
      <c r="R74" s="2663"/>
      <c r="S74" s="2663"/>
      <c r="T74" s="2632"/>
    </row>
    <row r="75" spans="1:20" ht="13.5" hidden="1">
      <c r="A75" s="2655"/>
      <c r="B75" s="2662"/>
      <c r="C75" s="2662"/>
      <c r="D75" s="2662"/>
      <c r="E75" s="2662"/>
      <c r="F75" s="2662"/>
      <c r="G75" s="2663"/>
      <c r="H75" s="2663"/>
      <c r="I75" s="2693"/>
      <c r="J75" s="2693"/>
      <c r="K75" s="2663"/>
      <c r="L75" s="2663"/>
      <c r="M75" s="2663"/>
      <c r="N75" s="2693"/>
      <c r="O75" s="2693"/>
      <c r="P75" s="2693"/>
      <c r="Q75" s="2663"/>
      <c r="R75" s="2663"/>
      <c r="S75" s="2663"/>
      <c r="T75" s="2632"/>
    </row>
    <row r="76" spans="1:20" ht="13.5" hidden="1">
      <c r="A76" s="2655"/>
      <c r="B76" s="2662"/>
      <c r="C76" s="2662"/>
      <c r="D76" s="2662"/>
      <c r="E76" s="2662"/>
      <c r="F76" s="2662"/>
      <c r="G76" s="2663"/>
      <c r="H76" s="2663"/>
      <c r="I76" s="2693"/>
      <c r="J76" s="2693"/>
      <c r="K76" s="2663"/>
      <c r="L76" s="2663"/>
      <c r="M76" s="2663"/>
      <c r="N76" s="2693"/>
      <c r="O76" s="2693"/>
      <c r="P76" s="2693"/>
      <c r="Q76" s="2663"/>
      <c r="R76" s="2663"/>
      <c r="S76" s="2663"/>
      <c r="T76" s="2632"/>
    </row>
    <row r="77" spans="1:20" ht="13.5" hidden="1">
      <c r="A77" s="2655"/>
      <c r="B77" s="2662"/>
      <c r="C77" s="2662"/>
      <c r="D77" s="2662"/>
      <c r="E77" s="2662"/>
      <c r="F77" s="2662"/>
      <c r="G77" s="2663"/>
      <c r="H77" s="2663"/>
      <c r="I77" s="2693"/>
      <c r="J77" s="2693"/>
      <c r="K77" s="2663"/>
      <c r="L77" s="2663"/>
      <c r="M77" s="2663"/>
      <c r="N77" s="2693"/>
      <c r="O77" s="2693"/>
      <c r="P77" s="2693"/>
      <c r="Q77" s="2663"/>
      <c r="R77" s="2663"/>
      <c r="S77" s="2663"/>
      <c r="T77" s="2632"/>
    </row>
    <row r="78" spans="1:20" ht="13.5" hidden="1">
      <c r="A78" s="2655"/>
      <c r="B78" s="2662"/>
      <c r="C78" s="2662"/>
      <c r="D78" s="2662"/>
      <c r="E78" s="2662"/>
      <c r="F78" s="2662"/>
      <c r="G78" s="2663"/>
      <c r="H78" s="2663"/>
      <c r="I78" s="2693"/>
      <c r="J78" s="2693"/>
      <c r="K78" s="2663"/>
      <c r="L78" s="2663"/>
      <c r="M78" s="2663"/>
      <c r="N78" s="2693"/>
      <c r="O78" s="2693"/>
      <c r="P78" s="2693"/>
      <c r="Q78" s="2663"/>
      <c r="R78" s="2663"/>
      <c r="S78" s="2663"/>
      <c r="T78" s="2632"/>
    </row>
    <row r="79" spans="1:20" ht="13.5" hidden="1">
      <c r="A79" s="2655"/>
      <c r="B79" s="2662"/>
      <c r="C79" s="2662"/>
      <c r="D79" s="2662"/>
      <c r="E79" s="2662"/>
      <c r="F79" s="2662"/>
      <c r="G79" s="2663"/>
      <c r="H79" s="2663"/>
      <c r="I79" s="2693"/>
      <c r="J79" s="2693"/>
      <c r="K79" s="2663"/>
      <c r="L79" s="2663"/>
      <c r="M79" s="2663"/>
      <c r="N79" s="2693"/>
      <c r="O79" s="2693"/>
      <c r="P79" s="2693"/>
      <c r="Q79" s="2663"/>
      <c r="R79" s="2663"/>
      <c r="S79" s="2663"/>
      <c r="T79" s="2632"/>
    </row>
    <row r="80" spans="1:20" ht="13.5" hidden="1">
      <c r="A80" s="2655"/>
      <c r="B80" s="2662"/>
      <c r="C80" s="2662"/>
      <c r="D80" s="2662"/>
      <c r="E80" s="2662"/>
      <c r="F80" s="2662"/>
      <c r="G80" s="2663"/>
      <c r="H80" s="2663"/>
      <c r="I80" s="2693"/>
      <c r="J80" s="2693"/>
      <c r="K80" s="2663"/>
      <c r="L80" s="2663"/>
      <c r="M80" s="2663"/>
      <c r="N80" s="2693"/>
      <c r="O80" s="2693"/>
      <c r="P80" s="2693"/>
      <c r="Q80" s="2663"/>
      <c r="R80" s="2663"/>
      <c r="S80" s="2663"/>
      <c r="T80" s="2632"/>
    </row>
    <row r="81" spans="1:20" ht="13.5" hidden="1">
      <c r="A81" s="2655"/>
      <c r="B81" s="2662"/>
      <c r="C81" s="2662"/>
      <c r="D81" s="2662"/>
      <c r="E81" s="2662"/>
      <c r="F81" s="2662"/>
      <c r="G81" s="2663"/>
      <c r="H81" s="2663"/>
      <c r="I81" s="2693"/>
      <c r="J81" s="2693"/>
      <c r="K81" s="2663"/>
      <c r="L81" s="2663"/>
      <c r="M81" s="2663"/>
      <c r="N81" s="2693"/>
      <c r="O81" s="2693"/>
      <c r="P81" s="2693"/>
      <c r="Q81" s="2663"/>
      <c r="R81" s="2663"/>
      <c r="S81" s="2663"/>
      <c r="T81" s="2632"/>
    </row>
    <row r="82" spans="1:20" ht="13.5" hidden="1">
      <c r="A82" s="2655"/>
      <c r="B82" s="2662"/>
      <c r="C82" s="2662"/>
      <c r="D82" s="2662"/>
      <c r="E82" s="2662"/>
      <c r="F82" s="2662"/>
      <c r="G82" s="2663"/>
      <c r="H82" s="2663"/>
      <c r="I82" s="2693"/>
      <c r="J82" s="2693"/>
      <c r="K82" s="2663"/>
      <c r="L82" s="2663"/>
      <c r="M82" s="2663"/>
      <c r="N82" s="2693"/>
      <c r="O82" s="2693"/>
      <c r="P82" s="2693"/>
      <c r="Q82" s="2663"/>
      <c r="R82" s="2663"/>
      <c r="S82" s="2663"/>
      <c r="T82" s="2632"/>
    </row>
    <row r="83" spans="1:20" ht="13.5" hidden="1">
      <c r="A83" s="2655"/>
      <c r="B83" s="2662"/>
      <c r="C83" s="2662"/>
      <c r="D83" s="2662"/>
      <c r="E83" s="2662"/>
      <c r="F83" s="2662"/>
      <c r="G83" s="2663"/>
      <c r="H83" s="2663"/>
      <c r="I83" s="2693"/>
      <c r="J83" s="2693"/>
      <c r="K83" s="2663"/>
      <c r="L83" s="2663"/>
      <c r="M83" s="2663"/>
      <c r="N83" s="2693"/>
      <c r="O83" s="2693"/>
      <c r="P83" s="2693"/>
      <c r="Q83" s="2663"/>
      <c r="R83" s="2663"/>
      <c r="S83" s="2663"/>
      <c r="T83" s="2632"/>
    </row>
    <row r="84" spans="1:20" ht="13.5" hidden="1">
      <c r="A84" s="2655"/>
      <c r="B84" s="2662"/>
      <c r="C84" s="2662"/>
      <c r="D84" s="2662"/>
      <c r="E84" s="2662"/>
      <c r="F84" s="2662"/>
      <c r="G84" s="2663"/>
      <c r="H84" s="2663"/>
      <c r="I84" s="2693"/>
      <c r="J84" s="2693"/>
      <c r="K84" s="2663"/>
      <c r="L84" s="2663"/>
      <c r="M84" s="2663"/>
      <c r="N84" s="2693"/>
      <c r="O84" s="2693"/>
      <c r="P84" s="2693"/>
      <c r="Q84" s="2663"/>
      <c r="R84" s="2663"/>
      <c r="S84" s="2663"/>
      <c r="T84" s="2632"/>
    </row>
    <row r="85" spans="1:20" ht="13.5" hidden="1">
      <c r="A85" s="2655"/>
      <c r="B85" s="2662"/>
      <c r="C85" s="2662"/>
      <c r="D85" s="2662"/>
      <c r="E85" s="2662"/>
      <c r="F85" s="2662"/>
      <c r="G85" s="2663"/>
      <c r="H85" s="2663"/>
      <c r="I85" s="2693"/>
      <c r="J85" s="2693"/>
      <c r="K85" s="2663"/>
      <c r="L85" s="2663"/>
      <c r="M85" s="2663"/>
      <c r="N85" s="2693"/>
      <c r="O85" s="2693"/>
      <c r="P85" s="2693"/>
      <c r="Q85" s="2663"/>
      <c r="R85" s="2663"/>
      <c r="S85" s="2663"/>
      <c r="T85" s="2632"/>
    </row>
    <row r="86" spans="1:20" ht="13.5" hidden="1">
      <c r="A86" s="2655"/>
      <c r="B86" s="2662"/>
      <c r="C86" s="2662"/>
      <c r="D86" s="2662"/>
      <c r="E86" s="2662"/>
      <c r="F86" s="2662"/>
      <c r="G86" s="2663"/>
      <c r="H86" s="2663"/>
      <c r="I86" s="2693"/>
      <c r="J86" s="2693"/>
      <c r="K86" s="2663"/>
      <c r="L86" s="2663"/>
      <c r="M86" s="2663"/>
      <c r="N86" s="2693"/>
      <c r="O86" s="2693"/>
      <c r="P86" s="2693"/>
      <c r="Q86" s="2663"/>
      <c r="R86" s="2663"/>
      <c r="S86" s="2663"/>
      <c r="T86" s="2632"/>
    </row>
    <row r="87" spans="1:20" ht="13.5" hidden="1">
      <c r="A87" s="2655"/>
      <c r="B87" s="2662"/>
      <c r="C87" s="2662"/>
      <c r="D87" s="2662"/>
      <c r="E87" s="2662"/>
      <c r="F87" s="2662"/>
      <c r="G87" s="2663"/>
      <c r="H87" s="2663"/>
      <c r="I87" s="2693"/>
      <c r="J87" s="2693"/>
      <c r="K87" s="2663"/>
      <c r="L87" s="2663"/>
      <c r="M87" s="2663"/>
      <c r="N87" s="2693"/>
      <c r="O87" s="2693"/>
      <c r="P87" s="2693"/>
      <c r="Q87" s="2663"/>
      <c r="R87" s="2663"/>
      <c r="S87" s="2663"/>
      <c r="T87" s="2632"/>
    </row>
    <row r="88" spans="1:20" ht="13.5" hidden="1">
      <c r="A88" s="2655"/>
      <c r="B88" s="2662"/>
      <c r="C88" s="2662"/>
      <c r="D88" s="2662"/>
      <c r="E88" s="2662"/>
      <c r="F88" s="2662"/>
      <c r="G88" s="2663"/>
      <c r="H88" s="2663"/>
      <c r="I88" s="2693"/>
      <c r="J88" s="2693"/>
      <c r="K88" s="2663"/>
      <c r="L88" s="2663"/>
      <c r="M88" s="2663"/>
      <c r="N88" s="2693"/>
      <c r="O88" s="2693"/>
      <c r="P88" s="2693"/>
      <c r="Q88" s="2663"/>
      <c r="R88" s="2663"/>
      <c r="S88" s="2663"/>
      <c r="T88" s="2632"/>
    </row>
    <row r="89" spans="1:20" ht="13.5" hidden="1">
      <c r="A89" s="2655"/>
      <c r="B89" s="2662"/>
      <c r="C89" s="2662"/>
      <c r="D89" s="2662"/>
      <c r="E89" s="2662"/>
      <c r="F89" s="2662"/>
      <c r="G89" s="2663"/>
      <c r="H89" s="2663"/>
      <c r="I89" s="2693"/>
      <c r="J89" s="2693"/>
      <c r="K89" s="2663"/>
      <c r="L89" s="2663"/>
      <c r="M89" s="2663"/>
      <c r="N89" s="2693"/>
      <c r="O89" s="2693"/>
      <c r="P89" s="2693"/>
      <c r="Q89" s="2663"/>
      <c r="R89" s="2663"/>
      <c r="S89" s="2663"/>
      <c r="T89" s="2632"/>
    </row>
    <row r="90" spans="1:20" ht="13.5" hidden="1">
      <c r="A90" s="2655"/>
      <c r="B90" s="2662"/>
      <c r="C90" s="2662"/>
      <c r="D90" s="2662"/>
      <c r="E90" s="2662"/>
      <c r="F90" s="2662"/>
      <c r="G90" s="2663"/>
      <c r="H90" s="2663"/>
      <c r="I90" s="2693"/>
      <c r="J90" s="2693"/>
      <c r="K90" s="2663"/>
      <c r="L90" s="2663"/>
      <c r="M90" s="2663"/>
      <c r="N90" s="2693"/>
      <c r="O90" s="2693"/>
      <c r="P90" s="2693"/>
      <c r="Q90" s="2663"/>
      <c r="R90" s="2663"/>
      <c r="S90" s="2663"/>
      <c r="T90" s="2632"/>
    </row>
    <row r="91" spans="1:20" ht="13.5" hidden="1">
      <c r="A91" s="2655"/>
      <c r="B91" s="2662"/>
      <c r="C91" s="2662"/>
      <c r="D91" s="2662"/>
      <c r="E91" s="2662"/>
      <c r="F91" s="2662"/>
      <c r="G91" s="2663"/>
      <c r="H91" s="2663"/>
      <c r="I91" s="2693"/>
      <c r="J91" s="2693"/>
      <c r="K91" s="2663"/>
      <c r="L91" s="2663"/>
      <c r="M91" s="2663"/>
      <c r="N91" s="2693"/>
      <c r="O91" s="2693"/>
      <c r="P91" s="2693"/>
      <c r="Q91" s="2663"/>
      <c r="R91" s="2663"/>
      <c r="S91" s="2663"/>
      <c r="T91" s="2632"/>
    </row>
    <row r="92" spans="1:20" ht="13.5" hidden="1">
      <c r="A92" s="2655"/>
      <c r="B92" s="2662"/>
      <c r="C92" s="2662"/>
      <c r="D92" s="2662"/>
      <c r="E92" s="2662"/>
      <c r="F92" s="2662"/>
      <c r="G92" s="2663"/>
      <c r="H92" s="2663"/>
      <c r="I92" s="2693"/>
      <c r="J92" s="2693"/>
      <c r="K92" s="2663"/>
      <c r="L92" s="2663"/>
      <c r="M92" s="2663"/>
      <c r="N92" s="2693"/>
      <c r="O92" s="2693"/>
      <c r="P92" s="2693"/>
      <c r="Q92" s="2663"/>
      <c r="R92" s="2663"/>
      <c r="S92" s="2663"/>
      <c r="T92" s="2632"/>
    </row>
    <row r="93" spans="1:20" ht="13.5" hidden="1">
      <c r="A93" s="2655"/>
      <c r="B93" s="2662"/>
      <c r="C93" s="2662"/>
      <c r="D93" s="2662"/>
      <c r="E93" s="2662"/>
      <c r="F93" s="2662"/>
      <c r="G93" s="2663"/>
      <c r="H93" s="2663"/>
      <c r="I93" s="2693"/>
      <c r="J93" s="2693"/>
      <c r="K93" s="2663"/>
      <c r="L93" s="2663"/>
      <c r="M93" s="2663"/>
      <c r="N93" s="2693"/>
      <c r="O93" s="2693"/>
      <c r="P93" s="2693"/>
      <c r="Q93" s="2663"/>
      <c r="R93" s="2663"/>
      <c r="S93" s="2663"/>
      <c r="T93" s="2632"/>
    </row>
    <row r="94" spans="1:20" ht="13.5" hidden="1">
      <c r="A94" s="2655"/>
      <c r="B94" s="2662"/>
      <c r="C94" s="2662"/>
      <c r="D94" s="2662"/>
      <c r="E94" s="2662"/>
      <c r="F94" s="2662"/>
      <c r="G94" s="2663"/>
      <c r="H94" s="2663"/>
      <c r="I94" s="2693"/>
      <c r="J94" s="2693"/>
      <c r="K94" s="2663"/>
      <c r="L94" s="2663"/>
      <c r="M94" s="2663"/>
      <c r="N94" s="2693"/>
      <c r="O94" s="2693"/>
      <c r="P94" s="2693"/>
      <c r="Q94" s="2663"/>
      <c r="R94" s="2663"/>
      <c r="S94" s="2663"/>
      <c r="T94" s="2632"/>
    </row>
    <row r="95" spans="1:20" ht="13.5" hidden="1">
      <c r="A95" s="2655"/>
      <c r="B95" s="2662"/>
      <c r="C95" s="2662"/>
      <c r="D95" s="2662"/>
      <c r="E95" s="2662"/>
      <c r="F95" s="2662"/>
      <c r="G95" s="2663"/>
      <c r="H95" s="2663"/>
      <c r="I95" s="2693"/>
      <c r="J95" s="2693"/>
      <c r="K95" s="2663"/>
      <c r="L95" s="2663"/>
      <c r="M95" s="2663"/>
      <c r="N95" s="2693"/>
      <c r="O95" s="2693"/>
      <c r="P95" s="2693"/>
      <c r="Q95" s="2663"/>
      <c r="R95" s="2663"/>
      <c r="S95" s="2663"/>
      <c r="T95" s="2632"/>
    </row>
    <row r="96" spans="1:20" ht="13.5" hidden="1">
      <c r="A96" s="2655"/>
      <c r="B96" s="2662"/>
      <c r="C96" s="2662"/>
      <c r="D96" s="2662"/>
      <c r="E96" s="2662"/>
      <c r="F96" s="2662"/>
      <c r="G96" s="2663"/>
      <c r="H96" s="2663"/>
      <c r="I96" s="2693"/>
      <c r="J96" s="2693"/>
      <c r="K96" s="2663"/>
      <c r="L96" s="2663"/>
      <c r="M96" s="2663"/>
      <c r="N96" s="2693"/>
      <c r="O96" s="2693"/>
      <c r="P96" s="2693"/>
      <c r="Q96" s="2663"/>
      <c r="R96" s="2663"/>
      <c r="S96" s="2663"/>
      <c r="T96" s="2632"/>
    </row>
    <row r="97" spans="1:20" ht="13.5" hidden="1">
      <c r="A97" s="2655"/>
      <c r="B97" s="2662"/>
      <c r="C97" s="2662"/>
      <c r="D97" s="2662"/>
      <c r="E97" s="2662"/>
      <c r="F97" s="2662"/>
      <c r="G97" s="2663"/>
      <c r="H97" s="2663"/>
      <c r="I97" s="2693"/>
      <c r="J97" s="2693"/>
      <c r="K97" s="2663"/>
      <c r="L97" s="2663"/>
      <c r="M97" s="2663"/>
      <c r="N97" s="2693"/>
      <c r="O97" s="2693"/>
      <c r="P97" s="2693"/>
      <c r="Q97" s="2663"/>
      <c r="R97" s="2663"/>
      <c r="S97" s="2663"/>
      <c r="T97" s="2632"/>
    </row>
    <row r="98" spans="1:20" ht="13.5" hidden="1">
      <c r="A98" s="2655"/>
      <c r="B98" s="2662"/>
      <c r="C98" s="2662"/>
      <c r="D98" s="2662"/>
      <c r="E98" s="2662"/>
      <c r="F98" s="2662"/>
      <c r="G98" s="2663"/>
      <c r="H98" s="2663"/>
      <c r="I98" s="2693"/>
      <c r="J98" s="2693"/>
      <c r="K98" s="2663"/>
      <c r="L98" s="2663"/>
      <c r="M98" s="2663"/>
      <c r="N98" s="2693"/>
      <c r="O98" s="2693"/>
      <c r="P98" s="2693"/>
      <c r="Q98" s="2663"/>
      <c r="R98" s="2663"/>
      <c r="S98" s="2663"/>
      <c r="T98" s="2632"/>
    </row>
    <row r="99" spans="1:20" ht="13.5" hidden="1">
      <c r="A99" s="2655"/>
      <c r="B99" s="2662"/>
      <c r="C99" s="2662"/>
      <c r="D99" s="2662"/>
      <c r="E99" s="2662"/>
      <c r="F99" s="2662"/>
      <c r="G99" s="2663"/>
      <c r="H99" s="2663"/>
      <c r="I99" s="2693"/>
      <c r="J99" s="2693"/>
      <c r="K99" s="2663"/>
      <c r="L99" s="2663"/>
      <c r="M99" s="2663"/>
      <c r="N99" s="2693"/>
      <c r="O99" s="2693"/>
      <c r="P99" s="2693"/>
      <c r="Q99" s="2663"/>
      <c r="R99" s="2663"/>
      <c r="S99" s="2663"/>
      <c r="T99" s="2632"/>
    </row>
    <row r="100" spans="1:20" ht="13.5" hidden="1">
      <c r="A100" s="2655"/>
      <c r="B100" s="2662"/>
      <c r="C100" s="2662"/>
      <c r="D100" s="2662"/>
      <c r="E100" s="2662"/>
      <c r="F100" s="2662"/>
      <c r="G100" s="2663"/>
      <c r="H100" s="2663"/>
      <c r="I100" s="2693"/>
      <c r="J100" s="2693"/>
      <c r="K100" s="2663"/>
      <c r="L100" s="2663"/>
      <c r="M100" s="2663"/>
      <c r="N100" s="2693"/>
      <c r="O100" s="2693"/>
      <c r="P100" s="2693"/>
      <c r="Q100" s="2663"/>
      <c r="R100" s="2663"/>
      <c r="S100" s="2663"/>
      <c r="T100" s="2632"/>
    </row>
    <row r="101" spans="1:20" ht="13.5" hidden="1">
      <c r="A101" s="2655"/>
      <c r="B101" s="2662"/>
      <c r="C101" s="2662"/>
      <c r="D101" s="2662"/>
      <c r="E101" s="2662"/>
      <c r="F101" s="2662"/>
      <c r="G101" s="2663"/>
      <c r="H101" s="2663"/>
      <c r="I101" s="2693"/>
      <c r="J101" s="2693"/>
      <c r="K101" s="2663"/>
      <c r="L101" s="2663"/>
      <c r="M101" s="2663"/>
      <c r="N101" s="2693"/>
      <c r="O101" s="2693"/>
      <c r="P101" s="2693"/>
      <c r="Q101" s="2663"/>
      <c r="R101" s="2663"/>
      <c r="S101" s="2663"/>
      <c r="T101" s="2632"/>
    </row>
    <row r="102" spans="1:20" ht="13.5" hidden="1">
      <c r="A102" s="2655"/>
      <c r="B102" s="2662"/>
      <c r="C102" s="2662"/>
      <c r="D102" s="2662"/>
      <c r="E102" s="2662"/>
      <c r="F102" s="2662"/>
      <c r="G102" s="2663"/>
      <c r="H102" s="2663"/>
      <c r="I102" s="2693"/>
      <c r="J102" s="2693"/>
      <c r="K102" s="2663"/>
      <c r="L102" s="2663"/>
      <c r="M102" s="2663"/>
      <c r="N102" s="2693"/>
      <c r="O102" s="2693"/>
      <c r="P102" s="2693"/>
      <c r="Q102" s="2663"/>
      <c r="R102" s="2663"/>
      <c r="S102" s="2663"/>
      <c r="T102" s="2632"/>
    </row>
    <row r="103" spans="1:20" ht="13.5" hidden="1">
      <c r="A103" s="2655"/>
      <c r="B103" s="2662"/>
      <c r="C103" s="2662"/>
      <c r="D103" s="2662"/>
      <c r="E103" s="2662"/>
      <c r="F103" s="2662"/>
      <c r="G103" s="2663"/>
      <c r="H103" s="2663"/>
      <c r="I103" s="2693"/>
      <c r="J103" s="2693"/>
      <c r="K103" s="2663"/>
      <c r="L103" s="2663"/>
      <c r="M103" s="2663"/>
      <c r="N103" s="2693"/>
      <c r="O103" s="2693"/>
      <c r="P103" s="2693"/>
      <c r="Q103" s="2663"/>
      <c r="R103" s="2663"/>
      <c r="S103" s="2663"/>
      <c r="T103" s="2632"/>
    </row>
    <row r="104" spans="1:20" s="974" customFormat="1" ht="17" hidden="1" thickBot="1">
      <c r="A104" s="2707" t="s">
        <v>1693</v>
      </c>
      <c r="B104" s="2708"/>
      <c r="C104" s="2708"/>
      <c r="D104" s="2708"/>
      <c r="E104" s="2708"/>
      <c r="F104" s="2708"/>
      <c r="G104" s="2703">
        <v>7540685614.5317307</v>
      </c>
      <c r="H104" s="2704"/>
      <c r="I104" s="2704">
        <v>282109146.74173021</v>
      </c>
      <c r="J104" s="2704">
        <v>69866413.719999999</v>
      </c>
      <c r="K104" s="2705">
        <v>7752928347.5534611</v>
      </c>
      <c r="L104" s="2705"/>
      <c r="M104" s="2703">
        <v>3012742078.9016147</v>
      </c>
      <c r="N104" s="2704">
        <v>0</v>
      </c>
      <c r="O104" s="2704">
        <v>284895156.48285699</v>
      </c>
      <c r="P104" s="2704">
        <v>5583613.54</v>
      </c>
      <c r="Q104" s="2705">
        <v>3292053621.8444715</v>
      </c>
      <c r="R104" s="2705"/>
      <c r="S104" s="2703">
        <v>4460874725.7089891</v>
      </c>
      <c r="T104" s="2706">
        <v>4527943535.6301165</v>
      </c>
    </row>
    <row r="105" spans="1:20" ht="13.5" hidden="1">
      <c r="A105" s="2655"/>
      <c r="B105" s="2662"/>
      <c r="C105" s="2662"/>
      <c r="D105" s="2662"/>
      <c r="E105" s="2662"/>
      <c r="F105" s="2662"/>
      <c r="G105" s="2663"/>
      <c r="H105" s="2663"/>
      <c r="I105" s="2693"/>
      <c r="J105" s="2693"/>
      <c r="K105" s="2663"/>
      <c r="L105" s="2663"/>
      <c r="M105" s="2663"/>
      <c r="N105" s="2693"/>
      <c r="O105" s="2693"/>
      <c r="P105" s="2693"/>
      <c r="Q105" s="2663"/>
      <c r="R105" s="2663"/>
      <c r="S105" s="2663"/>
      <c r="T105" s="2632"/>
    </row>
    <row r="106" spans="1:20" ht="13.5">
      <c r="A106" s="2655"/>
      <c r="B106" s="2662"/>
      <c r="C106" s="2662"/>
      <c r="D106" s="2662"/>
      <c r="E106" s="2662"/>
      <c r="F106" s="2662"/>
      <c r="G106" s="2663"/>
      <c r="H106" s="2663"/>
      <c r="I106" s="2693"/>
      <c r="J106" s="2693"/>
      <c r="K106" s="2663"/>
      <c r="L106" s="2663"/>
      <c r="M106" s="2663"/>
      <c r="N106" s="2693"/>
      <c r="O106" s="2693"/>
      <c r="P106" s="2693"/>
      <c r="Q106" s="2663"/>
      <c r="R106" s="2663"/>
      <c r="S106" s="2663"/>
      <c r="T106" s="2632"/>
    </row>
    <row r="107" spans="1:20" ht="14" thickBot="1">
      <c r="A107" s="980"/>
      <c r="B107" s="2709"/>
      <c r="C107" s="2709"/>
      <c r="D107" s="2709"/>
      <c r="E107" s="2709"/>
      <c r="F107" s="2709"/>
      <c r="G107" s="2710"/>
      <c r="H107" s="2710"/>
      <c r="I107" s="2711"/>
      <c r="J107" s="2711"/>
      <c r="K107" s="2710"/>
      <c r="L107" s="2710"/>
      <c r="M107" s="2710"/>
      <c r="N107" s="2711"/>
      <c r="O107" s="2711"/>
      <c r="P107" s="2711"/>
      <c r="Q107" s="2710"/>
      <c r="R107" s="2710"/>
      <c r="S107" s="2710"/>
      <c r="T107" s="2712"/>
    </row>
    <row r="110" spans="1:20">
      <c r="C110" s="899">
        <f>C23+I23-D23</f>
        <v>1515013128.8999996</v>
      </c>
      <c r="H110" s="2713"/>
      <c r="M110" s="2715"/>
    </row>
    <row r="111" spans="1:20">
      <c r="M111" s="2715"/>
    </row>
    <row r="112" spans="1:20">
      <c r="M112" s="2715"/>
    </row>
    <row r="113" spans="13:13">
      <c r="M113" s="2715"/>
    </row>
    <row r="114" spans="13:13">
      <c r="M114" s="2715"/>
    </row>
  </sheetData>
  <mergeCells count="20">
    <mergeCell ref="S40:T40"/>
    <mergeCell ref="A42:A43"/>
    <mergeCell ref="B42:E42"/>
    <mergeCell ref="G42:K42"/>
    <mergeCell ref="M42:Q42"/>
    <mergeCell ref="S42:T42"/>
    <mergeCell ref="A1:T1"/>
    <mergeCell ref="A2:T2"/>
    <mergeCell ref="A3:T3"/>
    <mergeCell ref="S4:T4"/>
    <mergeCell ref="A6:A7"/>
    <mergeCell ref="B6:E6"/>
    <mergeCell ref="G6:K6"/>
    <mergeCell ref="M6:Q6"/>
    <mergeCell ref="S6:T6"/>
    <mergeCell ref="A28:A29"/>
    <mergeCell ref="B28:E28"/>
    <mergeCell ref="G28:K28"/>
    <mergeCell ref="M28:Q28"/>
    <mergeCell ref="S28:T28"/>
  </mergeCells>
  <printOptions horizontalCentered="1"/>
  <pageMargins left="0.46" right="0.23" top="0.69" bottom="0.74803149606299213" header="0.31496062992125984" footer="0.31496062992125984"/>
  <pageSetup paperSize="9" scale="6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A7738-68F8-478E-9636-6C94D548227C}">
  <sheetPr>
    <pageSetUpPr fitToPage="1"/>
  </sheetPr>
  <dimension ref="A1:I74"/>
  <sheetViews>
    <sheetView zoomScale="75" zoomScaleNormal="75" workbookViewId="0">
      <selection activeCell="F35" sqref="F35"/>
    </sheetView>
  </sheetViews>
  <sheetFormatPr defaultColWidth="9.1796875" defaultRowHeight="12.5"/>
  <cols>
    <col min="1" max="1" width="71.26953125" style="885" customWidth="1"/>
    <col min="2" max="2" width="19.54296875" style="885" customWidth="1"/>
    <col min="3" max="3" width="20.1796875" style="2623" customWidth="1"/>
    <col min="4" max="4" width="20.26953125" style="2623" customWidth="1"/>
    <col min="5" max="5" width="20.7265625" style="2623" customWidth="1"/>
    <col min="6" max="6" width="15.453125" style="885" customWidth="1"/>
    <col min="7" max="7" width="12.81640625" style="885" bestFit="1" customWidth="1"/>
    <col min="8" max="8" width="15" style="885" bestFit="1" customWidth="1"/>
    <col min="9" max="9" width="13.26953125" style="885" customWidth="1"/>
    <col min="10" max="16384" width="9.1796875" style="885"/>
  </cols>
  <sheetData>
    <row r="1" spans="1:8" ht="24" customHeight="1">
      <c r="A1" s="3235" t="s">
        <v>7155</v>
      </c>
      <c r="B1" s="3236"/>
      <c r="C1" s="3236"/>
      <c r="D1" s="3236"/>
      <c r="E1" s="3237"/>
      <c r="F1" s="2575"/>
      <c r="G1" s="2575"/>
    </row>
    <row r="2" spans="1:8" ht="5.25" customHeight="1">
      <c r="A2" s="3238"/>
      <c r="B2" s="3239"/>
      <c r="C2" s="3239"/>
      <c r="D2" s="3239"/>
      <c r="E2" s="3240"/>
      <c r="F2" s="2575"/>
      <c r="G2" s="2575"/>
    </row>
    <row r="3" spans="1:8" ht="17.25" customHeight="1">
      <c r="A3" s="3241" t="s">
        <v>1668</v>
      </c>
      <c r="B3" s="3242"/>
      <c r="C3" s="3242"/>
      <c r="D3" s="3242"/>
      <c r="E3" s="3243"/>
      <c r="F3" s="2575"/>
      <c r="G3" s="2575"/>
    </row>
    <row r="4" spans="1:8" ht="20.25" customHeight="1" thickBot="1">
      <c r="A4" s="978"/>
      <c r="B4" s="935"/>
      <c r="C4" s="2647"/>
      <c r="D4" s="2647"/>
      <c r="E4" s="2609"/>
      <c r="F4" s="2575"/>
      <c r="G4" s="2575"/>
    </row>
    <row r="5" spans="1:8" ht="18" customHeight="1">
      <c r="A5" s="3225" t="s">
        <v>3614</v>
      </c>
      <c r="B5" s="3229"/>
      <c r="C5" s="2600"/>
      <c r="D5" s="2648" t="s">
        <v>7932</v>
      </c>
      <c r="E5" s="2649" t="s">
        <v>5468</v>
      </c>
    </row>
    <row r="6" spans="1:8" ht="20.25" customHeight="1" thickBot="1">
      <c r="A6" s="3227"/>
      <c r="B6" s="3230"/>
      <c r="C6" s="2601"/>
      <c r="D6" s="2628" t="s">
        <v>1645</v>
      </c>
      <c r="E6" s="2629" t="s">
        <v>1645</v>
      </c>
    </row>
    <row r="7" spans="1:8" ht="10.5" customHeight="1" thickTop="1">
      <c r="A7" s="2667"/>
      <c r="B7" s="2651"/>
      <c r="C7" s="2631"/>
      <c r="D7" s="2632"/>
      <c r="E7" s="2652"/>
    </row>
    <row r="8" spans="1:8" ht="22.5" customHeight="1">
      <c r="A8" s="940" t="s">
        <v>1695</v>
      </c>
      <c r="B8" s="2653"/>
      <c r="C8" s="2631"/>
      <c r="D8" s="2587">
        <f>SUMIF('TB FY-2021-22'!$F$3:$F$1332,'OERC 09 ,10 &amp; 11'!H8,'TB FY-2021-22'!$G$3:$G$1332)</f>
        <v>283023005.34999996</v>
      </c>
      <c r="E8" s="2654">
        <f>SUMIF('TB FY-2021-22'!F3:F1332,'OERC 09 ,10 &amp; 11'!H8,'TB FY-2021-22'!H3:H1332)</f>
        <v>82519512.059999987</v>
      </c>
      <c r="F8" s="899"/>
      <c r="G8" s="899"/>
      <c r="H8" s="899">
        <v>119</v>
      </c>
    </row>
    <row r="9" spans="1:8" ht="17.25" customHeight="1">
      <c r="A9" s="926" t="s">
        <v>3582</v>
      </c>
      <c r="B9" s="2653"/>
      <c r="C9" s="2631"/>
      <c r="D9" s="2587"/>
      <c r="E9" s="2654"/>
      <c r="F9" s="899"/>
    </row>
    <row r="10" spans="1:8" ht="16.5">
      <c r="A10" s="2655"/>
      <c r="B10" s="2653"/>
      <c r="C10" s="2631"/>
      <c r="D10" s="2587"/>
      <c r="E10" s="2654"/>
    </row>
    <row r="11" spans="1:8" ht="17" thickBot="1">
      <c r="A11" s="2655"/>
      <c r="B11" s="2653"/>
      <c r="C11" s="2631"/>
      <c r="D11" s="2635">
        <f>+D8</f>
        <v>283023005.34999996</v>
      </c>
      <c r="E11" s="2656">
        <f>+E8</f>
        <v>82519512.059999987</v>
      </c>
      <c r="G11" s="899"/>
    </row>
    <row r="12" spans="1:8" ht="14.5" thickTop="1" thickBot="1">
      <c r="A12" s="2657"/>
      <c r="B12" s="2658"/>
      <c r="C12" s="2659"/>
      <c r="D12" s="2660"/>
      <c r="E12" s="2661"/>
    </row>
    <row r="13" spans="1:8" ht="20.25" customHeight="1">
      <c r="A13" s="2655"/>
      <c r="B13" s="2662"/>
      <c r="C13" s="2663"/>
      <c r="D13" s="2663"/>
      <c r="E13" s="2632"/>
    </row>
    <row r="14" spans="1:8" ht="27.75" customHeight="1" thickBot="1">
      <c r="A14" s="2655"/>
      <c r="B14" s="2662"/>
      <c r="C14" s="2663"/>
      <c r="D14" s="2663"/>
      <c r="E14" s="2632"/>
    </row>
    <row r="15" spans="1:8" ht="18" customHeight="1">
      <c r="A15" s="3225" t="s">
        <v>3615</v>
      </c>
      <c r="B15" s="3226"/>
      <c r="C15" s="2600"/>
      <c r="D15" s="2648" t="s">
        <v>7932</v>
      </c>
      <c r="E15" s="2649" t="s">
        <v>5468</v>
      </c>
    </row>
    <row r="16" spans="1:8" ht="19.5" customHeight="1" thickBot="1">
      <c r="A16" s="3227"/>
      <c r="B16" s="3228"/>
      <c r="C16" s="2601"/>
      <c r="D16" s="2628" t="s">
        <v>1645</v>
      </c>
      <c r="E16" s="2629" t="s">
        <v>1645</v>
      </c>
    </row>
    <row r="17" spans="1:8" ht="14" thickTop="1">
      <c r="A17" s="2716"/>
      <c r="B17" s="2717"/>
      <c r="C17" s="2631"/>
      <c r="D17" s="2718"/>
      <c r="E17" s="2719"/>
    </row>
    <row r="18" spans="1:8" ht="17.5">
      <c r="A18" s="982" t="s">
        <v>1696</v>
      </c>
      <c r="B18" s="2677"/>
      <c r="C18" s="2631"/>
      <c r="D18" s="2720"/>
      <c r="E18" s="2721"/>
    </row>
    <row r="19" spans="1:8" ht="18">
      <c r="A19" s="940" t="s">
        <v>3583</v>
      </c>
      <c r="B19" s="970"/>
      <c r="C19" s="2588"/>
      <c r="D19" s="2587">
        <f>SUMIF('TB FY-2021-22'!$F$3:$F$1332,'OERC 09 ,10 &amp; 11'!H19,'TB FY-2021-22'!$G$3:$G$1332)</f>
        <v>227426285.68999997</v>
      </c>
      <c r="E19" s="2654">
        <f>SUMIF('TB FY-2021-22'!F3:F1332,'OERC 09 ,10 &amp; 11'!H19,'TB FY-2021-22'!H3:H1332)</f>
        <v>167380012.57999998</v>
      </c>
      <c r="F19" s="899"/>
      <c r="G19" s="899"/>
      <c r="H19" s="885">
        <v>101</v>
      </c>
    </row>
    <row r="20" spans="1:8" ht="18" customHeight="1">
      <c r="A20" s="940" t="s">
        <v>1697</v>
      </c>
      <c r="B20" s="970"/>
      <c r="C20" s="2588"/>
      <c r="D20" s="2587">
        <f>SUMIF('TB FY-2021-22'!$F$3:$F$1332,'OERC 09 ,10 &amp; 11'!H20,'TB FY-2021-22'!$G$3:$G$1332)</f>
        <v>43991.8</v>
      </c>
      <c r="E20" s="2654">
        <f>SUMIF('TB FY-2021-22'!F3:F1332,'OERC 09 ,10 &amp; 11'!H20,'TB FY-2021-22'!H3:H1332)</f>
        <v>2822.8</v>
      </c>
      <c r="H20" s="885">
        <v>102</v>
      </c>
    </row>
    <row r="21" spans="1:8" ht="19.5" customHeight="1">
      <c r="A21" s="982" t="s">
        <v>3584</v>
      </c>
      <c r="B21" s="970"/>
      <c r="C21" s="2588"/>
      <c r="D21" s="2664"/>
      <c r="E21" s="2654"/>
    </row>
    <row r="22" spans="1:8" ht="18">
      <c r="A22" s="940" t="s">
        <v>3585</v>
      </c>
      <c r="B22" s="970"/>
      <c r="C22" s="2588">
        <f>SUMIF('TB FY-2021-22'!$F$3:$F$1332,'OERC 09 ,10 &amp; 11'!H22,'TB FY-2021-22'!$G$3:$G$1332)</f>
        <v>2743875924.9099956</v>
      </c>
      <c r="D22" s="2647"/>
      <c r="E22" s="2654">
        <f>SUMIF('TB FY-2021-22'!F3:F1332,'OERC 09 ,10 &amp; 11'!H22,'TB FY-2021-22'!H3:H1332)</f>
        <v>1893989036.8399973</v>
      </c>
      <c r="G22" s="899"/>
      <c r="H22" s="885">
        <v>103</v>
      </c>
    </row>
    <row r="23" spans="1:8" ht="18">
      <c r="A23" s="940" t="s">
        <v>4013</v>
      </c>
      <c r="B23" s="970"/>
      <c r="C23" s="2588">
        <f>SUMIF('TB FY-2021-22'!$F$3:$F$1332,'OERC 09 ,10 &amp; 11'!H23,'TB FY-2021-22'!$G$3:$G$1332)</f>
        <v>3336799826.8899999</v>
      </c>
      <c r="D23" s="2647"/>
      <c r="E23" s="2654">
        <f>SUMIF('TB FY-2021-22'!F3:F1332,'OERC 09 ,10 &amp; 11'!H23,'TB FY-2021-22'!H3:H1332)</f>
        <v>3068109115.8899999</v>
      </c>
      <c r="G23" s="899"/>
      <c r="H23" s="885">
        <v>104</v>
      </c>
    </row>
    <row r="24" spans="1:8" ht="15.75" customHeight="1">
      <c r="A24" s="975"/>
      <c r="B24" s="970"/>
      <c r="C24" s="2588"/>
      <c r="D24" s="2664"/>
      <c r="E24" s="2654"/>
    </row>
    <row r="25" spans="1:8" ht="18">
      <c r="A25" s="982" t="s">
        <v>1698</v>
      </c>
      <c r="B25" s="970"/>
      <c r="C25" s="2607">
        <f>SUMIF('TB FY-2021-22'!$F$3:$F$1332,'OERC 09 ,10 &amp; 11'!H25,'TB FY-2021-22'!$G$3:$G$1332)</f>
        <v>1681026.7799999998</v>
      </c>
      <c r="D25" s="2664"/>
      <c r="E25" s="2654">
        <f>SUMIF('TB FY-2021-22'!F3:F1332,'OERC 09 ,10 &amp; 11'!H25,'TB FY-2021-22'!H3:H1332)</f>
        <v>5222939.78</v>
      </c>
      <c r="H25" s="885">
        <v>105</v>
      </c>
    </row>
    <row r="26" spans="1:8" ht="15.75" customHeight="1">
      <c r="A26" s="2655"/>
      <c r="B26" s="2662"/>
      <c r="C26" s="2588"/>
      <c r="D26" s="2664">
        <f>+C22+C23+C25</f>
        <v>6082356778.5799952</v>
      </c>
      <c r="E26" s="2654"/>
    </row>
    <row r="27" spans="1:8" ht="6" customHeight="1" thickBot="1">
      <c r="A27" s="975"/>
      <c r="B27" s="2662"/>
      <c r="C27" s="2588"/>
      <c r="D27" s="2664"/>
      <c r="E27" s="2654"/>
    </row>
    <row r="28" spans="1:8" ht="17" thickBot="1">
      <c r="A28" s="2655"/>
      <c r="B28" s="2662"/>
      <c r="C28" s="2588"/>
      <c r="D28" s="2722">
        <f>+D26+D20+D19</f>
        <v>6309827056.0699949</v>
      </c>
      <c r="E28" s="2723">
        <f>SUM(E19:E25)</f>
        <v>5134703927.8899965</v>
      </c>
      <c r="F28" s="899"/>
      <c r="H28" s="899"/>
    </row>
    <row r="29" spans="1:8" ht="13.5" customHeight="1" thickTop="1" thickBot="1">
      <c r="A29" s="2657"/>
      <c r="B29" s="2672"/>
      <c r="C29" s="2659"/>
      <c r="D29" s="2724"/>
      <c r="E29" s="2661"/>
    </row>
    <row r="30" spans="1:8" ht="13.5">
      <c r="A30" s="2655"/>
      <c r="B30" s="2662"/>
      <c r="C30" s="2663"/>
      <c r="D30" s="2663"/>
      <c r="E30" s="2632"/>
    </row>
    <row r="31" spans="1:8" ht="18" customHeight="1">
      <c r="A31" s="2655"/>
      <c r="B31" s="2662"/>
      <c r="C31" s="2663"/>
      <c r="D31" s="2663"/>
      <c r="E31" s="2632"/>
    </row>
    <row r="32" spans="1:8" ht="20.25" customHeight="1" thickBot="1">
      <c r="A32" s="2655"/>
      <c r="B32" s="2662"/>
      <c r="C32" s="2663"/>
      <c r="D32" s="2663"/>
      <c r="E32" s="2632"/>
    </row>
    <row r="33" spans="1:8" ht="16.5" customHeight="1">
      <c r="A33" s="3225" t="s">
        <v>7975</v>
      </c>
      <c r="B33" s="3226"/>
      <c r="C33" s="2600"/>
      <c r="D33" s="2648" t="s">
        <v>7932</v>
      </c>
      <c r="E33" s="2649" t="s">
        <v>5468</v>
      </c>
    </row>
    <row r="34" spans="1:8" ht="19.5" customHeight="1" thickBot="1">
      <c r="A34" s="3227"/>
      <c r="B34" s="3228"/>
      <c r="C34" s="2601"/>
      <c r="D34" s="2628" t="s">
        <v>1645</v>
      </c>
      <c r="E34" s="2629" t="s">
        <v>1645</v>
      </c>
    </row>
    <row r="35" spans="1:8" ht="9.75" customHeight="1" thickTop="1">
      <c r="A35" s="2667"/>
      <c r="B35" s="2668"/>
      <c r="C35" s="2631"/>
      <c r="D35" s="2663"/>
      <c r="E35" s="2652"/>
    </row>
    <row r="36" spans="1:8" ht="19.5" customHeight="1">
      <c r="A36" s="940" t="s">
        <v>3586</v>
      </c>
      <c r="B36" s="2662"/>
      <c r="C36" s="2669"/>
      <c r="D36" s="2587">
        <f>SUMIF('TB FY-2021-22'!$F$3:$F$1332,'OERC 09 ,10 &amp; 11'!H36,'TB FY-2021-22'!$G$3:$G$1332)</f>
        <v>29321325.41</v>
      </c>
      <c r="E36" s="2654">
        <f>SUMIF('TB FY-2021-22'!$F$3:$F$1332,'OERC 09 ,10 &amp; 11'!H36,'TB FY-2021-22'!$H$3:$H$1332)</f>
        <v>37523032.789999999</v>
      </c>
      <c r="F36" s="899"/>
      <c r="G36" s="899"/>
      <c r="H36" s="885">
        <v>106</v>
      </c>
    </row>
    <row r="37" spans="1:8" ht="16.5" hidden="1" customHeight="1">
      <c r="A37" s="982"/>
      <c r="B37" s="2662"/>
      <c r="C37" s="2669"/>
      <c r="D37" s="2664"/>
      <c r="E37" s="2654"/>
    </row>
    <row r="38" spans="1:8" ht="16.5" hidden="1" customHeight="1">
      <c r="A38" s="940" t="s">
        <v>3587</v>
      </c>
      <c r="B38" s="2664"/>
      <c r="C38" s="2669"/>
      <c r="D38" s="2664"/>
      <c r="E38" s="2654"/>
    </row>
    <row r="39" spans="1:8" ht="16.5" hidden="1" customHeight="1">
      <c r="A39" s="940" t="s">
        <v>3588</v>
      </c>
      <c r="B39" s="2664"/>
      <c r="C39" s="2669"/>
      <c r="D39" s="2664"/>
      <c r="E39" s="2654"/>
    </row>
    <row r="40" spans="1:8" ht="16.5" hidden="1" customHeight="1">
      <c r="A40" s="940" t="s">
        <v>3589</v>
      </c>
      <c r="B40" s="2664"/>
      <c r="C40" s="2588">
        <v>0</v>
      </c>
      <c r="D40" s="2664"/>
      <c r="E40" s="2654"/>
    </row>
    <row r="41" spans="1:8" ht="16.5" hidden="1" customHeight="1">
      <c r="A41" s="940" t="s">
        <v>1699</v>
      </c>
      <c r="B41" s="2664"/>
      <c r="C41" s="2725">
        <v>0</v>
      </c>
      <c r="D41" s="2664"/>
      <c r="E41" s="2671"/>
    </row>
    <row r="42" spans="1:8" ht="16.5" hidden="1" customHeight="1">
      <c r="A42" s="940" t="s">
        <v>1700</v>
      </c>
      <c r="B42" s="2664"/>
      <c r="C42" s="2588">
        <v>0</v>
      </c>
      <c r="D42" s="2664"/>
      <c r="E42" s="2654"/>
    </row>
    <row r="43" spans="1:8" ht="16.5" hidden="1" customHeight="1">
      <c r="A43" s="940" t="s">
        <v>3590</v>
      </c>
      <c r="B43" s="2664"/>
      <c r="C43" s="2669"/>
      <c r="D43" s="2664"/>
      <c r="E43" s="2654"/>
    </row>
    <row r="44" spans="1:8" ht="16.5" hidden="1" customHeight="1">
      <c r="A44" s="976" t="s">
        <v>4014</v>
      </c>
      <c r="B44" s="2664"/>
      <c r="C44" s="2607">
        <v>0</v>
      </c>
      <c r="D44" s="2664"/>
      <c r="E44" s="2671"/>
    </row>
    <row r="45" spans="1:8" ht="16.5" hidden="1" customHeight="1">
      <c r="A45" s="940" t="s">
        <v>3591</v>
      </c>
      <c r="B45" s="2664"/>
      <c r="C45" s="2669"/>
      <c r="D45" s="2664">
        <v>0</v>
      </c>
      <c r="E45" s="2654"/>
    </row>
    <row r="46" spans="1:8" ht="16.5" hidden="1" customHeight="1">
      <c r="A46" s="940" t="s">
        <v>3592</v>
      </c>
      <c r="B46" s="2664"/>
      <c r="C46" s="2669">
        <v>0</v>
      </c>
      <c r="D46" s="2664"/>
      <c r="E46" s="2652"/>
    </row>
    <row r="47" spans="1:8" ht="16.5" hidden="1" customHeight="1">
      <c r="A47" s="940" t="s">
        <v>4015</v>
      </c>
      <c r="B47" s="2664"/>
      <c r="C47" s="2725">
        <v>0</v>
      </c>
      <c r="D47" s="2664"/>
      <c r="E47" s="2673"/>
    </row>
    <row r="48" spans="1:8" ht="16.5" hidden="1" customHeight="1">
      <c r="A48" s="940" t="s">
        <v>3591</v>
      </c>
      <c r="B48" s="2662"/>
      <c r="C48" s="2605"/>
      <c r="D48" s="2664">
        <v>0</v>
      </c>
      <c r="E48" s="2671">
        <f>+E46-E47</f>
        <v>0</v>
      </c>
    </row>
    <row r="49" spans="1:9" ht="8.25" hidden="1" customHeight="1">
      <c r="A49" s="982"/>
      <c r="B49" s="2662"/>
      <c r="C49" s="2669"/>
      <c r="D49" s="2664"/>
      <c r="E49" s="2654"/>
    </row>
    <row r="50" spans="1:9" ht="19" customHeight="1">
      <c r="A50" s="940" t="s">
        <v>7976</v>
      </c>
      <c r="B50" s="2662"/>
      <c r="C50" s="2669"/>
      <c r="D50" s="2587">
        <f>SUMIF('TB FY-2021-22'!$F$3:$F$1332,'OERC 09 ,10 &amp; 11'!H50,'TB FY-2021-22'!$G$3:$G$1332)</f>
        <v>935779115.17999995</v>
      </c>
      <c r="E50" s="2654">
        <f>SUMIF('TB FY-2021-22'!F3:F1332,'OERC 09 ,10 &amp; 11'!H50,'TB FY-2021-22'!H3:H1332)</f>
        <v>480960909</v>
      </c>
      <c r="H50" s="885">
        <v>107</v>
      </c>
    </row>
    <row r="51" spans="1:9" ht="18.649999999999999" customHeight="1">
      <c r="A51" s="940" t="s">
        <v>5520</v>
      </c>
      <c r="B51" s="2662"/>
      <c r="C51" s="2669"/>
      <c r="D51" s="2587">
        <f>SUMIF('TB FY-2021-22'!$F$3:$F$1332,'OERC 09 ,10 &amp; 11'!H51,'TB FY-2021-22'!$G$3:$G$1332)</f>
        <v>431719081</v>
      </c>
      <c r="E51" s="2654">
        <f>SUMIF('TB FY-2021-22'!F3:F1332,'OERC 09 ,10 &amp; 11'!H51,'TB FY-2021-22'!H3:H1332)</f>
        <v>91733992</v>
      </c>
      <c r="H51" s="885">
        <v>108</v>
      </c>
    </row>
    <row r="52" spans="1:9" ht="5" customHeight="1">
      <c r="A52" s="940"/>
      <c r="B52" s="2662"/>
      <c r="C52" s="2669"/>
      <c r="D52" s="2664"/>
      <c r="E52" s="2654"/>
    </row>
    <row r="53" spans="1:9" ht="18" customHeight="1">
      <c r="A53" s="940" t="s">
        <v>7977</v>
      </c>
      <c r="B53" s="2662"/>
      <c r="C53" s="2669"/>
      <c r="D53" s="2587">
        <f>SUMIF('TB FY-2021-22'!$F$3:$F$1332,'OERC 09 ,10 &amp; 11'!H53,'TB FY-2021-22'!$G$3:$G$1332)</f>
        <v>0</v>
      </c>
      <c r="E53" s="2654">
        <f>SUMIF('TB FY-2021-22'!F3:F1332,'OERC 09 ,10 &amp; 11'!H53,'TB FY-2021-22'!H3:H1332)</f>
        <v>54591945</v>
      </c>
      <c r="H53" s="885">
        <v>109</v>
      </c>
    </row>
    <row r="54" spans="1:9" ht="18" customHeight="1">
      <c r="A54" s="940" t="s">
        <v>7750</v>
      </c>
      <c r="B54" s="2662"/>
      <c r="C54" s="2669"/>
      <c r="D54" s="2587">
        <f>SUMIF('TB FY-2021-22'!$F$3:$F$1332,'OERC 09 ,10 &amp; 11'!H54,'TB FY-2021-22'!$G$3:$G$1332)</f>
        <v>8863227.25</v>
      </c>
      <c r="E54" s="2654">
        <f>SUMIF('TB FY-2021-22'!F4:F1333,'OERC 09 ,10 &amp; 11'!H54,'TB FY-2021-22'!H4:H1333)</f>
        <v>8863227.25</v>
      </c>
      <c r="H54" s="885" t="s">
        <v>7751</v>
      </c>
    </row>
    <row r="55" spans="1:9" ht="19.5" customHeight="1">
      <c r="A55" s="940" t="s">
        <v>1701</v>
      </c>
      <c r="B55" s="2662"/>
      <c r="C55" s="2669"/>
      <c r="D55" s="2587">
        <f>SUMIF('TB FY-2021-22'!$F$3:$F$1332,'OERC 09 ,10 &amp; 11'!H55,'TB FY-2021-22'!$G$3:$G$1332)</f>
        <v>2879663.1100000003</v>
      </c>
      <c r="E55" s="2654">
        <f>SUMIF('TB FY-2021-22'!F3:F1332,'OERC 09 ,10 &amp; 11'!H55,'TB FY-2021-22'!H3:H1332)</f>
        <v>2901110.1100000003</v>
      </c>
      <c r="F55" s="899"/>
      <c r="G55" s="899"/>
      <c r="H55" s="899">
        <v>110</v>
      </c>
      <c r="I55" s="899"/>
    </row>
    <row r="56" spans="1:9" ht="19.5" customHeight="1">
      <c r="A56" s="940" t="s">
        <v>5522</v>
      </c>
      <c r="B56" s="2662"/>
      <c r="C56" s="2669"/>
      <c r="D56" s="2587">
        <f>SUMIF('TB FY-2021-22'!$F$3:$F$1332,'OERC 09 ,10 &amp; 11'!H56,'TB FY-2021-22'!$G$3:$G$1332)</f>
        <v>24809137.810000006</v>
      </c>
      <c r="E56" s="2654">
        <f>SUMIF('TB FY-2021-22'!F3:F1332,'OERC 09 ,10 &amp; 11'!H56,'TB FY-2021-22'!H3:H1332)</f>
        <v>22089543.200000003</v>
      </c>
      <c r="F56" s="899"/>
      <c r="G56" s="899"/>
      <c r="H56" s="899">
        <v>111</v>
      </c>
      <c r="I56" s="899"/>
    </row>
    <row r="57" spans="1:9" ht="19.5" customHeight="1">
      <c r="A57" s="940" t="s">
        <v>1702</v>
      </c>
      <c r="B57" s="2662"/>
      <c r="C57" s="2669"/>
      <c r="D57" s="2587">
        <f>SUMIF('TB FY-2021-22'!$F$3:$F$1332,'OERC 09 ,10 &amp; 11'!H57,'TB FY-2021-22'!$G$3:$G$1332)</f>
        <v>460042268</v>
      </c>
      <c r="E57" s="2654">
        <f>SUMIF('TB FY-2021-22'!F3:F1332,'OERC 09 ,10 &amp; 11'!H57,'TB FY-2021-22'!H3:H1332)</f>
        <v>460042268</v>
      </c>
      <c r="F57" s="899"/>
      <c r="G57" s="966"/>
      <c r="H57" s="885">
        <v>112</v>
      </c>
    </row>
    <row r="58" spans="1:9" ht="19.5" customHeight="1">
      <c r="A58" s="940" t="s">
        <v>7978</v>
      </c>
      <c r="B58" s="2662"/>
      <c r="C58" s="2669"/>
      <c r="D58" s="2587">
        <f>SUMIF('TB FY-2021-22'!$F$3:$F$1332,'OERC 09 ,10 &amp; 11'!H58,'TB FY-2021-22'!$G$3:$G$1332)</f>
        <v>70000000</v>
      </c>
      <c r="E58" s="2654">
        <f>SUMIF('TB FY-2021-22'!F3:F1333,'OERC 09 ,10 &amp; 11'!H58,'TB FY-2021-22'!H3:H1333)</f>
        <v>0</v>
      </c>
      <c r="F58" s="899"/>
      <c r="G58" s="966"/>
      <c r="H58" s="885" t="s">
        <v>7295</v>
      </c>
    </row>
    <row r="59" spans="1:9" ht="19.5" customHeight="1">
      <c r="A59" s="940" t="s">
        <v>7296</v>
      </c>
      <c r="B59" s="2662"/>
      <c r="C59" s="2669"/>
      <c r="D59" s="2587">
        <f>SUMIF('TB FY-2021-22'!$F$3:$F$1332,'OERC 09 ,10 &amp; 11'!H59,'TB FY-2021-22'!$G$3:$G$1332)</f>
        <v>35492457</v>
      </c>
      <c r="E59" s="2654">
        <f>SUMIF('TB FY-2021-22'!F3:F1334,'OERC 09 ,10 &amp; 11'!H59,'TB FY-2021-22'!H3:H1334)</f>
        <v>0</v>
      </c>
      <c r="F59" s="899"/>
      <c r="G59" s="966"/>
      <c r="H59" s="885" t="s">
        <v>7297</v>
      </c>
    </row>
    <row r="60" spans="1:9" ht="19.5" customHeight="1">
      <c r="A60" s="940" t="s">
        <v>4016</v>
      </c>
      <c r="B60" s="2662"/>
      <c r="C60" s="2669"/>
      <c r="D60" s="2587">
        <f>SUMIF('TB FY-2021-22'!$F$3:$F$1332,'OERC 09 ,10 &amp; 11'!H60,'TB FY-2021-22'!$G$3:$G$1332)</f>
        <v>98705251.170000002</v>
      </c>
      <c r="E60" s="2654">
        <f>SUMIF('TB FY-2021-22'!F3:F1332,'OERC 09 ,10 &amp; 11'!H60,'TB FY-2021-22'!H3:H1332)</f>
        <v>59416305.780000001</v>
      </c>
      <c r="F60" s="899"/>
      <c r="G60" s="966"/>
      <c r="H60" s="885">
        <v>113</v>
      </c>
    </row>
    <row r="61" spans="1:9" ht="19.5" customHeight="1">
      <c r="A61" s="940" t="s">
        <v>7306</v>
      </c>
      <c r="B61" s="2662"/>
      <c r="C61" s="2669"/>
      <c r="D61" s="2587">
        <f>SUMIF('TB FY-2021-22'!$F$3:$F$1332,'OERC 09 ,10 &amp; 11'!H61,'TB FY-2021-22'!$G$3:$G$1332)</f>
        <v>11400731</v>
      </c>
      <c r="E61" s="2654">
        <f>SUMIF('TB FY-2021-22'!F4:F1333,'OERC 09 ,10 &amp; 11'!H61,'TB FY-2021-22'!H4:H1333)</f>
        <v>0</v>
      </c>
      <c r="F61" s="899"/>
      <c r="G61" s="966"/>
      <c r="H61" s="885" t="s">
        <v>7307</v>
      </c>
    </row>
    <row r="62" spans="1:9" ht="19.5" customHeight="1">
      <c r="A62" s="940" t="s">
        <v>4017</v>
      </c>
      <c r="B62" s="2662"/>
      <c r="C62" s="2669"/>
      <c r="D62" s="2587">
        <f>SUMIF('TB FY-2021-22'!$F$3:$F$1332,'OERC 09 ,10 &amp; 11'!H62,'TB FY-2021-22'!$G$3:$G$1332)</f>
        <v>41338907.399999999</v>
      </c>
      <c r="E62" s="2654">
        <f>SUMIF('TB FY-2021-22'!F3:F1332,'OERC 09 ,10 &amp; 11'!H62,'TB FY-2021-22'!H3:H1332)</f>
        <v>62239152.399999999</v>
      </c>
      <c r="F62" s="899"/>
      <c r="G62" s="966"/>
      <c r="H62" s="885">
        <v>114</v>
      </c>
    </row>
    <row r="63" spans="1:9" ht="2" customHeight="1">
      <c r="A63" s="940"/>
      <c r="B63" s="2662"/>
      <c r="C63" s="2669"/>
      <c r="D63" s="2664"/>
      <c r="E63" s="2654"/>
      <c r="F63" s="899"/>
      <c r="G63" s="966"/>
    </row>
    <row r="64" spans="1:9" ht="18" customHeight="1">
      <c r="A64" s="940" t="s">
        <v>7288</v>
      </c>
      <c r="B64" s="2662"/>
      <c r="C64" s="2669"/>
      <c r="D64" s="2587">
        <f>SUMIF('TB FY-2021-22'!$F$3:$F$1332,'OERC 09 ,10 &amp; 11'!H64,'TB FY-2021-22'!$G$3:$G$1332)</f>
        <v>149643619.87</v>
      </c>
      <c r="E64" s="2654">
        <f>SUMIF('TB FY-2021-22'!F3:F1332,'OERC 09 ,10 &amp; 11'!H64,'TB FY-2021-22'!H3:H1332)</f>
        <v>91900322.159999996</v>
      </c>
      <c r="F64" s="899"/>
      <c r="G64" s="904"/>
      <c r="H64" s="885">
        <v>115</v>
      </c>
    </row>
    <row r="65" spans="1:6" ht="9.75" customHeight="1">
      <c r="A65" s="940"/>
      <c r="B65" s="2662"/>
      <c r="C65" s="2669"/>
      <c r="D65" s="2664"/>
      <c r="E65" s="2654"/>
      <c r="F65" s="899"/>
    </row>
    <row r="66" spans="1:6" ht="18.5" thickBot="1">
      <c r="A66" s="940"/>
      <c r="B66" s="2662"/>
      <c r="C66" s="2669"/>
      <c r="D66" s="2722">
        <f>SUM(D36:D64)</f>
        <v>2299994784.1999998</v>
      </c>
      <c r="E66" s="2726">
        <f>SUM(E36:E64)</f>
        <v>1372261807.6900001</v>
      </c>
    </row>
    <row r="67" spans="1:6" ht="14.5" thickTop="1" thickBot="1">
      <c r="A67" s="2657"/>
      <c r="B67" s="2672"/>
      <c r="C67" s="2659"/>
      <c r="D67" s="2724"/>
      <c r="E67" s="2661"/>
    </row>
    <row r="69" spans="1:6">
      <c r="D69" s="2714"/>
    </row>
    <row r="73" spans="1:6">
      <c r="F73" s="899"/>
    </row>
    <row r="74" spans="1:6">
      <c r="F74" s="899"/>
    </row>
  </sheetData>
  <mergeCells count="6">
    <mergeCell ref="A33:B34"/>
    <mergeCell ref="A1:E1"/>
    <mergeCell ref="A2:E2"/>
    <mergeCell ref="A3:E3"/>
    <mergeCell ref="A5:B6"/>
    <mergeCell ref="A15:B16"/>
  </mergeCells>
  <printOptions horizontalCentered="1"/>
  <pageMargins left="0.49" right="0.42" top="0.61" bottom="0.74803149606299213" header="0.31496062992125984" footer="0.31496062992125984"/>
  <pageSetup paperSize="9" scale="6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0E3FB-1B77-4C30-A634-4220F46B8208}">
  <sheetPr>
    <pageSetUpPr fitToPage="1"/>
  </sheetPr>
  <dimension ref="A1:H83"/>
  <sheetViews>
    <sheetView topLeftCell="A59" zoomScale="70" zoomScaleNormal="70" workbookViewId="0">
      <selection activeCell="F35" sqref="F35"/>
    </sheetView>
  </sheetViews>
  <sheetFormatPr defaultColWidth="9.1796875" defaultRowHeight="12.5"/>
  <cols>
    <col min="1" max="1" width="61.54296875" style="885" customWidth="1"/>
    <col min="2" max="2" width="23.7265625" style="2623" customWidth="1"/>
    <col min="3" max="3" width="20.7265625" style="2623" customWidth="1"/>
    <col min="4" max="4" width="20" style="2623" customWidth="1"/>
    <col min="5" max="5" width="20.26953125" style="2623" customWidth="1"/>
    <col min="6" max="6" width="16.54296875" style="885" bestFit="1" customWidth="1"/>
    <col min="7" max="7" width="13" style="885" customWidth="1"/>
    <col min="8" max="8" width="5.90625" style="885" customWidth="1"/>
    <col min="9" max="16384" width="9.1796875" style="885"/>
  </cols>
  <sheetData>
    <row r="1" spans="1:8" ht="20">
      <c r="A1" s="3235" t="s">
        <v>7155</v>
      </c>
      <c r="B1" s="3236"/>
      <c r="C1" s="3236"/>
      <c r="D1" s="3236"/>
      <c r="E1" s="3237"/>
    </row>
    <row r="2" spans="1:8" ht="8.25" customHeight="1">
      <c r="A2" s="3238"/>
      <c r="B2" s="3239"/>
      <c r="C2" s="3239"/>
      <c r="D2" s="3239"/>
      <c r="E2" s="3240"/>
    </row>
    <row r="3" spans="1:8" s="2727" customFormat="1" ht="26" customHeight="1" thickBot="1">
      <c r="A3" s="3265" t="s">
        <v>1668</v>
      </c>
      <c r="B3" s="3266"/>
      <c r="C3" s="3266"/>
      <c r="D3" s="3266"/>
      <c r="E3" s="3267"/>
    </row>
    <row r="4" spans="1:8" ht="18">
      <c r="A4" s="2728"/>
      <c r="B4" s="2729"/>
      <c r="C4" s="2729"/>
      <c r="D4" s="2729"/>
      <c r="E4" s="2730"/>
    </row>
    <row r="5" spans="1:8" ht="13" thickBot="1">
      <c r="A5" s="978"/>
      <c r="B5" s="2647"/>
      <c r="C5" s="2647"/>
      <c r="D5" s="2647"/>
      <c r="E5" s="2609"/>
    </row>
    <row r="6" spans="1:8" ht="27" customHeight="1">
      <c r="A6" s="3225" t="s">
        <v>3616</v>
      </c>
      <c r="B6" s="3226"/>
      <c r="C6" s="2600"/>
      <c r="D6" s="2731" t="s">
        <v>7932</v>
      </c>
      <c r="E6" s="2732" t="s">
        <v>5468</v>
      </c>
    </row>
    <row r="7" spans="1:8" ht="13.5" thickBot="1">
      <c r="A7" s="3227"/>
      <c r="B7" s="3228"/>
      <c r="C7" s="2603" t="s">
        <v>1645</v>
      </c>
      <c r="D7" s="2602" t="s">
        <v>1645</v>
      </c>
      <c r="E7" s="2629" t="s">
        <v>1645</v>
      </c>
    </row>
    <row r="8" spans="1:8" ht="19.5" customHeight="1" thickTop="1">
      <c r="A8" s="982" t="s">
        <v>1703</v>
      </c>
      <c r="B8" s="2733"/>
      <c r="C8" s="2631"/>
      <c r="D8" s="2632"/>
      <c r="E8" s="2632"/>
    </row>
    <row r="9" spans="1:8" ht="18.75" customHeight="1">
      <c r="A9" s="940" t="s">
        <v>1704</v>
      </c>
      <c r="B9" s="2733"/>
      <c r="C9" s="2631"/>
      <c r="D9" s="2632"/>
      <c r="E9" s="2632"/>
    </row>
    <row r="10" spans="1:8" ht="17.25" customHeight="1">
      <c r="A10" s="940" t="s">
        <v>1705</v>
      </c>
      <c r="B10" s="2733"/>
      <c r="C10" s="2588">
        <f>-SUMIF('TB FY-2021-22'!$F$3:$F$1332,'OERC 12 &amp; 13'!H10,'TB FY-2021-22'!$G$3:$G$1332)</f>
        <v>934881452.58000004</v>
      </c>
      <c r="D10" s="2587"/>
      <c r="E10" s="2654">
        <f>-SUMIF('TB FY-2021-22'!$F$3:$F$1332,'OERC 12 &amp; 13'!H10,'TB FY-2021-22'!$H$3:$H$1332)</f>
        <v>3519317583.3899999</v>
      </c>
      <c r="F10" s="899"/>
      <c r="H10" s="885">
        <v>135</v>
      </c>
    </row>
    <row r="11" spans="1:8" ht="17.25" customHeight="1">
      <c r="A11" s="940" t="s">
        <v>3593</v>
      </c>
      <c r="B11" s="2733"/>
      <c r="C11" s="2588"/>
      <c r="D11" s="2587"/>
      <c r="E11" s="2606"/>
      <c r="F11" s="899"/>
    </row>
    <row r="12" spans="1:8" ht="21" hidden="1" customHeight="1">
      <c r="A12" s="977" t="s">
        <v>4018</v>
      </c>
      <c r="B12" s="2733"/>
      <c r="C12" s="2588">
        <v>0</v>
      </c>
      <c r="D12" s="2587"/>
      <c r="E12" s="2606">
        <v>0</v>
      </c>
      <c r="F12" s="899"/>
    </row>
    <row r="13" spans="1:8" ht="17.25" customHeight="1">
      <c r="A13" s="977" t="s">
        <v>4019</v>
      </c>
      <c r="B13" s="2734"/>
      <c r="C13" s="2607">
        <f>-SUMIF('TB FY-2021-22'!$F$3:$F$1375,'OERC 12 &amp; 13'!H13,'TB FY-2021-22'!$G$3:$G$1375)</f>
        <v>1190734574.5099998</v>
      </c>
      <c r="D13" s="2587"/>
      <c r="E13" s="2671">
        <f>-SUMIF('TB FY-2021-22'!$F$3:$F$1375,'OERC 12 &amp; 13'!H13,'TB FY-2021-22'!$H$3:$H$1375)</f>
        <v>174880157.62319863</v>
      </c>
      <c r="G13" s="899"/>
      <c r="H13" s="885">
        <v>136</v>
      </c>
    </row>
    <row r="14" spans="1:8" ht="15" customHeight="1">
      <c r="A14" s="940"/>
      <c r="B14" s="2734"/>
      <c r="C14" s="2588"/>
      <c r="D14" s="2587">
        <f>C10+C13</f>
        <v>2125616027.0899997</v>
      </c>
      <c r="E14" s="2606">
        <f>E10+E13</f>
        <v>3694197741.0131984</v>
      </c>
      <c r="F14" s="899"/>
    </row>
    <row r="15" spans="1:8" ht="10.5" customHeight="1">
      <c r="A15" s="940"/>
      <c r="B15" s="2733"/>
      <c r="C15" s="2588"/>
      <c r="D15" s="2587"/>
      <c r="E15" s="2606"/>
      <c r="F15" s="899"/>
    </row>
    <row r="16" spans="1:8" ht="13.5" customHeight="1">
      <c r="A16" s="940" t="s">
        <v>1706</v>
      </c>
      <c r="B16" s="2733"/>
      <c r="C16" s="2588"/>
      <c r="D16" s="2587"/>
      <c r="E16" s="2606"/>
      <c r="F16" s="899"/>
    </row>
    <row r="17" spans="1:8" ht="18" customHeight="1">
      <c r="A17" s="940" t="s">
        <v>1707</v>
      </c>
      <c r="B17" s="2733"/>
      <c r="C17" s="2588"/>
      <c r="D17" s="2587"/>
      <c r="E17" s="2606"/>
    </row>
    <row r="18" spans="1:8" ht="18" customHeight="1">
      <c r="A18" s="940" t="s">
        <v>7979</v>
      </c>
      <c r="B18" s="2733"/>
      <c r="C18" s="2588">
        <f>-SUMIF('TB FY-2021-22'!$F$3:$F$1332,'OERC 12 &amp; 13'!H18,'TB FY-2021-22'!$G$3:$G$1332)</f>
        <v>65364499.150000006</v>
      </c>
      <c r="D18" s="2587"/>
      <c r="E18" s="2654">
        <f>-SUMIF('TB FY-2021-22'!$F$3:$F$1332,'OERC 12 &amp; 13'!H18,'TB FY-2021-22'!$H$3:$H$1332)</f>
        <v>65159543.540000007</v>
      </c>
      <c r="F18" s="899"/>
      <c r="H18" s="885">
        <v>137</v>
      </c>
    </row>
    <row r="19" spans="1:8" ht="18" customHeight="1">
      <c r="A19" s="940" t="s">
        <v>7980</v>
      </c>
      <c r="B19" s="2733"/>
      <c r="C19" s="2607">
        <f>-SUMIF('TB FY-2021-22'!$F$3:$F$1332,'OERC 12 &amp; 13'!H19,'TB FY-2021-22'!$G$3:$G$1332)</f>
        <v>366682629.03000003</v>
      </c>
      <c r="D19" s="2587"/>
      <c r="E19" s="2671">
        <f>-SUMIF('TB FY-2021-22'!$F$3:$F$1332,'OERC 12 &amp; 13'!H19,'TB FY-2021-22'!$H$3:$H$1332)</f>
        <v>210129805.55000001</v>
      </c>
      <c r="F19" s="899"/>
      <c r="H19" s="885">
        <v>138</v>
      </c>
    </row>
    <row r="20" spans="1:8" ht="15" customHeight="1">
      <c r="A20" s="940"/>
      <c r="B20" s="2733"/>
      <c r="C20" s="2588"/>
      <c r="D20" s="2587">
        <f>C18+C19</f>
        <v>432047128.18000007</v>
      </c>
      <c r="E20" s="2606">
        <f>E18+E19</f>
        <v>275289349.09000003</v>
      </c>
    </row>
    <row r="21" spans="1:8" ht="9.75" customHeight="1">
      <c r="A21" s="940"/>
      <c r="B21" s="2733"/>
      <c r="C21" s="2588"/>
      <c r="D21" s="2587"/>
      <c r="E21" s="2606"/>
    </row>
    <row r="22" spans="1:8" ht="15" customHeight="1">
      <c r="A22" s="940" t="s">
        <v>7981</v>
      </c>
      <c r="B22" s="2733"/>
      <c r="C22" s="2588"/>
      <c r="D22" s="2587"/>
      <c r="E22" s="2606"/>
    </row>
    <row r="23" spans="1:8" ht="19.5" customHeight="1">
      <c r="A23" s="940" t="s">
        <v>7979</v>
      </c>
      <c r="B23" s="2733"/>
      <c r="C23" s="2588">
        <f>-SUMIF('TB FY-2021-22'!$F$3:$F$1332,'OERC 12 &amp; 13'!H23,'TB FY-2021-22'!$G$3:$G$1332)</f>
        <v>1237349031.8500001</v>
      </c>
      <c r="D23" s="2587"/>
      <c r="E23" s="2654">
        <f>-SUMIF('TB FY-2021-22'!$F$3:$F$1332,'OERC 12 &amp; 13'!H23,'TB FY-2021-22'!$H$3:$H$1332)</f>
        <v>661580865.85000014</v>
      </c>
      <c r="F23" s="899"/>
      <c r="G23" s="899"/>
      <c r="H23" s="885">
        <v>139</v>
      </c>
    </row>
    <row r="24" spans="1:8" ht="15" hidden="1" customHeight="1">
      <c r="A24" s="940" t="s">
        <v>5475</v>
      </c>
      <c r="B24" s="2733"/>
      <c r="C24" s="2588"/>
      <c r="D24" s="2587"/>
      <c r="E24" s="2654">
        <f>-SUMIF('TB FY-2021-22'!$F$3:$F$1332,'OERC 12 &amp; 13'!H24,'TB FY-2021-22'!$H$3:$H$1332)</f>
        <v>0</v>
      </c>
      <c r="F24" s="899"/>
      <c r="H24" s="885">
        <v>140</v>
      </c>
    </row>
    <row r="25" spans="1:8" ht="17" customHeight="1">
      <c r="A25" s="940" t="s">
        <v>7980</v>
      </c>
      <c r="B25" s="2733"/>
      <c r="C25" s="2607">
        <f>-SUMIF('TB FY-2021-22'!$F$3:$F$1332,'OERC 12 &amp; 13'!H25,'TB FY-2021-22'!$G$3:$G$1332)</f>
        <v>1011035018.3700001</v>
      </c>
      <c r="D25" s="2587"/>
      <c r="E25" s="2671">
        <f>-SUMIF('TB FY-2021-22'!$F$3:$F$1332,'OERC 12 &amp; 13'!H25,'TB FY-2021-22'!$H$3:$H$1332)</f>
        <v>898651925.3599999</v>
      </c>
      <c r="F25" s="899"/>
      <c r="H25" s="885">
        <v>141</v>
      </c>
    </row>
    <row r="26" spans="1:8" ht="15" customHeight="1">
      <c r="A26" s="940"/>
      <c r="B26" s="2733"/>
      <c r="C26" s="2588"/>
      <c r="D26" s="2587">
        <f>+C23+C24+C25</f>
        <v>2248384050.2200003</v>
      </c>
      <c r="E26" s="2606">
        <f>+E23+E25</f>
        <v>1560232791.21</v>
      </c>
    </row>
    <row r="27" spans="1:8" ht="20.25" customHeight="1">
      <c r="A27" s="940" t="s">
        <v>1708</v>
      </c>
      <c r="B27" s="2733"/>
      <c r="C27" s="2588"/>
      <c r="D27" s="2587">
        <f>-SUMIF('TB FY-2021-22'!$F$3:$F$1332,'OERC 12 &amp; 13'!H27,'TB FY-2021-22'!$G$3:$G$1332)</f>
        <v>1010573856.37</v>
      </c>
      <c r="E27" s="2654">
        <f>-SUMIF('TB FY-2021-22'!$F$3:$F$1332,'OERC 12 &amp; 13'!H27,'TB FY-2021-22'!$H$3:$H$1332)</f>
        <v>336718059.08999997</v>
      </c>
      <c r="F27" s="899"/>
      <c r="H27" s="885">
        <v>142</v>
      </c>
    </row>
    <row r="28" spans="1:8" ht="20.25" hidden="1" customHeight="1">
      <c r="A28" s="940" t="s">
        <v>1709</v>
      </c>
      <c r="B28" s="2733"/>
      <c r="C28" s="2588"/>
      <c r="D28" s="2587"/>
      <c r="E28" s="2654"/>
      <c r="F28" s="899"/>
      <c r="H28" s="885">
        <v>143</v>
      </c>
    </row>
    <row r="29" spans="1:8" ht="20.25" customHeight="1">
      <c r="A29" s="940" t="s">
        <v>3602</v>
      </c>
      <c r="B29" s="2733"/>
      <c r="C29" s="2588"/>
      <c r="D29" s="2587">
        <f>-SUMIF('TB FY-2021-22'!$F$3:$F$1332,'OERC 12 &amp; 13'!H29,'TB FY-2021-22'!$G$3:$G$1332)*0</f>
        <v>0</v>
      </c>
      <c r="E29" s="2654">
        <f>-SUMIF('TB FY-2021-22'!$F$3:$F$1332,'OERC 12 &amp; 13'!H29,'TB FY-2021-22'!$H$3:$H$1332)</f>
        <v>10151487</v>
      </c>
      <c r="F29" s="899"/>
      <c r="G29" s="899"/>
      <c r="H29" s="885">
        <v>144</v>
      </c>
    </row>
    <row r="30" spans="1:8" ht="20.25" hidden="1" customHeight="1">
      <c r="A30" s="940" t="s">
        <v>5316</v>
      </c>
      <c r="B30" s="2733"/>
      <c r="C30" s="2588"/>
      <c r="D30" s="2587">
        <f>-SUMIF('TB FY-2021-22'!$F$3:$F$1332,'OERC 12 &amp; 13'!H30,'TB FY-2021-22'!$G$3:$G$1332)</f>
        <v>0</v>
      </c>
      <c r="E30" s="2654">
        <f>-SUMIF('TB FY-2021-22'!$F$3:$F$1332,'OERC 12 &amp; 13'!H30,'TB FY-2021-22'!$H$3:$H$1332)</f>
        <v>0</v>
      </c>
      <c r="H30" s="885">
        <v>145</v>
      </c>
    </row>
    <row r="31" spans="1:8" ht="20.25" customHeight="1">
      <c r="A31" s="940" t="s">
        <v>7982</v>
      </c>
      <c r="B31" s="2733"/>
      <c r="C31" s="2588"/>
      <c r="D31" s="2587">
        <f>-SUMIF('TB FY-2021-22'!$F$3:$F$1332,'OERC 12 &amp; 13'!H31,'TB FY-2021-22'!$G$3:$G$1332)</f>
        <v>253969545.91</v>
      </c>
      <c r="E31" s="2654">
        <f>-SUMIF('TB FY-2021-22'!$F$3:$F$1332,'OERC 12 &amp; 13'!H31,'TB FY-2021-22'!$H$3:$H$1332)</f>
        <v>0</v>
      </c>
      <c r="H31" s="885" t="s">
        <v>7755</v>
      </c>
    </row>
    <row r="32" spans="1:8" ht="20.25" customHeight="1">
      <c r="A32" s="940" t="s">
        <v>7983</v>
      </c>
      <c r="B32" s="2733"/>
      <c r="C32" s="2588"/>
      <c r="D32" s="2587">
        <f>-SUMIF('TB FY-2021-22'!$F$3:$F$1332,'OERC 12 &amp; 13'!H32,'TB FY-2021-22'!$G$3:$G$1332)</f>
        <v>0</v>
      </c>
      <c r="E32" s="2654">
        <f>-SUMIF('TB FY-2021-22'!$F$3:$F$1332,'OERC 12 &amp; 13'!H32,'TB FY-2021-22'!$H$3:$H$1332)</f>
        <v>164560959.57000002</v>
      </c>
      <c r="F32" s="899"/>
      <c r="H32" s="885">
        <v>146</v>
      </c>
    </row>
    <row r="33" spans="1:8" ht="20.25" customHeight="1">
      <c r="A33" s="940" t="s">
        <v>7984</v>
      </c>
      <c r="B33" s="2733"/>
      <c r="C33" s="2588"/>
      <c r="D33" s="2587">
        <f>-SUMIF('TB FY-2021-22'!$F$3:$F$1332,'OERC 12 &amp; 13'!H33,'TB FY-2021-22'!$G$3:$G$1332)</f>
        <v>127834345.42</v>
      </c>
      <c r="E33" s="2654">
        <f>-SUMIF('TB FY-2021-22'!$F$3:$F$1332,'OERC 12 &amp; 13'!H33,'TB FY-2021-22'!$H$3:$H$1332)</f>
        <v>214369954.72</v>
      </c>
      <c r="F33" s="899"/>
      <c r="H33" s="885" t="s">
        <v>7603</v>
      </c>
    </row>
    <row r="34" spans="1:8" ht="20.25" customHeight="1">
      <c r="A34" s="940" t="s">
        <v>5103</v>
      </c>
      <c r="B34" s="2733"/>
      <c r="C34" s="2588"/>
      <c r="D34" s="2587">
        <f>-SUMIF('TB FY-2021-22'!$F$3:$F$1332,'OERC 12 &amp; 13'!H34,'TB FY-2021-22'!$G$3:$G$1332)</f>
        <v>0</v>
      </c>
      <c r="E34" s="2654">
        <f>-SUMIF('TB FY-2021-22'!$F$3:$F$1332,'OERC 12 &amp; 13'!H34,'TB FY-2021-22'!$H$3:$H$1332)</f>
        <v>1041900</v>
      </c>
      <c r="F34" s="899"/>
      <c r="H34" s="885">
        <v>147</v>
      </c>
    </row>
    <row r="35" spans="1:8" ht="20.25" customHeight="1">
      <c r="A35" s="940" t="s">
        <v>1710</v>
      </c>
      <c r="B35" s="2733"/>
      <c r="C35" s="2588"/>
      <c r="D35" s="2587">
        <f>-SUMIF('TB FY-2021-22'!$F$3:$F$1332,'OERC 12 &amp; 13'!H35,'TB FY-2021-22'!$G$3:$G$1332)</f>
        <v>6364513.5099999905</v>
      </c>
      <c r="E35" s="2654">
        <f>-SUMIF('TB FY-2021-22'!$F$3:$F$1332,'OERC 12 &amp; 13'!H35,'TB FY-2021-22'!$H$3:$H$1332)</f>
        <v>64807010.00999999</v>
      </c>
      <c r="F35" s="899"/>
      <c r="H35" s="885">
        <v>148</v>
      </c>
    </row>
    <row r="36" spans="1:8" ht="3.75" customHeight="1">
      <c r="A36" s="940"/>
      <c r="B36" s="2733"/>
      <c r="C36" s="2588"/>
      <c r="D36" s="2587"/>
      <c r="E36" s="2606"/>
      <c r="F36" s="899"/>
    </row>
    <row r="37" spans="1:8" ht="20.25" customHeight="1">
      <c r="A37" s="2735" t="s">
        <v>1711</v>
      </c>
      <c r="B37" s="2733"/>
      <c r="C37" s="2588"/>
      <c r="D37" s="2736">
        <f>-SUMIF('TB FY-2021-22'!$F$3:$F$1332,'OERC 12 &amp; 13'!H37,'TB FY-2021-22'!$G$3:$G$1332)-143262</f>
        <v>2795230801.3499999</v>
      </c>
      <c r="E37" s="2671">
        <f>-SUMIF('TB FY-2021-22'!$F$3:$F$1371,'OERC 12 &amp; 13'!H37,'TB FY-2021-22'!$H$3:$H$1371)</f>
        <v>421063260.62680173</v>
      </c>
      <c r="F37" s="899"/>
      <c r="H37" s="885">
        <v>149</v>
      </c>
    </row>
    <row r="38" spans="1:8" ht="18">
      <c r="A38" s="940"/>
      <c r="B38" s="2733"/>
      <c r="C38" s="2588"/>
      <c r="D38" s="2587">
        <f>D14+D20+D26+D27+D30+D28+D29+D32+D35+D37+D34+D31+D33</f>
        <v>9000020268.0499992</v>
      </c>
      <c r="E38" s="2606">
        <f>E14+E20+E26+E27+E30+E28+E29+E31+E33+E32+E34+E35+E37</f>
        <v>6742432512.3299999</v>
      </c>
    </row>
    <row r="39" spans="1:8" ht="11.25" customHeight="1">
      <c r="A39" s="940"/>
      <c r="B39" s="2733"/>
      <c r="C39" s="2588"/>
      <c r="D39" s="2587"/>
      <c r="E39" s="2606"/>
    </row>
    <row r="40" spans="1:8" ht="18">
      <c r="A40" s="982" t="s">
        <v>1712</v>
      </c>
      <c r="B40" s="2733"/>
      <c r="C40" s="2588"/>
      <c r="D40" s="2587"/>
      <c r="E40" s="2606"/>
    </row>
    <row r="41" spans="1:8" ht="10.5" customHeight="1">
      <c r="A41" s="982"/>
      <c r="B41" s="2733"/>
      <c r="C41" s="2588"/>
      <c r="D41" s="2587"/>
      <c r="E41" s="2606"/>
    </row>
    <row r="42" spans="1:8" ht="18">
      <c r="A42" s="940" t="s">
        <v>3594</v>
      </c>
      <c r="B42" s="2733"/>
      <c r="C42" s="2737"/>
      <c r="D42" s="2609"/>
      <c r="E42" s="2738"/>
    </row>
    <row r="43" spans="1:8" ht="18">
      <c r="A43" s="940" t="s">
        <v>7985</v>
      </c>
      <c r="B43" s="2733"/>
      <c r="C43" s="2588">
        <f>-SUMIF('TB FY-2021-22'!$F$3:$F$1332,'OERC 12 &amp; 13'!H43,'TB FY-2021-22'!$G$3:$G$1332)</f>
        <v>428634776.95999998</v>
      </c>
      <c r="D43" s="2587"/>
      <c r="E43" s="2654">
        <f>-SUMIF('TB FY-2021-22'!$F$3:$F$1332,'OERC 12 &amp; 13'!H43,'TB FY-2021-22'!$H$3:$H$1332)</f>
        <v>214225083.37</v>
      </c>
      <c r="G43" s="904"/>
      <c r="H43" s="899">
        <v>150</v>
      </c>
    </row>
    <row r="44" spans="1:8" ht="18">
      <c r="A44" s="940" t="s">
        <v>3595</v>
      </c>
      <c r="B44" s="2733"/>
      <c r="C44" s="2607">
        <f>-SUMIF('TB FY-2021-22'!$F$3:$F$1332,'OERC 12 &amp; 13'!H44,'TB FY-2021-22'!$G$3:$G$1332)</f>
        <v>233535677</v>
      </c>
      <c r="D44" s="2587"/>
      <c r="E44" s="2671">
        <f>-SUMIF('TB FY-2021-22'!$F$3:$F$1332,'OERC 12 &amp; 13'!H44,'TB FY-2021-22'!$H$3:$H$1332)</f>
        <v>16600429.219999999</v>
      </c>
      <c r="H44" s="885">
        <v>151</v>
      </c>
    </row>
    <row r="45" spans="1:8" ht="18" hidden="1">
      <c r="A45" s="940"/>
      <c r="B45" s="2733"/>
      <c r="C45" s="2588"/>
      <c r="D45" s="2587"/>
      <c r="E45" s="2606"/>
    </row>
    <row r="46" spans="1:8" ht="18" hidden="1">
      <c r="A46" s="940"/>
      <c r="B46" s="2733"/>
      <c r="C46" s="2607"/>
      <c r="D46" s="2587"/>
      <c r="E46" s="2671"/>
    </row>
    <row r="47" spans="1:8" ht="18">
      <c r="A47" s="978"/>
      <c r="B47" s="2733"/>
      <c r="C47" s="2588"/>
      <c r="D47" s="2587">
        <f>C43+C44</f>
        <v>662170453.96000004</v>
      </c>
      <c r="E47" s="2606">
        <f>E43+E44</f>
        <v>230825512.59</v>
      </c>
    </row>
    <row r="48" spans="1:8" ht="9.75" customHeight="1">
      <c r="A48" s="982"/>
      <c r="B48" s="2733"/>
      <c r="C48" s="2588"/>
      <c r="D48" s="2587"/>
      <c r="E48" s="2606"/>
    </row>
    <row r="49" spans="1:8" ht="18">
      <c r="A49" s="940" t="s">
        <v>7758</v>
      </c>
      <c r="B49" s="2733"/>
      <c r="C49" s="2588"/>
      <c r="D49" s="2664">
        <f>-SUMIF('TB FY-2021-22'!$F$3:$F$1332,'OERC 12 &amp; 13'!H49,'TB FY-2021-22'!$G$3:$G$1332)</f>
        <v>97710054</v>
      </c>
      <c r="E49" s="2654">
        <f>-SUMIF('TB FY-2021-22'!$F$3:$F$1332,'OERC 12 &amp; 13'!H49,'TB FY-2021-22'!$H$3:$H$1332)</f>
        <v>0</v>
      </c>
      <c r="F49" s="899"/>
      <c r="G49" s="966"/>
      <c r="H49" s="885">
        <v>152</v>
      </c>
    </row>
    <row r="50" spans="1:8" ht="18">
      <c r="A50" s="940"/>
      <c r="B50" s="2733"/>
      <c r="C50" s="2588"/>
      <c r="D50" s="2587"/>
      <c r="E50" s="2654"/>
      <c r="F50" s="899"/>
      <c r="G50" s="966"/>
    </row>
    <row r="51" spans="1:8" ht="5.25" customHeight="1">
      <c r="A51" s="940"/>
      <c r="B51" s="2733"/>
      <c r="C51" s="2588"/>
      <c r="D51" s="2587"/>
      <c r="E51" s="2606"/>
    </row>
    <row r="52" spans="1:8" ht="18.5" thickBot="1">
      <c r="A52" s="940"/>
      <c r="B52" s="2733"/>
      <c r="C52" s="2588"/>
      <c r="D52" s="2635">
        <f>D38+D47+D49</f>
        <v>9759900776.0099983</v>
      </c>
      <c r="E52" s="2656">
        <f>E38+E47+E49</f>
        <v>6973258024.9200001</v>
      </c>
      <c r="F52" s="899"/>
    </row>
    <row r="53" spans="1:8" ht="17" thickTop="1">
      <c r="A53" s="2655"/>
      <c r="B53" s="2663"/>
      <c r="C53" s="2605"/>
      <c r="D53" s="2606"/>
      <c r="E53" s="2606"/>
      <c r="G53" s="899"/>
    </row>
    <row r="54" spans="1:8" ht="14" thickBot="1">
      <c r="A54" s="2657"/>
      <c r="B54" s="2724"/>
      <c r="C54" s="2659"/>
      <c r="D54" s="2660"/>
      <c r="E54" s="2660"/>
    </row>
    <row r="55" spans="1:8">
      <c r="A55" s="978"/>
      <c r="B55" s="2647"/>
      <c r="C55" s="2647"/>
      <c r="D55" s="2647"/>
      <c r="E55" s="2609"/>
      <c r="G55" s="899"/>
      <c r="H55" s="899"/>
    </row>
    <row r="56" spans="1:8">
      <c r="A56" s="978"/>
      <c r="B56" s="2647"/>
      <c r="C56" s="2647"/>
      <c r="D56" s="2647"/>
      <c r="E56" s="2609"/>
    </row>
    <row r="57" spans="1:8">
      <c r="A57" s="978"/>
      <c r="B57" s="2647"/>
      <c r="C57" s="2647"/>
      <c r="D57" s="2647"/>
      <c r="E57" s="2609"/>
    </row>
    <row r="58" spans="1:8" ht="13" thickBot="1">
      <c r="A58" s="978"/>
      <c r="B58" s="2647"/>
      <c r="C58" s="2647"/>
      <c r="D58" s="2647"/>
      <c r="E58" s="2609"/>
    </row>
    <row r="59" spans="1:8" ht="15" customHeight="1" thickBot="1">
      <c r="A59" s="3268" t="s">
        <v>3617</v>
      </c>
      <c r="B59" s="3270" t="s">
        <v>7938</v>
      </c>
      <c r="C59" s="3271"/>
      <c r="D59" s="3272" t="s">
        <v>5470</v>
      </c>
      <c r="E59" s="3273"/>
    </row>
    <row r="60" spans="1:8" ht="16.5" customHeight="1" thickBot="1">
      <c r="A60" s="3269"/>
      <c r="B60" s="2739" t="s">
        <v>1713</v>
      </c>
      <c r="C60" s="2740" t="s">
        <v>1645</v>
      </c>
      <c r="D60" s="2741" t="s">
        <v>1714</v>
      </c>
      <c r="E60" s="2742" t="s">
        <v>1645</v>
      </c>
    </row>
    <row r="61" spans="1:8" ht="9" customHeight="1" thickTop="1">
      <c r="A61" s="2655"/>
      <c r="B61" s="2652"/>
      <c r="C61" s="2631"/>
      <c r="D61" s="2652"/>
      <c r="E61" s="2652"/>
    </row>
    <row r="62" spans="1:8" ht="12" customHeight="1">
      <c r="A62" s="2655"/>
      <c r="B62" s="2652"/>
      <c r="C62" s="2631"/>
      <c r="D62" s="2652"/>
      <c r="E62" s="2652"/>
    </row>
    <row r="63" spans="1:8" ht="21" customHeight="1">
      <c r="A63" s="940" t="s">
        <v>666</v>
      </c>
      <c r="B63" s="2743"/>
      <c r="C63" s="2588">
        <f>-SUMIF('TB FY-2021-22'!$F$3:$F$1332,'OERC 12 &amp; 13'!H63,'TB FY-2021-22'!$G$3:$G$1332)</f>
        <v>6056287326.7299995</v>
      </c>
      <c r="D63" s="2744"/>
      <c r="E63" s="2654">
        <f>-SUMIF('TB FY-2021-22'!F3:F1332,'OERC 12 &amp; 13'!H63,'TB FY-2021-22'!H3:H1332)-E78</f>
        <v>1196528868.6700001</v>
      </c>
      <c r="H63" s="2573">
        <v>1</v>
      </c>
    </row>
    <row r="64" spans="1:8" ht="21" customHeight="1">
      <c r="A64" s="940" t="s">
        <v>1335</v>
      </c>
      <c r="B64" s="2743"/>
      <c r="C64" s="2588">
        <f>-SUMIF('TB FY-2021-22'!$F$3:$F$1332,'OERC 12 &amp; 13'!H64,'TB FY-2021-22'!$G$3:$G$1332)</f>
        <v>2337500239.8800001</v>
      </c>
      <c r="D64" s="2744"/>
      <c r="E64" s="2654">
        <f>-SUMIF('TB FY-2021-22'!F3:F1332,'OERC 12 &amp; 13'!H64,'TB FY-2021-22'!H3:H1332)</f>
        <v>326803697.69999999</v>
      </c>
      <c r="H64" s="2573">
        <v>2</v>
      </c>
    </row>
    <row r="65" spans="1:8" ht="21" customHeight="1">
      <c r="A65" s="940" t="s">
        <v>321</v>
      </c>
      <c r="B65" s="2743"/>
      <c r="C65" s="2588">
        <f>-SUMIF('TB FY-2021-22'!$F$3:$F$1332,'OERC 12 &amp; 13'!H65,'TB FY-2021-22'!$G$3:$G$1332)</f>
        <v>90677177.729999989</v>
      </c>
      <c r="D65" s="2744"/>
      <c r="E65" s="2654">
        <f>-SUMIF('TB FY-2021-22'!F3:F1332,'OERC 12 &amp; 13'!H65,'TB FY-2021-22'!H3:H1332)</f>
        <v>14357020.5</v>
      </c>
      <c r="H65" s="2573">
        <v>3</v>
      </c>
    </row>
    <row r="66" spans="1:8" ht="21" customHeight="1">
      <c r="A66" s="940" t="s">
        <v>1201</v>
      </c>
      <c r="B66" s="2743"/>
      <c r="C66" s="2588">
        <f>-SUMIF('TB FY-2021-22'!$F$3:$F$1332,'OERC 12 &amp; 13'!H66,'TB FY-2021-22'!$G$3:$G$1332)</f>
        <v>610327465.50999999</v>
      </c>
      <c r="D66" s="2744"/>
      <c r="E66" s="2654">
        <f>-SUMIF('TB FY-2021-22'!F3:F1332,'OERC 12 &amp; 13'!H66,'TB FY-2021-22'!H3:H1332)</f>
        <v>107626658.07000001</v>
      </c>
      <c r="H66" s="2573">
        <v>4</v>
      </c>
    </row>
    <row r="67" spans="1:8" ht="21" customHeight="1">
      <c r="A67" s="940" t="s">
        <v>1202</v>
      </c>
      <c r="B67" s="2743"/>
      <c r="C67" s="2588">
        <f>-SUMIF('TB FY-2021-22'!$F$3:$F$1332,'OERC 12 &amp; 13'!H67,'TB FY-2021-22'!$G$3:$G$1332)</f>
        <v>2094369296.23</v>
      </c>
      <c r="D67" s="2744"/>
      <c r="E67" s="2654">
        <f>-SUMIF('TB FY-2021-22'!F3:F1332,'OERC 12 &amp; 13'!H67,'TB FY-2021-22'!H3:H1332)</f>
        <v>297870654.40999997</v>
      </c>
      <c r="H67" s="2573">
        <v>5</v>
      </c>
    </row>
    <row r="68" spans="1:8" ht="21" customHeight="1">
      <c r="A68" s="940" t="s">
        <v>1203</v>
      </c>
      <c r="B68" s="2743"/>
      <c r="C68" s="2588">
        <f>-SUMIF('TB FY-2021-22'!$F$3:$F$1332,'OERC 12 &amp; 13'!H68,'TB FY-2021-22'!$G$3:$G$1332)</f>
        <v>725643759.97000003</v>
      </c>
      <c r="D68" s="2744"/>
      <c r="E68" s="2654">
        <f>-SUMIF('TB FY-2021-22'!F3:F1332,'OERC 12 &amp; 13'!H68,'TB FY-2021-22'!H3:H1332)</f>
        <v>138001751.67000002</v>
      </c>
      <c r="H68" s="2573">
        <v>6</v>
      </c>
    </row>
    <row r="69" spans="1:8" ht="21" customHeight="1">
      <c r="A69" s="940" t="s">
        <v>7986</v>
      </c>
      <c r="B69" s="2743"/>
      <c r="C69" s="2588">
        <f>-SUMIF('TB FY-2021-22'!$F$3:$F$1332,'OERC 12 &amp; 13'!H69,'TB FY-2021-22'!$G$3:$G$1332)</f>
        <v>14401684.619999999</v>
      </c>
      <c r="D69" s="2744"/>
      <c r="E69" s="2654">
        <f>-SUMIF('TB FY-2021-22'!F3:F1333,'OERC 12 &amp; 13'!H69,'TB FY-2021-22'!H3:H1333)</f>
        <v>0</v>
      </c>
      <c r="H69" s="2573" t="s">
        <v>6562</v>
      </c>
    </row>
    <row r="70" spans="1:8" ht="21" customHeight="1">
      <c r="A70" s="940" t="s">
        <v>539</v>
      </c>
      <c r="B70" s="2743"/>
      <c r="C70" s="2588">
        <f>-SUMIF('TB FY-2021-22'!$F$3:$F$1332,'OERC 12 &amp; 13'!H70,'TB FY-2021-22'!$G$3:$G$1332)</f>
        <v>192450494.19</v>
      </c>
      <c r="D70" s="2744"/>
      <c r="E70" s="2654">
        <f>-SUMIF('TB FY-2021-22'!F3:F1332,'OERC 12 &amp; 13'!H70,'TB FY-2021-22'!H3:H1332)</f>
        <v>47736868.890000001</v>
      </c>
      <c r="H70" s="2573">
        <v>7</v>
      </c>
    </row>
    <row r="71" spans="1:8" ht="21" customHeight="1">
      <c r="A71" s="940" t="s">
        <v>540</v>
      </c>
      <c r="B71" s="2743"/>
      <c r="C71" s="2588">
        <f>-SUMIF('TB FY-2021-22'!$F$3:$F$1332,'OERC 12 &amp; 13'!H71,'TB FY-2021-22'!$G$3:$G$1332)</f>
        <v>1886869355.9100001</v>
      </c>
      <c r="D71" s="2744"/>
      <c r="E71" s="2654">
        <f>-SUMIF('TB FY-2021-22'!F3:F1332,'OERC 12 &amp; 13'!H71,'TB FY-2021-22'!H3:H1332)</f>
        <v>274996120.44999999</v>
      </c>
      <c r="H71" s="2573">
        <v>8</v>
      </c>
    </row>
    <row r="72" spans="1:8" ht="21" customHeight="1">
      <c r="A72" s="940" t="s">
        <v>1715</v>
      </c>
      <c r="B72" s="2743"/>
      <c r="C72" s="2588">
        <f>-SUMIF('TB FY-2021-22'!$F$3:$F$1332,'OERC 12 &amp; 13'!H72,'TB FY-2021-22'!$G$3:$G$1332)</f>
        <v>194836712.34999999</v>
      </c>
      <c r="D72" s="2744"/>
      <c r="E72" s="2654">
        <f>-SUMIF('TB FY-2021-22'!F3:F1332,'OERC 12 &amp; 13'!H72,'TB FY-2021-22'!H3:H1332)</f>
        <v>25147148.129999999</v>
      </c>
      <c r="H72" s="2573">
        <v>9</v>
      </c>
    </row>
    <row r="73" spans="1:8" ht="21" customHeight="1">
      <c r="A73" s="940" t="s">
        <v>1716</v>
      </c>
      <c r="B73" s="2743"/>
      <c r="C73" s="2588">
        <f>-SUMIF('TB FY-2021-22'!$F$3:$F$1332,'OERC 12 &amp; 13'!H73,'TB FY-2021-22'!$G$3:$G$1332)</f>
        <v>605274083.59000003</v>
      </c>
      <c r="D73" s="2744"/>
      <c r="E73" s="2654">
        <f>-SUMIF('TB FY-2021-22'!F3:F1332,'OERC 12 &amp; 13'!H73,'TB FY-2021-22'!H3:H1332)</f>
        <v>164768685.17000002</v>
      </c>
      <c r="H73" s="2573">
        <v>10</v>
      </c>
    </row>
    <row r="74" spans="1:8" ht="21" customHeight="1">
      <c r="A74" s="940" t="s">
        <v>1400</v>
      </c>
      <c r="B74" s="2743"/>
      <c r="C74" s="2588">
        <f>-SUMIF('TB FY-2021-22'!$F$3:$F$1332,'OERC 12 &amp; 13'!H74,'TB FY-2021-22'!$G$3:$G$1332)</f>
        <v>43023565.780000001</v>
      </c>
      <c r="D74" s="2744"/>
      <c r="E74" s="2654">
        <f>-SUMIF('TB FY-2021-22'!F3:F1332,'OERC 12 &amp; 13'!H74,'TB FY-2021-22'!H3:H1332)</f>
        <v>31886718.699999999</v>
      </c>
      <c r="H74" s="2573">
        <v>11</v>
      </c>
    </row>
    <row r="75" spans="1:8" ht="21" customHeight="1">
      <c r="A75" s="940" t="s">
        <v>669</v>
      </c>
      <c r="B75" s="2743"/>
      <c r="C75" s="2588">
        <f>-SUMIF('TB FY-2021-22'!$F$3:$F$1332,'OERC 12 &amp; 13'!H75,'TB FY-2021-22'!$G$3:$G$1332)</f>
        <v>412987952.82000005</v>
      </c>
      <c r="D75" s="2744"/>
      <c r="E75" s="2654">
        <f>-SUMIF('TB FY-2021-22'!F3:F1332,'OERC 12 &amp; 13'!H75,'TB FY-2021-22'!H3:H1332)</f>
        <v>86933857.340000004</v>
      </c>
      <c r="H75" s="2573">
        <v>12</v>
      </c>
    </row>
    <row r="76" spans="1:8" ht="21" customHeight="1">
      <c r="A76" s="940" t="s">
        <v>423</v>
      </c>
      <c r="B76" s="2743"/>
      <c r="C76" s="2588">
        <f>-SUMIF('TB FY-2021-22'!$F$3:$F$1332,'OERC 12 &amp; 13'!H76,'TB FY-2021-22'!$G$3:$G$1332)</f>
        <v>56611476.490000002</v>
      </c>
      <c r="D76" s="2744"/>
      <c r="E76" s="2654">
        <f>-SUMIF('TB FY-2021-22'!F3:F1332,'OERC 12 &amp; 13'!H76,'TB FY-2021-22'!H3:H1332)</f>
        <v>7519206.9700000007</v>
      </c>
      <c r="H76" s="2573">
        <v>13</v>
      </c>
    </row>
    <row r="77" spans="1:8" ht="21" customHeight="1">
      <c r="A77" s="940" t="s">
        <v>1717</v>
      </c>
      <c r="B77" s="2743"/>
      <c r="C77" s="2588">
        <f>-SUMIF('TB FY-2021-22'!$F$3:$F$1332,'OERC 12 &amp; 13'!H77,'TB FY-2021-22'!$G$3:$G$1332)</f>
        <v>13938063.979999999</v>
      </c>
      <c r="D77" s="2744"/>
      <c r="E77" s="2654">
        <f>-SUMIF('TB FY-2021-22'!F3:F1332,'OERC 12 &amp; 13'!H77,'TB FY-2021-22'!H3:H1332)</f>
        <v>3250255.19</v>
      </c>
      <c r="H77" s="2573">
        <v>14</v>
      </c>
    </row>
    <row r="78" spans="1:8" ht="18">
      <c r="A78" s="940" t="s">
        <v>6584</v>
      </c>
      <c r="B78" s="2654"/>
      <c r="C78" s="2588">
        <f>-SUMIF('TB FY-2021-22'!$F$3:$F$1332,'OERC 12 &amp; 13'!H78,'TB FY-2021-22'!$G$3:$G$1332)</f>
        <v>1211100172</v>
      </c>
      <c r="D78" s="2745"/>
      <c r="E78" s="2654">
        <f>83.0336106*10^7</f>
        <v>830336106</v>
      </c>
      <c r="H78" s="2573" t="s">
        <v>7797</v>
      </c>
    </row>
    <row r="79" spans="1:8" ht="18" hidden="1">
      <c r="A79" s="940" t="s">
        <v>5483</v>
      </c>
      <c r="B79" s="2654"/>
      <c r="C79" s="2588">
        <f>-SUMIF('TB FY-2021-22'!$F$3:$F$1332,'OERC 12 &amp; 13'!H79,'TB FY-2021-22'!$G$3:$G$1332)</f>
        <v>0</v>
      </c>
      <c r="D79" s="2745"/>
      <c r="E79" s="2654">
        <f>-SUMIF('TB FY-2021-22'!F3:F1332,'OERC 12 &amp; 13'!H79,'TB FY-2021-22'!H3:H1332)</f>
        <v>0</v>
      </c>
      <c r="H79" s="2573">
        <v>15</v>
      </c>
    </row>
    <row r="80" spans="1:8" ht="18.5" thickBot="1">
      <c r="A80" s="2655"/>
      <c r="B80" s="2746">
        <f>SUM(B63:B77)</f>
        <v>0</v>
      </c>
      <c r="C80" s="2747">
        <f>SUM(C63:C79)</f>
        <v>16546298827.779999</v>
      </c>
      <c r="D80" s="2748">
        <f>SUM(D63:D77)</f>
        <v>0</v>
      </c>
      <c r="E80" s="2749">
        <f>SUM(E63:E79)</f>
        <v>3553763617.8600001</v>
      </c>
      <c r="G80" s="904"/>
    </row>
    <row r="81" spans="1:5" ht="19" thickTop="1" thickBot="1">
      <c r="A81" s="2657"/>
      <c r="B81" s="2750"/>
      <c r="C81" s="2751"/>
      <c r="D81" s="2750"/>
      <c r="E81" s="2750"/>
    </row>
    <row r="82" spans="1:5">
      <c r="B82" s="2713"/>
      <c r="C82" s="2713"/>
      <c r="D82" s="2713"/>
      <c r="E82" s="2713"/>
    </row>
    <row r="83" spans="1:5">
      <c r="B83" s="2713"/>
      <c r="C83" s="2713"/>
      <c r="D83" s="2713"/>
      <c r="E83" s="2713"/>
    </row>
  </sheetData>
  <mergeCells count="7">
    <mergeCell ref="A1:E1"/>
    <mergeCell ref="A2:E2"/>
    <mergeCell ref="A3:E3"/>
    <mergeCell ref="A6:B7"/>
    <mergeCell ref="A59:A60"/>
    <mergeCell ref="B59:C59"/>
    <mergeCell ref="D59:E59"/>
  </mergeCells>
  <printOptions horizontalCentered="1"/>
  <pageMargins left="0.41" right="0.28000000000000003" top="0.42" bottom="0.47" header="0.31496062992125984" footer="0.31496062992125984"/>
  <pageSetup paperSize="9" scale="6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C972B-DBCB-41A2-B342-88A2BEC90AD7}">
  <sheetPr>
    <pageSetUpPr fitToPage="1"/>
  </sheetPr>
  <dimension ref="A1:K95"/>
  <sheetViews>
    <sheetView topLeftCell="A50" zoomScale="70" zoomScaleNormal="70" workbookViewId="0">
      <selection activeCell="F35" sqref="F35"/>
    </sheetView>
  </sheetViews>
  <sheetFormatPr defaultColWidth="9.1796875" defaultRowHeight="12.5"/>
  <cols>
    <col min="1" max="1" width="59.1796875" style="885" customWidth="1"/>
    <col min="2" max="2" width="21" style="2714" customWidth="1"/>
    <col min="3" max="3" width="20.453125" style="2714" customWidth="1"/>
    <col min="4" max="4" width="23.26953125" style="2714" customWidth="1"/>
    <col min="5" max="5" width="19.1796875" style="2714" customWidth="1"/>
    <col min="6" max="6" width="20.7265625" style="2714" customWidth="1"/>
    <col min="7" max="7" width="16.54296875" style="885" bestFit="1" customWidth="1"/>
    <col min="8" max="8" width="5.81640625" style="2573" customWidth="1"/>
    <col min="9" max="9" width="19.453125" style="885" customWidth="1"/>
    <col min="10" max="10" width="14.26953125" style="885" bestFit="1" customWidth="1"/>
    <col min="11" max="11" width="12.54296875" style="885" bestFit="1" customWidth="1"/>
    <col min="12" max="16384" width="9.1796875" style="885"/>
  </cols>
  <sheetData>
    <row r="1" spans="1:10" ht="20">
      <c r="A1" s="3235" t="s">
        <v>7155</v>
      </c>
      <c r="B1" s="3236"/>
      <c r="C1" s="3236"/>
      <c r="D1" s="3236"/>
      <c r="E1" s="3236"/>
      <c r="F1" s="3237"/>
    </row>
    <row r="2" spans="1:10" ht="6.75" customHeight="1">
      <c r="A2" s="3238"/>
      <c r="B2" s="3239"/>
      <c r="C2" s="3239"/>
      <c r="D2" s="3239"/>
      <c r="E2" s="3239"/>
      <c r="F2" s="3240"/>
    </row>
    <row r="3" spans="1:10" ht="18" thickBot="1">
      <c r="A3" s="3275" t="s">
        <v>1668</v>
      </c>
      <c r="B3" s="3276"/>
      <c r="C3" s="3276"/>
      <c r="D3" s="3276"/>
      <c r="E3" s="3276"/>
      <c r="F3" s="3277"/>
    </row>
    <row r="4" spans="1:10" ht="13" thickBot="1">
      <c r="A4" s="978"/>
      <c r="B4" s="2680"/>
      <c r="C4" s="2680"/>
      <c r="D4" s="2680"/>
      <c r="E4" s="2680"/>
      <c r="F4" s="2752"/>
    </row>
    <row r="5" spans="1:10" ht="14">
      <c r="A5" s="3225" t="s">
        <v>3618</v>
      </c>
      <c r="B5" s="3226"/>
      <c r="C5" s="2753"/>
      <c r="D5" s="2754" t="s">
        <v>1718</v>
      </c>
      <c r="E5" s="2755"/>
      <c r="F5" s="2756" t="s">
        <v>1718</v>
      </c>
    </row>
    <row r="6" spans="1:10" ht="14">
      <c r="A6" s="3278"/>
      <c r="B6" s="3279"/>
      <c r="C6" s="2757"/>
      <c r="D6" s="2758" t="s">
        <v>7933</v>
      </c>
      <c r="E6" s="2759"/>
      <c r="F6" s="2760" t="s">
        <v>5469</v>
      </c>
    </row>
    <row r="7" spans="1:10" ht="14.5" thickBot="1">
      <c r="A7" s="3227"/>
      <c r="B7" s="3228"/>
      <c r="C7" s="2761"/>
      <c r="D7" s="2602" t="s">
        <v>1645</v>
      </c>
      <c r="E7" s="2762"/>
      <c r="F7" s="2604" t="s">
        <v>1645</v>
      </c>
    </row>
    <row r="8" spans="1:10" ht="9.75" customHeight="1" thickTop="1">
      <c r="A8" s="2763"/>
      <c r="B8" s="2764"/>
      <c r="C8" s="2757"/>
      <c r="D8" s="2765"/>
      <c r="E8" s="2764"/>
      <c r="F8" s="2765"/>
    </row>
    <row r="9" spans="1:10" ht="21" hidden="1" customHeight="1">
      <c r="A9" s="940" t="s">
        <v>1719</v>
      </c>
      <c r="B9" s="2764"/>
      <c r="C9" s="2757"/>
      <c r="D9" s="2587">
        <v>0</v>
      </c>
      <c r="E9" s="2616"/>
      <c r="F9" s="2606"/>
      <c r="G9" s="899"/>
    </row>
    <row r="10" spans="1:10" ht="21" customHeight="1">
      <c r="A10" s="940" t="s">
        <v>1720</v>
      </c>
      <c r="B10" s="2764"/>
      <c r="C10" s="2766"/>
      <c r="D10" s="2587">
        <f>-SUMIF('TB FY-2021-22'!$F$3:$F$1332,'OERC 14,15 &amp; 16'!H10,'TB FY-2021-22'!$G$3:$G$1332)</f>
        <v>146606899.65000001</v>
      </c>
      <c r="E10" s="2616"/>
      <c r="F10" s="2606">
        <f>-SUMIF('TB FY-2021-22'!F3:F1332,'OERC 14,15 &amp; 16'!H10,'TB FY-2021-22'!H3:H1332)</f>
        <v>26650092.199999999</v>
      </c>
      <c r="G10" s="899"/>
      <c r="H10" s="2573">
        <v>16</v>
      </c>
      <c r="J10" s="899">
        <f>D10-F10</f>
        <v>119956807.45</v>
      </c>
    </row>
    <row r="11" spans="1:10" ht="21" customHeight="1">
      <c r="A11" s="940" t="s">
        <v>7934</v>
      </c>
      <c r="B11" s="2764"/>
      <c r="C11" s="2766"/>
      <c r="D11" s="2587">
        <f>-SUMIF('TB FY-2021-22'!$F$3:$F$1332,'OERC 14,15 &amp; 16'!H11,'TB FY-2021-22'!$G$3:$G$1332)</f>
        <v>129357741</v>
      </c>
      <c r="E11" s="2616"/>
      <c r="F11" s="2606">
        <f>-SUMIF('TB FY-2021-22'!F4:F1333,'OERC 14,15 &amp; 16'!H11,'TB FY-2021-22'!H4:H1333)</f>
        <v>57563888.810000002</v>
      </c>
      <c r="G11" s="899"/>
      <c r="H11" s="2573" t="s">
        <v>7815</v>
      </c>
      <c r="J11" s="899"/>
    </row>
    <row r="12" spans="1:10" ht="21" hidden="1" customHeight="1">
      <c r="A12" s="940" t="s">
        <v>7935</v>
      </c>
      <c r="B12" s="2764"/>
      <c r="C12" s="2766"/>
      <c r="D12" s="2587">
        <f>-SUMIF('TB FY-2021-22'!$F$3:$F$1332,'OERC 14,15 &amp; 16'!H12,'TB FY-2021-22'!$G$3:$G$1332)</f>
        <v>0</v>
      </c>
      <c r="E12" s="2616"/>
      <c r="F12" s="2606">
        <f>-SUMIF('TB FY-2021-22'!F3:F1333,'OERC 14,15 &amp; 16'!H12,'TB FY-2021-22'!H3:H1333)</f>
        <v>0</v>
      </c>
      <c r="G12" s="899"/>
      <c r="H12" s="2573" t="s">
        <v>7937</v>
      </c>
      <c r="J12" s="899"/>
    </row>
    <row r="13" spans="1:10" ht="21" customHeight="1">
      <c r="A13" s="940" t="s">
        <v>1721</v>
      </c>
      <c r="B13" s="2764"/>
      <c r="C13" s="2766"/>
      <c r="D13" s="2587">
        <f>-SUMIF('TB FY-2021-22'!$F$3:$F$1332,'OERC 14,15 &amp; 16'!H13,'TB FY-2021-22'!$G$3:$G$1332)</f>
        <v>82906309.49000001</v>
      </c>
      <c r="E13" s="2616"/>
      <c r="F13" s="2606">
        <f>-SUMIF('TB FY-2021-22'!F3:F1332,'OERC 14,15 &amp; 16'!H13,'TB FY-2021-22'!H3:H1332)</f>
        <v>8861934.3699999992</v>
      </c>
      <c r="G13" s="899"/>
      <c r="H13" s="2573">
        <v>17</v>
      </c>
      <c r="J13" s="899">
        <f>D13-F13</f>
        <v>74044375.120000005</v>
      </c>
    </row>
    <row r="14" spans="1:10" ht="21" customHeight="1">
      <c r="A14" s="940" t="s">
        <v>1722</v>
      </c>
      <c r="B14" s="2764"/>
      <c r="C14" s="2766"/>
      <c r="D14" s="2587">
        <f>-SUMIF('TB FY-2021-22'!$F$3:$F$1332,'OERC 14,15 &amp; 16'!H14,'TB FY-2021-22'!$G$3:$G$1332)</f>
        <v>85115879.329999998</v>
      </c>
      <c r="E14" s="2616"/>
      <c r="F14" s="2606">
        <f>-SUMIF('TB FY-2021-22'!F3:F1332,'OERC 14,15 &amp; 16'!H14,'TB FY-2021-22'!H3:H1332)</f>
        <v>44155790.130000003</v>
      </c>
      <c r="G14" s="899"/>
      <c r="H14" s="2573">
        <v>18</v>
      </c>
      <c r="J14" s="899">
        <f t="shared" ref="J14:J20" si="0">D14-F14</f>
        <v>40960089.199999996</v>
      </c>
    </row>
    <row r="15" spans="1:10" ht="21" customHeight="1">
      <c r="A15" s="940" t="s">
        <v>4754</v>
      </c>
      <c r="B15" s="2764"/>
      <c r="C15" s="2766"/>
      <c r="D15" s="2587">
        <f>-SUMIF('TB FY-2021-22'!$F$3:$F$1332,'OERC 14,15 &amp; 16'!H15,'TB FY-2021-22'!$G$3:$G$1332)</f>
        <v>11862080</v>
      </c>
      <c r="E15" s="2616"/>
      <c r="F15" s="2606">
        <f>-SUMIF('TB FY-2021-22'!F3:F1332,'OERC 14,15 &amp; 16'!H15,'TB FY-2021-22'!H3:H1332)</f>
        <v>6124282</v>
      </c>
      <c r="G15" s="899"/>
      <c r="H15" s="2573">
        <v>19</v>
      </c>
      <c r="J15" s="899">
        <f t="shared" si="0"/>
        <v>5737798</v>
      </c>
    </row>
    <row r="16" spans="1:10" ht="21" customHeight="1">
      <c r="A16" s="940" t="s">
        <v>4020</v>
      </c>
      <c r="B16" s="2764"/>
      <c r="C16" s="2766"/>
      <c r="D16" s="2587">
        <f>-SUMIF('TB FY-2021-22'!$F$3:$F$1332,'OERC 14,15 &amp; 16'!H16,'TB FY-2021-22'!$G$3:$G$1332)</f>
        <v>31998.7</v>
      </c>
      <c r="E16" s="2616"/>
      <c r="F16" s="2606">
        <f>-SUMIF('TB FY-2021-22'!F3:F1332,'OERC 14,15 &amp; 16'!H16,'TB FY-2021-22'!H3:H1332)</f>
        <v>296059.32</v>
      </c>
      <c r="G16" s="899"/>
      <c r="H16" s="2573">
        <v>20</v>
      </c>
      <c r="J16" s="899">
        <f t="shared" si="0"/>
        <v>-264060.62</v>
      </c>
    </row>
    <row r="17" spans="1:10" ht="21" customHeight="1">
      <c r="A17" s="940" t="s">
        <v>4755</v>
      </c>
      <c r="B17" s="2764"/>
      <c r="C17" s="2767"/>
      <c r="D17" s="2587">
        <f>-SUMIF('TB FY-2021-22'!$F$3:$F$1332,'OERC 14,15 &amp; 16'!H17,'TB FY-2021-22'!$G$3:$G$1332)</f>
        <v>97521850.930000007</v>
      </c>
      <c r="E17" s="2616"/>
      <c r="F17" s="2606">
        <f>-SUMIF('TB FY-2021-22'!F3:F1332,'OERC 14,15 &amp; 16'!H17,'TB FY-2021-22'!H3:H1332)</f>
        <v>15330549</v>
      </c>
      <c r="H17" s="2573">
        <v>21</v>
      </c>
      <c r="J17" s="899">
        <f t="shared" si="0"/>
        <v>82191301.930000007</v>
      </c>
    </row>
    <row r="18" spans="1:10" ht="21" customHeight="1">
      <c r="A18" s="940" t="s">
        <v>5518</v>
      </c>
      <c r="B18" s="2764"/>
      <c r="C18" s="2767"/>
      <c r="D18" s="2587">
        <f>-SUMIF('TB FY-2021-22'!$F$3:$F$1332,'OERC 14,15 &amp; 16'!H18,'TB FY-2021-22'!$G$3:$G$1332)</f>
        <v>172544850.71000001</v>
      </c>
      <c r="E18" s="2616"/>
      <c r="F18" s="2606">
        <f>-SUMIF('TB FY-2021-22'!F3:F1332,'OERC 14,15 &amp; 16'!H18,'TB FY-2021-22'!H3:H1332)</f>
        <v>90832476</v>
      </c>
      <c r="H18" s="2573">
        <v>22</v>
      </c>
      <c r="J18" s="899">
        <f t="shared" si="0"/>
        <v>81712374.710000008</v>
      </c>
    </row>
    <row r="19" spans="1:10" ht="21" customHeight="1">
      <c r="A19" s="940" t="s">
        <v>3020</v>
      </c>
      <c r="B19" s="2764"/>
      <c r="C19" s="2767"/>
      <c r="D19" s="2587">
        <f>-SUMIF('TB FY-2021-22'!$F$3:$F$1332,'OERC 14,15 &amp; 16'!H19,'TB FY-2021-22'!$G$3:$G$1332)</f>
        <v>109280162.13</v>
      </c>
      <c r="E19" s="2616"/>
      <c r="F19" s="2606">
        <f>-SUMIF('TB FY-2021-22'!F3:F1333,'OERC 14,15 &amp; 16'!H19,'TB FY-2021-22'!H3:H1333)</f>
        <v>0</v>
      </c>
      <c r="H19" s="2573" t="s">
        <v>7811</v>
      </c>
      <c r="J19" s="899"/>
    </row>
    <row r="20" spans="1:10" ht="21" customHeight="1">
      <c r="A20" s="940" t="s">
        <v>7936</v>
      </c>
      <c r="B20" s="2764"/>
      <c r="C20" s="2767"/>
      <c r="D20" s="2587">
        <f>-SUMIF('TB FY-2021-22'!$F$3:$F$1332,'OERC 14,15 &amp; 16'!H20,'TB FY-2021-22'!$G$3:$G$1332)</f>
        <v>94073677.810000002</v>
      </c>
      <c r="E20" s="2616"/>
      <c r="F20" s="2606">
        <f>-SUMIF('TB FY-2021-22'!F3:F1332,'OERC 14,15 &amp; 16'!H20,'TB FY-2021-22'!H3:H1332)</f>
        <v>42707083.390000001</v>
      </c>
      <c r="G20" s="899"/>
      <c r="H20" s="2573">
        <v>23</v>
      </c>
      <c r="J20" s="899">
        <f t="shared" si="0"/>
        <v>51366594.420000002</v>
      </c>
    </row>
    <row r="21" spans="1:10" ht="10.5" customHeight="1">
      <c r="A21" s="979"/>
      <c r="B21" s="2764"/>
      <c r="C21" s="2767"/>
      <c r="D21" s="2587"/>
      <c r="E21" s="2616"/>
      <c r="F21" s="2606"/>
    </row>
    <row r="22" spans="1:10" ht="17" thickBot="1">
      <c r="A22" s="979"/>
      <c r="B22" s="2764"/>
      <c r="C22" s="2767"/>
      <c r="D22" s="2635">
        <f>D10+D11+D13+D14+D15+D16+D17+D18+D19+D20</f>
        <v>929301449.75</v>
      </c>
      <c r="E22" s="2656">
        <f>SUM(E9:E21)</f>
        <v>0</v>
      </c>
      <c r="F22" s="2656">
        <f>SUM(F9:F21)</f>
        <v>292522155.22000003</v>
      </c>
    </row>
    <row r="23" spans="1:10" ht="9" customHeight="1" thickTop="1" thickBot="1">
      <c r="A23" s="980"/>
      <c r="B23" s="2711"/>
      <c r="C23" s="2768"/>
      <c r="D23" s="2769"/>
      <c r="E23" s="2711"/>
      <c r="F23" s="2769"/>
    </row>
    <row r="24" spans="1:10" ht="13.5">
      <c r="A24" s="979"/>
      <c r="B24" s="2764"/>
      <c r="C24" s="2764"/>
      <c r="D24" s="2764"/>
      <c r="E24" s="2764"/>
      <c r="F24" s="2765"/>
    </row>
    <row r="25" spans="1:10" ht="50.25" customHeight="1" thickBot="1">
      <c r="A25" s="979"/>
      <c r="B25" s="2764"/>
      <c r="C25" s="2764"/>
      <c r="D25" s="2764"/>
      <c r="E25" s="2764"/>
      <c r="F25" s="2765"/>
    </row>
    <row r="26" spans="1:10" s="2727" customFormat="1" ht="24.5" customHeight="1" thickBot="1">
      <c r="A26" s="2770"/>
      <c r="B26" s="2771"/>
      <c r="C26" s="3280" t="s">
        <v>7938</v>
      </c>
      <c r="D26" s="3281"/>
      <c r="E26" s="3282" t="s">
        <v>5470</v>
      </c>
      <c r="F26" s="3283"/>
      <c r="H26" s="2772"/>
    </row>
    <row r="27" spans="1:10" ht="17.25" customHeight="1">
      <c r="A27" s="982" t="s">
        <v>3619</v>
      </c>
      <c r="B27" s="2773"/>
      <c r="C27" s="2774" t="s">
        <v>1723</v>
      </c>
      <c r="D27" s="2775" t="s">
        <v>1551</v>
      </c>
      <c r="E27" s="2776" t="s">
        <v>1723</v>
      </c>
      <c r="F27" s="2777" t="s">
        <v>1551</v>
      </c>
    </row>
    <row r="28" spans="1:10" ht="14.5" thickBot="1">
      <c r="A28" s="983"/>
      <c r="B28" s="2778"/>
      <c r="C28" s="2779" t="s">
        <v>1724</v>
      </c>
      <c r="D28" s="2602" t="s">
        <v>1645</v>
      </c>
      <c r="E28" s="2780" t="s">
        <v>1724</v>
      </c>
      <c r="F28" s="2604" t="s">
        <v>1645</v>
      </c>
      <c r="J28" s="899">
        <f>D32-D17</f>
        <v>9165746362.8600006</v>
      </c>
    </row>
    <row r="29" spans="1:10" ht="9" customHeight="1" thickTop="1">
      <c r="A29" s="979"/>
      <c r="B29" s="2764"/>
      <c r="C29" s="2757"/>
      <c r="D29" s="2765"/>
      <c r="E29" s="2764"/>
      <c r="F29" s="2765"/>
    </row>
    <row r="30" spans="1:10" ht="13.5">
      <c r="A30" s="979"/>
      <c r="B30" s="2764"/>
      <c r="C30" s="2757"/>
      <c r="D30" s="2765"/>
      <c r="E30" s="2764"/>
      <c r="F30" s="2765"/>
    </row>
    <row r="31" spans="1:10" ht="7.5" customHeight="1">
      <c r="A31" s="979"/>
      <c r="B31" s="2764"/>
      <c r="C31" s="2757"/>
      <c r="D31" s="2765"/>
      <c r="E31" s="2764"/>
      <c r="F31" s="2765"/>
    </row>
    <row r="32" spans="1:10" ht="17.25" customHeight="1">
      <c r="A32" s="940" t="s">
        <v>4021</v>
      </c>
      <c r="B32" s="2694"/>
      <c r="C32" s="2781"/>
      <c r="D32" s="2587">
        <f>SUMIF('TB FY-2021-22'!F3:F1332,'OERC 14,15 &amp; 16'!H32,'TB FY-2021-22'!G3:G1332)</f>
        <v>9263268213.7900009</v>
      </c>
      <c r="E32" s="2782"/>
      <c r="F32" s="2606">
        <f>SUMIF('TB FY-2021-22'!F3:F1332,'OERC 14,15 &amp; 16'!H32,'TB FY-2021-22'!H3:H1332)</f>
        <v>2002860048.05</v>
      </c>
      <c r="G32" s="899"/>
      <c r="H32" s="2783">
        <v>24</v>
      </c>
      <c r="I32" s="899"/>
    </row>
    <row r="33" spans="1:10" ht="7.5" customHeight="1">
      <c r="A33" s="979"/>
      <c r="B33" s="2694"/>
      <c r="C33" s="2784"/>
      <c r="D33" s="2785"/>
      <c r="E33" s="2694"/>
      <c r="F33" s="2785"/>
    </row>
    <row r="34" spans="1:10" ht="16.5">
      <c r="A34" s="979"/>
      <c r="B34" s="2694"/>
      <c r="C34" s="2784"/>
      <c r="D34" s="2785"/>
      <c r="E34" s="2694"/>
      <c r="F34" s="2785"/>
    </row>
    <row r="35" spans="1:10" ht="9" customHeight="1">
      <c r="A35" s="979"/>
      <c r="B35" s="2694"/>
      <c r="C35" s="2784"/>
      <c r="D35" s="2785"/>
      <c r="E35" s="2694"/>
      <c r="F35" s="2785"/>
    </row>
    <row r="36" spans="1:10" ht="17" thickBot="1">
      <c r="A36" s="979"/>
      <c r="B36" s="2694"/>
      <c r="C36" s="2786">
        <f>+C32</f>
        <v>0</v>
      </c>
      <c r="D36" s="2635">
        <f>+D32</f>
        <v>9263268213.7900009</v>
      </c>
      <c r="E36" s="2787">
        <f>+E32</f>
        <v>0</v>
      </c>
      <c r="F36" s="2656">
        <f>+F32</f>
        <v>2002860048.05</v>
      </c>
    </row>
    <row r="37" spans="1:10" ht="14.5" thickTop="1" thickBot="1">
      <c r="A37" s="980"/>
      <c r="B37" s="2711"/>
      <c r="C37" s="2768"/>
      <c r="D37" s="2769"/>
      <c r="E37" s="2711"/>
      <c r="F37" s="2769"/>
    </row>
    <row r="38" spans="1:10" ht="13.5">
      <c r="A38" s="979"/>
      <c r="B38" s="2764"/>
      <c r="C38" s="2764"/>
      <c r="D38" s="2788"/>
      <c r="E38" s="2788"/>
      <c r="F38" s="2789"/>
    </row>
    <row r="39" spans="1:10" ht="43.5" customHeight="1" thickBot="1">
      <c r="A39" s="979"/>
      <c r="B39" s="2764"/>
      <c r="C39" s="2764"/>
      <c r="D39" s="2764"/>
      <c r="E39" s="2764"/>
      <c r="F39" s="2765"/>
    </row>
    <row r="40" spans="1:10" ht="18" customHeight="1">
      <c r="A40" s="981"/>
      <c r="B40" s="2790"/>
      <c r="C40" s="2753"/>
      <c r="D40" s="2791" t="s">
        <v>1718</v>
      </c>
      <c r="E40" s="2792"/>
      <c r="F40" s="2756" t="s">
        <v>1718</v>
      </c>
    </row>
    <row r="41" spans="1:10" ht="16.5">
      <c r="A41" s="984" t="s">
        <v>3620</v>
      </c>
      <c r="B41" s="2694"/>
      <c r="C41" s="2757"/>
      <c r="D41" s="2793" t="s">
        <v>7932</v>
      </c>
      <c r="E41" s="2794"/>
      <c r="F41" s="2760" t="s">
        <v>5468</v>
      </c>
    </row>
    <row r="42" spans="1:10" ht="17" thickBot="1">
      <c r="A42" s="985" t="s">
        <v>3596</v>
      </c>
      <c r="B42" s="2795"/>
      <c r="C42" s="2603" t="s">
        <v>1645</v>
      </c>
      <c r="D42" s="2628" t="s">
        <v>1645</v>
      </c>
      <c r="E42" s="2796" t="s">
        <v>1645</v>
      </c>
      <c r="F42" s="2604" t="s">
        <v>1645</v>
      </c>
    </row>
    <row r="43" spans="1:10" ht="14" thickTop="1">
      <c r="A43" s="979"/>
      <c r="B43" s="2764"/>
      <c r="C43" s="2757"/>
      <c r="D43" s="2764"/>
      <c r="E43" s="2757"/>
      <c r="F43" s="2765"/>
    </row>
    <row r="44" spans="1:10" ht="17.5">
      <c r="A44" s="982" t="s">
        <v>387</v>
      </c>
      <c r="B44" s="2764"/>
      <c r="C44" s="2757"/>
      <c r="D44" s="2764"/>
      <c r="E44" s="2757"/>
      <c r="F44" s="2765"/>
    </row>
    <row r="45" spans="1:10" ht="17.25" customHeight="1">
      <c r="A45" s="940" t="s">
        <v>1725</v>
      </c>
      <c r="B45" s="2764"/>
      <c r="C45" s="2588">
        <f>SUMIF('TB FY-2021-22'!$F$3:$F$1332,'OERC 14,15 &amp; 16'!H45,'TB FY-2021-22'!$G$3:$G$1332)</f>
        <v>3310748122.8500004</v>
      </c>
      <c r="D45" s="2764"/>
      <c r="E45" s="2605">
        <f>SUMIF('TB FY-2021-22'!$F$3:$F$1332,'OERC 14,15 &amp; 16'!H45,'TB FY-2021-22'!$H$3:$H$1332)</f>
        <v>587507606.78000009</v>
      </c>
      <c r="F45" s="2752"/>
      <c r="G45" s="899"/>
      <c r="H45" s="2573">
        <v>25</v>
      </c>
      <c r="J45" s="899">
        <f>C45-E45</f>
        <v>2723240516.0700002</v>
      </c>
    </row>
    <row r="46" spans="1:10" ht="17.25" customHeight="1">
      <c r="A46" s="940" t="s">
        <v>1726</v>
      </c>
      <c r="B46" s="2764"/>
      <c r="C46" s="2588">
        <f>SUMIF('TB FY-2021-22'!$F$3:$F$1332,'OERC 14,15 &amp; 16'!H46,'TB FY-2021-22'!$G$3:$G$1332)</f>
        <v>1955337904.1800001</v>
      </c>
      <c r="D46" s="2764"/>
      <c r="E46" s="2605">
        <f>SUMIF('TB FY-2021-22'!$F$3:$F$1332,'OERC 14,15 &amp; 16'!H46,'TB FY-2021-22'!$H$3:$H$1332)</f>
        <v>607959876</v>
      </c>
      <c r="F46" s="2752"/>
      <c r="G46" s="899"/>
      <c r="H46" s="2573">
        <v>26</v>
      </c>
      <c r="J46" s="899">
        <f>C46-E46</f>
        <v>1347378028.1800001</v>
      </c>
    </row>
    <row r="47" spans="1:10" ht="17.25" customHeight="1">
      <c r="A47" s="940" t="s">
        <v>546</v>
      </c>
      <c r="B47" s="2764"/>
      <c r="C47" s="2607">
        <f>SUMIF('TB FY-2021-22'!$F$3:$F$1332,'OERC 14,15 &amp; 16'!H47,'TB FY-2021-22'!$G$3:$G$1332)</f>
        <v>37089285</v>
      </c>
      <c r="D47" s="2764"/>
      <c r="E47" s="2608">
        <f>SUMIF('TB FY-2021-22'!$F$3:$F$1332,'OERC 14,15 &amp; 16'!H47,'TB FY-2021-22'!$H$3:$H$1332)</f>
        <v>10608280</v>
      </c>
      <c r="F47" s="2752"/>
      <c r="G47" s="899"/>
      <c r="H47" s="2573">
        <v>27</v>
      </c>
      <c r="J47" s="899">
        <f>C47-E47</f>
        <v>26481005</v>
      </c>
    </row>
    <row r="48" spans="1:10" ht="20.25" hidden="1" customHeight="1">
      <c r="A48" s="2797" t="s">
        <v>3597</v>
      </c>
      <c r="B48" s="2693"/>
      <c r="C48" s="2607">
        <v>0</v>
      </c>
      <c r="D48" s="2764"/>
      <c r="E48" s="2605"/>
      <c r="F48" s="2798"/>
      <c r="G48" s="899"/>
    </row>
    <row r="49" spans="1:10" ht="19.5" customHeight="1">
      <c r="A49" s="3274"/>
      <c r="B49" s="3274"/>
      <c r="C49" s="2799">
        <f>SUM(C45:C48)</f>
        <v>5303175312.0300007</v>
      </c>
      <c r="D49" s="2764"/>
      <c r="E49" s="2799">
        <f>SUM(E45:E48)</f>
        <v>1206075762.7800002</v>
      </c>
      <c r="F49" s="2800"/>
    </row>
    <row r="50" spans="1:10" ht="21" customHeight="1">
      <c r="A50" s="940" t="s">
        <v>1737</v>
      </c>
      <c r="B50" s="2764"/>
      <c r="C50" s="2607">
        <f>-SUMIF('TB FY-2021-22'!$F$3:$F$1332,'OERC 14,15 &amp; 16'!H50,'TB FY-2021-22'!$G$3:$G$1332)</f>
        <v>21675901.870000001</v>
      </c>
      <c r="D50" s="2664"/>
      <c r="E50" s="2801">
        <v>0</v>
      </c>
      <c r="F50" s="2752"/>
      <c r="H50" s="2573">
        <v>43</v>
      </c>
    </row>
    <row r="51" spans="1:10" ht="21" customHeight="1">
      <c r="A51" s="940"/>
      <c r="B51" s="2764"/>
      <c r="C51" s="2588"/>
      <c r="D51" s="2664">
        <f>C49-C50</f>
        <v>5281499410.1600008</v>
      </c>
      <c r="E51" s="2605"/>
      <c r="F51" s="2800">
        <f>E49-E50</f>
        <v>1206075762.7800002</v>
      </c>
    </row>
    <row r="52" spans="1:10" ht="27" customHeight="1">
      <c r="A52" s="982" t="s">
        <v>1727</v>
      </c>
      <c r="B52" s="2764"/>
      <c r="C52" s="2802"/>
      <c r="D52" s="2764"/>
      <c r="E52" s="2605"/>
      <c r="F52" s="2606"/>
    </row>
    <row r="53" spans="1:10" ht="18.5" customHeight="1">
      <c r="A53" s="940" t="s">
        <v>1244</v>
      </c>
      <c r="B53" s="2764"/>
      <c r="C53" s="2588">
        <f>SUMIF('TB FY-2021-22'!$F$3:$F$1332,'OERC 14,15 &amp; 16'!H53,'TB FY-2021-22'!$G$3:$G$1332)</f>
        <v>59694318.989999995</v>
      </c>
      <c r="D53" s="2764"/>
      <c r="E53" s="2605">
        <f>SUMIF('TB FY-2021-22'!$F$3:$F$1332,'OERC 14,15 &amp; 16'!H53,'TB FY-2021-22'!$H$3:$H$1332)</f>
        <v>722888</v>
      </c>
      <c r="F53" s="2752"/>
      <c r="G53" s="899"/>
      <c r="H53" s="2573">
        <v>28</v>
      </c>
      <c r="J53" s="899">
        <f>C53-E53</f>
        <v>58971430.989999995</v>
      </c>
    </row>
    <row r="54" spans="1:10" ht="17.25" customHeight="1">
      <c r="A54" s="2610" t="s">
        <v>4756</v>
      </c>
      <c r="B54" s="2764"/>
      <c r="C54" s="2588">
        <f>SUMIF('TB FY-2021-22'!$F$3:$F$1332,'OERC 14,15 &amp; 16'!H54,'TB FY-2021-22'!$G$3:$G$1332)</f>
        <v>204417892.64999998</v>
      </c>
      <c r="D54" s="2764"/>
      <c r="E54" s="2605">
        <f>SUMIF('TB FY-2021-22'!$F$3:$F$1332,'OERC 14,15 &amp; 16'!H54,'TB FY-2021-22'!$H$3:$H$1332)</f>
        <v>8749092.2699999996</v>
      </c>
      <c r="F54" s="2752"/>
      <c r="G54" s="899"/>
      <c r="H54" s="2573">
        <v>29</v>
      </c>
      <c r="J54" s="899" t="e">
        <f>#REF!-#REF!</f>
        <v>#REF!</v>
      </c>
    </row>
    <row r="55" spans="1:10" ht="17.25" hidden="1" customHeight="1">
      <c r="A55" s="1720" t="s">
        <v>5093</v>
      </c>
      <c r="B55" s="2764"/>
      <c r="C55" s="2588"/>
      <c r="D55" s="2764"/>
      <c r="E55" s="2605"/>
      <c r="F55" s="2752"/>
      <c r="G55" s="899"/>
    </row>
    <row r="56" spans="1:10" ht="18.5" customHeight="1">
      <c r="A56" s="940" t="s">
        <v>1728</v>
      </c>
      <c r="B56" s="2764"/>
      <c r="C56" s="2607">
        <f>SUMIF('TB FY-2021-22'!$F$3:$F$1332,'OERC 14,15 &amp; 16'!H56,'TB FY-2021-22'!$G$3:$G$1332)</f>
        <v>7506368.8900000006</v>
      </c>
      <c r="D56" s="2764"/>
      <c r="E56" s="2608">
        <f>SUMIF('TB FY-2021-22'!$F$3:$F$1332,'OERC 14,15 &amp; 16'!H56,'TB FY-2021-22'!$H$3:$H$1332)</f>
        <v>3344022.99</v>
      </c>
      <c r="F56" s="2752"/>
      <c r="G56" s="899"/>
      <c r="H56" s="2573">
        <v>30</v>
      </c>
      <c r="J56" s="899" t="e">
        <f>#REF!-#REF!</f>
        <v>#REF!</v>
      </c>
    </row>
    <row r="57" spans="1:10" ht="17.25" hidden="1" customHeight="1">
      <c r="A57" s="1720" t="s">
        <v>5094</v>
      </c>
      <c r="B57" s="2764"/>
      <c r="C57" s="2607"/>
      <c r="D57" s="2764"/>
      <c r="E57" s="2608"/>
      <c r="F57" s="2798"/>
      <c r="G57" s="899"/>
    </row>
    <row r="58" spans="1:10" ht="17.25" customHeight="1">
      <c r="A58" s="940"/>
      <c r="B58" s="2764"/>
      <c r="C58" s="2802"/>
      <c r="D58" s="2664">
        <f>C53+C54+C56</f>
        <v>271618580.52999997</v>
      </c>
      <c r="E58" s="2605"/>
      <c r="F58" s="2587">
        <f>E53+E54+E56</f>
        <v>12816003.26</v>
      </c>
    </row>
    <row r="59" spans="1:10" ht="4.5" customHeight="1">
      <c r="A59" s="940"/>
      <c r="B59" s="2764"/>
      <c r="C59" s="2802"/>
      <c r="D59" s="2764"/>
      <c r="E59" s="2605"/>
      <c r="F59" s="2606"/>
    </row>
    <row r="60" spans="1:10" ht="14.25" customHeight="1">
      <c r="A60" s="982" t="s">
        <v>1729</v>
      </c>
      <c r="B60" s="2764"/>
      <c r="C60" s="2802"/>
      <c r="D60" s="2764"/>
      <c r="E60" s="2605"/>
      <c r="F60" s="2606"/>
    </row>
    <row r="61" spans="1:10" ht="16.5" customHeight="1">
      <c r="A61" s="940" t="s">
        <v>1730</v>
      </c>
      <c r="B61" s="2764"/>
      <c r="C61" s="2588">
        <f>SUMIF('TB FY-2021-22'!$F$3:$F$1332,'OERC 14,15 &amp; 16'!H61,'TB FY-2021-22'!$G$3:$G$1332)</f>
        <v>44153168.989999995</v>
      </c>
      <c r="D61" s="2764"/>
      <c r="E61" s="2605">
        <f>SUMIF('TB FY-2021-22'!$F$3:$F$1332,'OERC 14,15 &amp; 16'!H61,'TB FY-2021-22'!$H$3:$H$1332)</f>
        <v>1457360</v>
      </c>
      <c r="F61" s="2752"/>
      <c r="H61" s="2573">
        <v>31</v>
      </c>
      <c r="J61" s="899">
        <f t="shared" ref="J61:J66" si="1">C61-E61</f>
        <v>42695808.989999995</v>
      </c>
    </row>
    <row r="62" spans="1:10" ht="16.5" customHeight="1">
      <c r="A62" s="940" t="s">
        <v>1731</v>
      </c>
      <c r="B62" s="2764"/>
      <c r="C62" s="2588">
        <f>SUMIF('TB FY-2021-22'!$F$3:$F$1332,'OERC 14,15 &amp; 16'!H62,'TB FY-2021-22'!$G$3:$G$1332)</f>
        <v>14357880.890000001</v>
      </c>
      <c r="D62" s="2764"/>
      <c r="E62" s="2605">
        <f>SUMIF('TB FY-2021-22'!$F$3:$F$1332,'OERC 14,15 &amp; 16'!H62,'TB FY-2021-22'!$H$3:$H$1332)</f>
        <v>1453435.67</v>
      </c>
      <c r="F62" s="2752"/>
      <c r="H62" s="2573">
        <v>32</v>
      </c>
      <c r="J62" s="899">
        <f t="shared" si="1"/>
        <v>12904445.220000001</v>
      </c>
    </row>
    <row r="63" spans="1:10" ht="16.5" customHeight="1">
      <c r="A63" s="940" t="s">
        <v>1733</v>
      </c>
      <c r="B63" s="2764"/>
      <c r="C63" s="2588">
        <f>SUMIF('TB FY-2021-22'!$F$3:$F$1332,'OERC 14,15 &amp; 16'!H63,'TB FY-2021-22'!$G$3:$G$1332)</f>
        <v>144343156.24000001</v>
      </c>
      <c r="D63" s="2764"/>
      <c r="E63" s="2605">
        <f>SUMIF('TB FY-2021-22'!$F$3:$F$1332,'OERC 14,15 &amp; 16'!H63,'TB FY-2021-22'!$H$3:$H$1332)</f>
        <v>33169174.920000002</v>
      </c>
      <c r="F63" s="2752"/>
      <c r="H63" s="2573">
        <v>33</v>
      </c>
      <c r="J63" s="899">
        <f t="shared" si="1"/>
        <v>111173981.32000001</v>
      </c>
    </row>
    <row r="64" spans="1:10" ht="16.5" customHeight="1">
      <c r="A64" s="940" t="s">
        <v>1732</v>
      </c>
      <c r="B64" s="2764"/>
      <c r="C64" s="2588">
        <f>SUMIF('TB FY-2021-22'!$F$3:$F$1332,'OERC 14,15 &amp; 16'!H64,'TB FY-2021-22'!$G$3:$G$1332)</f>
        <v>13001601</v>
      </c>
      <c r="D64" s="2764"/>
      <c r="E64" s="2605">
        <f>SUMIF('TB FY-2021-22'!$F$3:$F$1332,'OERC 14,15 &amp; 16'!H64,'TB FY-2021-22'!$H$3:$H$1332)</f>
        <v>2612095</v>
      </c>
      <c r="F64" s="2752"/>
      <c r="H64" s="2573">
        <v>34</v>
      </c>
      <c r="J64" s="899">
        <f t="shared" si="1"/>
        <v>10389506</v>
      </c>
    </row>
    <row r="65" spans="1:11" ht="16.5" customHeight="1">
      <c r="A65" s="940" t="s">
        <v>4774</v>
      </c>
      <c r="B65" s="2764"/>
      <c r="C65" s="2588">
        <f>SUMIF('TB FY-2021-22'!$F$3:$F$1332,'OERC 14,15 &amp; 16'!H65,'TB FY-2021-22'!$G$3:$G$1332)</f>
        <v>274701477.22000003</v>
      </c>
      <c r="D65" s="2764"/>
      <c r="E65" s="2605">
        <f>SUMIF('TB FY-2021-22'!$F$3:$F$1332,'OERC 14,15 &amp; 16'!H65,'TB FY-2021-22'!$H$3:$H$1332)</f>
        <v>31584707</v>
      </c>
      <c r="F65" s="2752"/>
      <c r="H65" s="2573">
        <v>35</v>
      </c>
      <c r="J65" s="899">
        <f t="shared" si="1"/>
        <v>243116770.22000003</v>
      </c>
    </row>
    <row r="66" spans="1:11" ht="16.5" customHeight="1">
      <c r="A66" s="940" t="s">
        <v>3242</v>
      </c>
      <c r="B66" s="2764"/>
      <c r="C66" s="2588">
        <f>SUMIF('TB FY-2021-22'!$F$3:$F$1332,'OERC 14,15 &amp; 16'!H66,'TB FY-2021-22'!$G$3:$G$1332)</f>
        <v>20880505.760000002</v>
      </c>
      <c r="D66" s="2764"/>
      <c r="E66" s="2605">
        <f>SUMIF('TB FY-2021-22'!$F$3:$F$1332,'OERC 14,15 &amp; 16'!H66,'TB FY-2021-22'!$H$3:$H$1332)</f>
        <v>5527770.3700000001</v>
      </c>
      <c r="F66" s="2752"/>
      <c r="H66" s="2573">
        <v>36</v>
      </c>
      <c r="J66" s="899">
        <f t="shared" si="1"/>
        <v>15352735.390000001</v>
      </c>
    </row>
    <row r="67" spans="1:11" ht="16.5" hidden="1" customHeight="1">
      <c r="A67" s="940" t="s">
        <v>5095</v>
      </c>
      <c r="B67" s="2764"/>
      <c r="C67" s="2588"/>
      <c r="D67" s="2764"/>
      <c r="E67" s="2605"/>
      <c r="F67" s="2752"/>
    </row>
    <row r="68" spans="1:11" ht="16.5" hidden="1" customHeight="1">
      <c r="A68" s="2803" t="s">
        <v>5096</v>
      </c>
      <c r="B68" s="2764"/>
      <c r="C68" s="2588">
        <v>0</v>
      </c>
      <c r="D68" s="2764"/>
      <c r="E68" s="2605">
        <v>0</v>
      </c>
      <c r="F68" s="2752"/>
    </row>
    <row r="69" spans="1:11" ht="16.5" customHeight="1">
      <c r="A69" s="940" t="s">
        <v>1525</v>
      </c>
      <c r="B69" s="2764"/>
      <c r="C69" s="2588">
        <f>SUMIF('TB FY-2021-22'!$F$3:$F$1332,'OERC 14,15 &amp; 16'!H69,'TB FY-2021-22'!$G$3:$G$1332)</f>
        <v>313830217.49000001</v>
      </c>
      <c r="D69" s="2764"/>
      <c r="E69" s="2605">
        <f>SUMIF('TB FY-2021-22'!$F$3:$F$1332,'OERC 14,15 &amp; 16'!H69,'TB FY-2021-22'!$H$3:$H$1332)</f>
        <v>59012733.449999996</v>
      </c>
      <c r="F69" s="2752"/>
      <c r="H69" s="2573">
        <v>37</v>
      </c>
      <c r="J69" s="899">
        <f>C69-E69</f>
        <v>254817484.04000002</v>
      </c>
    </row>
    <row r="70" spans="1:11" ht="16.5" customHeight="1">
      <c r="A70" s="940" t="s">
        <v>1735</v>
      </c>
      <c r="B70" s="2764"/>
      <c r="C70" s="2607">
        <f>SUMIF('TB FY-2021-22'!$F$3:$F$1332,'OERC 14,15 &amp; 16'!H70,'TB FY-2021-22'!$G$3:$G$1332)</f>
        <v>7668659</v>
      </c>
      <c r="D70" s="2764"/>
      <c r="E70" s="2608">
        <f>SUMIF('TB FY-2021-22'!$F$3:$F$1332,'OERC 14,15 &amp; 16'!H70,'TB FY-2021-22'!$H$3:$H$1332)</f>
        <v>465170</v>
      </c>
      <c r="F70" s="2752"/>
      <c r="H70" s="2573">
        <v>38</v>
      </c>
      <c r="J70" s="899">
        <f>C70-E70</f>
        <v>7203489</v>
      </c>
    </row>
    <row r="71" spans="1:11" ht="15.75" customHeight="1">
      <c r="A71" s="940"/>
      <c r="B71" s="2764"/>
      <c r="C71" s="2802"/>
      <c r="D71" s="2664">
        <f>SUM(C61:C70)</f>
        <v>832936666.59000003</v>
      </c>
      <c r="E71" s="2605"/>
      <c r="F71" s="2587">
        <f>SUM(E61:E70)</f>
        <v>135282446.41</v>
      </c>
      <c r="G71" s="899"/>
    </row>
    <row r="72" spans="1:11" ht="25" customHeight="1">
      <c r="A72" s="940" t="s">
        <v>3546</v>
      </c>
      <c r="B72" s="2764"/>
      <c r="C72" s="2802"/>
      <c r="D72" s="2664">
        <f>SUMIF('TB FY-2021-22'!$F$3:$F$1332,'OERC 14,15 &amp; 16'!H72,'TB FY-2021-22'!$G$3:$G$1332)</f>
        <v>147128871.97999999</v>
      </c>
      <c r="E72" s="2605"/>
      <c r="F72" s="2587">
        <f>SUMIF('TB FY-2021-22'!$F$3:$F$1332,'OERC 14,15 &amp; 16'!H72,'TB FY-2021-22'!$H$3:$H$1332)</f>
        <v>20728546.82</v>
      </c>
      <c r="G72" s="899">
        <f>D72+D78+D80++D81</f>
        <v>147128871.97999999</v>
      </c>
      <c r="H72" s="2573">
        <v>39</v>
      </c>
      <c r="J72" s="899">
        <f>D72-F72</f>
        <v>126400325.16</v>
      </c>
    </row>
    <row r="73" spans="1:11" ht="17.25" customHeight="1">
      <c r="A73" s="940" t="s">
        <v>4022</v>
      </c>
      <c r="B73" s="2764"/>
      <c r="C73" s="2802"/>
      <c r="D73" s="2664"/>
      <c r="E73" s="2605"/>
      <c r="F73" s="2606"/>
    </row>
    <row r="74" spans="1:11" ht="17.25" hidden="1" customHeight="1">
      <c r="A74" s="940" t="s">
        <v>5471</v>
      </c>
      <c r="B74" s="2764"/>
      <c r="C74" s="2802"/>
      <c r="D74" s="2664"/>
      <c r="E74" s="2605"/>
      <c r="F74" s="2606"/>
    </row>
    <row r="75" spans="1:11" ht="17.25" hidden="1" customHeight="1">
      <c r="A75" s="940" t="s">
        <v>5472</v>
      </c>
      <c r="B75" s="2764"/>
      <c r="C75" s="2802"/>
      <c r="D75" s="2664"/>
      <c r="E75" s="2605"/>
      <c r="F75" s="2606"/>
    </row>
    <row r="76" spans="1:11" ht="17.25" hidden="1" customHeight="1">
      <c r="A76" s="940" t="s">
        <v>5473</v>
      </c>
      <c r="B76" s="2764"/>
      <c r="C76" s="2802"/>
      <c r="D76" s="2664"/>
      <c r="E76" s="2605"/>
      <c r="F76" s="2606"/>
    </row>
    <row r="77" spans="1:11" ht="17.25" hidden="1" customHeight="1">
      <c r="A77" s="940" t="s">
        <v>5474</v>
      </c>
      <c r="B77" s="2764"/>
      <c r="C77" s="2802"/>
      <c r="D77" s="2664"/>
      <c r="E77" s="2605"/>
      <c r="F77" s="2606"/>
    </row>
    <row r="78" spans="1:11" ht="17.25" hidden="1" customHeight="1">
      <c r="A78" s="940" t="s">
        <v>4023</v>
      </c>
      <c r="B78" s="2764"/>
      <c r="C78" s="2802"/>
      <c r="D78" s="2664">
        <f>SUMIF('TB FY-2021-22'!$F$3:$F$1332,'OERC 14,15 &amp; 16'!H78,'TB FY-2021-22'!$G$3:$G$1332)</f>
        <v>0</v>
      </c>
      <c r="E78" s="2605"/>
      <c r="F78" s="2606">
        <f>SUMIF('TB FY-2021-22'!F3:F1332,'OERC 14,15 &amp; 16'!H78,'TB FY-2021-22'!H3:H1332)</f>
        <v>0</v>
      </c>
      <c r="H78" s="2573">
        <v>40</v>
      </c>
    </row>
    <row r="79" spans="1:11" ht="17.25" customHeight="1">
      <c r="A79" s="940" t="s">
        <v>7987</v>
      </c>
      <c r="B79" s="2764"/>
      <c r="C79" s="2802"/>
      <c r="D79" s="2664">
        <f>SUMIF('TB FY-2021-22'!$F$3:$F$1332,'OERC 14,15 &amp; 16'!H79,'TB FY-2021-22'!$G$3:$G$1332)</f>
        <v>165462988.06999999</v>
      </c>
      <c r="E79" s="2605"/>
      <c r="F79" s="2587">
        <f>SUMIF('TB FY-2021-22'!$F$3:$F$1332,'OERC 14,15 &amp; 16'!H79,'TB FY-2021-22'!$H$3:$H$1332)</f>
        <v>35330351</v>
      </c>
      <c r="H79" s="2573">
        <v>41</v>
      </c>
      <c r="K79" s="899">
        <f>D71+D79+D83-C65</f>
        <v>821408231.44000006</v>
      </c>
    </row>
    <row r="80" spans="1:11" ht="17.25" hidden="1" customHeight="1">
      <c r="A80" s="940" t="s">
        <v>4024</v>
      </c>
      <c r="B80" s="2764"/>
      <c r="C80" s="2802"/>
      <c r="D80" s="2664">
        <v>0</v>
      </c>
      <c r="E80" s="2605"/>
      <c r="F80" s="2606">
        <v>0</v>
      </c>
    </row>
    <row r="81" spans="1:8" ht="17.25" hidden="1" customHeight="1">
      <c r="A81" s="940" t="s">
        <v>4025</v>
      </c>
      <c r="B81" s="2764"/>
      <c r="C81" s="2802"/>
      <c r="D81" s="2664"/>
      <c r="E81" s="2605"/>
      <c r="F81" s="2606">
        <v>0</v>
      </c>
    </row>
    <row r="82" spans="1:8" ht="17.25" customHeight="1">
      <c r="A82" s="940" t="s">
        <v>7988</v>
      </c>
      <c r="B82" s="2764"/>
      <c r="C82" s="2802"/>
      <c r="D82" s="2804">
        <v>0</v>
      </c>
      <c r="E82" s="2605"/>
      <c r="F82" s="2606">
        <f>SUMIF('TB FY-2021-22'!F3:F1332,'OERC 14,15 &amp; 16'!H82,'TB FY-2021-22'!H3:H1332)</f>
        <v>0</v>
      </c>
      <c r="G82" s="899"/>
      <c r="H82" s="2574">
        <v>42</v>
      </c>
    </row>
    <row r="83" spans="1:8" ht="20" customHeight="1">
      <c r="A83" s="940" t="s">
        <v>8070</v>
      </c>
      <c r="B83" s="2764"/>
      <c r="C83" s="2802"/>
      <c r="D83" s="2664">
        <f>SUMIF('TB FY-2021-22'!$F$3:$F$1332,'OERC 14,15 &amp; 16'!H83,'TB FY-2021-22'!$G$3:$G$1332)</f>
        <v>97710054</v>
      </c>
      <c r="E83" s="2605"/>
      <c r="F83" s="2606"/>
      <c r="G83" s="899">
        <f>C61+C62+C63+C64+C70+D78+D79+D80+D81+D82-C50</f>
        <v>367311552.31999999</v>
      </c>
      <c r="H83" s="2573">
        <v>60</v>
      </c>
    </row>
    <row r="84" spans="1:8" ht="3" customHeight="1">
      <c r="A84" s="940"/>
      <c r="B84" s="2764"/>
      <c r="C84" s="2802"/>
      <c r="D84" s="2664"/>
      <c r="E84" s="2605"/>
      <c r="F84" s="2606"/>
    </row>
    <row r="85" spans="1:8" ht="15.75" customHeight="1">
      <c r="A85" s="979"/>
      <c r="B85" s="2764"/>
      <c r="C85" s="2802"/>
      <c r="D85" s="2664"/>
      <c r="E85" s="2605"/>
      <c r="F85" s="2606"/>
    </row>
    <row r="86" spans="1:8" ht="15.75" customHeight="1" thickBot="1">
      <c r="A86" s="979"/>
      <c r="B86" s="2764"/>
      <c r="C86" s="2784"/>
      <c r="D86" s="2722">
        <f>SUM(D50:D84)</f>
        <v>6796356571.3299999</v>
      </c>
      <c r="E86" s="2605"/>
      <c r="F86" s="2722">
        <f>SUM(F50:F84)</f>
        <v>1410233110.2700002</v>
      </c>
    </row>
    <row r="87" spans="1:8" ht="14.5" thickTop="1" thickBot="1">
      <c r="A87" s="980"/>
      <c r="B87" s="2711"/>
      <c r="C87" s="2768"/>
      <c r="D87" s="2710"/>
      <c r="E87" s="2805"/>
      <c r="F87" s="2712"/>
    </row>
    <row r="88" spans="1:8">
      <c r="B88" s="2806"/>
      <c r="C88" s="2806"/>
      <c r="D88" s="2806"/>
      <c r="E88" s="2806"/>
      <c r="F88" s="2806"/>
    </row>
    <row r="89" spans="1:8">
      <c r="B89" s="2806"/>
      <c r="C89" s="2806"/>
      <c r="D89" s="2806"/>
      <c r="E89" s="2806"/>
      <c r="F89" s="2806"/>
    </row>
    <row r="92" spans="1:8">
      <c r="D92" s="2714">
        <f>C49-C50</f>
        <v>5281499410.1600008</v>
      </c>
    </row>
    <row r="95" spans="1:8">
      <c r="D95" s="2714">
        <f>D86-D72</f>
        <v>6649227699.3500004</v>
      </c>
    </row>
  </sheetData>
  <mergeCells count="7">
    <mergeCell ref="A49:B49"/>
    <mergeCell ref="A1:F1"/>
    <mergeCell ref="A2:F2"/>
    <mergeCell ref="A3:F3"/>
    <mergeCell ref="A5:B7"/>
    <mergeCell ref="C26:D26"/>
    <mergeCell ref="E26:F26"/>
  </mergeCells>
  <printOptions horizontalCentered="1"/>
  <pageMargins left="0.57999999999999996" right="0.28999999999999998" top="0.46" bottom="0.49" header="0.31496062992125984" footer="0.31496062992125984"/>
  <pageSetup paperSize="9" scale="58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0551-B64F-47F4-AAB4-B0F0BECAC893}">
  <sheetPr>
    <pageSetUpPr fitToPage="1"/>
  </sheetPr>
  <dimension ref="A1:G35"/>
  <sheetViews>
    <sheetView topLeftCell="A24" zoomScale="70" zoomScaleNormal="70" workbookViewId="0">
      <selection activeCell="F35" sqref="F35"/>
    </sheetView>
  </sheetViews>
  <sheetFormatPr defaultColWidth="9.1796875" defaultRowHeight="12.5"/>
  <cols>
    <col min="1" max="1" width="52" style="885" customWidth="1"/>
    <col min="2" max="2" width="26.54296875" style="2714" customWidth="1"/>
    <col min="3" max="3" width="19.54296875" style="2714" customWidth="1"/>
    <col min="4" max="4" width="26.26953125" style="2714" customWidth="1"/>
    <col min="5" max="5" width="23.7265625" style="2714" customWidth="1"/>
    <col min="6" max="6" width="14" style="885" bestFit="1" customWidth="1"/>
    <col min="7" max="7" width="8.54296875" style="885" customWidth="1"/>
    <col min="8" max="16384" width="9.1796875" style="885"/>
  </cols>
  <sheetData>
    <row r="1" spans="1:7" ht="20">
      <c r="A1" s="3235" t="s">
        <v>7155</v>
      </c>
      <c r="B1" s="3236"/>
      <c r="C1" s="3236"/>
      <c r="D1" s="3236"/>
      <c r="E1" s="3237"/>
    </row>
    <row r="2" spans="1:7" ht="13.5" customHeight="1">
      <c r="A2" s="3238"/>
      <c r="B2" s="3239"/>
      <c r="C2" s="3239"/>
      <c r="D2" s="3239"/>
      <c r="E2" s="3240"/>
    </row>
    <row r="3" spans="1:7" ht="21" customHeight="1" thickBot="1">
      <c r="A3" s="3275" t="s">
        <v>1668</v>
      </c>
      <c r="B3" s="3276"/>
      <c r="C3" s="3276"/>
      <c r="D3" s="3276"/>
      <c r="E3" s="3277"/>
    </row>
    <row r="4" spans="1:7" ht="18" customHeight="1" thickBot="1">
      <c r="A4" s="978"/>
      <c r="B4" s="2680"/>
      <c r="C4" s="2680"/>
      <c r="D4" s="2680"/>
      <c r="E4" s="2752"/>
    </row>
    <row r="5" spans="1:7" ht="14">
      <c r="A5" s="3225" t="s">
        <v>3621</v>
      </c>
      <c r="B5" s="3229"/>
      <c r="C5" s="2753"/>
      <c r="D5" s="2791" t="s">
        <v>1718</v>
      </c>
      <c r="E5" s="2807" t="s">
        <v>1718</v>
      </c>
    </row>
    <row r="6" spans="1:7" ht="14">
      <c r="A6" s="3278"/>
      <c r="B6" s="3284"/>
      <c r="C6" s="2757"/>
      <c r="D6" s="2793" t="s">
        <v>7932</v>
      </c>
      <c r="E6" s="2808" t="s">
        <v>5468</v>
      </c>
    </row>
    <row r="7" spans="1:7" ht="13.5" thickBot="1">
      <c r="A7" s="3227"/>
      <c r="B7" s="3230"/>
      <c r="C7" s="2628" t="s">
        <v>1645</v>
      </c>
      <c r="D7" s="2628" t="s">
        <v>1645</v>
      </c>
      <c r="E7" s="2629" t="s">
        <v>1645</v>
      </c>
    </row>
    <row r="8" spans="1:7" ht="9.75" customHeight="1" thickTop="1">
      <c r="A8" s="2763"/>
      <c r="B8" s="2764"/>
      <c r="C8" s="2757"/>
      <c r="D8" s="2765"/>
      <c r="E8" s="2765"/>
    </row>
    <row r="9" spans="1:7" ht="15" customHeight="1">
      <c r="A9" s="986" t="s">
        <v>3598</v>
      </c>
      <c r="B9" s="2809"/>
      <c r="C9" s="2757"/>
      <c r="D9" s="2765"/>
      <c r="E9" s="2765"/>
    </row>
    <row r="10" spans="1:7" ht="21.75" customHeight="1">
      <c r="A10" s="940" t="s">
        <v>7928</v>
      </c>
      <c r="B10" s="2809"/>
      <c r="C10" s="2588">
        <f>SUMIF('TB FY-2021-22'!$F$3:$F$1332,'OERC 17 &amp; 18'!G10,'TB FY-2021-22'!$G$3:$G$1332)</f>
        <v>34990194.560000002</v>
      </c>
      <c r="D10" s="2606"/>
      <c r="E10" s="2606">
        <f>SUMIF('TB FY-2021-22'!$F$3:$F$1332,'OERC 17 &amp; 18'!G10,'TB FY-2021-22'!$H$3:$H$1332)</f>
        <v>9928391</v>
      </c>
      <c r="F10" s="899"/>
      <c r="G10" s="885">
        <v>51</v>
      </c>
    </row>
    <row r="11" spans="1:7" ht="21.75" customHeight="1">
      <c r="A11" s="940" t="s">
        <v>889</v>
      </c>
      <c r="B11" s="2809"/>
      <c r="C11" s="2588">
        <f>SUMIF('TB FY-2021-22'!$F$3:$F$1332,'OERC 17 &amp; 18'!G11,'TB FY-2021-22'!$G$3:$G$1332)</f>
        <v>22253550</v>
      </c>
      <c r="D11" s="2606"/>
      <c r="E11" s="2606">
        <f>SUMIF('TB FY-2021-22'!$F$3:$F$1332,'OERC 17 &amp; 18'!G11,'TB FY-2021-22'!$H$3:$H$1332)</f>
        <v>3436220.12</v>
      </c>
      <c r="F11" s="899"/>
      <c r="G11" s="885">
        <v>52</v>
      </c>
    </row>
    <row r="12" spans="1:7" ht="21.75" customHeight="1">
      <c r="A12" s="940" t="s">
        <v>7929</v>
      </c>
      <c r="B12" s="2809"/>
      <c r="C12" s="2588">
        <f>SUMIF('TB FY-2021-22'!$F$3:$F$1332,'OERC 17 &amp; 18'!G12,'TB FY-2021-22'!$G$3:$G$1332)</f>
        <v>28485286.719999999</v>
      </c>
      <c r="D12" s="2606"/>
      <c r="E12" s="2606">
        <f>SUMIF('TB FY-2021-22'!$F$3:$F$1332,'OERC 17 &amp; 18'!G12,'TB FY-2021-22'!$H$3:$H$1332)</f>
        <v>0</v>
      </c>
      <c r="F12" s="899"/>
      <c r="G12" s="885">
        <v>53</v>
      </c>
    </row>
    <row r="13" spans="1:7" ht="21.75" customHeight="1">
      <c r="A13" s="940" t="s">
        <v>7930</v>
      </c>
      <c r="B13" s="2809"/>
      <c r="C13" s="2588">
        <f>SUMIF('TB FY-2021-22'!$F$3:$F$1332,'OERC 17 &amp; 18'!G13,'TB FY-2021-22'!$G$3:$G$1332)</f>
        <v>44539272.729999997</v>
      </c>
      <c r="D13" s="2606"/>
      <c r="E13" s="2606">
        <f>SUMIF('TB FY-2021-22'!$F$3:$F$1332,'OERC 17 &amp; 18'!G13,'TB FY-2021-22'!$H$3:$H$1332)</f>
        <v>0</v>
      </c>
      <c r="F13" s="899"/>
      <c r="G13" s="885">
        <v>54</v>
      </c>
    </row>
    <row r="14" spans="1:7" ht="21.75" customHeight="1">
      <c r="A14" s="940" t="s">
        <v>7931</v>
      </c>
      <c r="B14" s="2809"/>
      <c r="C14" s="2588">
        <f>SUMIF('TB FY-2021-22'!$F$3:$F$1332,'OERC 17 &amp; 18'!G14,'TB FY-2021-22'!$G$3:$G$1332)</f>
        <v>3557534.24</v>
      </c>
      <c r="D14" s="2606"/>
      <c r="E14" s="2606">
        <f>SUMIF('TB FY-2021-22'!$F$3:$F$1332,'OERC 17 &amp; 18'!G14,'TB FY-2021-22'!$H$3:$H$1332)</f>
        <v>0</v>
      </c>
      <c r="F14" s="899"/>
      <c r="G14" s="885">
        <v>55</v>
      </c>
    </row>
    <row r="15" spans="1:7" ht="21.75" customHeight="1">
      <c r="A15" s="940" t="s">
        <v>1738</v>
      </c>
      <c r="B15" s="2809"/>
      <c r="C15" s="2607">
        <f>SUMIF('TB FY-2021-22'!$F$3:$F$1332,'OERC 17 &amp; 18'!G15,'TB FY-2021-22'!$G$3:$G$1332)</f>
        <v>4616939</v>
      </c>
      <c r="D15" s="2606"/>
      <c r="E15" s="2798">
        <f>SUMIF('TB FY-2021-22'!$F$3:$F$1332,'OERC 17 &amp; 18'!G15,'TB FY-2021-22'!$H$3:$H$1332)</f>
        <v>1510999</v>
      </c>
      <c r="F15" s="899"/>
      <c r="G15" s="885">
        <v>56</v>
      </c>
    </row>
    <row r="16" spans="1:7" ht="18">
      <c r="A16" s="940"/>
      <c r="B16" s="2809"/>
      <c r="C16" s="2588">
        <f>SUM(C10:C15)</f>
        <v>138442777.25</v>
      </c>
      <c r="D16" s="2606"/>
      <c r="E16" s="2587">
        <f>SUM(E10:E15)</f>
        <v>14875610.120000001</v>
      </c>
    </row>
    <row r="17" spans="1:7" ht="18">
      <c r="A17" s="940" t="s">
        <v>1739</v>
      </c>
      <c r="B17" s="2809"/>
      <c r="C17" s="2607">
        <v>0</v>
      </c>
      <c r="D17" s="2606"/>
      <c r="E17" s="2798">
        <v>0</v>
      </c>
      <c r="F17" s="899"/>
      <c r="G17" s="2572">
        <v>57</v>
      </c>
    </row>
    <row r="18" spans="1:7" ht="18">
      <c r="A18" s="940"/>
      <c r="B18" s="2809"/>
      <c r="C18" s="2588"/>
      <c r="D18" s="2587">
        <f>+C16+C17</f>
        <v>138442777.25</v>
      </c>
      <c r="E18" s="2587">
        <f>+E16+E17</f>
        <v>14875610.120000001</v>
      </c>
    </row>
    <row r="19" spans="1:7" ht="21" customHeight="1">
      <c r="A19" s="940" t="s">
        <v>1740</v>
      </c>
      <c r="B19" s="2809"/>
      <c r="C19" s="2605"/>
      <c r="D19" s="2587">
        <f>SUMIF('TB FY-2021-22'!$F$3:$F$1332,'OERC 17 &amp; 18'!G19,'TB FY-2021-22'!$G$3:$G$1332)</f>
        <v>119181331.23</v>
      </c>
      <c r="E19" s="2606">
        <f>SUMIF('TB FY-2021-22'!$F$3:$F$1332,'OERC 17 &amp; 18'!G19,'TB FY-2021-22'!$H$3:$H$1332)</f>
        <v>31500902</v>
      </c>
      <c r="F19" s="899"/>
      <c r="G19" s="885">
        <v>58</v>
      </c>
    </row>
    <row r="20" spans="1:7" ht="21" customHeight="1">
      <c r="A20" s="979" t="s">
        <v>1741</v>
      </c>
      <c r="B20" s="2764"/>
      <c r="C20" s="2605"/>
      <c r="D20" s="2587">
        <f>SUMIF('TB FY-2021-22'!$F$3:$F$1332,'OERC 17 &amp; 18'!G20,'TB FY-2021-22'!$G$3:$G$1332)</f>
        <v>12692523.710000001</v>
      </c>
      <c r="E20" s="2606">
        <f>SUMIF('TB FY-2021-22'!$F$3:$F$1332,'OERC 17 &amp; 18'!G20,'TB FY-2021-22'!$H$3:$H$1332)</f>
        <v>906692.05999999994</v>
      </c>
      <c r="F20" s="899"/>
      <c r="G20" s="885">
        <v>59</v>
      </c>
    </row>
    <row r="21" spans="1:7" ht="10.5" customHeight="1">
      <c r="A21" s="979"/>
      <c r="B21" s="2764"/>
      <c r="C21" s="2605"/>
      <c r="D21" s="2587"/>
      <c r="E21" s="2606"/>
    </row>
    <row r="22" spans="1:7" ht="18.5" thickBot="1">
      <c r="A22" s="940"/>
      <c r="B22" s="2764"/>
      <c r="C22" s="2605"/>
      <c r="D22" s="2635">
        <f>+D18+D19+D20</f>
        <v>270316632.19</v>
      </c>
      <c r="E22" s="2635">
        <f>+E18+E19+E20</f>
        <v>47283204.180000007</v>
      </c>
    </row>
    <row r="23" spans="1:7" ht="9" customHeight="1" thickTop="1" thickBot="1">
      <c r="A23" s="980"/>
      <c r="B23" s="2711"/>
      <c r="C23" s="2768"/>
      <c r="D23" s="2769"/>
      <c r="E23" s="2769"/>
    </row>
    <row r="24" spans="1:7" ht="23.25" customHeight="1">
      <c r="A24" s="979"/>
      <c r="B24" s="2764"/>
      <c r="C24" s="2764"/>
      <c r="D24" s="2764"/>
      <c r="E24" s="2765"/>
    </row>
    <row r="25" spans="1:7" ht="24.75" customHeight="1" thickBot="1">
      <c r="A25" s="979"/>
      <c r="B25" s="2764"/>
      <c r="C25" s="2764"/>
      <c r="D25" s="2764"/>
      <c r="E25" s="2765"/>
    </row>
    <row r="26" spans="1:7" ht="15" customHeight="1">
      <c r="A26" s="987"/>
      <c r="B26" s="2810"/>
      <c r="C26" s="2753"/>
      <c r="D26" s="2791" t="s">
        <v>1718</v>
      </c>
      <c r="E26" s="2807" t="s">
        <v>1718</v>
      </c>
    </row>
    <row r="27" spans="1:7" ht="16.5" customHeight="1">
      <c r="A27" s="982" t="s">
        <v>3622</v>
      </c>
      <c r="B27" s="2809"/>
      <c r="C27" s="2757"/>
      <c r="D27" s="2793" t="s">
        <v>7932</v>
      </c>
      <c r="E27" s="2808" t="s">
        <v>5468</v>
      </c>
    </row>
    <row r="28" spans="1:7" ht="16.5" customHeight="1" thickBot="1">
      <c r="A28" s="988" t="s">
        <v>1742</v>
      </c>
      <c r="B28" s="2811"/>
      <c r="C28" s="2761"/>
      <c r="D28" s="2628" t="s">
        <v>1645</v>
      </c>
      <c r="E28" s="2629" t="s">
        <v>1645</v>
      </c>
    </row>
    <row r="29" spans="1:7" ht="14" thickTop="1">
      <c r="A29" s="979"/>
      <c r="B29" s="2765"/>
      <c r="C29" s="2757"/>
      <c r="D29" s="2765"/>
      <c r="E29" s="2765"/>
    </row>
    <row r="30" spans="1:7" ht="22.5" customHeight="1">
      <c r="A30" s="940" t="s">
        <v>1743</v>
      </c>
      <c r="B30" s="2765"/>
      <c r="C30" s="2757"/>
      <c r="D30" s="2587">
        <f>SUMIF('TB FY-2021-22'!$F$3:$F$1332,'OERC 17 &amp; 18'!G30,'TB FY-2021-22'!$G$3:$G$1332)</f>
        <v>0</v>
      </c>
      <c r="E30" s="2606">
        <f>SUMIF('TB FY-2021-22'!$F$3:$F$1332,'OERC 17 &amp; 18'!G30,'TB FY-2021-22'!$H$3:$H$1332)</f>
        <v>0</v>
      </c>
      <c r="F30" s="899"/>
      <c r="G30" s="2572"/>
    </row>
    <row r="31" spans="1:7" ht="15.75" customHeight="1">
      <c r="A31" s="979"/>
      <c r="B31" s="2765"/>
      <c r="C31" s="2757"/>
      <c r="D31" s="2606"/>
      <c r="E31" s="2606"/>
    </row>
    <row r="32" spans="1:7" ht="20.25" customHeight="1" thickBot="1">
      <c r="A32" s="979"/>
      <c r="B32" s="2765"/>
      <c r="C32" s="2757"/>
      <c r="D32" s="2635">
        <f>+D30</f>
        <v>0</v>
      </c>
      <c r="E32" s="2635">
        <f>+E30</f>
        <v>0</v>
      </c>
    </row>
    <row r="33" spans="1:5" ht="14.5" thickTop="1" thickBot="1">
      <c r="A33" s="980"/>
      <c r="B33" s="2769"/>
      <c r="C33" s="2768"/>
      <c r="D33" s="2712"/>
      <c r="E33" s="2712"/>
    </row>
    <row r="34" spans="1:5">
      <c r="B34" s="2806"/>
      <c r="C34" s="2806"/>
      <c r="D34" s="2806"/>
      <c r="E34" s="2806"/>
    </row>
    <row r="35" spans="1:5">
      <c r="B35" s="2806"/>
      <c r="C35" s="2806"/>
      <c r="D35" s="2806"/>
      <c r="E35" s="2806"/>
    </row>
  </sheetData>
  <mergeCells count="4">
    <mergeCell ref="A1:E1"/>
    <mergeCell ref="A2:E2"/>
    <mergeCell ref="A3:E3"/>
    <mergeCell ref="A5:B7"/>
  </mergeCells>
  <printOptions horizontalCentered="1"/>
  <pageMargins left="0.54" right="0.38" top="0.66" bottom="0.45" header="0.31496062992125984" footer="0.31496062992125984"/>
  <pageSetup paperSize="9" scale="64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CC033-3A73-446E-9728-07A5286D2814}">
  <sheetPr filterMode="1"/>
  <dimension ref="A1:W1376"/>
  <sheetViews>
    <sheetView topLeftCell="A1157" zoomScale="70" zoomScaleNormal="70" workbookViewId="0">
      <selection activeCell="F35" sqref="F35"/>
    </sheetView>
  </sheetViews>
  <sheetFormatPr defaultRowHeight="14.5"/>
  <cols>
    <col min="1" max="1" width="13.08984375" style="2550" customWidth="1"/>
    <col min="2" max="2" width="49.81640625" style="2551" customWidth="1"/>
    <col min="3" max="3" width="9.36328125" style="2550" customWidth="1"/>
    <col min="4" max="4" width="31.36328125" style="2551" customWidth="1"/>
    <col min="5" max="5" width="8.6328125" style="2550" customWidth="1"/>
    <col min="6" max="6" width="8" style="2550" customWidth="1"/>
    <col min="7" max="7" width="17.453125" style="1838" bestFit="1" customWidth="1"/>
    <col min="8" max="8" width="17.453125" style="2552" bestFit="1" customWidth="1"/>
    <col min="9" max="9" width="1.90625" style="2551" customWidth="1"/>
    <col min="10" max="10" width="10.36328125" style="2550" customWidth="1"/>
    <col min="11" max="11" width="47.90625" style="2553" customWidth="1"/>
    <col min="12" max="12" width="27.54296875" style="2551" hidden="1" customWidth="1"/>
    <col min="13" max="16384" width="8.7265625" style="2551"/>
  </cols>
  <sheetData>
    <row r="1" spans="1:23">
      <c r="G1" s="1838">
        <f>SUBTOTAL(9,G3:G5002)</f>
        <v>5281499410.1600008</v>
      </c>
      <c r="H1" s="2552">
        <f>SUBTOTAL(9,H3:H5002)</f>
        <v>1206075762.78</v>
      </c>
      <c r="W1" s="2552"/>
    </row>
    <row r="2" spans="1:23" s="2557" customFormat="1" ht="28" hidden="1" customHeight="1">
      <c r="A2" s="2554" t="s">
        <v>7205</v>
      </c>
      <c r="B2" s="2554" t="s">
        <v>7206</v>
      </c>
      <c r="C2" s="2555" t="s">
        <v>7207</v>
      </c>
      <c r="D2" s="2554" t="s">
        <v>7208</v>
      </c>
      <c r="E2" s="2554" t="s">
        <v>7209</v>
      </c>
      <c r="F2" s="2554" t="s">
        <v>7210</v>
      </c>
      <c r="G2" s="2831" t="s">
        <v>7211</v>
      </c>
      <c r="H2" s="2556" t="s">
        <v>7212</v>
      </c>
      <c r="J2" s="2555" t="s">
        <v>7207</v>
      </c>
      <c r="K2" s="2554" t="s">
        <v>7208</v>
      </c>
      <c r="L2" s="2558" t="s">
        <v>7213</v>
      </c>
      <c r="R2" s="2950" t="s">
        <v>8093</v>
      </c>
      <c r="S2" s="2950" t="s">
        <v>7210</v>
      </c>
    </row>
    <row r="3" spans="1:23" hidden="1">
      <c r="A3" s="2551">
        <v>1027501</v>
      </c>
      <c r="B3" s="2551" t="s">
        <v>5759</v>
      </c>
      <c r="C3" s="2550">
        <v>11</v>
      </c>
      <c r="D3" s="2551" t="s">
        <v>7214</v>
      </c>
      <c r="E3" s="2550" t="s">
        <v>7215</v>
      </c>
      <c r="F3" s="2551">
        <v>107</v>
      </c>
      <c r="G3" s="2559">
        <v>972287597.17999995</v>
      </c>
      <c r="H3" s="2559">
        <v>480960909</v>
      </c>
      <c r="J3" s="2550">
        <v>32</v>
      </c>
      <c r="K3" s="2553" t="s">
        <v>7216</v>
      </c>
      <c r="L3" s="2551" t="e">
        <f t="shared" ref="L3:L67" si="0">VLOOKUP(A3,P:P,1,0)</f>
        <v>#N/A</v>
      </c>
      <c r="P3" s="2551" t="s">
        <v>7217</v>
      </c>
      <c r="W3" s="2979"/>
    </row>
    <row r="4" spans="1:23" hidden="1">
      <c r="A4" s="2551">
        <v>1010202</v>
      </c>
      <c r="B4" s="2551" t="s">
        <v>7218</v>
      </c>
      <c r="C4" s="2550">
        <v>6</v>
      </c>
      <c r="D4" s="2551" t="s">
        <v>119</v>
      </c>
      <c r="E4" s="2550" t="s">
        <v>7215</v>
      </c>
      <c r="F4" s="2551">
        <v>120</v>
      </c>
      <c r="G4" s="2559">
        <v>58902.75</v>
      </c>
      <c r="H4" s="2559">
        <v>58902.75</v>
      </c>
      <c r="J4" s="2550">
        <v>4</v>
      </c>
      <c r="K4" s="2553" t="s">
        <v>7219</v>
      </c>
      <c r="L4" s="2551" t="e">
        <f t="shared" si="0"/>
        <v>#N/A</v>
      </c>
      <c r="P4" s="1891"/>
      <c r="R4" s="2951" t="s">
        <v>6966</v>
      </c>
      <c r="S4" s="2551">
        <v>3</v>
      </c>
      <c r="W4" s="2979"/>
    </row>
    <row r="5" spans="1:23" hidden="1">
      <c r="A5" s="2551">
        <v>1010203</v>
      </c>
      <c r="B5" s="2551" t="s">
        <v>7220</v>
      </c>
      <c r="C5" s="2550">
        <v>6</v>
      </c>
      <c r="D5" s="2551" t="s">
        <v>119</v>
      </c>
      <c r="E5" s="2550" t="s">
        <v>7215</v>
      </c>
      <c r="F5" s="2551">
        <v>120</v>
      </c>
      <c r="G5" s="2559">
        <v>2538.2600000000002</v>
      </c>
      <c r="H5" s="2559">
        <v>2538.2600000000002</v>
      </c>
      <c r="J5" s="2550">
        <v>4</v>
      </c>
      <c r="K5" s="2553" t="s">
        <v>7219</v>
      </c>
      <c r="L5" s="2551" t="e">
        <f t="shared" si="0"/>
        <v>#N/A</v>
      </c>
      <c r="P5" s="1891"/>
      <c r="R5" s="2951" t="s">
        <v>6966</v>
      </c>
      <c r="S5" s="2551">
        <v>3</v>
      </c>
      <c r="W5" s="2979"/>
    </row>
    <row r="6" spans="1:23" hidden="1">
      <c r="A6" s="2551">
        <v>1010208</v>
      </c>
      <c r="B6" s="2551" t="s">
        <v>7221</v>
      </c>
      <c r="C6" s="2550">
        <v>6</v>
      </c>
      <c r="D6" s="2551" t="s">
        <v>119</v>
      </c>
      <c r="E6" s="2550" t="s">
        <v>7215</v>
      </c>
      <c r="F6" s="2551">
        <v>120</v>
      </c>
      <c r="G6" s="2559">
        <v>126967591.89</v>
      </c>
      <c r="H6" s="2551">
        <v>0</v>
      </c>
      <c r="J6" s="2550">
        <v>4</v>
      </c>
      <c r="K6" s="2553" t="s">
        <v>7219</v>
      </c>
      <c r="L6" s="2551" t="e">
        <f t="shared" si="0"/>
        <v>#N/A</v>
      </c>
      <c r="P6" s="1891"/>
      <c r="R6" s="2951" t="s">
        <v>6966</v>
      </c>
      <c r="S6" s="2551">
        <v>3</v>
      </c>
      <c r="W6" s="2979"/>
    </row>
    <row r="7" spans="1:23" hidden="1">
      <c r="A7" s="2551">
        <v>1010211</v>
      </c>
      <c r="B7" s="2551" t="s">
        <v>2026</v>
      </c>
      <c r="C7" s="2550">
        <v>6</v>
      </c>
      <c r="D7" s="2551" t="s">
        <v>119</v>
      </c>
      <c r="E7" s="2550" t="s">
        <v>7215</v>
      </c>
      <c r="F7" s="2551">
        <v>120</v>
      </c>
      <c r="G7" s="2559">
        <v>42014353.990000002</v>
      </c>
      <c r="H7" s="2559">
        <v>42014353.990000002</v>
      </c>
      <c r="J7" s="2550">
        <v>4</v>
      </c>
      <c r="K7" s="2553" t="s">
        <v>7219</v>
      </c>
      <c r="L7" s="2551" t="e">
        <f t="shared" si="0"/>
        <v>#N/A</v>
      </c>
      <c r="P7" s="1891"/>
      <c r="R7" s="2951" t="s">
        <v>6966</v>
      </c>
      <c r="S7" s="2551">
        <v>3</v>
      </c>
      <c r="W7" s="2979"/>
    </row>
    <row r="8" spans="1:23" hidden="1">
      <c r="A8" s="2551">
        <v>1010222</v>
      </c>
      <c r="B8" s="2551" t="s">
        <v>6743</v>
      </c>
      <c r="C8" s="2550">
        <v>6</v>
      </c>
      <c r="D8" s="2551" t="s">
        <v>119</v>
      </c>
      <c r="E8" s="2550" t="s">
        <v>7215</v>
      </c>
      <c r="F8" s="2551">
        <v>120</v>
      </c>
      <c r="G8" s="2559">
        <v>3143882.72</v>
      </c>
      <c r="H8" s="2559">
        <v>3143882.72</v>
      </c>
      <c r="J8" s="2550">
        <v>4</v>
      </c>
      <c r="K8" s="2553" t="s">
        <v>7219</v>
      </c>
      <c r="L8" s="2551" t="e">
        <f t="shared" si="0"/>
        <v>#N/A</v>
      </c>
      <c r="P8" s="1891"/>
      <c r="R8" s="2951" t="s">
        <v>6966</v>
      </c>
      <c r="S8" s="2551">
        <v>3</v>
      </c>
      <c r="W8" s="2979"/>
    </row>
    <row r="9" spans="1:23" hidden="1">
      <c r="A9" s="2551">
        <v>1010233</v>
      </c>
      <c r="B9" s="2551" t="s">
        <v>2030</v>
      </c>
      <c r="C9" s="2550">
        <v>6</v>
      </c>
      <c r="D9" s="2551" t="s">
        <v>119</v>
      </c>
      <c r="E9" s="2550" t="s">
        <v>7215</v>
      </c>
      <c r="F9" s="2551">
        <v>120</v>
      </c>
      <c r="G9" s="2559">
        <v>4204122.6900000004</v>
      </c>
      <c r="H9" s="2559">
        <v>4204122.6900000004</v>
      </c>
      <c r="J9" s="2550">
        <v>4</v>
      </c>
      <c r="K9" s="2553" t="s">
        <v>7219</v>
      </c>
      <c r="L9" s="2551" t="e">
        <f t="shared" si="0"/>
        <v>#N/A</v>
      </c>
      <c r="P9" s="1891"/>
      <c r="R9" s="2951" t="s">
        <v>6966</v>
      </c>
      <c r="S9" s="2551">
        <v>3</v>
      </c>
      <c r="W9" s="2979"/>
    </row>
    <row r="10" spans="1:23" hidden="1">
      <c r="A10" s="2551">
        <v>1010320</v>
      </c>
      <c r="B10" s="2551" t="s">
        <v>7222</v>
      </c>
      <c r="C10" s="2550">
        <v>6</v>
      </c>
      <c r="D10" s="2551" t="s">
        <v>119</v>
      </c>
      <c r="E10" s="2550" t="s">
        <v>7215</v>
      </c>
      <c r="F10" s="2551">
        <v>120</v>
      </c>
      <c r="G10" s="2559">
        <v>14450</v>
      </c>
      <c r="H10" s="2551">
        <v>0</v>
      </c>
      <c r="J10" s="2550">
        <v>4</v>
      </c>
      <c r="K10" s="2553" t="s">
        <v>7219</v>
      </c>
      <c r="L10" s="2551" t="e">
        <f t="shared" si="0"/>
        <v>#N/A</v>
      </c>
      <c r="P10" s="1891"/>
      <c r="R10" s="2951" t="s">
        <v>6966</v>
      </c>
      <c r="S10" s="2551">
        <v>4</v>
      </c>
      <c r="W10" s="2979"/>
    </row>
    <row r="11" spans="1:23" hidden="1">
      <c r="A11" s="2551">
        <v>1010322</v>
      </c>
      <c r="B11" s="2551" t="s">
        <v>6744</v>
      </c>
      <c r="C11" s="2550">
        <v>6</v>
      </c>
      <c r="D11" s="2551" t="s">
        <v>7223</v>
      </c>
      <c r="E11" s="2550" t="s">
        <v>7215</v>
      </c>
      <c r="F11" s="2551">
        <v>121</v>
      </c>
      <c r="G11" s="2559">
        <v>96685.33</v>
      </c>
      <c r="H11" s="2559">
        <v>96685.33</v>
      </c>
      <c r="J11" s="2550">
        <v>4</v>
      </c>
      <c r="K11" s="2553" t="s">
        <v>7219</v>
      </c>
      <c r="L11" s="2551" t="e">
        <f t="shared" si="0"/>
        <v>#N/A</v>
      </c>
      <c r="P11" s="1891"/>
      <c r="R11" s="2951" t="s">
        <v>6966</v>
      </c>
      <c r="W11" s="2979"/>
    </row>
    <row r="12" spans="1:23" hidden="1">
      <c r="A12" s="2551">
        <v>1010333</v>
      </c>
      <c r="B12" s="2551" t="s">
        <v>6745</v>
      </c>
      <c r="C12" s="2550">
        <v>6</v>
      </c>
      <c r="D12" s="2551" t="s">
        <v>7223</v>
      </c>
      <c r="E12" s="2550" t="s">
        <v>7215</v>
      </c>
      <c r="F12" s="2551">
        <v>121</v>
      </c>
      <c r="G12" s="2559">
        <v>146972.70000000001</v>
      </c>
      <c r="H12" s="2559">
        <v>146972.70000000001</v>
      </c>
      <c r="J12" s="2550">
        <v>4</v>
      </c>
      <c r="K12" s="2553" t="s">
        <v>7219</v>
      </c>
      <c r="L12" s="2551" t="e">
        <f t="shared" si="0"/>
        <v>#N/A</v>
      </c>
      <c r="P12" s="1891"/>
      <c r="R12" s="2951" t="s">
        <v>6966</v>
      </c>
      <c r="S12" s="2551">
        <v>5</v>
      </c>
      <c r="W12" s="2979"/>
    </row>
    <row r="13" spans="1:23" hidden="1">
      <c r="A13" s="2551">
        <v>1010401</v>
      </c>
      <c r="B13" s="2551" t="s">
        <v>7224</v>
      </c>
      <c r="C13" s="2550">
        <v>6</v>
      </c>
      <c r="D13" s="2551" t="s">
        <v>119</v>
      </c>
      <c r="E13" s="2550" t="s">
        <v>7215</v>
      </c>
      <c r="F13" s="2551">
        <v>120</v>
      </c>
      <c r="G13" s="2559">
        <v>106917878.61</v>
      </c>
      <c r="H13" s="2551">
        <v>0</v>
      </c>
      <c r="J13" s="2550">
        <v>4</v>
      </c>
      <c r="K13" s="2553" t="s">
        <v>7219</v>
      </c>
      <c r="L13" s="2551" t="e">
        <f t="shared" si="0"/>
        <v>#N/A</v>
      </c>
      <c r="P13" s="1891"/>
      <c r="R13" s="2951" t="s">
        <v>6966</v>
      </c>
      <c r="S13" s="2551">
        <v>4</v>
      </c>
      <c r="W13" s="2979"/>
    </row>
    <row r="14" spans="1:23" hidden="1">
      <c r="A14" s="2551">
        <v>1010402</v>
      </c>
      <c r="B14" s="2551" t="s">
        <v>6747</v>
      </c>
      <c r="C14" s="2550">
        <v>6</v>
      </c>
      <c r="D14" s="2551" t="s">
        <v>119</v>
      </c>
      <c r="E14" s="2550" t="s">
        <v>7215</v>
      </c>
      <c r="F14" s="2551">
        <v>120</v>
      </c>
      <c r="G14" s="2559">
        <v>302499.64</v>
      </c>
      <c r="H14" s="2559">
        <v>302499.64</v>
      </c>
      <c r="J14" s="2550">
        <v>4</v>
      </c>
      <c r="K14" s="2553" t="s">
        <v>7219</v>
      </c>
      <c r="L14" s="2551" t="e">
        <f t="shared" si="0"/>
        <v>#N/A</v>
      </c>
      <c r="P14" s="1891"/>
      <c r="R14" s="2951" t="s">
        <v>6966</v>
      </c>
      <c r="S14" s="2551">
        <v>4</v>
      </c>
      <c r="W14" s="2979"/>
    </row>
    <row r="15" spans="1:23" hidden="1">
      <c r="A15" s="2551">
        <v>1010413</v>
      </c>
      <c r="B15" s="2551" t="s">
        <v>6748</v>
      </c>
      <c r="C15" s="2550">
        <v>6</v>
      </c>
      <c r="D15" s="2551" t="s">
        <v>119</v>
      </c>
      <c r="E15" s="2550" t="s">
        <v>7215</v>
      </c>
      <c r="F15" s="2551">
        <v>120</v>
      </c>
      <c r="G15" s="2559">
        <v>7500719.0899999999</v>
      </c>
      <c r="H15" s="2559">
        <v>7500719.0899999999</v>
      </c>
      <c r="J15" s="2550">
        <v>4</v>
      </c>
      <c r="K15" s="2553" t="s">
        <v>7219</v>
      </c>
      <c r="L15" s="2551" t="e">
        <f t="shared" si="0"/>
        <v>#N/A</v>
      </c>
      <c r="P15" s="1891"/>
      <c r="R15" s="2951" t="s">
        <v>6966</v>
      </c>
      <c r="S15" s="2551">
        <v>4</v>
      </c>
      <c r="W15" s="2979"/>
    </row>
    <row r="16" spans="1:23" hidden="1">
      <c r="A16" s="2551">
        <v>1040208</v>
      </c>
      <c r="B16" s="2551" t="s">
        <v>7225</v>
      </c>
      <c r="C16" s="2550">
        <v>6</v>
      </c>
      <c r="D16" s="2551" t="s">
        <v>119</v>
      </c>
      <c r="E16" s="2550" t="s">
        <v>7215</v>
      </c>
      <c r="F16" s="2551">
        <v>120</v>
      </c>
      <c r="G16" s="2559">
        <v>2292612.7400000002</v>
      </c>
      <c r="H16" s="2559">
        <v>2292612.7400000002</v>
      </c>
      <c r="J16" s="2550">
        <v>4</v>
      </c>
      <c r="K16" s="2553" t="s">
        <v>7219</v>
      </c>
      <c r="L16" s="2551" t="e">
        <f t="shared" si="0"/>
        <v>#N/A</v>
      </c>
      <c r="P16" s="1891"/>
      <c r="R16" s="2951" t="s">
        <v>6966</v>
      </c>
      <c r="S16" s="2551">
        <v>3</v>
      </c>
      <c r="W16" s="2979"/>
    </row>
    <row r="17" spans="1:23" hidden="1">
      <c r="A17" s="2551">
        <v>1040401</v>
      </c>
      <c r="B17" s="2551" t="s">
        <v>7224</v>
      </c>
      <c r="C17" s="2550">
        <v>6</v>
      </c>
      <c r="D17" s="2551" t="s">
        <v>119</v>
      </c>
      <c r="E17" s="2550" t="s">
        <v>7215</v>
      </c>
      <c r="F17" s="2551">
        <v>120</v>
      </c>
      <c r="G17" s="2559">
        <v>280360.08</v>
      </c>
      <c r="H17" s="2559">
        <v>280360.08</v>
      </c>
      <c r="J17" s="2550">
        <v>4</v>
      </c>
      <c r="K17" s="2553" t="s">
        <v>7219</v>
      </c>
      <c r="L17" s="2551" t="e">
        <f t="shared" si="0"/>
        <v>#N/A</v>
      </c>
      <c r="P17" s="1891"/>
      <c r="R17" s="2951" t="s">
        <v>6966</v>
      </c>
      <c r="S17" s="2551">
        <v>4</v>
      </c>
      <c r="W17" s="2979"/>
    </row>
    <row r="18" spans="1:23" hidden="1">
      <c r="A18" s="2551">
        <v>1010501</v>
      </c>
      <c r="B18" s="2551" t="s">
        <v>6749</v>
      </c>
      <c r="C18" s="2550">
        <v>6</v>
      </c>
      <c r="D18" s="2551" t="s">
        <v>7223</v>
      </c>
      <c r="E18" s="2550" t="s">
        <v>7215</v>
      </c>
      <c r="F18" s="2551">
        <v>121</v>
      </c>
      <c r="G18" s="2559">
        <v>91568.45</v>
      </c>
      <c r="H18" s="2559">
        <v>91568.45</v>
      </c>
      <c r="J18" s="2550">
        <v>4</v>
      </c>
      <c r="K18" s="2553" t="s">
        <v>7219</v>
      </c>
      <c r="L18" s="2551" t="e">
        <f t="shared" si="0"/>
        <v>#N/A</v>
      </c>
      <c r="P18" s="2560"/>
      <c r="R18" s="2951" t="s">
        <v>6966</v>
      </c>
      <c r="S18" s="2551">
        <v>5</v>
      </c>
      <c r="W18" s="2979"/>
    </row>
    <row r="19" spans="1:23" hidden="1">
      <c r="A19" s="2551">
        <v>1010503</v>
      </c>
      <c r="B19" s="2551" t="s">
        <v>7226</v>
      </c>
      <c r="C19" s="2550">
        <v>6</v>
      </c>
      <c r="D19" s="2551" t="s">
        <v>7223</v>
      </c>
      <c r="E19" s="2550" t="s">
        <v>7215</v>
      </c>
      <c r="F19" s="2551">
        <v>121</v>
      </c>
      <c r="G19" s="2559">
        <v>87403.43</v>
      </c>
      <c r="H19" s="2559">
        <v>87403.43</v>
      </c>
      <c r="J19" s="2550">
        <v>4</v>
      </c>
      <c r="K19" s="2553" t="s">
        <v>7219</v>
      </c>
      <c r="L19" s="2551" t="e">
        <f t="shared" si="0"/>
        <v>#N/A</v>
      </c>
      <c r="P19" s="2561"/>
      <c r="R19" s="2951" t="s">
        <v>6966</v>
      </c>
      <c r="S19" s="2551">
        <v>5</v>
      </c>
      <c r="W19" s="2979"/>
    </row>
    <row r="20" spans="1:23" hidden="1">
      <c r="A20" s="2551">
        <v>1010504</v>
      </c>
      <c r="B20" s="2551" t="s">
        <v>6751</v>
      </c>
      <c r="C20" s="2550">
        <v>6</v>
      </c>
      <c r="D20" s="2551" t="s">
        <v>7223</v>
      </c>
      <c r="E20" s="2550" t="s">
        <v>7215</v>
      </c>
      <c r="F20" s="2551">
        <v>121</v>
      </c>
      <c r="G20" s="2559">
        <v>41822.36</v>
      </c>
      <c r="H20" s="2559">
        <v>41822.36</v>
      </c>
      <c r="J20" s="2550">
        <v>4</v>
      </c>
      <c r="K20" s="2553" t="s">
        <v>7219</v>
      </c>
      <c r="L20" s="2551" t="e">
        <f t="shared" si="0"/>
        <v>#N/A</v>
      </c>
      <c r="P20" s="1891"/>
      <c r="R20" s="2951" t="s">
        <v>6966</v>
      </c>
      <c r="S20" s="2551">
        <v>5</v>
      </c>
      <c r="W20" s="2979"/>
    </row>
    <row r="21" spans="1:23" hidden="1">
      <c r="A21" s="2551">
        <v>1010514</v>
      </c>
      <c r="B21" s="2551" t="s">
        <v>7227</v>
      </c>
      <c r="C21" s="2550">
        <v>6</v>
      </c>
      <c r="D21" s="2551" t="s">
        <v>7223</v>
      </c>
      <c r="E21" s="2550" t="s">
        <v>7215</v>
      </c>
      <c r="F21" s="2551">
        <v>121</v>
      </c>
      <c r="G21" s="2559">
        <v>11943.66</v>
      </c>
      <c r="H21" s="2559">
        <v>11943.66</v>
      </c>
      <c r="J21" s="2550">
        <v>4</v>
      </c>
      <c r="K21" s="2553" t="s">
        <v>7219</v>
      </c>
      <c r="L21" s="2551" t="e">
        <f t="shared" si="0"/>
        <v>#N/A</v>
      </c>
      <c r="P21" s="1891"/>
      <c r="R21" s="2951" t="s">
        <v>6966</v>
      </c>
      <c r="S21" s="2551">
        <v>5</v>
      </c>
      <c r="W21" s="2979"/>
    </row>
    <row r="22" spans="1:23" hidden="1">
      <c r="A22" s="2551">
        <v>1010516</v>
      </c>
      <c r="B22" s="2551" t="s">
        <v>7228</v>
      </c>
      <c r="C22" s="2550">
        <v>6</v>
      </c>
      <c r="D22" s="2551" t="s">
        <v>7223</v>
      </c>
      <c r="E22" s="2550" t="s">
        <v>7215</v>
      </c>
      <c r="F22" s="2551">
        <v>121</v>
      </c>
      <c r="G22" s="2559">
        <v>1812671.83</v>
      </c>
      <c r="H22" s="2559">
        <v>1812671.83</v>
      </c>
      <c r="J22" s="2550">
        <v>4</v>
      </c>
      <c r="K22" s="2553" t="s">
        <v>7219</v>
      </c>
      <c r="L22" s="2551" t="e">
        <f t="shared" si="0"/>
        <v>#N/A</v>
      </c>
      <c r="P22" s="1891"/>
      <c r="R22" s="2951" t="s">
        <v>6966</v>
      </c>
      <c r="S22" s="2551">
        <v>5</v>
      </c>
      <c r="W22" s="2979"/>
    </row>
    <row r="23" spans="1:23" hidden="1">
      <c r="A23" s="2551">
        <v>1010541</v>
      </c>
      <c r="B23" s="2551" t="s">
        <v>7229</v>
      </c>
      <c r="C23" s="2550">
        <v>6</v>
      </c>
      <c r="D23" s="2551" t="s">
        <v>7223</v>
      </c>
      <c r="E23" s="2550" t="s">
        <v>7215</v>
      </c>
      <c r="F23" s="2551">
        <v>121</v>
      </c>
      <c r="G23" s="2559">
        <v>315347733.33999997</v>
      </c>
      <c r="H23" s="2551">
        <v>0</v>
      </c>
      <c r="J23" s="2550">
        <v>4</v>
      </c>
      <c r="K23" s="2553" t="s">
        <v>7219</v>
      </c>
      <c r="L23" s="2551" t="e">
        <f t="shared" si="0"/>
        <v>#N/A</v>
      </c>
      <c r="P23" s="1891"/>
      <c r="R23" s="2951" t="s">
        <v>6966</v>
      </c>
      <c r="S23" s="2551">
        <v>5</v>
      </c>
      <c r="W23" s="2979"/>
    </row>
    <row r="24" spans="1:23" hidden="1">
      <c r="A24" s="2551">
        <v>1010542</v>
      </c>
      <c r="B24" s="2551" t="s">
        <v>2045</v>
      </c>
      <c r="C24" s="2550">
        <v>6</v>
      </c>
      <c r="D24" s="2551" t="s">
        <v>7223</v>
      </c>
      <c r="E24" s="2550" t="s">
        <v>7215</v>
      </c>
      <c r="F24" s="2551">
        <v>121</v>
      </c>
      <c r="G24" s="2559">
        <v>864883062.33000004</v>
      </c>
      <c r="H24" s="2559">
        <v>864883062.33000004</v>
      </c>
      <c r="J24" s="2550">
        <v>4</v>
      </c>
      <c r="K24" s="2553" t="s">
        <v>7219</v>
      </c>
      <c r="L24" s="2551" t="e">
        <f t="shared" si="0"/>
        <v>#N/A</v>
      </c>
      <c r="P24" s="1891"/>
      <c r="R24" s="2951" t="s">
        <v>6966</v>
      </c>
      <c r="S24" s="2551">
        <v>5</v>
      </c>
      <c r="W24" s="2979"/>
    </row>
    <row r="25" spans="1:23" hidden="1">
      <c r="A25" s="2551">
        <v>1010543</v>
      </c>
      <c r="B25" s="2551" t="s">
        <v>7230</v>
      </c>
      <c r="C25" s="2550">
        <v>6</v>
      </c>
      <c r="D25" s="2551" t="s">
        <v>7223</v>
      </c>
      <c r="E25" s="2550" t="s">
        <v>7215</v>
      </c>
      <c r="F25" s="2551">
        <v>121</v>
      </c>
      <c r="G25" s="2559">
        <v>18011247.719999999</v>
      </c>
      <c r="H25" s="2559">
        <v>206758804.72</v>
      </c>
      <c r="J25" s="2550">
        <v>4</v>
      </c>
      <c r="K25" s="2553" t="s">
        <v>7219</v>
      </c>
      <c r="L25" s="2551" t="e">
        <f t="shared" si="0"/>
        <v>#N/A</v>
      </c>
      <c r="P25" s="1891"/>
      <c r="R25" s="2951" t="s">
        <v>6966</v>
      </c>
      <c r="S25" s="2551">
        <v>5</v>
      </c>
      <c r="W25" s="2979"/>
    </row>
    <row r="26" spans="1:23" hidden="1">
      <c r="A26" s="2551">
        <v>1010551</v>
      </c>
      <c r="B26" s="2551" t="s">
        <v>7231</v>
      </c>
      <c r="C26" s="2550">
        <v>6</v>
      </c>
      <c r="D26" s="2551" t="s">
        <v>7223</v>
      </c>
      <c r="E26" s="2550" t="s">
        <v>7215</v>
      </c>
      <c r="F26" s="2551">
        <v>121</v>
      </c>
      <c r="G26" s="2559">
        <v>1152356.3899999999</v>
      </c>
      <c r="H26" s="2559">
        <v>1152356.3899999999</v>
      </c>
      <c r="J26" s="2550">
        <v>4</v>
      </c>
      <c r="K26" s="2553" t="s">
        <v>7219</v>
      </c>
      <c r="L26" s="2551" t="e">
        <f t="shared" si="0"/>
        <v>#N/A</v>
      </c>
      <c r="P26" s="1891"/>
      <c r="R26" s="2951" t="s">
        <v>6966</v>
      </c>
      <c r="S26" s="2551">
        <v>5</v>
      </c>
      <c r="W26" s="2979"/>
    </row>
    <row r="27" spans="1:23" hidden="1">
      <c r="A27" s="2551">
        <v>1010553</v>
      </c>
      <c r="B27" s="2551" t="s">
        <v>6757</v>
      </c>
      <c r="C27" s="2550">
        <v>6</v>
      </c>
      <c r="D27" s="2551" t="s">
        <v>7223</v>
      </c>
      <c r="E27" s="2550" t="s">
        <v>7215</v>
      </c>
      <c r="F27" s="2551">
        <v>121</v>
      </c>
      <c r="G27" s="2559">
        <v>631014.1</v>
      </c>
      <c r="H27" s="2559">
        <v>631014.1</v>
      </c>
      <c r="J27" s="2550">
        <v>4</v>
      </c>
      <c r="K27" s="2553" t="s">
        <v>7219</v>
      </c>
      <c r="L27" s="2551" t="e">
        <f t="shared" si="0"/>
        <v>#N/A</v>
      </c>
      <c r="P27" s="1891"/>
      <c r="R27" s="2951" t="s">
        <v>6966</v>
      </c>
      <c r="S27" s="2551">
        <v>5</v>
      </c>
      <c r="W27" s="2979"/>
    </row>
    <row r="28" spans="1:23" hidden="1">
      <c r="A28" s="2551">
        <v>1010555</v>
      </c>
      <c r="B28" s="2551" t="s">
        <v>6758</v>
      </c>
      <c r="C28" s="2550">
        <v>6</v>
      </c>
      <c r="D28" s="2551" t="s">
        <v>7223</v>
      </c>
      <c r="E28" s="2550" t="s">
        <v>7215</v>
      </c>
      <c r="F28" s="2551">
        <v>121</v>
      </c>
      <c r="G28" s="2559">
        <v>224661.63</v>
      </c>
      <c r="H28" s="2559">
        <v>224661.63</v>
      </c>
      <c r="J28" s="2550">
        <v>4</v>
      </c>
      <c r="K28" s="2553" t="s">
        <v>7219</v>
      </c>
      <c r="L28" s="2551" t="e">
        <f t="shared" si="0"/>
        <v>#N/A</v>
      </c>
      <c r="P28" s="1891"/>
      <c r="R28" s="2951" t="s">
        <v>6966</v>
      </c>
      <c r="S28" s="2551">
        <v>5</v>
      </c>
      <c r="W28" s="2979"/>
    </row>
    <row r="29" spans="1:23" hidden="1">
      <c r="A29" s="2551">
        <v>1010561</v>
      </c>
      <c r="B29" s="2551" t="s">
        <v>6759</v>
      </c>
      <c r="C29" s="2550">
        <v>6</v>
      </c>
      <c r="D29" s="2551" t="s">
        <v>7223</v>
      </c>
      <c r="E29" s="2550" t="s">
        <v>7215</v>
      </c>
      <c r="F29" s="2551">
        <v>121</v>
      </c>
      <c r="G29" s="2559">
        <v>1095784.1100000001</v>
      </c>
      <c r="H29" s="2559">
        <v>1095784.1100000001</v>
      </c>
      <c r="J29" s="2550">
        <v>4</v>
      </c>
      <c r="K29" s="2553" t="s">
        <v>7219</v>
      </c>
      <c r="L29" s="2551" t="e">
        <f t="shared" si="0"/>
        <v>#N/A</v>
      </c>
      <c r="P29" s="1891"/>
      <c r="R29" s="2951" t="s">
        <v>6966</v>
      </c>
      <c r="S29" s="2551">
        <v>6</v>
      </c>
      <c r="W29" s="2979"/>
    </row>
    <row r="30" spans="1:23" hidden="1">
      <c r="A30" s="2551">
        <v>1010563</v>
      </c>
      <c r="B30" s="2551" t="s">
        <v>6760</v>
      </c>
      <c r="C30" s="2550">
        <v>6</v>
      </c>
      <c r="D30" s="2551" t="s">
        <v>7223</v>
      </c>
      <c r="E30" s="2550" t="s">
        <v>7215</v>
      </c>
      <c r="F30" s="2551">
        <v>121</v>
      </c>
      <c r="G30" s="2559">
        <v>1227594.97</v>
      </c>
      <c r="H30" s="2559">
        <v>1213894.97</v>
      </c>
      <c r="J30" s="2550">
        <v>4</v>
      </c>
      <c r="K30" s="2553" t="s">
        <v>7219</v>
      </c>
      <c r="L30" s="2551" t="e">
        <f t="shared" si="0"/>
        <v>#N/A</v>
      </c>
      <c r="P30" s="1891"/>
      <c r="R30" s="2951" t="s">
        <v>6966</v>
      </c>
      <c r="S30" s="2551">
        <v>5</v>
      </c>
      <c r="W30" s="2979"/>
    </row>
    <row r="31" spans="1:23" hidden="1">
      <c r="A31" s="2551">
        <v>1010565</v>
      </c>
      <c r="B31" s="2551" t="s">
        <v>7232</v>
      </c>
      <c r="C31" s="2550">
        <v>6</v>
      </c>
      <c r="D31" s="2551" t="s">
        <v>7223</v>
      </c>
      <c r="E31" s="2550" t="s">
        <v>7215</v>
      </c>
      <c r="F31" s="2551">
        <v>121</v>
      </c>
      <c r="G31" s="2559">
        <v>88531</v>
      </c>
      <c r="H31" s="2559">
        <v>88531</v>
      </c>
      <c r="J31" s="2550">
        <v>4</v>
      </c>
      <c r="K31" s="2553" t="s">
        <v>7219</v>
      </c>
      <c r="L31" s="2551" t="e">
        <f t="shared" si="0"/>
        <v>#N/A</v>
      </c>
      <c r="P31" s="1891"/>
      <c r="R31" s="2951" t="s">
        <v>6966</v>
      </c>
      <c r="S31" s="2551">
        <v>5</v>
      </c>
      <c r="W31" s="2979"/>
    </row>
    <row r="32" spans="1:23" hidden="1">
      <c r="A32" s="2551">
        <v>1010566</v>
      </c>
      <c r="B32" s="2551" t="s">
        <v>7233</v>
      </c>
      <c r="C32" s="2550">
        <v>6</v>
      </c>
      <c r="D32" s="2551" t="s">
        <v>7223</v>
      </c>
      <c r="E32" s="2550" t="s">
        <v>7215</v>
      </c>
      <c r="F32" s="2551">
        <v>121</v>
      </c>
      <c r="G32" s="2559">
        <v>7221.24</v>
      </c>
      <c r="H32" s="2559">
        <v>7221.24</v>
      </c>
      <c r="J32" s="2550">
        <v>4</v>
      </c>
      <c r="K32" s="2553" t="s">
        <v>7219</v>
      </c>
      <c r="L32" s="2551" t="e">
        <f t="shared" si="0"/>
        <v>#N/A</v>
      </c>
      <c r="P32" s="1891"/>
      <c r="R32" s="2951" t="s">
        <v>6966</v>
      </c>
      <c r="S32" s="2551">
        <v>5</v>
      </c>
      <c r="W32" s="2979"/>
    </row>
    <row r="33" spans="1:23" hidden="1">
      <c r="A33" s="2551">
        <v>1010567</v>
      </c>
      <c r="B33" s="2551" t="s">
        <v>6763</v>
      </c>
      <c r="C33" s="2550">
        <v>6</v>
      </c>
      <c r="D33" s="2551" t="s">
        <v>7223</v>
      </c>
      <c r="E33" s="2550" t="s">
        <v>7215</v>
      </c>
      <c r="F33" s="2551">
        <v>121</v>
      </c>
      <c r="G33" s="2559">
        <v>2134265.8199999998</v>
      </c>
      <c r="H33" s="2559">
        <v>2134265.8199999998</v>
      </c>
      <c r="J33" s="2550">
        <v>4</v>
      </c>
      <c r="K33" s="2553" t="s">
        <v>7219</v>
      </c>
      <c r="L33" s="2551" t="e">
        <f t="shared" si="0"/>
        <v>#N/A</v>
      </c>
      <c r="P33" s="1891"/>
      <c r="R33" s="2951" t="s">
        <v>6966</v>
      </c>
      <c r="S33" s="2551">
        <v>5</v>
      </c>
      <c r="W33" s="2979"/>
    </row>
    <row r="34" spans="1:23" hidden="1">
      <c r="A34" s="2551">
        <v>1010571</v>
      </c>
      <c r="B34" s="2551" t="s">
        <v>7234</v>
      </c>
      <c r="C34" s="2550">
        <v>6</v>
      </c>
      <c r="D34" s="2551" t="s">
        <v>7223</v>
      </c>
      <c r="E34" s="2550" t="s">
        <v>7215</v>
      </c>
      <c r="F34" s="2551">
        <v>121</v>
      </c>
      <c r="G34" s="2559">
        <v>3410331.77</v>
      </c>
      <c r="H34" s="2559">
        <v>3410331.77</v>
      </c>
      <c r="J34" s="2550">
        <v>4</v>
      </c>
      <c r="K34" s="2553" t="s">
        <v>7219</v>
      </c>
      <c r="L34" s="2551" t="e">
        <f t="shared" si="0"/>
        <v>#N/A</v>
      </c>
      <c r="P34" s="1891"/>
      <c r="R34" s="2951" t="s">
        <v>6966</v>
      </c>
      <c r="S34" s="2551">
        <v>5</v>
      </c>
      <c r="W34" s="2979"/>
    </row>
    <row r="35" spans="1:23" hidden="1">
      <c r="A35" s="2551">
        <v>1010572</v>
      </c>
      <c r="B35" s="2551" t="s">
        <v>7235</v>
      </c>
      <c r="C35" s="2550">
        <v>6</v>
      </c>
      <c r="D35" s="2551" t="s">
        <v>7223</v>
      </c>
      <c r="E35" s="2550" t="s">
        <v>7215</v>
      </c>
      <c r="F35" s="2551">
        <v>121</v>
      </c>
      <c r="G35" s="2559">
        <v>1768100.01</v>
      </c>
      <c r="H35" s="2559">
        <v>1988590.01</v>
      </c>
      <c r="J35" s="2550">
        <v>4</v>
      </c>
      <c r="K35" s="2553" t="s">
        <v>7219</v>
      </c>
      <c r="L35" s="2551" t="e">
        <f t="shared" si="0"/>
        <v>#N/A</v>
      </c>
      <c r="P35" s="1891"/>
      <c r="R35" s="2951" t="s">
        <v>6966</v>
      </c>
      <c r="S35" s="2551">
        <v>5</v>
      </c>
      <c r="W35" s="2979"/>
    </row>
    <row r="36" spans="1:23" hidden="1">
      <c r="A36" s="2551">
        <v>1010574</v>
      </c>
      <c r="B36" s="2551" t="s">
        <v>6765</v>
      </c>
      <c r="C36" s="2550">
        <v>6</v>
      </c>
      <c r="D36" s="2551" t="s">
        <v>7223</v>
      </c>
      <c r="E36" s="2550" t="s">
        <v>7215</v>
      </c>
      <c r="F36" s="2551">
        <v>121</v>
      </c>
      <c r="G36" s="2559">
        <v>329067.93</v>
      </c>
      <c r="H36" s="2559">
        <v>329067.93</v>
      </c>
      <c r="J36" s="2550">
        <v>4</v>
      </c>
      <c r="K36" s="2553" t="s">
        <v>7219</v>
      </c>
      <c r="L36" s="2551" t="e">
        <f t="shared" si="0"/>
        <v>#N/A</v>
      </c>
      <c r="P36" s="1892"/>
      <c r="R36" s="2951" t="s">
        <v>6966</v>
      </c>
      <c r="S36" s="2551">
        <v>5</v>
      </c>
      <c r="W36" s="2979"/>
    </row>
    <row r="37" spans="1:23" hidden="1">
      <c r="A37" s="2551">
        <v>1010577</v>
      </c>
      <c r="B37" s="2551" t="s">
        <v>5630</v>
      </c>
      <c r="C37" s="2550">
        <v>6</v>
      </c>
      <c r="D37" s="2551" t="s">
        <v>7223</v>
      </c>
      <c r="E37" s="2550" t="s">
        <v>7215</v>
      </c>
      <c r="F37" s="2551">
        <v>121</v>
      </c>
      <c r="G37" s="2559">
        <v>8668887.9900000002</v>
      </c>
      <c r="H37" s="2559">
        <v>8668887.9900000002</v>
      </c>
      <c r="J37" s="2550">
        <v>4</v>
      </c>
      <c r="K37" s="2553" t="s">
        <v>7219</v>
      </c>
      <c r="L37" s="2551" t="e">
        <f t="shared" si="0"/>
        <v>#N/A</v>
      </c>
      <c r="P37" s="1891"/>
      <c r="R37" s="2951" t="s">
        <v>6966</v>
      </c>
      <c r="S37" s="2551">
        <v>5</v>
      </c>
      <c r="W37" s="2979"/>
    </row>
    <row r="38" spans="1:23" hidden="1">
      <c r="A38" s="2551">
        <v>1010581</v>
      </c>
      <c r="B38" s="2551" t="s">
        <v>7236</v>
      </c>
      <c r="C38" s="2550">
        <v>6</v>
      </c>
      <c r="D38" s="2551" t="s">
        <v>7223</v>
      </c>
      <c r="E38" s="2550" t="s">
        <v>7215</v>
      </c>
      <c r="F38" s="2551">
        <v>121</v>
      </c>
      <c r="G38" s="2559">
        <v>13006956.560000001</v>
      </c>
      <c r="H38" s="2559">
        <v>13006956.560000001</v>
      </c>
      <c r="J38" s="2550">
        <v>4</v>
      </c>
      <c r="K38" s="2553" t="s">
        <v>7219</v>
      </c>
      <c r="L38" s="2551" t="e">
        <f t="shared" si="0"/>
        <v>#N/A</v>
      </c>
      <c r="P38" s="1891"/>
      <c r="R38" s="2951" t="s">
        <v>6966</v>
      </c>
      <c r="S38" s="2551">
        <v>7</v>
      </c>
      <c r="W38" s="2979"/>
    </row>
    <row r="39" spans="1:23" hidden="1">
      <c r="A39" s="2551">
        <v>1010582</v>
      </c>
      <c r="B39" s="2551" t="s">
        <v>6767</v>
      </c>
      <c r="C39" s="2550">
        <v>6</v>
      </c>
      <c r="D39" s="2551" t="s">
        <v>7223</v>
      </c>
      <c r="E39" s="2550" t="s">
        <v>7215</v>
      </c>
      <c r="F39" s="2551">
        <v>121</v>
      </c>
      <c r="G39" s="2559">
        <v>5650.61</v>
      </c>
      <c r="H39" s="2559">
        <v>5650.61</v>
      </c>
      <c r="J39" s="2550">
        <v>4</v>
      </c>
      <c r="K39" s="2553" t="s">
        <v>7219</v>
      </c>
      <c r="L39" s="2551" t="e">
        <f t="shared" si="0"/>
        <v>#N/A</v>
      </c>
      <c r="P39" s="1891"/>
      <c r="R39" s="2951" t="s">
        <v>6966</v>
      </c>
      <c r="S39" s="2551">
        <v>5</v>
      </c>
      <c r="W39" s="2979"/>
    </row>
    <row r="40" spans="1:23" hidden="1">
      <c r="A40" s="2551">
        <v>1010583</v>
      </c>
      <c r="B40" s="2551" t="s">
        <v>7237</v>
      </c>
      <c r="C40" s="2550">
        <v>6</v>
      </c>
      <c r="D40" s="2551" t="s">
        <v>7223</v>
      </c>
      <c r="E40" s="2550" t="s">
        <v>7215</v>
      </c>
      <c r="F40" s="2551">
        <v>121</v>
      </c>
      <c r="G40" s="2559">
        <v>43926997.789999999</v>
      </c>
      <c r="H40" s="2559">
        <v>43926997.789999999</v>
      </c>
      <c r="J40" s="2550">
        <v>4</v>
      </c>
      <c r="K40" s="2553" t="s">
        <v>7219</v>
      </c>
      <c r="L40" s="2551" t="e">
        <f t="shared" si="0"/>
        <v>#N/A</v>
      </c>
      <c r="P40" s="1891"/>
      <c r="R40" s="2951" t="s">
        <v>6966</v>
      </c>
      <c r="S40" s="2551">
        <v>5</v>
      </c>
      <c r="W40" s="2979"/>
    </row>
    <row r="41" spans="1:23" hidden="1">
      <c r="A41" s="2551">
        <v>1010585</v>
      </c>
      <c r="B41" s="2551" t="s">
        <v>6769</v>
      </c>
      <c r="C41" s="2550">
        <v>6</v>
      </c>
      <c r="D41" s="2551" t="s">
        <v>7223</v>
      </c>
      <c r="E41" s="2550" t="s">
        <v>7215</v>
      </c>
      <c r="F41" s="2551">
        <v>121</v>
      </c>
      <c r="G41" s="2559">
        <v>278710.95</v>
      </c>
      <c r="H41" s="2559">
        <v>278710.95</v>
      </c>
      <c r="J41" s="2550">
        <v>4</v>
      </c>
      <c r="K41" s="2553" t="s">
        <v>7219</v>
      </c>
      <c r="L41" s="2551" t="e">
        <f t="shared" si="0"/>
        <v>#N/A</v>
      </c>
      <c r="P41" s="1891"/>
      <c r="R41" s="2951" t="s">
        <v>6966</v>
      </c>
      <c r="S41" s="2551">
        <v>5</v>
      </c>
      <c r="W41" s="2979"/>
    </row>
    <row r="42" spans="1:23" hidden="1">
      <c r="A42" s="2551">
        <v>1010586</v>
      </c>
      <c r="B42" s="2551" t="s">
        <v>6770</v>
      </c>
      <c r="C42" s="2550">
        <v>6</v>
      </c>
      <c r="D42" s="2551" t="s">
        <v>7223</v>
      </c>
      <c r="E42" s="2550" t="s">
        <v>7215</v>
      </c>
      <c r="F42" s="2551">
        <v>121</v>
      </c>
      <c r="G42" s="2559">
        <v>88226.11</v>
      </c>
      <c r="H42" s="2559">
        <v>88226.11</v>
      </c>
      <c r="J42" s="2550">
        <v>4</v>
      </c>
      <c r="K42" s="2553" t="s">
        <v>7219</v>
      </c>
      <c r="L42" s="2551" t="e">
        <f t="shared" si="0"/>
        <v>#N/A</v>
      </c>
      <c r="P42" s="1891"/>
      <c r="R42" s="2951" t="s">
        <v>6966</v>
      </c>
      <c r="S42" s="2551">
        <v>5</v>
      </c>
      <c r="W42" s="2979"/>
    </row>
    <row r="43" spans="1:23" hidden="1">
      <c r="A43" s="2551">
        <v>1010587</v>
      </c>
      <c r="B43" s="2551" t="s">
        <v>6771</v>
      </c>
      <c r="C43" s="2550">
        <v>6</v>
      </c>
      <c r="D43" s="2551" t="s">
        <v>7223</v>
      </c>
      <c r="E43" s="2550" t="s">
        <v>7215</v>
      </c>
      <c r="F43" s="2551">
        <v>121</v>
      </c>
      <c r="G43" s="2559">
        <v>68543.570000000007</v>
      </c>
      <c r="H43" s="2559">
        <v>68543.570000000007</v>
      </c>
      <c r="J43" s="2550">
        <v>4</v>
      </c>
      <c r="K43" s="2553" t="s">
        <v>7219</v>
      </c>
      <c r="L43" s="2551" t="e">
        <f t="shared" si="0"/>
        <v>#N/A</v>
      </c>
      <c r="P43" s="1891"/>
      <c r="R43" s="2951" t="s">
        <v>6966</v>
      </c>
      <c r="S43" s="2551">
        <v>5</v>
      </c>
      <c r="W43" s="2979"/>
    </row>
    <row r="44" spans="1:23" hidden="1">
      <c r="A44" s="2551">
        <v>1010599</v>
      </c>
      <c r="B44" s="2551" t="s">
        <v>6772</v>
      </c>
      <c r="C44" s="2550">
        <v>6</v>
      </c>
      <c r="D44" s="2551" t="s">
        <v>7223</v>
      </c>
      <c r="E44" s="2550" t="s">
        <v>7215</v>
      </c>
      <c r="F44" s="2551">
        <v>121</v>
      </c>
      <c r="G44" s="2559">
        <v>3358270.02</v>
      </c>
      <c r="H44" s="2559">
        <v>3348850.02</v>
      </c>
      <c r="J44" s="2550">
        <v>4</v>
      </c>
      <c r="K44" s="2553" t="s">
        <v>7219</v>
      </c>
      <c r="L44" s="2551" t="e">
        <f t="shared" si="0"/>
        <v>#N/A</v>
      </c>
      <c r="P44" s="1891"/>
      <c r="R44" s="2951" t="s">
        <v>6966</v>
      </c>
      <c r="S44" s="2551">
        <v>5</v>
      </c>
      <c r="W44" s="2979"/>
    </row>
    <row r="45" spans="1:23" hidden="1">
      <c r="A45" s="2562">
        <v>1010601</v>
      </c>
      <c r="B45" s="2562" t="s">
        <v>7238</v>
      </c>
      <c r="C45" s="2563">
        <v>6</v>
      </c>
      <c r="D45" s="2562" t="s">
        <v>7223</v>
      </c>
      <c r="E45" s="2563" t="s">
        <v>7215</v>
      </c>
      <c r="F45" s="2562">
        <v>121</v>
      </c>
      <c r="G45" s="2564">
        <v>573664227.57000005</v>
      </c>
      <c r="H45" s="2562">
        <v>0</v>
      </c>
      <c r="J45" s="2550">
        <v>4</v>
      </c>
      <c r="K45" s="2553" t="s">
        <v>7219</v>
      </c>
      <c r="L45" s="2551" t="e">
        <f t="shared" si="0"/>
        <v>#N/A</v>
      </c>
      <c r="P45" s="1891"/>
      <c r="R45" s="2951" t="s">
        <v>6966</v>
      </c>
      <c r="S45" s="2551">
        <v>5</v>
      </c>
      <c r="W45" s="2979"/>
    </row>
    <row r="46" spans="1:23" hidden="1">
      <c r="A46" s="2551">
        <v>1010602</v>
      </c>
      <c r="B46" s="2551" t="s">
        <v>7239</v>
      </c>
      <c r="C46" s="2550">
        <v>6</v>
      </c>
      <c r="D46" s="2551" t="s">
        <v>7223</v>
      </c>
      <c r="E46" s="2550" t="s">
        <v>7215</v>
      </c>
      <c r="F46" s="2551">
        <v>121</v>
      </c>
      <c r="G46" s="2559">
        <v>927819457.48000002</v>
      </c>
      <c r="H46" s="2559">
        <v>927819457.48000002</v>
      </c>
      <c r="J46" s="2550">
        <v>4</v>
      </c>
      <c r="K46" s="2553" t="s">
        <v>7219</v>
      </c>
      <c r="L46" s="2551" t="e">
        <f t="shared" si="0"/>
        <v>#N/A</v>
      </c>
      <c r="P46" s="1891"/>
      <c r="R46" s="2951" t="s">
        <v>6966</v>
      </c>
      <c r="S46" s="2551">
        <v>5</v>
      </c>
      <c r="W46" s="2979"/>
    </row>
    <row r="47" spans="1:23" hidden="1">
      <c r="A47" s="2551">
        <v>1010603</v>
      </c>
      <c r="B47" s="2551" t="s">
        <v>6775</v>
      </c>
      <c r="C47" s="2550">
        <v>6</v>
      </c>
      <c r="D47" s="2551" t="s">
        <v>7223</v>
      </c>
      <c r="E47" s="2550" t="s">
        <v>7215</v>
      </c>
      <c r="F47" s="2551">
        <v>121</v>
      </c>
      <c r="G47" s="2559">
        <v>3183164798.6799998</v>
      </c>
      <c r="H47" s="2559">
        <v>3183164798.6799998</v>
      </c>
      <c r="J47" s="2550">
        <v>4</v>
      </c>
      <c r="K47" s="2553" t="s">
        <v>7219</v>
      </c>
      <c r="L47" s="2551" t="e">
        <f t="shared" si="0"/>
        <v>#N/A</v>
      </c>
      <c r="P47" s="1891"/>
      <c r="R47" s="2951" t="s">
        <v>6966</v>
      </c>
      <c r="S47" s="2551">
        <v>5</v>
      </c>
      <c r="W47" s="2979"/>
    </row>
    <row r="48" spans="1:23" hidden="1">
      <c r="A48" s="2551">
        <v>1010604</v>
      </c>
      <c r="B48" s="2551" t="s">
        <v>7240</v>
      </c>
      <c r="C48" s="2550">
        <v>6</v>
      </c>
      <c r="D48" s="2551" t="s">
        <v>7223</v>
      </c>
      <c r="E48" s="2550" t="s">
        <v>7215</v>
      </c>
      <c r="F48" s="2551">
        <v>121</v>
      </c>
      <c r="G48" s="2559">
        <v>1340911055.8900001</v>
      </c>
      <c r="H48" s="2559">
        <v>1340911055.8900001</v>
      </c>
      <c r="J48" s="2550">
        <v>4</v>
      </c>
      <c r="K48" s="2553" t="s">
        <v>7219</v>
      </c>
      <c r="L48" s="2551" t="e">
        <f t="shared" si="0"/>
        <v>#N/A</v>
      </c>
      <c r="P48" s="1891"/>
      <c r="R48" s="2951" t="s">
        <v>6966</v>
      </c>
      <c r="S48" s="2551">
        <v>5</v>
      </c>
      <c r="W48" s="2979"/>
    </row>
    <row r="49" spans="1:23" hidden="1">
      <c r="A49" s="2551">
        <v>1010605</v>
      </c>
      <c r="B49" s="2551" t="s">
        <v>7241</v>
      </c>
      <c r="C49" s="2550">
        <v>6</v>
      </c>
      <c r="D49" s="2551" t="s">
        <v>7223</v>
      </c>
      <c r="E49" s="2550" t="s">
        <v>7215</v>
      </c>
      <c r="F49" s="2551">
        <v>121</v>
      </c>
      <c r="G49" s="2559">
        <v>1794.11</v>
      </c>
      <c r="H49" s="2559">
        <v>1794.11</v>
      </c>
      <c r="J49" s="2550">
        <v>4</v>
      </c>
      <c r="K49" s="2553" t="s">
        <v>7219</v>
      </c>
      <c r="L49" s="2551" t="e">
        <f t="shared" si="0"/>
        <v>#N/A</v>
      </c>
      <c r="P49" s="1891"/>
      <c r="R49" s="2951" t="s">
        <v>6966</v>
      </c>
      <c r="S49" s="2551">
        <v>5</v>
      </c>
      <c r="W49" s="2979"/>
    </row>
    <row r="50" spans="1:23" hidden="1">
      <c r="A50" s="2551">
        <v>1010611</v>
      </c>
      <c r="B50" s="2551" t="s">
        <v>7242</v>
      </c>
      <c r="C50" s="2550">
        <v>6</v>
      </c>
      <c r="D50" s="2551" t="s">
        <v>7223</v>
      </c>
      <c r="E50" s="2550" t="s">
        <v>7215</v>
      </c>
      <c r="F50" s="2551">
        <v>121</v>
      </c>
      <c r="G50" s="2559">
        <v>3193147.88</v>
      </c>
      <c r="H50" s="2559">
        <v>3193147.88</v>
      </c>
      <c r="J50" s="2550">
        <v>4</v>
      </c>
      <c r="K50" s="2553" t="s">
        <v>7219</v>
      </c>
      <c r="L50" s="2551" t="e">
        <f t="shared" si="0"/>
        <v>#N/A</v>
      </c>
      <c r="P50" s="1891"/>
      <c r="R50" s="2951" t="s">
        <v>6966</v>
      </c>
      <c r="S50" s="2551">
        <v>6</v>
      </c>
      <c r="W50" s="2979"/>
    </row>
    <row r="51" spans="1:23" hidden="1">
      <c r="A51" s="2551">
        <v>1010612</v>
      </c>
      <c r="B51" s="2551" t="s">
        <v>7242</v>
      </c>
      <c r="C51" s="2550">
        <v>6</v>
      </c>
      <c r="D51" s="2551" t="s">
        <v>7223</v>
      </c>
      <c r="E51" s="2550" t="s">
        <v>7215</v>
      </c>
      <c r="F51" s="2551">
        <v>121</v>
      </c>
      <c r="G51" s="2559">
        <v>49400065.450000003</v>
      </c>
      <c r="H51" s="2559">
        <v>49400065.450000003</v>
      </c>
      <c r="J51" s="2550">
        <v>4</v>
      </c>
      <c r="K51" s="2553" t="s">
        <v>7219</v>
      </c>
      <c r="L51" s="2551" t="e">
        <f t="shared" si="0"/>
        <v>#N/A</v>
      </c>
      <c r="P51" s="1891"/>
      <c r="R51" s="2951" t="s">
        <v>6966</v>
      </c>
      <c r="S51" s="2551">
        <v>6</v>
      </c>
      <c r="W51" s="2979"/>
    </row>
    <row r="52" spans="1:23" hidden="1">
      <c r="A52" s="2551">
        <v>1010613</v>
      </c>
      <c r="B52" s="2551" t="s">
        <v>6780</v>
      </c>
      <c r="C52" s="2550">
        <v>6</v>
      </c>
      <c r="D52" s="2551" t="s">
        <v>7223</v>
      </c>
      <c r="E52" s="2550" t="s">
        <v>7215</v>
      </c>
      <c r="F52" s="2551">
        <v>121</v>
      </c>
      <c r="G52" s="2559">
        <v>66408</v>
      </c>
      <c r="H52" s="2559">
        <v>66408</v>
      </c>
      <c r="J52" s="2550">
        <v>4</v>
      </c>
      <c r="K52" s="2553" t="s">
        <v>7219</v>
      </c>
      <c r="L52" s="2551" t="e">
        <f t="shared" si="0"/>
        <v>#N/A</v>
      </c>
      <c r="P52" s="1891"/>
      <c r="R52" s="2951" t="s">
        <v>6966</v>
      </c>
      <c r="S52" s="2551">
        <v>6</v>
      </c>
      <c r="W52" s="2979"/>
    </row>
    <row r="53" spans="1:23" hidden="1">
      <c r="A53" s="2551">
        <v>1010621</v>
      </c>
      <c r="B53" s="2551" t="s">
        <v>6781</v>
      </c>
      <c r="C53" s="2550">
        <v>6</v>
      </c>
      <c r="D53" s="2551" t="s">
        <v>7223</v>
      </c>
      <c r="E53" s="2550" t="s">
        <v>7215</v>
      </c>
      <c r="F53" s="2551">
        <v>121</v>
      </c>
      <c r="G53" s="2559">
        <v>50164671</v>
      </c>
      <c r="H53" s="2559">
        <v>50164671</v>
      </c>
      <c r="J53" s="2550">
        <v>4</v>
      </c>
      <c r="K53" s="2553" t="s">
        <v>7219</v>
      </c>
      <c r="L53" s="2551" t="e">
        <f t="shared" si="0"/>
        <v>#N/A</v>
      </c>
      <c r="P53" s="1891"/>
      <c r="R53" s="2951" t="s">
        <v>6966</v>
      </c>
      <c r="S53" s="2551">
        <v>5</v>
      </c>
      <c r="W53" s="2979"/>
    </row>
    <row r="54" spans="1:23" hidden="1">
      <c r="A54" s="2551">
        <v>1010622</v>
      </c>
      <c r="B54" s="2551" t="s">
        <v>7243</v>
      </c>
      <c r="C54" s="2550">
        <v>6</v>
      </c>
      <c r="D54" s="2551" t="s">
        <v>7223</v>
      </c>
      <c r="E54" s="2550" t="s">
        <v>7215</v>
      </c>
      <c r="F54" s="2551">
        <v>121</v>
      </c>
      <c r="G54" s="2559">
        <v>1627171652.4300001</v>
      </c>
      <c r="H54" s="2559">
        <v>1627171652.4300001</v>
      </c>
      <c r="J54" s="2550">
        <v>4</v>
      </c>
      <c r="K54" s="2553" t="s">
        <v>7219</v>
      </c>
      <c r="L54" s="2551" t="e">
        <f t="shared" si="0"/>
        <v>#N/A</v>
      </c>
      <c r="P54" s="1891"/>
      <c r="R54" s="2951" t="s">
        <v>6966</v>
      </c>
      <c r="S54" s="2551">
        <v>5</v>
      </c>
      <c r="W54" s="2979"/>
    </row>
    <row r="55" spans="1:23" hidden="1">
      <c r="A55" s="2551">
        <v>1010631</v>
      </c>
      <c r="B55" s="2551" t="s">
        <v>6783</v>
      </c>
      <c r="C55" s="2550">
        <v>6</v>
      </c>
      <c r="D55" s="2551" t="s">
        <v>7223</v>
      </c>
      <c r="E55" s="2550" t="s">
        <v>7215</v>
      </c>
      <c r="F55" s="2551">
        <v>121</v>
      </c>
      <c r="G55" s="2559">
        <v>933975072.67999995</v>
      </c>
      <c r="H55" s="2559">
        <v>933975072.67999995</v>
      </c>
      <c r="J55" s="2550">
        <v>4</v>
      </c>
      <c r="K55" s="2553" t="s">
        <v>7219</v>
      </c>
      <c r="L55" s="2551" t="e">
        <f t="shared" si="0"/>
        <v>#N/A</v>
      </c>
      <c r="P55" s="1891"/>
      <c r="R55" s="2951" t="s">
        <v>6966</v>
      </c>
      <c r="S55" s="2551">
        <v>7</v>
      </c>
      <c r="W55" s="2979"/>
    </row>
    <row r="56" spans="1:23" hidden="1">
      <c r="A56" s="2551">
        <v>1010641</v>
      </c>
      <c r="B56" s="2551" t="s">
        <v>6784</v>
      </c>
      <c r="C56" s="2550">
        <v>6</v>
      </c>
      <c r="D56" s="2551" t="s">
        <v>7223</v>
      </c>
      <c r="E56" s="2550" t="s">
        <v>7215</v>
      </c>
      <c r="F56" s="2551">
        <v>121</v>
      </c>
      <c r="G56" s="2559">
        <v>5873162.4299999997</v>
      </c>
      <c r="H56" s="2559">
        <v>5873162.4299999997</v>
      </c>
      <c r="J56" s="2550">
        <v>4</v>
      </c>
      <c r="K56" s="2553" t="s">
        <v>7219</v>
      </c>
      <c r="L56" s="2551" t="e">
        <f t="shared" si="0"/>
        <v>#N/A</v>
      </c>
      <c r="P56" s="1891"/>
      <c r="R56" s="2951" t="s">
        <v>6966</v>
      </c>
      <c r="S56" s="2551">
        <v>5</v>
      </c>
      <c r="W56" s="2979"/>
    </row>
    <row r="57" spans="1:23" hidden="1">
      <c r="A57" s="2551">
        <v>1010685</v>
      </c>
      <c r="B57" s="2551" t="s">
        <v>6785</v>
      </c>
      <c r="C57" s="2550">
        <v>6</v>
      </c>
      <c r="D57" s="2551" t="s">
        <v>7223</v>
      </c>
      <c r="E57" s="2550" t="s">
        <v>7215</v>
      </c>
      <c r="F57" s="2551">
        <v>121</v>
      </c>
      <c r="G57" s="2559">
        <v>23660734.280000001</v>
      </c>
      <c r="H57" s="2559">
        <v>24023776.280000001</v>
      </c>
      <c r="J57" s="2550">
        <v>4</v>
      </c>
      <c r="K57" s="2553" t="s">
        <v>7219</v>
      </c>
      <c r="L57" s="2551" t="e">
        <f t="shared" si="0"/>
        <v>#N/A</v>
      </c>
      <c r="P57" s="1891"/>
      <c r="R57" s="2951" t="s">
        <v>6966</v>
      </c>
      <c r="S57" s="2551">
        <v>5</v>
      </c>
      <c r="W57" s="2979"/>
    </row>
    <row r="58" spans="1:23" hidden="1">
      <c r="A58" s="2551">
        <v>1040541</v>
      </c>
      <c r="B58" s="2551" t="s">
        <v>7229</v>
      </c>
      <c r="C58" s="2550">
        <v>6</v>
      </c>
      <c r="D58" s="2551" t="s">
        <v>7223</v>
      </c>
      <c r="E58" s="2550" t="s">
        <v>7215</v>
      </c>
      <c r="F58" s="2551">
        <v>121</v>
      </c>
      <c r="G58" s="2559">
        <v>547794183.14999998</v>
      </c>
      <c r="H58" s="2559">
        <v>547794183.14999998</v>
      </c>
      <c r="J58" s="2550">
        <v>4</v>
      </c>
      <c r="K58" s="2553" t="s">
        <v>7219</v>
      </c>
      <c r="L58" s="2551" t="e">
        <f t="shared" si="0"/>
        <v>#N/A</v>
      </c>
      <c r="P58" s="1891"/>
      <c r="R58" s="2951" t="s">
        <v>6966</v>
      </c>
      <c r="S58" s="2551">
        <v>5</v>
      </c>
      <c r="W58" s="2979"/>
    </row>
    <row r="59" spans="1:23" hidden="1">
      <c r="A59" s="2551">
        <v>1040601</v>
      </c>
      <c r="B59" s="2551" t="s">
        <v>7244</v>
      </c>
      <c r="C59" s="2550">
        <v>6</v>
      </c>
      <c r="D59" s="2551" t="s">
        <v>7223</v>
      </c>
      <c r="E59" s="2550" t="s">
        <v>7215</v>
      </c>
      <c r="F59" s="2551">
        <v>121</v>
      </c>
      <c r="G59" s="2559">
        <v>133543.82999999999</v>
      </c>
      <c r="H59" s="2559">
        <v>133543.82999999999</v>
      </c>
      <c r="J59" s="2550">
        <v>4</v>
      </c>
      <c r="K59" s="2553" t="s">
        <v>7219</v>
      </c>
      <c r="L59" s="2551" t="e">
        <f t="shared" si="0"/>
        <v>#N/A</v>
      </c>
      <c r="P59" s="1891"/>
      <c r="R59" s="2951" t="s">
        <v>6966</v>
      </c>
      <c r="S59" s="2551">
        <v>5</v>
      </c>
      <c r="W59" s="2979"/>
    </row>
    <row r="60" spans="1:23" hidden="1">
      <c r="A60" s="2551">
        <v>1010715</v>
      </c>
      <c r="B60" s="2551" t="s">
        <v>7245</v>
      </c>
      <c r="C60" s="2551">
        <v>6</v>
      </c>
      <c r="D60" s="2551" t="s">
        <v>752</v>
      </c>
      <c r="E60" s="2550" t="s">
        <v>7215</v>
      </c>
      <c r="F60" s="2551">
        <v>122</v>
      </c>
      <c r="G60" s="2559">
        <v>10027081</v>
      </c>
      <c r="H60" s="2551">
        <v>0</v>
      </c>
      <c r="J60" s="2550">
        <v>4</v>
      </c>
      <c r="K60" s="2553" t="s">
        <v>7219</v>
      </c>
      <c r="L60" s="2551" t="e">
        <f t="shared" si="0"/>
        <v>#N/A</v>
      </c>
      <c r="P60" s="1891"/>
      <c r="R60" s="2951" t="s">
        <v>6966</v>
      </c>
      <c r="S60" s="2551">
        <v>8</v>
      </c>
      <c r="W60" s="2979"/>
    </row>
    <row r="61" spans="1:23" hidden="1">
      <c r="A61" s="2551">
        <v>1010730</v>
      </c>
      <c r="B61" s="2551" t="s">
        <v>6787</v>
      </c>
      <c r="C61" s="2551">
        <v>6</v>
      </c>
      <c r="D61" s="2551" t="s">
        <v>752</v>
      </c>
      <c r="E61" s="2550" t="s">
        <v>7215</v>
      </c>
      <c r="F61" s="2551">
        <v>122</v>
      </c>
      <c r="G61" s="2559">
        <v>15955.42</v>
      </c>
      <c r="H61" s="2559">
        <v>15955.42</v>
      </c>
      <c r="J61" s="2550">
        <v>4</v>
      </c>
      <c r="K61" s="2553" t="s">
        <v>7219</v>
      </c>
      <c r="L61" s="2551" t="e">
        <f t="shared" si="0"/>
        <v>#N/A</v>
      </c>
      <c r="P61" s="1891"/>
      <c r="R61" s="2951" t="s">
        <v>6966</v>
      </c>
      <c r="S61" s="2551">
        <v>8</v>
      </c>
      <c r="W61" s="2979"/>
    </row>
    <row r="62" spans="1:23" hidden="1">
      <c r="A62" s="2551">
        <v>1010745</v>
      </c>
      <c r="B62" s="2551" t="s">
        <v>2091</v>
      </c>
      <c r="C62" s="2551">
        <v>6</v>
      </c>
      <c r="D62" s="2551" t="s">
        <v>752</v>
      </c>
      <c r="E62" s="2550" t="s">
        <v>7215</v>
      </c>
      <c r="F62" s="2551">
        <v>122</v>
      </c>
      <c r="G62" s="2559">
        <v>1942</v>
      </c>
      <c r="H62" s="2559">
        <v>1942</v>
      </c>
      <c r="J62" s="2550">
        <v>4</v>
      </c>
      <c r="K62" s="2553" t="s">
        <v>7219</v>
      </c>
      <c r="L62" s="2551" t="e">
        <f t="shared" si="0"/>
        <v>#N/A</v>
      </c>
      <c r="P62" s="1892"/>
      <c r="R62" s="2951" t="s">
        <v>6966</v>
      </c>
      <c r="S62" s="2551">
        <v>8</v>
      </c>
      <c r="W62" s="2979"/>
    </row>
    <row r="63" spans="1:23" hidden="1">
      <c r="A63" s="2551">
        <v>1040715</v>
      </c>
      <c r="B63" s="2551" t="s">
        <v>5824</v>
      </c>
      <c r="C63" s="2551">
        <v>6</v>
      </c>
      <c r="D63" s="2551" t="s">
        <v>752</v>
      </c>
      <c r="E63" s="2550" t="s">
        <v>7215</v>
      </c>
      <c r="F63" s="2551">
        <v>122</v>
      </c>
      <c r="G63" s="2559">
        <v>12778938.76</v>
      </c>
      <c r="H63" s="2559">
        <v>16251878.76</v>
      </c>
      <c r="J63" s="2550">
        <v>4</v>
      </c>
      <c r="K63" s="2553" t="s">
        <v>7219</v>
      </c>
      <c r="L63" s="2551" t="e">
        <f t="shared" si="0"/>
        <v>#N/A</v>
      </c>
      <c r="P63" s="2565"/>
      <c r="R63" s="2951" t="s">
        <v>6966</v>
      </c>
      <c r="S63" s="2551">
        <v>8</v>
      </c>
      <c r="W63" s="2979"/>
    </row>
    <row r="64" spans="1:23" hidden="1">
      <c r="A64" s="2551">
        <v>1010810</v>
      </c>
      <c r="B64" s="2551" t="s">
        <v>6788</v>
      </c>
      <c r="C64" s="2551">
        <v>6</v>
      </c>
      <c r="D64" s="2551" t="s">
        <v>751</v>
      </c>
      <c r="E64" s="2550" t="s">
        <v>7215</v>
      </c>
      <c r="F64" s="2551">
        <v>123</v>
      </c>
      <c r="G64" s="2559">
        <v>54277062.060000002</v>
      </c>
      <c r="H64" s="2551">
        <v>0</v>
      </c>
      <c r="J64" s="2550">
        <v>4</v>
      </c>
      <c r="K64" s="2553" t="s">
        <v>7219</v>
      </c>
      <c r="L64" s="2551" t="e">
        <f t="shared" si="0"/>
        <v>#N/A</v>
      </c>
      <c r="P64" s="2565"/>
      <c r="R64" s="2951" t="s">
        <v>6966</v>
      </c>
      <c r="S64" s="2551">
        <v>9</v>
      </c>
      <c r="W64" s="2979"/>
    </row>
    <row r="65" spans="1:23" hidden="1">
      <c r="A65" s="2551">
        <v>1010820</v>
      </c>
      <c r="B65" s="2551" t="s">
        <v>7246</v>
      </c>
      <c r="C65" s="2551">
        <v>6</v>
      </c>
      <c r="D65" s="2551" t="s">
        <v>751</v>
      </c>
      <c r="E65" s="2550" t="s">
        <v>7215</v>
      </c>
      <c r="F65" s="2551">
        <v>123</v>
      </c>
      <c r="G65" s="2559">
        <v>15996793.98</v>
      </c>
      <c r="H65" s="2559">
        <v>17267573.98</v>
      </c>
      <c r="J65" s="2550">
        <v>4</v>
      </c>
      <c r="K65" s="2553" t="s">
        <v>7219</v>
      </c>
      <c r="L65" s="2551" t="e">
        <f t="shared" si="0"/>
        <v>#N/A</v>
      </c>
      <c r="P65" s="2566"/>
      <c r="R65" s="2951" t="s">
        <v>6966</v>
      </c>
      <c r="S65" s="2551">
        <v>9</v>
      </c>
      <c r="W65" s="2979"/>
    </row>
    <row r="66" spans="1:23" hidden="1">
      <c r="A66" s="2551">
        <v>1010850</v>
      </c>
      <c r="B66" s="2551" t="s">
        <v>7247</v>
      </c>
      <c r="C66" s="2551">
        <v>6</v>
      </c>
      <c r="D66" s="2551" t="s">
        <v>751</v>
      </c>
      <c r="E66" s="2550" t="s">
        <v>7215</v>
      </c>
      <c r="F66" s="2551">
        <v>123</v>
      </c>
      <c r="G66" s="2551">
        <v>500</v>
      </c>
      <c r="H66" s="2551">
        <v>0</v>
      </c>
      <c r="J66" s="2550">
        <v>4</v>
      </c>
      <c r="K66" s="2553" t="s">
        <v>7219</v>
      </c>
      <c r="L66" s="2551" t="e">
        <f t="shared" si="0"/>
        <v>#N/A</v>
      </c>
      <c r="R66" s="2951" t="s">
        <v>6966</v>
      </c>
      <c r="S66" s="2551">
        <v>9</v>
      </c>
      <c r="W66" s="2979"/>
    </row>
    <row r="67" spans="1:23" hidden="1">
      <c r="A67" s="2551">
        <v>1010860</v>
      </c>
      <c r="B67" s="2551" t="s">
        <v>7247</v>
      </c>
      <c r="C67" s="2551">
        <v>6</v>
      </c>
      <c r="D67" s="2551" t="s">
        <v>751</v>
      </c>
      <c r="E67" s="2550" t="s">
        <v>7215</v>
      </c>
      <c r="F67" s="2551">
        <v>123</v>
      </c>
      <c r="G67" s="2559">
        <v>20660</v>
      </c>
      <c r="H67" s="2551">
        <v>0</v>
      </c>
      <c r="J67" s="2550">
        <v>4</v>
      </c>
      <c r="K67" s="2553" t="s">
        <v>7219</v>
      </c>
      <c r="L67" s="2551" t="e">
        <f t="shared" si="0"/>
        <v>#N/A</v>
      </c>
      <c r="R67" s="2951" t="s">
        <v>6966</v>
      </c>
      <c r="S67" s="2551">
        <v>9</v>
      </c>
      <c r="W67" s="2979"/>
    </row>
    <row r="68" spans="1:23" hidden="1">
      <c r="A68" s="2551">
        <v>1040810</v>
      </c>
      <c r="B68" s="2551" t="s">
        <v>5825</v>
      </c>
      <c r="C68" s="2551">
        <v>6</v>
      </c>
      <c r="D68" s="2551" t="s">
        <v>751</v>
      </c>
      <c r="E68" s="2550" t="s">
        <v>7215</v>
      </c>
      <c r="F68" s="2551">
        <v>123</v>
      </c>
      <c r="G68" s="2559">
        <v>2812107.01</v>
      </c>
      <c r="H68" s="2559">
        <v>2813607.01</v>
      </c>
      <c r="J68" s="2550">
        <v>4</v>
      </c>
      <c r="K68" s="2553" t="s">
        <v>7219</v>
      </c>
      <c r="L68" s="2551" t="e">
        <f t="shared" ref="L68:L131" si="1">VLOOKUP(A68,P:P,1,0)</f>
        <v>#N/A</v>
      </c>
      <c r="R68" s="2951" t="s">
        <v>6966</v>
      </c>
      <c r="S68" s="2551">
        <v>9</v>
      </c>
      <c r="W68" s="2979"/>
    </row>
    <row r="69" spans="1:23" hidden="1">
      <c r="A69" s="2551">
        <v>1010901</v>
      </c>
      <c r="B69" s="2551" t="s">
        <v>7248</v>
      </c>
      <c r="C69" s="2551">
        <v>6</v>
      </c>
      <c r="D69" s="2551" t="s">
        <v>1692</v>
      </c>
      <c r="E69" s="2550" t="s">
        <v>7215</v>
      </c>
      <c r="F69" s="2551">
        <v>124</v>
      </c>
      <c r="G69" s="2559">
        <v>11661535.199999999</v>
      </c>
      <c r="H69" s="2551">
        <v>0</v>
      </c>
      <c r="J69" s="2550">
        <v>4</v>
      </c>
      <c r="K69" s="2553" t="s">
        <v>7219</v>
      </c>
      <c r="L69" s="2551" t="e">
        <f t="shared" si="1"/>
        <v>#N/A</v>
      </c>
      <c r="R69" s="2951" t="s">
        <v>6966</v>
      </c>
      <c r="S69" s="2551">
        <v>10</v>
      </c>
      <c r="W69" s="2979"/>
    </row>
    <row r="70" spans="1:23" hidden="1">
      <c r="A70" s="2551">
        <v>1010902</v>
      </c>
      <c r="B70" s="2551" t="s">
        <v>6790</v>
      </c>
      <c r="C70" s="2551">
        <v>6</v>
      </c>
      <c r="D70" s="2551" t="s">
        <v>1692</v>
      </c>
      <c r="E70" s="2550" t="s">
        <v>7215</v>
      </c>
      <c r="F70" s="2551">
        <v>124</v>
      </c>
      <c r="G70" s="2559">
        <v>66750.27</v>
      </c>
      <c r="H70" s="2559">
        <v>66750.27</v>
      </c>
      <c r="J70" s="2550">
        <v>4</v>
      </c>
      <c r="K70" s="2553" t="s">
        <v>7219</v>
      </c>
      <c r="L70" s="2551" t="e">
        <f t="shared" si="1"/>
        <v>#N/A</v>
      </c>
      <c r="R70" s="2951" t="s">
        <v>6966</v>
      </c>
      <c r="S70" s="2551">
        <v>10</v>
      </c>
      <c r="W70" s="2979"/>
    </row>
    <row r="71" spans="1:23" hidden="1">
      <c r="A71" s="2551">
        <v>1010903</v>
      </c>
      <c r="B71" s="2551" t="s">
        <v>6791</v>
      </c>
      <c r="C71" s="2551">
        <v>6</v>
      </c>
      <c r="D71" s="2551" t="s">
        <v>1692</v>
      </c>
      <c r="E71" s="2550" t="s">
        <v>7215</v>
      </c>
      <c r="F71" s="2551">
        <v>124</v>
      </c>
      <c r="G71" s="2559">
        <v>241745.68</v>
      </c>
      <c r="H71" s="2559">
        <v>241745.68</v>
      </c>
      <c r="J71" s="2550">
        <v>4</v>
      </c>
      <c r="K71" s="2553" t="s">
        <v>7219</v>
      </c>
      <c r="L71" s="2551" t="e">
        <f t="shared" si="1"/>
        <v>#N/A</v>
      </c>
      <c r="R71" s="2951" t="s">
        <v>6966</v>
      </c>
      <c r="S71" s="2551">
        <v>10</v>
      </c>
      <c r="W71" s="2979"/>
    </row>
    <row r="72" spans="1:23" hidden="1">
      <c r="A72" s="2551">
        <v>1010904</v>
      </c>
      <c r="B72" s="2551" t="s">
        <v>6792</v>
      </c>
      <c r="C72" s="2551">
        <v>6</v>
      </c>
      <c r="D72" s="2551" t="s">
        <v>1692</v>
      </c>
      <c r="E72" s="2550" t="s">
        <v>7215</v>
      </c>
      <c r="F72" s="2551">
        <v>124</v>
      </c>
      <c r="G72" s="2559">
        <v>337196309.64999998</v>
      </c>
      <c r="H72" s="2551">
        <v>0</v>
      </c>
      <c r="J72" s="2550">
        <v>4</v>
      </c>
      <c r="K72" s="2553" t="s">
        <v>7219</v>
      </c>
      <c r="L72" s="2551" t="e">
        <f t="shared" si="1"/>
        <v>#N/A</v>
      </c>
      <c r="R72" s="2951" t="s">
        <v>6966</v>
      </c>
      <c r="S72" s="2551">
        <v>10</v>
      </c>
      <c r="W72" s="2979"/>
    </row>
    <row r="73" spans="1:23" hidden="1">
      <c r="A73" s="2551">
        <v>1010905</v>
      </c>
      <c r="B73" s="2551" t="s">
        <v>6793</v>
      </c>
      <c r="C73" s="2551">
        <v>6</v>
      </c>
      <c r="D73" s="2551" t="s">
        <v>1692</v>
      </c>
      <c r="E73" s="2550" t="s">
        <v>7215</v>
      </c>
      <c r="F73" s="2551">
        <v>124</v>
      </c>
      <c r="G73" s="2559">
        <v>314596.65999999997</v>
      </c>
      <c r="H73" s="2559">
        <v>314596.65999999997</v>
      </c>
      <c r="J73" s="2550">
        <v>4</v>
      </c>
      <c r="K73" s="2553" t="s">
        <v>7219</v>
      </c>
      <c r="L73" s="2551" t="e">
        <f t="shared" si="1"/>
        <v>#N/A</v>
      </c>
      <c r="R73" s="2951" t="s">
        <v>6966</v>
      </c>
      <c r="S73" s="2551">
        <v>10</v>
      </c>
      <c r="W73" s="2979"/>
    </row>
    <row r="74" spans="1:23" hidden="1">
      <c r="A74" s="2551">
        <v>1010906</v>
      </c>
      <c r="B74" s="2551" t="s">
        <v>2112</v>
      </c>
      <c r="C74" s="2551">
        <v>6</v>
      </c>
      <c r="D74" s="2551" t="s">
        <v>1692</v>
      </c>
      <c r="E74" s="2550" t="s">
        <v>7215</v>
      </c>
      <c r="F74" s="2551">
        <v>124</v>
      </c>
      <c r="G74" s="2559">
        <v>122153</v>
      </c>
      <c r="H74" s="2559">
        <v>122153</v>
      </c>
      <c r="J74" s="2550">
        <v>4</v>
      </c>
      <c r="K74" s="2553" t="s">
        <v>7219</v>
      </c>
      <c r="L74" s="2551" t="e">
        <f t="shared" si="1"/>
        <v>#N/A</v>
      </c>
      <c r="R74" s="2951" t="s">
        <v>6966</v>
      </c>
      <c r="S74" s="2551">
        <v>10</v>
      </c>
      <c r="W74" s="2979"/>
    </row>
    <row r="75" spans="1:23" hidden="1">
      <c r="A75" s="2551">
        <v>1010907</v>
      </c>
      <c r="B75" s="2551" t="s">
        <v>6794</v>
      </c>
      <c r="C75" s="2551">
        <v>6</v>
      </c>
      <c r="D75" s="2551" t="s">
        <v>1692</v>
      </c>
      <c r="E75" s="2550" t="s">
        <v>7215</v>
      </c>
      <c r="F75" s="2551">
        <v>124</v>
      </c>
      <c r="G75" s="2559">
        <v>294005.21000000002</v>
      </c>
      <c r="H75" s="2559">
        <v>294005.21000000002</v>
      </c>
      <c r="J75" s="2550">
        <v>4</v>
      </c>
      <c r="K75" s="2553" t="s">
        <v>7219</v>
      </c>
      <c r="L75" s="2551" t="e">
        <f t="shared" si="1"/>
        <v>#N/A</v>
      </c>
      <c r="R75" s="2951" t="s">
        <v>6966</v>
      </c>
      <c r="S75" s="2551">
        <v>10</v>
      </c>
      <c r="W75" s="2979"/>
    </row>
    <row r="76" spans="1:23" hidden="1">
      <c r="A76" s="2551">
        <v>1010908</v>
      </c>
      <c r="B76" s="2551" t="s">
        <v>6795</v>
      </c>
      <c r="C76" s="2551">
        <v>6</v>
      </c>
      <c r="D76" s="2551" t="s">
        <v>1692</v>
      </c>
      <c r="E76" s="2550" t="s">
        <v>7215</v>
      </c>
      <c r="F76" s="2551">
        <v>124</v>
      </c>
      <c r="G76" s="2559">
        <v>1271066.1299999999</v>
      </c>
      <c r="H76" s="2559">
        <v>1271066.1299999999</v>
      </c>
      <c r="J76" s="2550">
        <v>4</v>
      </c>
      <c r="K76" s="2553" t="s">
        <v>7219</v>
      </c>
      <c r="L76" s="2551" t="e">
        <f t="shared" si="1"/>
        <v>#N/A</v>
      </c>
      <c r="R76" s="2951" t="s">
        <v>6966</v>
      </c>
      <c r="S76" s="2551">
        <v>10</v>
      </c>
      <c r="W76" s="2979"/>
    </row>
    <row r="77" spans="1:23" hidden="1">
      <c r="A77" s="2551">
        <v>1010909</v>
      </c>
      <c r="B77" s="2551" t="s">
        <v>2115</v>
      </c>
      <c r="C77" s="2551">
        <v>6</v>
      </c>
      <c r="D77" s="2551" t="s">
        <v>1692</v>
      </c>
      <c r="E77" s="2550" t="s">
        <v>7215</v>
      </c>
      <c r="F77" s="2551">
        <v>124</v>
      </c>
      <c r="G77" s="2559">
        <v>233699.11</v>
      </c>
      <c r="H77" s="2559">
        <v>233699.11</v>
      </c>
      <c r="J77" s="2550">
        <v>4</v>
      </c>
      <c r="K77" s="2553" t="s">
        <v>7219</v>
      </c>
      <c r="L77" s="2551" t="e">
        <f t="shared" si="1"/>
        <v>#N/A</v>
      </c>
      <c r="R77" s="2951" t="s">
        <v>6966</v>
      </c>
      <c r="S77" s="2551">
        <v>10</v>
      </c>
      <c r="W77" s="2979"/>
    </row>
    <row r="78" spans="1:23" hidden="1">
      <c r="A78" s="2551">
        <v>1010910</v>
      </c>
      <c r="B78" s="2551" t="s">
        <v>7249</v>
      </c>
      <c r="C78" s="2551">
        <v>6</v>
      </c>
      <c r="D78" s="2551" t="s">
        <v>1692</v>
      </c>
      <c r="E78" s="2550" t="s">
        <v>7215</v>
      </c>
      <c r="F78" s="2551">
        <v>124</v>
      </c>
      <c r="G78" s="2559">
        <v>348177473.63</v>
      </c>
      <c r="H78" s="2551">
        <v>0</v>
      </c>
      <c r="J78" s="2550">
        <v>4</v>
      </c>
      <c r="K78" s="2553" t="s">
        <v>7219</v>
      </c>
      <c r="L78" s="2551" t="e">
        <f t="shared" si="1"/>
        <v>#N/A</v>
      </c>
      <c r="R78" s="2951" t="s">
        <v>6966</v>
      </c>
      <c r="S78" s="2551">
        <v>11</v>
      </c>
      <c r="W78" s="2979"/>
    </row>
    <row r="79" spans="1:23" hidden="1">
      <c r="A79" s="2551">
        <v>1010990</v>
      </c>
      <c r="B79" s="2551" t="s">
        <v>2117</v>
      </c>
      <c r="C79" s="2551">
        <v>6</v>
      </c>
      <c r="D79" s="2551" t="s">
        <v>1692</v>
      </c>
      <c r="E79" s="2550" t="s">
        <v>7215</v>
      </c>
      <c r="F79" s="2551">
        <v>124</v>
      </c>
      <c r="G79" s="2559">
        <v>28792</v>
      </c>
      <c r="H79" s="2559">
        <v>14873</v>
      </c>
      <c r="J79" s="2550">
        <v>4</v>
      </c>
      <c r="K79" s="2553" t="s">
        <v>7219</v>
      </c>
      <c r="L79" s="2551" t="e">
        <f t="shared" si="1"/>
        <v>#N/A</v>
      </c>
      <c r="R79" s="2951" t="s">
        <v>6966</v>
      </c>
      <c r="S79" s="2551">
        <v>10</v>
      </c>
      <c r="W79" s="2979"/>
    </row>
    <row r="80" spans="1:23" hidden="1">
      <c r="A80" s="2551">
        <v>1040901</v>
      </c>
      <c r="B80" s="2551" t="s">
        <v>2107</v>
      </c>
      <c r="C80" s="2551">
        <v>6</v>
      </c>
      <c r="D80" s="2551" t="s">
        <v>1692</v>
      </c>
      <c r="E80" s="2550" t="s">
        <v>7215</v>
      </c>
      <c r="F80" s="2551">
        <v>124</v>
      </c>
      <c r="G80" s="2559">
        <v>12293536.369999999</v>
      </c>
      <c r="H80" s="2559">
        <v>12293536.369999999</v>
      </c>
      <c r="J80" s="2550">
        <v>4</v>
      </c>
      <c r="K80" s="2553" t="s">
        <v>7219</v>
      </c>
      <c r="L80" s="2551" t="e">
        <f t="shared" si="1"/>
        <v>#N/A</v>
      </c>
      <c r="R80" s="2951" t="s">
        <v>6966</v>
      </c>
      <c r="S80" s="2551">
        <v>10</v>
      </c>
      <c r="W80" s="2979"/>
    </row>
    <row r="81" spans="1:23" hidden="1">
      <c r="A81" s="2551">
        <v>1040904</v>
      </c>
      <c r="B81" s="2551" t="s">
        <v>2110</v>
      </c>
      <c r="C81" s="2551">
        <v>6</v>
      </c>
      <c r="D81" s="2551" t="s">
        <v>1692</v>
      </c>
      <c r="E81" s="2550" t="s">
        <v>7215</v>
      </c>
      <c r="F81" s="2551">
        <v>124</v>
      </c>
      <c r="G81" s="2559">
        <v>43500806.890000001</v>
      </c>
      <c r="H81" s="2559">
        <v>45652496.310000002</v>
      </c>
      <c r="J81" s="2550">
        <v>4</v>
      </c>
      <c r="K81" s="2553" t="s">
        <v>7219</v>
      </c>
      <c r="L81" s="2551" t="e">
        <f t="shared" si="1"/>
        <v>#N/A</v>
      </c>
      <c r="R81" s="2951" t="s">
        <v>6966</v>
      </c>
      <c r="S81" s="2551">
        <v>10</v>
      </c>
      <c r="W81" s="2979"/>
    </row>
    <row r="82" spans="1:23" hidden="1">
      <c r="A82" s="2551">
        <v>1039101</v>
      </c>
      <c r="B82" s="2551" t="s">
        <v>7250</v>
      </c>
      <c r="C82" s="2550">
        <v>6</v>
      </c>
      <c r="D82" s="2551" t="s">
        <v>119</v>
      </c>
      <c r="E82" s="2550" t="s">
        <v>7215</v>
      </c>
      <c r="F82" s="2551">
        <v>125</v>
      </c>
      <c r="G82" s="2559">
        <v>-1342691.5</v>
      </c>
      <c r="H82" s="2551">
        <v>0</v>
      </c>
      <c r="J82" s="2550">
        <v>4</v>
      </c>
      <c r="K82" s="2553" t="s">
        <v>7219</v>
      </c>
      <c r="L82" s="2551" t="e">
        <f t="shared" si="1"/>
        <v>#N/A</v>
      </c>
      <c r="W82" s="2979"/>
    </row>
    <row r="83" spans="1:23" hidden="1">
      <c r="A83" s="2551">
        <v>1039103</v>
      </c>
      <c r="B83" s="2551" t="s">
        <v>7251</v>
      </c>
      <c r="C83" s="2550">
        <v>6</v>
      </c>
      <c r="D83" s="2551" t="s">
        <v>119</v>
      </c>
      <c r="E83" s="2550" t="s">
        <v>7215</v>
      </c>
      <c r="F83" s="2551">
        <v>125</v>
      </c>
      <c r="G83" s="2559">
        <v>-707047.77</v>
      </c>
      <c r="H83" s="2551">
        <v>0</v>
      </c>
      <c r="J83" s="2550">
        <v>4</v>
      </c>
      <c r="K83" s="2553" t="s">
        <v>7219</v>
      </c>
      <c r="L83" s="2551" t="e">
        <f t="shared" si="1"/>
        <v>#N/A</v>
      </c>
      <c r="W83" s="2979"/>
    </row>
    <row r="84" spans="1:23" hidden="1">
      <c r="A84" s="2551">
        <v>1040101</v>
      </c>
      <c r="B84" s="2551" t="s">
        <v>5815</v>
      </c>
      <c r="C84" s="2550">
        <v>6</v>
      </c>
      <c r="D84" s="2551" t="s">
        <v>119</v>
      </c>
      <c r="E84" s="2550" t="s">
        <v>7215</v>
      </c>
      <c r="F84" s="2551">
        <v>125</v>
      </c>
      <c r="G84" s="2559">
        <v>-25371485.309999999</v>
      </c>
      <c r="H84" s="2559">
        <v>-24542608.300000001</v>
      </c>
      <c r="J84" s="2550">
        <v>4</v>
      </c>
      <c r="K84" s="2553" t="s">
        <v>7219</v>
      </c>
      <c r="L84" s="2551" t="e">
        <f t="shared" si="1"/>
        <v>#N/A</v>
      </c>
      <c r="W84" s="2979"/>
    </row>
    <row r="85" spans="1:23" hidden="1">
      <c r="A85" s="2551">
        <v>1039100</v>
      </c>
      <c r="B85" s="2551" t="s">
        <v>7252</v>
      </c>
      <c r="C85" s="2551">
        <v>6</v>
      </c>
      <c r="D85" s="2551" t="s">
        <v>7253</v>
      </c>
      <c r="E85" s="2550" t="s">
        <v>7215</v>
      </c>
      <c r="F85" s="2551">
        <v>126</v>
      </c>
      <c r="G85" s="2559">
        <v>-2272991.5099999998</v>
      </c>
      <c r="H85" s="2551">
        <v>0</v>
      </c>
      <c r="J85" s="2550">
        <v>4</v>
      </c>
      <c r="K85" s="2553" t="s">
        <v>7219</v>
      </c>
      <c r="L85" s="2551" t="e">
        <f t="shared" si="1"/>
        <v>#N/A</v>
      </c>
      <c r="W85" s="2979"/>
    </row>
    <row r="86" spans="1:23" hidden="1">
      <c r="A86" s="2551">
        <v>1039104</v>
      </c>
      <c r="B86" s="2551" t="s">
        <v>7254</v>
      </c>
      <c r="C86" s="2551">
        <v>6</v>
      </c>
      <c r="D86" s="2551" t="s">
        <v>7253</v>
      </c>
      <c r="E86" s="2550" t="s">
        <v>7215</v>
      </c>
      <c r="F86" s="2551">
        <v>126</v>
      </c>
      <c r="G86" s="2559">
        <v>-23199540.920000002</v>
      </c>
      <c r="H86" s="2551">
        <v>0</v>
      </c>
      <c r="J86" s="2550">
        <v>4</v>
      </c>
      <c r="K86" s="2553" t="s">
        <v>7219</v>
      </c>
      <c r="L86" s="2551" t="e">
        <f t="shared" si="1"/>
        <v>#N/A</v>
      </c>
      <c r="W86" s="2979"/>
    </row>
    <row r="87" spans="1:23" hidden="1">
      <c r="A87" s="2551">
        <v>1040104</v>
      </c>
      <c r="B87" s="2551" t="s">
        <v>5816</v>
      </c>
      <c r="C87" s="2551">
        <v>6</v>
      </c>
      <c r="D87" s="2551" t="s">
        <v>7253</v>
      </c>
      <c r="E87" s="2550" t="s">
        <v>7215</v>
      </c>
      <c r="F87" s="2551">
        <v>126</v>
      </c>
      <c r="G87" s="2559">
        <v>-3689972788.1900001</v>
      </c>
      <c r="H87" s="2559">
        <v>-3515226107.4400001</v>
      </c>
      <c r="J87" s="2550">
        <v>4</v>
      </c>
      <c r="K87" s="2553" t="s">
        <v>7219</v>
      </c>
      <c r="L87" s="2551" t="e">
        <f t="shared" si="1"/>
        <v>#N/A</v>
      </c>
      <c r="W87" s="2979"/>
    </row>
    <row r="88" spans="1:23" hidden="1">
      <c r="A88" s="2551">
        <v>1039105</v>
      </c>
      <c r="B88" s="2551" t="s">
        <v>7255</v>
      </c>
      <c r="C88" s="2551">
        <v>6</v>
      </c>
      <c r="D88" s="2551" t="s">
        <v>7253</v>
      </c>
      <c r="E88" s="2550" t="s">
        <v>7215</v>
      </c>
      <c r="F88" s="2551">
        <v>127</v>
      </c>
      <c r="G88" s="2559">
        <v>-381816.25</v>
      </c>
      <c r="H88" s="2551">
        <v>0</v>
      </c>
      <c r="J88" s="2550">
        <v>4</v>
      </c>
      <c r="K88" s="2553" t="s">
        <v>7219</v>
      </c>
      <c r="L88" s="2551" t="e">
        <f t="shared" si="1"/>
        <v>#N/A</v>
      </c>
      <c r="W88" s="2979"/>
    </row>
    <row r="89" spans="1:23" hidden="1">
      <c r="A89" s="2551">
        <v>1040105</v>
      </c>
      <c r="B89" s="2551" t="s">
        <v>5817</v>
      </c>
      <c r="C89" s="2550">
        <v>6</v>
      </c>
      <c r="D89" s="2551" t="s">
        <v>119</v>
      </c>
      <c r="E89" s="2550" t="s">
        <v>7215</v>
      </c>
      <c r="F89" s="2551">
        <v>127</v>
      </c>
      <c r="G89" s="2559">
        <v>-14355429.15</v>
      </c>
      <c r="H89" s="2559">
        <v>-12796835.42</v>
      </c>
      <c r="J89" s="2550">
        <v>4</v>
      </c>
      <c r="K89" s="2553" t="s">
        <v>7219</v>
      </c>
      <c r="L89" s="2551" t="e">
        <f t="shared" si="1"/>
        <v>#N/A</v>
      </c>
      <c r="W89" s="2979"/>
    </row>
    <row r="90" spans="1:23" hidden="1">
      <c r="A90" s="2551">
        <v>1039106</v>
      </c>
      <c r="B90" s="2551" t="s">
        <v>7256</v>
      </c>
      <c r="C90" s="2551">
        <v>6</v>
      </c>
      <c r="D90" s="2551" t="s">
        <v>7257</v>
      </c>
      <c r="E90" s="2550" t="s">
        <v>7215</v>
      </c>
      <c r="F90" s="2551">
        <v>128</v>
      </c>
      <c r="G90" s="2559">
        <v>-885443.48</v>
      </c>
      <c r="H90" s="2551">
        <v>0</v>
      </c>
      <c r="J90" s="2550">
        <v>4</v>
      </c>
      <c r="K90" s="2553" t="s">
        <v>7219</v>
      </c>
      <c r="L90" s="2551" t="e">
        <f t="shared" si="1"/>
        <v>#N/A</v>
      </c>
      <c r="W90" s="2979"/>
    </row>
    <row r="91" spans="1:23" hidden="1">
      <c r="A91" s="2551">
        <v>1040106</v>
      </c>
      <c r="B91" s="2551" t="s">
        <v>5818</v>
      </c>
      <c r="C91" s="2551">
        <v>6</v>
      </c>
      <c r="D91" s="2551" t="s">
        <v>7257</v>
      </c>
      <c r="E91" s="2550" t="s">
        <v>7215</v>
      </c>
      <c r="F91" s="2551">
        <v>128</v>
      </c>
      <c r="G91" s="2559">
        <v>-18477484.280000001</v>
      </c>
      <c r="H91" s="2559">
        <v>-18209769.350000001</v>
      </c>
      <c r="J91" s="2550">
        <v>4</v>
      </c>
      <c r="K91" s="2553" t="s">
        <v>7219</v>
      </c>
      <c r="L91" s="2551" t="e">
        <f t="shared" si="1"/>
        <v>#N/A</v>
      </c>
      <c r="W91" s="2979"/>
    </row>
    <row r="92" spans="1:23" hidden="1">
      <c r="A92" s="2551">
        <v>1039107</v>
      </c>
      <c r="B92" s="2551" t="s">
        <v>7258</v>
      </c>
      <c r="C92" s="2551">
        <v>6</v>
      </c>
      <c r="D92" s="2551" t="s">
        <v>7259</v>
      </c>
      <c r="E92" s="2550" t="s">
        <v>7215</v>
      </c>
      <c r="F92" s="2551">
        <v>129</v>
      </c>
      <c r="G92" s="2559">
        <v>-480814.58</v>
      </c>
      <c r="H92" s="2551">
        <v>0</v>
      </c>
      <c r="J92" s="2550">
        <v>4</v>
      </c>
      <c r="K92" s="2553" t="s">
        <v>7219</v>
      </c>
      <c r="L92" s="2551" t="e">
        <f t="shared" si="1"/>
        <v>#N/A</v>
      </c>
      <c r="W92" s="2979"/>
    </row>
    <row r="93" spans="1:23" hidden="1">
      <c r="A93" s="2551">
        <v>1039108</v>
      </c>
      <c r="B93" s="2551" t="s">
        <v>7260</v>
      </c>
      <c r="C93" s="2551">
        <v>6</v>
      </c>
      <c r="D93" s="2551" t="s">
        <v>7259</v>
      </c>
      <c r="E93" s="2550" t="s">
        <v>7215</v>
      </c>
      <c r="F93" s="2551">
        <v>129</v>
      </c>
      <c r="G93" s="2559">
        <v>-15659183.34</v>
      </c>
      <c r="H93" s="2551">
        <v>0</v>
      </c>
      <c r="J93" s="2550">
        <v>4</v>
      </c>
      <c r="K93" s="2553" t="s">
        <v>7219</v>
      </c>
      <c r="L93" s="2551" t="e">
        <f t="shared" si="1"/>
        <v>#N/A</v>
      </c>
      <c r="W93" s="2979"/>
    </row>
    <row r="94" spans="1:23" hidden="1">
      <c r="A94" s="2551">
        <v>1039109</v>
      </c>
      <c r="B94" s="2551" t="s">
        <v>7261</v>
      </c>
      <c r="C94" s="2551">
        <v>6</v>
      </c>
      <c r="D94" s="2551" t="s">
        <v>7259</v>
      </c>
      <c r="E94" s="2550" t="s">
        <v>7215</v>
      </c>
      <c r="F94" s="2551">
        <v>129</v>
      </c>
      <c r="G94" s="2559">
        <v>-17802769.41</v>
      </c>
      <c r="H94" s="2551">
        <v>0</v>
      </c>
      <c r="J94" s="2550">
        <v>4</v>
      </c>
      <c r="K94" s="2553" t="s">
        <v>7219</v>
      </c>
      <c r="L94" s="2551" t="e">
        <f t="shared" si="1"/>
        <v>#N/A</v>
      </c>
      <c r="W94" s="2979"/>
    </row>
    <row r="95" spans="1:23" hidden="1">
      <c r="A95" s="2551">
        <v>1040107</v>
      </c>
      <c r="B95" s="2551" t="s">
        <v>5819</v>
      </c>
      <c r="C95" s="2551">
        <v>6</v>
      </c>
      <c r="D95" s="2551" t="s">
        <v>7259</v>
      </c>
      <c r="E95" s="2550" t="s">
        <v>7215</v>
      </c>
      <c r="F95" s="2551">
        <v>129</v>
      </c>
      <c r="G95" s="2559">
        <v>1937680.89</v>
      </c>
      <c r="H95" s="2551">
        <v>0</v>
      </c>
      <c r="J95" s="2550">
        <v>4</v>
      </c>
      <c r="K95" s="2553" t="s">
        <v>7219</v>
      </c>
      <c r="L95" s="2551" t="e">
        <f t="shared" si="1"/>
        <v>#N/A</v>
      </c>
      <c r="W95" s="2979"/>
    </row>
    <row r="96" spans="1:23" hidden="1">
      <c r="A96" s="2551">
        <v>1040108</v>
      </c>
      <c r="B96" s="2551" t="s">
        <v>7262</v>
      </c>
      <c r="C96" s="2551">
        <v>6</v>
      </c>
      <c r="D96" s="2551" t="s">
        <v>7259</v>
      </c>
      <c r="E96" s="2550" t="s">
        <v>7215</v>
      </c>
      <c r="F96" s="2551">
        <v>129</v>
      </c>
      <c r="G96" s="2559">
        <v>7706062.79</v>
      </c>
      <c r="H96" s="2551">
        <v>0</v>
      </c>
      <c r="J96" s="2550">
        <v>4</v>
      </c>
      <c r="K96" s="2553" t="s">
        <v>7219</v>
      </c>
      <c r="L96" s="2551" t="e">
        <f t="shared" si="1"/>
        <v>#N/A</v>
      </c>
      <c r="W96" s="2979"/>
    </row>
    <row r="97" spans="1:23" hidden="1">
      <c r="A97" s="2551">
        <v>1040109</v>
      </c>
      <c r="B97" s="2551" t="s">
        <v>5820</v>
      </c>
      <c r="C97" s="2551">
        <v>6</v>
      </c>
      <c r="D97" s="2551" t="s">
        <v>7259</v>
      </c>
      <c r="E97" s="2550" t="s">
        <v>7215</v>
      </c>
      <c r="F97" s="2551">
        <v>129</v>
      </c>
      <c r="G97" s="2559">
        <v>-49910792.890000001</v>
      </c>
      <c r="H97" s="2559">
        <v>-48740389.439999998</v>
      </c>
      <c r="J97" s="2550">
        <v>4</v>
      </c>
      <c r="K97" s="2553" t="s">
        <v>7219</v>
      </c>
      <c r="L97" s="2551" t="e">
        <f t="shared" si="1"/>
        <v>#N/A</v>
      </c>
      <c r="W97" s="2979"/>
    </row>
    <row r="98" spans="1:23" hidden="1">
      <c r="A98" s="2551">
        <v>1022602</v>
      </c>
      <c r="B98" s="2551" t="s">
        <v>5634</v>
      </c>
      <c r="C98" s="2551">
        <v>7</v>
      </c>
      <c r="D98" s="2560" t="s">
        <v>7263</v>
      </c>
      <c r="E98" s="2550" t="s">
        <v>7215</v>
      </c>
      <c r="F98" s="2551">
        <v>133</v>
      </c>
      <c r="G98" s="2559">
        <v>623040</v>
      </c>
      <c r="H98" s="2559">
        <v>623040</v>
      </c>
      <c r="J98" s="2550">
        <v>5</v>
      </c>
      <c r="K98" s="2553" t="s">
        <v>7264</v>
      </c>
      <c r="L98" s="2551" t="e">
        <f t="shared" si="1"/>
        <v>#N/A</v>
      </c>
      <c r="W98" s="2979"/>
    </row>
    <row r="99" spans="1:23" hidden="1">
      <c r="A99" s="2551">
        <v>1022603</v>
      </c>
      <c r="B99" s="2551" t="s">
        <v>5635</v>
      </c>
      <c r="C99" s="2551">
        <v>7</v>
      </c>
      <c r="D99" s="2560" t="s">
        <v>7263</v>
      </c>
      <c r="E99" s="2550" t="s">
        <v>7215</v>
      </c>
      <c r="F99" s="2551">
        <v>133</v>
      </c>
      <c r="G99" s="2559">
        <v>59206160.259999998</v>
      </c>
      <c r="H99" s="2559">
        <v>48014832.210000001</v>
      </c>
      <c r="J99" s="2550">
        <v>5</v>
      </c>
      <c r="K99" s="2553" t="s">
        <v>7264</v>
      </c>
      <c r="L99" s="2551" t="e">
        <f t="shared" si="1"/>
        <v>#N/A</v>
      </c>
      <c r="W99" s="2979"/>
    </row>
    <row r="100" spans="1:23" hidden="1">
      <c r="A100" s="2551">
        <v>1022604</v>
      </c>
      <c r="B100" s="2551" t="s">
        <v>5636</v>
      </c>
      <c r="C100" s="2551">
        <v>7</v>
      </c>
      <c r="D100" s="2560" t="s">
        <v>7263</v>
      </c>
      <c r="E100" s="2550" t="s">
        <v>7215</v>
      </c>
      <c r="F100" s="2551">
        <v>133</v>
      </c>
      <c r="G100" s="2559">
        <v>81548636.629999995</v>
      </c>
      <c r="H100" s="2559">
        <v>27496723.260000002</v>
      </c>
      <c r="J100" s="2550">
        <v>5</v>
      </c>
      <c r="K100" s="2553" t="s">
        <v>7264</v>
      </c>
      <c r="L100" s="2551" t="e">
        <f t="shared" si="1"/>
        <v>#N/A</v>
      </c>
      <c r="W100" s="2979"/>
    </row>
    <row r="101" spans="1:23" hidden="1">
      <c r="A101" s="2551">
        <v>1022605</v>
      </c>
      <c r="B101" s="2551" t="s">
        <v>5637</v>
      </c>
      <c r="C101" s="2551">
        <v>7</v>
      </c>
      <c r="D101" s="2560" t="s">
        <v>7263</v>
      </c>
      <c r="E101" s="2550" t="s">
        <v>7215</v>
      </c>
      <c r="F101" s="2551">
        <v>133</v>
      </c>
      <c r="G101" s="2559">
        <v>210605137.38999999</v>
      </c>
      <c r="H101" s="2559">
        <v>171816039.27000001</v>
      </c>
      <c r="J101" s="2550">
        <v>5</v>
      </c>
      <c r="K101" s="2553" t="s">
        <v>7264</v>
      </c>
      <c r="L101" s="2551" t="e">
        <f t="shared" si="1"/>
        <v>#N/A</v>
      </c>
      <c r="W101" s="2979"/>
    </row>
    <row r="102" spans="1:23" hidden="1">
      <c r="A102" s="2551">
        <v>1022606</v>
      </c>
      <c r="B102" s="2551" t="s">
        <v>6798</v>
      </c>
      <c r="C102" s="2551">
        <v>7</v>
      </c>
      <c r="D102" s="2560" t="s">
        <v>7263</v>
      </c>
      <c r="E102" s="2550" t="s">
        <v>7215</v>
      </c>
      <c r="F102" s="2551">
        <v>133</v>
      </c>
      <c r="G102" s="2559">
        <v>41055612.490000002</v>
      </c>
      <c r="H102" s="2551">
        <v>0</v>
      </c>
      <c r="J102" s="2550">
        <v>5</v>
      </c>
      <c r="K102" s="2553" t="s">
        <v>7264</v>
      </c>
      <c r="L102" s="2551" t="e">
        <f t="shared" si="1"/>
        <v>#N/A</v>
      </c>
      <c r="W102" s="2979"/>
    </row>
    <row r="103" spans="1:23" hidden="1">
      <c r="A103" s="2551">
        <v>1022607</v>
      </c>
      <c r="B103" s="2551" t="s">
        <v>5638</v>
      </c>
      <c r="C103" s="2551">
        <v>7</v>
      </c>
      <c r="D103" s="2560" t="s">
        <v>7263</v>
      </c>
      <c r="E103" s="2550" t="s">
        <v>7215</v>
      </c>
      <c r="F103" s="2551">
        <v>133</v>
      </c>
      <c r="G103" s="2559">
        <v>3505037.4</v>
      </c>
      <c r="H103" s="2559">
        <v>1136682.58</v>
      </c>
      <c r="J103" s="2550">
        <v>5</v>
      </c>
      <c r="K103" s="2553" t="s">
        <v>7264</v>
      </c>
      <c r="L103" s="2551" t="e">
        <f t="shared" si="1"/>
        <v>#N/A</v>
      </c>
      <c r="W103" s="2979"/>
    </row>
    <row r="104" spans="1:23" hidden="1">
      <c r="A104" s="2551">
        <v>1022608</v>
      </c>
      <c r="B104" s="2551" t="s">
        <v>5639</v>
      </c>
      <c r="C104" s="2551">
        <v>7</v>
      </c>
      <c r="D104" s="2560" t="s">
        <v>7263</v>
      </c>
      <c r="E104" s="2550" t="s">
        <v>7215</v>
      </c>
      <c r="F104" s="2551">
        <v>133</v>
      </c>
      <c r="G104" s="2559">
        <v>640000</v>
      </c>
      <c r="H104" s="2551">
        <v>0</v>
      </c>
      <c r="J104" s="2550">
        <v>5</v>
      </c>
      <c r="K104" s="2553" t="s">
        <v>7264</v>
      </c>
      <c r="L104" s="2551" t="e">
        <f t="shared" si="1"/>
        <v>#N/A</v>
      </c>
      <c r="W104" s="2979"/>
    </row>
    <row r="105" spans="1:23" hidden="1">
      <c r="A105" s="2551">
        <v>1022610</v>
      </c>
      <c r="B105" s="2551" t="s">
        <v>5640</v>
      </c>
      <c r="C105" s="2551">
        <v>7</v>
      </c>
      <c r="D105" s="2560" t="s">
        <v>7263</v>
      </c>
      <c r="E105" s="2550" t="s">
        <v>7215</v>
      </c>
      <c r="F105" s="2551">
        <v>133</v>
      </c>
      <c r="G105" s="2559">
        <v>102869944.67</v>
      </c>
      <c r="H105" s="2559">
        <v>75363736.109999999</v>
      </c>
      <c r="J105" s="2550">
        <v>5</v>
      </c>
      <c r="K105" s="2553" t="s">
        <v>7264</v>
      </c>
      <c r="L105" s="2551" t="e">
        <f t="shared" si="1"/>
        <v>#N/A</v>
      </c>
      <c r="W105" s="2979"/>
    </row>
    <row r="106" spans="1:23" hidden="1">
      <c r="A106" s="2551">
        <v>1022613</v>
      </c>
      <c r="B106" s="2551" t="s">
        <v>6607</v>
      </c>
      <c r="C106" s="2551">
        <v>7</v>
      </c>
      <c r="D106" s="2560" t="s">
        <v>7263</v>
      </c>
      <c r="E106" s="2550" t="s">
        <v>7215</v>
      </c>
      <c r="F106" s="2551">
        <v>133</v>
      </c>
      <c r="G106" s="2559">
        <v>11892413</v>
      </c>
      <c r="H106" s="2551">
        <v>0</v>
      </c>
      <c r="J106" s="2550">
        <v>5</v>
      </c>
      <c r="K106" s="2553" t="s">
        <v>7264</v>
      </c>
      <c r="L106" s="2551" t="e">
        <f t="shared" si="1"/>
        <v>#N/A</v>
      </c>
      <c r="W106" s="2979"/>
    </row>
    <row r="107" spans="1:23" hidden="1">
      <c r="A107" s="2551">
        <v>1022615</v>
      </c>
      <c r="B107" s="2551" t="s">
        <v>5641</v>
      </c>
      <c r="C107" s="2551">
        <v>7</v>
      </c>
      <c r="D107" s="2560" t="s">
        <v>7263</v>
      </c>
      <c r="E107" s="2550" t="s">
        <v>7215</v>
      </c>
      <c r="F107" s="2551">
        <v>133</v>
      </c>
      <c r="G107" s="2559">
        <v>13948.73</v>
      </c>
      <c r="H107" s="2559">
        <v>15857.2</v>
      </c>
      <c r="J107" s="2550">
        <v>5</v>
      </c>
      <c r="K107" s="2553" t="s">
        <v>7264</v>
      </c>
      <c r="L107" s="2551" t="e">
        <f t="shared" si="1"/>
        <v>#N/A</v>
      </c>
      <c r="W107" s="2979"/>
    </row>
    <row r="108" spans="1:23" hidden="1">
      <c r="A108" s="2551">
        <v>1022616</v>
      </c>
      <c r="B108" s="2551" t="s">
        <v>5642</v>
      </c>
      <c r="C108" s="2551">
        <v>7</v>
      </c>
      <c r="D108" s="2560" t="s">
        <v>7263</v>
      </c>
      <c r="E108" s="2550" t="s">
        <v>7215</v>
      </c>
      <c r="F108" s="2551">
        <v>133</v>
      </c>
      <c r="G108" s="2559">
        <v>150520.79999999999</v>
      </c>
      <c r="H108" s="2551">
        <v>0</v>
      </c>
      <c r="J108" s="2550">
        <v>5</v>
      </c>
      <c r="K108" s="2553" t="s">
        <v>7264</v>
      </c>
      <c r="L108" s="2551" t="e">
        <f t="shared" si="1"/>
        <v>#N/A</v>
      </c>
      <c r="W108" s="2979"/>
    </row>
    <row r="109" spans="1:23" hidden="1">
      <c r="A109" s="2551">
        <v>1022619</v>
      </c>
      <c r="B109" s="2551" t="s">
        <v>5643</v>
      </c>
      <c r="C109" s="2551">
        <v>7</v>
      </c>
      <c r="D109" s="2560" t="s">
        <v>7263</v>
      </c>
      <c r="E109" s="2550" t="s">
        <v>7215</v>
      </c>
      <c r="F109" s="2551">
        <v>133</v>
      </c>
      <c r="G109" s="2559">
        <v>27006353.039999999</v>
      </c>
      <c r="H109" s="2559">
        <v>18841949.210000001</v>
      </c>
      <c r="J109" s="2550">
        <v>5</v>
      </c>
      <c r="K109" s="2553" t="s">
        <v>7264</v>
      </c>
      <c r="L109" s="2551" t="e">
        <f t="shared" si="1"/>
        <v>#N/A</v>
      </c>
      <c r="W109" s="2979"/>
    </row>
    <row r="110" spans="1:23" hidden="1">
      <c r="A110" s="2551">
        <v>1025201</v>
      </c>
      <c r="B110" s="2551" t="s">
        <v>7265</v>
      </c>
      <c r="C110" s="2551">
        <v>7</v>
      </c>
      <c r="D110" s="2560" t="s">
        <v>7266</v>
      </c>
      <c r="E110" s="2550" t="s">
        <v>7215</v>
      </c>
      <c r="F110" s="2551">
        <v>132</v>
      </c>
      <c r="G110" s="2559">
        <v>1000</v>
      </c>
      <c r="H110" s="2559">
        <v>1000</v>
      </c>
      <c r="J110" s="2551">
        <v>12</v>
      </c>
      <c r="K110" s="2553" t="s">
        <v>7267</v>
      </c>
      <c r="L110" s="2551" t="e">
        <f t="shared" si="1"/>
        <v>#N/A</v>
      </c>
      <c r="W110" s="2979"/>
    </row>
    <row r="111" spans="1:23" hidden="1">
      <c r="A111" s="2551">
        <v>1025501</v>
      </c>
      <c r="B111" s="2551" t="s">
        <v>7268</v>
      </c>
      <c r="C111" s="2551">
        <v>7</v>
      </c>
      <c r="D111" s="2560" t="s">
        <v>7266</v>
      </c>
      <c r="E111" s="2550" t="s">
        <v>7215</v>
      </c>
      <c r="F111" s="2551">
        <v>132</v>
      </c>
      <c r="G111" s="2559">
        <v>3533831.2</v>
      </c>
      <c r="H111" s="2559">
        <v>3533831.2</v>
      </c>
      <c r="J111" s="2551">
        <v>12</v>
      </c>
      <c r="K111" s="2553" t="s">
        <v>7267</v>
      </c>
      <c r="L111" s="2551" t="e">
        <f t="shared" si="1"/>
        <v>#N/A</v>
      </c>
      <c r="W111" s="2979"/>
    </row>
    <row r="112" spans="1:23" hidden="1">
      <c r="A112" s="2551">
        <v>1025571</v>
      </c>
      <c r="B112" s="2551" t="s">
        <v>4967</v>
      </c>
      <c r="C112" s="2551">
        <v>7</v>
      </c>
      <c r="D112" s="2560" t="s">
        <v>7266</v>
      </c>
      <c r="E112" s="2550" t="s">
        <v>7215</v>
      </c>
      <c r="F112" s="2551">
        <v>132</v>
      </c>
      <c r="G112" s="2559">
        <v>4441971.34</v>
      </c>
      <c r="H112" s="2559">
        <v>4441971.34</v>
      </c>
      <c r="J112" s="2551">
        <v>12</v>
      </c>
      <c r="K112" s="2553" t="s">
        <v>7267</v>
      </c>
      <c r="L112" s="2551" t="e">
        <f t="shared" si="1"/>
        <v>#N/A</v>
      </c>
      <c r="W112" s="2979"/>
    </row>
    <row r="113" spans="1:23" hidden="1">
      <c r="A113" s="2551">
        <v>1025601</v>
      </c>
      <c r="B113" s="2551" t="s">
        <v>6812</v>
      </c>
      <c r="C113" s="2551">
        <v>7</v>
      </c>
      <c r="D113" s="2560" t="s">
        <v>7266</v>
      </c>
      <c r="E113" s="2550" t="s">
        <v>7215</v>
      </c>
      <c r="F113" s="2551">
        <v>132</v>
      </c>
      <c r="G113" s="2559">
        <v>111632.51</v>
      </c>
      <c r="H113" s="2559">
        <v>111632.51</v>
      </c>
      <c r="J113" s="2551">
        <v>12</v>
      </c>
      <c r="K113" s="2553" t="s">
        <v>7267</v>
      </c>
      <c r="L113" s="2551" t="e">
        <f t="shared" si="1"/>
        <v>#N/A</v>
      </c>
      <c r="W113" s="2979"/>
    </row>
    <row r="114" spans="1:23" hidden="1">
      <c r="A114" s="2551">
        <v>1025701</v>
      </c>
      <c r="B114" s="2551" t="s">
        <v>7269</v>
      </c>
      <c r="C114" s="2551">
        <v>7</v>
      </c>
      <c r="D114" s="2560" t="s">
        <v>7266</v>
      </c>
      <c r="E114" s="2550" t="s">
        <v>7215</v>
      </c>
      <c r="F114" s="2551">
        <v>132</v>
      </c>
      <c r="G114" s="2559">
        <v>1300347</v>
      </c>
      <c r="H114" s="2551">
        <v>0</v>
      </c>
      <c r="J114" s="2551">
        <v>12</v>
      </c>
      <c r="K114" s="2553" t="s">
        <v>7267</v>
      </c>
      <c r="L114" s="2551" t="e">
        <f t="shared" si="1"/>
        <v>#N/A</v>
      </c>
      <c r="W114" s="2979"/>
    </row>
    <row r="115" spans="1:23" hidden="1">
      <c r="A115" s="2551">
        <v>1014380</v>
      </c>
      <c r="B115" s="2551" t="s">
        <v>7270</v>
      </c>
      <c r="C115" s="2551">
        <v>7</v>
      </c>
      <c r="D115" s="2551" t="s">
        <v>7271</v>
      </c>
      <c r="E115" s="2550" t="s">
        <v>7215</v>
      </c>
      <c r="F115" s="2551">
        <v>131</v>
      </c>
      <c r="G115" s="2559">
        <v>274729321.69999999</v>
      </c>
      <c r="H115" s="2551">
        <v>0</v>
      </c>
      <c r="J115" s="2550">
        <v>5</v>
      </c>
      <c r="K115" s="2553" t="s">
        <v>7264</v>
      </c>
      <c r="L115" s="2551" t="e">
        <f t="shared" si="1"/>
        <v>#N/A</v>
      </c>
      <c r="W115" s="2979"/>
    </row>
    <row r="116" spans="1:23" hidden="1">
      <c r="A116" s="2551">
        <v>1014381</v>
      </c>
      <c r="B116" s="2551" t="s">
        <v>6605</v>
      </c>
      <c r="C116" s="2551">
        <v>7</v>
      </c>
      <c r="D116" s="2551" t="s">
        <v>7271</v>
      </c>
      <c r="E116" s="2550" t="s">
        <v>7215</v>
      </c>
      <c r="F116" s="2551">
        <v>131</v>
      </c>
      <c r="G116" s="2559">
        <v>5532349.3200000003</v>
      </c>
      <c r="H116" s="2551">
        <v>0</v>
      </c>
      <c r="J116" s="2550">
        <v>5</v>
      </c>
      <c r="K116" s="2553" t="s">
        <v>7264</v>
      </c>
      <c r="L116" s="2551" t="e">
        <f t="shared" si="1"/>
        <v>#N/A</v>
      </c>
      <c r="W116" s="2979"/>
    </row>
    <row r="117" spans="1:23" hidden="1">
      <c r="A117" s="2551">
        <v>1015201</v>
      </c>
      <c r="B117" s="2551" t="s">
        <v>7272</v>
      </c>
      <c r="C117" s="2551">
        <v>7</v>
      </c>
      <c r="D117" s="2551" t="s">
        <v>7271</v>
      </c>
      <c r="E117" s="2550" t="s">
        <v>7215</v>
      </c>
      <c r="F117" s="2551">
        <v>131</v>
      </c>
      <c r="G117" s="2559">
        <v>10879570.130000001</v>
      </c>
      <c r="H117" s="2559">
        <v>434934808.08999997</v>
      </c>
      <c r="J117" s="2550">
        <v>5</v>
      </c>
      <c r="K117" s="2553" t="s">
        <v>7264</v>
      </c>
      <c r="L117" s="2551" t="e">
        <f t="shared" si="1"/>
        <v>#N/A</v>
      </c>
      <c r="W117" s="2979"/>
    </row>
    <row r="118" spans="1:23" hidden="1">
      <c r="A118" s="2551">
        <v>4022301</v>
      </c>
      <c r="B118" s="2551" t="s">
        <v>6472</v>
      </c>
      <c r="C118" s="2551">
        <v>7</v>
      </c>
      <c r="D118" t="s">
        <v>7271</v>
      </c>
      <c r="E118" s="2550" t="s">
        <v>7215</v>
      </c>
      <c r="F118" s="2551">
        <v>131</v>
      </c>
      <c r="G118" s="2559">
        <v>1625222.77</v>
      </c>
      <c r="H118" s="2551">
        <v>0</v>
      </c>
      <c r="J118" s="2550">
        <v>5</v>
      </c>
      <c r="K118" s="2553" t="s">
        <v>7264</v>
      </c>
      <c r="L118" s="2551" t="e">
        <f t="shared" si="1"/>
        <v>#N/A</v>
      </c>
      <c r="W118" s="2979"/>
    </row>
    <row r="119" spans="1:23" hidden="1">
      <c r="A119" s="2551">
        <v>4022302</v>
      </c>
      <c r="B119" s="2551" t="s">
        <v>6473</v>
      </c>
      <c r="C119" s="2551">
        <v>7</v>
      </c>
      <c r="D119" t="s">
        <v>7271</v>
      </c>
      <c r="E119" s="2550" t="s">
        <v>7215</v>
      </c>
      <c r="F119" s="2551">
        <v>131</v>
      </c>
      <c r="G119" s="2559">
        <v>-96890810.510000005</v>
      </c>
      <c r="H119" s="2551">
        <v>0</v>
      </c>
      <c r="J119" s="2550">
        <v>5</v>
      </c>
      <c r="K119" s="2553" t="s">
        <v>7264</v>
      </c>
      <c r="L119" s="2551" t="e">
        <f t="shared" si="1"/>
        <v>#N/A</v>
      </c>
      <c r="W119" s="2979"/>
    </row>
    <row r="120" spans="1:23" hidden="1">
      <c r="A120" s="2551">
        <v>4022303</v>
      </c>
      <c r="B120" s="2551" t="s">
        <v>6474</v>
      </c>
      <c r="C120" s="2551">
        <v>7</v>
      </c>
      <c r="D120" t="s">
        <v>7271</v>
      </c>
      <c r="E120" s="2550" t="s">
        <v>7215</v>
      </c>
      <c r="F120" s="2551">
        <v>131</v>
      </c>
      <c r="G120" s="2559">
        <v>1583313.9199999999</v>
      </c>
      <c r="H120" s="2551">
        <v>0</v>
      </c>
      <c r="J120" s="2550">
        <v>5</v>
      </c>
      <c r="K120" s="2553" t="s">
        <v>7264</v>
      </c>
      <c r="L120" s="2551" t="e">
        <f t="shared" si="1"/>
        <v>#N/A</v>
      </c>
      <c r="W120" s="2979"/>
    </row>
    <row r="121" spans="1:23" hidden="1">
      <c r="A121" s="2551">
        <v>4022304</v>
      </c>
      <c r="B121" s="2551" t="s">
        <v>6829</v>
      </c>
      <c r="C121" s="2551">
        <v>7</v>
      </c>
      <c r="D121" t="s">
        <v>7271</v>
      </c>
      <c r="E121" s="2550" t="s">
        <v>7215</v>
      </c>
      <c r="F121" s="2551">
        <v>131</v>
      </c>
      <c r="G121" s="2559">
        <v>3180</v>
      </c>
      <c r="H121" s="2551">
        <v>0</v>
      </c>
      <c r="J121" s="2550">
        <v>5</v>
      </c>
      <c r="K121" s="2553" t="s">
        <v>7264</v>
      </c>
      <c r="L121" s="2551" t="e">
        <f t="shared" si="1"/>
        <v>#N/A</v>
      </c>
      <c r="W121" s="2979"/>
    </row>
    <row r="122" spans="1:23" hidden="1">
      <c r="A122" s="2551">
        <v>4022305</v>
      </c>
      <c r="B122" s="2551" t="s">
        <v>6830</v>
      </c>
      <c r="C122" s="2551">
        <v>7</v>
      </c>
      <c r="D122" t="s">
        <v>7271</v>
      </c>
      <c r="E122" s="2550" t="s">
        <v>7215</v>
      </c>
      <c r="F122" s="2551">
        <v>131</v>
      </c>
      <c r="G122" s="2559">
        <v>12831.72</v>
      </c>
      <c r="H122" s="2551">
        <v>0</v>
      </c>
      <c r="J122" s="2550">
        <v>5</v>
      </c>
      <c r="K122" s="2553" t="s">
        <v>7264</v>
      </c>
      <c r="L122" s="2551" t="e">
        <f t="shared" si="1"/>
        <v>#N/A</v>
      </c>
      <c r="W122" s="2979"/>
    </row>
    <row r="123" spans="1:23" hidden="1">
      <c r="A123" s="2551">
        <v>4022306</v>
      </c>
      <c r="B123" s="2551" t="s">
        <v>6475</v>
      </c>
      <c r="C123" s="2551">
        <v>7</v>
      </c>
      <c r="D123" t="s">
        <v>7271</v>
      </c>
      <c r="E123" s="2550" t="s">
        <v>7215</v>
      </c>
      <c r="F123" s="2551">
        <v>131</v>
      </c>
      <c r="G123" s="2559">
        <v>1177641.1599999999</v>
      </c>
      <c r="H123" s="2551">
        <v>0</v>
      </c>
      <c r="J123" s="2550">
        <v>5</v>
      </c>
      <c r="K123" s="2553" t="s">
        <v>7264</v>
      </c>
      <c r="L123" s="2551" t="e">
        <f t="shared" si="1"/>
        <v>#N/A</v>
      </c>
      <c r="W123" s="2979"/>
    </row>
    <row r="124" spans="1:23" hidden="1">
      <c r="A124" s="2551">
        <v>4022309</v>
      </c>
      <c r="B124" s="2551" t="s">
        <v>6832</v>
      </c>
      <c r="C124" s="2551">
        <v>7</v>
      </c>
      <c r="D124" t="s">
        <v>7271</v>
      </c>
      <c r="E124" s="2550" t="s">
        <v>7215</v>
      </c>
      <c r="F124" s="2551">
        <v>131</v>
      </c>
      <c r="G124" s="2559">
        <v>4386.0600000000004</v>
      </c>
      <c r="H124" s="2551">
        <v>0</v>
      </c>
      <c r="J124" s="2550">
        <v>5</v>
      </c>
      <c r="K124" s="2553" t="s">
        <v>7264</v>
      </c>
      <c r="L124" s="2551" t="e">
        <f t="shared" si="1"/>
        <v>#N/A</v>
      </c>
      <c r="W124" s="2979"/>
    </row>
    <row r="125" spans="1:23" hidden="1">
      <c r="A125" s="2551">
        <v>4022310</v>
      </c>
      <c r="B125" s="2551" t="s">
        <v>6476</v>
      </c>
      <c r="C125" s="2551">
        <v>7</v>
      </c>
      <c r="D125" t="s">
        <v>7271</v>
      </c>
      <c r="E125" s="2550" t="s">
        <v>7215</v>
      </c>
      <c r="F125" s="2551">
        <v>131</v>
      </c>
      <c r="G125" s="2559">
        <v>253742.33</v>
      </c>
      <c r="H125" s="2551">
        <v>0</v>
      </c>
      <c r="J125" s="2550">
        <v>5</v>
      </c>
      <c r="K125" s="2553" t="s">
        <v>7264</v>
      </c>
      <c r="L125" s="2551" t="e">
        <f t="shared" si="1"/>
        <v>#N/A</v>
      </c>
      <c r="W125" s="2979"/>
    </row>
    <row r="126" spans="1:23" hidden="1">
      <c r="A126" s="2551">
        <v>4022311</v>
      </c>
      <c r="B126" s="2551" t="s">
        <v>7273</v>
      </c>
      <c r="C126" s="2551">
        <v>7</v>
      </c>
      <c r="D126" t="s">
        <v>7271</v>
      </c>
      <c r="E126" s="2550" t="s">
        <v>7215</v>
      </c>
      <c r="F126" s="2551">
        <v>131</v>
      </c>
      <c r="G126" s="2559">
        <v>17550</v>
      </c>
      <c r="H126" s="2551">
        <v>0</v>
      </c>
      <c r="J126" s="2550">
        <v>5</v>
      </c>
      <c r="K126" s="2553" t="s">
        <v>7264</v>
      </c>
      <c r="L126" s="2551" t="e">
        <f t="shared" si="1"/>
        <v>#N/A</v>
      </c>
      <c r="W126" s="2979"/>
    </row>
    <row r="127" spans="1:23" hidden="1">
      <c r="A127" s="2551">
        <v>4022314</v>
      </c>
      <c r="B127" s="2551" t="s">
        <v>6477</v>
      </c>
      <c r="C127" s="2551">
        <v>7</v>
      </c>
      <c r="D127" t="s">
        <v>7271</v>
      </c>
      <c r="E127" s="2550" t="s">
        <v>7215</v>
      </c>
      <c r="F127" s="2551">
        <v>131</v>
      </c>
      <c r="G127" s="2559">
        <v>1029759.26</v>
      </c>
      <c r="H127" s="2551">
        <v>0</v>
      </c>
      <c r="J127" s="2550">
        <v>5</v>
      </c>
      <c r="K127" s="2553" t="s">
        <v>7264</v>
      </c>
      <c r="L127" s="2551" t="e">
        <f t="shared" si="1"/>
        <v>#N/A</v>
      </c>
      <c r="W127" s="2979"/>
    </row>
    <row r="128" spans="1:23" hidden="1">
      <c r="A128" s="2551">
        <v>4022315</v>
      </c>
      <c r="B128" s="2551" t="s">
        <v>6478</v>
      </c>
      <c r="C128" s="2551">
        <v>7</v>
      </c>
      <c r="D128" t="s">
        <v>7271</v>
      </c>
      <c r="E128" s="2550" t="s">
        <v>7215</v>
      </c>
      <c r="F128" s="2551">
        <v>131</v>
      </c>
      <c r="G128" s="2559">
        <v>2933055.2</v>
      </c>
      <c r="H128" s="2551">
        <v>0</v>
      </c>
      <c r="J128" s="2550">
        <v>5</v>
      </c>
      <c r="K128" s="2553" t="s">
        <v>7264</v>
      </c>
      <c r="L128" s="2551" t="e">
        <f t="shared" si="1"/>
        <v>#N/A</v>
      </c>
      <c r="W128" s="2979"/>
    </row>
    <row r="129" spans="1:23" hidden="1">
      <c r="A129" s="2551">
        <v>4022316</v>
      </c>
      <c r="B129" s="2551" t="s">
        <v>6834</v>
      </c>
      <c r="C129" s="2551">
        <v>7</v>
      </c>
      <c r="D129" t="s">
        <v>7271</v>
      </c>
      <c r="E129" s="2550" t="s">
        <v>7215</v>
      </c>
      <c r="F129" s="2551">
        <v>131</v>
      </c>
      <c r="G129" s="2559">
        <v>57475</v>
      </c>
      <c r="H129" s="2551">
        <v>0</v>
      </c>
      <c r="J129" s="2550">
        <v>5</v>
      </c>
      <c r="K129" s="2553" t="s">
        <v>7264</v>
      </c>
      <c r="L129" s="2551" t="e">
        <f t="shared" si="1"/>
        <v>#N/A</v>
      </c>
      <c r="W129" s="2979"/>
    </row>
    <row r="130" spans="1:23" hidden="1">
      <c r="A130" s="2551">
        <v>4022319</v>
      </c>
      <c r="B130" s="2551" t="s">
        <v>6837</v>
      </c>
      <c r="C130" s="2551">
        <v>7</v>
      </c>
      <c r="D130" t="s">
        <v>7271</v>
      </c>
      <c r="E130" s="2550" t="s">
        <v>7215</v>
      </c>
      <c r="F130" s="2551">
        <v>131</v>
      </c>
      <c r="G130" s="2559">
        <v>4090.12</v>
      </c>
      <c r="H130" s="2551">
        <v>0</v>
      </c>
      <c r="J130" s="2550">
        <v>5</v>
      </c>
      <c r="K130" s="2553" t="s">
        <v>7264</v>
      </c>
      <c r="L130" s="2551" t="e">
        <f t="shared" si="1"/>
        <v>#N/A</v>
      </c>
      <c r="W130" s="2979"/>
    </row>
    <row r="131" spans="1:23" hidden="1">
      <c r="A131" s="2551">
        <v>4022401</v>
      </c>
      <c r="B131" s="2551" t="s">
        <v>7274</v>
      </c>
      <c r="C131" s="2551">
        <v>7</v>
      </c>
      <c r="D131" t="s">
        <v>7271</v>
      </c>
      <c r="E131" s="2550" t="s">
        <v>7215</v>
      </c>
      <c r="F131" s="2551">
        <v>131</v>
      </c>
      <c r="G131" s="2559">
        <v>-218142.32</v>
      </c>
      <c r="H131" s="2551">
        <v>0</v>
      </c>
      <c r="J131" s="2550">
        <v>5</v>
      </c>
      <c r="K131" s="2553" t="s">
        <v>7264</v>
      </c>
      <c r="L131" s="2551" t="e">
        <f t="shared" si="1"/>
        <v>#N/A</v>
      </c>
      <c r="W131" s="2979"/>
    </row>
    <row r="132" spans="1:23" hidden="1">
      <c r="A132" s="2551">
        <v>4047100</v>
      </c>
      <c r="B132" s="2551" t="s">
        <v>7275</v>
      </c>
      <c r="C132" s="2551">
        <v>16</v>
      </c>
      <c r="D132" s="2551" t="s">
        <v>7276</v>
      </c>
      <c r="E132" s="2550" t="s">
        <v>7277</v>
      </c>
      <c r="F132" s="2551">
        <v>30</v>
      </c>
      <c r="G132" s="2551">
        <v>0</v>
      </c>
      <c r="H132" s="2559">
        <v>6497518</v>
      </c>
      <c r="J132" s="2551">
        <v>29</v>
      </c>
      <c r="K132" s="2553" t="s">
        <v>1525</v>
      </c>
      <c r="L132" s="2551" t="e">
        <f t="shared" ref="L132:L195" si="2">VLOOKUP(A132,P:P,1,0)</f>
        <v>#N/A</v>
      </c>
      <c r="W132" s="2979"/>
    </row>
    <row r="133" spans="1:23" hidden="1">
      <c r="A133" s="2551">
        <v>4074901</v>
      </c>
      <c r="B133" s="2551" t="s">
        <v>6701</v>
      </c>
      <c r="C133" s="2551">
        <v>7</v>
      </c>
      <c r="D133" t="s">
        <v>7271</v>
      </c>
      <c r="E133" s="2550" t="s">
        <v>7215</v>
      </c>
      <c r="F133" s="2551">
        <v>131</v>
      </c>
      <c r="G133" s="2559">
        <v>47486487.130000003</v>
      </c>
      <c r="H133" s="2551">
        <v>0</v>
      </c>
      <c r="J133" s="2550">
        <v>5</v>
      </c>
      <c r="K133" s="2553" t="s">
        <v>7264</v>
      </c>
      <c r="L133" s="2551" t="e">
        <f t="shared" si="2"/>
        <v>#N/A</v>
      </c>
      <c r="W133" s="2979"/>
    </row>
    <row r="134" spans="1:23" hidden="1">
      <c r="A134" s="2551">
        <v>1024210</v>
      </c>
      <c r="B134" s="2551" t="s">
        <v>5723</v>
      </c>
      <c r="C134" s="2551">
        <v>10</v>
      </c>
      <c r="D134" s="2551" t="s">
        <v>5716</v>
      </c>
      <c r="E134" s="2550" t="s">
        <v>7215</v>
      </c>
      <c r="F134" s="2551">
        <v>101</v>
      </c>
      <c r="G134" s="2567">
        <v>454458.55</v>
      </c>
      <c r="H134" s="2559">
        <v>434049.55</v>
      </c>
      <c r="J134" s="2551">
        <v>11</v>
      </c>
      <c r="K134" s="2553" t="s">
        <v>7278</v>
      </c>
      <c r="L134" s="2551" t="e">
        <f t="shared" si="2"/>
        <v>#N/A</v>
      </c>
      <c r="W134" s="2979"/>
    </row>
    <row r="135" spans="1:23" hidden="1">
      <c r="A135" s="2551">
        <v>1024211</v>
      </c>
      <c r="B135" s="2551" t="s">
        <v>7279</v>
      </c>
      <c r="C135" s="2551">
        <v>10</v>
      </c>
      <c r="D135" s="2551" t="s">
        <v>5716</v>
      </c>
      <c r="E135" s="2550" t="s">
        <v>7215</v>
      </c>
      <c r="F135" s="2551">
        <v>101</v>
      </c>
      <c r="G135" s="2567">
        <v>2000</v>
      </c>
      <c r="H135" s="2551">
        <v>0</v>
      </c>
      <c r="J135" s="2551">
        <v>11</v>
      </c>
      <c r="K135" s="2553" t="s">
        <v>7278</v>
      </c>
      <c r="L135" s="2551" t="e">
        <f t="shared" si="2"/>
        <v>#N/A</v>
      </c>
      <c r="W135" s="2979"/>
    </row>
    <row r="136" spans="1:23" hidden="1">
      <c r="A136" s="2551">
        <v>1024220</v>
      </c>
      <c r="B136" s="2551" t="s">
        <v>7280</v>
      </c>
      <c r="C136" s="2551">
        <v>10</v>
      </c>
      <c r="D136" s="2551" t="s">
        <v>5716</v>
      </c>
      <c r="E136" s="2550" t="s">
        <v>7215</v>
      </c>
      <c r="F136" s="2551">
        <v>101</v>
      </c>
      <c r="G136" s="2567">
        <v>7394996.0300000003</v>
      </c>
      <c r="H136" s="2559">
        <v>6295257.0300000003</v>
      </c>
      <c r="J136" s="2551">
        <v>11</v>
      </c>
      <c r="K136" s="2553" t="s">
        <v>7278</v>
      </c>
      <c r="L136" s="2551" t="e">
        <f t="shared" si="2"/>
        <v>#N/A</v>
      </c>
      <c r="W136" s="2979"/>
    </row>
    <row r="137" spans="1:23" hidden="1">
      <c r="A137" s="2551">
        <v>1024230</v>
      </c>
      <c r="B137" s="2551" t="s">
        <v>7281</v>
      </c>
      <c r="C137" s="2551">
        <v>10</v>
      </c>
      <c r="D137" s="2551" t="s">
        <v>5716</v>
      </c>
      <c r="E137" s="2550" t="s">
        <v>7215</v>
      </c>
      <c r="F137" s="2551">
        <v>101</v>
      </c>
      <c r="G137" s="2567">
        <v>194679</v>
      </c>
      <c r="H137" s="2559">
        <v>55842</v>
      </c>
      <c r="J137" s="2551">
        <v>11</v>
      </c>
      <c r="K137" s="2553" t="s">
        <v>7278</v>
      </c>
      <c r="L137" s="2551" t="e">
        <f t="shared" si="2"/>
        <v>#N/A</v>
      </c>
      <c r="W137" s="2979"/>
    </row>
    <row r="138" spans="1:23" hidden="1">
      <c r="A138" s="2551">
        <v>1024240</v>
      </c>
      <c r="B138" s="2551" t="s">
        <v>5726</v>
      </c>
      <c r="C138" s="2551">
        <v>10</v>
      </c>
      <c r="D138" s="2551" t="s">
        <v>5716</v>
      </c>
      <c r="E138" s="2550" t="s">
        <v>7215</v>
      </c>
      <c r="F138" s="2551">
        <v>101</v>
      </c>
      <c r="G138" s="2567">
        <v>6500</v>
      </c>
      <c r="H138" s="2559">
        <v>10000</v>
      </c>
      <c r="J138" s="2551">
        <v>11</v>
      </c>
      <c r="K138" s="2553" t="s">
        <v>7278</v>
      </c>
      <c r="L138" s="2551" t="e">
        <f t="shared" si="2"/>
        <v>#N/A</v>
      </c>
      <c r="W138" s="2979"/>
    </row>
    <row r="139" spans="1:23" hidden="1">
      <c r="A139" s="2551">
        <v>1027101</v>
      </c>
      <c r="B139" s="2551" t="s">
        <v>7282</v>
      </c>
      <c r="C139" s="2551">
        <v>11</v>
      </c>
      <c r="D139" s="2551" t="s">
        <v>7283</v>
      </c>
      <c r="E139" s="2550" t="s">
        <v>7215</v>
      </c>
      <c r="F139" s="2551">
        <v>106</v>
      </c>
      <c r="G139" s="2559">
        <v>2760</v>
      </c>
      <c r="H139" s="2559">
        <v>2760</v>
      </c>
      <c r="J139" s="2551">
        <v>12</v>
      </c>
      <c r="K139" s="2553" t="s">
        <v>7267</v>
      </c>
      <c r="L139" s="2551" t="e">
        <f t="shared" si="2"/>
        <v>#N/A</v>
      </c>
      <c r="W139" s="2979"/>
    </row>
    <row r="140" spans="1:23" hidden="1">
      <c r="A140" s="2551">
        <v>1027104</v>
      </c>
      <c r="B140" s="2551" t="s">
        <v>7284</v>
      </c>
      <c r="C140" s="2551">
        <v>11</v>
      </c>
      <c r="D140" s="2551" t="s">
        <v>7283</v>
      </c>
      <c r="E140" s="2550" t="s">
        <v>7215</v>
      </c>
      <c r="F140" s="2551">
        <v>106</v>
      </c>
      <c r="G140" s="2559">
        <v>-3022</v>
      </c>
      <c r="H140" s="2559">
        <v>-3022</v>
      </c>
      <c r="J140" s="2551">
        <v>12</v>
      </c>
      <c r="K140" s="2553" t="s">
        <v>7267</v>
      </c>
      <c r="L140" s="2551" t="e">
        <f t="shared" si="2"/>
        <v>#N/A</v>
      </c>
      <c r="W140" s="2979"/>
    </row>
    <row r="141" spans="1:23" hidden="1">
      <c r="A141" s="2551">
        <v>1027201</v>
      </c>
      <c r="B141" s="2551" t="s">
        <v>5744</v>
      </c>
      <c r="C141" s="2551">
        <v>11</v>
      </c>
      <c r="D141" s="2551" t="s">
        <v>7283</v>
      </c>
      <c r="E141" s="2550" t="s">
        <v>7215</v>
      </c>
      <c r="F141" s="2551">
        <v>106</v>
      </c>
      <c r="G141" s="2559">
        <v>2768474</v>
      </c>
      <c r="H141" s="2559">
        <v>2888840</v>
      </c>
      <c r="J141" s="2551">
        <v>12</v>
      </c>
      <c r="K141" s="2553" t="s">
        <v>7267</v>
      </c>
      <c r="L141" s="2551" t="e">
        <f t="shared" si="2"/>
        <v>#N/A</v>
      </c>
      <c r="W141" s="2979"/>
    </row>
    <row r="142" spans="1:23" hidden="1">
      <c r="A142" s="2551">
        <v>1027202</v>
      </c>
      <c r="B142" s="2551" t="s">
        <v>5745</v>
      </c>
      <c r="C142" s="2551">
        <v>11</v>
      </c>
      <c r="D142" s="2551" t="s">
        <v>7283</v>
      </c>
      <c r="E142" s="2550" t="s">
        <v>7215</v>
      </c>
      <c r="F142" s="2551">
        <v>106</v>
      </c>
      <c r="G142" s="2559">
        <v>1017315.6</v>
      </c>
      <c r="H142" s="2559">
        <v>999565.6</v>
      </c>
      <c r="J142" s="2551">
        <v>12</v>
      </c>
      <c r="K142" s="2553" t="s">
        <v>7267</v>
      </c>
      <c r="L142" s="2551" t="e">
        <f t="shared" si="2"/>
        <v>#N/A</v>
      </c>
      <c r="W142" s="2979"/>
    </row>
    <row r="143" spans="1:23" hidden="1">
      <c r="A143" s="2551">
        <v>1027203</v>
      </c>
      <c r="B143" s="2551" t="s">
        <v>2847</v>
      </c>
      <c r="C143" s="2551">
        <v>11</v>
      </c>
      <c r="D143" s="2551" t="s">
        <v>7283</v>
      </c>
      <c r="E143" s="2550" t="s">
        <v>7215</v>
      </c>
      <c r="F143" s="2551">
        <v>106</v>
      </c>
      <c r="G143" s="2559">
        <v>341957</v>
      </c>
      <c r="H143" s="2559">
        <v>141957</v>
      </c>
      <c r="J143" s="2551">
        <v>12</v>
      </c>
      <c r="K143" s="2553" t="s">
        <v>7267</v>
      </c>
      <c r="L143" s="2551" t="e">
        <f t="shared" si="2"/>
        <v>#N/A</v>
      </c>
      <c r="W143" s="2979"/>
    </row>
    <row r="144" spans="1:23" hidden="1">
      <c r="A144" s="2551">
        <v>1027206</v>
      </c>
      <c r="B144" s="2551" t="s">
        <v>2849</v>
      </c>
      <c r="C144" s="2551">
        <v>11</v>
      </c>
      <c r="D144" s="2551" t="s">
        <v>7283</v>
      </c>
      <c r="E144" s="2550" t="s">
        <v>7215</v>
      </c>
      <c r="F144" s="2551">
        <v>106</v>
      </c>
      <c r="G144" s="2559">
        <v>4716034.8499999996</v>
      </c>
      <c r="H144" s="2559">
        <v>5261413.8499999996</v>
      </c>
      <c r="J144" s="2551">
        <v>12</v>
      </c>
      <c r="K144" s="2553" t="s">
        <v>7267</v>
      </c>
      <c r="L144" s="2551" t="e">
        <f t="shared" si="2"/>
        <v>#N/A</v>
      </c>
      <c r="W144" s="2979"/>
    </row>
    <row r="145" spans="1:23" hidden="1">
      <c r="A145" s="2551">
        <v>1027207</v>
      </c>
      <c r="B145" s="2551" t="s">
        <v>7285</v>
      </c>
      <c r="C145" s="2551">
        <v>11</v>
      </c>
      <c r="D145" s="2551" t="s">
        <v>7283</v>
      </c>
      <c r="E145" s="2550" t="s">
        <v>7215</v>
      </c>
      <c r="F145" s="2551">
        <v>106</v>
      </c>
      <c r="G145" s="2559">
        <v>-5000</v>
      </c>
      <c r="H145" s="2551">
        <v>0</v>
      </c>
      <c r="J145" s="2551">
        <v>11</v>
      </c>
      <c r="K145" s="2553" t="s">
        <v>7278</v>
      </c>
      <c r="L145" s="2551" t="e">
        <f t="shared" si="2"/>
        <v>#N/A</v>
      </c>
      <c r="W145" s="2979"/>
    </row>
    <row r="146" spans="1:23" hidden="1">
      <c r="A146" s="2551">
        <v>1027208</v>
      </c>
      <c r="B146" s="2551" t="s">
        <v>5747</v>
      </c>
      <c r="C146" s="2551">
        <v>11</v>
      </c>
      <c r="D146" s="2551" t="s">
        <v>7283</v>
      </c>
      <c r="E146" s="2550" t="s">
        <v>7215</v>
      </c>
      <c r="F146" s="2551">
        <v>106</v>
      </c>
      <c r="G146" s="2559">
        <v>1961060.1</v>
      </c>
      <c r="H146" s="2559">
        <v>17695560.100000001</v>
      </c>
      <c r="J146" s="2551">
        <v>12</v>
      </c>
      <c r="K146" s="2553" t="s">
        <v>7267</v>
      </c>
      <c r="L146" s="2551" t="e">
        <f t="shared" si="2"/>
        <v>#N/A</v>
      </c>
      <c r="W146" s="2979"/>
    </row>
    <row r="147" spans="1:23" hidden="1">
      <c r="A147" s="2551">
        <v>1027209</v>
      </c>
      <c r="B147" s="2551" t="s">
        <v>7286</v>
      </c>
      <c r="C147" s="2551">
        <v>11</v>
      </c>
      <c r="D147" s="2551" t="s">
        <v>7283</v>
      </c>
      <c r="E147" s="2550" t="s">
        <v>7215</v>
      </c>
      <c r="F147" s="2551">
        <v>106</v>
      </c>
      <c r="G147" s="2551">
        <v>-55</v>
      </c>
      <c r="H147" s="2551">
        <v>-55</v>
      </c>
      <c r="J147" s="2551">
        <v>12</v>
      </c>
      <c r="K147" s="2553" t="s">
        <v>7267</v>
      </c>
      <c r="L147" s="2551" t="e">
        <f t="shared" si="2"/>
        <v>#N/A</v>
      </c>
      <c r="W147" s="2979"/>
    </row>
    <row r="148" spans="1:23" hidden="1">
      <c r="A148" s="2551">
        <v>1027210</v>
      </c>
      <c r="B148" s="2551" t="s">
        <v>2853</v>
      </c>
      <c r="C148" s="2551">
        <v>11</v>
      </c>
      <c r="D148" s="2551" t="s">
        <v>7283</v>
      </c>
      <c r="E148" s="2550" t="s">
        <v>7215</v>
      </c>
      <c r="F148" s="2551">
        <v>106</v>
      </c>
      <c r="G148" s="2559">
        <v>840523.7</v>
      </c>
      <c r="H148" s="2559">
        <v>840523.7</v>
      </c>
      <c r="J148" s="2551">
        <v>12</v>
      </c>
      <c r="K148" s="2553" t="s">
        <v>7267</v>
      </c>
      <c r="L148" s="2551" t="e">
        <f t="shared" si="2"/>
        <v>#N/A</v>
      </c>
      <c r="W148" s="2979"/>
    </row>
    <row r="149" spans="1:23" hidden="1">
      <c r="A149" s="2551">
        <v>1027211</v>
      </c>
      <c r="B149" s="2551" t="s">
        <v>5748</v>
      </c>
      <c r="C149" s="2551">
        <v>11</v>
      </c>
      <c r="D149" s="2551" t="s">
        <v>7283</v>
      </c>
      <c r="E149" s="2550" t="s">
        <v>7215</v>
      </c>
      <c r="F149" s="2551">
        <v>106</v>
      </c>
      <c r="G149" s="2559">
        <v>12986338</v>
      </c>
      <c r="H149" s="2559">
        <v>4610333</v>
      </c>
      <c r="J149" s="2551">
        <v>12</v>
      </c>
      <c r="K149" s="2553" t="s">
        <v>7267</v>
      </c>
      <c r="L149" s="2551" t="e">
        <f t="shared" si="2"/>
        <v>#N/A</v>
      </c>
      <c r="W149" s="2979"/>
    </row>
    <row r="150" spans="1:23" hidden="1">
      <c r="A150" s="2551">
        <v>1027212</v>
      </c>
      <c r="B150" s="2551" t="s">
        <v>5749</v>
      </c>
      <c r="C150" s="2551">
        <v>11</v>
      </c>
      <c r="D150" s="2551" t="s">
        <v>7283</v>
      </c>
      <c r="E150" s="2550" t="s">
        <v>7215</v>
      </c>
      <c r="F150" s="2551">
        <v>106</v>
      </c>
      <c r="G150" s="2559">
        <v>575754</v>
      </c>
      <c r="H150" s="2559">
        <v>577367</v>
      </c>
      <c r="J150" s="2551">
        <v>12</v>
      </c>
      <c r="K150" s="2553" t="s">
        <v>7267</v>
      </c>
      <c r="L150" s="2551" t="e">
        <f t="shared" si="2"/>
        <v>#N/A</v>
      </c>
      <c r="W150" s="2979"/>
    </row>
    <row r="151" spans="1:23" hidden="1">
      <c r="A151" s="2551">
        <v>1027213</v>
      </c>
      <c r="B151" s="2551" t="s">
        <v>5750</v>
      </c>
      <c r="C151" s="2551">
        <v>11</v>
      </c>
      <c r="D151" s="2551" t="s">
        <v>7283</v>
      </c>
      <c r="E151" s="2550" t="s">
        <v>7215</v>
      </c>
      <c r="F151" s="2551">
        <v>106</v>
      </c>
      <c r="G151" s="2559">
        <v>-142712</v>
      </c>
      <c r="H151" s="2559">
        <v>94000</v>
      </c>
      <c r="J151" s="2551">
        <v>12</v>
      </c>
      <c r="K151" s="2553" t="s">
        <v>7267</v>
      </c>
      <c r="L151" s="2551" t="e">
        <f t="shared" si="2"/>
        <v>#N/A</v>
      </c>
      <c r="W151" s="2979"/>
    </row>
    <row r="152" spans="1:23" hidden="1">
      <c r="A152" s="2551">
        <v>1028401</v>
      </c>
      <c r="B152" s="2551" t="s">
        <v>5780</v>
      </c>
      <c r="C152" s="2551">
        <v>11</v>
      </c>
      <c r="D152" s="2551" t="s">
        <v>7283</v>
      </c>
      <c r="E152" s="2550" t="s">
        <v>7215</v>
      </c>
      <c r="F152" s="2551">
        <v>106</v>
      </c>
      <c r="G152" s="2559">
        <v>4225937.16</v>
      </c>
      <c r="H152" s="2559">
        <v>4377829.54</v>
      </c>
      <c r="J152" s="2551">
        <v>12</v>
      </c>
      <c r="K152" s="2553" t="s">
        <v>7267</v>
      </c>
      <c r="L152" s="2551" t="e">
        <f t="shared" si="2"/>
        <v>#N/A</v>
      </c>
      <c r="W152" s="2979"/>
    </row>
    <row r="153" spans="1:23" hidden="1">
      <c r="A153" s="2551">
        <v>1028402</v>
      </c>
      <c r="B153" s="2551" t="s">
        <v>5781</v>
      </c>
      <c r="C153" s="2551">
        <v>11</v>
      </c>
      <c r="D153" s="2551" t="s">
        <v>7283</v>
      </c>
      <c r="E153" s="2550" t="s">
        <v>7215</v>
      </c>
      <c r="F153" s="2551">
        <v>106</v>
      </c>
      <c r="G153" s="2559">
        <v>35960</v>
      </c>
      <c r="H153" s="2559">
        <v>35960</v>
      </c>
      <c r="J153" s="2551">
        <v>12</v>
      </c>
      <c r="K153" s="2553" t="s">
        <v>7267</v>
      </c>
      <c r="L153" s="2551" t="e">
        <f t="shared" si="2"/>
        <v>#N/A</v>
      </c>
      <c r="W153" s="2979"/>
    </row>
    <row r="154" spans="1:23" hidden="1">
      <c r="A154" s="2551">
        <v>1028824</v>
      </c>
      <c r="B154" s="2551" t="s">
        <v>7287</v>
      </c>
      <c r="C154" s="2551">
        <v>11</v>
      </c>
      <c r="D154" s="2551" t="s">
        <v>7288</v>
      </c>
      <c r="E154" s="2550" t="s">
        <v>7215</v>
      </c>
      <c r="F154" s="2551">
        <v>115</v>
      </c>
      <c r="G154" s="2559">
        <v>15000</v>
      </c>
      <c r="H154" s="2551">
        <v>0</v>
      </c>
      <c r="J154" s="2551">
        <v>6</v>
      </c>
      <c r="K154" s="2553" t="s">
        <v>7278</v>
      </c>
      <c r="L154" s="2551" t="e">
        <f t="shared" si="2"/>
        <v>#N/A</v>
      </c>
      <c r="W154" s="2979"/>
    </row>
    <row r="155" spans="1:23" hidden="1">
      <c r="A155" s="2551">
        <v>1028826</v>
      </c>
      <c r="B155" s="2551" t="s">
        <v>7289</v>
      </c>
      <c r="C155" s="2551">
        <v>11</v>
      </c>
      <c r="D155" s="2551" t="s">
        <v>7290</v>
      </c>
      <c r="E155" s="2550" t="s">
        <v>7215</v>
      </c>
      <c r="F155" s="2551">
        <v>110</v>
      </c>
      <c r="G155" s="2559">
        <v>391500</v>
      </c>
      <c r="H155" s="2559">
        <v>391500</v>
      </c>
      <c r="J155" s="2551">
        <v>6</v>
      </c>
      <c r="K155" s="2553" t="s">
        <v>7278</v>
      </c>
      <c r="L155" s="2551" t="e">
        <f t="shared" si="2"/>
        <v>#N/A</v>
      </c>
      <c r="W155" s="2979"/>
    </row>
    <row r="156" spans="1:23" hidden="1">
      <c r="A156" s="2551">
        <v>1020291</v>
      </c>
      <c r="B156" s="2551" t="s">
        <v>7291</v>
      </c>
      <c r="C156" s="2551"/>
      <c r="E156" s="2550" t="s">
        <v>7215</v>
      </c>
      <c r="F156" s="2551">
        <v>104</v>
      </c>
      <c r="G156" s="2559">
        <v>10000</v>
      </c>
      <c r="H156" s="2551">
        <v>0</v>
      </c>
      <c r="J156" s="2551">
        <v>10</v>
      </c>
      <c r="K156" s="2553" t="s">
        <v>7292</v>
      </c>
      <c r="L156" s="2551" t="e">
        <f t="shared" si="2"/>
        <v>#N/A</v>
      </c>
      <c r="W156" s="2979"/>
    </row>
    <row r="157" spans="1:23" hidden="1">
      <c r="A157" s="2551">
        <v>7000031</v>
      </c>
      <c r="B157" s="2551" t="s">
        <v>6565</v>
      </c>
      <c r="C157" s="2551">
        <v>11</v>
      </c>
      <c r="D157" s="2551" t="s">
        <v>5520</v>
      </c>
      <c r="E157" s="2550" t="s">
        <v>7215</v>
      </c>
      <c r="F157" s="2551">
        <v>108</v>
      </c>
      <c r="G157" s="2559">
        <v>431719081</v>
      </c>
      <c r="H157" s="2559">
        <v>91733992</v>
      </c>
      <c r="J157" s="2551">
        <v>7</v>
      </c>
      <c r="K157" s="2553" t="s">
        <v>7293</v>
      </c>
      <c r="L157" s="2551" t="e">
        <f t="shared" si="2"/>
        <v>#N/A</v>
      </c>
      <c r="W157" s="2979"/>
    </row>
    <row r="158" spans="1:23" hidden="1">
      <c r="A158" s="2551">
        <v>1027410</v>
      </c>
      <c r="B158" s="2551" t="s">
        <v>7294</v>
      </c>
      <c r="C158" s="2551">
        <v>11</v>
      </c>
      <c r="D158" s="2551" t="s">
        <v>4016</v>
      </c>
      <c r="E158" s="2550" t="s">
        <v>7215</v>
      </c>
      <c r="F158" s="2551" t="s">
        <v>7295</v>
      </c>
      <c r="G158" s="2552">
        <v>70000000</v>
      </c>
      <c r="H158" s="2552">
        <v>0</v>
      </c>
      <c r="J158" s="2551"/>
      <c r="L158" s="2551" t="e">
        <f t="shared" si="2"/>
        <v>#N/A</v>
      </c>
      <c r="W158" s="2979"/>
    </row>
    <row r="159" spans="1:23" hidden="1">
      <c r="A159" s="2551">
        <v>1027411</v>
      </c>
      <c r="B159" s="2551" t="s">
        <v>7296</v>
      </c>
      <c r="C159" s="2551">
        <v>11</v>
      </c>
      <c r="D159" s="2551" t="s">
        <v>4016</v>
      </c>
      <c r="E159" s="2550" t="s">
        <v>7215</v>
      </c>
      <c r="F159" s="2551" t="s">
        <v>7297</v>
      </c>
      <c r="G159" s="2552">
        <v>35492457</v>
      </c>
      <c r="H159" s="2552">
        <v>0</v>
      </c>
      <c r="J159" s="2551"/>
      <c r="L159" s="2551" t="e">
        <f t="shared" si="2"/>
        <v>#N/A</v>
      </c>
      <c r="W159" s="2979"/>
    </row>
    <row r="160" spans="1:23" hidden="1">
      <c r="A160" s="2551">
        <v>1027420</v>
      </c>
      <c r="B160" s="2551" t="s">
        <v>7298</v>
      </c>
      <c r="C160" s="2551">
        <v>11</v>
      </c>
      <c r="D160" s="2551" t="s">
        <v>4016</v>
      </c>
      <c r="E160" s="2550" t="s">
        <v>7215</v>
      </c>
      <c r="F160" s="2551">
        <v>113</v>
      </c>
      <c r="G160" s="2552">
        <v>29246326.780000001</v>
      </c>
      <c r="H160" s="2552">
        <v>50922322.780000001</v>
      </c>
      <c r="J160" s="2551"/>
      <c r="L160" s="2551" t="e">
        <f t="shared" si="2"/>
        <v>#N/A</v>
      </c>
      <c r="W160" s="2979"/>
    </row>
    <row r="161" spans="1:23" hidden="1">
      <c r="A161" s="2551">
        <v>1027424</v>
      </c>
      <c r="B161" s="2551" t="s">
        <v>5754</v>
      </c>
      <c r="C161" s="2551">
        <v>11</v>
      </c>
      <c r="D161" s="2551" t="s">
        <v>4016</v>
      </c>
      <c r="E161" s="2550" t="s">
        <v>7215</v>
      </c>
      <c r="F161" s="2551">
        <v>113</v>
      </c>
      <c r="G161" s="2552">
        <v>5241263.16</v>
      </c>
      <c r="H161" s="2552">
        <v>2228457</v>
      </c>
      <c r="J161" s="2551"/>
      <c r="L161" s="2551" t="e">
        <f t="shared" si="2"/>
        <v>#N/A</v>
      </c>
      <c r="W161" s="2979"/>
    </row>
    <row r="162" spans="1:23" hidden="1">
      <c r="A162" s="2551">
        <v>1027425</v>
      </c>
      <c r="B162" s="2551" t="s">
        <v>7299</v>
      </c>
      <c r="C162" s="2551">
        <v>11</v>
      </c>
      <c r="D162" s="2551" t="s">
        <v>4016</v>
      </c>
      <c r="E162" s="2550" t="s">
        <v>7215</v>
      </c>
      <c r="F162" s="2551">
        <v>113</v>
      </c>
      <c r="G162" s="2552">
        <v>19220113.23</v>
      </c>
      <c r="H162" s="2552">
        <v>4301058</v>
      </c>
      <c r="J162" s="2551"/>
      <c r="L162" s="2551" t="e">
        <f t="shared" si="2"/>
        <v>#N/A</v>
      </c>
      <c r="W162" s="2979"/>
    </row>
    <row r="163" spans="1:23" hidden="1">
      <c r="A163" s="2551">
        <v>1027426</v>
      </c>
      <c r="B163" s="2551" t="s">
        <v>7300</v>
      </c>
      <c r="C163" s="2551">
        <v>11</v>
      </c>
      <c r="D163" s="2551" t="s">
        <v>4016</v>
      </c>
      <c r="E163" s="2550" t="s">
        <v>7215</v>
      </c>
      <c r="F163" s="2551">
        <v>113</v>
      </c>
      <c r="G163" s="2552">
        <v>1980416</v>
      </c>
      <c r="H163" s="2552">
        <v>1913635</v>
      </c>
      <c r="J163" s="2551"/>
      <c r="L163" s="2551" t="e">
        <f t="shared" si="2"/>
        <v>#N/A</v>
      </c>
      <c r="W163" s="2979"/>
    </row>
    <row r="164" spans="1:23" hidden="1">
      <c r="A164" s="2551">
        <v>1027428</v>
      </c>
      <c r="B164" s="2551" t="s">
        <v>7301</v>
      </c>
      <c r="C164" s="2551">
        <v>11</v>
      </c>
      <c r="D164" s="2551" t="s">
        <v>4016</v>
      </c>
      <c r="E164" s="2550" t="s">
        <v>7215</v>
      </c>
      <c r="F164" s="2551">
        <v>113</v>
      </c>
      <c r="G164" s="2552">
        <v>58526</v>
      </c>
      <c r="H164" s="2552">
        <v>50833</v>
      </c>
      <c r="J164" s="2551"/>
      <c r="L164" s="2551" t="e">
        <f t="shared" si="2"/>
        <v>#N/A</v>
      </c>
      <c r="W164" s="2979"/>
    </row>
    <row r="165" spans="1:23" hidden="1">
      <c r="A165" s="2551">
        <v>1028914</v>
      </c>
      <c r="B165" s="2551" t="s">
        <v>5809</v>
      </c>
      <c r="C165" s="2551">
        <v>11</v>
      </c>
      <c r="D165" s="2551" t="s">
        <v>7288</v>
      </c>
      <c r="E165" s="2550" t="s">
        <v>7215</v>
      </c>
      <c r="F165" s="2551">
        <v>115</v>
      </c>
      <c r="G165" s="2559">
        <v>127329</v>
      </c>
      <c r="H165" s="2559">
        <v>128606</v>
      </c>
      <c r="J165" s="2551">
        <v>6</v>
      </c>
      <c r="K165" s="2553" t="s">
        <v>7278</v>
      </c>
      <c r="L165" s="2551" t="e">
        <f t="shared" si="2"/>
        <v>#N/A</v>
      </c>
      <c r="W165" s="2979"/>
    </row>
    <row r="166" spans="1:23" hidden="1">
      <c r="A166" s="2551">
        <v>1028919</v>
      </c>
      <c r="B166" s="2551" t="s">
        <v>2908</v>
      </c>
      <c r="C166" s="2551">
        <v>11</v>
      </c>
      <c r="D166" s="2551" t="s">
        <v>7288</v>
      </c>
      <c r="E166" s="2550" t="s">
        <v>7215</v>
      </c>
      <c r="F166" s="2551">
        <v>115</v>
      </c>
      <c r="G166" s="2559">
        <v>56071975.359999999</v>
      </c>
      <c r="H166" s="2559">
        <v>38911907.719999999</v>
      </c>
      <c r="J166" s="2551">
        <v>6</v>
      </c>
      <c r="K166" s="2553" t="s">
        <v>7278</v>
      </c>
      <c r="L166" s="2551" t="e">
        <f t="shared" si="2"/>
        <v>#N/A</v>
      </c>
      <c r="W166" s="2979"/>
    </row>
    <row r="167" spans="1:23" hidden="1">
      <c r="A167" s="2551">
        <v>1028930</v>
      </c>
      <c r="B167" s="2551" t="s">
        <v>7302</v>
      </c>
      <c r="C167" s="2551">
        <v>11</v>
      </c>
      <c r="D167" s="2551" t="s">
        <v>7288</v>
      </c>
      <c r="E167" s="2550" t="s">
        <v>7215</v>
      </c>
      <c r="F167" s="2551">
        <v>115</v>
      </c>
      <c r="G167" s="2559">
        <v>-34500</v>
      </c>
      <c r="H167" s="2559">
        <v>-34500</v>
      </c>
      <c r="J167" s="2551">
        <v>6</v>
      </c>
      <c r="K167" s="2553" t="s">
        <v>7278</v>
      </c>
      <c r="L167" s="2551" t="e">
        <f t="shared" si="2"/>
        <v>#N/A</v>
      </c>
      <c r="W167" s="2979"/>
    </row>
    <row r="168" spans="1:23" hidden="1">
      <c r="A168" s="2551">
        <v>1028932</v>
      </c>
      <c r="B168" s="2551" t="s">
        <v>7303</v>
      </c>
      <c r="C168" s="2551">
        <v>11</v>
      </c>
      <c r="D168" s="2551" t="s">
        <v>7288</v>
      </c>
      <c r="E168" s="2550" t="s">
        <v>7215</v>
      </c>
      <c r="F168" s="2551">
        <v>115</v>
      </c>
      <c r="G168" s="2559">
        <v>735695</v>
      </c>
      <c r="H168" s="2559">
        <v>735695</v>
      </c>
      <c r="J168" s="2551">
        <v>6</v>
      </c>
      <c r="K168" s="2553" t="s">
        <v>7278</v>
      </c>
      <c r="L168" s="2551" t="e">
        <f t="shared" si="2"/>
        <v>#N/A</v>
      </c>
      <c r="W168" s="2979"/>
    </row>
    <row r="169" spans="1:23" hidden="1">
      <c r="A169" s="2551">
        <v>1028940</v>
      </c>
      <c r="B169" s="2551" t="s">
        <v>7304</v>
      </c>
      <c r="C169" s="2551">
        <v>11</v>
      </c>
      <c r="D169" s="2551" t="s">
        <v>7288</v>
      </c>
      <c r="E169" s="2550" t="s">
        <v>7215</v>
      </c>
      <c r="F169" s="2551">
        <v>115</v>
      </c>
      <c r="G169" s="2551">
        <v>648.44000000000005</v>
      </c>
      <c r="H169" s="2551">
        <v>648.44000000000005</v>
      </c>
      <c r="J169" s="2551">
        <v>6</v>
      </c>
      <c r="K169" s="2553" t="s">
        <v>7278</v>
      </c>
      <c r="L169" s="2551" t="e">
        <f t="shared" si="2"/>
        <v>#N/A</v>
      </c>
      <c r="W169" s="2979"/>
    </row>
    <row r="170" spans="1:23" hidden="1">
      <c r="A170" s="2551">
        <v>1028941</v>
      </c>
      <c r="B170" s="2551" t="s">
        <v>7305</v>
      </c>
      <c r="C170" s="2551">
        <v>11</v>
      </c>
      <c r="D170" s="2551" t="s">
        <v>7288</v>
      </c>
      <c r="E170" s="2550" t="s">
        <v>7215</v>
      </c>
      <c r="F170" s="2551">
        <v>115</v>
      </c>
      <c r="G170" s="2559">
        <v>25000</v>
      </c>
      <c r="H170" s="2551">
        <v>0</v>
      </c>
      <c r="J170" s="2551">
        <v>6</v>
      </c>
      <c r="K170" s="2553" t="s">
        <v>7278</v>
      </c>
      <c r="L170" s="2551" t="e">
        <f t="shared" si="2"/>
        <v>#N/A</v>
      </c>
      <c r="W170" s="2979"/>
    </row>
    <row r="171" spans="1:23" hidden="1">
      <c r="A171" s="2551">
        <v>7000000</v>
      </c>
      <c r="B171" s="2551" t="s">
        <v>6729</v>
      </c>
      <c r="C171" s="2551">
        <v>11</v>
      </c>
      <c r="D171" s="2551" t="s">
        <v>7306</v>
      </c>
      <c r="E171" s="2550" t="s">
        <v>7215</v>
      </c>
      <c r="F171" s="2551" t="s">
        <v>7307</v>
      </c>
      <c r="G171" s="2559">
        <v>1372671</v>
      </c>
      <c r="H171" s="2551">
        <v>0</v>
      </c>
      <c r="J171" s="2551">
        <v>12</v>
      </c>
      <c r="K171" s="2553" t="s">
        <v>7267</v>
      </c>
      <c r="L171" s="2551" t="e">
        <f t="shared" si="2"/>
        <v>#N/A</v>
      </c>
      <c r="W171" s="2979"/>
    </row>
    <row r="172" spans="1:23" hidden="1">
      <c r="A172" s="2551">
        <v>7000001</v>
      </c>
      <c r="B172" s="2551" t="s">
        <v>6730</v>
      </c>
      <c r="C172" s="2551">
        <v>11</v>
      </c>
      <c r="D172" s="2551" t="s">
        <v>7306</v>
      </c>
      <c r="E172" s="2550" t="s">
        <v>7215</v>
      </c>
      <c r="F172" s="2551" t="s">
        <v>7307</v>
      </c>
      <c r="G172" s="2559">
        <v>1372671</v>
      </c>
      <c r="H172" s="2551">
        <v>0</v>
      </c>
      <c r="J172" s="2551">
        <v>12</v>
      </c>
      <c r="K172" s="2553" t="s">
        <v>7267</v>
      </c>
      <c r="L172" s="2551" t="e">
        <f t="shared" si="2"/>
        <v>#N/A</v>
      </c>
      <c r="W172" s="2979"/>
    </row>
    <row r="173" spans="1:23" hidden="1">
      <c r="A173" s="2551">
        <v>7000002</v>
      </c>
      <c r="B173" s="2551" t="s">
        <v>6731</v>
      </c>
      <c r="C173" s="2551">
        <v>11</v>
      </c>
      <c r="D173" s="2551" t="s">
        <v>7306</v>
      </c>
      <c r="E173" s="2550" t="s">
        <v>7215</v>
      </c>
      <c r="F173" s="2551" t="s">
        <v>7307</v>
      </c>
      <c r="G173" s="2559">
        <v>8655389</v>
      </c>
      <c r="H173" s="2551">
        <v>0</v>
      </c>
      <c r="J173" s="2551">
        <v>12</v>
      </c>
      <c r="K173" s="2553" t="s">
        <v>7267</v>
      </c>
      <c r="L173" s="2551" t="e">
        <f t="shared" si="2"/>
        <v>#N/A</v>
      </c>
      <c r="W173" s="2979"/>
    </row>
    <row r="174" spans="1:23" hidden="1">
      <c r="A174" s="2551">
        <v>1028610</v>
      </c>
      <c r="B174" s="2551" t="s">
        <v>5783</v>
      </c>
      <c r="C174" s="2551">
        <v>11</v>
      </c>
      <c r="D174" s="2551" t="s">
        <v>7308</v>
      </c>
      <c r="E174" s="2550" t="s">
        <v>7215</v>
      </c>
      <c r="F174" s="2551">
        <v>112</v>
      </c>
      <c r="G174" s="2559">
        <v>460042268</v>
      </c>
      <c r="H174" s="2559">
        <v>460042268</v>
      </c>
      <c r="J174" s="2551">
        <v>6</v>
      </c>
      <c r="K174" s="2553" t="s">
        <v>7278</v>
      </c>
      <c r="L174" s="2551" t="e">
        <f t="shared" si="2"/>
        <v>#N/A</v>
      </c>
      <c r="W174" s="2979"/>
    </row>
    <row r="175" spans="1:23" hidden="1">
      <c r="A175" s="2551">
        <v>1028801</v>
      </c>
      <c r="B175" s="2551" t="s">
        <v>7309</v>
      </c>
      <c r="C175" s="2551">
        <v>11</v>
      </c>
      <c r="D175" s="2551" t="s">
        <v>7290</v>
      </c>
      <c r="E175" s="2550" t="s">
        <v>7215</v>
      </c>
      <c r="F175" s="2551">
        <v>110</v>
      </c>
      <c r="G175" s="2559">
        <v>-19072</v>
      </c>
      <c r="H175" s="2551">
        <v>156</v>
      </c>
      <c r="J175" s="2551">
        <v>11</v>
      </c>
      <c r="K175" s="2553" t="s">
        <v>7278</v>
      </c>
      <c r="L175" s="2551" t="e">
        <f t="shared" si="2"/>
        <v>#N/A</v>
      </c>
      <c r="W175" s="2979"/>
    </row>
    <row r="176" spans="1:23" hidden="1">
      <c r="A176" s="2551">
        <v>1028802</v>
      </c>
      <c r="B176" s="2551" t="s">
        <v>7310</v>
      </c>
      <c r="C176" s="2551">
        <v>11</v>
      </c>
      <c r="D176" s="2551" t="s">
        <v>7290</v>
      </c>
      <c r="E176" s="2550" t="s">
        <v>7215</v>
      </c>
      <c r="F176" s="2551">
        <v>110</v>
      </c>
      <c r="G176" s="2559">
        <v>15481.74</v>
      </c>
      <c r="H176" s="2559">
        <v>17700.740000000002</v>
      </c>
      <c r="J176" s="2551">
        <v>6</v>
      </c>
      <c r="K176" s="2553" t="s">
        <v>7278</v>
      </c>
      <c r="L176" s="2551" t="e">
        <f t="shared" si="2"/>
        <v>#N/A</v>
      </c>
      <c r="W176" s="2979"/>
    </row>
    <row r="177" spans="1:23" hidden="1">
      <c r="A177" s="2550">
        <v>2044146</v>
      </c>
      <c r="B177" s="2551" t="s">
        <v>7311</v>
      </c>
      <c r="C177" s="2550">
        <v>8</v>
      </c>
      <c r="D177" s="2551" t="s">
        <v>7312</v>
      </c>
      <c r="E177" s="2550" t="s">
        <v>7215</v>
      </c>
      <c r="F177" s="2550">
        <v>116</v>
      </c>
      <c r="G177" s="2559">
        <v>-1271019</v>
      </c>
      <c r="H177" s="2559">
        <v>-317755</v>
      </c>
      <c r="J177" s="2550">
        <v>9</v>
      </c>
      <c r="K177" s="2553" t="s">
        <v>7313</v>
      </c>
      <c r="L177" s="2551" t="e">
        <f t="shared" si="2"/>
        <v>#N/A</v>
      </c>
      <c r="W177" s="2979"/>
    </row>
    <row r="178" spans="1:23" hidden="1">
      <c r="A178" s="2551">
        <v>1022622</v>
      </c>
      <c r="B178" s="2551" t="s">
        <v>5645</v>
      </c>
      <c r="C178" s="2551">
        <v>9</v>
      </c>
      <c r="D178" s="2551" t="s">
        <v>1000</v>
      </c>
      <c r="E178" s="2550" t="s">
        <v>7215</v>
      </c>
      <c r="F178" s="2551">
        <v>119</v>
      </c>
      <c r="G178" s="2559">
        <v>6276.26</v>
      </c>
      <c r="H178" s="2551">
        <v>396.1</v>
      </c>
      <c r="J178" s="2550">
        <v>8</v>
      </c>
      <c r="K178" s="2553" t="s">
        <v>1000</v>
      </c>
      <c r="L178" s="2551" t="e">
        <f t="shared" si="2"/>
        <v>#N/A</v>
      </c>
      <c r="W178" s="2979"/>
    </row>
    <row r="179" spans="1:23" hidden="1">
      <c r="A179" s="2551">
        <v>1022623</v>
      </c>
      <c r="B179" s="2551" t="s">
        <v>5646</v>
      </c>
      <c r="C179" s="2551">
        <v>9</v>
      </c>
      <c r="D179" s="2551" t="s">
        <v>1000</v>
      </c>
      <c r="E179" s="2550" t="s">
        <v>7215</v>
      </c>
      <c r="F179" s="2551">
        <v>119</v>
      </c>
      <c r="G179" s="2559">
        <v>50030897.939999998</v>
      </c>
      <c r="H179" s="2559">
        <v>34814534.729999997</v>
      </c>
      <c r="J179" s="2550">
        <v>8</v>
      </c>
      <c r="K179" s="2553" t="s">
        <v>1000</v>
      </c>
      <c r="L179" s="2551" t="e">
        <f t="shared" si="2"/>
        <v>#N/A</v>
      </c>
      <c r="W179" s="2979"/>
    </row>
    <row r="180" spans="1:23" hidden="1">
      <c r="A180" s="2551">
        <v>1022624</v>
      </c>
      <c r="B180" s="2551" t="s">
        <v>5647</v>
      </c>
      <c r="C180" s="2551">
        <v>9</v>
      </c>
      <c r="D180" s="2551" t="s">
        <v>1000</v>
      </c>
      <c r="E180" s="2550" t="s">
        <v>7215</v>
      </c>
      <c r="F180" s="2551">
        <v>119</v>
      </c>
      <c r="G180" s="2559">
        <v>17128357.48</v>
      </c>
      <c r="H180" s="2559">
        <v>8771698.9399999995</v>
      </c>
      <c r="J180" s="2550">
        <v>8</v>
      </c>
      <c r="K180" s="2553" t="s">
        <v>1000</v>
      </c>
      <c r="L180" s="2551" t="e">
        <f t="shared" si="2"/>
        <v>#N/A</v>
      </c>
      <c r="W180" s="2979"/>
    </row>
    <row r="181" spans="1:23" hidden="1">
      <c r="A181" s="2551">
        <v>1022625</v>
      </c>
      <c r="B181" s="2551" t="s">
        <v>5648</v>
      </c>
      <c r="C181" s="2551">
        <v>9</v>
      </c>
      <c r="D181" s="2551" t="s">
        <v>1000</v>
      </c>
      <c r="E181" s="2550" t="s">
        <v>7215</v>
      </c>
      <c r="F181" s="2551">
        <v>119</v>
      </c>
      <c r="G181" s="2559">
        <v>80399027.269999996</v>
      </c>
      <c r="H181" s="2559">
        <v>21804991.25</v>
      </c>
      <c r="J181" s="2550">
        <v>8</v>
      </c>
      <c r="K181" s="2553" t="s">
        <v>1000</v>
      </c>
      <c r="L181" s="2551" t="e">
        <f t="shared" si="2"/>
        <v>#N/A</v>
      </c>
      <c r="W181" s="2979"/>
    </row>
    <row r="182" spans="1:23" hidden="1">
      <c r="A182" s="2551">
        <v>1022626</v>
      </c>
      <c r="B182" s="2551" t="s">
        <v>6800</v>
      </c>
      <c r="C182" s="2551">
        <v>9</v>
      </c>
      <c r="D182" s="2551" t="s">
        <v>1000</v>
      </c>
      <c r="E182" s="2550" t="s">
        <v>7215</v>
      </c>
      <c r="F182" s="2551">
        <v>119</v>
      </c>
      <c r="G182" s="2559">
        <v>28800060.739999998</v>
      </c>
      <c r="H182" s="2551">
        <v>0</v>
      </c>
      <c r="J182" s="2550">
        <v>8</v>
      </c>
      <c r="K182" s="2553" t="s">
        <v>1000</v>
      </c>
      <c r="L182" s="2551" t="e">
        <f t="shared" si="2"/>
        <v>#N/A</v>
      </c>
      <c r="W182" s="2979"/>
    </row>
    <row r="183" spans="1:23" hidden="1">
      <c r="A183" s="2551">
        <v>1022627</v>
      </c>
      <c r="B183" s="2551" t="s">
        <v>5649</v>
      </c>
      <c r="C183" s="2551">
        <v>9</v>
      </c>
      <c r="D183" s="2551" t="s">
        <v>1000</v>
      </c>
      <c r="E183" s="2550" t="s">
        <v>7215</v>
      </c>
      <c r="F183" s="2551">
        <v>119</v>
      </c>
      <c r="G183" s="2559">
        <v>9930645.8800000008</v>
      </c>
      <c r="H183" s="2559">
        <v>280387.28999999998</v>
      </c>
      <c r="J183" s="2550">
        <v>8</v>
      </c>
      <c r="K183" s="2553" t="s">
        <v>1000</v>
      </c>
      <c r="L183" s="2551" t="e">
        <f t="shared" si="2"/>
        <v>#N/A</v>
      </c>
      <c r="W183" s="2979"/>
    </row>
    <row r="184" spans="1:23" hidden="1">
      <c r="A184" s="2551">
        <v>1022628</v>
      </c>
      <c r="B184" s="2551" t="s">
        <v>5650</v>
      </c>
      <c r="C184" s="2551">
        <v>9</v>
      </c>
      <c r="D184" s="2551" t="s">
        <v>1000</v>
      </c>
      <c r="E184" s="2550" t="s">
        <v>7215</v>
      </c>
      <c r="F184" s="2551">
        <v>119</v>
      </c>
      <c r="G184" s="2559">
        <v>259671.38</v>
      </c>
      <c r="H184" s="2559">
        <v>259671.38</v>
      </c>
      <c r="J184" s="2550">
        <v>8</v>
      </c>
      <c r="K184" s="2553" t="s">
        <v>1000</v>
      </c>
      <c r="L184" s="2551" t="e">
        <f t="shared" si="2"/>
        <v>#N/A</v>
      </c>
      <c r="W184" s="2979"/>
    </row>
    <row r="185" spans="1:23" hidden="1">
      <c r="A185" s="2551">
        <v>1022630</v>
      </c>
      <c r="B185" s="2551" t="s">
        <v>5651</v>
      </c>
      <c r="C185" s="2551">
        <v>9</v>
      </c>
      <c r="D185" s="2551" t="s">
        <v>1000</v>
      </c>
      <c r="E185" s="2550" t="s">
        <v>7215</v>
      </c>
      <c r="F185" s="2551">
        <v>119</v>
      </c>
      <c r="G185" s="2559">
        <v>69489434.579999998</v>
      </c>
      <c r="H185" s="2559">
        <v>12769097.16</v>
      </c>
      <c r="J185" s="2550">
        <v>8</v>
      </c>
      <c r="K185" s="2553" t="s">
        <v>1000</v>
      </c>
      <c r="L185" s="2551" t="e">
        <f t="shared" si="2"/>
        <v>#N/A</v>
      </c>
      <c r="W185" s="2979"/>
    </row>
    <row r="186" spans="1:23" hidden="1">
      <c r="A186" s="2551">
        <v>1022633</v>
      </c>
      <c r="B186" s="2551" t="s">
        <v>6801</v>
      </c>
      <c r="C186" s="2551">
        <v>9</v>
      </c>
      <c r="D186" s="2551" t="s">
        <v>1000</v>
      </c>
      <c r="E186" s="2550" t="s">
        <v>7215</v>
      </c>
      <c r="F186" s="2551">
        <v>119</v>
      </c>
      <c r="G186" s="2559">
        <v>11159805.960000001</v>
      </c>
      <c r="H186" s="2551">
        <v>0</v>
      </c>
      <c r="J186" s="2550">
        <v>8</v>
      </c>
      <c r="K186" s="2553" t="s">
        <v>1000</v>
      </c>
      <c r="L186" s="2551" t="e">
        <f t="shared" si="2"/>
        <v>#N/A</v>
      </c>
      <c r="W186" s="2979"/>
    </row>
    <row r="187" spans="1:23" hidden="1">
      <c r="A187" s="2551">
        <v>1022634</v>
      </c>
      <c r="B187" s="2551" t="s">
        <v>5652</v>
      </c>
      <c r="C187" s="2551">
        <v>9</v>
      </c>
      <c r="D187" s="2551" t="s">
        <v>1000</v>
      </c>
      <c r="E187" s="2550" t="s">
        <v>7215</v>
      </c>
      <c r="F187" s="2551">
        <v>119</v>
      </c>
      <c r="G187" s="2559">
        <v>1279309.29</v>
      </c>
      <c r="H187" s="2559">
        <v>1048091.97</v>
      </c>
      <c r="J187" s="2550">
        <v>8</v>
      </c>
      <c r="K187" s="2553" t="s">
        <v>1000</v>
      </c>
      <c r="L187" s="2551" t="e">
        <f t="shared" si="2"/>
        <v>#N/A</v>
      </c>
      <c r="W187" s="2979"/>
    </row>
    <row r="188" spans="1:23" hidden="1">
      <c r="A188" s="2551">
        <v>1022635</v>
      </c>
      <c r="B188" s="2551" t="s">
        <v>5653</v>
      </c>
      <c r="C188" s="2551">
        <v>9</v>
      </c>
      <c r="D188" s="2551" t="s">
        <v>1000</v>
      </c>
      <c r="E188" s="2550" t="s">
        <v>7215</v>
      </c>
      <c r="F188" s="2551">
        <v>119</v>
      </c>
      <c r="G188" s="2559">
        <v>1438697.72</v>
      </c>
      <c r="H188" s="2559">
        <v>460883.66</v>
      </c>
      <c r="J188" s="2550">
        <v>8</v>
      </c>
      <c r="K188" s="2553" t="s">
        <v>1000</v>
      </c>
      <c r="L188" s="2551" t="e">
        <f t="shared" si="2"/>
        <v>#N/A</v>
      </c>
      <c r="W188" s="2979"/>
    </row>
    <row r="189" spans="1:23" hidden="1">
      <c r="A189" s="2551">
        <v>1022636</v>
      </c>
      <c r="B189" s="2551" t="s">
        <v>5654</v>
      </c>
      <c r="C189" s="2551">
        <v>9</v>
      </c>
      <c r="D189" s="2551" t="s">
        <v>1000</v>
      </c>
      <c r="E189" s="2550" t="s">
        <v>7215</v>
      </c>
      <c r="F189" s="2551">
        <v>119</v>
      </c>
      <c r="G189" s="2559">
        <v>242131.20000000001</v>
      </c>
      <c r="H189" s="2559">
        <v>16350</v>
      </c>
      <c r="J189" s="2550">
        <v>8</v>
      </c>
      <c r="K189" s="2553" t="s">
        <v>1000</v>
      </c>
      <c r="L189" s="2551" t="e">
        <f t="shared" si="2"/>
        <v>#N/A</v>
      </c>
      <c r="W189" s="2979"/>
    </row>
    <row r="190" spans="1:23" hidden="1">
      <c r="A190" s="2551">
        <v>1022639</v>
      </c>
      <c r="B190" s="2551" t="s">
        <v>5655</v>
      </c>
      <c r="C190" s="2551">
        <v>9</v>
      </c>
      <c r="D190" s="2551" t="s">
        <v>1000</v>
      </c>
      <c r="E190" s="2550" t="s">
        <v>7215</v>
      </c>
      <c r="F190" s="2551">
        <v>119</v>
      </c>
      <c r="G190" s="2559">
        <v>12858689.65</v>
      </c>
      <c r="H190" s="2559">
        <v>2293409.58</v>
      </c>
      <c r="J190" s="2550">
        <v>8</v>
      </c>
      <c r="K190" s="2553" t="s">
        <v>1000</v>
      </c>
      <c r="L190" s="2551" t="e">
        <f t="shared" si="2"/>
        <v>#N/A</v>
      </c>
      <c r="W190" s="2979"/>
    </row>
    <row r="191" spans="1:23" hidden="1">
      <c r="A191" s="2550">
        <v>1023101</v>
      </c>
      <c r="B191" s="2551" t="s">
        <v>5658</v>
      </c>
      <c r="C191" s="2550">
        <v>8</v>
      </c>
      <c r="D191" s="2551" t="s">
        <v>7312</v>
      </c>
      <c r="E191" s="2550" t="s">
        <v>7215</v>
      </c>
      <c r="F191" s="2550">
        <v>116</v>
      </c>
      <c r="G191" s="2559">
        <v>4473697666.9799995</v>
      </c>
      <c r="H191" s="2559">
        <v>1050018718.83</v>
      </c>
      <c r="J191" s="2550">
        <v>9</v>
      </c>
      <c r="K191" s="2553" t="s">
        <v>7313</v>
      </c>
      <c r="L191" s="2551" t="e">
        <f t="shared" si="2"/>
        <v>#N/A</v>
      </c>
      <c r="W191" s="2979"/>
    </row>
    <row r="192" spans="1:23" hidden="1">
      <c r="A192" s="2550">
        <v>1023102</v>
      </c>
      <c r="B192" s="2551" t="s">
        <v>7314</v>
      </c>
      <c r="C192" s="2550">
        <v>8</v>
      </c>
      <c r="D192" s="2551" t="s">
        <v>7312</v>
      </c>
      <c r="E192" s="2550" t="s">
        <v>7215</v>
      </c>
      <c r="F192" s="2550">
        <v>116</v>
      </c>
      <c r="G192" s="2559">
        <v>-41148172.609999999</v>
      </c>
      <c r="H192" s="2559">
        <v>3763863.48</v>
      </c>
      <c r="J192" s="2550">
        <v>9</v>
      </c>
      <c r="K192" s="2553" t="s">
        <v>7313</v>
      </c>
      <c r="L192" s="2551" t="e">
        <f t="shared" si="2"/>
        <v>#N/A</v>
      </c>
      <c r="W192" s="2979"/>
    </row>
    <row r="193" spans="1:23" hidden="1">
      <c r="A193" s="2550">
        <v>1023103</v>
      </c>
      <c r="B193" s="2551" t="s">
        <v>5660</v>
      </c>
      <c r="C193" s="2550">
        <v>8</v>
      </c>
      <c r="D193" s="2551" t="s">
        <v>7312</v>
      </c>
      <c r="E193" s="2550" t="s">
        <v>7215</v>
      </c>
      <c r="F193" s="2550">
        <v>116</v>
      </c>
      <c r="G193" s="2559">
        <v>258052239.09999999</v>
      </c>
      <c r="H193" s="2559">
        <v>422605754.29000002</v>
      </c>
      <c r="J193" s="2550">
        <v>9</v>
      </c>
      <c r="K193" s="2553" t="s">
        <v>7313</v>
      </c>
      <c r="L193" s="2551" t="e">
        <f t="shared" si="2"/>
        <v>#N/A</v>
      </c>
      <c r="W193" s="2979"/>
    </row>
    <row r="194" spans="1:23" hidden="1">
      <c r="A194" s="2550">
        <v>1023104</v>
      </c>
      <c r="B194" s="2551" t="s">
        <v>6609</v>
      </c>
      <c r="C194" s="2550">
        <v>8</v>
      </c>
      <c r="D194" s="2551" t="s">
        <v>7312</v>
      </c>
      <c r="E194" s="2550" t="s">
        <v>7215</v>
      </c>
      <c r="F194" s="2550">
        <v>116</v>
      </c>
      <c r="G194" s="2559">
        <v>46161539.109999999</v>
      </c>
      <c r="H194" s="2551">
        <v>0</v>
      </c>
      <c r="J194" s="2550">
        <v>9</v>
      </c>
      <c r="K194" s="2553" t="s">
        <v>7313</v>
      </c>
      <c r="L194" s="2551" t="e">
        <f t="shared" si="2"/>
        <v>#N/A</v>
      </c>
      <c r="W194" s="2979"/>
    </row>
    <row r="195" spans="1:23" hidden="1">
      <c r="A195" s="2550">
        <v>1023106</v>
      </c>
      <c r="B195" s="2551" t="s">
        <v>7315</v>
      </c>
      <c r="C195" s="2550">
        <v>8</v>
      </c>
      <c r="D195" s="2551" t="s">
        <v>7312</v>
      </c>
      <c r="E195" s="2550" t="s">
        <v>7215</v>
      </c>
      <c r="F195" s="2550">
        <v>116</v>
      </c>
      <c r="G195" s="2559">
        <v>-417952.01</v>
      </c>
      <c r="H195" s="2559">
        <v>497833155.25</v>
      </c>
      <c r="J195" s="2550">
        <v>9</v>
      </c>
      <c r="K195" s="2553" t="s">
        <v>7313</v>
      </c>
      <c r="L195" s="2551" t="e">
        <f t="shared" si="2"/>
        <v>#N/A</v>
      </c>
      <c r="W195" s="2979"/>
    </row>
    <row r="196" spans="1:23" hidden="1">
      <c r="A196" s="2550">
        <v>1023107</v>
      </c>
      <c r="B196" s="2551" t="s">
        <v>7316</v>
      </c>
      <c r="C196" s="2550">
        <v>8</v>
      </c>
      <c r="D196" s="2551" t="s">
        <v>7312</v>
      </c>
      <c r="E196" s="2550" t="s">
        <v>7215</v>
      </c>
      <c r="F196" s="2550">
        <v>116</v>
      </c>
      <c r="G196" s="2559">
        <v>-74228972.920000002</v>
      </c>
      <c r="H196" s="2559">
        <v>790852904.73000002</v>
      </c>
      <c r="J196" s="2550">
        <v>9</v>
      </c>
      <c r="K196" s="2553" t="s">
        <v>7313</v>
      </c>
      <c r="L196" s="2551" t="e">
        <f t="shared" ref="L196:L259" si="3">VLOOKUP(A196,P:P,1,0)</f>
        <v>#N/A</v>
      </c>
      <c r="W196" s="2979"/>
    </row>
    <row r="197" spans="1:23" hidden="1">
      <c r="A197" s="2550">
        <v>1023108</v>
      </c>
      <c r="B197" s="2551" t="s">
        <v>7316</v>
      </c>
      <c r="C197" s="2550">
        <v>8</v>
      </c>
      <c r="D197" s="2551" t="s">
        <v>7312</v>
      </c>
      <c r="E197" s="2550" t="s">
        <v>7215</v>
      </c>
      <c r="F197" s="2550">
        <v>116</v>
      </c>
      <c r="G197" s="2559">
        <v>54304757.810000002</v>
      </c>
      <c r="H197" s="2551">
        <v>0</v>
      </c>
      <c r="J197" s="2550">
        <v>9</v>
      </c>
      <c r="K197" s="2553" t="s">
        <v>7313</v>
      </c>
      <c r="L197" s="2551" t="e">
        <f t="shared" si="3"/>
        <v>#N/A</v>
      </c>
      <c r="W197" s="2979"/>
    </row>
    <row r="198" spans="1:23" hidden="1">
      <c r="A198" s="2550">
        <v>1023109</v>
      </c>
      <c r="B198" s="2551" t="s">
        <v>6611</v>
      </c>
      <c r="C198" s="2550">
        <v>8</v>
      </c>
      <c r="D198" s="2551" t="s">
        <v>7312</v>
      </c>
      <c r="E198" s="2550" t="s">
        <v>7215</v>
      </c>
      <c r="F198" s="2550">
        <v>116</v>
      </c>
      <c r="G198" s="2559">
        <v>32570.91</v>
      </c>
      <c r="H198" s="2551">
        <v>0</v>
      </c>
      <c r="J198" s="2550">
        <v>9</v>
      </c>
      <c r="K198" s="2553" t="s">
        <v>7313</v>
      </c>
      <c r="L198" s="2551" t="e">
        <f t="shared" si="3"/>
        <v>#N/A</v>
      </c>
      <c r="W198" s="2979"/>
    </row>
    <row r="199" spans="1:23" hidden="1">
      <c r="A199" s="2550">
        <v>1023110</v>
      </c>
      <c r="B199" s="2551" t="s">
        <v>5663</v>
      </c>
      <c r="C199" s="2550">
        <v>8</v>
      </c>
      <c r="D199" s="2551" t="s">
        <v>7312</v>
      </c>
      <c r="E199" s="2550" t="s">
        <v>7215</v>
      </c>
      <c r="F199" s="2550">
        <v>116</v>
      </c>
      <c r="G199" s="2559">
        <v>-290024813.79000002</v>
      </c>
      <c r="H199" s="2559">
        <v>150620400.33000001</v>
      </c>
      <c r="J199" s="2550">
        <v>9</v>
      </c>
      <c r="K199" s="2553" t="s">
        <v>7313</v>
      </c>
      <c r="L199" s="2551" t="e">
        <f t="shared" si="3"/>
        <v>#N/A</v>
      </c>
      <c r="W199" s="2979"/>
    </row>
    <row r="200" spans="1:23" hidden="1">
      <c r="A200" s="2550">
        <v>1023111</v>
      </c>
      <c r="B200" s="2551" t="s">
        <v>5664</v>
      </c>
      <c r="C200" s="2550">
        <v>8</v>
      </c>
      <c r="D200" s="2551" t="s">
        <v>7312</v>
      </c>
      <c r="E200" s="2550" t="s">
        <v>7215</v>
      </c>
      <c r="F200" s="2550">
        <v>116</v>
      </c>
      <c r="G200" s="2559">
        <v>131358162.77</v>
      </c>
      <c r="H200" s="2559">
        <v>559204639</v>
      </c>
      <c r="J200" s="2550">
        <v>9</v>
      </c>
      <c r="K200" s="2553" t="s">
        <v>7313</v>
      </c>
      <c r="L200" s="2551" t="e">
        <f t="shared" si="3"/>
        <v>#N/A</v>
      </c>
      <c r="W200" s="2979"/>
    </row>
    <row r="201" spans="1:23" hidden="1">
      <c r="A201" s="2550">
        <v>1023114</v>
      </c>
      <c r="B201" s="2551" t="s">
        <v>7317</v>
      </c>
      <c r="C201" s="2550">
        <v>8</v>
      </c>
      <c r="D201" s="2551" t="s">
        <v>7312</v>
      </c>
      <c r="E201" s="2550" t="s">
        <v>7215</v>
      </c>
      <c r="F201" s="2550">
        <v>116</v>
      </c>
      <c r="G201" s="2559">
        <v>-36617505.390000001</v>
      </c>
      <c r="H201" s="2559">
        <v>16325768.380000001</v>
      </c>
      <c r="J201" s="2550">
        <v>9</v>
      </c>
      <c r="K201" s="2553" t="s">
        <v>7313</v>
      </c>
      <c r="L201" s="2551" t="e">
        <f t="shared" si="3"/>
        <v>#N/A</v>
      </c>
      <c r="W201" s="2979"/>
    </row>
    <row r="202" spans="1:23" hidden="1">
      <c r="A202" s="2550">
        <v>1023115</v>
      </c>
      <c r="B202" s="2551" t="s">
        <v>5666</v>
      </c>
      <c r="C202" s="2550">
        <v>8</v>
      </c>
      <c r="D202" s="2551" t="s">
        <v>7312</v>
      </c>
      <c r="E202" s="2550" t="s">
        <v>7215</v>
      </c>
      <c r="F202" s="2550">
        <v>116</v>
      </c>
      <c r="G202" s="2559">
        <v>-44518116.289999999</v>
      </c>
      <c r="H202" s="2559">
        <v>32616656.68</v>
      </c>
      <c r="J202" s="2550">
        <v>9</v>
      </c>
      <c r="K202" s="2553" t="s">
        <v>7313</v>
      </c>
      <c r="L202" s="2551" t="e">
        <f t="shared" si="3"/>
        <v>#N/A</v>
      </c>
      <c r="W202" s="2979"/>
    </row>
    <row r="203" spans="1:23" hidden="1">
      <c r="A203" s="2550">
        <v>1023117</v>
      </c>
      <c r="B203" s="2551" t="s">
        <v>5667</v>
      </c>
      <c r="C203" s="2550">
        <v>8</v>
      </c>
      <c r="D203" s="2551" t="s">
        <v>7312</v>
      </c>
      <c r="E203" s="2550" t="s">
        <v>7215</v>
      </c>
      <c r="F203" s="2550">
        <v>116</v>
      </c>
      <c r="G203" s="2559">
        <v>-93476496.230000004</v>
      </c>
      <c r="H203" s="2559">
        <v>-3034879.53</v>
      </c>
      <c r="J203" s="2550">
        <v>9</v>
      </c>
      <c r="K203" s="2553" t="s">
        <v>7313</v>
      </c>
      <c r="L203" s="2551" t="e">
        <f t="shared" si="3"/>
        <v>#N/A</v>
      </c>
      <c r="W203" s="2979"/>
    </row>
    <row r="204" spans="1:23" hidden="1">
      <c r="A204" s="2550">
        <v>1023118</v>
      </c>
      <c r="B204" s="2551" t="s">
        <v>7318</v>
      </c>
      <c r="C204" s="2550">
        <v>8</v>
      </c>
      <c r="D204" s="2551" t="s">
        <v>7312</v>
      </c>
      <c r="E204" s="2550" t="s">
        <v>7215</v>
      </c>
      <c r="F204" s="2550">
        <v>116</v>
      </c>
      <c r="G204" s="2559">
        <v>85443009.640000001</v>
      </c>
      <c r="H204" s="2559">
        <v>22345222.07</v>
      </c>
      <c r="J204" s="2550">
        <v>9</v>
      </c>
      <c r="K204" s="2553" t="s">
        <v>7313</v>
      </c>
      <c r="L204" s="2551" t="e">
        <f t="shared" si="3"/>
        <v>#N/A</v>
      </c>
      <c r="W204" s="2979"/>
    </row>
    <row r="205" spans="1:23" hidden="1">
      <c r="A205" s="2550">
        <v>1023119</v>
      </c>
      <c r="B205" s="2551" t="s">
        <v>7318</v>
      </c>
      <c r="C205" s="2550">
        <v>8</v>
      </c>
      <c r="D205" s="2551" t="s">
        <v>7312</v>
      </c>
      <c r="E205" s="2550" t="s">
        <v>7215</v>
      </c>
      <c r="F205" s="2550">
        <v>116</v>
      </c>
      <c r="G205" s="2559">
        <v>971477.83</v>
      </c>
      <c r="H205" s="2551">
        <v>0</v>
      </c>
      <c r="J205" s="2550">
        <v>9</v>
      </c>
      <c r="K205" s="2553" t="s">
        <v>7313</v>
      </c>
      <c r="L205" s="2551" t="e">
        <f t="shared" si="3"/>
        <v>#N/A</v>
      </c>
      <c r="W205" s="2979"/>
    </row>
    <row r="206" spans="1:23" hidden="1">
      <c r="A206" s="2550">
        <v>1023120</v>
      </c>
      <c r="B206" s="2551" t="s">
        <v>7319</v>
      </c>
      <c r="C206" s="2550">
        <v>8</v>
      </c>
      <c r="D206" s="2551" t="s">
        <v>7312</v>
      </c>
      <c r="E206" s="2550" t="s">
        <v>7215</v>
      </c>
      <c r="F206" s="2550">
        <v>116</v>
      </c>
      <c r="G206" s="2559">
        <v>-32253146.609999999</v>
      </c>
      <c r="H206" s="2559">
        <v>103515879.94</v>
      </c>
      <c r="J206" s="2550">
        <v>9</v>
      </c>
      <c r="K206" s="2553" t="s">
        <v>7313</v>
      </c>
      <c r="L206" s="2551" t="e">
        <f t="shared" si="3"/>
        <v>#N/A</v>
      </c>
      <c r="W206" s="2979"/>
    </row>
    <row r="207" spans="1:23" hidden="1">
      <c r="A207" s="2550">
        <v>1023121</v>
      </c>
      <c r="B207" s="2551" t="s">
        <v>7319</v>
      </c>
      <c r="C207" s="2550">
        <v>8</v>
      </c>
      <c r="D207" s="2551" t="s">
        <v>7312</v>
      </c>
      <c r="E207" s="2550" t="s">
        <v>7215</v>
      </c>
      <c r="F207" s="2550">
        <v>116</v>
      </c>
      <c r="G207" s="2559">
        <v>11684156.84</v>
      </c>
      <c r="H207" s="2551">
        <v>0</v>
      </c>
      <c r="J207" s="2550">
        <v>9</v>
      </c>
      <c r="K207" s="2553" t="s">
        <v>7313</v>
      </c>
      <c r="L207" s="2551" t="e">
        <f t="shared" si="3"/>
        <v>#N/A</v>
      </c>
      <c r="W207" s="2979"/>
    </row>
    <row r="208" spans="1:23" hidden="1">
      <c r="A208" s="2550">
        <v>1023122</v>
      </c>
      <c r="B208" s="2551" t="s">
        <v>7320</v>
      </c>
      <c r="C208" s="2550">
        <v>8</v>
      </c>
      <c r="D208" s="2551" t="s">
        <v>7312</v>
      </c>
      <c r="E208" s="2550" t="s">
        <v>7215</v>
      </c>
      <c r="F208" s="2550">
        <v>116</v>
      </c>
      <c r="G208" s="2559">
        <v>-9067162.4600000009</v>
      </c>
      <c r="H208" s="2559">
        <v>1235598.51</v>
      </c>
      <c r="J208" s="2550">
        <v>9</v>
      </c>
      <c r="K208" s="2553" t="s">
        <v>7313</v>
      </c>
      <c r="L208" s="2551" t="e">
        <f t="shared" si="3"/>
        <v>#N/A</v>
      </c>
      <c r="W208" s="2979"/>
    </row>
    <row r="209" spans="1:23" hidden="1">
      <c r="A209" s="2550">
        <v>1023123</v>
      </c>
      <c r="B209" s="2551" t="s">
        <v>7320</v>
      </c>
      <c r="C209" s="2550">
        <v>8</v>
      </c>
      <c r="D209" s="2551" t="s">
        <v>7312</v>
      </c>
      <c r="E209" s="2550" t="s">
        <v>7215</v>
      </c>
      <c r="F209" s="2550">
        <v>116</v>
      </c>
      <c r="G209" s="2559">
        <v>5718007.9000000004</v>
      </c>
      <c r="H209" s="2551">
        <v>0</v>
      </c>
      <c r="J209" s="2550">
        <v>9</v>
      </c>
      <c r="K209" s="2553" t="s">
        <v>7313</v>
      </c>
      <c r="L209" s="2551" t="e">
        <f t="shared" si="3"/>
        <v>#N/A</v>
      </c>
      <c r="W209" s="2979"/>
    </row>
    <row r="210" spans="1:23" hidden="1">
      <c r="A210" s="2550">
        <v>1023124</v>
      </c>
      <c r="B210" s="2551" t="s">
        <v>7321</v>
      </c>
      <c r="C210" s="2550">
        <v>8</v>
      </c>
      <c r="D210" s="2551" t="s">
        <v>7312</v>
      </c>
      <c r="E210" s="2550" t="s">
        <v>7215</v>
      </c>
      <c r="F210" s="2550">
        <v>116</v>
      </c>
      <c r="G210" s="2559">
        <v>-1763296.34</v>
      </c>
      <c r="H210" s="2559">
        <v>1612745.62</v>
      </c>
      <c r="J210" s="2550">
        <v>9</v>
      </c>
      <c r="K210" s="2553" t="s">
        <v>7313</v>
      </c>
      <c r="L210" s="2551" t="e">
        <f t="shared" si="3"/>
        <v>#N/A</v>
      </c>
      <c r="W210" s="2979"/>
    </row>
    <row r="211" spans="1:23" hidden="1">
      <c r="A211" s="2550">
        <v>1023125</v>
      </c>
      <c r="B211" s="2551" t="s">
        <v>7321</v>
      </c>
      <c r="C211" s="2550">
        <v>8</v>
      </c>
      <c r="D211" s="2551" t="s">
        <v>7312</v>
      </c>
      <c r="E211" s="2550" t="s">
        <v>7215</v>
      </c>
      <c r="F211" s="2550">
        <v>116</v>
      </c>
      <c r="G211" s="2559">
        <v>2054448.65</v>
      </c>
      <c r="H211" s="2551">
        <v>0</v>
      </c>
      <c r="J211" s="2550">
        <v>9</v>
      </c>
      <c r="K211" s="2553" t="s">
        <v>7313</v>
      </c>
      <c r="L211" s="2551" t="e">
        <f t="shared" si="3"/>
        <v>#N/A</v>
      </c>
      <c r="W211" s="2979"/>
    </row>
    <row r="212" spans="1:23" hidden="1">
      <c r="A212" s="2550">
        <v>1023126</v>
      </c>
      <c r="B212" s="2551" t="s">
        <v>7322</v>
      </c>
      <c r="C212" s="2550">
        <v>8</v>
      </c>
      <c r="D212" s="2551" t="s">
        <v>7312</v>
      </c>
      <c r="E212" s="2550" t="s">
        <v>7215</v>
      </c>
      <c r="F212" s="2550">
        <v>116</v>
      </c>
      <c r="G212" s="2559">
        <v>-58334094.009999998</v>
      </c>
      <c r="H212" s="2559">
        <v>55142560.049999997</v>
      </c>
      <c r="J212" s="2550">
        <v>9</v>
      </c>
      <c r="K212" s="2553" t="s">
        <v>7313</v>
      </c>
      <c r="L212" s="2551" t="e">
        <f t="shared" si="3"/>
        <v>#N/A</v>
      </c>
      <c r="W212" s="2979"/>
    </row>
    <row r="213" spans="1:23" hidden="1">
      <c r="A213" s="2550">
        <v>1023127</v>
      </c>
      <c r="B213" s="2551" t="s">
        <v>7322</v>
      </c>
      <c r="C213" s="2550">
        <v>8</v>
      </c>
      <c r="D213" s="2551" t="s">
        <v>7312</v>
      </c>
      <c r="E213" s="2550" t="s">
        <v>7215</v>
      </c>
      <c r="F213" s="2550">
        <v>116</v>
      </c>
      <c r="G213" s="2559">
        <v>21623194.539999999</v>
      </c>
      <c r="H213" s="2551">
        <v>0</v>
      </c>
      <c r="J213" s="2550">
        <v>9</v>
      </c>
      <c r="K213" s="2553" t="s">
        <v>7313</v>
      </c>
      <c r="L213" s="2551" t="e">
        <f t="shared" si="3"/>
        <v>#N/A</v>
      </c>
      <c r="W213" s="2979"/>
    </row>
    <row r="214" spans="1:23" hidden="1">
      <c r="A214" s="2550">
        <v>1023131</v>
      </c>
      <c r="B214" s="2551" t="s">
        <v>7323</v>
      </c>
      <c r="C214" s="2550">
        <v>8</v>
      </c>
      <c r="D214" s="2551" t="s">
        <v>7312</v>
      </c>
      <c r="E214" s="2550" t="s">
        <v>7215</v>
      </c>
      <c r="F214" s="2550">
        <v>116</v>
      </c>
      <c r="G214" s="2559">
        <v>-569510.22</v>
      </c>
      <c r="H214" s="2551">
        <v>0</v>
      </c>
      <c r="J214" s="2550">
        <v>9</v>
      </c>
      <c r="K214" s="2553" t="s">
        <v>7313</v>
      </c>
      <c r="L214" s="2551" t="e">
        <f t="shared" si="3"/>
        <v>#N/A</v>
      </c>
      <c r="W214" s="2979"/>
    </row>
    <row r="215" spans="1:23" hidden="1">
      <c r="A215" s="2550">
        <v>1023201</v>
      </c>
      <c r="B215" s="2551" t="s">
        <v>5673</v>
      </c>
      <c r="C215" s="2550">
        <v>8</v>
      </c>
      <c r="D215" s="2551" t="s">
        <v>7312</v>
      </c>
      <c r="E215" s="2550" t="s">
        <v>7215</v>
      </c>
      <c r="F215" s="2550">
        <v>116</v>
      </c>
      <c r="G215" s="2559">
        <v>56504394.270000003</v>
      </c>
      <c r="H215" s="2559">
        <v>9826831.6300000008</v>
      </c>
      <c r="J215" s="2550">
        <v>9</v>
      </c>
      <c r="K215" s="2553" t="s">
        <v>7313</v>
      </c>
      <c r="L215" s="2551" t="e">
        <f t="shared" si="3"/>
        <v>#N/A</v>
      </c>
      <c r="W215" s="2979"/>
    </row>
    <row r="216" spans="1:23" hidden="1">
      <c r="A216" s="2550">
        <v>1023202</v>
      </c>
      <c r="B216" s="2551" t="s">
        <v>7324</v>
      </c>
      <c r="C216" s="2550">
        <v>8</v>
      </c>
      <c r="D216" s="2551" t="s">
        <v>7312</v>
      </c>
      <c r="E216" s="2550" t="s">
        <v>7215</v>
      </c>
      <c r="F216" s="2550">
        <v>116</v>
      </c>
      <c r="G216" s="2559">
        <v>-470411.96</v>
      </c>
      <c r="H216" s="2559">
        <v>25870.05</v>
      </c>
      <c r="J216" s="2550">
        <v>9</v>
      </c>
      <c r="K216" s="2553" t="s">
        <v>7313</v>
      </c>
      <c r="L216" s="2551" t="e">
        <f t="shared" si="3"/>
        <v>#N/A</v>
      </c>
      <c r="W216" s="2979"/>
    </row>
    <row r="217" spans="1:23" hidden="1">
      <c r="A217" s="2550">
        <v>1023203</v>
      </c>
      <c r="B217" s="2551" t="s">
        <v>5675</v>
      </c>
      <c r="C217" s="2550">
        <v>8</v>
      </c>
      <c r="D217" s="2551" t="s">
        <v>7312</v>
      </c>
      <c r="E217" s="2550" t="s">
        <v>7215</v>
      </c>
      <c r="F217" s="2550">
        <v>116</v>
      </c>
      <c r="G217" s="2559">
        <v>1294491.75</v>
      </c>
      <c r="H217" s="2559">
        <v>2019397.52</v>
      </c>
      <c r="J217" s="2550">
        <v>9</v>
      </c>
      <c r="K217" s="2553" t="s">
        <v>7313</v>
      </c>
      <c r="L217" s="2551" t="e">
        <f t="shared" si="3"/>
        <v>#N/A</v>
      </c>
      <c r="W217" s="2979"/>
    </row>
    <row r="218" spans="1:23" hidden="1">
      <c r="A218" s="2550">
        <v>1023204</v>
      </c>
      <c r="B218" s="2551" t="s">
        <v>6618</v>
      </c>
      <c r="C218" s="2550">
        <v>8</v>
      </c>
      <c r="D218" s="2551" t="s">
        <v>7312</v>
      </c>
      <c r="E218" s="2550" t="s">
        <v>7215</v>
      </c>
      <c r="F218" s="2550">
        <v>116</v>
      </c>
      <c r="G218" s="2559">
        <v>-867859.13</v>
      </c>
      <c r="H218" s="2551">
        <v>0</v>
      </c>
      <c r="J218" s="2550">
        <v>9</v>
      </c>
      <c r="K218" s="2553" t="s">
        <v>7313</v>
      </c>
      <c r="L218" s="2551" t="e">
        <f t="shared" si="3"/>
        <v>#N/A</v>
      </c>
      <c r="W218" s="2979"/>
    </row>
    <row r="219" spans="1:23" hidden="1">
      <c r="A219" s="2550">
        <v>1023206</v>
      </c>
      <c r="B219" s="2551" t="s">
        <v>7325</v>
      </c>
      <c r="C219" s="2550">
        <v>8</v>
      </c>
      <c r="D219" s="2551" t="s">
        <v>7312</v>
      </c>
      <c r="E219" s="2550" t="s">
        <v>7215</v>
      </c>
      <c r="F219" s="2550">
        <v>116</v>
      </c>
      <c r="G219" s="2559">
        <v>47650.45</v>
      </c>
      <c r="H219" s="2559">
        <v>139163</v>
      </c>
      <c r="J219" s="2550">
        <v>9</v>
      </c>
      <c r="K219" s="2553" t="s">
        <v>7313</v>
      </c>
      <c r="L219" s="2551" t="e">
        <f t="shared" si="3"/>
        <v>#N/A</v>
      </c>
      <c r="W219" s="2979"/>
    </row>
    <row r="220" spans="1:23" hidden="1">
      <c r="A220" s="2550">
        <v>1023207</v>
      </c>
      <c r="B220" s="2551" t="s">
        <v>7326</v>
      </c>
      <c r="C220" s="2550">
        <v>8</v>
      </c>
      <c r="D220" s="2551" t="s">
        <v>7312</v>
      </c>
      <c r="E220" s="2550" t="s">
        <v>7215</v>
      </c>
      <c r="F220" s="2550">
        <v>116</v>
      </c>
      <c r="G220" s="2559">
        <v>3611787.45</v>
      </c>
      <c r="H220" s="2559">
        <v>1898135.38</v>
      </c>
      <c r="J220" s="2550">
        <v>9</v>
      </c>
      <c r="K220" s="2553" t="s">
        <v>7313</v>
      </c>
      <c r="L220" s="2551" t="e">
        <f t="shared" si="3"/>
        <v>#N/A</v>
      </c>
      <c r="W220" s="2979"/>
    </row>
    <row r="221" spans="1:23" hidden="1">
      <c r="A221" s="2550">
        <v>1023208</v>
      </c>
      <c r="B221" s="2551" t="s">
        <v>7326</v>
      </c>
      <c r="C221" s="2550">
        <v>8</v>
      </c>
      <c r="D221" s="2551" t="s">
        <v>7312</v>
      </c>
      <c r="E221" s="2550" t="s">
        <v>7215</v>
      </c>
      <c r="F221" s="2550">
        <v>116</v>
      </c>
      <c r="G221" s="2559">
        <v>-3063149.99</v>
      </c>
      <c r="H221" s="2551">
        <v>0</v>
      </c>
      <c r="J221" s="2550">
        <v>9</v>
      </c>
      <c r="K221" s="2553" t="s">
        <v>7313</v>
      </c>
      <c r="L221" s="2551" t="e">
        <f t="shared" si="3"/>
        <v>#N/A</v>
      </c>
      <c r="W221" s="2979"/>
    </row>
    <row r="222" spans="1:23" hidden="1">
      <c r="A222" s="2550">
        <v>1023209</v>
      </c>
      <c r="B222" s="2551" t="s">
        <v>5678</v>
      </c>
      <c r="C222" s="2550">
        <v>8</v>
      </c>
      <c r="D222" s="2551" t="s">
        <v>7312</v>
      </c>
      <c r="E222" s="2550" t="s">
        <v>7215</v>
      </c>
      <c r="F222" s="2550">
        <v>116</v>
      </c>
      <c r="G222" s="2559">
        <v>-990807.13</v>
      </c>
      <c r="H222" s="2559">
        <v>159623.44</v>
      </c>
      <c r="J222" s="2550">
        <v>9</v>
      </c>
      <c r="K222" s="2553" t="s">
        <v>7313</v>
      </c>
      <c r="L222" s="2551" t="e">
        <f t="shared" si="3"/>
        <v>#N/A</v>
      </c>
      <c r="W222" s="2979"/>
    </row>
    <row r="223" spans="1:23" hidden="1">
      <c r="A223" s="2550">
        <v>1023210</v>
      </c>
      <c r="B223" s="2551" t="s">
        <v>5679</v>
      </c>
      <c r="C223" s="2550">
        <v>8</v>
      </c>
      <c r="D223" s="2551" t="s">
        <v>7312</v>
      </c>
      <c r="E223" s="2550" t="s">
        <v>7215</v>
      </c>
      <c r="F223" s="2550">
        <v>116</v>
      </c>
      <c r="G223" s="2559">
        <v>-3442720.4</v>
      </c>
      <c r="H223" s="2551">
        <v>0</v>
      </c>
      <c r="J223" s="2550">
        <v>9</v>
      </c>
      <c r="K223" s="2553" t="s">
        <v>7313</v>
      </c>
      <c r="L223" s="2551" t="e">
        <f t="shared" si="3"/>
        <v>#N/A</v>
      </c>
      <c r="W223" s="2979"/>
    </row>
    <row r="224" spans="1:23" hidden="1">
      <c r="A224" s="2550">
        <v>1023211</v>
      </c>
      <c r="B224" s="2551" t="s">
        <v>6620</v>
      </c>
      <c r="C224" s="2550">
        <v>8</v>
      </c>
      <c r="D224" s="2551" t="s">
        <v>7312</v>
      </c>
      <c r="E224" s="2550" t="s">
        <v>7215</v>
      </c>
      <c r="F224" s="2550">
        <v>116</v>
      </c>
      <c r="G224" s="2559">
        <v>-8496255.2899999991</v>
      </c>
      <c r="H224" s="2551">
        <v>0</v>
      </c>
      <c r="J224" s="2550">
        <v>9</v>
      </c>
      <c r="K224" s="2553" t="s">
        <v>7313</v>
      </c>
      <c r="L224" s="2551" t="e">
        <f t="shared" si="3"/>
        <v>#N/A</v>
      </c>
      <c r="W224" s="2979"/>
    </row>
    <row r="225" spans="1:23" hidden="1">
      <c r="A225" s="2550">
        <v>1023212</v>
      </c>
      <c r="B225" s="2551" t="s">
        <v>5680</v>
      </c>
      <c r="C225" s="2550">
        <v>8</v>
      </c>
      <c r="D225" s="2551" t="s">
        <v>7312</v>
      </c>
      <c r="E225" s="2550" t="s">
        <v>7215</v>
      </c>
      <c r="F225" s="2550">
        <v>116</v>
      </c>
      <c r="G225" s="2559">
        <v>-124851.84</v>
      </c>
      <c r="H225" s="2551">
        <v>0</v>
      </c>
      <c r="J225" s="2550">
        <v>9</v>
      </c>
      <c r="K225" s="2553" t="s">
        <v>7313</v>
      </c>
      <c r="L225" s="2551" t="e">
        <f t="shared" si="3"/>
        <v>#N/A</v>
      </c>
      <c r="W225" s="2979"/>
    </row>
    <row r="226" spans="1:23" hidden="1">
      <c r="A226" s="2550">
        <v>1023214</v>
      </c>
      <c r="B226" s="2551" t="s">
        <v>7327</v>
      </c>
      <c r="C226" s="2550">
        <v>8</v>
      </c>
      <c r="D226" s="2551" t="s">
        <v>7312</v>
      </c>
      <c r="E226" s="2550" t="s">
        <v>7215</v>
      </c>
      <c r="F226" s="2550">
        <v>116</v>
      </c>
      <c r="G226" s="2559">
        <v>-3414416.1</v>
      </c>
      <c r="H226" s="2559">
        <v>1415683.37</v>
      </c>
      <c r="J226" s="2550">
        <v>9</v>
      </c>
      <c r="K226" s="2553" t="s">
        <v>7313</v>
      </c>
      <c r="L226" s="2551" t="e">
        <f t="shared" si="3"/>
        <v>#N/A</v>
      </c>
      <c r="W226" s="2979"/>
    </row>
    <row r="227" spans="1:23" hidden="1">
      <c r="A227" s="2550">
        <v>1023215</v>
      </c>
      <c r="B227" s="2551" t="s">
        <v>5682</v>
      </c>
      <c r="C227" s="2550">
        <v>8</v>
      </c>
      <c r="D227" s="2551" t="s">
        <v>7312</v>
      </c>
      <c r="E227" s="2550" t="s">
        <v>7215</v>
      </c>
      <c r="F227" s="2550">
        <v>116</v>
      </c>
      <c r="G227" s="2559">
        <v>-538501.5</v>
      </c>
      <c r="H227" s="2559">
        <v>1239405.8</v>
      </c>
      <c r="J227" s="2550">
        <v>9</v>
      </c>
      <c r="K227" s="2553" t="s">
        <v>7313</v>
      </c>
      <c r="L227" s="2551" t="e">
        <f t="shared" si="3"/>
        <v>#N/A</v>
      </c>
      <c r="W227" s="2979"/>
    </row>
    <row r="228" spans="1:23" hidden="1">
      <c r="A228" s="2550">
        <v>1023218</v>
      </c>
      <c r="B228" s="2551" t="s">
        <v>7328</v>
      </c>
      <c r="C228" s="2550">
        <v>8</v>
      </c>
      <c r="D228" s="2551" t="s">
        <v>7312</v>
      </c>
      <c r="E228" s="2550" t="s">
        <v>7215</v>
      </c>
      <c r="F228" s="2550">
        <v>116</v>
      </c>
      <c r="G228" s="2559">
        <v>1371019.06</v>
      </c>
      <c r="H228" s="2559">
        <v>602463.06999999995</v>
      </c>
      <c r="J228" s="2550">
        <v>9</v>
      </c>
      <c r="K228" s="2553" t="s">
        <v>7313</v>
      </c>
      <c r="L228" s="2551" t="e">
        <f t="shared" si="3"/>
        <v>#N/A</v>
      </c>
      <c r="W228" s="2979"/>
    </row>
    <row r="229" spans="1:23" hidden="1">
      <c r="A229" s="2550">
        <v>1023219</v>
      </c>
      <c r="B229" s="2551" t="s">
        <v>7328</v>
      </c>
      <c r="C229" s="2550">
        <v>8</v>
      </c>
      <c r="D229" s="2551" t="s">
        <v>7312</v>
      </c>
      <c r="E229" s="2550" t="s">
        <v>7215</v>
      </c>
      <c r="F229" s="2550">
        <v>116</v>
      </c>
      <c r="G229" s="2551">
        <v>314.99</v>
      </c>
      <c r="H229" s="2551">
        <v>0</v>
      </c>
      <c r="J229" s="2550">
        <v>9</v>
      </c>
      <c r="K229" s="2553" t="s">
        <v>7313</v>
      </c>
      <c r="L229" s="2551" t="e">
        <f t="shared" si="3"/>
        <v>#N/A</v>
      </c>
      <c r="W229" s="2979"/>
    </row>
    <row r="230" spans="1:23" hidden="1">
      <c r="A230" s="2550">
        <v>1023220</v>
      </c>
      <c r="B230" s="2551" t="s">
        <v>7329</v>
      </c>
      <c r="C230" s="2550">
        <v>8</v>
      </c>
      <c r="D230" s="2551" t="s">
        <v>7312</v>
      </c>
      <c r="E230" s="2550" t="s">
        <v>7215</v>
      </c>
      <c r="F230" s="2550">
        <v>116</v>
      </c>
      <c r="G230" s="2559">
        <v>3899569.28</v>
      </c>
      <c r="H230" s="2559">
        <v>3949376.27</v>
      </c>
      <c r="J230" s="2550">
        <v>9</v>
      </c>
      <c r="K230" s="2553" t="s">
        <v>7313</v>
      </c>
      <c r="L230" s="2551" t="e">
        <f t="shared" si="3"/>
        <v>#N/A</v>
      </c>
      <c r="W230" s="2979"/>
    </row>
    <row r="231" spans="1:23" hidden="1">
      <c r="A231" s="2550">
        <v>1023222</v>
      </c>
      <c r="B231" s="2551" t="s">
        <v>7330</v>
      </c>
      <c r="C231" s="2550">
        <v>8</v>
      </c>
      <c r="D231" s="2551" t="s">
        <v>7312</v>
      </c>
      <c r="E231" s="2550" t="s">
        <v>7215</v>
      </c>
      <c r="F231" s="2550">
        <v>116</v>
      </c>
      <c r="G231" s="2559">
        <v>142982.76999999999</v>
      </c>
      <c r="H231" s="2559">
        <v>87367.21</v>
      </c>
      <c r="J231" s="2550">
        <v>9</v>
      </c>
      <c r="K231" s="2553" t="s">
        <v>7313</v>
      </c>
      <c r="L231" s="2551" t="e">
        <f t="shared" si="3"/>
        <v>#N/A</v>
      </c>
      <c r="W231" s="2979"/>
    </row>
    <row r="232" spans="1:23" hidden="1">
      <c r="A232" s="2550">
        <v>1023223</v>
      </c>
      <c r="B232" s="2551" t="s">
        <v>7330</v>
      </c>
      <c r="C232" s="2550">
        <v>8</v>
      </c>
      <c r="D232" s="2551" t="s">
        <v>7312</v>
      </c>
      <c r="E232" s="2550" t="s">
        <v>7215</v>
      </c>
      <c r="F232" s="2550">
        <v>116</v>
      </c>
      <c r="G232" s="2559">
        <v>-373552.67</v>
      </c>
      <c r="H232" s="2551">
        <v>0</v>
      </c>
      <c r="J232" s="2550">
        <v>9</v>
      </c>
      <c r="K232" s="2553" t="s">
        <v>7313</v>
      </c>
      <c r="L232" s="2551" t="e">
        <f t="shared" si="3"/>
        <v>#N/A</v>
      </c>
      <c r="W232" s="2979"/>
    </row>
    <row r="233" spans="1:23" hidden="1">
      <c r="A233" s="2550">
        <v>1023224</v>
      </c>
      <c r="B233" s="2551" t="s">
        <v>7331</v>
      </c>
      <c r="C233" s="2550">
        <v>8</v>
      </c>
      <c r="D233" s="2551" t="s">
        <v>7312</v>
      </c>
      <c r="E233" s="2550" t="s">
        <v>7215</v>
      </c>
      <c r="F233" s="2550">
        <v>116</v>
      </c>
      <c r="G233" s="2559">
        <v>-1131712.78</v>
      </c>
      <c r="H233" s="2559">
        <v>-295442.07</v>
      </c>
      <c r="J233" s="2550">
        <v>9</v>
      </c>
      <c r="K233" s="2553" t="s">
        <v>7313</v>
      </c>
      <c r="L233" s="2551" t="e">
        <f t="shared" si="3"/>
        <v>#N/A</v>
      </c>
      <c r="W233" s="2979"/>
    </row>
    <row r="234" spans="1:23" hidden="1">
      <c r="A234" s="2550">
        <v>1023225</v>
      </c>
      <c r="B234" s="2551" t="s">
        <v>7331</v>
      </c>
      <c r="C234" s="2550">
        <v>8</v>
      </c>
      <c r="D234" s="2551" t="s">
        <v>7312</v>
      </c>
      <c r="E234" s="2550" t="s">
        <v>7215</v>
      </c>
      <c r="F234" s="2550">
        <v>116</v>
      </c>
      <c r="G234" s="2559">
        <v>-14521.92</v>
      </c>
      <c r="H234" s="2551">
        <v>0</v>
      </c>
      <c r="J234" s="2550">
        <v>9</v>
      </c>
      <c r="K234" s="2553" t="s">
        <v>7313</v>
      </c>
      <c r="L234" s="2551" t="e">
        <f t="shared" si="3"/>
        <v>#N/A</v>
      </c>
      <c r="W234" s="2979"/>
    </row>
    <row r="235" spans="1:23" hidden="1">
      <c r="A235" s="2550">
        <v>1023226</v>
      </c>
      <c r="B235" s="2551" t="s">
        <v>7332</v>
      </c>
      <c r="C235" s="2550">
        <v>8</v>
      </c>
      <c r="D235" s="2551" t="s">
        <v>7312</v>
      </c>
      <c r="E235" s="2550" t="s">
        <v>7215</v>
      </c>
      <c r="F235" s="2550">
        <v>116</v>
      </c>
      <c r="G235" s="2559">
        <v>244733.44</v>
      </c>
      <c r="H235" s="2559">
        <v>204353.35</v>
      </c>
      <c r="J235" s="2550">
        <v>9</v>
      </c>
      <c r="K235" s="2553" t="s">
        <v>7313</v>
      </c>
      <c r="L235" s="2551" t="e">
        <f t="shared" si="3"/>
        <v>#N/A</v>
      </c>
      <c r="W235" s="2979"/>
    </row>
    <row r="236" spans="1:23" hidden="1">
      <c r="A236" s="2550">
        <v>1023227</v>
      </c>
      <c r="B236" s="2551" t="s">
        <v>7332</v>
      </c>
      <c r="C236" s="2550">
        <v>8</v>
      </c>
      <c r="D236" s="2551" t="s">
        <v>7312</v>
      </c>
      <c r="E236" s="2550" t="s">
        <v>7215</v>
      </c>
      <c r="F236" s="2550">
        <v>116</v>
      </c>
      <c r="G236" s="2559">
        <v>-270890.53999999998</v>
      </c>
      <c r="H236" s="2551">
        <v>0</v>
      </c>
      <c r="J236" s="2550">
        <v>9</v>
      </c>
      <c r="K236" s="2553" t="s">
        <v>7313</v>
      </c>
      <c r="L236" s="2551" t="e">
        <f t="shared" si="3"/>
        <v>#N/A</v>
      </c>
      <c r="W236" s="2979"/>
    </row>
    <row r="237" spans="1:23" hidden="1">
      <c r="A237" s="2550">
        <v>1023231</v>
      </c>
      <c r="B237" s="2551" t="s">
        <v>7333</v>
      </c>
      <c r="C237" s="2550">
        <v>8</v>
      </c>
      <c r="D237" s="2551" t="s">
        <v>7312</v>
      </c>
      <c r="E237" s="2550" t="s">
        <v>7215</v>
      </c>
      <c r="F237" s="2550">
        <v>116</v>
      </c>
      <c r="G237" s="2559">
        <v>34756</v>
      </c>
      <c r="H237" s="2551">
        <v>0</v>
      </c>
      <c r="J237" s="2550">
        <v>9</v>
      </c>
      <c r="K237" s="2553" t="s">
        <v>7313</v>
      </c>
      <c r="L237" s="2551" t="e">
        <f t="shared" si="3"/>
        <v>#N/A</v>
      </c>
      <c r="W237" s="2979"/>
    </row>
    <row r="238" spans="1:23" hidden="1">
      <c r="A238" s="2550">
        <v>1023501</v>
      </c>
      <c r="B238" s="2551" t="s">
        <v>5688</v>
      </c>
      <c r="C238" s="2550">
        <v>8</v>
      </c>
      <c r="D238" s="2551" t="s">
        <v>7312</v>
      </c>
      <c r="E238" s="2550" t="s">
        <v>7215</v>
      </c>
      <c r="F238" s="2550">
        <v>116</v>
      </c>
      <c r="G238" s="2551">
        <v>0</v>
      </c>
      <c r="H238" s="2559">
        <v>-118661603</v>
      </c>
      <c r="J238" s="2550">
        <v>9</v>
      </c>
      <c r="K238" s="2553" t="s">
        <v>7313</v>
      </c>
      <c r="L238" s="2551" t="e">
        <f t="shared" si="3"/>
        <v>#N/A</v>
      </c>
      <c r="W238" s="2979"/>
    </row>
    <row r="239" spans="1:23" hidden="1">
      <c r="A239" s="2550">
        <v>1023503</v>
      </c>
      <c r="B239" s="2551" t="s">
        <v>7334</v>
      </c>
      <c r="C239" s="2550">
        <v>8</v>
      </c>
      <c r="D239" s="2551" t="s">
        <v>7312</v>
      </c>
      <c r="E239" s="2550" t="s">
        <v>7215</v>
      </c>
      <c r="F239" s="2550">
        <v>116</v>
      </c>
      <c r="G239" s="2551">
        <v>0</v>
      </c>
      <c r="H239" s="2559">
        <v>-28863456</v>
      </c>
      <c r="J239" s="2550">
        <v>9</v>
      </c>
      <c r="K239" s="2553" t="s">
        <v>7313</v>
      </c>
      <c r="L239" s="2551" t="e">
        <f t="shared" si="3"/>
        <v>#N/A</v>
      </c>
      <c r="W239" s="2979"/>
    </row>
    <row r="240" spans="1:23" hidden="1">
      <c r="A240" s="2550">
        <v>1023506</v>
      </c>
      <c r="B240" s="2551" t="s">
        <v>7335</v>
      </c>
      <c r="C240" s="2550">
        <v>8</v>
      </c>
      <c r="D240" s="2551" t="s">
        <v>7312</v>
      </c>
      <c r="E240" s="2550" t="s">
        <v>7215</v>
      </c>
      <c r="F240" s="2550">
        <v>116</v>
      </c>
      <c r="G240" s="2551">
        <v>0</v>
      </c>
      <c r="H240" s="2559">
        <v>-3446452</v>
      </c>
      <c r="J240" s="2550">
        <v>9</v>
      </c>
      <c r="K240" s="2553" t="s">
        <v>7313</v>
      </c>
      <c r="L240" s="2551" t="e">
        <f t="shared" si="3"/>
        <v>#N/A</v>
      </c>
      <c r="W240" s="2979"/>
    </row>
    <row r="241" spans="1:23" hidden="1">
      <c r="A241" s="2550">
        <v>1023507</v>
      </c>
      <c r="B241" s="2551" t="s">
        <v>7336</v>
      </c>
      <c r="C241" s="2550">
        <v>8</v>
      </c>
      <c r="D241" s="2551" t="s">
        <v>7312</v>
      </c>
      <c r="E241" s="2550" t="s">
        <v>7215</v>
      </c>
      <c r="F241" s="2550">
        <v>116</v>
      </c>
      <c r="G241" s="2551">
        <v>0</v>
      </c>
      <c r="H241" s="2559">
        <v>-4442455</v>
      </c>
      <c r="J241" s="2550">
        <v>9</v>
      </c>
      <c r="K241" s="2553" t="s">
        <v>7313</v>
      </c>
      <c r="L241" s="2551" t="e">
        <f t="shared" si="3"/>
        <v>#N/A</v>
      </c>
      <c r="W241" s="2979"/>
    </row>
    <row r="242" spans="1:23" hidden="1">
      <c r="A242" s="2550">
        <v>1023509</v>
      </c>
      <c r="B242" s="2551" t="s">
        <v>5692</v>
      </c>
      <c r="C242" s="2550">
        <v>8</v>
      </c>
      <c r="D242" s="2551" t="s">
        <v>7312</v>
      </c>
      <c r="E242" s="2550" t="s">
        <v>7215</v>
      </c>
      <c r="F242" s="2550">
        <v>116</v>
      </c>
      <c r="G242" s="2551">
        <v>0</v>
      </c>
      <c r="H242" s="2559">
        <v>-27376942</v>
      </c>
      <c r="J242" s="2550">
        <v>9</v>
      </c>
      <c r="K242" s="2553" t="s">
        <v>7313</v>
      </c>
      <c r="L242" s="2551" t="e">
        <f t="shared" si="3"/>
        <v>#N/A</v>
      </c>
      <c r="W242" s="2979"/>
    </row>
    <row r="243" spans="1:23" hidden="1">
      <c r="A243" s="2550">
        <v>1023515</v>
      </c>
      <c r="B243" s="2551" t="s">
        <v>7337</v>
      </c>
      <c r="C243" s="2550">
        <v>8</v>
      </c>
      <c r="D243" s="2551" t="s">
        <v>7312</v>
      </c>
      <c r="E243" s="2550" t="s">
        <v>7215</v>
      </c>
      <c r="F243" s="2550">
        <v>116</v>
      </c>
      <c r="G243" s="2551">
        <v>0</v>
      </c>
      <c r="H243" s="2559">
        <v>-1947757</v>
      </c>
      <c r="J243" s="2550">
        <v>9</v>
      </c>
      <c r="K243" s="2553" t="s">
        <v>7313</v>
      </c>
      <c r="L243" s="2551" t="e">
        <f t="shared" si="3"/>
        <v>#N/A</v>
      </c>
      <c r="W243" s="2979"/>
    </row>
    <row r="244" spans="1:23" hidden="1">
      <c r="A244" s="2550">
        <v>1023518</v>
      </c>
      <c r="B244" s="2551" t="s">
        <v>7338</v>
      </c>
      <c r="C244" s="2550">
        <v>8</v>
      </c>
      <c r="D244" s="2551" t="s">
        <v>7312</v>
      </c>
      <c r="E244" s="2550" t="s">
        <v>7215</v>
      </c>
      <c r="F244" s="2550">
        <v>116</v>
      </c>
      <c r="G244" s="2551">
        <v>0</v>
      </c>
      <c r="H244" s="2559">
        <v>-9913401</v>
      </c>
      <c r="J244" s="2550">
        <v>9</v>
      </c>
      <c r="K244" s="2553" t="s">
        <v>7313</v>
      </c>
      <c r="L244" s="2551" t="e">
        <f t="shared" si="3"/>
        <v>#N/A</v>
      </c>
      <c r="W244" s="2979"/>
    </row>
    <row r="245" spans="1:23" hidden="1">
      <c r="A245" s="2550">
        <v>1023520</v>
      </c>
      <c r="B245" s="2551" t="s">
        <v>7339</v>
      </c>
      <c r="C245" s="2550">
        <v>8</v>
      </c>
      <c r="D245" s="2551" t="s">
        <v>7312</v>
      </c>
      <c r="E245" s="2550" t="s">
        <v>7215</v>
      </c>
      <c r="F245" s="2550">
        <v>116</v>
      </c>
      <c r="G245" s="2551">
        <v>0</v>
      </c>
      <c r="H245" s="2559">
        <v>-524741</v>
      </c>
      <c r="J245" s="2550">
        <v>9</v>
      </c>
      <c r="K245" s="2553" t="s">
        <v>7313</v>
      </c>
      <c r="L245" s="2551" t="e">
        <f t="shared" si="3"/>
        <v>#N/A</v>
      </c>
      <c r="W245" s="2979"/>
    </row>
    <row r="246" spans="1:23" hidden="1">
      <c r="A246" s="2550">
        <v>1023524</v>
      </c>
      <c r="B246" s="2551" t="s">
        <v>7340</v>
      </c>
      <c r="C246" s="2550">
        <v>8</v>
      </c>
      <c r="D246" s="2551" t="s">
        <v>7312</v>
      </c>
      <c r="E246" s="2550" t="s">
        <v>7215</v>
      </c>
      <c r="F246" s="2550">
        <v>116</v>
      </c>
      <c r="G246" s="2551">
        <v>0</v>
      </c>
      <c r="H246" s="2559">
        <v>-33060</v>
      </c>
      <c r="J246" s="2550">
        <v>9</v>
      </c>
      <c r="K246" s="2553" t="s">
        <v>7313</v>
      </c>
      <c r="L246" s="2551" t="e">
        <f t="shared" si="3"/>
        <v>#N/A</v>
      </c>
      <c r="W246" s="2979"/>
    </row>
    <row r="247" spans="1:23" hidden="1">
      <c r="A247" s="2550">
        <v>1023526</v>
      </c>
      <c r="B247" s="2551" t="s">
        <v>7341</v>
      </c>
      <c r="C247" s="2550">
        <v>8</v>
      </c>
      <c r="D247" s="2551" t="s">
        <v>7312</v>
      </c>
      <c r="E247" s="2550" t="s">
        <v>7215</v>
      </c>
      <c r="F247" s="2550">
        <v>116</v>
      </c>
      <c r="G247" s="2551">
        <v>0</v>
      </c>
      <c r="H247" s="2559">
        <v>-3473810</v>
      </c>
      <c r="J247" s="2550">
        <v>9</v>
      </c>
      <c r="K247" s="2553" t="s">
        <v>7313</v>
      </c>
      <c r="L247" s="2551" t="e">
        <f t="shared" si="3"/>
        <v>#N/A</v>
      </c>
      <c r="W247" s="2979"/>
    </row>
    <row r="248" spans="1:23" hidden="1">
      <c r="A248" s="2550">
        <v>1023535</v>
      </c>
      <c r="B248" s="2551" t="s">
        <v>5699</v>
      </c>
      <c r="C248" s="2550">
        <v>8</v>
      </c>
      <c r="D248" s="2551" t="s">
        <v>7312</v>
      </c>
      <c r="E248" s="2550" t="s">
        <v>7215</v>
      </c>
      <c r="F248" s="2550">
        <v>116</v>
      </c>
      <c r="G248" s="2551">
        <v>0</v>
      </c>
      <c r="H248" s="2559">
        <v>-3013310</v>
      </c>
      <c r="J248" s="2550">
        <v>9</v>
      </c>
      <c r="K248" s="2553" t="s">
        <v>7313</v>
      </c>
      <c r="L248" s="2551" t="e">
        <f t="shared" si="3"/>
        <v>#N/A</v>
      </c>
      <c r="W248" s="2979"/>
    </row>
    <row r="249" spans="1:23" hidden="1">
      <c r="A249" s="2550">
        <v>1023537</v>
      </c>
      <c r="B249" s="2551" t="s">
        <v>7342</v>
      </c>
      <c r="C249" s="2550">
        <v>8</v>
      </c>
      <c r="D249" s="2551" t="s">
        <v>7312</v>
      </c>
      <c r="E249" s="2550" t="s">
        <v>7215</v>
      </c>
      <c r="F249" s="2550">
        <v>116</v>
      </c>
      <c r="G249" s="2551">
        <v>0</v>
      </c>
      <c r="H249" s="2559">
        <v>-1178364</v>
      </c>
      <c r="J249" s="2550">
        <v>9</v>
      </c>
      <c r="K249" s="2553" t="s">
        <v>7313</v>
      </c>
      <c r="L249" s="2551" t="e">
        <f t="shared" si="3"/>
        <v>#N/A</v>
      </c>
      <c r="W249" s="2979"/>
    </row>
    <row r="250" spans="1:23" hidden="1">
      <c r="A250" s="2550">
        <v>1023540</v>
      </c>
      <c r="B250" s="2551" t="s">
        <v>7343</v>
      </c>
      <c r="C250" s="2550">
        <v>8</v>
      </c>
      <c r="D250" s="2551" t="s">
        <v>7312</v>
      </c>
      <c r="E250" s="2550" t="s">
        <v>7215</v>
      </c>
      <c r="F250" s="2550">
        <v>116</v>
      </c>
      <c r="G250" s="2551">
        <v>0</v>
      </c>
      <c r="H250" s="2559">
        <v>-116791</v>
      </c>
      <c r="J250" s="2550">
        <v>9</v>
      </c>
      <c r="K250" s="2553" t="s">
        <v>7313</v>
      </c>
      <c r="L250" s="2551" t="e">
        <f t="shared" si="3"/>
        <v>#N/A</v>
      </c>
      <c r="W250" s="2979"/>
    </row>
    <row r="251" spans="1:23" hidden="1">
      <c r="A251" s="2550">
        <v>1023541</v>
      </c>
      <c r="B251" s="2551" t="s">
        <v>7344</v>
      </c>
      <c r="C251" s="2550">
        <v>8</v>
      </c>
      <c r="D251" s="2551" t="s">
        <v>7312</v>
      </c>
      <c r="E251" s="2550" t="s">
        <v>7215</v>
      </c>
      <c r="F251" s="2550">
        <v>116</v>
      </c>
      <c r="G251" s="2551">
        <v>0</v>
      </c>
      <c r="H251" s="2559">
        <v>-180740</v>
      </c>
      <c r="J251" s="2550">
        <v>9</v>
      </c>
      <c r="K251" s="2553" t="s">
        <v>7313</v>
      </c>
      <c r="L251" s="2551" t="e">
        <f t="shared" si="3"/>
        <v>#N/A</v>
      </c>
      <c r="W251" s="2979"/>
    </row>
    <row r="252" spans="1:23" hidden="1">
      <c r="A252" s="2550">
        <v>1023543</v>
      </c>
      <c r="B252" s="2551" t="s">
        <v>5703</v>
      </c>
      <c r="C252" s="2550">
        <v>8</v>
      </c>
      <c r="D252" s="2551" t="s">
        <v>7312</v>
      </c>
      <c r="E252" s="2550" t="s">
        <v>7215</v>
      </c>
      <c r="F252" s="2550">
        <v>116</v>
      </c>
      <c r="G252" s="2551">
        <v>0</v>
      </c>
      <c r="H252" s="2559">
        <v>-1663756</v>
      </c>
      <c r="J252" s="2550">
        <v>9</v>
      </c>
      <c r="K252" s="2553" t="s">
        <v>7313</v>
      </c>
      <c r="L252" s="2551" t="e">
        <f t="shared" si="3"/>
        <v>#N/A</v>
      </c>
      <c r="W252" s="2979"/>
    </row>
    <row r="253" spans="1:23" hidden="1">
      <c r="A253" s="2550">
        <v>1023549</v>
      </c>
      <c r="B253" s="2551" t="s">
        <v>7345</v>
      </c>
      <c r="C253" s="2550">
        <v>8</v>
      </c>
      <c r="D253" s="2551" t="s">
        <v>7312</v>
      </c>
      <c r="E253" s="2550" t="s">
        <v>7215</v>
      </c>
      <c r="F253" s="2550">
        <v>116</v>
      </c>
      <c r="G253" s="2551">
        <v>0</v>
      </c>
      <c r="H253" s="2559">
        <v>-76850</v>
      </c>
      <c r="J253" s="2550">
        <v>9</v>
      </c>
      <c r="K253" s="2553" t="s">
        <v>7313</v>
      </c>
      <c r="L253" s="2551" t="e">
        <f t="shared" si="3"/>
        <v>#N/A</v>
      </c>
      <c r="W253" s="2979"/>
    </row>
    <row r="254" spans="1:23" hidden="1">
      <c r="A254" s="2550">
        <v>1023552</v>
      </c>
      <c r="B254" s="2551" t="s">
        <v>7346</v>
      </c>
      <c r="C254" s="2550">
        <v>8</v>
      </c>
      <c r="D254" s="2551" t="s">
        <v>7312</v>
      </c>
      <c r="E254" s="2550" t="s">
        <v>7215</v>
      </c>
      <c r="F254" s="2550">
        <v>116</v>
      </c>
      <c r="G254" s="2551">
        <v>0</v>
      </c>
      <c r="H254" s="2559">
        <v>-328052</v>
      </c>
      <c r="J254" s="2550">
        <v>9</v>
      </c>
      <c r="K254" s="2553" t="s">
        <v>7313</v>
      </c>
      <c r="L254" s="2551" t="e">
        <f t="shared" si="3"/>
        <v>#N/A</v>
      </c>
      <c r="W254" s="2979"/>
    </row>
    <row r="255" spans="1:23" hidden="1">
      <c r="A255" s="2550">
        <v>1023560</v>
      </c>
      <c r="B255" s="2551" t="s">
        <v>7347</v>
      </c>
      <c r="C255" s="2550">
        <v>8</v>
      </c>
      <c r="D255" s="2551" t="s">
        <v>7312</v>
      </c>
      <c r="E255" s="2550" t="s">
        <v>7215</v>
      </c>
      <c r="F255" s="2550">
        <v>116</v>
      </c>
      <c r="G255" s="2551">
        <v>0</v>
      </c>
      <c r="H255" s="2559">
        <v>-82366</v>
      </c>
      <c r="J255" s="2550">
        <v>9</v>
      </c>
      <c r="K255" s="2553" t="s">
        <v>7313</v>
      </c>
      <c r="L255" s="2551" t="e">
        <f t="shared" si="3"/>
        <v>#N/A</v>
      </c>
      <c r="W255" s="2979"/>
    </row>
    <row r="256" spans="1:23" hidden="1">
      <c r="A256" s="2550">
        <v>1023701</v>
      </c>
      <c r="B256" s="2551" t="s">
        <v>7348</v>
      </c>
      <c r="C256" s="2550">
        <v>8</v>
      </c>
      <c r="D256" s="2551" t="s">
        <v>7312</v>
      </c>
      <c r="E256" s="2550" t="s">
        <v>7215</v>
      </c>
      <c r="F256" s="2550">
        <v>116</v>
      </c>
      <c r="G256" s="2559">
        <v>-32803698.219999999</v>
      </c>
      <c r="H256" s="2559">
        <v>34892425.020000003</v>
      </c>
      <c r="J256" s="2550">
        <v>9</v>
      </c>
      <c r="K256" s="2553" t="s">
        <v>7313</v>
      </c>
      <c r="L256" s="2551" t="e">
        <f t="shared" si="3"/>
        <v>#N/A</v>
      </c>
      <c r="W256" s="2979"/>
    </row>
    <row r="257" spans="1:23" hidden="1">
      <c r="A257" s="2550">
        <v>1023706</v>
      </c>
      <c r="B257" s="2551" t="s">
        <v>7349</v>
      </c>
      <c r="C257" s="2550">
        <v>8</v>
      </c>
      <c r="D257" s="2551" t="s">
        <v>7312</v>
      </c>
      <c r="E257" s="2550" t="s">
        <v>7215</v>
      </c>
      <c r="F257" s="2550">
        <v>116</v>
      </c>
      <c r="G257" s="2551">
        <v>0</v>
      </c>
      <c r="H257" s="2559">
        <v>-55104091.159999996</v>
      </c>
      <c r="J257" s="2550">
        <v>9</v>
      </c>
      <c r="K257" s="2553" t="s">
        <v>7313</v>
      </c>
      <c r="L257" s="2551" t="e">
        <f t="shared" si="3"/>
        <v>#N/A</v>
      </c>
      <c r="W257" s="2979"/>
    </row>
    <row r="258" spans="1:23" hidden="1">
      <c r="A258" s="2550">
        <v>1023707</v>
      </c>
      <c r="B258" s="2551" t="s">
        <v>5709</v>
      </c>
      <c r="C258" s="2550">
        <v>8</v>
      </c>
      <c r="D258" s="2551" t="s">
        <v>7312</v>
      </c>
      <c r="E258" s="2550" t="s">
        <v>7215</v>
      </c>
      <c r="F258" s="2550">
        <v>116</v>
      </c>
      <c r="G258" s="2559">
        <v>25142.58</v>
      </c>
      <c r="H258" s="2551">
        <v>0</v>
      </c>
      <c r="J258" s="2550">
        <v>9</v>
      </c>
      <c r="K258" s="2553" t="s">
        <v>7313</v>
      </c>
      <c r="L258" s="2551" t="e">
        <f t="shared" si="3"/>
        <v>#N/A</v>
      </c>
      <c r="W258" s="2979"/>
    </row>
    <row r="259" spans="1:23" hidden="1">
      <c r="A259" s="2550">
        <v>1023719</v>
      </c>
      <c r="B259" s="2551" t="s">
        <v>5710</v>
      </c>
      <c r="C259" s="2550">
        <v>8</v>
      </c>
      <c r="D259" s="2551" t="s">
        <v>7312</v>
      </c>
      <c r="E259" s="2550" t="s">
        <v>7215</v>
      </c>
      <c r="F259" s="2550">
        <v>116</v>
      </c>
      <c r="G259" s="2559">
        <v>157155250.56999999</v>
      </c>
      <c r="H259" s="2551">
        <v>0</v>
      </c>
      <c r="J259" s="2550">
        <v>9</v>
      </c>
      <c r="K259" s="2553" t="s">
        <v>7313</v>
      </c>
      <c r="L259" s="2551" t="e">
        <f t="shared" si="3"/>
        <v>#N/A</v>
      </c>
      <c r="W259" s="2979"/>
    </row>
    <row r="260" spans="1:23" hidden="1">
      <c r="A260" s="2550">
        <v>1023801</v>
      </c>
      <c r="B260" s="2551" t="s">
        <v>7350</v>
      </c>
      <c r="C260" s="2550">
        <v>8</v>
      </c>
      <c r="D260" s="2551" t="s">
        <v>7312</v>
      </c>
      <c r="E260" s="2550" t="s">
        <v>7215</v>
      </c>
      <c r="F260" s="2550">
        <v>116</v>
      </c>
      <c r="G260" s="2559">
        <v>-611709172.10000002</v>
      </c>
      <c r="H260" s="2559">
        <v>-291180183.93000001</v>
      </c>
      <c r="J260" s="2550">
        <v>9</v>
      </c>
      <c r="K260" s="2553" t="s">
        <v>7313</v>
      </c>
      <c r="L260" s="2551" t="e">
        <f t="shared" ref="L260:L323" si="4">VLOOKUP(A260,P:P,1,0)</f>
        <v>#N/A</v>
      </c>
      <c r="W260" s="2979"/>
    </row>
    <row r="261" spans="1:23" hidden="1">
      <c r="A261" s="2550">
        <v>1023811</v>
      </c>
      <c r="B261" s="2551" t="s">
        <v>7351</v>
      </c>
      <c r="C261" s="2550">
        <v>8</v>
      </c>
      <c r="D261" s="2551" t="s">
        <v>7312</v>
      </c>
      <c r="E261" s="2550" t="s">
        <v>7215</v>
      </c>
      <c r="F261" s="2550">
        <v>116</v>
      </c>
      <c r="G261" s="2559">
        <v>611709172</v>
      </c>
      <c r="H261" s="2559">
        <v>291180183.82999998</v>
      </c>
      <c r="J261" s="2550">
        <v>9</v>
      </c>
      <c r="K261" s="2553" t="s">
        <v>7313</v>
      </c>
      <c r="L261" s="2551" t="e">
        <f t="shared" si="4"/>
        <v>#N/A</v>
      </c>
      <c r="W261" s="2979"/>
    </row>
    <row r="262" spans="1:23" hidden="1">
      <c r="A262" s="2550">
        <v>1028106</v>
      </c>
      <c r="B262" s="2551" t="s">
        <v>7352</v>
      </c>
      <c r="C262" s="2550">
        <v>8</v>
      </c>
      <c r="D262" s="2551" t="s">
        <v>7312</v>
      </c>
      <c r="E262" s="2550" t="s">
        <v>7215</v>
      </c>
      <c r="F262" s="2550">
        <v>116</v>
      </c>
      <c r="G262" s="2559">
        <v>499083.53</v>
      </c>
      <c r="H262" s="2559">
        <v>499176.43</v>
      </c>
      <c r="J262" s="2550">
        <v>9</v>
      </c>
      <c r="K262" s="2553" t="s">
        <v>7313</v>
      </c>
      <c r="L262" s="2551" t="e">
        <f t="shared" si="4"/>
        <v>#N/A</v>
      </c>
      <c r="W262" s="2979"/>
    </row>
    <row r="263" spans="1:23" hidden="1">
      <c r="A263" s="2550">
        <v>1028115</v>
      </c>
      <c r="B263" s="2551" t="s">
        <v>5761</v>
      </c>
      <c r="C263" s="2550">
        <v>8</v>
      </c>
      <c r="D263" s="2551" t="s">
        <v>7312</v>
      </c>
      <c r="E263" s="2550" t="s">
        <v>7215</v>
      </c>
      <c r="F263" s="2550">
        <v>116</v>
      </c>
      <c r="G263" s="2559">
        <v>-232476.34</v>
      </c>
      <c r="H263" s="2559">
        <v>-631802.82999999996</v>
      </c>
      <c r="J263" s="2550">
        <v>9</v>
      </c>
      <c r="K263" s="2553" t="s">
        <v>7313</v>
      </c>
      <c r="L263" s="2551" t="e">
        <f t="shared" si="4"/>
        <v>#N/A</v>
      </c>
      <c r="W263" s="2979"/>
    </row>
    <row r="264" spans="1:23" hidden="1">
      <c r="A264" s="2550">
        <v>1028116</v>
      </c>
      <c r="B264" s="2551" t="s">
        <v>7353</v>
      </c>
      <c r="C264" s="2550">
        <v>8</v>
      </c>
      <c r="D264" s="2551" t="s">
        <v>7312</v>
      </c>
      <c r="E264" s="2550" t="s">
        <v>7215</v>
      </c>
      <c r="F264" s="2550">
        <v>116</v>
      </c>
      <c r="G264" s="2559">
        <v>-206290.94</v>
      </c>
      <c r="H264" s="2559">
        <v>-247652.94</v>
      </c>
      <c r="J264" s="2550">
        <v>9</v>
      </c>
      <c r="K264" s="2553" t="s">
        <v>7313</v>
      </c>
      <c r="L264" s="2551" t="e">
        <f t="shared" si="4"/>
        <v>#N/A</v>
      </c>
      <c r="W264" s="2979"/>
    </row>
    <row r="265" spans="1:23" hidden="1">
      <c r="A265" s="2550">
        <v>1028117</v>
      </c>
      <c r="B265" s="2551" t="s">
        <v>7354</v>
      </c>
      <c r="C265" s="2550">
        <v>8</v>
      </c>
      <c r="D265" s="2551" t="s">
        <v>7312</v>
      </c>
      <c r="E265" s="2550" t="s">
        <v>7215</v>
      </c>
      <c r="F265" s="2550">
        <v>116</v>
      </c>
      <c r="G265" s="2559">
        <v>-34884</v>
      </c>
      <c r="H265" s="2559">
        <v>-300112.19</v>
      </c>
      <c r="J265" s="2550">
        <v>9</v>
      </c>
      <c r="K265" s="2553" t="s">
        <v>7313</v>
      </c>
      <c r="L265" s="2551" t="e">
        <f t="shared" si="4"/>
        <v>#N/A</v>
      </c>
      <c r="W265" s="2979"/>
    </row>
    <row r="266" spans="1:23" hidden="1">
      <c r="A266" s="2550">
        <v>1028118</v>
      </c>
      <c r="B266" s="2551" t="s">
        <v>5764</v>
      </c>
      <c r="C266" s="2550">
        <v>8</v>
      </c>
      <c r="D266" s="2551" t="s">
        <v>7312</v>
      </c>
      <c r="E266" s="2550" t="s">
        <v>7215</v>
      </c>
      <c r="F266" s="2550">
        <v>116</v>
      </c>
      <c r="G266" s="2559">
        <v>-12928.34</v>
      </c>
      <c r="H266" s="2559">
        <v>35426.660000000003</v>
      </c>
      <c r="J266" s="2550">
        <v>9</v>
      </c>
      <c r="K266" s="2553" t="s">
        <v>7313</v>
      </c>
      <c r="L266" s="2551" t="e">
        <f t="shared" si="4"/>
        <v>#N/A</v>
      </c>
      <c r="W266" s="2979"/>
    </row>
    <row r="267" spans="1:23" hidden="1">
      <c r="A267" s="2550">
        <v>1028119</v>
      </c>
      <c r="B267" s="2551" t="s">
        <v>7355</v>
      </c>
      <c r="C267" s="2550">
        <v>8</v>
      </c>
      <c r="D267" s="2551" t="s">
        <v>7312</v>
      </c>
      <c r="E267" s="2550" t="s">
        <v>7215</v>
      </c>
      <c r="F267" s="2550">
        <v>116</v>
      </c>
      <c r="G267" s="2559">
        <v>-93528463.879999995</v>
      </c>
      <c r="H267" s="2559">
        <v>834876.66</v>
      </c>
      <c r="J267" s="2550">
        <v>9</v>
      </c>
      <c r="K267" s="2553" t="s">
        <v>7313</v>
      </c>
      <c r="L267" s="2551" t="e">
        <f t="shared" si="4"/>
        <v>#N/A</v>
      </c>
      <c r="W267" s="2979"/>
    </row>
    <row r="268" spans="1:23" hidden="1">
      <c r="A268" s="2550">
        <v>1028120</v>
      </c>
      <c r="B268" s="2551" t="s">
        <v>5766</v>
      </c>
      <c r="C268" s="2550">
        <v>8</v>
      </c>
      <c r="D268" s="2551" t="s">
        <v>7312</v>
      </c>
      <c r="E268" s="2550" t="s">
        <v>7215</v>
      </c>
      <c r="F268" s="2550">
        <v>116</v>
      </c>
      <c r="G268" s="2559">
        <v>28102261.09</v>
      </c>
      <c r="H268" s="2559">
        <v>7233421.2400000002</v>
      </c>
      <c r="J268" s="2550">
        <v>9</v>
      </c>
      <c r="K268" s="2553" t="s">
        <v>7313</v>
      </c>
      <c r="L268" s="2551" t="e">
        <f t="shared" si="4"/>
        <v>#N/A</v>
      </c>
      <c r="W268" s="2979"/>
    </row>
    <row r="269" spans="1:23" hidden="1">
      <c r="A269" s="2550">
        <v>1028121</v>
      </c>
      <c r="B269" s="2551" t="s">
        <v>7356</v>
      </c>
      <c r="C269" s="2550">
        <v>8</v>
      </c>
      <c r="D269" s="2551" t="s">
        <v>7312</v>
      </c>
      <c r="E269" s="2550" t="s">
        <v>7215</v>
      </c>
      <c r="F269" s="2550">
        <v>116</v>
      </c>
      <c r="G269" s="2559">
        <v>-321897.59000000003</v>
      </c>
      <c r="H269" s="2559">
        <v>-321897.59000000003</v>
      </c>
      <c r="J269" s="2550">
        <v>9</v>
      </c>
      <c r="K269" s="2553" t="s">
        <v>7313</v>
      </c>
      <c r="L269" s="2551" t="e">
        <f t="shared" si="4"/>
        <v>#N/A</v>
      </c>
      <c r="W269" s="2979"/>
    </row>
    <row r="270" spans="1:23" hidden="1">
      <c r="A270" s="2550">
        <v>1028122</v>
      </c>
      <c r="B270" s="2551" t="s">
        <v>7357</v>
      </c>
      <c r="C270" s="2550">
        <v>8</v>
      </c>
      <c r="D270" s="2551" t="s">
        <v>7312</v>
      </c>
      <c r="E270" s="2550" t="s">
        <v>7215</v>
      </c>
      <c r="F270" s="2550">
        <v>116</v>
      </c>
      <c r="G270" s="2559">
        <v>-52915.58</v>
      </c>
      <c r="H270" s="2559">
        <v>-52915.58</v>
      </c>
      <c r="J270" s="2550">
        <v>9</v>
      </c>
      <c r="K270" s="2553" t="s">
        <v>7313</v>
      </c>
      <c r="L270" s="2551" t="e">
        <f t="shared" si="4"/>
        <v>#N/A</v>
      </c>
      <c r="W270" s="2979"/>
    </row>
    <row r="271" spans="1:23" hidden="1">
      <c r="A271" s="2550">
        <v>1028123</v>
      </c>
      <c r="B271" s="2551" t="s">
        <v>7358</v>
      </c>
      <c r="C271" s="2550">
        <v>8</v>
      </c>
      <c r="D271" s="2551" t="s">
        <v>7312</v>
      </c>
      <c r="E271" s="2550" t="s">
        <v>7215</v>
      </c>
      <c r="F271" s="2550">
        <v>116</v>
      </c>
      <c r="G271" s="2559">
        <v>380352.5</v>
      </c>
      <c r="H271" s="2559">
        <v>380352.5</v>
      </c>
      <c r="J271" s="2550">
        <v>9</v>
      </c>
      <c r="K271" s="2553" t="s">
        <v>7313</v>
      </c>
      <c r="L271" s="2551" t="e">
        <f t="shared" si="4"/>
        <v>#N/A</v>
      </c>
      <c r="W271" s="2979"/>
    </row>
    <row r="272" spans="1:23" hidden="1">
      <c r="A272" s="2550">
        <v>1028124</v>
      </c>
      <c r="B272" s="2551" t="s">
        <v>7359</v>
      </c>
      <c r="C272" s="2550">
        <v>8</v>
      </c>
      <c r="D272" s="2551" t="s">
        <v>7312</v>
      </c>
      <c r="E272" s="2550" t="s">
        <v>7215</v>
      </c>
      <c r="F272" s="2550">
        <v>116</v>
      </c>
      <c r="G272" s="2559">
        <v>-523001.98</v>
      </c>
      <c r="H272" s="2559">
        <v>-523001.98</v>
      </c>
      <c r="J272" s="2550">
        <v>9</v>
      </c>
      <c r="K272" s="2553" t="s">
        <v>7313</v>
      </c>
      <c r="L272" s="2551" t="e">
        <f t="shared" si="4"/>
        <v>#N/A</v>
      </c>
      <c r="W272" s="2979"/>
    </row>
    <row r="273" spans="1:23" hidden="1">
      <c r="A273" s="2550">
        <v>1028125</v>
      </c>
      <c r="B273" s="2551" t="s">
        <v>7360</v>
      </c>
      <c r="C273" s="2550">
        <v>8</v>
      </c>
      <c r="D273" s="2551" t="s">
        <v>7312</v>
      </c>
      <c r="E273" s="2550" t="s">
        <v>7215</v>
      </c>
      <c r="F273" s="2550">
        <v>116</v>
      </c>
      <c r="G273" s="2559">
        <v>-47915136.640000001</v>
      </c>
      <c r="H273" s="2559">
        <v>259573.91</v>
      </c>
      <c r="J273" s="2550">
        <v>9</v>
      </c>
      <c r="K273" s="2553" t="s">
        <v>7313</v>
      </c>
      <c r="L273" s="2551" t="e">
        <f t="shared" si="4"/>
        <v>#N/A</v>
      </c>
      <c r="W273" s="2979"/>
    </row>
    <row r="274" spans="1:23" hidden="1">
      <c r="A274" s="2550">
        <v>1028126</v>
      </c>
      <c r="B274" s="2551" t="s">
        <v>7359</v>
      </c>
      <c r="C274" s="2550">
        <v>8</v>
      </c>
      <c r="D274" s="2551" t="s">
        <v>7312</v>
      </c>
      <c r="E274" s="2550" t="s">
        <v>7215</v>
      </c>
      <c r="F274" s="2550">
        <v>116</v>
      </c>
      <c r="G274" s="2559">
        <v>-1493385.04</v>
      </c>
      <c r="H274" s="2559">
        <v>378518.86</v>
      </c>
      <c r="J274" s="2550">
        <v>9</v>
      </c>
      <c r="K274" s="2553" t="s">
        <v>7313</v>
      </c>
      <c r="L274" s="2551" t="e">
        <f t="shared" si="4"/>
        <v>#N/A</v>
      </c>
      <c r="W274" s="2979"/>
    </row>
    <row r="275" spans="1:23" hidden="1">
      <c r="A275" s="2550">
        <v>1028127</v>
      </c>
      <c r="B275" s="2551" t="s">
        <v>7361</v>
      </c>
      <c r="C275" s="2550">
        <v>8</v>
      </c>
      <c r="D275" s="2551" t="s">
        <v>7312</v>
      </c>
      <c r="E275" s="2550" t="s">
        <v>7215</v>
      </c>
      <c r="F275" s="2550">
        <v>116</v>
      </c>
      <c r="G275" s="2559">
        <v>1742698.67</v>
      </c>
      <c r="H275" s="2559">
        <v>-1156.08</v>
      </c>
      <c r="J275" s="2550">
        <v>9</v>
      </c>
      <c r="K275" s="2553" t="s">
        <v>7313</v>
      </c>
      <c r="L275" s="2551" t="e">
        <f t="shared" si="4"/>
        <v>#N/A</v>
      </c>
      <c r="W275" s="2979"/>
    </row>
    <row r="276" spans="1:23" hidden="1">
      <c r="A276" s="2550">
        <v>1028128</v>
      </c>
      <c r="B276" s="2551" t="s">
        <v>7362</v>
      </c>
      <c r="C276" s="2550">
        <v>8</v>
      </c>
      <c r="D276" s="2551" t="s">
        <v>7312</v>
      </c>
      <c r="E276" s="2550" t="s">
        <v>7215</v>
      </c>
      <c r="F276" s="2550">
        <v>116</v>
      </c>
      <c r="G276" s="2559">
        <v>-17452562.670000002</v>
      </c>
      <c r="H276" s="2559">
        <v>-1436431.1</v>
      </c>
      <c r="J276" s="2550">
        <v>9</v>
      </c>
      <c r="K276" s="2553" t="s">
        <v>7313</v>
      </c>
      <c r="L276" s="2551" t="e">
        <f t="shared" si="4"/>
        <v>#N/A</v>
      </c>
      <c r="W276" s="2979"/>
    </row>
    <row r="277" spans="1:23" hidden="1">
      <c r="A277" s="2550">
        <v>1028129</v>
      </c>
      <c r="B277" s="2551" t="s">
        <v>7363</v>
      </c>
      <c r="C277" s="2550">
        <v>8</v>
      </c>
      <c r="D277" s="2551" t="s">
        <v>7312</v>
      </c>
      <c r="E277" s="2550" t="s">
        <v>7215</v>
      </c>
      <c r="F277" s="2550">
        <v>116</v>
      </c>
      <c r="G277" s="2559">
        <v>300966</v>
      </c>
      <c r="H277" s="2559">
        <v>-68596</v>
      </c>
      <c r="J277" s="2550">
        <v>9</v>
      </c>
      <c r="K277" s="2553" t="s">
        <v>7313</v>
      </c>
      <c r="L277" s="2551" t="e">
        <f t="shared" si="4"/>
        <v>#N/A</v>
      </c>
      <c r="W277" s="2979"/>
    </row>
    <row r="278" spans="1:23" hidden="1">
      <c r="A278" s="2550">
        <v>1028130</v>
      </c>
      <c r="B278" s="2551" t="s">
        <v>5776</v>
      </c>
      <c r="C278" s="2550">
        <v>8</v>
      </c>
      <c r="D278" s="2551" t="s">
        <v>7312</v>
      </c>
      <c r="E278" s="2550" t="s">
        <v>7215</v>
      </c>
      <c r="F278" s="2550">
        <v>116</v>
      </c>
      <c r="G278" s="2559">
        <v>-1496515.04</v>
      </c>
      <c r="H278" s="2559">
        <v>47780.09</v>
      </c>
      <c r="J278" s="2550">
        <v>9</v>
      </c>
      <c r="K278" s="2553" t="s">
        <v>7313</v>
      </c>
      <c r="L278" s="2551" t="e">
        <f t="shared" si="4"/>
        <v>#N/A</v>
      </c>
      <c r="W278" s="2979"/>
    </row>
    <row r="279" spans="1:23" hidden="1">
      <c r="A279" s="2551">
        <v>1028134</v>
      </c>
      <c r="B279" s="2551" t="s">
        <v>7364</v>
      </c>
      <c r="C279" s="2551">
        <v>11</v>
      </c>
      <c r="D279" s="2551" t="s">
        <v>5522</v>
      </c>
      <c r="E279" s="2550" t="s">
        <v>7215</v>
      </c>
      <c r="F279" s="2551">
        <v>111</v>
      </c>
      <c r="G279" s="2559">
        <v>1610176.6</v>
      </c>
      <c r="H279" s="2559">
        <v>1610176.6</v>
      </c>
      <c r="J279" s="2551">
        <v>11</v>
      </c>
      <c r="K279" s="2553" t="s">
        <v>7278</v>
      </c>
      <c r="L279" s="2551" t="e">
        <f t="shared" si="4"/>
        <v>#N/A</v>
      </c>
      <c r="W279" s="2979"/>
    </row>
    <row r="280" spans="1:23" hidden="1">
      <c r="A280" s="2550">
        <v>2046941</v>
      </c>
      <c r="B280" s="2551" t="s">
        <v>6360</v>
      </c>
      <c r="C280" s="2550">
        <v>8</v>
      </c>
      <c r="D280" s="2551" t="s">
        <v>7312</v>
      </c>
      <c r="E280" s="2550" t="s">
        <v>7215</v>
      </c>
      <c r="F280" s="2550">
        <v>116</v>
      </c>
      <c r="G280" s="2559">
        <v>-55081250.710000001</v>
      </c>
      <c r="H280" s="2559">
        <v>-17907207.170000002</v>
      </c>
      <c r="J280" s="2550">
        <v>9</v>
      </c>
      <c r="K280" s="2553" t="s">
        <v>7313</v>
      </c>
      <c r="L280" s="2551" t="e">
        <f t="shared" si="4"/>
        <v>#N/A</v>
      </c>
      <c r="W280" s="2979"/>
    </row>
    <row r="281" spans="1:23" hidden="1">
      <c r="A281" s="2550">
        <v>1023917</v>
      </c>
      <c r="B281" s="2551" t="s">
        <v>7365</v>
      </c>
      <c r="C281" s="2550">
        <v>8</v>
      </c>
      <c r="D281" s="2551" t="s">
        <v>7312</v>
      </c>
      <c r="E281" s="2550" t="s">
        <v>7215</v>
      </c>
      <c r="F281" s="2550">
        <v>117</v>
      </c>
      <c r="G281" s="2559">
        <v>-200793339.06999999</v>
      </c>
      <c r="H281" s="2559">
        <v>-35330351</v>
      </c>
      <c r="J281" s="2550">
        <v>9</v>
      </c>
      <c r="K281" s="2553" t="s">
        <v>7313</v>
      </c>
      <c r="L281" s="2551" t="e">
        <f t="shared" si="4"/>
        <v>#N/A</v>
      </c>
      <c r="W281" s="2979"/>
    </row>
    <row r="282" spans="1:23" hidden="1">
      <c r="A282" s="2550">
        <v>1023401</v>
      </c>
      <c r="B282" s="2551" t="s">
        <v>7366</v>
      </c>
      <c r="C282" s="2550">
        <v>8</v>
      </c>
      <c r="D282" s="2551" t="s">
        <v>7312</v>
      </c>
      <c r="E282" s="2550" t="s">
        <v>7215</v>
      </c>
      <c r="F282" s="2550">
        <v>118</v>
      </c>
      <c r="G282" s="2559">
        <v>1211100172</v>
      </c>
      <c r="H282" s="2559">
        <v>830336106</v>
      </c>
      <c r="J282" s="2550">
        <v>9</v>
      </c>
      <c r="K282" s="2553" t="s">
        <v>7313</v>
      </c>
      <c r="L282" s="2551" t="e">
        <f t="shared" si="4"/>
        <v>#N/A</v>
      </c>
      <c r="W282" s="2979"/>
    </row>
    <row r="283" spans="1:23" hidden="1">
      <c r="A283" s="2551">
        <v>1424100</v>
      </c>
      <c r="B283" s="2551" t="s">
        <v>5850</v>
      </c>
      <c r="C283" s="2551">
        <v>10</v>
      </c>
      <c r="D283" s="2551" t="s">
        <v>7367</v>
      </c>
      <c r="E283" s="2550" t="s">
        <v>7215</v>
      </c>
      <c r="F283" s="2551">
        <v>103</v>
      </c>
      <c r="G283" s="2552">
        <v>21177541.800000001</v>
      </c>
      <c r="H283" s="2552">
        <v>25162653.34</v>
      </c>
      <c r="J283" s="2551">
        <v>10</v>
      </c>
      <c r="K283" s="2553" t="s">
        <v>7292</v>
      </c>
      <c r="L283" s="2551" t="e">
        <f t="shared" si="4"/>
        <v>#N/A</v>
      </c>
      <c r="W283" s="2979"/>
    </row>
    <row r="284" spans="1:23" hidden="1">
      <c r="A284" s="2551">
        <v>1424101</v>
      </c>
      <c r="B284" s="2551" t="s">
        <v>5851</v>
      </c>
      <c r="C284" s="2551">
        <v>10</v>
      </c>
      <c r="D284" s="2551" t="s">
        <v>7367</v>
      </c>
      <c r="E284" s="2550" t="s">
        <v>7215</v>
      </c>
      <c r="F284" s="2551">
        <v>103</v>
      </c>
      <c r="G284" s="2552">
        <v>144553728.75</v>
      </c>
      <c r="H284" s="2552">
        <v>209326875.31</v>
      </c>
      <c r="J284" s="2551">
        <v>10</v>
      </c>
      <c r="K284" s="2553" t="s">
        <v>7292</v>
      </c>
      <c r="L284" s="2551" t="e">
        <f t="shared" si="4"/>
        <v>#N/A</v>
      </c>
      <c r="W284" s="2979"/>
    </row>
    <row r="285" spans="1:23" hidden="1">
      <c r="A285" s="2551">
        <v>1424102</v>
      </c>
      <c r="B285" s="2551" t="s">
        <v>5852</v>
      </c>
      <c r="C285" s="2551">
        <v>10</v>
      </c>
      <c r="D285" s="2551" t="s">
        <v>7367</v>
      </c>
      <c r="E285" s="2550" t="s">
        <v>7215</v>
      </c>
      <c r="F285" s="2551">
        <v>103</v>
      </c>
      <c r="G285" s="2552">
        <v>441236298.26999998</v>
      </c>
      <c r="H285" s="2552">
        <v>258139635.68000001</v>
      </c>
      <c r="J285" s="2551">
        <v>10</v>
      </c>
      <c r="K285" s="2553" t="s">
        <v>7292</v>
      </c>
      <c r="L285" s="2551" t="e">
        <f t="shared" si="4"/>
        <v>#N/A</v>
      </c>
      <c r="W285" s="2979"/>
    </row>
    <row r="286" spans="1:23" hidden="1">
      <c r="A286" s="2551">
        <v>1424103</v>
      </c>
      <c r="B286" s="2551" t="s">
        <v>5853</v>
      </c>
      <c r="C286" s="2551">
        <v>10</v>
      </c>
      <c r="D286" s="2551" t="s">
        <v>7367</v>
      </c>
      <c r="E286" s="2550" t="s">
        <v>7215</v>
      </c>
      <c r="F286" s="2551">
        <v>103</v>
      </c>
      <c r="G286" s="2552">
        <v>259254</v>
      </c>
      <c r="H286" s="2552">
        <v>207283</v>
      </c>
      <c r="J286" s="2551">
        <v>10</v>
      </c>
      <c r="K286" s="2553" t="s">
        <v>7292</v>
      </c>
      <c r="L286" s="2551" t="e">
        <f t="shared" si="4"/>
        <v>#N/A</v>
      </c>
      <c r="W286" s="2979"/>
    </row>
    <row r="287" spans="1:23" hidden="1">
      <c r="A287" s="2551">
        <v>1424104</v>
      </c>
      <c r="B287" s="2551" t="s">
        <v>5854</v>
      </c>
      <c r="C287" s="2551">
        <v>10</v>
      </c>
      <c r="D287" s="2551" t="s">
        <v>7367</v>
      </c>
      <c r="E287" s="2550" t="s">
        <v>7215</v>
      </c>
      <c r="F287" s="2551">
        <v>103</v>
      </c>
      <c r="G287" s="2552">
        <v>400586060.10000002</v>
      </c>
      <c r="H287" s="2552">
        <v>302142468.10000002</v>
      </c>
      <c r="J287" s="2551">
        <v>10</v>
      </c>
      <c r="K287" s="2553" t="s">
        <v>7292</v>
      </c>
      <c r="L287" s="2551" t="e">
        <f t="shared" si="4"/>
        <v>#N/A</v>
      </c>
      <c r="W287" s="2979"/>
    </row>
    <row r="288" spans="1:23" hidden="1">
      <c r="A288" s="2551">
        <v>1424105</v>
      </c>
      <c r="B288" s="2551" t="s">
        <v>5855</v>
      </c>
      <c r="C288" s="2551">
        <v>10</v>
      </c>
      <c r="D288" s="2551" t="s">
        <v>7367</v>
      </c>
      <c r="E288" s="2550" t="s">
        <v>7215</v>
      </c>
      <c r="F288" s="2551">
        <v>103</v>
      </c>
      <c r="G288" s="2552">
        <v>23313843.969999999</v>
      </c>
      <c r="H288" s="2552">
        <v>18320962.539999999</v>
      </c>
      <c r="J288" s="2551">
        <v>10</v>
      </c>
      <c r="K288" s="2553" t="s">
        <v>7292</v>
      </c>
      <c r="L288" s="2551" t="e">
        <f t="shared" si="4"/>
        <v>#N/A</v>
      </c>
      <c r="W288" s="2979"/>
    </row>
    <row r="289" spans="1:23" hidden="1">
      <c r="A289" s="2551">
        <v>1424106</v>
      </c>
      <c r="B289" s="2551" t="s">
        <v>5856</v>
      </c>
      <c r="C289" s="2551">
        <v>10</v>
      </c>
      <c r="D289" s="2551" t="s">
        <v>7367</v>
      </c>
      <c r="E289" s="2550" t="s">
        <v>7215</v>
      </c>
      <c r="F289" s="2551">
        <v>103</v>
      </c>
      <c r="G289" s="2552">
        <v>1539467.2</v>
      </c>
      <c r="H289" s="2552">
        <v>1539467.2</v>
      </c>
      <c r="J289" s="2551">
        <v>10</v>
      </c>
      <c r="K289" s="2553" t="s">
        <v>7292</v>
      </c>
      <c r="L289" s="2551" t="e">
        <f t="shared" si="4"/>
        <v>#N/A</v>
      </c>
      <c r="W289" s="2979"/>
    </row>
    <row r="290" spans="1:23" hidden="1">
      <c r="A290" s="2551">
        <v>1424107</v>
      </c>
      <c r="B290" s="2551" t="s">
        <v>5857</v>
      </c>
      <c r="C290" s="2551">
        <v>10</v>
      </c>
      <c r="D290" s="2551" t="s">
        <v>7367</v>
      </c>
      <c r="E290" s="2550" t="s">
        <v>7215</v>
      </c>
      <c r="F290" s="2551">
        <v>103</v>
      </c>
      <c r="G290" s="2552">
        <v>287011993.25</v>
      </c>
      <c r="H290" s="2552">
        <v>364992486.64999998</v>
      </c>
      <c r="J290" s="2551">
        <v>10</v>
      </c>
      <c r="K290" s="2553" t="s">
        <v>7292</v>
      </c>
      <c r="L290" s="2551" t="e">
        <f t="shared" si="4"/>
        <v>#N/A</v>
      </c>
      <c r="W290" s="2979"/>
    </row>
    <row r="291" spans="1:23" hidden="1">
      <c r="A291" s="2551">
        <v>1424108</v>
      </c>
      <c r="B291" s="2551" t="s">
        <v>5858</v>
      </c>
      <c r="C291" s="2551">
        <v>10</v>
      </c>
      <c r="D291" s="2551" t="s">
        <v>7367</v>
      </c>
      <c r="E291" s="2550" t="s">
        <v>7215</v>
      </c>
      <c r="F291" s="2551">
        <v>103</v>
      </c>
      <c r="G291" s="2552">
        <v>28245233</v>
      </c>
      <c r="H291" s="2552">
        <v>34372640</v>
      </c>
      <c r="J291" s="2551">
        <v>10</v>
      </c>
      <c r="K291" s="2553" t="s">
        <v>7292</v>
      </c>
      <c r="L291" s="2551" t="e">
        <f t="shared" si="4"/>
        <v>#N/A</v>
      </c>
      <c r="W291" s="2979"/>
    </row>
    <row r="292" spans="1:23" hidden="1">
      <c r="A292" s="2551">
        <v>1424109</v>
      </c>
      <c r="B292" s="2551" t="s">
        <v>5859</v>
      </c>
      <c r="C292" s="2551">
        <v>10</v>
      </c>
      <c r="D292" s="2551" t="s">
        <v>7367</v>
      </c>
      <c r="E292" s="2550" t="s">
        <v>7215</v>
      </c>
      <c r="F292" s="2551">
        <v>103</v>
      </c>
      <c r="G292" s="2552">
        <v>9944970</v>
      </c>
      <c r="H292" s="2552">
        <v>9654572</v>
      </c>
      <c r="J292" s="2551">
        <v>10</v>
      </c>
      <c r="K292" s="2553" t="s">
        <v>7292</v>
      </c>
      <c r="L292" s="2551" t="e">
        <f t="shared" si="4"/>
        <v>#N/A</v>
      </c>
      <c r="W292" s="2979"/>
    </row>
    <row r="293" spans="1:23" hidden="1">
      <c r="A293" s="2551">
        <v>1424110</v>
      </c>
      <c r="B293" s="2551" t="s">
        <v>5860</v>
      </c>
      <c r="C293" s="2551">
        <v>10</v>
      </c>
      <c r="D293" s="2551" t="s">
        <v>7367</v>
      </c>
      <c r="E293" s="2550" t="s">
        <v>7215</v>
      </c>
      <c r="F293" s="2551">
        <v>103</v>
      </c>
      <c r="G293" s="2552">
        <v>65392900.090000004</v>
      </c>
      <c r="H293" s="2552">
        <v>154669810.94</v>
      </c>
      <c r="J293" s="2551">
        <v>10</v>
      </c>
      <c r="K293" s="2553" t="s">
        <v>7292</v>
      </c>
      <c r="L293" s="2551" t="e">
        <f t="shared" si="4"/>
        <v>#N/A</v>
      </c>
      <c r="W293" s="2979"/>
    </row>
    <row r="294" spans="1:23" hidden="1">
      <c r="A294" s="2551">
        <v>1424111</v>
      </c>
      <c r="B294" s="2551" t="s">
        <v>5861</v>
      </c>
      <c r="C294" s="2551">
        <v>10</v>
      </c>
      <c r="D294" s="2551" t="s">
        <v>7367</v>
      </c>
      <c r="E294" s="2550" t="s">
        <v>7215</v>
      </c>
      <c r="F294" s="2551">
        <v>103</v>
      </c>
      <c r="G294" s="2552">
        <v>67437838.5</v>
      </c>
      <c r="H294" s="2552">
        <v>69463592.5</v>
      </c>
      <c r="J294" s="2551">
        <v>10</v>
      </c>
      <c r="K294" s="2553" t="s">
        <v>7292</v>
      </c>
      <c r="L294" s="2551" t="e">
        <f t="shared" si="4"/>
        <v>#N/A</v>
      </c>
      <c r="W294" s="2979"/>
    </row>
    <row r="295" spans="1:23" hidden="1">
      <c r="A295" s="2551">
        <v>1424113</v>
      </c>
      <c r="B295" s="2551" t="s">
        <v>5864</v>
      </c>
      <c r="C295" s="2551">
        <v>3</v>
      </c>
      <c r="D295" s="2551" t="s">
        <v>7368</v>
      </c>
      <c r="E295" s="2550" t="s">
        <v>7215</v>
      </c>
      <c r="F295" s="2551">
        <v>76</v>
      </c>
      <c r="G295" s="2559">
        <v>-121514773.90000001</v>
      </c>
      <c r="H295" s="2551">
        <v>0</v>
      </c>
      <c r="J295" s="2551">
        <v>19</v>
      </c>
      <c r="K295" s="2553" t="s">
        <v>7369</v>
      </c>
      <c r="L295" s="2551" t="e">
        <f t="shared" si="4"/>
        <v>#N/A</v>
      </c>
      <c r="W295" s="2979"/>
    </row>
    <row r="296" spans="1:23" hidden="1">
      <c r="A296" s="2551">
        <v>1424114</v>
      </c>
      <c r="B296" s="2551" t="s">
        <v>5865</v>
      </c>
      <c r="C296" s="2551">
        <v>3</v>
      </c>
      <c r="D296" s="2551" t="s">
        <v>7368</v>
      </c>
      <c r="E296" s="2550" t="s">
        <v>7215</v>
      </c>
      <c r="F296" s="2551">
        <v>76</v>
      </c>
      <c r="G296" s="2559">
        <v>-47491085.899999999</v>
      </c>
      <c r="H296" s="2551">
        <v>0</v>
      </c>
      <c r="J296" s="2551">
        <v>19</v>
      </c>
      <c r="K296" s="2553" t="s">
        <v>7369</v>
      </c>
      <c r="L296" s="2551" t="e">
        <f t="shared" si="4"/>
        <v>#N/A</v>
      </c>
      <c r="W296" s="2979"/>
    </row>
    <row r="297" spans="1:23" hidden="1">
      <c r="A297" s="2551">
        <v>1424115</v>
      </c>
      <c r="B297" s="2551" t="s">
        <v>5866</v>
      </c>
      <c r="C297" s="2551">
        <v>10</v>
      </c>
      <c r="D297" s="2551" t="s">
        <v>7367</v>
      </c>
      <c r="E297" s="2550" t="s">
        <v>7215</v>
      </c>
      <c r="F297" s="2551">
        <v>103</v>
      </c>
      <c r="G297" s="2552">
        <v>71318509.459999993</v>
      </c>
      <c r="H297" s="2552">
        <v>67712939.049999997</v>
      </c>
      <c r="J297" s="2551">
        <v>10</v>
      </c>
      <c r="K297" s="2553" t="s">
        <v>7292</v>
      </c>
      <c r="L297" s="2551" t="e">
        <f t="shared" si="4"/>
        <v>#N/A</v>
      </c>
      <c r="W297" s="2979"/>
    </row>
    <row r="298" spans="1:23" hidden="1">
      <c r="A298" s="2551">
        <v>1424116</v>
      </c>
      <c r="B298" s="2551" t="s">
        <v>5867</v>
      </c>
      <c r="C298" s="2551">
        <v>10</v>
      </c>
      <c r="D298" s="2551" t="s">
        <v>7367</v>
      </c>
      <c r="E298" s="2550" t="s">
        <v>7215</v>
      </c>
      <c r="F298" s="2551">
        <v>103</v>
      </c>
      <c r="G298" s="2552">
        <v>699300</v>
      </c>
      <c r="H298" s="2552">
        <v>1670872.87</v>
      </c>
      <c r="J298" s="2551">
        <v>10</v>
      </c>
      <c r="K298" s="2553" t="s">
        <v>7292</v>
      </c>
      <c r="L298" s="2551" t="e">
        <f t="shared" si="4"/>
        <v>#N/A</v>
      </c>
      <c r="W298" s="2979"/>
    </row>
    <row r="299" spans="1:23" hidden="1">
      <c r="A299" s="2551">
        <v>1424119</v>
      </c>
      <c r="B299" s="2551" t="s">
        <v>5868</v>
      </c>
      <c r="C299" s="2551">
        <v>10</v>
      </c>
      <c r="D299" s="2551" t="s">
        <v>7367</v>
      </c>
      <c r="E299" s="2550" t="s">
        <v>7215</v>
      </c>
      <c r="F299" s="2551">
        <v>103</v>
      </c>
      <c r="G299" s="2552">
        <v>6037822</v>
      </c>
      <c r="H299" s="2552">
        <v>12496747</v>
      </c>
      <c r="J299" s="2551">
        <v>10</v>
      </c>
      <c r="K299" s="2553" t="s">
        <v>7292</v>
      </c>
      <c r="L299" s="2551" t="e">
        <f t="shared" si="4"/>
        <v>#N/A</v>
      </c>
      <c r="W299" s="2979"/>
    </row>
    <row r="300" spans="1:23" hidden="1">
      <c r="A300" s="2551">
        <v>1424120</v>
      </c>
      <c r="B300" s="2551" t="s">
        <v>5869</v>
      </c>
      <c r="C300" s="2551">
        <v>10</v>
      </c>
      <c r="D300" s="2551" t="s">
        <v>7367</v>
      </c>
      <c r="E300" s="2550" t="s">
        <v>7215</v>
      </c>
      <c r="F300" s="2551">
        <v>103</v>
      </c>
      <c r="G300" s="2552">
        <v>67216081.540000007</v>
      </c>
      <c r="H300" s="2552">
        <v>67239609.140000001</v>
      </c>
      <c r="J300" s="2551">
        <v>10</v>
      </c>
      <c r="K300" s="2553" t="s">
        <v>7292</v>
      </c>
      <c r="L300" s="2551" t="e">
        <f t="shared" si="4"/>
        <v>#N/A</v>
      </c>
      <c r="W300" s="2979"/>
    </row>
    <row r="301" spans="1:23" hidden="1">
      <c r="A301" s="2551">
        <v>1424121</v>
      </c>
      <c r="B301" s="2551" t="s">
        <v>5870</v>
      </c>
      <c r="C301" s="2551">
        <v>10</v>
      </c>
      <c r="D301" s="2551" t="s">
        <v>7367</v>
      </c>
      <c r="E301" s="2550" t="s">
        <v>7215</v>
      </c>
      <c r="F301" s="2551">
        <v>103</v>
      </c>
      <c r="G301" s="2552">
        <v>80294563.040000007</v>
      </c>
      <c r="H301" s="2552">
        <v>13203849.439999999</v>
      </c>
      <c r="J301" s="2551">
        <v>10</v>
      </c>
      <c r="K301" s="2553" t="s">
        <v>7292</v>
      </c>
      <c r="L301" s="2551" t="e">
        <f t="shared" si="4"/>
        <v>#N/A</v>
      </c>
      <c r="W301" s="2979"/>
    </row>
    <row r="302" spans="1:23" hidden="1">
      <c r="A302" s="2551">
        <v>1424122</v>
      </c>
      <c r="B302" s="2551" t="s">
        <v>5871</v>
      </c>
      <c r="C302" s="2551">
        <v>10</v>
      </c>
      <c r="D302" s="2551" t="s">
        <v>7367</v>
      </c>
      <c r="E302" s="2550" t="s">
        <v>7215</v>
      </c>
      <c r="F302" s="2551">
        <v>103</v>
      </c>
      <c r="G302" s="2552">
        <v>2011456.5</v>
      </c>
      <c r="H302" s="2552">
        <v>1469990.5</v>
      </c>
      <c r="J302" s="2551">
        <v>10</v>
      </c>
      <c r="K302" s="2553" t="s">
        <v>7292</v>
      </c>
      <c r="L302" s="2551" t="e">
        <f t="shared" si="4"/>
        <v>#N/A</v>
      </c>
      <c r="W302" s="2979"/>
    </row>
    <row r="303" spans="1:23" hidden="1">
      <c r="A303" s="2551">
        <v>1424123</v>
      </c>
      <c r="B303" s="2551" t="s">
        <v>5872</v>
      </c>
      <c r="C303" s="2551">
        <v>10</v>
      </c>
      <c r="D303" s="2551" t="s">
        <v>7367</v>
      </c>
      <c r="E303" s="2550" t="s">
        <v>7215</v>
      </c>
      <c r="F303" s="2551">
        <v>103</v>
      </c>
      <c r="G303" s="2552">
        <v>72821987.900000006</v>
      </c>
      <c r="H303" s="2552">
        <v>33183515</v>
      </c>
      <c r="J303" s="2551">
        <v>10</v>
      </c>
      <c r="K303" s="2553" t="s">
        <v>7292</v>
      </c>
      <c r="L303" s="2551" t="e">
        <f t="shared" si="4"/>
        <v>#N/A</v>
      </c>
      <c r="W303" s="2979"/>
    </row>
    <row r="304" spans="1:23" hidden="1">
      <c r="A304" s="2551">
        <v>1424124</v>
      </c>
      <c r="B304" s="2551" t="s">
        <v>5873</v>
      </c>
      <c r="C304" s="2551">
        <v>10</v>
      </c>
      <c r="D304" s="2551" t="s">
        <v>7367</v>
      </c>
      <c r="E304" s="2550" t="s">
        <v>7215</v>
      </c>
      <c r="F304" s="2551">
        <v>103</v>
      </c>
      <c r="G304" s="2552">
        <v>40381473.799999997</v>
      </c>
      <c r="H304" s="2552">
        <v>485059.8</v>
      </c>
      <c r="J304" s="2551">
        <v>10</v>
      </c>
      <c r="K304" s="2553" t="s">
        <v>7292</v>
      </c>
      <c r="L304" s="2551" t="e">
        <f t="shared" si="4"/>
        <v>#N/A</v>
      </c>
      <c r="W304" s="2979"/>
    </row>
    <row r="305" spans="1:23" hidden="1">
      <c r="A305" s="2551">
        <v>1424125</v>
      </c>
      <c r="B305" s="2551" t="s">
        <v>5874</v>
      </c>
      <c r="C305" s="2551">
        <v>10</v>
      </c>
      <c r="D305" s="2551" t="s">
        <v>7367</v>
      </c>
      <c r="E305" s="2550" t="s">
        <v>7215</v>
      </c>
      <c r="F305" s="2551">
        <v>103</v>
      </c>
      <c r="G305" s="2552">
        <v>98359685.879999995</v>
      </c>
      <c r="H305" s="2552">
        <v>7859512.6100000003</v>
      </c>
      <c r="J305" s="2551">
        <v>10</v>
      </c>
      <c r="K305" s="2553" t="s">
        <v>7292</v>
      </c>
      <c r="L305" s="2551" t="e">
        <f t="shared" si="4"/>
        <v>#N/A</v>
      </c>
      <c r="W305" s="2979"/>
    </row>
    <row r="306" spans="1:23" hidden="1">
      <c r="A306" s="2551">
        <v>1424126</v>
      </c>
      <c r="B306" s="2551" t="s">
        <v>5875</v>
      </c>
      <c r="C306" s="2551">
        <v>10</v>
      </c>
      <c r="D306" s="2551" t="s">
        <v>7367</v>
      </c>
      <c r="E306" s="2550" t="s">
        <v>7215</v>
      </c>
      <c r="F306" s="2551">
        <v>103</v>
      </c>
      <c r="G306" s="2552">
        <v>8198335.7999999998</v>
      </c>
      <c r="H306" s="2552">
        <v>284108.79999999999</v>
      </c>
      <c r="J306" s="2551">
        <v>10</v>
      </c>
      <c r="K306" s="2553" t="s">
        <v>7292</v>
      </c>
      <c r="L306" s="2551" t="e">
        <f t="shared" si="4"/>
        <v>#N/A</v>
      </c>
      <c r="W306" s="2979"/>
    </row>
    <row r="307" spans="1:23" hidden="1">
      <c r="A307" s="2551">
        <v>1424127</v>
      </c>
      <c r="B307" s="2551" t="s">
        <v>5876</v>
      </c>
      <c r="C307" s="2551">
        <v>10</v>
      </c>
      <c r="D307" s="2551" t="s">
        <v>7367</v>
      </c>
      <c r="E307" s="2550" t="s">
        <v>7215</v>
      </c>
      <c r="F307" s="2551">
        <v>103</v>
      </c>
      <c r="G307" s="2552">
        <v>331650.21000000002</v>
      </c>
      <c r="H307" s="2552">
        <v>331650.21000000002</v>
      </c>
      <c r="J307" s="2551">
        <v>10</v>
      </c>
      <c r="K307" s="2553" t="s">
        <v>7292</v>
      </c>
      <c r="L307" s="2551" t="e">
        <f t="shared" si="4"/>
        <v>#N/A</v>
      </c>
      <c r="W307" s="2979"/>
    </row>
    <row r="308" spans="1:23" hidden="1">
      <c r="A308" s="2551">
        <v>1424128</v>
      </c>
      <c r="B308" s="2551" t="s">
        <v>7370</v>
      </c>
      <c r="C308" s="2551">
        <v>10</v>
      </c>
      <c r="D308" s="2551" t="s">
        <v>7367</v>
      </c>
      <c r="E308" s="2550" t="s">
        <v>7215</v>
      </c>
      <c r="F308" s="2551">
        <v>103</v>
      </c>
      <c r="G308" s="2552">
        <v>1178252.54</v>
      </c>
      <c r="H308" s="2552">
        <v>1178252.54</v>
      </c>
      <c r="J308" s="2551">
        <v>10</v>
      </c>
      <c r="K308" s="2553" t="s">
        <v>7292</v>
      </c>
      <c r="L308" s="2551" t="e">
        <f t="shared" si="4"/>
        <v>#N/A</v>
      </c>
      <c r="W308" s="2979"/>
    </row>
    <row r="309" spans="1:23" hidden="1">
      <c r="A309" s="2551">
        <v>1424129</v>
      </c>
      <c r="B309" s="2551" t="s">
        <v>5878</v>
      </c>
      <c r="C309" s="2551">
        <v>10</v>
      </c>
      <c r="D309" s="2551" t="s">
        <v>7367</v>
      </c>
      <c r="E309" s="2550" t="s">
        <v>7215</v>
      </c>
      <c r="F309" s="2551">
        <v>103</v>
      </c>
      <c r="G309" s="2552">
        <v>140847.60999999999</v>
      </c>
      <c r="H309" s="2552">
        <v>140847.60999999999</v>
      </c>
      <c r="J309" s="2551">
        <v>10</v>
      </c>
      <c r="K309" s="2553" t="s">
        <v>7292</v>
      </c>
      <c r="L309" s="2551" t="e">
        <f t="shared" si="4"/>
        <v>#N/A</v>
      </c>
      <c r="W309" s="2979"/>
    </row>
    <row r="310" spans="1:23" hidden="1">
      <c r="A310" s="2551">
        <v>1424130</v>
      </c>
      <c r="B310" s="2551" t="s">
        <v>5879</v>
      </c>
      <c r="C310" s="2551">
        <v>10</v>
      </c>
      <c r="D310" s="2551" t="s">
        <v>7367</v>
      </c>
      <c r="E310" s="2550" t="s">
        <v>7215</v>
      </c>
      <c r="F310" s="2551">
        <v>103</v>
      </c>
      <c r="G310" s="2552">
        <v>63705.61</v>
      </c>
      <c r="H310" s="2552">
        <v>63705.61</v>
      </c>
      <c r="J310" s="2551">
        <v>10</v>
      </c>
      <c r="K310" s="2553" t="s">
        <v>7292</v>
      </c>
      <c r="L310" s="2551" t="e">
        <f t="shared" si="4"/>
        <v>#N/A</v>
      </c>
      <c r="W310" s="2979"/>
    </row>
    <row r="311" spans="1:23" hidden="1">
      <c r="A311" s="2551">
        <v>1424131</v>
      </c>
      <c r="B311" s="2551" t="s">
        <v>5880</v>
      </c>
      <c r="C311" s="2551">
        <v>10</v>
      </c>
      <c r="D311" s="2551" t="s">
        <v>7367</v>
      </c>
      <c r="E311" s="2550" t="s">
        <v>7215</v>
      </c>
      <c r="F311" s="2551">
        <v>103</v>
      </c>
      <c r="G311" s="2552">
        <v>207211</v>
      </c>
      <c r="H311" s="2552">
        <v>207211</v>
      </c>
      <c r="J311" s="2551">
        <v>10</v>
      </c>
      <c r="K311" s="2553" t="s">
        <v>7292</v>
      </c>
      <c r="L311" s="2551" t="e">
        <f t="shared" si="4"/>
        <v>#N/A</v>
      </c>
      <c r="W311" s="2979"/>
    </row>
    <row r="312" spans="1:23" hidden="1">
      <c r="A312" s="2551">
        <v>1424132</v>
      </c>
      <c r="B312" s="2551" t="s">
        <v>5881</v>
      </c>
      <c r="C312" s="2551">
        <v>10</v>
      </c>
      <c r="D312" s="2551" t="s">
        <v>7367</v>
      </c>
      <c r="E312" s="2550" t="s">
        <v>7215</v>
      </c>
      <c r="F312" s="2551">
        <v>103</v>
      </c>
      <c r="G312" s="2552">
        <v>25401</v>
      </c>
      <c r="H312" s="2552">
        <v>25401</v>
      </c>
      <c r="J312" s="2551">
        <v>10</v>
      </c>
      <c r="K312" s="2553" t="s">
        <v>7292</v>
      </c>
      <c r="L312" s="2551" t="e">
        <f t="shared" si="4"/>
        <v>#N/A</v>
      </c>
      <c r="W312" s="2979"/>
    </row>
    <row r="313" spans="1:23" hidden="1">
      <c r="A313" s="2551">
        <v>1424133</v>
      </c>
      <c r="B313" s="2551" t="s">
        <v>5882</v>
      </c>
      <c r="C313" s="2551">
        <v>10</v>
      </c>
      <c r="D313" s="2551" t="s">
        <v>7367</v>
      </c>
      <c r="E313" s="2550" t="s">
        <v>7215</v>
      </c>
      <c r="F313" s="2551">
        <v>103</v>
      </c>
      <c r="G313" s="2552">
        <v>200840.3</v>
      </c>
      <c r="H313" s="2552">
        <v>200840.3</v>
      </c>
      <c r="J313" s="2551">
        <v>10</v>
      </c>
      <c r="K313" s="2553" t="s">
        <v>7292</v>
      </c>
      <c r="L313" s="2551" t="e">
        <f t="shared" si="4"/>
        <v>#N/A</v>
      </c>
      <c r="W313" s="2979"/>
    </row>
    <row r="314" spans="1:23" hidden="1">
      <c r="A314" s="2551">
        <v>1424134</v>
      </c>
      <c r="B314" s="2551" t="s">
        <v>5883</v>
      </c>
      <c r="C314" s="2551">
        <v>10</v>
      </c>
      <c r="D314" s="2551" t="s">
        <v>7367</v>
      </c>
      <c r="E314" s="2550" t="s">
        <v>7215</v>
      </c>
      <c r="F314" s="2551">
        <v>103</v>
      </c>
      <c r="G314" s="2552">
        <v>573363.30000000005</v>
      </c>
      <c r="H314" s="2552">
        <v>573363.30000000005</v>
      </c>
      <c r="J314" s="2551">
        <v>10</v>
      </c>
      <c r="K314" s="2553" t="s">
        <v>7292</v>
      </c>
      <c r="L314" s="2551" t="e">
        <f t="shared" si="4"/>
        <v>#N/A</v>
      </c>
      <c r="W314" s="2979"/>
    </row>
    <row r="315" spans="1:23" hidden="1">
      <c r="A315" s="2551">
        <v>1424135</v>
      </c>
      <c r="B315" s="2551" t="s">
        <v>5884</v>
      </c>
      <c r="C315" s="2551">
        <v>10</v>
      </c>
      <c r="D315" s="2551" t="s">
        <v>7367</v>
      </c>
      <c r="E315" s="2550" t="s">
        <v>7215</v>
      </c>
      <c r="F315" s="2551">
        <v>103</v>
      </c>
      <c r="G315" s="2552">
        <v>1217422.8799999999</v>
      </c>
      <c r="H315" s="2552">
        <v>1217422.8799999999</v>
      </c>
      <c r="J315" s="2551">
        <v>10</v>
      </c>
      <c r="K315" s="2553" t="s">
        <v>7292</v>
      </c>
      <c r="L315" s="2551" t="e">
        <f t="shared" si="4"/>
        <v>#N/A</v>
      </c>
      <c r="W315" s="2979"/>
    </row>
    <row r="316" spans="1:23" hidden="1">
      <c r="A316" s="2551">
        <v>1424136</v>
      </c>
      <c r="B316" s="2551" t="s">
        <v>5885</v>
      </c>
      <c r="C316" s="2551">
        <v>10</v>
      </c>
      <c r="D316" s="2551" t="s">
        <v>7367</v>
      </c>
      <c r="E316" s="2550" t="s">
        <v>7215</v>
      </c>
      <c r="F316" s="2551">
        <v>103</v>
      </c>
      <c r="G316" s="2552">
        <v>634559.79</v>
      </c>
      <c r="H316" s="2552">
        <v>634559.79</v>
      </c>
      <c r="J316" s="2551">
        <v>10</v>
      </c>
      <c r="K316" s="2553" t="s">
        <v>7292</v>
      </c>
      <c r="L316" s="2551" t="e">
        <f t="shared" si="4"/>
        <v>#N/A</v>
      </c>
      <c r="W316" s="2979"/>
    </row>
    <row r="317" spans="1:23" hidden="1">
      <c r="A317" s="2551">
        <v>1424137</v>
      </c>
      <c r="B317" s="2551" t="s">
        <v>5886</v>
      </c>
      <c r="C317" s="2551">
        <v>10</v>
      </c>
      <c r="D317" s="2551" t="s">
        <v>7367</v>
      </c>
      <c r="E317" s="2550" t="s">
        <v>7215</v>
      </c>
      <c r="F317" s="2551">
        <v>103</v>
      </c>
      <c r="G317" s="2552">
        <v>2095975.41</v>
      </c>
      <c r="H317" s="2552">
        <v>5792555.9500000002</v>
      </c>
      <c r="J317" s="2551">
        <v>10</v>
      </c>
      <c r="K317" s="2553" t="s">
        <v>7292</v>
      </c>
      <c r="L317" s="2551" t="e">
        <f t="shared" si="4"/>
        <v>#N/A</v>
      </c>
      <c r="W317" s="2979"/>
    </row>
    <row r="318" spans="1:23" hidden="1">
      <c r="A318" s="2551">
        <v>1424138</v>
      </c>
      <c r="B318" s="2551" t="s">
        <v>5887</v>
      </c>
      <c r="C318" s="2551">
        <v>10</v>
      </c>
      <c r="D318" s="2551" t="s">
        <v>7367</v>
      </c>
      <c r="E318" s="2550" t="s">
        <v>7215</v>
      </c>
      <c r="F318" s="2551">
        <v>103</v>
      </c>
      <c r="G318" s="2552">
        <v>135511</v>
      </c>
      <c r="H318" s="2552">
        <v>532780.29</v>
      </c>
      <c r="J318" s="2551">
        <v>10</v>
      </c>
      <c r="K318" s="2553" t="s">
        <v>7292</v>
      </c>
      <c r="L318" s="2551" t="e">
        <f t="shared" si="4"/>
        <v>#N/A</v>
      </c>
      <c r="W318" s="2979"/>
    </row>
    <row r="319" spans="1:23" hidden="1">
      <c r="A319" s="2551">
        <v>1424139</v>
      </c>
      <c r="B319" s="2551" t="s">
        <v>5888</v>
      </c>
      <c r="C319" s="2551">
        <v>10</v>
      </c>
      <c r="D319" s="2551" t="s">
        <v>7367</v>
      </c>
      <c r="E319" s="2550" t="s">
        <v>7215</v>
      </c>
      <c r="F319" s="2551">
        <v>103</v>
      </c>
      <c r="G319" s="2552">
        <v>1822336.45</v>
      </c>
      <c r="H319" s="2552">
        <v>1787344.25</v>
      </c>
      <c r="J319" s="2551">
        <v>10</v>
      </c>
      <c r="K319" s="2553" t="s">
        <v>7292</v>
      </c>
      <c r="L319" s="2551" t="e">
        <f t="shared" si="4"/>
        <v>#N/A</v>
      </c>
      <c r="W319" s="2979"/>
    </row>
    <row r="320" spans="1:23" hidden="1">
      <c r="A320" s="2551">
        <v>1424140</v>
      </c>
      <c r="B320" s="2551" t="s">
        <v>5889</v>
      </c>
      <c r="C320" s="2551">
        <v>10</v>
      </c>
      <c r="D320" s="2551" t="s">
        <v>7367</v>
      </c>
      <c r="E320" s="2550" t="s">
        <v>7215</v>
      </c>
      <c r="F320" s="2551">
        <v>103</v>
      </c>
      <c r="G320" s="2552">
        <v>9911.5</v>
      </c>
      <c r="H320" s="2552">
        <v>9982.2999999999993</v>
      </c>
      <c r="J320" s="2551">
        <v>10</v>
      </c>
      <c r="K320" s="2553" t="s">
        <v>7292</v>
      </c>
      <c r="L320" s="2551" t="e">
        <f t="shared" si="4"/>
        <v>#N/A</v>
      </c>
      <c r="W320" s="2979"/>
    </row>
    <row r="321" spans="1:23" hidden="1">
      <c r="A321" s="2551">
        <v>1424141</v>
      </c>
      <c r="B321" s="2551" t="s">
        <v>5890</v>
      </c>
      <c r="C321" s="2551">
        <v>10</v>
      </c>
      <c r="D321" s="2551" t="s">
        <v>7367</v>
      </c>
      <c r="E321" s="2550" t="s">
        <v>7215</v>
      </c>
      <c r="F321" s="2551">
        <v>103</v>
      </c>
      <c r="G321" s="2552">
        <v>0</v>
      </c>
      <c r="H321" s="2552">
        <v>9982.2999999999993</v>
      </c>
      <c r="J321" s="2551">
        <v>10</v>
      </c>
      <c r="K321" s="2553" t="s">
        <v>7292</v>
      </c>
      <c r="L321" s="2551" t="e">
        <f t="shared" si="4"/>
        <v>#N/A</v>
      </c>
      <c r="W321" s="2979"/>
    </row>
    <row r="322" spans="1:23" hidden="1">
      <c r="A322" s="2551">
        <v>1424143</v>
      </c>
      <c r="B322" s="2551" t="s">
        <v>5891</v>
      </c>
      <c r="C322" s="2551">
        <v>10</v>
      </c>
      <c r="D322" s="2551" t="s">
        <v>7367</v>
      </c>
      <c r="E322" s="2550" t="s">
        <v>7215</v>
      </c>
      <c r="F322" s="2551">
        <v>103</v>
      </c>
      <c r="G322" s="2552">
        <v>0</v>
      </c>
      <c r="H322" s="2552">
        <v>689750</v>
      </c>
      <c r="J322" s="2551">
        <v>10</v>
      </c>
      <c r="K322" s="2553" t="s">
        <v>7292</v>
      </c>
      <c r="L322" s="2551" t="e">
        <f t="shared" si="4"/>
        <v>#N/A</v>
      </c>
      <c r="W322" s="2979"/>
    </row>
    <row r="323" spans="1:23" hidden="1">
      <c r="A323" s="2551">
        <v>1424144</v>
      </c>
      <c r="B323" s="2551" t="s">
        <v>5892</v>
      </c>
      <c r="C323" s="2551">
        <v>10</v>
      </c>
      <c r="D323" s="2551" t="s">
        <v>7367</v>
      </c>
      <c r="E323" s="2550" t="s">
        <v>7215</v>
      </c>
      <c r="F323" s="2551">
        <v>103</v>
      </c>
      <c r="G323" s="2552">
        <v>0</v>
      </c>
      <c r="H323" s="2552">
        <v>39494.25</v>
      </c>
      <c r="J323" s="2551">
        <v>10</v>
      </c>
      <c r="K323" s="2553" t="s">
        <v>7292</v>
      </c>
      <c r="L323" s="2551" t="e">
        <f t="shared" si="4"/>
        <v>#N/A</v>
      </c>
      <c r="W323" s="2979"/>
    </row>
    <row r="324" spans="1:23" hidden="1">
      <c r="A324" s="2551">
        <v>1424146</v>
      </c>
      <c r="B324" s="2551" t="s">
        <v>5893</v>
      </c>
      <c r="C324" s="2551">
        <v>10</v>
      </c>
      <c r="D324" s="2551" t="s">
        <v>7367</v>
      </c>
      <c r="E324" s="2550" t="s">
        <v>7215</v>
      </c>
      <c r="F324" s="2551">
        <v>103</v>
      </c>
      <c r="G324" s="2552">
        <v>-2230054.2999999998</v>
      </c>
      <c r="H324" s="2552">
        <v>178632.95999999999</v>
      </c>
      <c r="J324" s="2551">
        <v>10</v>
      </c>
      <c r="K324" s="2553" t="s">
        <v>7292</v>
      </c>
      <c r="L324" s="2551" t="e">
        <f t="shared" ref="L324:L387" si="5">VLOOKUP(A324,P:P,1,0)</f>
        <v>#N/A</v>
      </c>
      <c r="W324" s="2979"/>
    </row>
    <row r="325" spans="1:23" hidden="1">
      <c r="A325" s="2551">
        <v>1424147</v>
      </c>
      <c r="B325" s="2551" t="s">
        <v>5894</v>
      </c>
      <c r="C325" s="2551">
        <v>10</v>
      </c>
      <c r="D325" s="2551" t="s">
        <v>7367</v>
      </c>
      <c r="E325" s="2550" t="s">
        <v>7215</v>
      </c>
      <c r="F325" s="2551">
        <v>103</v>
      </c>
      <c r="G325" s="2552">
        <v>2868477.49</v>
      </c>
      <c r="H325" s="2552">
        <v>2868477.49</v>
      </c>
      <c r="J325" s="2551">
        <v>10</v>
      </c>
      <c r="K325" s="2553" t="s">
        <v>7292</v>
      </c>
      <c r="L325" s="2551" t="e">
        <f t="shared" si="5"/>
        <v>#N/A</v>
      </c>
      <c r="W325" s="2979"/>
    </row>
    <row r="326" spans="1:23" hidden="1">
      <c r="A326" s="2551">
        <v>1424148</v>
      </c>
      <c r="B326" s="2551" t="s">
        <v>5895</v>
      </c>
      <c r="C326" s="2551">
        <v>10</v>
      </c>
      <c r="D326" s="2551" t="s">
        <v>7367</v>
      </c>
      <c r="E326" s="2550" t="s">
        <v>7215</v>
      </c>
      <c r="F326" s="2551">
        <v>103</v>
      </c>
      <c r="G326" s="2552">
        <v>19261.14</v>
      </c>
      <c r="H326" s="2552">
        <v>19261.14</v>
      </c>
      <c r="J326" s="2551">
        <v>10</v>
      </c>
      <c r="K326" s="2553" t="s">
        <v>7292</v>
      </c>
      <c r="L326" s="2551" t="e">
        <f t="shared" si="5"/>
        <v>#N/A</v>
      </c>
      <c r="W326" s="2979"/>
    </row>
    <row r="327" spans="1:23" hidden="1">
      <c r="A327" s="2551">
        <v>1424149</v>
      </c>
      <c r="B327" s="2551" t="s">
        <v>5896</v>
      </c>
      <c r="C327" s="2551">
        <v>10</v>
      </c>
      <c r="D327" s="2551" t="s">
        <v>7367</v>
      </c>
      <c r="E327" s="2550" t="s">
        <v>7215</v>
      </c>
      <c r="F327" s="2551">
        <v>103</v>
      </c>
      <c r="G327" s="2552">
        <v>-6227779.0499999998</v>
      </c>
      <c r="H327" s="2552">
        <v>2237601.9500000002</v>
      </c>
      <c r="J327" s="2551">
        <v>10</v>
      </c>
      <c r="K327" s="2553" t="s">
        <v>7292</v>
      </c>
      <c r="L327" s="2551" t="e">
        <f t="shared" si="5"/>
        <v>#N/A</v>
      </c>
      <c r="W327" s="2979"/>
    </row>
    <row r="328" spans="1:23" hidden="1">
      <c r="A328" s="2551">
        <v>1424150</v>
      </c>
      <c r="B328" s="2551" t="s">
        <v>5897</v>
      </c>
      <c r="C328" s="2551">
        <v>10</v>
      </c>
      <c r="D328" s="2551" t="s">
        <v>7367</v>
      </c>
      <c r="E328" s="2550" t="s">
        <v>7215</v>
      </c>
      <c r="F328" s="2551">
        <v>103</v>
      </c>
      <c r="G328" s="2552">
        <v>180145</v>
      </c>
      <c r="H328" s="2552">
        <v>180145</v>
      </c>
      <c r="J328" s="2551">
        <v>10</v>
      </c>
      <c r="K328" s="2553" t="s">
        <v>7292</v>
      </c>
      <c r="L328" s="2551" t="e">
        <f t="shared" si="5"/>
        <v>#N/A</v>
      </c>
      <c r="W328" s="2979"/>
    </row>
    <row r="329" spans="1:23" hidden="1">
      <c r="A329" s="2551">
        <v>1424151</v>
      </c>
      <c r="B329" s="2551" t="s">
        <v>5898</v>
      </c>
      <c r="C329" s="2551">
        <v>10</v>
      </c>
      <c r="D329" s="2551" t="s">
        <v>7367</v>
      </c>
      <c r="E329" s="2550" t="s">
        <v>7215</v>
      </c>
      <c r="F329" s="2551">
        <v>103</v>
      </c>
      <c r="G329" s="2552">
        <v>124418698.61</v>
      </c>
      <c r="H329" s="2552">
        <v>1901061.5</v>
      </c>
      <c r="J329" s="2551">
        <v>10</v>
      </c>
      <c r="K329" s="2553" t="s">
        <v>7292</v>
      </c>
      <c r="L329" s="2551" t="e">
        <f t="shared" si="5"/>
        <v>#N/A</v>
      </c>
      <c r="W329" s="2979"/>
    </row>
    <row r="330" spans="1:23" hidden="1">
      <c r="A330" s="2551">
        <v>1424152</v>
      </c>
      <c r="B330" s="2551" t="s">
        <v>5899</v>
      </c>
      <c r="C330" s="2551">
        <v>10</v>
      </c>
      <c r="D330" s="2551" t="s">
        <v>7367</v>
      </c>
      <c r="E330" s="2550" t="s">
        <v>7215</v>
      </c>
      <c r="F330" s="2551">
        <v>103</v>
      </c>
      <c r="G330" s="2552">
        <v>51445.06</v>
      </c>
      <c r="H330" s="2552">
        <v>51445.06</v>
      </c>
      <c r="J330" s="2551">
        <v>10</v>
      </c>
      <c r="K330" s="2553" t="s">
        <v>7292</v>
      </c>
      <c r="L330" s="2551" t="e">
        <f t="shared" si="5"/>
        <v>#N/A</v>
      </c>
      <c r="W330" s="2979"/>
    </row>
    <row r="331" spans="1:23" hidden="1">
      <c r="A331" s="2551">
        <v>1424153</v>
      </c>
      <c r="B331" s="2551" t="s">
        <v>5900</v>
      </c>
      <c r="C331" s="2551">
        <v>10</v>
      </c>
      <c r="D331" s="2551" t="s">
        <v>7367</v>
      </c>
      <c r="E331" s="2550" t="s">
        <v>7215</v>
      </c>
      <c r="F331" s="2551">
        <v>103</v>
      </c>
      <c r="G331" s="2552">
        <v>4185.6000000000004</v>
      </c>
      <c r="H331" s="2552">
        <v>4185.6000000000004</v>
      </c>
      <c r="J331" s="2551">
        <v>10</v>
      </c>
      <c r="K331" s="2553" t="s">
        <v>7292</v>
      </c>
      <c r="L331" s="2551" t="e">
        <f t="shared" si="5"/>
        <v>#N/A</v>
      </c>
      <c r="W331" s="2979"/>
    </row>
    <row r="332" spans="1:23" hidden="1">
      <c r="A332" s="2551">
        <v>1424154</v>
      </c>
      <c r="B332" s="2551" t="s">
        <v>5901</v>
      </c>
      <c r="C332" s="2551">
        <v>10</v>
      </c>
      <c r="D332" s="2551" t="s">
        <v>7367</v>
      </c>
      <c r="E332" s="2550" t="s">
        <v>7215</v>
      </c>
      <c r="F332" s="2551">
        <v>103</v>
      </c>
      <c r="G332" s="2552">
        <v>2686354.49</v>
      </c>
      <c r="H332" s="2552">
        <v>2686354.49</v>
      </c>
      <c r="J332" s="2551">
        <v>10</v>
      </c>
      <c r="K332" s="2553" t="s">
        <v>7292</v>
      </c>
      <c r="L332" s="2551" t="e">
        <f t="shared" si="5"/>
        <v>#N/A</v>
      </c>
      <c r="W332" s="2979"/>
    </row>
    <row r="333" spans="1:23" hidden="1">
      <c r="A333" s="2551">
        <v>1424155</v>
      </c>
      <c r="B333" s="2551" t="s">
        <v>5902</v>
      </c>
      <c r="C333" s="2551">
        <v>10</v>
      </c>
      <c r="D333" s="2551" t="s">
        <v>7367</v>
      </c>
      <c r="E333" s="2550" t="s">
        <v>7215</v>
      </c>
      <c r="F333" s="2551">
        <v>103</v>
      </c>
      <c r="G333" s="2552">
        <v>78706</v>
      </c>
      <c r="H333" s="2552">
        <v>78706</v>
      </c>
      <c r="J333" s="2551">
        <v>10</v>
      </c>
      <c r="K333" s="2553" t="s">
        <v>7292</v>
      </c>
      <c r="L333" s="2551" t="e">
        <f t="shared" si="5"/>
        <v>#N/A</v>
      </c>
      <c r="W333" s="2979"/>
    </row>
    <row r="334" spans="1:23" hidden="1">
      <c r="A334" s="2551">
        <v>1424156</v>
      </c>
      <c r="B334" s="2551" t="s">
        <v>5903</v>
      </c>
      <c r="C334" s="2551">
        <v>10</v>
      </c>
      <c r="D334" s="2551" t="s">
        <v>7367</v>
      </c>
      <c r="E334" s="2550" t="s">
        <v>7215</v>
      </c>
      <c r="F334" s="2551">
        <v>103</v>
      </c>
      <c r="G334" s="2552">
        <v>31096</v>
      </c>
      <c r="H334" s="2552">
        <v>31096</v>
      </c>
      <c r="J334" s="2551">
        <v>10</v>
      </c>
      <c r="K334" s="2553" t="s">
        <v>7292</v>
      </c>
      <c r="L334" s="2551" t="e">
        <f t="shared" si="5"/>
        <v>#N/A</v>
      </c>
      <c r="W334" s="2979"/>
    </row>
    <row r="335" spans="1:23" hidden="1">
      <c r="A335" s="2551">
        <v>1424157</v>
      </c>
      <c r="B335" s="2551" t="s">
        <v>7371</v>
      </c>
      <c r="C335" s="2551">
        <v>10</v>
      </c>
      <c r="D335" s="2551" t="s">
        <v>7367</v>
      </c>
      <c r="E335" s="2550" t="s">
        <v>7215</v>
      </c>
      <c r="F335" s="2551">
        <v>103</v>
      </c>
      <c r="G335" s="2552">
        <v>1701481.15</v>
      </c>
      <c r="H335" s="2552">
        <v>53162.05</v>
      </c>
      <c r="J335" s="2551">
        <v>10</v>
      </c>
      <c r="K335" s="2553" t="s">
        <v>7292</v>
      </c>
      <c r="L335" s="2551" t="e">
        <f t="shared" si="5"/>
        <v>#N/A</v>
      </c>
      <c r="W335" s="2979"/>
    </row>
    <row r="336" spans="1:23" hidden="1">
      <c r="A336" s="2551">
        <v>1424158</v>
      </c>
      <c r="B336" s="2551" t="s">
        <v>7372</v>
      </c>
      <c r="C336" s="2551">
        <v>10</v>
      </c>
      <c r="D336" s="2551" t="s">
        <v>7367</v>
      </c>
      <c r="E336" s="2550" t="s">
        <v>7215</v>
      </c>
      <c r="F336" s="2551">
        <v>103</v>
      </c>
      <c r="G336" s="2552">
        <v>3059103.68</v>
      </c>
      <c r="H336" s="2552">
        <v>3759913.18</v>
      </c>
      <c r="J336" s="2551">
        <v>10</v>
      </c>
      <c r="K336" s="2553" t="s">
        <v>7292</v>
      </c>
      <c r="L336" s="2551" t="e">
        <f t="shared" si="5"/>
        <v>#N/A</v>
      </c>
      <c r="W336" s="2979"/>
    </row>
    <row r="337" spans="1:23" hidden="1">
      <c r="A337" s="2551">
        <v>1424159</v>
      </c>
      <c r="B337" s="2551" t="s">
        <v>7373</v>
      </c>
      <c r="C337" s="2551">
        <v>10</v>
      </c>
      <c r="D337" s="2551" t="s">
        <v>7367</v>
      </c>
      <c r="E337" s="2550" t="s">
        <v>7215</v>
      </c>
      <c r="F337" s="2551">
        <v>103</v>
      </c>
      <c r="G337" s="2552">
        <v>5999622.9699999997</v>
      </c>
      <c r="H337" s="2552">
        <v>5999622.9699999997</v>
      </c>
      <c r="J337" s="2551">
        <v>10</v>
      </c>
      <c r="K337" s="2553" t="s">
        <v>7292</v>
      </c>
      <c r="L337" s="2551" t="e">
        <f t="shared" si="5"/>
        <v>#N/A</v>
      </c>
      <c r="W337" s="2979"/>
    </row>
    <row r="338" spans="1:23" hidden="1">
      <c r="A338" s="2551">
        <v>1424160</v>
      </c>
      <c r="B338" s="2551" t="s">
        <v>7374</v>
      </c>
      <c r="C338" s="2551">
        <v>10</v>
      </c>
      <c r="D338" s="2551" t="s">
        <v>7367</v>
      </c>
      <c r="E338" s="2550" t="s">
        <v>7215</v>
      </c>
      <c r="F338" s="2551">
        <v>103</v>
      </c>
      <c r="G338" s="2552">
        <v>57972.76</v>
      </c>
      <c r="H338" s="2552">
        <v>180118.56</v>
      </c>
      <c r="J338" s="2551">
        <v>10</v>
      </c>
      <c r="K338" s="2553" t="s">
        <v>7292</v>
      </c>
      <c r="L338" s="2551" t="e">
        <f t="shared" si="5"/>
        <v>#N/A</v>
      </c>
      <c r="W338" s="2979"/>
    </row>
    <row r="339" spans="1:23" hidden="1">
      <c r="A339" s="2551">
        <v>1424161</v>
      </c>
      <c r="B339" s="2551" t="s">
        <v>7375</v>
      </c>
      <c r="C339" s="2551">
        <v>10</v>
      </c>
      <c r="D339" s="2551" t="s">
        <v>7367</v>
      </c>
      <c r="E339" s="2550" t="s">
        <v>7215</v>
      </c>
      <c r="F339" s="2551">
        <v>103</v>
      </c>
      <c r="G339" s="2552">
        <v>14000</v>
      </c>
      <c r="H339" s="2552">
        <v>14000</v>
      </c>
      <c r="J339" s="2551">
        <v>10</v>
      </c>
      <c r="K339" s="2553" t="s">
        <v>7292</v>
      </c>
      <c r="L339" s="2551" t="e">
        <f t="shared" si="5"/>
        <v>#N/A</v>
      </c>
      <c r="W339" s="2979"/>
    </row>
    <row r="340" spans="1:23" hidden="1">
      <c r="A340" s="2551">
        <v>1424162</v>
      </c>
      <c r="B340" s="2551" t="s">
        <v>7376</v>
      </c>
      <c r="C340" s="2551">
        <v>10</v>
      </c>
      <c r="D340" s="2551" t="s">
        <v>7367</v>
      </c>
      <c r="E340" s="2550" t="s">
        <v>7215</v>
      </c>
      <c r="F340" s="2551">
        <v>103</v>
      </c>
      <c r="G340" s="2552">
        <v>40786</v>
      </c>
      <c r="H340" s="2552">
        <v>40786</v>
      </c>
      <c r="J340" s="2551">
        <v>10</v>
      </c>
      <c r="K340" s="2553" t="s">
        <v>7292</v>
      </c>
      <c r="L340" s="2551" t="e">
        <f t="shared" si="5"/>
        <v>#N/A</v>
      </c>
      <c r="W340" s="2979"/>
    </row>
    <row r="341" spans="1:23" hidden="1">
      <c r="A341" s="2551">
        <v>1424163</v>
      </c>
      <c r="B341" s="2551" t="s">
        <v>7377</v>
      </c>
      <c r="C341" s="2551">
        <v>10</v>
      </c>
      <c r="D341" s="2551" t="s">
        <v>7367</v>
      </c>
      <c r="E341" s="2550" t="s">
        <v>7215</v>
      </c>
      <c r="F341" s="2551">
        <v>103</v>
      </c>
      <c r="G341" s="2552">
        <v>266434.12</v>
      </c>
      <c r="H341" s="2552">
        <v>266434.12</v>
      </c>
      <c r="J341" s="2551">
        <v>10</v>
      </c>
      <c r="K341" s="2553" t="s">
        <v>7292</v>
      </c>
      <c r="L341" s="2551" t="e">
        <f t="shared" si="5"/>
        <v>#N/A</v>
      </c>
      <c r="W341" s="2979"/>
    </row>
    <row r="342" spans="1:23" hidden="1">
      <c r="A342" s="2551">
        <v>1424164</v>
      </c>
      <c r="B342" s="2551" t="s">
        <v>7378</v>
      </c>
      <c r="C342" s="2551">
        <v>10</v>
      </c>
      <c r="D342" s="2551" t="s">
        <v>7367</v>
      </c>
      <c r="E342" s="2550" t="s">
        <v>7215</v>
      </c>
      <c r="F342" s="2551">
        <v>103</v>
      </c>
      <c r="G342" s="2552">
        <v>193567.87</v>
      </c>
      <c r="H342" s="2552">
        <v>193567.87</v>
      </c>
      <c r="J342" s="2551">
        <v>10</v>
      </c>
      <c r="K342" s="2553" t="s">
        <v>7292</v>
      </c>
      <c r="L342" s="2551" t="e">
        <f t="shared" si="5"/>
        <v>#N/A</v>
      </c>
      <c r="W342" s="2979"/>
    </row>
    <row r="343" spans="1:23" hidden="1">
      <c r="A343" s="2551">
        <v>1424165</v>
      </c>
      <c r="B343" s="2551" t="s">
        <v>7379</v>
      </c>
      <c r="C343" s="2551">
        <v>10</v>
      </c>
      <c r="D343" s="2551" t="s">
        <v>7367</v>
      </c>
      <c r="E343" s="2550" t="s">
        <v>7215</v>
      </c>
      <c r="F343" s="2551">
        <v>103</v>
      </c>
      <c r="G343" s="2552">
        <v>2669982.08</v>
      </c>
      <c r="H343" s="2552">
        <v>2669982.08</v>
      </c>
      <c r="J343" s="2551">
        <v>10</v>
      </c>
      <c r="K343" s="2553" t="s">
        <v>7292</v>
      </c>
      <c r="L343" s="2551" t="e">
        <f t="shared" si="5"/>
        <v>#N/A</v>
      </c>
      <c r="W343" s="2979"/>
    </row>
    <row r="344" spans="1:23" hidden="1">
      <c r="A344" s="2551">
        <v>1424167</v>
      </c>
      <c r="B344" s="2551" t="s">
        <v>7380</v>
      </c>
      <c r="C344" s="2551">
        <v>10</v>
      </c>
      <c r="D344" s="2551" t="s">
        <v>7367</v>
      </c>
      <c r="E344" s="2550" t="s">
        <v>7215</v>
      </c>
      <c r="F344" s="2551">
        <v>103</v>
      </c>
      <c r="G344" s="2552">
        <v>289.10000000000002</v>
      </c>
      <c r="H344" s="2552">
        <v>15021.1</v>
      </c>
      <c r="J344" s="2551">
        <v>10</v>
      </c>
      <c r="K344" s="2553" t="s">
        <v>7292</v>
      </c>
      <c r="L344" s="2551" t="e">
        <f t="shared" si="5"/>
        <v>#N/A</v>
      </c>
      <c r="W344" s="2979"/>
    </row>
    <row r="345" spans="1:23" hidden="1">
      <c r="A345" s="2551">
        <v>1424169</v>
      </c>
      <c r="B345" s="2551" t="s">
        <v>5914</v>
      </c>
      <c r="C345" s="2551">
        <v>10</v>
      </c>
      <c r="D345" s="2551" t="s">
        <v>7367</v>
      </c>
      <c r="E345" s="2550" t="s">
        <v>7215</v>
      </c>
      <c r="F345" s="2551">
        <v>103</v>
      </c>
      <c r="G345" s="2552">
        <v>2173733</v>
      </c>
      <c r="H345" s="2552">
        <v>2173733</v>
      </c>
      <c r="J345" s="2551">
        <v>10</v>
      </c>
      <c r="K345" s="2553" t="s">
        <v>7292</v>
      </c>
      <c r="L345" s="2551" t="e">
        <f t="shared" si="5"/>
        <v>#N/A</v>
      </c>
      <c r="W345" s="2979"/>
    </row>
    <row r="346" spans="1:23" hidden="1">
      <c r="A346" s="2551">
        <v>1424170</v>
      </c>
      <c r="B346" s="2551" t="s">
        <v>5915</v>
      </c>
      <c r="C346" s="2551">
        <v>10</v>
      </c>
      <c r="D346" s="2551" t="s">
        <v>7367</v>
      </c>
      <c r="E346" s="2550" t="s">
        <v>7215</v>
      </c>
      <c r="F346" s="2551">
        <v>103</v>
      </c>
      <c r="G346" s="2552">
        <v>11393</v>
      </c>
      <c r="H346" s="2552">
        <v>11393</v>
      </c>
      <c r="J346" s="2551">
        <v>10</v>
      </c>
      <c r="K346" s="2553" t="s">
        <v>7292</v>
      </c>
      <c r="L346" s="2551" t="e">
        <f t="shared" si="5"/>
        <v>#N/A</v>
      </c>
      <c r="W346" s="2979"/>
    </row>
    <row r="347" spans="1:23" hidden="1">
      <c r="A347" s="2551">
        <v>1424171</v>
      </c>
      <c r="B347" s="2551" t="s">
        <v>5916</v>
      </c>
      <c r="C347" s="2551">
        <v>10</v>
      </c>
      <c r="D347" s="2551" t="s">
        <v>7367</v>
      </c>
      <c r="E347" s="2550" t="s">
        <v>7215</v>
      </c>
      <c r="F347" s="2551">
        <v>103</v>
      </c>
      <c r="G347" s="2552">
        <v>1518750.8</v>
      </c>
      <c r="H347" s="2552">
        <v>1518750.8</v>
      </c>
      <c r="J347" s="2551">
        <v>10</v>
      </c>
      <c r="K347" s="2553" t="s">
        <v>7292</v>
      </c>
      <c r="L347" s="2551" t="e">
        <f t="shared" si="5"/>
        <v>#N/A</v>
      </c>
      <c r="W347" s="2979"/>
    </row>
    <row r="348" spans="1:23" hidden="1">
      <c r="A348" s="2551">
        <v>1424172</v>
      </c>
      <c r="B348" s="2551" t="s">
        <v>5917</v>
      </c>
      <c r="C348" s="2551">
        <v>10</v>
      </c>
      <c r="D348" s="2551" t="s">
        <v>7367</v>
      </c>
      <c r="E348" s="2550" t="s">
        <v>7215</v>
      </c>
      <c r="F348" s="2551">
        <v>103</v>
      </c>
      <c r="G348" s="2552">
        <v>142505.78</v>
      </c>
      <c r="H348" s="2552">
        <v>142505.78</v>
      </c>
      <c r="J348" s="2551">
        <v>10</v>
      </c>
      <c r="K348" s="2553" t="s">
        <v>7292</v>
      </c>
      <c r="L348" s="2551" t="e">
        <f t="shared" si="5"/>
        <v>#N/A</v>
      </c>
      <c r="W348" s="2979"/>
    </row>
    <row r="349" spans="1:23" hidden="1">
      <c r="A349" s="2551">
        <v>1424173</v>
      </c>
      <c r="B349" s="2551" t="s">
        <v>5918</v>
      </c>
      <c r="C349" s="2551">
        <v>10</v>
      </c>
      <c r="D349" s="2551" t="s">
        <v>7367</v>
      </c>
      <c r="E349" s="2550" t="s">
        <v>7215</v>
      </c>
      <c r="F349" s="2551">
        <v>103</v>
      </c>
      <c r="G349" s="2552">
        <v>0</v>
      </c>
      <c r="H349" s="2552">
        <v>40668.6</v>
      </c>
      <c r="J349" s="2551">
        <v>10</v>
      </c>
      <c r="K349" s="2553" t="s">
        <v>7292</v>
      </c>
      <c r="L349" s="2551" t="e">
        <f t="shared" si="5"/>
        <v>#N/A</v>
      </c>
      <c r="W349" s="2979"/>
    </row>
    <row r="350" spans="1:23" hidden="1">
      <c r="A350" s="2551">
        <v>1424174</v>
      </c>
      <c r="B350" s="2551" t="s">
        <v>5919</v>
      </c>
      <c r="C350" s="2551">
        <v>10</v>
      </c>
      <c r="D350" s="2551" t="s">
        <v>7367</v>
      </c>
      <c r="E350" s="2550" t="s">
        <v>7215</v>
      </c>
      <c r="F350" s="2551">
        <v>103</v>
      </c>
      <c r="G350" s="2552">
        <v>151214.23000000001</v>
      </c>
      <c r="H350" s="2552">
        <v>151214.23000000001</v>
      </c>
      <c r="J350" s="2551">
        <v>10</v>
      </c>
      <c r="K350" s="2553" t="s">
        <v>7292</v>
      </c>
      <c r="L350" s="2551" t="e">
        <f t="shared" si="5"/>
        <v>#N/A</v>
      </c>
      <c r="W350" s="2979"/>
    </row>
    <row r="351" spans="1:23" hidden="1">
      <c r="A351" s="2551">
        <v>1424175</v>
      </c>
      <c r="B351" s="2551" t="s">
        <v>5920</v>
      </c>
      <c r="C351" s="2551">
        <v>10</v>
      </c>
      <c r="D351" s="2551" t="s">
        <v>7367</v>
      </c>
      <c r="E351" s="2550" t="s">
        <v>7215</v>
      </c>
      <c r="F351" s="2551">
        <v>103</v>
      </c>
      <c r="G351" s="2552">
        <v>4572.3900000000003</v>
      </c>
      <c r="H351" s="2552">
        <v>4572.3900000000003</v>
      </c>
      <c r="J351" s="2551">
        <v>10</v>
      </c>
      <c r="K351" s="2553" t="s">
        <v>7292</v>
      </c>
      <c r="L351" s="2551" t="e">
        <f t="shared" si="5"/>
        <v>#N/A</v>
      </c>
      <c r="W351" s="2979"/>
    </row>
    <row r="352" spans="1:23" hidden="1">
      <c r="A352" s="2551">
        <v>1424176</v>
      </c>
      <c r="B352" s="2551" t="s">
        <v>5921</v>
      </c>
      <c r="C352" s="2551">
        <v>10</v>
      </c>
      <c r="D352" s="2551" t="s">
        <v>7367</v>
      </c>
      <c r="E352" s="2550" t="s">
        <v>7215</v>
      </c>
      <c r="F352" s="2551">
        <v>103</v>
      </c>
      <c r="G352" s="2552">
        <v>96520.87</v>
      </c>
      <c r="H352" s="2552">
        <v>96520.87</v>
      </c>
      <c r="J352" s="2551">
        <v>10</v>
      </c>
      <c r="K352" s="2553" t="s">
        <v>7292</v>
      </c>
      <c r="L352" s="2551" t="e">
        <f t="shared" si="5"/>
        <v>#N/A</v>
      </c>
      <c r="W352" s="2979"/>
    </row>
    <row r="353" spans="1:23" hidden="1">
      <c r="A353" s="2551">
        <v>1424177</v>
      </c>
      <c r="B353" s="2551" t="s">
        <v>5922</v>
      </c>
      <c r="C353" s="2551">
        <v>10</v>
      </c>
      <c r="D353" s="2551" t="s">
        <v>7367</v>
      </c>
      <c r="E353" s="2550" t="s">
        <v>7215</v>
      </c>
      <c r="F353" s="2551">
        <v>103</v>
      </c>
      <c r="G353" s="2552">
        <v>776279.1</v>
      </c>
      <c r="H353" s="2552">
        <v>776279.1</v>
      </c>
      <c r="J353" s="2551">
        <v>10</v>
      </c>
      <c r="K353" s="2553" t="s">
        <v>7292</v>
      </c>
      <c r="L353" s="2551" t="e">
        <f t="shared" si="5"/>
        <v>#N/A</v>
      </c>
      <c r="W353" s="2979"/>
    </row>
    <row r="354" spans="1:23" hidden="1">
      <c r="A354" s="2551">
        <v>1424178</v>
      </c>
      <c r="B354" s="2551" t="s">
        <v>5923</v>
      </c>
      <c r="C354" s="2551">
        <v>10</v>
      </c>
      <c r="D354" s="2551" t="s">
        <v>7367</v>
      </c>
      <c r="E354" s="2550" t="s">
        <v>7215</v>
      </c>
      <c r="F354" s="2551">
        <v>103</v>
      </c>
      <c r="G354" s="2552">
        <v>90835.85</v>
      </c>
      <c r="H354" s="2552">
        <v>90835.85</v>
      </c>
      <c r="J354" s="2551">
        <v>10</v>
      </c>
      <c r="K354" s="2553" t="s">
        <v>7292</v>
      </c>
      <c r="L354" s="2551" t="e">
        <f t="shared" si="5"/>
        <v>#N/A</v>
      </c>
      <c r="W354" s="2979"/>
    </row>
    <row r="355" spans="1:23" hidden="1">
      <c r="A355" s="2551">
        <v>1424180</v>
      </c>
      <c r="B355" s="2551" t="s">
        <v>5924</v>
      </c>
      <c r="C355" s="2551">
        <v>10</v>
      </c>
      <c r="D355" s="2551" t="s">
        <v>7367</v>
      </c>
      <c r="E355" s="2550" t="s">
        <v>7215</v>
      </c>
      <c r="F355" s="2551">
        <v>103</v>
      </c>
      <c r="G355" s="2552">
        <v>10000</v>
      </c>
      <c r="H355" s="2552">
        <v>10000</v>
      </c>
      <c r="J355" s="2551">
        <v>10</v>
      </c>
      <c r="K355" s="2553" t="s">
        <v>7292</v>
      </c>
      <c r="L355" s="2551" t="e">
        <f t="shared" si="5"/>
        <v>#N/A</v>
      </c>
      <c r="W355" s="2979"/>
    </row>
    <row r="356" spans="1:23" hidden="1">
      <c r="A356" s="2551">
        <v>1424181</v>
      </c>
      <c r="B356" s="2551" t="s">
        <v>5925</v>
      </c>
      <c r="C356" s="2551">
        <v>10</v>
      </c>
      <c r="D356" s="2551" t="s">
        <v>7367</v>
      </c>
      <c r="E356" s="2550" t="s">
        <v>7215</v>
      </c>
      <c r="F356" s="2551">
        <v>103</v>
      </c>
      <c r="G356" s="2552">
        <v>6299.86</v>
      </c>
      <c r="H356" s="2552">
        <v>6299.86</v>
      </c>
      <c r="J356" s="2551">
        <v>10</v>
      </c>
      <c r="K356" s="2553" t="s">
        <v>7292</v>
      </c>
      <c r="L356" s="2551" t="e">
        <f t="shared" si="5"/>
        <v>#N/A</v>
      </c>
      <c r="W356" s="2979"/>
    </row>
    <row r="357" spans="1:23" hidden="1">
      <c r="A357" s="2551">
        <v>1424182</v>
      </c>
      <c r="B357" s="2551" t="s">
        <v>5926</v>
      </c>
      <c r="C357" s="2551">
        <v>10</v>
      </c>
      <c r="D357" s="2551" t="s">
        <v>7367</v>
      </c>
      <c r="E357" s="2550" t="s">
        <v>7215</v>
      </c>
      <c r="F357" s="2551">
        <v>103</v>
      </c>
      <c r="G357" s="2552">
        <v>267383.77</v>
      </c>
      <c r="H357" s="2552">
        <v>267383.77</v>
      </c>
      <c r="J357" s="2551">
        <v>10</v>
      </c>
      <c r="K357" s="2553" t="s">
        <v>7292</v>
      </c>
      <c r="L357" s="2551" t="e">
        <f t="shared" si="5"/>
        <v>#N/A</v>
      </c>
      <c r="W357" s="2979"/>
    </row>
    <row r="358" spans="1:23" hidden="1">
      <c r="A358" s="2551">
        <v>1424183</v>
      </c>
      <c r="B358" s="2551" t="s">
        <v>5927</v>
      </c>
      <c r="C358" s="2551">
        <v>10</v>
      </c>
      <c r="D358" s="2551" t="s">
        <v>7367</v>
      </c>
      <c r="E358" s="2550" t="s">
        <v>7215</v>
      </c>
      <c r="F358" s="2551">
        <v>103</v>
      </c>
      <c r="G358" s="2552">
        <v>10752.1</v>
      </c>
      <c r="H358" s="2552">
        <v>10752.1</v>
      </c>
      <c r="J358" s="2551">
        <v>10</v>
      </c>
      <c r="K358" s="2553" t="s">
        <v>7292</v>
      </c>
      <c r="L358" s="2551" t="e">
        <f t="shared" si="5"/>
        <v>#N/A</v>
      </c>
      <c r="W358" s="2979"/>
    </row>
    <row r="359" spans="1:23" hidden="1">
      <c r="A359" s="2551">
        <v>1424184</v>
      </c>
      <c r="B359" s="2551" t="s">
        <v>5928</v>
      </c>
      <c r="C359" s="2551">
        <v>10</v>
      </c>
      <c r="D359" s="2551" t="s">
        <v>7367</v>
      </c>
      <c r="E359" s="2550" t="s">
        <v>7215</v>
      </c>
      <c r="F359" s="2551">
        <v>103</v>
      </c>
      <c r="G359" s="2552">
        <v>1832107.35</v>
      </c>
      <c r="H359" s="2552">
        <v>1832107.35</v>
      </c>
      <c r="J359" s="2551">
        <v>10</v>
      </c>
      <c r="K359" s="2553" t="s">
        <v>7292</v>
      </c>
      <c r="L359" s="2551" t="e">
        <f t="shared" si="5"/>
        <v>#N/A</v>
      </c>
      <c r="W359" s="2979"/>
    </row>
    <row r="360" spans="1:23" hidden="1">
      <c r="A360" s="2551">
        <v>1424185</v>
      </c>
      <c r="B360" s="2551" t="s">
        <v>5929</v>
      </c>
      <c r="C360" s="2551">
        <v>10</v>
      </c>
      <c r="D360" s="2551" t="s">
        <v>7367</v>
      </c>
      <c r="E360" s="2550" t="s">
        <v>7215</v>
      </c>
      <c r="F360" s="2551">
        <v>103</v>
      </c>
      <c r="G360" s="2552">
        <v>1980410</v>
      </c>
      <c r="H360" s="2552">
        <v>1980410</v>
      </c>
      <c r="J360" s="2551">
        <v>10</v>
      </c>
      <c r="K360" s="2553" t="s">
        <v>7292</v>
      </c>
      <c r="L360" s="2551" t="e">
        <f t="shared" si="5"/>
        <v>#N/A</v>
      </c>
      <c r="W360" s="2979"/>
    </row>
    <row r="361" spans="1:23" hidden="1">
      <c r="A361" s="2551">
        <v>1424186</v>
      </c>
      <c r="B361" s="2551" t="s">
        <v>5930</v>
      </c>
      <c r="C361" s="2551">
        <v>10</v>
      </c>
      <c r="D361" s="2551" t="s">
        <v>7367</v>
      </c>
      <c r="E361" s="2550" t="s">
        <v>7215</v>
      </c>
      <c r="F361" s="2551">
        <v>103</v>
      </c>
      <c r="G361" s="2552">
        <v>34744.839999999997</v>
      </c>
      <c r="H361" s="2552">
        <v>34744.839999999997</v>
      </c>
      <c r="J361" s="2551">
        <v>10</v>
      </c>
      <c r="K361" s="2553" t="s">
        <v>7292</v>
      </c>
      <c r="L361" s="2551" t="e">
        <f t="shared" si="5"/>
        <v>#N/A</v>
      </c>
      <c r="W361" s="2979"/>
    </row>
    <row r="362" spans="1:23" hidden="1">
      <c r="A362" s="2551">
        <v>1424187</v>
      </c>
      <c r="B362" s="2551" t="s">
        <v>7381</v>
      </c>
      <c r="C362" s="2551">
        <v>10</v>
      </c>
      <c r="D362" s="2551" t="s">
        <v>7367</v>
      </c>
      <c r="E362" s="2550" t="s">
        <v>7215</v>
      </c>
      <c r="F362" s="2551">
        <v>103</v>
      </c>
      <c r="G362" s="2552">
        <v>10713.28</v>
      </c>
      <c r="H362" s="2552">
        <v>10713.28</v>
      </c>
      <c r="J362" s="2551">
        <v>10</v>
      </c>
      <c r="K362" s="2553" t="s">
        <v>7292</v>
      </c>
      <c r="L362" s="2551" t="e">
        <f t="shared" si="5"/>
        <v>#N/A</v>
      </c>
      <c r="W362" s="2979"/>
    </row>
    <row r="363" spans="1:23" hidden="1">
      <c r="A363" s="2551">
        <v>1424188</v>
      </c>
      <c r="B363" s="2551" t="s">
        <v>5932</v>
      </c>
      <c r="C363" s="2551">
        <v>10</v>
      </c>
      <c r="D363" s="2551" t="s">
        <v>7367</v>
      </c>
      <c r="E363" s="2550" t="s">
        <v>7215</v>
      </c>
      <c r="F363" s="2551">
        <v>103</v>
      </c>
      <c r="G363" s="2552">
        <v>39841.22</v>
      </c>
      <c r="H363" s="2552">
        <v>39841.22</v>
      </c>
      <c r="J363" s="2551">
        <v>10</v>
      </c>
      <c r="K363" s="2553" t="s">
        <v>7292</v>
      </c>
      <c r="L363" s="2551" t="e">
        <f t="shared" si="5"/>
        <v>#N/A</v>
      </c>
      <c r="W363" s="2979"/>
    </row>
    <row r="364" spans="1:23" hidden="1">
      <c r="A364" s="2551">
        <v>1424189</v>
      </c>
      <c r="B364" s="2551" t="s">
        <v>5933</v>
      </c>
      <c r="C364" s="2551">
        <v>10</v>
      </c>
      <c r="D364" s="2551" t="s">
        <v>7367</v>
      </c>
      <c r="E364" s="2550" t="s">
        <v>7215</v>
      </c>
      <c r="F364" s="2551">
        <v>103</v>
      </c>
      <c r="G364" s="2552">
        <v>10255.08</v>
      </c>
      <c r="H364" s="2552">
        <v>10255.08</v>
      </c>
      <c r="J364" s="2551">
        <v>10</v>
      </c>
      <c r="K364" s="2553" t="s">
        <v>7292</v>
      </c>
      <c r="L364" s="2551" t="e">
        <f t="shared" si="5"/>
        <v>#N/A</v>
      </c>
      <c r="W364" s="2979"/>
    </row>
    <row r="365" spans="1:23" hidden="1">
      <c r="A365" s="2551">
        <v>1424190</v>
      </c>
      <c r="B365" s="2551" t="s">
        <v>5934</v>
      </c>
      <c r="C365" s="2551">
        <v>10</v>
      </c>
      <c r="D365" s="2551" t="s">
        <v>7367</v>
      </c>
      <c r="E365" s="2550" t="s">
        <v>7215</v>
      </c>
      <c r="F365" s="2551">
        <v>103</v>
      </c>
      <c r="G365" s="2552">
        <v>2474516.35</v>
      </c>
      <c r="H365" s="2552">
        <v>2474516.35</v>
      </c>
      <c r="J365" s="2551">
        <v>10</v>
      </c>
      <c r="K365" s="2553" t="s">
        <v>7292</v>
      </c>
      <c r="L365" s="2551" t="e">
        <f t="shared" si="5"/>
        <v>#N/A</v>
      </c>
      <c r="W365" s="2979"/>
    </row>
    <row r="366" spans="1:23" hidden="1">
      <c r="A366" s="2551">
        <v>1424191</v>
      </c>
      <c r="B366" s="2551" t="s">
        <v>5935</v>
      </c>
      <c r="C366" s="2551">
        <v>10</v>
      </c>
      <c r="D366" s="2551" t="s">
        <v>7367</v>
      </c>
      <c r="E366" s="2550" t="s">
        <v>7215</v>
      </c>
      <c r="F366" s="2551">
        <v>103</v>
      </c>
      <c r="G366" s="2552">
        <v>1670012.36</v>
      </c>
      <c r="H366" s="2552">
        <v>1670012.36</v>
      </c>
      <c r="J366" s="2551">
        <v>10</v>
      </c>
      <c r="K366" s="2553" t="s">
        <v>7292</v>
      </c>
      <c r="L366" s="2551" t="e">
        <f t="shared" si="5"/>
        <v>#N/A</v>
      </c>
      <c r="W366" s="2979"/>
    </row>
    <row r="367" spans="1:23" hidden="1">
      <c r="A367" s="2551">
        <v>1424192</v>
      </c>
      <c r="B367" s="2551" t="s">
        <v>5936</v>
      </c>
      <c r="C367" s="2551">
        <v>10</v>
      </c>
      <c r="D367" s="2551" t="s">
        <v>7367</v>
      </c>
      <c r="E367" s="2550" t="s">
        <v>7215</v>
      </c>
      <c r="F367" s="2551">
        <v>103</v>
      </c>
      <c r="G367" s="2552">
        <v>8761</v>
      </c>
      <c r="H367" s="2552">
        <v>8761</v>
      </c>
      <c r="J367" s="2551">
        <v>10</v>
      </c>
      <c r="K367" s="2553" t="s">
        <v>7292</v>
      </c>
      <c r="L367" s="2551" t="e">
        <f t="shared" si="5"/>
        <v>#N/A</v>
      </c>
      <c r="W367" s="2979"/>
    </row>
    <row r="368" spans="1:23" hidden="1">
      <c r="A368" s="2551">
        <v>1424193</v>
      </c>
      <c r="B368" s="2551" t="s">
        <v>5937</v>
      </c>
      <c r="C368" s="2551">
        <v>10</v>
      </c>
      <c r="D368" s="2551" t="s">
        <v>7367</v>
      </c>
      <c r="E368" s="2550" t="s">
        <v>7215</v>
      </c>
      <c r="F368" s="2551">
        <v>103</v>
      </c>
      <c r="G368" s="2552">
        <v>2493.1</v>
      </c>
      <c r="H368" s="2552">
        <v>2493.1</v>
      </c>
      <c r="J368" s="2551">
        <v>10</v>
      </c>
      <c r="K368" s="2553" t="s">
        <v>7292</v>
      </c>
      <c r="L368" s="2551" t="e">
        <f t="shared" si="5"/>
        <v>#N/A</v>
      </c>
      <c r="W368" s="2979"/>
    </row>
    <row r="369" spans="1:23" hidden="1">
      <c r="A369" s="2551">
        <v>1424194</v>
      </c>
      <c r="B369" s="2551" t="s">
        <v>5938</v>
      </c>
      <c r="C369" s="2551">
        <v>10</v>
      </c>
      <c r="D369" s="2551" t="s">
        <v>7367</v>
      </c>
      <c r="E369" s="2550" t="s">
        <v>7215</v>
      </c>
      <c r="F369" s="2551">
        <v>103</v>
      </c>
      <c r="G369" s="2552">
        <v>31345.53</v>
      </c>
      <c r="H369" s="2552">
        <v>31345.53</v>
      </c>
      <c r="J369" s="2551">
        <v>10</v>
      </c>
      <c r="K369" s="2553" t="s">
        <v>7292</v>
      </c>
      <c r="L369" s="2551" t="e">
        <f t="shared" si="5"/>
        <v>#N/A</v>
      </c>
      <c r="W369" s="2979"/>
    </row>
    <row r="370" spans="1:23" hidden="1">
      <c r="A370" s="2551">
        <v>1424195</v>
      </c>
      <c r="B370" s="2551" t="s">
        <v>5939</v>
      </c>
      <c r="C370" s="2551">
        <v>10</v>
      </c>
      <c r="D370" s="2551" t="s">
        <v>7367</v>
      </c>
      <c r="E370" s="2550" t="s">
        <v>7215</v>
      </c>
      <c r="F370" s="2551">
        <v>103</v>
      </c>
      <c r="G370" s="2552">
        <v>954008.4</v>
      </c>
      <c r="H370" s="2552">
        <v>954008.4</v>
      </c>
      <c r="J370" s="2551">
        <v>10</v>
      </c>
      <c r="K370" s="2553" t="s">
        <v>7292</v>
      </c>
      <c r="L370" s="2551" t="e">
        <f t="shared" si="5"/>
        <v>#N/A</v>
      </c>
      <c r="W370" s="2979"/>
    </row>
    <row r="371" spans="1:23" hidden="1">
      <c r="A371" s="2551">
        <v>1424196</v>
      </c>
      <c r="B371" s="2551" t="s">
        <v>5940</v>
      </c>
      <c r="C371" s="2551">
        <v>10</v>
      </c>
      <c r="D371" s="2551" t="s">
        <v>7367</v>
      </c>
      <c r="E371" s="2550" t="s">
        <v>7215</v>
      </c>
      <c r="F371" s="2551">
        <v>103</v>
      </c>
      <c r="G371" s="2552">
        <v>215624.24</v>
      </c>
      <c r="H371" s="2552">
        <v>215624.24</v>
      </c>
      <c r="J371" s="2551">
        <v>10</v>
      </c>
      <c r="K371" s="2553" t="s">
        <v>7292</v>
      </c>
      <c r="L371" s="2551" t="e">
        <f t="shared" si="5"/>
        <v>#N/A</v>
      </c>
      <c r="W371" s="2979"/>
    </row>
    <row r="372" spans="1:23" hidden="1">
      <c r="A372" s="2551">
        <v>1424197</v>
      </c>
      <c r="B372" s="2551" t="s">
        <v>5941</v>
      </c>
      <c r="C372" s="2551">
        <v>10</v>
      </c>
      <c r="D372" s="2551" t="s">
        <v>7367</v>
      </c>
      <c r="E372" s="2550" t="s">
        <v>7215</v>
      </c>
      <c r="F372" s="2551">
        <v>103</v>
      </c>
      <c r="G372" s="2552">
        <v>1862255</v>
      </c>
      <c r="H372" s="2552">
        <v>1862255</v>
      </c>
      <c r="J372" s="2551">
        <v>10</v>
      </c>
      <c r="K372" s="2553" t="s">
        <v>7292</v>
      </c>
      <c r="L372" s="2551" t="e">
        <f t="shared" si="5"/>
        <v>#N/A</v>
      </c>
      <c r="W372" s="2979"/>
    </row>
    <row r="373" spans="1:23" hidden="1">
      <c r="A373" s="2551">
        <v>1424198</v>
      </c>
      <c r="B373" s="2551" t="s">
        <v>5942</v>
      </c>
      <c r="C373" s="2551">
        <v>10</v>
      </c>
      <c r="D373" s="2551" t="s">
        <v>7367</v>
      </c>
      <c r="E373" s="2550" t="s">
        <v>7215</v>
      </c>
      <c r="F373" s="2551">
        <v>103</v>
      </c>
      <c r="G373" s="2552">
        <v>707823.63</v>
      </c>
      <c r="H373" s="2552">
        <v>707823.63</v>
      </c>
      <c r="J373" s="2551">
        <v>10</v>
      </c>
      <c r="K373" s="2553" t="s">
        <v>7292</v>
      </c>
      <c r="L373" s="2551" t="e">
        <f t="shared" si="5"/>
        <v>#N/A</v>
      </c>
      <c r="W373" s="2979"/>
    </row>
    <row r="374" spans="1:23" hidden="1">
      <c r="A374" s="2551">
        <v>1424199</v>
      </c>
      <c r="B374" s="2551" t="s">
        <v>5943</v>
      </c>
      <c r="C374" s="2551">
        <v>10</v>
      </c>
      <c r="D374" s="2551" t="s">
        <v>7367</v>
      </c>
      <c r="E374" s="2550" t="s">
        <v>7215</v>
      </c>
      <c r="F374" s="2551">
        <v>103</v>
      </c>
      <c r="G374" s="2552">
        <v>131963.5</v>
      </c>
      <c r="H374" s="2552">
        <v>131963.5</v>
      </c>
      <c r="J374" s="2551">
        <v>10</v>
      </c>
      <c r="K374" s="2553" t="s">
        <v>7292</v>
      </c>
      <c r="L374" s="2551" t="e">
        <f t="shared" si="5"/>
        <v>#N/A</v>
      </c>
      <c r="W374" s="2979"/>
    </row>
    <row r="375" spans="1:23" hidden="1">
      <c r="A375" s="2551">
        <v>1424211</v>
      </c>
      <c r="B375" s="2551" t="s">
        <v>7382</v>
      </c>
      <c r="C375" s="2551">
        <v>10</v>
      </c>
      <c r="D375" s="2551" t="s">
        <v>7367</v>
      </c>
      <c r="E375" s="2550" t="s">
        <v>7215</v>
      </c>
      <c r="F375" s="2551">
        <v>103</v>
      </c>
      <c r="G375" s="2552">
        <v>0</v>
      </c>
      <c r="H375" s="2552">
        <v>-519437</v>
      </c>
      <c r="J375" s="2551">
        <v>10</v>
      </c>
      <c r="K375" s="2553" t="s">
        <v>7292</v>
      </c>
      <c r="L375" s="2551" t="e">
        <f t="shared" si="5"/>
        <v>#N/A</v>
      </c>
      <c r="W375" s="2979"/>
    </row>
    <row r="376" spans="1:23" hidden="1">
      <c r="A376" s="2551">
        <v>1424212</v>
      </c>
      <c r="B376" s="2551" t="s">
        <v>7383</v>
      </c>
      <c r="C376" s="2551">
        <v>3</v>
      </c>
      <c r="D376" s="2551" t="s">
        <v>7368</v>
      </c>
      <c r="E376" s="2550" t="s">
        <v>7215</v>
      </c>
      <c r="F376" s="2551">
        <v>76</v>
      </c>
      <c r="G376" s="2551">
        <v>0</v>
      </c>
      <c r="H376" s="2559">
        <v>2403544656.5500002</v>
      </c>
      <c r="J376" s="2551">
        <v>19</v>
      </c>
      <c r="K376" s="2553" t="s">
        <v>7369</v>
      </c>
      <c r="L376" s="2551" t="e">
        <f t="shared" si="5"/>
        <v>#N/A</v>
      </c>
      <c r="W376" s="2979"/>
    </row>
    <row r="377" spans="1:23" hidden="1">
      <c r="A377" s="2551">
        <v>1424213</v>
      </c>
      <c r="B377" s="2551" t="s">
        <v>7384</v>
      </c>
      <c r="C377" s="2551">
        <v>3</v>
      </c>
      <c r="D377" s="2551" t="s">
        <v>7368</v>
      </c>
      <c r="E377" s="2550" t="s">
        <v>7215</v>
      </c>
      <c r="F377" s="2551">
        <v>76</v>
      </c>
      <c r="G377" s="2551">
        <v>0</v>
      </c>
      <c r="H377" s="2559">
        <v>2610575</v>
      </c>
      <c r="J377" s="2551">
        <v>19</v>
      </c>
      <c r="K377" s="2553" t="s">
        <v>7369</v>
      </c>
      <c r="L377" s="2551" t="e">
        <f t="shared" si="5"/>
        <v>#N/A</v>
      </c>
      <c r="W377" s="2979"/>
    </row>
    <row r="378" spans="1:23" hidden="1">
      <c r="A378" s="2551">
        <v>1424214</v>
      </c>
      <c r="B378" s="2551" t="s">
        <v>7385</v>
      </c>
      <c r="C378" s="2551">
        <v>3</v>
      </c>
      <c r="D378" s="2551" t="s">
        <v>7368</v>
      </c>
      <c r="E378" s="2550" t="s">
        <v>7215</v>
      </c>
      <c r="F378" s="2551">
        <v>76</v>
      </c>
      <c r="G378" s="2551">
        <v>0</v>
      </c>
      <c r="H378" s="2559">
        <v>761722</v>
      </c>
      <c r="J378" s="2551">
        <v>19</v>
      </c>
      <c r="K378" s="2553" t="s">
        <v>7369</v>
      </c>
      <c r="L378" s="2551" t="e">
        <f t="shared" si="5"/>
        <v>#N/A</v>
      </c>
      <c r="W378" s="2979"/>
    </row>
    <row r="379" spans="1:23" hidden="1">
      <c r="A379" s="2551">
        <v>1424221</v>
      </c>
      <c r="B379" s="2551" t="s">
        <v>5959</v>
      </c>
      <c r="C379" s="2551">
        <v>10</v>
      </c>
      <c r="D379" s="2551" t="s">
        <v>7367</v>
      </c>
      <c r="E379" s="2550" t="s">
        <v>7215</v>
      </c>
      <c r="F379" s="2551">
        <v>103</v>
      </c>
      <c r="G379" s="2552">
        <v>2625883</v>
      </c>
      <c r="H379" s="2552">
        <v>0</v>
      </c>
      <c r="J379" s="2551">
        <v>10</v>
      </c>
      <c r="K379" s="2553" t="s">
        <v>7292</v>
      </c>
      <c r="L379" s="2551" t="e">
        <f t="shared" si="5"/>
        <v>#N/A</v>
      </c>
      <c r="W379" s="2979"/>
    </row>
    <row r="380" spans="1:23" hidden="1">
      <c r="A380" s="2551">
        <v>1424224</v>
      </c>
      <c r="B380" s="2551" t="s">
        <v>5962</v>
      </c>
      <c r="C380" s="2551">
        <v>10</v>
      </c>
      <c r="D380" s="2551" t="s">
        <v>7367</v>
      </c>
      <c r="E380" s="2550" t="s">
        <v>7215</v>
      </c>
      <c r="F380" s="2551">
        <v>103</v>
      </c>
      <c r="G380" s="2552">
        <v>4517</v>
      </c>
      <c r="H380" s="2552">
        <v>0</v>
      </c>
      <c r="J380" s="2551">
        <v>10</v>
      </c>
      <c r="K380" s="2553" t="s">
        <v>7292</v>
      </c>
      <c r="L380" s="2551" t="e">
        <f t="shared" si="5"/>
        <v>#N/A</v>
      </c>
      <c r="W380" s="2979"/>
    </row>
    <row r="381" spans="1:23" hidden="1">
      <c r="A381" s="2551">
        <v>1424225</v>
      </c>
      <c r="B381" s="2551" t="s">
        <v>7386</v>
      </c>
      <c r="C381" s="2551">
        <v>10</v>
      </c>
      <c r="D381" s="2551" t="s">
        <v>7367</v>
      </c>
      <c r="E381" s="2550" t="s">
        <v>7215</v>
      </c>
      <c r="F381" s="2551">
        <v>103</v>
      </c>
      <c r="G381" s="2552">
        <v>0</v>
      </c>
      <c r="H381" s="2552">
        <v>112538721.92</v>
      </c>
      <c r="J381" s="2551">
        <v>10</v>
      </c>
      <c r="K381" s="2553" t="s">
        <v>7292</v>
      </c>
      <c r="L381" s="2551" t="e">
        <f t="shared" si="5"/>
        <v>#N/A</v>
      </c>
      <c r="W381" s="2979"/>
    </row>
    <row r="382" spans="1:23" hidden="1">
      <c r="A382" s="2551">
        <v>1424226</v>
      </c>
      <c r="B382" s="2551" t="s">
        <v>5964</v>
      </c>
      <c r="C382" s="2551">
        <v>10</v>
      </c>
      <c r="D382" s="2551" t="s">
        <v>7367</v>
      </c>
      <c r="E382" s="2550" t="s">
        <v>7215</v>
      </c>
      <c r="F382" s="2551">
        <v>103</v>
      </c>
      <c r="G382" s="2552">
        <v>8151664</v>
      </c>
      <c r="H382" s="2552">
        <v>13482475</v>
      </c>
      <c r="J382" s="2551">
        <v>10</v>
      </c>
      <c r="K382" s="2553" t="s">
        <v>7292</v>
      </c>
      <c r="L382" s="2551" t="e">
        <f t="shared" si="5"/>
        <v>#N/A</v>
      </c>
      <c r="W382" s="2979"/>
    </row>
    <row r="383" spans="1:23" hidden="1">
      <c r="A383" s="2551">
        <v>1424227</v>
      </c>
      <c r="B383" s="2551" t="s">
        <v>7387</v>
      </c>
      <c r="C383" s="2551">
        <v>10</v>
      </c>
      <c r="D383" s="2551" t="s">
        <v>7367</v>
      </c>
      <c r="E383" s="2550" t="s">
        <v>7215</v>
      </c>
      <c r="F383" s="2551">
        <v>103</v>
      </c>
      <c r="G383" s="2552">
        <v>1416139809.71</v>
      </c>
      <c r="H383" s="2552">
        <v>273804711</v>
      </c>
      <c r="J383" s="2551">
        <v>10</v>
      </c>
      <c r="K383" s="2553" t="s">
        <v>7292</v>
      </c>
      <c r="L383" s="2551" t="e">
        <f t="shared" si="5"/>
        <v>#N/A</v>
      </c>
      <c r="W383" s="2979"/>
    </row>
    <row r="384" spans="1:23" hidden="1">
      <c r="A384" s="2551">
        <v>1424228</v>
      </c>
      <c r="B384" s="2551" t="s">
        <v>7370</v>
      </c>
      <c r="C384" s="2551">
        <v>10</v>
      </c>
      <c r="D384" s="2551" t="s">
        <v>7367</v>
      </c>
      <c r="E384" s="2550" t="s">
        <v>7215</v>
      </c>
      <c r="F384" s="2551">
        <v>103</v>
      </c>
      <c r="G384" s="2552">
        <v>29659926.41</v>
      </c>
      <c r="H384" s="2552">
        <v>8031943</v>
      </c>
      <c r="J384" s="2551">
        <v>10</v>
      </c>
      <c r="K384" s="2553" t="s">
        <v>7292</v>
      </c>
      <c r="L384" s="2551" t="e">
        <f t="shared" si="5"/>
        <v>#N/A</v>
      </c>
      <c r="W384" s="2979"/>
    </row>
    <row r="385" spans="1:23" hidden="1">
      <c r="A385" s="2551">
        <v>1424231</v>
      </c>
      <c r="B385" s="2551" t="s">
        <v>5967</v>
      </c>
      <c r="C385" s="2551">
        <v>10</v>
      </c>
      <c r="D385" s="2551" t="s">
        <v>7367</v>
      </c>
      <c r="E385" s="2550" t="s">
        <v>7215</v>
      </c>
      <c r="F385" s="2551">
        <v>103</v>
      </c>
      <c r="G385" s="2552">
        <v>2831</v>
      </c>
      <c r="H385" s="2552">
        <v>1411</v>
      </c>
      <c r="J385" s="2551">
        <v>10</v>
      </c>
      <c r="K385" s="2553" t="s">
        <v>7292</v>
      </c>
      <c r="L385" s="2551" t="e">
        <f t="shared" si="5"/>
        <v>#N/A</v>
      </c>
      <c r="W385" s="2979"/>
    </row>
    <row r="386" spans="1:23" hidden="1">
      <c r="A386" s="2551">
        <v>1424233</v>
      </c>
      <c r="B386" s="2551" t="s">
        <v>7388</v>
      </c>
      <c r="C386" s="2551">
        <v>10</v>
      </c>
      <c r="D386" s="2551" t="s">
        <v>7367</v>
      </c>
      <c r="E386" s="2550" t="s">
        <v>7215</v>
      </c>
      <c r="F386" s="2551">
        <v>103</v>
      </c>
      <c r="G386" s="2552">
        <v>707024173.53999996</v>
      </c>
      <c r="H386" s="2552">
        <v>145941599.88</v>
      </c>
      <c r="J386" s="2551">
        <v>10</v>
      </c>
      <c r="K386" s="2553" t="s">
        <v>7292</v>
      </c>
      <c r="L386" s="2551" t="e">
        <f t="shared" si="5"/>
        <v>#N/A</v>
      </c>
      <c r="W386" s="2979"/>
    </row>
    <row r="387" spans="1:23" hidden="1">
      <c r="A387" s="2551">
        <v>1424234</v>
      </c>
      <c r="B387" s="2551" t="s">
        <v>7389</v>
      </c>
      <c r="C387" s="2551">
        <v>10</v>
      </c>
      <c r="D387" s="2551" t="s">
        <v>7367</v>
      </c>
      <c r="E387" s="2550" t="s">
        <v>7215</v>
      </c>
      <c r="F387" s="2551">
        <v>103</v>
      </c>
      <c r="G387" s="2552">
        <v>18802549</v>
      </c>
      <c r="H387" s="2552">
        <v>0</v>
      </c>
      <c r="J387" s="2551">
        <v>10</v>
      </c>
      <c r="K387" s="2553" t="s">
        <v>7292</v>
      </c>
      <c r="L387" s="2551" t="e">
        <f t="shared" si="5"/>
        <v>#N/A</v>
      </c>
      <c r="W387" s="2979"/>
    </row>
    <row r="388" spans="1:23" hidden="1">
      <c r="A388" s="2551">
        <v>1424235</v>
      </c>
      <c r="B388" s="2551" t="s">
        <v>7390</v>
      </c>
      <c r="C388" s="2551">
        <v>10</v>
      </c>
      <c r="D388" s="2551" t="s">
        <v>7367</v>
      </c>
      <c r="E388" s="2550" t="s">
        <v>7215</v>
      </c>
      <c r="F388" s="2551">
        <v>103</v>
      </c>
      <c r="G388" s="2552">
        <v>13942889.630000001</v>
      </c>
      <c r="H388" s="2552">
        <v>0</v>
      </c>
      <c r="J388" s="2551">
        <v>10</v>
      </c>
      <c r="K388" s="2553" t="s">
        <v>7292</v>
      </c>
      <c r="L388" s="2551" t="e">
        <f t="shared" ref="L388:L451" si="6">VLOOKUP(A388,P:P,1,0)</f>
        <v>#N/A</v>
      </c>
      <c r="W388" s="2979"/>
    </row>
    <row r="389" spans="1:23" hidden="1">
      <c r="A389" s="2551">
        <v>1424238</v>
      </c>
      <c r="B389" s="2551" t="s">
        <v>7391</v>
      </c>
      <c r="C389" s="2551">
        <v>10</v>
      </c>
      <c r="D389" s="2551" t="s">
        <v>7367</v>
      </c>
      <c r="E389" s="2550" t="s">
        <v>7215</v>
      </c>
      <c r="F389" s="2551">
        <v>103</v>
      </c>
      <c r="G389" s="2552">
        <v>8491324</v>
      </c>
      <c r="H389" s="2552">
        <v>79433935.310000002</v>
      </c>
      <c r="J389" s="2551">
        <v>10</v>
      </c>
      <c r="K389" s="2553" t="s">
        <v>7292</v>
      </c>
      <c r="L389" s="2551" t="e">
        <f t="shared" si="6"/>
        <v>#N/A</v>
      </c>
      <c r="W389" s="2979"/>
    </row>
    <row r="390" spans="1:23" hidden="1">
      <c r="A390" s="2551">
        <v>1424246</v>
      </c>
      <c r="B390" s="2551" t="s">
        <v>7392</v>
      </c>
      <c r="C390" s="2551">
        <v>10</v>
      </c>
      <c r="D390" s="2551" t="s">
        <v>7367</v>
      </c>
      <c r="E390" s="2550" t="s">
        <v>7215</v>
      </c>
      <c r="F390" s="2551">
        <v>103</v>
      </c>
      <c r="G390" s="2552">
        <v>6650846</v>
      </c>
      <c r="H390" s="2552">
        <v>4874534</v>
      </c>
      <c r="J390" s="2551">
        <v>10</v>
      </c>
      <c r="K390" s="2553" t="s">
        <v>7292</v>
      </c>
      <c r="L390" s="2551" t="e">
        <f t="shared" si="6"/>
        <v>#N/A</v>
      </c>
      <c r="W390" s="2979"/>
    </row>
    <row r="391" spans="1:23" hidden="1">
      <c r="A391" s="2551">
        <v>1424247</v>
      </c>
      <c r="B391" s="2551" t="s">
        <v>7393</v>
      </c>
      <c r="C391" s="2551">
        <v>10</v>
      </c>
      <c r="D391" s="2551" t="s">
        <v>7367</v>
      </c>
      <c r="E391" s="2550" t="s">
        <v>7215</v>
      </c>
      <c r="F391" s="2551">
        <v>103</v>
      </c>
      <c r="G391" s="2552">
        <v>12854181</v>
      </c>
      <c r="H391" s="2552">
        <v>0</v>
      </c>
      <c r="J391" s="2551">
        <v>10</v>
      </c>
      <c r="K391" s="2553" t="s">
        <v>7292</v>
      </c>
      <c r="L391" s="2551" t="e">
        <f t="shared" si="6"/>
        <v>#N/A</v>
      </c>
      <c r="W391" s="2979"/>
    </row>
    <row r="392" spans="1:23" hidden="1">
      <c r="A392" s="2551">
        <v>1424249</v>
      </c>
      <c r="B392" s="2551" t="s">
        <v>5976</v>
      </c>
      <c r="C392" s="2551">
        <v>10</v>
      </c>
      <c r="D392" s="2551" t="s">
        <v>7367</v>
      </c>
      <c r="E392" s="2550" t="s">
        <v>7215</v>
      </c>
      <c r="F392" s="2551">
        <v>103</v>
      </c>
      <c r="G392" s="2552">
        <v>44151898</v>
      </c>
      <c r="H392" s="2552">
        <v>17335219</v>
      </c>
      <c r="J392" s="2551">
        <v>10</v>
      </c>
      <c r="K392" s="2553" t="s">
        <v>7292</v>
      </c>
      <c r="L392" s="2551" t="e">
        <f t="shared" si="6"/>
        <v>#N/A</v>
      </c>
      <c r="W392" s="2979"/>
    </row>
    <row r="393" spans="1:23" hidden="1">
      <c r="A393" s="2551">
        <v>1424250</v>
      </c>
      <c r="B393" s="2551" t="s">
        <v>5977</v>
      </c>
      <c r="C393" s="2551">
        <v>10</v>
      </c>
      <c r="D393" s="2551" t="s">
        <v>7367</v>
      </c>
      <c r="E393" s="2550" t="s">
        <v>7215</v>
      </c>
      <c r="F393" s="2551">
        <v>103</v>
      </c>
      <c r="G393" s="2552">
        <v>36966763.990000002</v>
      </c>
      <c r="H393" s="2552">
        <v>6550907.4800000004</v>
      </c>
      <c r="J393" s="2551">
        <v>10</v>
      </c>
      <c r="K393" s="2553" t="s">
        <v>7292</v>
      </c>
      <c r="L393" s="2551" t="e">
        <f t="shared" si="6"/>
        <v>#N/A</v>
      </c>
      <c r="W393" s="2979"/>
    </row>
    <row r="394" spans="1:23" hidden="1">
      <c r="A394" s="2551">
        <v>1424251</v>
      </c>
      <c r="B394" s="2551" t="s">
        <v>7394</v>
      </c>
      <c r="C394" s="2551">
        <v>10</v>
      </c>
      <c r="D394" s="2551" t="s">
        <v>7367</v>
      </c>
      <c r="E394" s="2550" t="s">
        <v>7215</v>
      </c>
      <c r="F394" s="2551">
        <v>103</v>
      </c>
      <c r="G394" s="2552">
        <v>2601362102.96</v>
      </c>
      <c r="H394" s="2552">
        <v>482953446.31999999</v>
      </c>
      <c r="J394" s="2551">
        <v>10</v>
      </c>
      <c r="K394" s="2553" t="s">
        <v>7292</v>
      </c>
      <c r="L394" s="2551" t="e">
        <f t="shared" si="6"/>
        <v>#N/A</v>
      </c>
      <c r="W394" s="2979"/>
    </row>
    <row r="395" spans="1:23" hidden="1">
      <c r="A395" s="2551">
        <v>1424252</v>
      </c>
      <c r="B395" s="2551" t="s">
        <v>7395</v>
      </c>
      <c r="C395" s="2551">
        <v>10</v>
      </c>
      <c r="D395" s="2551" t="s">
        <v>7367</v>
      </c>
      <c r="E395" s="2550" t="s">
        <v>7215</v>
      </c>
      <c r="F395" s="2551">
        <v>103</v>
      </c>
      <c r="G395" s="2552">
        <v>210708419.88999999</v>
      </c>
      <c r="H395" s="2552">
        <v>30738079.920000002</v>
      </c>
      <c r="J395" s="2551">
        <v>10</v>
      </c>
      <c r="K395" s="2553" t="s">
        <v>7292</v>
      </c>
      <c r="L395" s="2551" t="e">
        <f t="shared" si="6"/>
        <v>#N/A</v>
      </c>
      <c r="W395" s="2979"/>
    </row>
    <row r="396" spans="1:23" hidden="1">
      <c r="A396" s="2551">
        <v>1424253</v>
      </c>
      <c r="B396" s="2551" t="s">
        <v>7396</v>
      </c>
      <c r="C396" s="2551">
        <v>10</v>
      </c>
      <c r="D396" s="2551" t="s">
        <v>7367</v>
      </c>
      <c r="E396" s="2550" t="s">
        <v>7215</v>
      </c>
      <c r="F396" s="2551">
        <v>103</v>
      </c>
      <c r="G396" s="2552">
        <v>136</v>
      </c>
      <c r="H396" s="2552">
        <v>0</v>
      </c>
      <c r="J396" s="2551">
        <v>10</v>
      </c>
      <c r="K396" s="2553" t="s">
        <v>7292</v>
      </c>
      <c r="L396" s="2551" t="e">
        <f t="shared" si="6"/>
        <v>#N/A</v>
      </c>
      <c r="W396" s="2979"/>
    </row>
    <row r="397" spans="1:23" hidden="1">
      <c r="A397" s="2551">
        <v>1424254</v>
      </c>
      <c r="B397" s="2551" t="s">
        <v>7397</v>
      </c>
      <c r="C397" s="2551">
        <v>10</v>
      </c>
      <c r="D397" s="2551" t="s">
        <v>7367</v>
      </c>
      <c r="E397" s="2550" t="s">
        <v>7215</v>
      </c>
      <c r="F397" s="2551">
        <v>103</v>
      </c>
      <c r="G397" s="2552">
        <v>52687</v>
      </c>
      <c r="H397" s="2552">
        <v>0</v>
      </c>
      <c r="J397" s="2551">
        <v>10</v>
      </c>
      <c r="K397" s="2553" t="s">
        <v>7292</v>
      </c>
      <c r="L397" s="2551" t="e">
        <f t="shared" si="6"/>
        <v>#N/A</v>
      </c>
      <c r="W397" s="2979"/>
    </row>
    <row r="398" spans="1:23" hidden="1">
      <c r="A398" s="2551">
        <v>1424256</v>
      </c>
      <c r="B398" s="2551" t="s">
        <v>7398</v>
      </c>
      <c r="C398" s="2551">
        <v>10</v>
      </c>
      <c r="D398" s="2551" t="s">
        <v>7367</v>
      </c>
      <c r="E398" s="2550" t="s">
        <v>7215</v>
      </c>
      <c r="F398" s="2551">
        <v>103</v>
      </c>
      <c r="G398" s="2552">
        <v>-31096</v>
      </c>
      <c r="H398" s="2552">
        <v>0</v>
      </c>
      <c r="J398" s="2551">
        <v>10</v>
      </c>
      <c r="K398" s="2553" t="s">
        <v>7292</v>
      </c>
      <c r="L398" s="2551" t="e">
        <f t="shared" si="6"/>
        <v>#N/A</v>
      </c>
      <c r="W398" s="2979"/>
    </row>
    <row r="399" spans="1:23" hidden="1">
      <c r="A399" s="2551">
        <v>1424257</v>
      </c>
      <c r="B399" s="2551" t="s">
        <v>7371</v>
      </c>
      <c r="C399" s="2551">
        <v>10</v>
      </c>
      <c r="D399" s="2551" t="s">
        <v>7367</v>
      </c>
      <c r="E399" s="2550" t="s">
        <v>7215</v>
      </c>
      <c r="F399" s="2551">
        <v>103</v>
      </c>
      <c r="G399" s="2552">
        <v>59615830</v>
      </c>
      <c r="H399" s="2552">
        <v>36458082.119999997</v>
      </c>
      <c r="J399" s="2551">
        <v>10</v>
      </c>
      <c r="K399" s="2553" t="s">
        <v>7292</v>
      </c>
      <c r="L399" s="2551" t="e">
        <f t="shared" si="6"/>
        <v>#N/A</v>
      </c>
      <c r="W399" s="2979"/>
    </row>
    <row r="400" spans="1:23" hidden="1">
      <c r="A400" s="2551">
        <v>1424259</v>
      </c>
      <c r="B400" s="2551" t="s">
        <v>7373</v>
      </c>
      <c r="C400" s="2551">
        <v>10</v>
      </c>
      <c r="D400" s="2551" t="s">
        <v>7367</v>
      </c>
      <c r="E400" s="2550" t="s">
        <v>7215</v>
      </c>
      <c r="F400" s="2551">
        <v>103</v>
      </c>
      <c r="G400" s="2552">
        <v>16380321.58</v>
      </c>
      <c r="H400" s="2552">
        <v>247403</v>
      </c>
      <c r="J400" s="2551">
        <v>10</v>
      </c>
      <c r="K400" s="2553" t="s">
        <v>7292</v>
      </c>
      <c r="L400" s="2551" t="e">
        <f t="shared" si="6"/>
        <v>#N/A</v>
      </c>
      <c r="W400" s="2979"/>
    </row>
    <row r="401" spans="1:23" hidden="1">
      <c r="A401" s="2551">
        <v>1424263</v>
      </c>
      <c r="B401" s="2551" t="s">
        <v>7399</v>
      </c>
      <c r="C401" s="2551">
        <v>10</v>
      </c>
      <c r="D401" s="2551" t="s">
        <v>7367</v>
      </c>
      <c r="E401" s="2550" t="s">
        <v>7215</v>
      </c>
      <c r="F401" s="2551">
        <v>103</v>
      </c>
      <c r="G401" s="2552">
        <v>26043391</v>
      </c>
      <c r="H401" s="2552">
        <v>7605499</v>
      </c>
      <c r="J401" s="2551">
        <v>10</v>
      </c>
      <c r="K401" s="2553" t="s">
        <v>7292</v>
      </c>
      <c r="L401" s="2551" t="e">
        <f t="shared" si="6"/>
        <v>#N/A</v>
      </c>
      <c r="W401" s="2979"/>
    </row>
    <row r="402" spans="1:23" hidden="1">
      <c r="A402" s="2551">
        <v>1424264</v>
      </c>
      <c r="B402" s="2551" t="s">
        <v>7400</v>
      </c>
      <c r="C402" s="2551">
        <v>10</v>
      </c>
      <c r="D402" s="2551" t="s">
        <v>7367</v>
      </c>
      <c r="E402" s="2550" t="s">
        <v>7215</v>
      </c>
      <c r="F402" s="2551">
        <v>103</v>
      </c>
      <c r="G402" s="2552">
        <v>221515199.56999999</v>
      </c>
      <c r="H402" s="2552">
        <v>51422999.479999997</v>
      </c>
      <c r="J402" s="2551">
        <v>10</v>
      </c>
      <c r="K402" s="2553" t="s">
        <v>7292</v>
      </c>
      <c r="L402" s="2551" t="e">
        <f t="shared" si="6"/>
        <v>#N/A</v>
      </c>
      <c r="W402" s="2979"/>
    </row>
    <row r="403" spans="1:23" hidden="1">
      <c r="A403" s="2551">
        <v>1424265</v>
      </c>
      <c r="B403" s="2551" t="s">
        <v>7401</v>
      </c>
      <c r="C403" s="2551">
        <v>10</v>
      </c>
      <c r="D403" s="2551" t="s">
        <v>7367</v>
      </c>
      <c r="E403" s="2550" t="s">
        <v>7215</v>
      </c>
      <c r="F403" s="2551">
        <v>103</v>
      </c>
      <c r="G403" s="2552">
        <v>25705793</v>
      </c>
      <c r="H403" s="2552">
        <v>11943186</v>
      </c>
      <c r="J403" s="2551">
        <v>10</v>
      </c>
      <c r="K403" s="2553" t="s">
        <v>7292</v>
      </c>
      <c r="L403" s="2551" t="e">
        <f t="shared" si="6"/>
        <v>#N/A</v>
      </c>
      <c r="W403" s="2979"/>
    </row>
    <row r="404" spans="1:23" hidden="1">
      <c r="A404" s="2551">
        <v>1424269</v>
      </c>
      <c r="B404" s="2551" t="s">
        <v>7402</v>
      </c>
      <c r="C404" s="2551">
        <v>10</v>
      </c>
      <c r="D404" s="2551" t="s">
        <v>7367</v>
      </c>
      <c r="E404" s="2550" t="s">
        <v>7215</v>
      </c>
      <c r="F404" s="2551">
        <v>103</v>
      </c>
      <c r="G404" s="2552">
        <v>4100800</v>
      </c>
      <c r="H404" s="2552">
        <v>0</v>
      </c>
      <c r="J404" s="2551">
        <v>10</v>
      </c>
      <c r="K404" s="2553" t="s">
        <v>7292</v>
      </c>
      <c r="L404" s="2551" t="e">
        <f t="shared" si="6"/>
        <v>#N/A</v>
      </c>
      <c r="W404" s="2979"/>
    </row>
    <row r="405" spans="1:23" hidden="1">
      <c r="A405" s="2551">
        <v>1424271</v>
      </c>
      <c r="B405" s="2551" t="s">
        <v>7403</v>
      </c>
      <c r="C405" s="2551">
        <v>10</v>
      </c>
      <c r="D405" s="2551" t="s">
        <v>7367</v>
      </c>
      <c r="E405" s="2550" t="s">
        <v>7215</v>
      </c>
      <c r="F405" s="2551">
        <v>103</v>
      </c>
      <c r="G405" s="2552">
        <v>19379384.600000001</v>
      </c>
      <c r="H405" s="2552">
        <v>4808741</v>
      </c>
      <c r="J405" s="2551">
        <v>10</v>
      </c>
      <c r="K405" s="2553" t="s">
        <v>7292</v>
      </c>
      <c r="L405" s="2551" t="e">
        <f t="shared" si="6"/>
        <v>#N/A</v>
      </c>
      <c r="W405" s="2979"/>
    </row>
    <row r="406" spans="1:23" hidden="1">
      <c r="A406" s="2551">
        <v>1424272</v>
      </c>
      <c r="B406" s="2551" t="s">
        <v>7404</v>
      </c>
      <c r="C406" s="2551">
        <v>10</v>
      </c>
      <c r="D406" s="2551" t="s">
        <v>7367</v>
      </c>
      <c r="E406" s="2550" t="s">
        <v>7215</v>
      </c>
      <c r="F406" s="2551">
        <v>103</v>
      </c>
      <c r="G406" s="2552">
        <v>32067107</v>
      </c>
      <c r="H406" s="2552">
        <v>4607728</v>
      </c>
      <c r="J406" s="2551">
        <v>10</v>
      </c>
      <c r="K406" s="2553" t="s">
        <v>7292</v>
      </c>
      <c r="L406" s="2551" t="e">
        <f t="shared" si="6"/>
        <v>#N/A</v>
      </c>
      <c r="W406" s="2979"/>
    </row>
    <row r="407" spans="1:23" hidden="1">
      <c r="A407" s="2551">
        <v>1424274</v>
      </c>
      <c r="B407" s="2551" t="s">
        <v>5990</v>
      </c>
      <c r="C407" s="2551">
        <v>10</v>
      </c>
      <c r="D407" s="2551" t="s">
        <v>7367</v>
      </c>
      <c r="E407" s="2550" t="s">
        <v>7215</v>
      </c>
      <c r="F407" s="2551">
        <v>103</v>
      </c>
      <c r="G407" s="2552">
        <v>172908795.16</v>
      </c>
      <c r="H407" s="2552">
        <v>41810563.939999998</v>
      </c>
      <c r="J407" s="2551">
        <v>10</v>
      </c>
      <c r="K407" s="2553" t="s">
        <v>7292</v>
      </c>
      <c r="L407" s="2551" t="e">
        <f t="shared" si="6"/>
        <v>#N/A</v>
      </c>
      <c r="W407" s="2979"/>
    </row>
    <row r="408" spans="1:23" hidden="1">
      <c r="A408" s="2551">
        <v>1424275</v>
      </c>
      <c r="B408" s="2551" t="s">
        <v>5991</v>
      </c>
      <c r="C408" s="2551">
        <v>10</v>
      </c>
      <c r="D408" s="2551" t="s">
        <v>7367</v>
      </c>
      <c r="E408" s="2550" t="s">
        <v>7215</v>
      </c>
      <c r="F408" s="2551">
        <v>103</v>
      </c>
      <c r="G408" s="2552">
        <v>5100000</v>
      </c>
      <c r="H408" s="2552">
        <v>2700000</v>
      </c>
      <c r="J408" s="2551">
        <v>10</v>
      </c>
      <c r="K408" s="2553" t="s">
        <v>7292</v>
      </c>
      <c r="L408" s="2551" t="e">
        <f t="shared" si="6"/>
        <v>#N/A</v>
      </c>
      <c r="W408" s="2979"/>
    </row>
    <row r="409" spans="1:23" hidden="1">
      <c r="A409" s="2551">
        <v>1424276</v>
      </c>
      <c r="B409" s="2551" t="s">
        <v>5992</v>
      </c>
      <c r="C409" s="2551">
        <v>10</v>
      </c>
      <c r="D409" s="2551" t="s">
        <v>7367</v>
      </c>
      <c r="E409" s="2550" t="s">
        <v>7215</v>
      </c>
      <c r="F409" s="2551">
        <v>103</v>
      </c>
      <c r="G409" s="2552">
        <v>11750677.07</v>
      </c>
      <c r="H409" s="2552">
        <v>2744960.43</v>
      </c>
      <c r="J409" s="2551">
        <v>10</v>
      </c>
      <c r="K409" s="2553" t="s">
        <v>7292</v>
      </c>
      <c r="L409" s="2551" t="e">
        <f t="shared" si="6"/>
        <v>#N/A</v>
      </c>
      <c r="W409" s="2979"/>
    </row>
    <row r="410" spans="1:23" hidden="1">
      <c r="A410" s="2551">
        <v>1424277</v>
      </c>
      <c r="B410" s="2551" t="s">
        <v>5993</v>
      </c>
      <c r="C410" s="2551">
        <v>10</v>
      </c>
      <c r="D410" s="2551" t="s">
        <v>7367</v>
      </c>
      <c r="E410" s="2550" t="s">
        <v>7215</v>
      </c>
      <c r="F410" s="2551">
        <v>103</v>
      </c>
      <c r="G410" s="2552">
        <v>11613876.1</v>
      </c>
      <c r="H410" s="2552">
        <v>-846.9</v>
      </c>
      <c r="J410" s="2551">
        <v>10</v>
      </c>
      <c r="K410" s="2553" t="s">
        <v>7292</v>
      </c>
      <c r="L410" s="2551" t="e">
        <f t="shared" si="6"/>
        <v>#N/A</v>
      </c>
      <c r="W410" s="2979"/>
    </row>
    <row r="411" spans="1:23" hidden="1">
      <c r="A411" s="2551">
        <v>1424279</v>
      </c>
      <c r="B411" s="2551" t="s">
        <v>5994</v>
      </c>
      <c r="C411" s="2551">
        <v>10</v>
      </c>
      <c r="D411" s="2551" t="s">
        <v>7367</v>
      </c>
      <c r="E411" s="2550" t="s">
        <v>7215</v>
      </c>
      <c r="F411" s="2551">
        <v>103</v>
      </c>
      <c r="G411" s="2552">
        <v>50940</v>
      </c>
      <c r="H411" s="2552">
        <v>50000</v>
      </c>
      <c r="J411" s="2551">
        <v>10</v>
      </c>
      <c r="K411" s="2553" t="s">
        <v>7292</v>
      </c>
      <c r="L411" s="2551" t="e">
        <f t="shared" si="6"/>
        <v>#N/A</v>
      </c>
      <c r="W411" s="2979"/>
    </row>
    <row r="412" spans="1:23" hidden="1">
      <c r="A412" s="2551">
        <v>1424282</v>
      </c>
      <c r="B412" s="2551" t="s">
        <v>5995</v>
      </c>
      <c r="C412" s="2551">
        <v>10</v>
      </c>
      <c r="D412" s="2551" t="s">
        <v>7367</v>
      </c>
      <c r="E412" s="2550" t="s">
        <v>7215</v>
      </c>
      <c r="F412" s="2551">
        <v>103</v>
      </c>
      <c r="G412" s="2552">
        <v>70654928.799999997</v>
      </c>
      <c r="H412" s="2552">
        <v>17227822</v>
      </c>
      <c r="J412" s="2551">
        <v>10</v>
      </c>
      <c r="K412" s="2553" t="s">
        <v>7292</v>
      </c>
      <c r="L412" s="2551" t="e">
        <f t="shared" si="6"/>
        <v>#N/A</v>
      </c>
      <c r="W412" s="2979"/>
    </row>
    <row r="413" spans="1:23" hidden="1">
      <c r="A413" s="2551">
        <v>1424283</v>
      </c>
      <c r="B413" s="2551" t="s">
        <v>5996</v>
      </c>
      <c r="C413" s="2551">
        <v>10</v>
      </c>
      <c r="D413" s="2551" t="s">
        <v>7367</v>
      </c>
      <c r="E413" s="2550" t="s">
        <v>7215</v>
      </c>
      <c r="F413" s="2551">
        <v>103</v>
      </c>
      <c r="G413" s="2552">
        <v>3999621.39</v>
      </c>
      <c r="H413" s="2552">
        <v>0</v>
      </c>
      <c r="J413" s="2551">
        <v>10</v>
      </c>
      <c r="K413" s="2553" t="s">
        <v>7292</v>
      </c>
      <c r="L413" s="2551" t="e">
        <f t="shared" si="6"/>
        <v>#N/A</v>
      </c>
      <c r="W413" s="2979"/>
    </row>
    <row r="414" spans="1:23" hidden="1">
      <c r="A414" s="2551">
        <v>1424284</v>
      </c>
      <c r="B414" s="2551" t="s">
        <v>5997</v>
      </c>
      <c r="C414" s="2551">
        <v>10</v>
      </c>
      <c r="D414" s="2551" t="s">
        <v>7367</v>
      </c>
      <c r="E414" s="2550" t="s">
        <v>7215</v>
      </c>
      <c r="F414" s="2551">
        <v>103</v>
      </c>
      <c r="G414" s="2552">
        <v>9775848.8800000008</v>
      </c>
      <c r="H414" s="2552">
        <v>0</v>
      </c>
      <c r="J414" s="2551">
        <v>10</v>
      </c>
      <c r="K414" s="2553" t="s">
        <v>7292</v>
      </c>
      <c r="L414" s="2551" t="e">
        <f t="shared" si="6"/>
        <v>#N/A</v>
      </c>
      <c r="W414" s="2979"/>
    </row>
    <row r="415" spans="1:23" hidden="1">
      <c r="A415" s="2551">
        <v>1424285</v>
      </c>
      <c r="B415" s="2551" t="s">
        <v>5998</v>
      </c>
      <c r="C415" s="2551">
        <v>10</v>
      </c>
      <c r="D415" s="2551" t="s">
        <v>7367</v>
      </c>
      <c r="E415" s="2550" t="s">
        <v>7215</v>
      </c>
      <c r="F415" s="2551">
        <v>103</v>
      </c>
      <c r="G415" s="2552">
        <v>14660709.08</v>
      </c>
      <c r="H415" s="2552">
        <v>4296312</v>
      </c>
      <c r="J415" s="2551">
        <v>10</v>
      </c>
      <c r="K415" s="2553" t="s">
        <v>7292</v>
      </c>
      <c r="L415" s="2551" t="e">
        <f t="shared" si="6"/>
        <v>#N/A</v>
      </c>
      <c r="W415" s="2979"/>
    </row>
    <row r="416" spans="1:23" hidden="1">
      <c r="A416" s="2551">
        <v>1424286</v>
      </c>
      <c r="B416" s="2551" t="s">
        <v>5999</v>
      </c>
      <c r="C416" s="2551">
        <v>10</v>
      </c>
      <c r="D416" s="2551" t="s">
        <v>7367</v>
      </c>
      <c r="E416" s="2550" t="s">
        <v>7215</v>
      </c>
      <c r="F416" s="2551">
        <v>103</v>
      </c>
      <c r="G416" s="2552">
        <v>10664.16</v>
      </c>
      <c r="H416" s="2552">
        <v>0</v>
      </c>
      <c r="J416" s="2551">
        <v>10</v>
      </c>
      <c r="K416" s="2553" t="s">
        <v>7292</v>
      </c>
      <c r="L416" s="2551" t="e">
        <f t="shared" si="6"/>
        <v>#N/A</v>
      </c>
      <c r="W416" s="2979"/>
    </row>
    <row r="417" spans="1:23" hidden="1">
      <c r="A417" s="2551">
        <v>1424287</v>
      </c>
      <c r="B417" s="2551" t="s">
        <v>7405</v>
      </c>
      <c r="C417" s="2551">
        <v>10</v>
      </c>
      <c r="D417" s="2551" t="s">
        <v>7367</v>
      </c>
      <c r="E417" s="2550" t="s">
        <v>7215</v>
      </c>
      <c r="F417" s="2551">
        <v>103</v>
      </c>
      <c r="G417" s="2552">
        <v>10223.719999999999</v>
      </c>
      <c r="H417" s="2552">
        <v>0</v>
      </c>
      <c r="J417" s="2551">
        <v>10</v>
      </c>
      <c r="K417" s="2553" t="s">
        <v>7292</v>
      </c>
      <c r="L417" s="2551" t="e">
        <f t="shared" si="6"/>
        <v>#N/A</v>
      </c>
      <c r="W417" s="2979"/>
    </row>
    <row r="418" spans="1:23" hidden="1">
      <c r="A418" s="2551">
        <v>1424288</v>
      </c>
      <c r="B418" s="2551" t="s">
        <v>6636</v>
      </c>
      <c r="C418" s="2551">
        <v>10</v>
      </c>
      <c r="D418" s="2551" t="s">
        <v>7367</v>
      </c>
      <c r="E418" s="2550" t="s">
        <v>7215</v>
      </c>
      <c r="F418" s="2551">
        <v>103</v>
      </c>
      <c r="G418" s="2552">
        <v>8000000</v>
      </c>
      <c r="H418" s="2552">
        <v>0</v>
      </c>
      <c r="J418" s="2551">
        <v>10</v>
      </c>
      <c r="K418" s="2553" t="s">
        <v>7292</v>
      </c>
      <c r="L418" s="2551" t="e">
        <f t="shared" si="6"/>
        <v>#N/A</v>
      </c>
      <c r="W418" s="2979"/>
    </row>
    <row r="419" spans="1:23" hidden="1">
      <c r="A419" s="2551">
        <v>1424289</v>
      </c>
      <c r="B419" s="2551" t="s">
        <v>7406</v>
      </c>
      <c r="C419" s="2551">
        <v>10</v>
      </c>
      <c r="D419" s="2551" t="s">
        <v>7367</v>
      </c>
      <c r="E419" s="2550" t="s">
        <v>7215</v>
      </c>
      <c r="F419" s="2551">
        <v>103</v>
      </c>
      <c r="G419" s="2552">
        <v>10114</v>
      </c>
      <c r="H419" s="2552">
        <v>0</v>
      </c>
      <c r="J419" s="2551">
        <v>10</v>
      </c>
      <c r="K419" s="2553" t="s">
        <v>7292</v>
      </c>
      <c r="L419" s="2551" t="e">
        <f t="shared" si="6"/>
        <v>#N/A</v>
      </c>
      <c r="W419" s="2979"/>
    </row>
    <row r="420" spans="1:23" hidden="1">
      <c r="A420" s="2551">
        <v>1424290</v>
      </c>
      <c r="B420" s="2551" t="s">
        <v>7407</v>
      </c>
      <c r="C420" s="2551">
        <v>10</v>
      </c>
      <c r="D420" s="2551" t="s">
        <v>7367</v>
      </c>
      <c r="E420" s="2550" t="s">
        <v>7215</v>
      </c>
      <c r="F420" s="2551">
        <v>103</v>
      </c>
      <c r="G420" s="2552">
        <v>271222908.36000001</v>
      </c>
      <c r="H420" s="2552">
        <v>62275753.719999999</v>
      </c>
      <c r="J420" s="2551">
        <v>10</v>
      </c>
      <c r="K420" s="2553" t="s">
        <v>7292</v>
      </c>
      <c r="L420" s="2551" t="e">
        <f t="shared" si="6"/>
        <v>#N/A</v>
      </c>
      <c r="W420" s="2979"/>
    </row>
    <row r="421" spans="1:23" hidden="1">
      <c r="A421" s="2551">
        <v>1424291</v>
      </c>
      <c r="B421" s="2551" t="s">
        <v>7408</v>
      </c>
      <c r="C421" s="2551">
        <v>10</v>
      </c>
      <c r="D421" s="2551" t="s">
        <v>7367</v>
      </c>
      <c r="E421" s="2550" t="s">
        <v>7215</v>
      </c>
      <c r="F421" s="2551">
        <v>103</v>
      </c>
      <c r="G421" s="2552">
        <v>21896669.32</v>
      </c>
      <c r="H421" s="2552">
        <v>6386885</v>
      </c>
      <c r="J421" s="2551">
        <v>10</v>
      </c>
      <c r="K421" s="2553" t="s">
        <v>7292</v>
      </c>
      <c r="L421" s="2551" t="e">
        <f t="shared" si="6"/>
        <v>#N/A</v>
      </c>
      <c r="W421" s="2979"/>
    </row>
    <row r="422" spans="1:23" hidden="1">
      <c r="A422" s="2551">
        <v>1424292</v>
      </c>
      <c r="B422" s="2551" t="s">
        <v>7409</v>
      </c>
      <c r="C422" s="2551">
        <v>10</v>
      </c>
      <c r="D422" s="2551" t="s">
        <v>7367</v>
      </c>
      <c r="E422" s="2550" t="s">
        <v>7215</v>
      </c>
      <c r="F422" s="2551">
        <v>103</v>
      </c>
      <c r="G422" s="2552">
        <v>15050</v>
      </c>
      <c r="H422" s="2552">
        <v>0</v>
      </c>
      <c r="J422" s="2551">
        <v>10</v>
      </c>
      <c r="K422" s="2553" t="s">
        <v>7292</v>
      </c>
      <c r="L422" s="2551" t="e">
        <f t="shared" si="6"/>
        <v>#N/A</v>
      </c>
      <c r="W422" s="2979"/>
    </row>
    <row r="423" spans="1:23" hidden="1">
      <c r="A423" s="2551">
        <v>1424293</v>
      </c>
      <c r="B423" s="2551" t="s">
        <v>7410</v>
      </c>
      <c r="C423" s="2551">
        <v>10</v>
      </c>
      <c r="D423" s="2551" t="s">
        <v>7367</v>
      </c>
      <c r="E423" s="2550" t="s">
        <v>7215</v>
      </c>
      <c r="F423" s="2551">
        <v>103</v>
      </c>
      <c r="G423" s="2552">
        <v>339.9</v>
      </c>
      <c r="H423" s="2552">
        <v>0</v>
      </c>
      <c r="J423" s="2551">
        <v>10</v>
      </c>
      <c r="K423" s="2553" t="s">
        <v>7292</v>
      </c>
      <c r="L423" s="2551" t="e">
        <f t="shared" si="6"/>
        <v>#N/A</v>
      </c>
      <c r="W423" s="2979"/>
    </row>
    <row r="424" spans="1:23" hidden="1">
      <c r="A424" s="2551">
        <v>1424294</v>
      </c>
      <c r="B424" s="2551" t="s">
        <v>7411</v>
      </c>
      <c r="C424" s="2551">
        <v>10</v>
      </c>
      <c r="D424" s="2551" t="s">
        <v>7367</v>
      </c>
      <c r="E424" s="2550" t="s">
        <v>7215</v>
      </c>
      <c r="F424" s="2551">
        <v>103</v>
      </c>
      <c r="G424" s="2552">
        <v>3000000</v>
      </c>
      <c r="H424" s="2552">
        <v>0</v>
      </c>
      <c r="J424" s="2551">
        <v>10</v>
      </c>
      <c r="K424" s="2553" t="s">
        <v>7292</v>
      </c>
      <c r="L424" s="2551" t="e">
        <f t="shared" si="6"/>
        <v>#N/A</v>
      </c>
      <c r="W424" s="2979"/>
    </row>
    <row r="425" spans="1:23" hidden="1">
      <c r="A425" s="2551">
        <v>1424295</v>
      </c>
      <c r="B425" s="2551" t="s">
        <v>7412</v>
      </c>
      <c r="C425" s="2551">
        <v>10</v>
      </c>
      <c r="D425" s="2551" t="s">
        <v>7367</v>
      </c>
      <c r="E425" s="2550" t="s">
        <v>7215</v>
      </c>
      <c r="F425" s="2551">
        <v>103</v>
      </c>
      <c r="G425" s="2552">
        <v>24482735</v>
      </c>
      <c r="H425" s="2552">
        <v>8570722</v>
      </c>
      <c r="J425" s="2551">
        <v>10</v>
      </c>
      <c r="K425" s="2553" t="s">
        <v>7292</v>
      </c>
      <c r="L425" s="2551" t="e">
        <f t="shared" si="6"/>
        <v>#N/A</v>
      </c>
      <c r="W425" s="2979"/>
    </row>
    <row r="426" spans="1:23" hidden="1">
      <c r="A426" s="2551">
        <v>1424296</v>
      </c>
      <c r="B426" s="2551" t="s">
        <v>7413</v>
      </c>
      <c r="C426" s="2551">
        <v>10</v>
      </c>
      <c r="D426" s="2551" t="s">
        <v>7367</v>
      </c>
      <c r="E426" s="2550" t="s">
        <v>7215</v>
      </c>
      <c r="F426" s="2551">
        <v>103</v>
      </c>
      <c r="G426" s="2552">
        <v>10435334</v>
      </c>
      <c r="H426" s="2552">
        <v>0</v>
      </c>
      <c r="J426" s="2551">
        <v>10</v>
      </c>
      <c r="K426" s="2553" t="s">
        <v>7292</v>
      </c>
      <c r="L426" s="2551" t="e">
        <f t="shared" si="6"/>
        <v>#N/A</v>
      </c>
      <c r="W426" s="2979"/>
    </row>
    <row r="427" spans="1:23" hidden="1">
      <c r="A427" s="2551">
        <v>1424297</v>
      </c>
      <c r="B427" s="2551" t="s">
        <v>6006</v>
      </c>
      <c r="C427" s="2551">
        <v>10</v>
      </c>
      <c r="D427" s="2551" t="s">
        <v>7367</v>
      </c>
      <c r="E427" s="2550" t="s">
        <v>7215</v>
      </c>
      <c r="F427" s="2551">
        <v>103</v>
      </c>
      <c r="G427" s="2552">
        <v>21970699.739999998</v>
      </c>
      <c r="H427" s="2552">
        <v>8300869</v>
      </c>
      <c r="J427" s="2551">
        <v>10</v>
      </c>
      <c r="K427" s="2553" t="s">
        <v>7292</v>
      </c>
      <c r="L427" s="2551" t="e">
        <f t="shared" si="6"/>
        <v>#N/A</v>
      </c>
      <c r="W427" s="2979"/>
    </row>
    <row r="428" spans="1:23" hidden="1">
      <c r="A428" s="2551">
        <v>1424298</v>
      </c>
      <c r="B428" s="2551" t="s">
        <v>6007</v>
      </c>
      <c r="C428" s="2551">
        <v>10</v>
      </c>
      <c r="D428" s="2551" t="s">
        <v>7367</v>
      </c>
      <c r="E428" s="2550" t="s">
        <v>7215</v>
      </c>
      <c r="F428" s="2551">
        <v>103</v>
      </c>
      <c r="G428" s="2552">
        <v>15539462.68</v>
      </c>
      <c r="H428" s="2552">
        <v>1655043</v>
      </c>
      <c r="J428" s="2551">
        <v>10</v>
      </c>
      <c r="K428" s="2553" t="s">
        <v>7292</v>
      </c>
      <c r="L428" s="2551" t="e">
        <f t="shared" si="6"/>
        <v>#N/A</v>
      </c>
      <c r="W428" s="2979"/>
    </row>
    <row r="429" spans="1:23" hidden="1">
      <c r="A429" s="2551">
        <v>1424302</v>
      </c>
      <c r="B429" s="2551" t="s">
        <v>7414</v>
      </c>
      <c r="C429" s="2551">
        <v>10</v>
      </c>
      <c r="D429" s="2551" t="s">
        <v>7367</v>
      </c>
      <c r="E429" s="2550" t="s">
        <v>7215</v>
      </c>
      <c r="F429" s="2551">
        <v>103</v>
      </c>
      <c r="G429" s="2552">
        <v>0</v>
      </c>
      <c r="H429" s="2552">
        <v>-4814183</v>
      </c>
      <c r="J429" s="2551">
        <v>10</v>
      </c>
      <c r="K429" s="2553" t="s">
        <v>7292</v>
      </c>
      <c r="L429" s="2551" t="e">
        <f t="shared" si="6"/>
        <v>#N/A</v>
      </c>
      <c r="W429" s="2979"/>
    </row>
    <row r="430" spans="1:23" hidden="1">
      <c r="A430" s="2551">
        <v>1424312</v>
      </c>
      <c r="B430" s="2551" t="s">
        <v>7415</v>
      </c>
      <c r="C430" s="2551">
        <v>3</v>
      </c>
      <c r="D430" s="2551" t="s">
        <v>7368</v>
      </c>
      <c r="E430" s="2550" t="s">
        <v>7215</v>
      </c>
      <c r="F430" s="2551">
        <v>76</v>
      </c>
      <c r="G430" s="2551">
        <v>0</v>
      </c>
      <c r="H430" s="2559">
        <v>-1690711518.55</v>
      </c>
      <c r="J430" s="2551">
        <v>19</v>
      </c>
      <c r="K430" s="2553" t="s">
        <v>7369</v>
      </c>
      <c r="L430" s="2551" t="e">
        <f t="shared" si="6"/>
        <v>#N/A</v>
      </c>
      <c r="W430" s="2979"/>
    </row>
    <row r="431" spans="1:23" hidden="1">
      <c r="A431" s="2551">
        <v>1424313</v>
      </c>
      <c r="B431" s="2551" t="s">
        <v>7416</v>
      </c>
      <c r="C431" s="2551">
        <v>3</v>
      </c>
      <c r="D431" s="2551" t="s">
        <v>7368</v>
      </c>
      <c r="E431" s="2550" t="s">
        <v>7215</v>
      </c>
      <c r="F431" s="2551">
        <v>76</v>
      </c>
      <c r="G431" s="2551">
        <v>0</v>
      </c>
      <c r="H431" s="2559">
        <v>-2061039</v>
      </c>
      <c r="J431" s="2551">
        <v>19</v>
      </c>
      <c r="K431" s="2553" t="s">
        <v>7369</v>
      </c>
      <c r="L431" s="2551" t="e">
        <f t="shared" si="6"/>
        <v>#N/A</v>
      </c>
      <c r="W431" s="2979"/>
    </row>
    <row r="432" spans="1:23" hidden="1">
      <c r="A432" s="2551">
        <v>1424314</v>
      </c>
      <c r="B432" s="2551" t="s">
        <v>7417</v>
      </c>
      <c r="C432" s="2551">
        <v>3</v>
      </c>
      <c r="D432" s="2551" t="s">
        <v>7368</v>
      </c>
      <c r="E432" s="2550" t="s">
        <v>7215</v>
      </c>
      <c r="F432" s="2551">
        <v>76</v>
      </c>
      <c r="G432" s="2551">
        <v>0</v>
      </c>
      <c r="H432" s="2559">
        <v>-691401</v>
      </c>
      <c r="J432" s="2551">
        <v>19</v>
      </c>
      <c r="K432" s="2553" t="s">
        <v>7369</v>
      </c>
      <c r="L432" s="2551" t="e">
        <f t="shared" si="6"/>
        <v>#N/A</v>
      </c>
      <c r="W432" s="2979"/>
    </row>
    <row r="433" spans="1:23" hidden="1">
      <c r="A433" s="2551">
        <v>1424321</v>
      </c>
      <c r="B433" s="2551" t="s">
        <v>6021</v>
      </c>
      <c r="C433" s="2551">
        <v>10</v>
      </c>
      <c r="D433" s="2551" t="s">
        <v>7367</v>
      </c>
      <c r="E433" s="2550" t="s">
        <v>7215</v>
      </c>
      <c r="F433" s="2551">
        <v>103</v>
      </c>
      <c r="G433" s="2552">
        <v>0</v>
      </c>
      <c r="H433" s="2552">
        <v>-1303648</v>
      </c>
      <c r="J433" s="2551">
        <v>10</v>
      </c>
      <c r="K433" s="2553" t="s">
        <v>7292</v>
      </c>
      <c r="L433" s="2551" t="e">
        <f t="shared" si="6"/>
        <v>#N/A</v>
      </c>
      <c r="W433" s="2979"/>
    </row>
    <row r="434" spans="1:23" hidden="1">
      <c r="A434" s="2551">
        <v>1424324</v>
      </c>
      <c r="B434" s="2551" t="s">
        <v>6024</v>
      </c>
      <c r="C434" s="2551">
        <v>10</v>
      </c>
      <c r="D434" s="2551" t="s">
        <v>7367</v>
      </c>
      <c r="E434" s="2550" t="s">
        <v>7215</v>
      </c>
      <c r="F434" s="2551">
        <v>103</v>
      </c>
      <c r="G434" s="2552">
        <v>-35328569</v>
      </c>
      <c r="H434" s="2552">
        <v>0</v>
      </c>
      <c r="J434" s="2551">
        <v>10</v>
      </c>
      <c r="K434" s="2553" t="s">
        <v>7292</v>
      </c>
      <c r="L434" s="2551" t="e">
        <f t="shared" si="6"/>
        <v>#N/A</v>
      </c>
      <c r="W434" s="2979"/>
    </row>
    <row r="435" spans="1:23" hidden="1">
      <c r="A435" s="2551">
        <v>1424325</v>
      </c>
      <c r="B435" s="2551" t="s">
        <v>7418</v>
      </c>
      <c r="C435" s="2551">
        <v>10</v>
      </c>
      <c r="D435" s="2551" t="s">
        <v>7367</v>
      </c>
      <c r="E435" s="2550" t="s">
        <v>7215</v>
      </c>
      <c r="F435" s="2551">
        <v>103</v>
      </c>
      <c r="G435" s="2552">
        <v>0</v>
      </c>
      <c r="H435" s="2552">
        <v>-118678354.7</v>
      </c>
      <c r="J435" s="2551">
        <v>10</v>
      </c>
      <c r="K435" s="2553" t="s">
        <v>7292</v>
      </c>
      <c r="L435" s="2551" t="e">
        <f t="shared" si="6"/>
        <v>#N/A</v>
      </c>
      <c r="W435" s="2979"/>
    </row>
    <row r="436" spans="1:23" hidden="1">
      <c r="A436" s="2551">
        <v>1424326</v>
      </c>
      <c r="B436" s="2551" t="s">
        <v>6026</v>
      </c>
      <c r="C436" s="2551">
        <v>10</v>
      </c>
      <c r="D436" s="2551" t="s">
        <v>7367</v>
      </c>
      <c r="E436" s="2550" t="s">
        <v>7215</v>
      </c>
      <c r="F436" s="2551">
        <v>103</v>
      </c>
      <c r="G436" s="2552">
        <v>-15613803</v>
      </c>
      <c r="H436" s="2552">
        <v>-13446192</v>
      </c>
      <c r="J436" s="2551">
        <v>10</v>
      </c>
      <c r="K436" s="2553" t="s">
        <v>7292</v>
      </c>
      <c r="L436" s="2551" t="e">
        <f t="shared" si="6"/>
        <v>#N/A</v>
      </c>
      <c r="W436" s="2979"/>
    </row>
    <row r="437" spans="1:23" hidden="1">
      <c r="A437" s="2551">
        <v>1424327</v>
      </c>
      <c r="B437" s="2551" t="s">
        <v>7419</v>
      </c>
      <c r="C437" s="2551">
        <v>10</v>
      </c>
      <c r="D437" s="2551" t="s">
        <v>7367</v>
      </c>
      <c r="E437" s="2550" t="s">
        <v>7215</v>
      </c>
      <c r="F437" s="2551">
        <v>103</v>
      </c>
      <c r="G437" s="2552">
        <v>-1353771893.95</v>
      </c>
      <c r="H437" s="2552">
        <v>-263759892</v>
      </c>
      <c r="J437" s="2551">
        <v>10</v>
      </c>
      <c r="K437" s="2553" t="s">
        <v>7292</v>
      </c>
      <c r="L437" s="2551" t="e">
        <f t="shared" si="6"/>
        <v>#N/A</v>
      </c>
      <c r="W437" s="2979"/>
    </row>
    <row r="438" spans="1:23" hidden="1">
      <c r="A438" s="2551">
        <v>1424328</v>
      </c>
      <c r="B438" s="2551" t="s">
        <v>7370</v>
      </c>
      <c r="C438" s="2551">
        <v>10</v>
      </c>
      <c r="D438" s="2551" t="s">
        <v>7367</v>
      </c>
      <c r="E438" s="2550" t="s">
        <v>7215</v>
      </c>
      <c r="F438" s="2551">
        <v>103</v>
      </c>
      <c r="G438" s="2552">
        <v>-29565472.620000001</v>
      </c>
      <c r="H438" s="2552">
        <v>-8889650.0999999996</v>
      </c>
      <c r="J438" s="2551">
        <v>10</v>
      </c>
      <c r="K438" s="2553" t="s">
        <v>7292</v>
      </c>
      <c r="L438" s="2551" t="e">
        <f t="shared" si="6"/>
        <v>#N/A</v>
      </c>
      <c r="W438" s="2979"/>
    </row>
    <row r="439" spans="1:23" hidden="1">
      <c r="A439" s="2551">
        <v>1424329</v>
      </c>
      <c r="B439" s="2551" t="s">
        <v>6029</v>
      </c>
      <c r="C439" s="2551">
        <v>10</v>
      </c>
      <c r="D439" s="2551" t="s">
        <v>7367</v>
      </c>
      <c r="E439" s="2550" t="s">
        <v>7215</v>
      </c>
      <c r="F439" s="2551">
        <v>103</v>
      </c>
      <c r="G439" s="2552">
        <v>-50000</v>
      </c>
      <c r="H439" s="2552">
        <v>0</v>
      </c>
      <c r="J439" s="2551">
        <v>10</v>
      </c>
      <c r="K439" s="2553" t="s">
        <v>7292</v>
      </c>
      <c r="L439" s="2551" t="e">
        <f t="shared" si="6"/>
        <v>#N/A</v>
      </c>
      <c r="W439" s="2979"/>
    </row>
    <row r="440" spans="1:23" hidden="1">
      <c r="A440" s="2551">
        <v>1424330</v>
      </c>
      <c r="B440" s="2551" t="s">
        <v>6640</v>
      </c>
      <c r="C440" s="2551">
        <v>10</v>
      </c>
      <c r="D440" s="2551" t="s">
        <v>7367</v>
      </c>
      <c r="E440" s="2550" t="s">
        <v>7215</v>
      </c>
      <c r="F440" s="2551">
        <v>103</v>
      </c>
      <c r="G440" s="2552">
        <v>-63705.61</v>
      </c>
      <c r="H440" s="2552">
        <v>0</v>
      </c>
      <c r="J440" s="2551">
        <v>10</v>
      </c>
      <c r="K440" s="2553" t="s">
        <v>7292</v>
      </c>
      <c r="L440" s="2551" t="e">
        <f t="shared" si="6"/>
        <v>#N/A</v>
      </c>
      <c r="W440" s="2979"/>
    </row>
    <row r="441" spans="1:23" hidden="1">
      <c r="A441" s="2551">
        <v>1424331</v>
      </c>
      <c r="B441" s="2551" t="s">
        <v>6641</v>
      </c>
      <c r="C441" s="2551">
        <v>10</v>
      </c>
      <c r="D441" s="2551" t="s">
        <v>7367</v>
      </c>
      <c r="E441" s="2550" t="s">
        <v>7215</v>
      </c>
      <c r="F441" s="2551">
        <v>103</v>
      </c>
      <c r="G441" s="2552">
        <v>-210042</v>
      </c>
      <c r="H441" s="2552">
        <v>0</v>
      </c>
      <c r="J441" s="2551">
        <v>10</v>
      </c>
      <c r="K441" s="2553" t="s">
        <v>7292</v>
      </c>
      <c r="L441" s="2551" t="e">
        <f t="shared" si="6"/>
        <v>#N/A</v>
      </c>
      <c r="W441" s="2979"/>
    </row>
    <row r="442" spans="1:23" hidden="1">
      <c r="A442" s="2551">
        <v>1424332</v>
      </c>
      <c r="B442" s="2551" t="s">
        <v>7420</v>
      </c>
      <c r="C442" s="2551">
        <v>10</v>
      </c>
      <c r="D442" s="2551" t="s">
        <v>7367</v>
      </c>
      <c r="E442" s="2550" t="s">
        <v>7215</v>
      </c>
      <c r="F442" s="2551">
        <v>103</v>
      </c>
      <c r="G442" s="2552">
        <v>-25401</v>
      </c>
      <c r="H442" s="2552">
        <v>0</v>
      </c>
      <c r="J442" s="2551">
        <v>10</v>
      </c>
      <c r="K442" s="2553" t="s">
        <v>7292</v>
      </c>
      <c r="L442" s="2551" t="e">
        <f t="shared" si="6"/>
        <v>#N/A</v>
      </c>
      <c r="W442" s="2979"/>
    </row>
    <row r="443" spans="1:23" hidden="1">
      <c r="A443" s="2551">
        <v>1424333</v>
      </c>
      <c r="B443" s="2551" t="s">
        <v>7421</v>
      </c>
      <c r="C443" s="2551">
        <v>10</v>
      </c>
      <c r="D443" s="2551" t="s">
        <v>7367</v>
      </c>
      <c r="E443" s="2550" t="s">
        <v>7215</v>
      </c>
      <c r="F443" s="2551">
        <v>103</v>
      </c>
      <c r="G443" s="2552">
        <v>-703915511.37</v>
      </c>
      <c r="H443" s="2552">
        <v>-145256555.30000001</v>
      </c>
      <c r="J443" s="2551">
        <v>10</v>
      </c>
      <c r="K443" s="2553" t="s">
        <v>7292</v>
      </c>
      <c r="L443" s="2551" t="e">
        <f t="shared" si="6"/>
        <v>#N/A</v>
      </c>
      <c r="W443" s="2979"/>
    </row>
    <row r="444" spans="1:23" hidden="1">
      <c r="A444" s="2551">
        <v>1424334</v>
      </c>
      <c r="B444" s="2551" t="s">
        <v>7422</v>
      </c>
      <c r="C444" s="2551">
        <v>10</v>
      </c>
      <c r="D444" s="2551" t="s">
        <v>7367</v>
      </c>
      <c r="E444" s="2550" t="s">
        <v>7215</v>
      </c>
      <c r="F444" s="2551">
        <v>103</v>
      </c>
      <c r="G444" s="2552">
        <v>-18173284.5</v>
      </c>
      <c r="H444" s="2552">
        <v>0</v>
      </c>
      <c r="J444" s="2551">
        <v>10</v>
      </c>
      <c r="K444" s="2553" t="s">
        <v>7292</v>
      </c>
      <c r="L444" s="2551" t="e">
        <f t="shared" si="6"/>
        <v>#N/A</v>
      </c>
      <c r="W444" s="2979"/>
    </row>
    <row r="445" spans="1:23" hidden="1">
      <c r="A445" s="2551">
        <v>1424335</v>
      </c>
      <c r="B445" s="2551" t="s">
        <v>7423</v>
      </c>
      <c r="C445" s="2551">
        <v>10</v>
      </c>
      <c r="D445" s="2551" t="s">
        <v>7367</v>
      </c>
      <c r="E445" s="2550" t="s">
        <v>7215</v>
      </c>
      <c r="F445" s="2551">
        <v>103</v>
      </c>
      <c r="G445" s="2552">
        <v>-11250200.050000001</v>
      </c>
      <c r="H445" s="2552">
        <v>0</v>
      </c>
      <c r="J445" s="2551">
        <v>10</v>
      </c>
      <c r="K445" s="2553" t="s">
        <v>7292</v>
      </c>
      <c r="L445" s="2551" t="e">
        <f t="shared" si="6"/>
        <v>#N/A</v>
      </c>
      <c r="W445" s="2979"/>
    </row>
    <row r="446" spans="1:23" hidden="1">
      <c r="A446" s="2551">
        <v>1424336</v>
      </c>
      <c r="B446" s="2551" t="s">
        <v>7424</v>
      </c>
      <c r="C446" s="2551">
        <v>10</v>
      </c>
      <c r="D446" s="2551" t="s">
        <v>7367</v>
      </c>
      <c r="E446" s="2550" t="s">
        <v>7215</v>
      </c>
      <c r="F446" s="2551">
        <v>103</v>
      </c>
      <c r="G446" s="2552">
        <v>-70.8</v>
      </c>
      <c r="H446" s="2552">
        <v>0</v>
      </c>
      <c r="J446" s="2551">
        <v>10</v>
      </c>
      <c r="K446" s="2553" t="s">
        <v>7292</v>
      </c>
      <c r="L446" s="2551" t="e">
        <f t="shared" si="6"/>
        <v>#N/A</v>
      </c>
      <c r="W446" s="2979"/>
    </row>
    <row r="447" spans="1:23" hidden="1">
      <c r="A447" s="2551">
        <v>1424337</v>
      </c>
      <c r="B447" s="2551" t="s">
        <v>7425</v>
      </c>
      <c r="C447" s="2551">
        <v>10</v>
      </c>
      <c r="D447" s="2551" t="s">
        <v>7367</v>
      </c>
      <c r="E447" s="2550" t="s">
        <v>7215</v>
      </c>
      <c r="F447" s="2551">
        <v>103</v>
      </c>
      <c r="G447" s="2552">
        <v>8570</v>
      </c>
      <c r="H447" s="2552">
        <v>0</v>
      </c>
      <c r="J447" s="2551">
        <v>10</v>
      </c>
      <c r="K447" s="2553" t="s">
        <v>7292</v>
      </c>
      <c r="L447" s="2551" t="e">
        <f t="shared" si="6"/>
        <v>#N/A</v>
      </c>
      <c r="W447" s="2979"/>
    </row>
    <row r="448" spans="1:23" hidden="1">
      <c r="A448" s="2551">
        <v>1424338</v>
      </c>
      <c r="B448" s="2551" t="s">
        <v>7426</v>
      </c>
      <c r="C448" s="2551">
        <v>10</v>
      </c>
      <c r="D448" s="2551" t="s">
        <v>7367</v>
      </c>
      <c r="E448" s="2550" t="s">
        <v>7215</v>
      </c>
      <c r="F448" s="2551">
        <v>103</v>
      </c>
      <c r="G448" s="2552">
        <v>0</v>
      </c>
      <c r="H448" s="2552">
        <v>-73103384.25</v>
      </c>
      <c r="J448" s="2551">
        <v>10</v>
      </c>
      <c r="K448" s="2553" t="s">
        <v>7292</v>
      </c>
      <c r="L448" s="2551" t="e">
        <f t="shared" si="6"/>
        <v>#N/A</v>
      </c>
      <c r="W448" s="2979"/>
    </row>
    <row r="449" spans="1:23" hidden="1">
      <c r="A449" s="2551">
        <v>1424339</v>
      </c>
      <c r="B449" s="2551" t="s">
        <v>7427</v>
      </c>
      <c r="C449" s="2551">
        <v>10</v>
      </c>
      <c r="D449" s="2551" t="s">
        <v>7367</v>
      </c>
      <c r="E449" s="2550" t="s">
        <v>7215</v>
      </c>
      <c r="F449" s="2551">
        <v>103</v>
      </c>
      <c r="G449" s="2552">
        <v>-421672</v>
      </c>
      <c r="H449" s="2552">
        <v>-198552</v>
      </c>
      <c r="J449" s="2551">
        <v>10</v>
      </c>
      <c r="K449" s="2553" t="s">
        <v>7292</v>
      </c>
      <c r="L449" s="2551" t="e">
        <f t="shared" si="6"/>
        <v>#N/A</v>
      </c>
      <c r="W449" s="2979"/>
    </row>
    <row r="450" spans="1:23" hidden="1">
      <c r="A450" s="2551">
        <v>1424346</v>
      </c>
      <c r="B450" s="2551" t="s">
        <v>7428</v>
      </c>
      <c r="C450" s="2551">
        <v>10</v>
      </c>
      <c r="D450" s="2551" t="s">
        <v>7367</v>
      </c>
      <c r="E450" s="2550" t="s">
        <v>7215</v>
      </c>
      <c r="F450" s="2551">
        <v>103</v>
      </c>
      <c r="G450" s="2552">
        <v>-4409073</v>
      </c>
      <c r="H450" s="2552">
        <v>-4668562</v>
      </c>
      <c r="J450" s="2551">
        <v>10</v>
      </c>
      <c r="K450" s="2553" t="s">
        <v>7292</v>
      </c>
      <c r="L450" s="2551" t="e">
        <f t="shared" si="6"/>
        <v>#N/A</v>
      </c>
      <c r="W450" s="2979"/>
    </row>
    <row r="451" spans="1:23" hidden="1">
      <c r="A451" s="2551">
        <v>1424347</v>
      </c>
      <c r="B451" s="2551" t="s">
        <v>7429</v>
      </c>
      <c r="C451" s="2551">
        <v>10</v>
      </c>
      <c r="D451" s="2551" t="s">
        <v>7367</v>
      </c>
      <c r="E451" s="2550" t="s">
        <v>7215</v>
      </c>
      <c r="F451" s="2551">
        <v>103</v>
      </c>
      <c r="G451" s="2552">
        <v>-15148470.75</v>
      </c>
      <c r="H451" s="2552">
        <v>0</v>
      </c>
      <c r="J451" s="2551">
        <v>10</v>
      </c>
      <c r="K451" s="2553" t="s">
        <v>7292</v>
      </c>
      <c r="L451" s="2551" t="e">
        <f t="shared" si="6"/>
        <v>#N/A</v>
      </c>
      <c r="W451" s="2979"/>
    </row>
    <row r="452" spans="1:23" hidden="1">
      <c r="A452" s="2551">
        <v>1424348</v>
      </c>
      <c r="B452" s="2551" t="s">
        <v>7430</v>
      </c>
      <c r="C452" s="2551">
        <v>10</v>
      </c>
      <c r="D452" s="2551" t="s">
        <v>7367</v>
      </c>
      <c r="E452" s="2550" t="s">
        <v>7215</v>
      </c>
      <c r="F452" s="2551">
        <v>103</v>
      </c>
      <c r="G452" s="2552">
        <v>-19261.14</v>
      </c>
      <c r="H452" s="2552">
        <v>0</v>
      </c>
      <c r="J452" s="2551">
        <v>10</v>
      </c>
      <c r="K452" s="2553" t="s">
        <v>7292</v>
      </c>
      <c r="L452" s="2551" t="e">
        <f t="shared" ref="L452:L515" si="7">VLOOKUP(A452,P:P,1,0)</f>
        <v>#N/A</v>
      </c>
      <c r="W452" s="2979"/>
    </row>
    <row r="453" spans="1:23" hidden="1">
      <c r="A453" s="2551">
        <v>1424349</v>
      </c>
      <c r="B453" s="2551" t="s">
        <v>6044</v>
      </c>
      <c r="C453" s="2551">
        <v>10</v>
      </c>
      <c r="D453" s="2551" t="s">
        <v>7367</v>
      </c>
      <c r="E453" s="2550" t="s">
        <v>7215</v>
      </c>
      <c r="F453" s="2551">
        <v>103</v>
      </c>
      <c r="G453" s="2552">
        <v>-34455008</v>
      </c>
      <c r="H453" s="2552">
        <v>-17890875</v>
      </c>
      <c r="J453" s="2551">
        <v>10</v>
      </c>
      <c r="K453" s="2553" t="s">
        <v>7292</v>
      </c>
      <c r="L453" s="2551" t="e">
        <f t="shared" si="7"/>
        <v>#N/A</v>
      </c>
      <c r="W453" s="2979"/>
    </row>
    <row r="454" spans="1:23" hidden="1">
      <c r="A454" s="2551">
        <v>1424350</v>
      </c>
      <c r="B454" s="2551" t="s">
        <v>6045</v>
      </c>
      <c r="C454" s="2551">
        <v>10</v>
      </c>
      <c r="D454" s="2551" t="s">
        <v>7367</v>
      </c>
      <c r="E454" s="2550" t="s">
        <v>7215</v>
      </c>
      <c r="F454" s="2551">
        <v>103</v>
      </c>
      <c r="G454" s="2552">
        <v>-29750890.760000002</v>
      </c>
      <c r="H454" s="2552">
        <v>-4891334.0999999996</v>
      </c>
      <c r="J454" s="2551">
        <v>10</v>
      </c>
      <c r="K454" s="2553" t="s">
        <v>7292</v>
      </c>
      <c r="L454" s="2551" t="e">
        <f t="shared" si="7"/>
        <v>#N/A</v>
      </c>
      <c r="W454" s="2979"/>
    </row>
    <row r="455" spans="1:23" hidden="1">
      <c r="A455" s="2551">
        <v>1424351</v>
      </c>
      <c r="B455" s="2551" t="s">
        <v>7431</v>
      </c>
      <c r="C455" s="2551">
        <v>10</v>
      </c>
      <c r="D455" s="2551" t="s">
        <v>7367</v>
      </c>
      <c r="E455" s="2550" t="s">
        <v>7215</v>
      </c>
      <c r="F455" s="2551">
        <v>103</v>
      </c>
      <c r="G455" s="2552">
        <v>-2723668934.6300001</v>
      </c>
      <c r="H455" s="2552">
        <v>-482365011</v>
      </c>
      <c r="J455" s="2551">
        <v>10</v>
      </c>
      <c r="K455" s="2553" t="s">
        <v>7292</v>
      </c>
      <c r="L455" s="2551" t="e">
        <f t="shared" si="7"/>
        <v>#N/A</v>
      </c>
      <c r="W455" s="2979"/>
    </row>
    <row r="456" spans="1:23" hidden="1">
      <c r="A456" s="2551">
        <v>1424352</v>
      </c>
      <c r="B456" s="2551" t="s">
        <v>7432</v>
      </c>
      <c r="C456" s="2551">
        <v>10</v>
      </c>
      <c r="D456" s="2551" t="s">
        <v>7367</v>
      </c>
      <c r="E456" s="2550" t="s">
        <v>7215</v>
      </c>
      <c r="F456" s="2551">
        <v>103</v>
      </c>
      <c r="G456" s="2552">
        <v>-210749368</v>
      </c>
      <c r="H456" s="2552">
        <v>-30700000</v>
      </c>
      <c r="J456" s="2551">
        <v>10</v>
      </c>
      <c r="K456" s="2553" t="s">
        <v>7292</v>
      </c>
      <c r="L456" s="2551" t="e">
        <f t="shared" si="7"/>
        <v>#N/A</v>
      </c>
      <c r="W456" s="2979"/>
    </row>
    <row r="457" spans="1:23" hidden="1">
      <c r="A457" s="2551">
        <v>1424353</v>
      </c>
      <c r="B457" s="2551" t="s">
        <v>7433</v>
      </c>
      <c r="C457" s="2551">
        <v>10</v>
      </c>
      <c r="D457" s="2551" t="s">
        <v>7367</v>
      </c>
      <c r="E457" s="2550" t="s">
        <v>7215</v>
      </c>
      <c r="F457" s="2551">
        <v>103</v>
      </c>
      <c r="G457" s="2552">
        <v>-4321.6000000000004</v>
      </c>
      <c r="H457" s="2552">
        <v>0</v>
      </c>
      <c r="J457" s="2551">
        <v>10</v>
      </c>
      <c r="K457" s="2553" t="s">
        <v>7292</v>
      </c>
      <c r="L457" s="2551" t="e">
        <f t="shared" si="7"/>
        <v>#N/A</v>
      </c>
      <c r="W457" s="2979"/>
    </row>
    <row r="458" spans="1:23" hidden="1">
      <c r="A458" s="2551">
        <v>1424354</v>
      </c>
      <c r="B458" s="2551" t="s">
        <v>7434</v>
      </c>
      <c r="C458" s="2551">
        <v>10</v>
      </c>
      <c r="D458" s="2551" t="s">
        <v>7367</v>
      </c>
      <c r="E458" s="2550" t="s">
        <v>7215</v>
      </c>
      <c r="F458" s="2551">
        <v>103</v>
      </c>
      <c r="G458" s="2552">
        <v>-2739041.49</v>
      </c>
      <c r="H458" s="2552">
        <v>0</v>
      </c>
      <c r="J458" s="2551">
        <v>10</v>
      </c>
      <c r="K458" s="2553" t="s">
        <v>7292</v>
      </c>
      <c r="L458" s="2551" t="e">
        <f t="shared" si="7"/>
        <v>#N/A</v>
      </c>
      <c r="W458" s="2979"/>
    </row>
    <row r="459" spans="1:23" hidden="1">
      <c r="A459" s="2551">
        <v>1424357</v>
      </c>
      <c r="B459" s="2551" t="s">
        <v>7371</v>
      </c>
      <c r="C459" s="2551">
        <v>10</v>
      </c>
      <c r="D459" s="2551" t="s">
        <v>7367</v>
      </c>
      <c r="E459" s="2550" t="s">
        <v>7215</v>
      </c>
      <c r="F459" s="2551">
        <v>103</v>
      </c>
      <c r="G459" s="2552">
        <v>-55807695.149999999</v>
      </c>
      <c r="H459" s="2552">
        <v>-36379418.100000001</v>
      </c>
      <c r="J459" s="2551">
        <v>10</v>
      </c>
      <c r="K459" s="2553" t="s">
        <v>7292</v>
      </c>
      <c r="L459" s="2551" t="e">
        <f t="shared" si="7"/>
        <v>#N/A</v>
      </c>
      <c r="W459" s="2979"/>
    </row>
    <row r="460" spans="1:23" hidden="1">
      <c r="A460" s="2551">
        <v>1424359</v>
      </c>
      <c r="B460" s="2551" t="s">
        <v>7373</v>
      </c>
      <c r="C460" s="2551">
        <v>10</v>
      </c>
      <c r="D460" s="2551" t="s">
        <v>7367</v>
      </c>
      <c r="E460" s="2550" t="s">
        <v>7215</v>
      </c>
      <c r="F460" s="2551">
        <v>103</v>
      </c>
      <c r="G460" s="2552">
        <v>-20345442.100000001</v>
      </c>
      <c r="H460" s="2552">
        <v>0</v>
      </c>
      <c r="J460" s="2551">
        <v>10</v>
      </c>
      <c r="K460" s="2553" t="s">
        <v>7292</v>
      </c>
      <c r="L460" s="2551" t="e">
        <f t="shared" si="7"/>
        <v>#N/A</v>
      </c>
      <c r="W460" s="2979"/>
    </row>
    <row r="461" spans="1:23" hidden="1">
      <c r="A461" s="2551">
        <v>1424360</v>
      </c>
      <c r="B461" s="2551" t="s">
        <v>7374</v>
      </c>
      <c r="C461" s="2551">
        <v>10</v>
      </c>
      <c r="D461" s="2551" t="s">
        <v>7367</v>
      </c>
      <c r="E461" s="2550" t="s">
        <v>7215</v>
      </c>
      <c r="F461" s="2551">
        <v>103</v>
      </c>
      <c r="G461" s="2552">
        <v>-17.7</v>
      </c>
      <c r="H461" s="2552">
        <v>0</v>
      </c>
      <c r="J461" s="2551">
        <v>10</v>
      </c>
      <c r="K461" s="2553" t="s">
        <v>7292</v>
      </c>
      <c r="L461" s="2551" t="e">
        <f t="shared" si="7"/>
        <v>#N/A</v>
      </c>
      <c r="W461" s="2979"/>
    </row>
    <row r="462" spans="1:23" hidden="1">
      <c r="A462" s="2551">
        <v>1424361</v>
      </c>
      <c r="B462" s="2551" t="s">
        <v>7375</v>
      </c>
      <c r="C462" s="2551">
        <v>10</v>
      </c>
      <c r="D462" s="2551" t="s">
        <v>7367</v>
      </c>
      <c r="E462" s="2550" t="s">
        <v>7215</v>
      </c>
      <c r="F462" s="2551">
        <v>103</v>
      </c>
      <c r="G462" s="2552">
        <v>-14000</v>
      </c>
      <c r="H462" s="2552">
        <v>0</v>
      </c>
      <c r="J462" s="2551">
        <v>10</v>
      </c>
      <c r="K462" s="2553" t="s">
        <v>7292</v>
      </c>
      <c r="L462" s="2551" t="e">
        <f t="shared" si="7"/>
        <v>#N/A</v>
      </c>
      <c r="W462" s="2979"/>
    </row>
    <row r="463" spans="1:23" hidden="1">
      <c r="A463" s="2551">
        <v>1424362</v>
      </c>
      <c r="B463" s="2551" t="s">
        <v>7376</v>
      </c>
      <c r="C463" s="2551">
        <v>10</v>
      </c>
      <c r="D463" s="2551" t="s">
        <v>7367</v>
      </c>
      <c r="E463" s="2550" t="s">
        <v>7215</v>
      </c>
      <c r="F463" s="2551">
        <v>103</v>
      </c>
      <c r="G463" s="2552">
        <v>-40786</v>
      </c>
      <c r="H463" s="2552">
        <v>0</v>
      </c>
      <c r="J463" s="2551">
        <v>10</v>
      </c>
      <c r="K463" s="2553" t="s">
        <v>7292</v>
      </c>
      <c r="L463" s="2551" t="e">
        <f t="shared" si="7"/>
        <v>#N/A</v>
      </c>
      <c r="W463" s="2979"/>
    </row>
    <row r="464" spans="1:23" hidden="1">
      <c r="A464" s="2551">
        <v>1424363</v>
      </c>
      <c r="B464" s="2551" t="s">
        <v>7435</v>
      </c>
      <c r="C464" s="2551">
        <v>10</v>
      </c>
      <c r="D464" s="2551" t="s">
        <v>7367</v>
      </c>
      <c r="E464" s="2550" t="s">
        <v>7215</v>
      </c>
      <c r="F464" s="2551">
        <v>103</v>
      </c>
      <c r="G464" s="2552">
        <v>-25521507</v>
      </c>
      <c r="H464" s="2552">
        <v>-7513333</v>
      </c>
      <c r="J464" s="2551">
        <v>10</v>
      </c>
      <c r="K464" s="2553" t="s">
        <v>7292</v>
      </c>
      <c r="L464" s="2551" t="e">
        <f t="shared" si="7"/>
        <v>#N/A</v>
      </c>
      <c r="W464" s="2979"/>
    </row>
    <row r="465" spans="1:23" hidden="1">
      <c r="A465" s="2551">
        <v>1424364</v>
      </c>
      <c r="B465" s="2551" t="s">
        <v>7436</v>
      </c>
      <c r="C465" s="2551">
        <v>10</v>
      </c>
      <c r="D465" s="2551" t="s">
        <v>7367</v>
      </c>
      <c r="E465" s="2550" t="s">
        <v>7215</v>
      </c>
      <c r="F465" s="2551">
        <v>103</v>
      </c>
      <c r="G465" s="2552">
        <v>-217227141.44</v>
      </c>
      <c r="H465" s="2552">
        <v>-45276900.32</v>
      </c>
      <c r="J465" s="2551">
        <v>10</v>
      </c>
      <c r="K465" s="2553" t="s">
        <v>7292</v>
      </c>
      <c r="L465" s="2551" t="e">
        <f t="shared" si="7"/>
        <v>#N/A</v>
      </c>
      <c r="W465" s="2979"/>
    </row>
    <row r="466" spans="1:23" hidden="1">
      <c r="A466" s="2551">
        <v>1424365</v>
      </c>
      <c r="B466" s="2551" t="s">
        <v>7437</v>
      </c>
      <c r="C466" s="2551">
        <v>10</v>
      </c>
      <c r="D466" s="2551" t="s">
        <v>7367</v>
      </c>
      <c r="E466" s="2550" t="s">
        <v>7215</v>
      </c>
      <c r="F466" s="2551">
        <v>103</v>
      </c>
      <c r="G466" s="2552">
        <v>-26028841.719999999</v>
      </c>
      <c r="H466" s="2552">
        <v>-13762587.789999999</v>
      </c>
      <c r="J466" s="2551">
        <v>10</v>
      </c>
      <c r="K466" s="2553" t="s">
        <v>7292</v>
      </c>
      <c r="L466" s="2551" t="e">
        <f t="shared" si="7"/>
        <v>#N/A</v>
      </c>
      <c r="W466" s="2979"/>
    </row>
    <row r="467" spans="1:23" hidden="1">
      <c r="A467" s="2551">
        <v>1424367</v>
      </c>
      <c r="B467" s="2551" t="s">
        <v>7438</v>
      </c>
      <c r="C467" s="2551">
        <v>10</v>
      </c>
      <c r="D467" s="2551" t="s">
        <v>7367</v>
      </c>
      <c r="E467" s="2550" t="s">
        <v>7215</v>
      </c>
      <c r="F467" s="2551">
        <v>103</v>
      </c>
      <c r="G467" s="2552">
        <v>-289.10000000000002</v>
      </c>
      <c r="H467" s="2552">
        <v>0</v>
      </c>
      <c r="J467" s="2551">
        <v>10</v>
      </c>
      <c r="K467" s="2553" t="s">
        <v>7292</v>
      </c>
      <c r="L467" s="2551" t="e">
        <f t="shared" si="7"/>
        <v>#N/A</v>
      </c>
      <c r="W467" s="2979"/>
    </row>
    <row r="468" spans="1:23" hidden="1">
      <c r="A468" s="2551">
        <v>1424369</v>
      </c>
      <c r="B468" s="2551" t="s">
        <v>7439</v>
      </c>
      <c r="C468" s="2551">
        <v>10</v>
      </c>
      <c r="D468" s="2551" t="s">
        <v>7367</v>
      </c>
      <c r="E468" s="2550" t="s">
        <v>7215</v>
      </c>
      <c r="F468" s="2551">
        <v>103</v>
      </c>
      <c r="G468" s="2552">
        <v>-6104299</v>
      </c>
      <c r="H468" s="2552">
        <v>0</v>
      </c>
      <c r="J468" s="2551">
        <v>10</v>
      </c>
      <c r="K468" s="2553" t="s">
        <v>7292</v>
      </c>
      <c r="L468" s="2551" t="e">
        <f t="shared" si="7"/>
        <v>#N/A</v>
      </c>
      <c r="W468" s="2979"/>
    </row>
    <row r="469" spans="1:23" hidden="1">
      <c r="A469" s="2551">
        <v>1424370</v>
      </c>
      <c r="B469" s="2551" t="s">
        <v>7440</v>
      </c>
      <c r="C469" s="2551">
        <v>10</v>
      </c>
      <c r="D469" s="2551" t="s">
        <v>7367</v>
      </c>
      <c r="E469" s="2550" t="s">
        <v>7215</v>
      </c>
      <c r="F469" s="2551">
        <v>103</v>
      </c>
      <c r="G469" s="2552">
        <v>-11393</v>
      </c>
      <c r="H469" s="2552">
        <v>0</v>
      </c>
      <c r="J469" s="2551">
        <v>10</v>
      </c>
      <c r="K469" s="2553" t="s">
        <v>7292</v>
      </c>
      <c r="L469" s="2551" t="e">
        <f t="shared" si="7"/>
        <v>#N/A</v>
      </c>
      <c r="W469" s="2979"/>
    </row>
    <row r="470" spans="1:23" hidden="1">
      <c r="A470" s="2551">
        <v>1424371</v>
      </c>
      <c r="B470" s="2551" t="s">
        <v>7441</v>
      </c>
      <c r="C470" s="2551">
        <v>10</v>
      </c>
      <c r="D470" s="2551" t="s">
        <v>7367</v>
      </c>
      <c r="E470" s="2550" t="s">
        <v>7215</v>
      </c>
      <c r="F470" s="2551">
        <v>103</v>
      </c>
      <c r="G470" s="2552">
        <v>-19859478</v>
      </c>
      <c r="H470" s="2552">
        <v>-4928864</v>
      </c>
      <c r="J470" s="2551">
        <v>10</v>
      </c>
      <c r="K470" s="2553" t="s">
        <v>7292</v>
      </c>
      <c r="L470" s="2551" t="e">
        <f t="shared" si="7"/>
        <v>#N/A</v>
      </c>
      <c r="W470" s="2979"/>
    </row>
    <row r="471" spans="1:23" hidden="1">
      <c r="A471" s="2551">
        <v>1424372</v>
      </c>
      <c r="B471" s="2551" t="s">
        <v>7442</v>
      </c>
      <c r="C471" s="2551">
        <v>10</v>
      </c>
      <c r="D471" s="2551" t="s">
        <v>7367</v>
      </c>
      <c r="E471" s="2550" t="s">
        <v>7215</v>
      </c>
      <c r="F471" s="2551">
        <v>103</v>
      </c>
      <c r="G471" s="2552">
        <v>-32110041.300000001</v>
      </c>
      <c r="H471" s="2552">
        <v>-4299322.5599999996</v>
      </c>
      <c r="J471" s="2551">
        <v>10</v>
      </c>
      <c r="K471" s="2553" t="s">
        <v>7292</v>
      </c>
      <c r="L471" s="2551" t="e">
        <f t="shared" si="7"/>
        <v>#N/A</v>
      </c>
      <c r="W471" s="2979"/>
    </row>
    <row r="472" spans="1:23" hidden="1">
      <c r="A472" s="2551">
        <v>1424374</v>
      </c>
      <c r="B472" s="2551" t="s">
        <v>6057</v>
      </c>
      <c r="C472" s="2551">
        <v>10</v>
      </c>
      <c r="D472" s="2551" t="s">
        <v>7367</v>
      </c>
      <c r="E472" s="2550" t="s">
        <v>7215</v>
      </c>
      <c r="F472" s="2551">
        <v>103</v>
      </c>
      <c r="G472" s="2552">
        <v>-171620965.38999999</v>
      </c>
      <c r="H472" s="2552">
        <v>-38119736</v>
      </c>
      <c r="J472" s="2551">
        <v>10</v>
      </c>
      <c r="K472" s="2553" t="s">
        <v>7292</v>
      </c>
      <c r="L472" s="2551" t="e">
        <f t="shared" si="7"/>
        <v>#N/A</v>
      </c>
      <c r="W472" s="2979"/>
    </row>
    <row r="473" spans="1:23" hidden="1">
      <c r="A473" s="2551">
        <v>1424375</v>
      </c>
      <c r="B473" s="2551" t="s">
        <v>6058</v>
      </c>
      <c r="C473" s="2551">
        <v>10</v>
      </c>
      <c r="D473" s="2551" t="s">
        <v>7367</v>
      </c>
      <c r="E473" s="2550" t="s">
        <v>7215</v>
      </c>
      <c r="F473" s="2551">
        <v>103</v>
      </c>
      <c r="G473" s="2552">
        <v>-5104572.3899999997</v>
      </c>
      <c r="H473" s="2552">
        <v>-2200017.7000000002</v>
      </c>
      <c r="J473" s="2551">
        <v>10</v>
      </c>
      <c r="K473" s="2553" t="s">
        <v>7292</v>
      </c>
      <c r="L473" s="2551" t="e">
        <f t="shared" si="7"/>
        <v>#N/A</v>
      </c>
      <c r="W473" s="2979"/>
    </row>
    <row r="474" spans="1:23" hidden="1">
      <c r="A474" s="2551">
        <v>1424376</v>
      </c>
      <c r="B474" s="2551" t="s">
        <v>6059</v>
      </c>
      <c r="C474" s="2551">
        <v>10</v>
      </c>
      <c r="D474" s="2551" t="s">
        <v>7367</v>
      </c>
      <c r="E474" s="2550" t="s">
        <v>7215</v>
      </c>
      <c r="F474" s="2551">
        <v>103</v>
      </c>
      <c r="G474" s="2552">
        <v>-11388402.529999999</v>
      </c>
      <c r="H474" s="2552">
        <v>-1710808.53</v>
      </c>
      <c r="J474" s="2551">
        <v>10</v>
      </c>
      <c r="K474" s="2553" t="s">
        <v>7292</v>
      </c>
      <c r="L474" s="2551" t="e">
        <f t="shared" si="7"/>
        <v>#N/A</v>
      </c>
      <c r="W474" s="2979"/>
    </row>
    <row r="475" spans="1:23" hidden="1">
      <c r="A475" s="2551">
        <v>1424377</v>
      </c>
      <c r="B475" s="2551" t="s">
        <v>6060</v>
      </c>
      <c r="C475" s="2551">
        <v>10</v>
      </c>
      <c r="D475" s="2551" t="s">
        <v>7367</v>
      </c>
      <c r="E475" s="2550" t="s">
        <v>7215</v>
      </c>
      <c r="F475" s="2551">
        <v>103</v>
      </c>
      <c r="G475" s="2552">
        <v>-11738616.199999999</v>
      </c>
      <c r="H475" s="2552">
        <v>-71415</v>
      </c>
      <c r="J475" s="2551">
        <v>10</v>
      </c>
      <c r="K475" s="2553" t="s">
        <v>7292</v>
      </c>
      <c r="L475" s="2551" t="e">
        <f t="shared" si="7"/>
        <v>#N/A</v>
      </c>
      <c r="W475" s="2979"/>
    </row>
    <row r="476" spans="1:23" hidden="1">
      <c r="A476" s="2551">
        <v>1424379</v>
      </c>
      <c r="B476" s="2551" t="s">
        <v>7443</v>
      </c>
      <c r="C476" s="2551">
        <v>10</v>
      </c>
      <c r="D476" s="2551" t="s">
        <v>7367</v>
      </c>
      <c r="E476" s="2550" t="s">
        <v>7215</v>
      </c>
      <c r="F476" s="2551">
        <v>103</v>
      </c>
      <c r="G476" s="2552">
        <v>-50940</v>
      </c>
      <c r="H476" s="2552">
        <v>0</v>
      </c>
      <c r="J476" s="2551">
        <v>10</v>
      </c>
      <c r="K476" s="2553" t="s">
        <v>7292</v>
      </c>
      <c r="L476" s="2551" t="e">
        <f t="shared" si="7"/>
        <v>#N/A</v>
      </c>
      <c r="W476" s="2979"/>
    </row>
    <row r="477" spans="1:23" hidden="1">
      <c r="A477" s="2551">
        <v>1424380</v>
      </c>
      <c r="B477" s="2551" t="s">
        <v>7444</v>
      </c>
      <c r="C477" s="2551">
        <v>10</v>
      </c>
      <c r="D477" s="2551" t="s">
        <v>7367</v>
      </c>
      <c r="E477" s="2550" t="s">
        <v>7215</v>
      </c>
      <c r="F477" s="2551">
        <v>103</v>
      </c>
      <c r="G477" s="2552">
        <v>-10000</v>
      </c>
      <c r="H477" s="2552">
        <v>0</v>
      </c>
      <c r="J477" s="2551">
        <v>10</v>
      </c>
      <c r="K477" s="2553" t="s">
        <v>7292</v>
      </c>
      <c r="L477" s="2551" t="e">
        <f t="shared" si="7"/>
        <v>#N/A</v>
      </c>
      <c r="W477" s="2979"/>
    </row>
    <row r="478" spans="1:23" hidden="1">
      <c r="A478" s="2551">
        <v>1424381</v>
      </c>
      <c r="B478" s="2551" t="s">
        <v>7445</v>
      </c>
      <c r="C478" s="2551">
        <v>10</v>
      </c>
      <c r="D478" s="2551" t="s">
        <v>7367</v>
      </c>
      <c r="E478" s="2550" t="s">
        <v>7215</v>
      </c>
      <c r="F478" s="2551">
        <v>103</v>
      </c>
      <c r="G478" s="2552">
        <v>-6299.86</v>
      </c>
      <c r="H478" s="2552">
        <v>0</v>
      </c>
      <c r="J478" s="2551">
        <v>10</v>
      </c>
      <c r="K478" s="2553" t="s">
        <v>7292</v>
      </c>
      <c r="L478" s="2551" t="e">
        <f t="shared" si="7"/>
        <v>#N/A</v>
      </c>
      <c r="W478" s="2979"/>
    </row>
    <row r="479" spans="1:23" hidden="1">
      <c r="A479" s="2551">
        <v>1424382</v>
      </c>
      <c r="B479" s="2551" t="s">
        <v>6061</v>
      </c>
      <c r="C479" s="2551">
        <v>10</v>
      </c>
      <c r="D479" s="2551" t="s">
        <v>7367</v>
      </c>
      <c r="E479" s="2550" t="s">
        <v>7215</v>
      </c>
      <c r="F479" s="2551">
        <v>103</v>
      </c>
      <c r="G479" s="2552">
        <v>-65294221.25</v>
      </c>
      <c r="H479" s="2552">
        <v>-15947984.6</v>
      </c>
      <c r="J479" s="2551">
        <v>10</v>
      </c>
      <c r="K479" s="2553" t="s">
        <v>7292</v>
      </c>
      <c r="L479" s="2551" t="e">
        <f t="shared" si="7"/>
        <v>#N/A</v>
      </c>
      <c r="W479" s="2979"/>
    </row>
    <row r="480" spans="1:23" hidden="1">
      <c r="A480" s="2551">
        <v>1424383</v>
      </c>
      <c r="B480" s="2551" t="s">
        <v>6062</v>
      </c>
      <c r="C480" s="2551">
        <v>10</v>
      </c>
      <c r="D480" s="2551" t="s">
        <v>7367</v>
      </c>
      <c r="E480" s="2550" t="s">
        <v>7215</v>
      </c>
      <c r="F480" s="2551">
        <v>103</v>
      </c>
      <c r="G480" s="2552">
        <v>-4010373.49</v>
      </c>
      <c r="H480" s="2552">
        <v>0</v>
      </c>
      <c r="J480" s="2551">
        <v>10</v>
      </c>
      <c r="K480" s="2553" t="s">
        <v>7292</v>
      </c>
      <c r="L480" s="2551" t="e">
        <f t="shared" si="7"/>
        <v>#N/A</v>
      </c>
      <c r="W480" s="2979"/>
    </row>
    <row r="481" spans="1:23" hidden="1">
      <c r="A481" s="2551">
        <v>1424384</v>
      </c>
      <c r="B481" s="2551" t="s">
        <v>6063</v>
      </c>
      <c r="C481" s="2551">
        <v>10</v>
      </c>
      <c r="D481" s="2551" t="s">
        <v>7367</v>
      </c>
      <c r="E481" s="2550" t="s">
        <v>7215</v>
      </c>
      <c r="F481" s="2551">
        <v>103</v>
      </c>
      <c r="G481" s="2552">
        <v>-7039199.5899999999</v>
      </c>
      <c r="H481" s="2552">
        <v>0</v>
      </c>
      <c r="J481" s="2551">
        <v>10</v>
      </c>
      <c r="K481" s="2553" t="s">
        <v>7292</v>
      </c>
      <c r="L481" s="2551" t="e">
        <f t="shared" si="7"/>
        <v>#N/A</v>
      </c>
      <c r="W481" s="2979"/>
    </row>
    <row r="482" spans="1:23" hidden="1">
      <c r="A482" s="2551">
        <v>1424385</v>
      </c>
      <c r="B482" s="2551" t="s">
        <v>6064</v>
      </c>
      <c r="C482" s="2551">
        <v>10</v>
      </c>
      <c r="D482" s="2551" t="s">
        <v>7367</v>
      </c>
      <c r="E482" s="2550" t="s">
        <v>7215</v>
      </c>
      <c r="F482" s="2551">
        <v>103</v>
      </c>
      <c r="G482" s="2552">
        <v>-13961062.76</v>
      </c>
      <c r="H482" s="2552">
        <v>-4478879.88</v>
      </c>
      <c r="J482" s="2551">
        <v>10</v>
      </c>
      <c r="K482" s="2553" t="s">
        <v>7292</v>
      </c>
      <c r="L482" s="2551" t="e">
        <f t="shared" si="7"/>
        <v>#N/A</v>
      </c>
      <c r="W482" s="2979"/>
    </row>
    <row r="483" spans="1:23" hidden="1">
      <c r="A483" s="2551">
        <v>1424386</v>
      </c>
      <c r="B483" s="2551" t="s">
        <v>6647</v>
      </c>
      <c r="C483" s="2551">
        <v>10</v>
      </c>
      <c r="D483" s="2551" t="s">
        <v>7367</v>
      </c>
      <c r="E483" s="2550" t="s">
        <v>7215</v>
      </c>
      <c r="F483" s="2551">
        <v>103</v>
      </c>
      <c r="G483" s="2552">
        <v>-45409</v>
      </c>
      <c r="H483" s="2552">
        <v>0</v>
      </c>
      <c r="J483" s="2551">
        <v>10</v>
      </c>
      <c r="K483" s="2553" t="s">
        <v>7292</v>
      </c>
      <c r="L483" s="2551" t="e">
        <f t="shared" si="7"/>
        <v>#N/A</v>
      </c>
      <c r="W483" s="2979"/>
    </row>
    <row r="484" spans="1:23" hidden="1">
      <c r="A484" s="2551">
        <v>1424387</v>
      </c>
      <c r="B484" s="2551" t="s">
        <v>7446</v>
      </c>
      <c r="C484" s="2551">
        <v>10</v>
      </c>
      <c r="D484" s="2551" t="s">
        <v>7367</v>
      </c>
      <c r="E484" s="2550" t="s">
        <v>7215</v>
      </c>
      <c r="F484" s="2551">
        <v>103</v>
      </c>
      <c r="G484" s="2552">
        <v>-20937</v>
      </c>
      <c r="H484" s="2552">
        <v>0</v>
      </c>
      <c r="J484" s="2551">
        <v>10</v>
      </c>
      <c r="K484" s="2553" t="s">
        <v>7292</v>
      </c>
      <c r="L484" s="2551" t="e">
        <f t="shared" si="7"/>
        <v>#N/A</v>
      </c>
      <c r="W484" s="2979"/>
    </row>
    <row r="485" spans="1:23" hidden="1">
      <c r="A485" s="2551">
        <v>1424388</v>
      </c>
      <c r="B485" s="2551" t="s">
        <v>6649</v>
      </c>
      <c r="C485" s="2551">
        <v>10</v>
      </c>
      <c r="D485" s="2551" t="s">
        <v>7367</v>
      </c>
      <c r="E485" s="2550" t="s">
        <v>7215</v>
      </c>
      <c r="F485" s="2551">
        <v>103</v>
      </c>
      <c r="G485" s="2552">
        <v>-7990482</v>
      </c>
      <c r="H485" s="2552">
        <v>0</v>
      </c>
      <c r="J485" s="2551">
        <v>10</v>
      </c>
      <c r="K485" s="2553" t="s">
        <v>7292</v>
      </c>
      <c r="L485" s="2551" t="e">
        <f t="shared" si="7"/>
        <v>#N/A</v>
      </c>
      <c r="W485" s="2979"/>
    </row>
    <row r="486" spans="1:23" hidden="1">
      <c r="A486" s="2551">
        <v>1424389</v>
      </c>
      <c r="B486" s="2551" t="s">
        <v>6650</v>
      </c>
      <c r="C486" s="2551">
        <v>10</v>
      </c>
      <c r="D486" s="2551" t="s">
        <v>7367</v>
      </c>
      <c r="E486" s="2550" t="s">
        <v>7215</v>
      </c>
      <c r="F486" s="2551">
        <v>103</v>
      </c>
      <c r="G486" s="2552">
        <v>-20369.080000000002</v>
      </c>
      <c r="H486" s="2552">
        <v>0</v>
      </c>
      <c r="J486" s="2551">
        <v>10</v>
      </c>
      <c r="K486" s="2553" t="s">
        <v>7292</v>
      </c>
      <c r="L486" s="2551" t="e">
        <f t="shared" si="7"/>
        <v>#N/A</v>
      </c>
      <c r="W486" s="2979"/>
    </row>
    <row r="487" spans="1:23" hidden="1">
      <c r="A487" s="2551">
        <v>1424390</v>
      </c>
      <c r="B487" s="2551" t="s">
        <v>7447</v>
      </c>
      <c r="C487" s="2551">
        <v>10</v>
      </c>
      <c r="D487" s="2551" t="s">
        <v>7367</v>
      </c>
      <c r="E487" s="2550" t="s">
        <v>7215</v>
      </c>
      <c r="F487" s="2551">
        <v>103</v>
      </c>
      <c r="G487" s="2552">
        <v>-269078613.43000001</v>
      </c>
      <c r="H487" s="2552">
        <v>-60064790.719999999</v>
      </c>
      <c r="J487" s="2551">
        <v>10</v>
      </c>
      <c r="K487" s="2553" t="s">
        <v>7292</v>
      </c>
      <c r="L487" s="2551" t="e">
        <f t="shared" si="7"/>
        <v>#N/A</v>
      </c>
      <c r="W487" s="2979"/>
    </row>
    <row r="488" spans="1:23" hidden="1">
      <c r="A488" s="2551">
        <v>1424391</v>
      </c>
      <c r="B488" s="2551" t="s">
        <v>7448</v>
      </c>
      <c r="C488" s="2551">
        <v>10</v>
      </c>
      <c r="D488" s="2551" t="s">
        <v>7367</v>
      </c>
      <c r="E488" s="2550" t="s">
        <v>7215</v>
      </c>
      <c r="F488" s="2551">
        <v>103</v>
      </c>
      <c r="G488" s="2552">
        <v>-22612059.710000001</v>
      </c>
      <c r="H488" s="2552">
        <v>-7395927.3799999999</v>
      </c>
      <c r="J488" s="2551">
        <v>10</v>
      </c>
      <c r="K488" s="2553" t="s">
        <v>7292</v>
      </c>
      <c r="L488" s="2551" t="e">
        <f t="shared" si="7"/>
        <v>#N/A</v>
      </c>
      <c r="W488" s="2979"/>
    </row>
    <row r="489" spans="1:23" hidden="1">
      <c r="A489" s="2551">
        <v>1424392</v>
      </c>
      <c r="B489" s="2551" t="s">
        <v>7449</v>
      </c>
      <c r="C489" s="2551">
        <v>10</v>
      </c>
      <c r="D489" s="2551" t="s">
        <v>7367</v>
      </c>
      <c r="E489" s="2550" t="s">
        <v>7215</v>
      </c>
      <c r="F489" s="2551">
        <v>103</v>
      </c>
      <c r="G489" s="2552">
        <v>-23811</v>
      </c>
      <c r="H489" s="2552">
        <v>0</v>
      </c>
      <c r="J489" s="2551">
        <v>10</v>
      </c>
      <c r="K489" s="2553" t="s">
        <v>7292</v>
      </c>
      <c r="L489" s="2551" t="e">
        <f t="shared" si="7"/>
        <v>#N/A</v>
      </c>
      <c r="W489" s="2979"/>
    </row>
    <row r="490" spans="1:23" hidden="1">
      <c r="A490" s="2551">
        <v>1424393</v>
      </c>
      <c r="B490" s="2551" t="s">
        <v>7450</v>
      </c>
      <c r="C490" s="2551">
        <v>10</v>
      </c>
      <c r="D490" s="2551" t="s">
        <v>7367</v>
      </c>
      <c r="E490" s="2550" t="s">
        <v>7215</v>
      </c>
      <c r="F490" s="2551">
        <v>103</v>
      </c>
      <c r="G490" s="2552">
        <v>-2833</v>
      </c>
      <c r="H490" s="2552">
        <v>0</v>
      </c>
      <c r="J490" s="2551">
        <v>10</v>
      </c>
      <c r="K490" s="2553" t="s">
        <v>7292</v>
      </c>
      <c r="L490" s="2551" t="e">
        <f t="shared" si="7"/>
        <v>#N/A</v>
      </c>
      <c r="W490" s="2979"/>
    </row>
    <row r="491" spans="1:23" hidden="1">
      <c r="A491" s="2551">
        <v>1424394</v>
      </c>
      <c r="B491" s="2551" t="s">
        <v>7451</v>
      </c>
      <c r="C491" s="2551">
        <v>10</v>
      </c>
      <c r="D491" s="2551" t="s">
        <v>7367</v>
      </c>
      <c r="E491" s="2550" t="s">
        <v>7215</v>
      </c>
      <c r="F491" s="2551">
        <v>103</v>
      </c>
      <c r="G491" s="2552">
        <v>-2991583.83</v>
      </c>
      <c r="H491" s="2552">
        <v>0</v>
      </c>
      <c r="J491" s="2551">
        <v>10</v>
      </c>
      <c r="K491" s="2553" t="s">
        <v>7292</v>
      </c>
      <c r="L491" s="2551" t="e">
        <f t="shared" si="7"/>
        <v>#N/A</v>
      </c>
      <c r="W491" s="2979"/>
    </row>
    <row r="492" spans="1:23" hidden="1">
      <c r="A492" s="2551">
        <v>1424395</v>
      </c>
      <c r="B492" s="2551" t="s">
        <v>7452</v>
      </c>
      <c r="C492" s="2551">
        <v>10</v>
      </c>
      <c r="D492" s="2551" t="s">
        <v>7367</v>
      </c>
      <c r="E492" s="2550" t="s">
        <v>7215</v>
      </c>
      <c r="F492" s="2551">
        <v>103</v>
      </c>
      <c r="G492" s="2552">
        <v>-22680553</v>
      </c>
      <c r="H492" s="2552">
        <v>-8282998</v>
      </c>
      <c r="J492" s="2551">
        <v>10</v>
      </c>
      <c r="K492" s="2553" t="s">
        <v>7292</v>
      </c>
      <c r="L492" s="2551" t="e">
        <f t="shared" si="7"/>
        <v>#N/A</v>
      </c>
      <c r="W492" s="2979"/>
    </row>
    <row r="493" spans="1:23" hidden="1">
      <c r="A493" s="2551">
        <v>1424396</v>
      </c>
      <c r="B493" s="2551" t="s">
        <v>7453</v>
      </c>
      <c r="C493" s="2551">
        <v>10</v>
      </c>
      <c r="D493" s="2551" t="s">
        <v>7367</v>
      </c>
      <c r="E493" s="2550" t="s">
        <v>7215</v>
      </c>
      <c r="F493" s="2551">
        <v>103</v>
      </c>
      <c r="G493" s="2552">
        <v>-10650958.24</v>
      </c>
      <c r="H493" s="2552">
        <v>0</v>
      </c>
      <c r="J493" s="2551">
        <v>10</v>
      </c>
      <c r="K493" s="2553" t="s">
        <v>7292</v>
      </c>
      <c r="L493" s="2551" t="e">
        <f t="shared" si="7"/>
        <v>#N/A</v>
      </c>
      <c r="W493" s="2979"/>
    </row>
    <row r="494" spans="1:23" hidden="1">
      <c r="A494" s="2551">
        <v>1424397</v>
      </c>
      <c r="B494" s="2551" t="s">
        <v>6070</v>
      </c>
      <c r="C494" s="2551">
        <v>10</v>
      </c>
      <c r="D494" s="2551" t="s">
        <v>7367</v>
      </c>
      <c r="E494" s="2550" t="s">
        <v>7215</v>
      </c>
      <c r="F494" s="2551">
        <v>103</v>
      </c>
      <c r="G494" s="2552">
        <v>-22222485</v>
      </c>
      <c r="H494" s="2552">
        <v>-8739395</v>
      </c>
      <c r="J494" s="2551">
        <v>10</v>
      </c>
      <c r="K494" s="2553" t="s">
        <v>7292</v>
      </c>
      <c r="L494" s="2551" t="e">
        <f t="shared" si="7"/>
        <v>#N/A</v>
      </c>
      <c r="W494" s="2979"/>
    </row>
    <row r="495" spans="1:23" hidden="1">
      <c r="A495" s="2551">
        <v>1424398</v>
      </c>
      <c r="B495" s="2551" t="s">
        <v>6071</v>
      </c>
      <c r="C495" s="2551">
        <v>10</v>
      </c>
      <c r="D495" s="2551" t="s">
        <v>7367</v>
      </c>
      <c r="E495" s="2550" t="s">
        <v>7215</v>
      </c>
      <c r="F495" s="2551">
        <v>103</v>
      </c>
      <c r="G495" s="2552">
        <v>-9134781.0700000003</v>
      </c>
      <c r="H495" s="2552">
        <v>-87025.71</v>
      </c>
      <c r="J495" s="2551">
        <v>10</v>
      </c>
      <c r="K495" s="2553" t="s">
        <v>7292</v>
      </c>
      <c r="L495" s="2551" t="e">
        <f t="shared" si="7"/>
        <v>#N/A</v>
      </c>
      <c r="W495" s="2979"/>
    </row>
    <row r="496" spans="1:23" hidden="1">
      <c r="A496" s="2551">
        <v>1424399</v>
      </c>
      <c r="B496" s="2551" t="s">
        <v>7454</v>
      </c>
      <c r="C496" s="2551">
        <v>10</v>
      </c>
      <c r="D496" s="2551" t="s">
        <v>7367</v>
      </c>
      <c r="E496" s="2550" t="s">
        <v>7215</v>
      </c>
      <c r="F496" s="2551">
        <v>103</v>
      </c>
      <c r="G496" s="2552">
        <v>-131963.5</v>
      </c>
      <c r="H496" s="2552">
        <v>0</v>
      </c>
      <c r="J496" s="2551">
        <v>10</v>
      </c>
      <c r="K496" s="2553" t="s">
        <v>7292</v>
      </c>
      <c r="L496" s="2551" t="e">
        <f t="shared" si="7"/>
        <v>#N/A</v>
      </c>
      <c r="W496" s="2979"/>
    </row>
    <row r="497" spans="1:23" hidden="1">
      <c r="A497" s="2551">
        <v>1424400</v>
      </c>
      <c r="B497" s="2551" t="s">
        <v>6072</v>
      </c>
      <c r="C497" s="2551">
        <v>10</v>
      </c>
      <c r="D497" s="2551" t="s">
        <v>7367</v>
      </c>
      <c r="E497" s="2550" t="s">
        <v>7215</v>
      </c>
      <c r="F497" s="2551">
        <v>103</v>
      </c>
      <c r="G497" s="2552">
        <v>35906.28</v>
      </c>
      <c r="H497" s="2552">
        <v>35906.28</v>
      </c>
      <c r="J497" s="2551">
        <v>10</v>
      </c>
      <c r="K497" s="2553" t="s">
        <v>7292</v>
      </c>
      <c r="L497" s="2551" t="e">
        <f t="shared" si="7"/>
        <v>#N/A</v>
      </c>
      <c r="W497" s="2979"/>
    </row>
    <row r="498" spans="1:23" hidden="1">
      <c r="A498" s="2551">
        <v>1424401</v>
      </c>
      <c r="B498" s="2551" t="s">
        <v>6073</v>
      </c>
      <c r="C498" s="2551">
        <v>10</v>
      </c>
      <c r="D498" s="2551" t="s">
        <v>7367</v>
      </c>
      <c r="E498" s="2550" t="s">
        <v>7215</v>
      </c>
      <c r="F498" s="2551">
        <v>103</v>
      </c>
      <c r="G498" s="2552">
        <v>49340.78</v>
      </c>
      <c r="H498" s="2552">
        <v>49340.78</v>
      </c>
      <c r="J498" s="2551">
        <v>10</v>
      </c>
      <c r="K498" s="2553" t="s">
        <v>7292</v>
      </c>
      <c r="L498" s="2551" t="e">
        <f t="shared" si="7"/>
        <v>#N/A</v>
      </c>
      <c r="W498" s="2979"/>
    </row>
    <row r="499" spans="1:23" hidden="1">
      <c r="A499" s="2551">
        <v>1424402</v>
      </c>
      <c r="B499" s="2551" t="s">
        <v>6074</v>
      </c>
      <c r="C499" s="2551">
        <v>10</v>
      </c>
      <c r="D499" s="2551" t="s">
        <v>7367</v>
      </c>
      <c r="E499" s="2550" t="s">
        <v>7215</v>
      </c>
      <c r="F499" s="2551">
        <v>103</v>
      </c>
      <c r="G499" s="2552">
        <v>10736.32</v>
      </c>
      <c r="H499" s="2552">
        <v>10736.32</v>
      </c>
      <c r="J499" s="2551">
        <v>10</v>
      </c>
      <c r="K499" s="2553" t="s">
        <v>7292</v>
      </c>
      <c r="L499" s="2551" t="e">
        <f t="shared" si="7"/>
        <v>#N/A</v>
      </c>
      <c r="W499" s="2979"/>
    </row>
    <row r="500" spans="1:23" hidden="1">
      <c r="A500" s="2551">
        <v>1424403</v>
      </c>
      <c r="B500" s="2551" t="s">
        <v>6075</v>
      </c>
      <c r="C500" s="2551">
        <v>10</v>
      </c>
      <c r="D500" s="2551" t="s">
        <v>7367</v>
      </c>
      <c r="E500" s="2550" t="s">
        <v>7215</v>
      </c>
      <c r="F500" s="2551">
        <v>103</v>
      </c>
      <c r="G500" s="2552">
        <v>791138.25</v>
      </c>
      <c r="H500" s="2552">
        <v>791138.25</v>
      </c>
      <c r="J500" s="2551">
        <v>10</v>
      </c>
      <c r="K500" s="2553" t="s">
        <v>7292</v>
      </c>
      <c r="L500" s="2551" t="e">
        <f t="shared" si="7"/>
        <v>#N/A</v>
      </c>
      <c r="W500" s="2979"/>
    </row>
    <row r="501" spans="1:23" hidden="1">
      <c r="A501" s="2551">
        <v>1424404</v>
      </c>
      <c r="B501" s="2551" t="s">
        <v>6076</v>
      </c>
      <c r="C501" s="2551">
        <v>10</v>
      </c>
      <c r="D501" s="2551" t="s">
        <v>7367</v>
      </c>
      <c r="E501" s="2550" t="s">
        <v>7215</v>
      </c>
      <c r="F501" s="2551">
        <v>103</v>
      </c>
      <c r="G501" s="2552">
        <v>3154888.43</v>
      </c>
      <c r="H501" s="2552">
        <v>3154888.43</v>
      </c>
      <c r="J501" s="2551">
        <v>10</v>
      </c>
      <c r="K501" s="2553" t="s">
        <v>7292</v>
      </c>
      <c r="L501" s="2551" t="e">
        <f t="shared" si="7"/>
        <v>#N/A</v>
      </c>
      <c r="W501" s="2979"/>
    </row>
    <row r="502" spans="1:23" hidden="1">
      <c r="A502" s="2551">
        <v>1424405</v>
      </c>
      <c r="B502" s="2551" t="s">
        <v>7455</v>
      </c>
      <c r="C502" s="2551">
        <v>10</v>
      </c>
      <c r="D502" s="2551" t="s">
        <v>7367</v>
      </c>
      <c r="E502" s="2550" t="s">
        <v>7215</v>
      </c>
      <c r="F502" s="2551">
        <v>103</v>
      </c>
      <c r="G502" s="2552">
        <v>33398.76</v>
      </c>
      <c r="H502" s="2552">
        <v>33398.76</v>
      </c>
      <c r="J502" s="2551">
        <v>10</v>
      </c>
      <c r="K502" s="2553" t="s">
        <v>7292</v>
      </c>
      <c r="L502" s="2551" t="e">
        <f t="shared" si="7"/>
        <v>#N/A</v>
      </c>
      <c r="W502" s="2979"/>
    </row>
    <row r="503" spans="1:23" hidden="1">
      <c r="A503" s="2551">
        <v>1424407</v>
      </c>
      <c r="B503" s="2551" t="s">
        <v>7456</v>
      </c>
      <c r="C503" s="2551">
        <v>10</v>
      </c>
      <c r="D503" s="2551" t="s">
        <v>7367</v>
      </c>
      <c r="E503" s="2550" t="s">
        <v>7215</v>
      </c>
      <c r="F503" s="2551">
        <v>103</v>
      </c>
      <c r="G503" s="2552">
        <v>2064382.77</v>
      </c>
      <c r="H503" s="2552">
        <v>2064382.77</v>
      </c>
      <c r="J503" s="2551">
        <v>10</v>
      </c>
      <c r="K503" s="2553" t="s">
        <v>7292</v>
      </c>
      <c r="L503" s="2551" t="e">
        <f t="shared" si="7"/>
        <v>#N/A</v>
      </c>
      <c r="W503" s="2979"/>
    </row>
    <row r="504" spans="1:23" hidden="1">
      <c r="A504" s="2551">
        <v>1424408</v>
      </c>
      <c r="B504" s="2551" t="s">
        <v>6079</v>
      </c>
      <c r="C504" s="2551">
        <v>10</v>
      </c>
      <c r="D504" s="2551" t="s">
        <v>7367</v>
      </c>
      <c r="E504" s="2550" t="s">
        <v>7215</v>
      </c>
      <c r="F504" s="2551">
        <v>103</v>
      </c>
      <c r="G504" s="2552">
        <v>1068446</v>
      </c>
      <c r="H504" s="2552">
        <v>1068446</v>
      </c>
      <c r="J504" s="2551">
        <v>10</v>
      </c>
      <c r="K504" s="2553" t="s">
        <v>7292</v>
      </c>
      <c r="L504" s="2551" t="e">
        <f t="shared" si="7"/>
        <v>#N/A</v>
      </c>
      <c r="W504" s="2979"/>
    </row>
    <row r="505" spans="1:23" hidden="1">
      <c r="A505" s="2551">
        <v>1424409</v>
      </c>
      <c r="B505" s="2551" t="s">
        <v>6080</v>
      </c>
      <c r="C505" s="2551">
        <v>10</v>
      </c>
      <c r="D505" s="2551" t="s">
        <v>7367</v>
      </c>
      <c r="E505" s="2550" t="s">
        <v>7215</v>
      </c>
      <c r="F505" s="2551">
        <v>103</v>
      </c>
      <c r="G505" s="2552">
        <v>25882</v>
      </c>
      <c r="H505" s="2552">
        <v>25882</v>
      </c>
      <c r="J505" s="2551">
        <v>10</v>
      </c>
      <c r="K505" s="2553" t="s">
        <v>7292</v>
      </c>
      <c r="L505" s="2551" t="e">
        <f t="shared" si="7"/>
        <v>#N/A</v>
      </c>
      <c r="W505" s="2979"/>
    </row>
    <row r="506" spans="1:23" hidden="1">
      <c r="A506" s="2551">
        <v>1424410</v>
      </c>
      <c r="B506" s="2551" t="s">
        <v>6081</v>
      </c>
      <c r="C506" s="2551">
        <v>10</v>
      </c>
      <c r="D506" s="2551" t="s">
        <v>7367</v>
      </c>
      <c r="E506" s="2550" t="s">
        <v>7215</v>
      </c>
      <c r="F506" s="2551">
        <v>103</v>
      </c>
      <c r="G506" s="2552">
        <v>10000</v>
      </c>
      <c r="H506" s="2552">
        <v>10000</v>
      </c>
      <c r="J506" s="2551">
        <v>10</v>
      </c>
      <c r="K506" s="2553" t="s">
        <v>7292</v>
      </c>
      <c r="L506" s="2551" t="e">
        <f t="shared" si="7"/>
        <v>#N/A</v>
      </c>
      <c r="W506" s="2979"/>
    </row>
    <row r="507" spans="1:23" hidden="1">
      <c r="A507" s="2551">
        <v>1424411</v>
      </c>
      <c r="B507" s="2551" t="s">
        <v>6082</v>
      </c>
      <c r="C507" s="2551">
        <v>10</v>
      </c>
      <c r="D507" s="2551" t="s">
        <v>7367</v>
      </c>
      <c r="E507" s="2550" t="s">
        <v>7215</v>
      </c>
      <c r="F507" s="2551">
        <v>103</v>
      </c>
      <c r="G507" s="2552">
        <v>601359.03</v>
      </c>
      <c r="H507" s="2552">
        <v>601359.03</v>
      </c>
      <c r="J507" s="2551">
        <v>10</v>
      </c>
      <c r="K507" s="2553" t="s">
        <v>7292</v>
      </c>
      <c r="L507" s="2551" t="e">
        <f t="shared" si="7"/>
        <v>#N/A</v>
      </c>
      <c r="W507" s="2979"/>
    </row>
    <row r="508" spans="1:23" hidden="1">
      <c r="A508" s="2551">
        <v>1424412</v>
      </c>
      <c r="B508" s="2551" t="s">
        <v>6083</v>
      </c>
      <c r="C508" s="2551">
        <v>10</v>
      </c>
      <c r="D508" s="2551" t="s">
        <v>7367</v>
      </c>
      <c r="E508" s="2550" t="s">
        <v>7215</v>
      </c>
      <c r="F508" s="2551">
        <v>103</v>
      </c>
      <c r="G508" s="2552">
        <v>5080484.37</v>
      </c>
      <c r="H508" s="2552">
        <v>5080484.37</v>
      </c>
      <c r="J508" s="2551">
        <v>10</v>
      </c>
      <c r="K508" s="2553" t="s">
        <v>7292</v>
      </c>
      <c r="L508" s="2551" t="e">
        <f t="shared" si="7"/>
        <v>#N/A</v>
      </c>
      <c r="W508" s="2979"/>
    </row>
    <row r="509" spans="1:23" hidden="1">
      <c r="A509" s="2551">
        <v>1424413</v>
      </c>
      <c r="B509" s="2551" t="s">
        <v>6084</v>
      </c>
      <c r="C509" s="2551">
        <v>10</v>
      </c>
      <c r="D509" s="2551" t="s">
        <v>7367</v>
      </c>
      <c r="E509" s="2550" t="s">
        <v>7215</v>
      </c>
      <c r="F509" s="2551">
        <v>103</v>
      </c>
      <c r="G509" s="2552">
        <v>3427.46</v>
      </c>
      <c r="H509" s="2552">
        <v>3427.46</v>
      </c>
      <c r="J509" s="2551">
        <v>10</v>
      </c>
      <c r="K509" s="2553" t="s">
        <v>7292</v>
      </c>
      <c r="L509" s="2551" t="e">
        <f t="shared" si="7"/>
        <v>#N/A</v>
      </c>
      <c r="W509" s="2979"/>
    </row>
    <row r="510" spans="1:23" hidden="1">
      <c r="A510" s="2551">
        <v>1424414</v>
      </c>
      <c r="B510" s="2551" t="s">
        <v>6085</v>
      </c>
      <c r="C510" s="2551">
        <v>10</v>
      </c>
      <c r="D510" s="2551" t="s">
        <v>7367</v>
      </c>
      <c r="E510" s="2550" t="s">
        <v>7215</v>
      </c>
      <c r="F510" s="2551">
        <v>103</v>
      </c>
      <c r="G510" s="2552">
        <v>1029326.53</v>
      </c>
      <c r="H510" s="2552">
        <v>1029326.53</v>
      </c>
      <c r="J510" s="2551">
        <v>10</v>
      </c>
      <c r="K510" s="2553" t="s">
        <v>7292</v>
      </c>
      <c r="L510" s="2551" t="e">
        <f t="shared" si="7"/>
        <v>#N/A</v>
      </c>
      <c r="W510" s="2979"/>
    </row>
    <row r="511" spans="1:23" hidden="1">
      <c r="A511" s="2551">
        <v>1424415</v>
      </c>
      <c r="B511" s="2551" t="s">
        <v>6086</v>
      </c>
      <c r="C511" s="2551">
        <v>10</v>
      </c>
      <c r="D511" s="2551" t="s">
        <v>7367</v>
      </c>
      <c r="E511" s="2550" t="s">
        <v>7215</v>
      </c>
      <c r="F511" s="2551">
        <v>103</v>
      </c>
      <c r="G511" s="2552">
        <v>219134.65</v>
      </c>
      <c r="H511" s="2552">
        <v>219134.65</v>
      </c>
      <c r="J511" s="2551">
        <v>10</v>
      </c>
      <c r="K511" s="2553" t="s">
        <v>7292</v>
      </c>
      <c r="L511" s="2551" t="e">
        <f t="shared" si="7"/>
        <v>#N/A</v>
      </c>
      <c r="W511" s="2979"/>
    </row>
    <row r="512" spans="1:23" hidden="1">
      <c r="A512" s="2551">
        <v>1424416</v>
      </c>
      <c r="B512" s="2551" t="s">
        <v>6087</v>
      </c>
      <c r="C512" s="2551">
        <v>10</v>
      </c>
      <c r="D512" s="2551" t="s">
        <v>7367</v>
      </c>
      <c r="E512" s="2550" t="s">
        <v>7215</v>
      </c>
      <c r="F512" s="2551">
        <v>103</v>
      </c>
      <c r="G512" s="2552">
        <v>8210.74</v>
      </c>
      <c r="H512" s="2552">
        <v>8210.74</v>
      </c>
      <c r="J512" s="2551">
        <v>10</v>
      </c>
      <c r="K512" s="2553" t="s">
        <v>7292</v>
      </c>
      <c r="L512" s="2551" t="e">
        <f t="shared" si="7"/>
        <v>#N/A</v>
      </c>
      <c r="W512" s="2979"/>
    </row>
    <row r="513" spans="1:23" hidden="1">
      <c r="A513" s="2551">
        <v>1424417</v>
      </c>
      <c r="B513" s="2551" t="s">
        <v>6088</v>
      </c>
      <c r="C513" s="2551">
        <v>10</v>
      </c>
      <c r="D513" s="2551" t="s">
        <v>7367</v>
      </c>
      <c r="E513" s="2550" t="s">
        <v>7215</v>
      </c>
      <c r="F513" s="2551">
        <v>103</v>
      </c>
      <c r="G513" s="2552">
        <v>-1761172.13</v>
      </c>
      <c r="H513" s="2552">
        <v>-1761172.13</v>
      </c>
      <c r="J513" s="2551">
        <v>10</v>
      </c>
      <c r="K513" s="2553" t="s">
        <v>7292</v>
      </c>
      <c r="L513" s="2551" t="e">
        <f t="shared" si="7"/>
        <v>#N/A</v>
      </c>
      <c r="W513" s="2979"/>
    </row>
    <row r="514" spans="1:23" hidden="1">
      <c r="A514" s="2551">
        <v>1424418</v>
      </c>
      <c r="B514" s="2551" t="s">
        <v>6089</v>
      </c>
      <c r="C514" s="2551">
        <v>10</v>
      </c>
      <c r="D514" s="2551" t="s">
        <v>7367</v>
      </c>
      <c r="E514" s="2550" t="s">
        <v>7215</v>
      </c>
      <c r="F514" s="2551">
        <v>103</v>
      </c>
      <c r="G514" s="2552">
        <v>346601</v>
      </c>
      <c r="H514" s="2552">
        <v>346601</v>
      </c>
      <c r="J514" s="2551">
        <v>10</v>
      </c>
      <c r="K514" s="2553" t="s">
        <v>7292</v>
      </c>
      <c r="L514" s="2551" t="e">
        <f t="shared" si="7"/>
        <v>#N/A</v>
      </c>
      <c r="W514" s="2979"/>
    </row>
    <row r="515" spans="1:23" hidden="1">
      <c r="A515" s="2551">
        <v>1424419</v>
      </c>
      <c r="B515" s="2551" t="s">
        <v>6090</v>
      </c>
      <c r="C515" s="2551">
        <v>10</v>
      </c>
      <c r="D515" s="2551" t="s">
        <v>7367</v>
      </c>
      <c r="E515" s="2550" t="s">
        <v>7215</v>
      </c>
      <c r="F515" s="2551">
        <v>103</v>
      </c>
      <c r="G515" s="2552">
        <v>48033</v>
      </c>
      <c r="H515" s="2552">
        <v>48033</v>
      </c>
      <c r="J515" s="2551">
        <v>10</v>
      </c>
      <c r="K515" s="2553" t="s">
        <v>7292</v>
      </c>
      <c r="L515" s="2551" t="e">
        <f t="shared" si="7"/>
        <v>#N/A</v>
      </c>
      <c r="W515" s="2979"/>
    </row>
    <row r="516" spans="1:23" hidden="1">
      <c r="A516" s="2551">
        <v>1424420</v>
      </c>
      <c r="B516" s="2551" t="s">
        <v>6091</v>
      </c>
      <c r="C516" s="2551">
        <v>10</v>
      </c>
      <c r="D516" s="2551" t="s">
        <v>7367</v>
      </c>
      <c r="E516" s="2550" t="s">
        <v>7215</v>
      </c>
      <c r="F516" s="2551">
        <v>103</v>
      </c>
      <c r="G516" s="2552">
        <v>70630.58</v>
      </c>
      <c r="H516" s="2552">
        <v>70630.58</v>
      </c>
      <c r="J516" s="2551">
        <v>10</v>
      </c>
      <c r="K516" s="2553" t="s">
        <v>7292</v>
      </c>
      <c r="L516" s="2551" t="e">
        <f t="shared" ref="L516:L579" si="8">VLOOKUP(A516,P:P,1,0)</f>
        <v>#N/A</v>
      </c>
      <c r="W516" s="2979"/>
    </row>
    <row r="517" spans="1:23" hidden="1">
      <c r="A517" s="2551">
        <v>1424421</v>
      </c>
      <c r="B517" s="2551" t="s">
        <v>7457</v>
      </c>
      <c r="C517" s="2551">
        <v>10</v>
      </c>
      <c r="D517" s="2551" t="s">
        <v>7367</v>
      </c>
      <c r="E517" s="2550" t="s">
        <v>7215</v>
      </c>
      <c r="F517" s="2551">
        <v>103</v>
      </c>
      <c r="G517" s="2552">
        <v>113282</v>
      </c>
      <c r="H517" s="2552">
        <v>113282</v>
      </c>
      <c r="J517" s="2551">
        <v>10</v>
      </c>
      <c r="K517" s="2553" t="s">
        <v>7292</v>
      </c>
      <c r="L517" s="2551" t="e">
        <f t="shared" si="8"/>
        <v>#N/A</v>
      </c>
      <c r="W517" s="2979"/>
    </row>
    <row r="518" spans="1:23" hidden="1">
      <c r="A518" s="2551">
        <v>1424422</v>
      </c>
      <c r="B518" s="2551" t="s">
        <v>7458</v>
      </c>
      <c r="C518" s="2551">
        <v>10</v>
      </c>
      <c r="D518" s="2551" t="s">
        <v>7367</v>
      </c>
      <c r="E518" s="2550" t="s">
        <v>7215</v>
      </c>
      <c r="F518" s="2551">
        <v>103</v>
      </c>
      <c r="G518" s="2552">
        <v>107938.77</v>
      </c>
      <c r="H518" s="2552">
        <v>107938.77</v>
      </c>
      <c r="J518" s="2551">
        <v>10</v>
      </c>
      <c r="K518" s="2553" t="s">
        <v>7292</v>
      </c>
      <c r="L518" s="2551" t="e">
        <f t="shared" si="8"/>
        <v>#N/A</v>
      </c>
      <c r="W518" s="2979"/>
    </row>
    <row r="519" spans="1:23" hidden="1">
      <c r="A519" s="2551">
        <v>1424423</v>
      </c>
      <c r="B519" s="2551" t="s">
        <v>6094</v>
      </c>
      <c r="C519" s="2551">
        <v>10</v>
      </c>
      <c r="D519" s="2551" t="s">
        <v>7367</v>
      </c>
      <c r="E519" s="2550" t="s">
        <v>7215</v>
      </c>
      <c r="F519" s="2551">
        <v>103</v>
      </c>
      <c r="G519" s="2552">
        <v>2267710.25</v>
      </c>
      <c r="H519" s="2552">
        <v>2267710.25</v>
      </c>
      <c r="J519" s="2551">
        <v>10</v>
      </c>
      <c r="K519" s="2553" t="s">
        <v>7292</v>
      </c>
      <c r="L519" s="2551" t="e">
        <f t="shared" si="8"/>
        <v>#N/A</v>
      </c>
      <c r="W519" s="2979"/>
    </row>
    <row r="520" spans="1:23" hidden="1">
      <c r="A520" s="2551">
        <v>1424424</v>
      </c>
      <c r="B520" s="2551" t="s">
        <v>6095</v>
      </c>
      <c r="C520" s="2551">
        <v>10</v>
      </c>
      <c r="D520" s="2551" t="s">
        <v>7367</v>
      </c>
      <c r="E520" s="2550" t="s">
        <v>7215</v>
      </c>
      <c r="F520" s="2551">
        <v>103</v>
      </c>
      <c r="G520" s="2552">
        <v>975477.74</v>
      </c>
      <c r="H520" s="2552">
        <v>975477.74</v>
      </c>
      <c r="J520" s="2551">
        <v>10</v>
      </c>
      <c r="K520" s="2553" t="s">
        <v>7292</v>
      </c>
      <c r="L520" s="2551" t="e">
        <f t="shared" si="8"/>
        <v>#N/A</v>
      </c>
      <c r="W520" s="2979"/>
    </row>
    <row r="521" spans="1:23" hidden="1">
      <c r="A521" s="2551">
        <v>1424425</v>
      </c>
      <c r="B521" s="2551" t="s">
        <v>6096</v>
      </c>
      <c r="C521" s="2551">
        <v>10</v>
      </c>
      <c r="D521" s="2551" t="s">
        <v>7367</v>
      </c>
      <c r="E521" s="2550" t="s">
        <v>7215</v>
      </c>
      <c r="F521" s="2551">
        <v>103</v>
      </c>
      <c r="G521" s="2552">
        <v>5105649.8</v>
      </c>
      <c r="H521" s="2552">
        <v>5105649.8</v>
      </c>
      <c r="J521" s="2551">
        <v>10</v>
      </c>
      <c r="K521" s="2553" t="s">
        <v>7292</v>
      </c>
      <c r="L521" s="2551" t="e">
        <f t="shared" si="8"/>
        <v>#N/A</v>
      </c>
      <c r="W521" s="2979"/>
    </row>
    <row r="522" spans="1:23" hidden="1">
      <c r="A522" s="2551">
        <v>1424426</v>
      </c>
      <c r="B522" s="2551" t="s">
        <v>7459</v>
      </c>
      <c r="C522" s="2551">
        <v>10</v>
      </c>
      <c r="D522" s="2551" t="s">
        <v>7367</v>
      </c>
      <c r="E522" s="2550" t="s">
        <v>7215</v>
      </c>
      <c r="F522" s="2551">
        <v>103</v>
      </c>
      <c r="G522" s="2552">
        <v>-2029392.68</v>
      </c>
      <c r="H522" s="2552">
        <v>4540027.32</v>
      </c>
      <c r="J522" s="2551">
        <v>10</v>
      </c>
      <c r="K522" s="2553" t="s">
        <v>7292</v>
      </c>
      <c r="L522" s="2551" t="e">
        <f t="shared" si="8"/>
        <v>#N/A</v>
      </c>
      <c r="W522" s="2979"/>
    </row>
    <row r="523" spans="1:23" hidden="1">
      <c r="A523" s="2551">
        <v>1424427</v>
      </c>
      <c r="B523" s="2551" t="s">
        <v>7460</v>
      </c>
      <c r="C523" s="2551">
        <v>10</v>
      </c>
      <c r="D523" s="2551" t="s">
        <v>7367</v>
      </c>
      <c r="E523" s="2550" t="s">
        <v>7215</v>
      </c>
      <c r="F523" s="2551">
        <v>103</v>
      </c>
      <c r="G523" s="2552">
        <v>50320.49</v>
      </c>
      <c r="H523" s="2552">
        <v>50320.49</v>
      </c>
      <c r="J523" s="2551">
        <v>10</v>
      </c>
      <c r="K523" s="2553" t="s">
        <v>7292</v>
      </c>
      <c r="L523" s="2551" t="e">
        <f t="shared" si="8"/>
        <v>#N/A</v>
      </c>
      <c r="W523" s="2979"/>
    </row>
    <row r="524" spans="1:23" hidden="1">
      <c r="A524" s="2551">
        <v>1424428</v>
      </c>
      <c r="B524" s="2551" t="s">
        <v>7461</v>
      </c>
      <c r="C524" s="2551">
        <v>10</v>
      </c>
      <c r="D524" s="2551" t="s">
        <v>7367</v>
      </c>
      <c r="E524" s="2550" t="s">
        <v>7215</v>
      </c>
      <c r="F524" s="2551">
        <v>103</v>
      </c>
      <c r="G524" s="2552">
        <v>1108118.95</v>
      </c>
      <c r="H524" s="2552">
        <v>1108118.95</v>
      </c>
      <c r="J524" s="2551">
        <v>10</v>
      </c>
      <c r="K524" s="2553" t="s">
        <v>7292</v>
      </c>
      <c r="L524" s="2551" t="e">
        <f t="shared" si="8"/>
        <v>#N/A</v>
      </c>
      <c r="W524" s="2979"/>
    </row>
    <row r="525" spans="1:23" hidden="1">
      <c r="A525" s="2551">
        <v>1424429</v>
      </c>
      <c r="B525" s="2551" t="s">
        <v>7462</v>
      </c>
      <c r="C525" s="2551">
        <v>10</v>
      </c>
      <c r="D525" s="2551" t="s">
        <v>7367</v>
      </c>
      <c r="E525" s="2550" t="s">
        <v>7215</v>
      </c>
      <c r="F525" s="2551">
        <v>103</v>
      </c>
      <c r="G525" s="2552">
        <v>229448</v>
      </c>
      <c r="H525" s="2552">
        <v>229448</v>
      </c>
      <c r="J525" s="2551">
        <v>10</v>
      </c>
      <c r="K525" s="2553" t="s">
        <v>7292</v>
      </c>
      <c r="L525" s="2551" t="e">
        <f t="shared" si="8"/>
        <v>#N/A</v>
      </c>
      <c r="W525" s="2979"/>
    </row>
    <row r="526" spans="1:23" hidden="1">
      <c r="A526" s="2551">
        <v>1424430</v>
      </c>
      <c r="B526" s="2551" t="s">
        <v>7463</v>
      </c>
      <c r="C526" s="2551">
        <v>10</v>
      </c>
      <c r="D526" s="2551" t="s">
        <v>7367</v>
      </c>
      <c r="E526" s="2550" t="s">
        <v>7215</v>
      </c>
      <c r="F526" s="2551">
        <v>103</v>
      </c>
      <c r="G526" s="2552">
        <v>2064078.6</v>
      </c>
      <c r="H526" s="2552">
        <v>2064078.6</v>
      </c>
      <c r="J526" s="2551">
        <v>10</v>
      </c>
      <c r="K526" s="2553" t="s">
        <v>7292</v>
      </c>
      <c r="L526" s="2551" t="e">
        <f t="shared" si="8"/>
        <v>#N/A</v>
      </c>
      <c r="W526" s="2979"/>
    </row>
    <row r="527" spans="1:23" hidden="1">
      <c r="A527" s="2551">
        <v>1424433</v>
      </c>
      <c r="B527" s="2551" t="s">
        <v>6102</v>
      </c>
      <c r="C527" s="2551">
        <v>10</v>
      </c>
      <c r="D527" s="2551" t="s">
        <v>7367</v>
      </c>
      <c r="E527" s="2550" t="s">
        <v>7215</v>
      </c>
      <c r="F527" s="2551">
        <v>103</v>
      </c>
      <c r="G527" s="2552">
        <v>310443</v>
      </c>
      <c r="H527" s="2552">
        <v>310443</v>
      </c>
      <c r="J527" s="2551">
        <v>10</v>
      </c>
      <c r="K527" s="2553" t="s">
        <v>7292</v>
      </c>
      <c r="L527" s="2551" t="e">
        <f t="shared" si="8"/>
        <v>#N/A</v>
      </c>
      <c r="W527" s="2979"/>
    </row>
    <row r="528" spans="1:23" hidden="1">
      <c r="A528" s="2551">
        <v>1424434</v>
      </c>
      <c r="B528" s="2551" t="s">
        <v>6103</v>
      </c>
      <c r="C528" s="2551">
        <v>10</v>
      </c>
      <c r="D528" s="2551" t="s">
        <v>7367</v>
      </c>
      <c r="E528" s="2550" t="s">
        <v>7215</v>
      </c>
      <c r="F528" s="2551">
        <v>103</v>
      </c>
      <c r="G528" s="2552">
        <v>200371.5</v>
      </c>
      <c r="H528" s="2552">
        <v>200371.5</v>
      </c>
      <c r="J528" s="2551">
        <v>10</v>
      </c>
      <c r="K528" s="2553" t="s">
        <v>7292</v>
      </c>
      <c r="L528" s="2551" t="e">
        <f t="shared" si="8"/>
        <v>#N/A</v>
      </c>
      <c r="W528" s="2979"/>
    </row>
    <row r="529" spans="1:23" hidden="1">
      <c r="A529" s="2551">
        <v>1424435</v>
      </c>
      <c r="B529" s="2551" t="s">
        <v>6104</v>
      </c>
      <c r="C529" s="2551">
        <v>10</v>
      </c>
      <c r="D529" s="2551" t="s">
        <v>7367</v>
      </c>
      <c r="E529" s="2550" t="s">
        <v>7215</v>
      </c>
      <c r="F529" s="2551">
        <v>103</v>
      </c>
      <c r="G529" s="2552">
        <v>2699149</v>
      </c>
      <c r="H529" s="2552">
        <v>2699149</v>
      </c>
      <c r="J529" s="2551">
        <v>10</v>
      </c>
      <c r="K529" s="2553" t="s">
        <v>7292</v>
      </c>
      <c r="L529" s="2551" t="e">
        <f t="shared" si="8"/>
        <v>#N/A</v>
      </c>
      <c r="W529" s="2979"/>
    </row>
    <row r="530" spans="1:23" hidden="1">
      <c r="A530" s="2551">
        <v>1424436</v>
      </c>
      <c r="B530" s="2551" t="s">
        <v>6105</v>
      </c>
      <c r="C530" s="2551">
        <v>10</v>
      </c>
      <c r="D530" s="2551" t="s">
        <v>7367</v>
      </c>
      <c r="E530" s="2550" t="s">
        <v>7215</v>
      </c>
      <c r="F530" s="2551">
        <v>103</v>
      </c>
      <c r="G530" s="2552">
        <v>5792883.04</v>
      </c>
      <c r="H530" s="2552">
        <v>5792883.04</v>
      </c>
      <c r="J530" s="2551">
        <v>10</v>
      </c>
      <c r="K530" s="2553" t="s">
        <v>7292</v>
      </c>
      <c r="L530" s="2551" t="e">
        <f t="shared" si="8"/>
        <v>#N/A</v>
      </c>
      <c r="W530" s="2979"/>
    </row>
    <row r="531" spans="1:23" hidden="1">
      <c r="A531" s="2551">
        <v>1424437</v>
      </c>
      <c r="B531" s="2551" t="s">
        <v>6106</v>
      </c>
      <c r="C531" s="2551">
        <v>10</v>
      </c>
      <c r="D531" s="2551" t="s">
        <v>7367</v>
      </c>
      <c r="E531" s="2550" t="s">
        <v>7215</v>
      </c>
      <c r="F531" s="2551">
        <v>103</v>
      </c>
      <c r="G531" s="2552">
        <v>132439.57</v>
      </c>
      <c r="H531" s="2552">
        <v>132439.57</v>
      </c>
      <c r="J531" s="2551">
        <v>10</v>
      </c>
      <c r="K531" s="2553" t="s">
        <v>7292</v>
      </c>
      <c r="L531" s="2551" t="e">
        <f t="shared" si="8"/>
        <v>#N/A</v>
      </c>
      <c r="W531" s="2979"/>
    </row>
    <row r="532" spans="1:23" hidden="1">
      <c r="A532" s="2551">
        <v>1424438</v>
      </c>
      <c r="B532" s="2551" t="s">
        <v>6107</v>
      </c>
      <c r="C532" s="2551">
        <v>10</v>
      </c>
      <c r="D532" s="2551" t="s">
        <v>7367</v>
      </c>
      <c r="E532" s="2550" t="s">
        <v>7215</v>
      </c>
      <c r="F532" s="2551">
        <v>103</v>
      </c>
      <c r="G532" s="2552">
        <v>795710</v>
      </c>
      <c r="H532" s="2552">
        <v>795710</v>
      </c>
      <c r="J532" s="2551">
        <v>10</v>
      </c>
      <c r="K532" s="2553" t="s">
        <v>7292</v>
      </c>
      <c r="L532" s="2551" t="e">
        <f t="shared" si="8"/>
        <v>#N/A</v>
      </c>
      <c r="W532" s="2979"/>
    </row>
    <row r="533" spans="1:23" hidden="1">
      <c r="A533" s="2551">
        <v>1424440</v>
      </c>
      <c r="B533" s="2551" t="s">
        <v>6108</v>
      </c>
      <c r="C533" s="2551">
        <v>10</v>
      </c>
      <c r="D533" s="2551" t="s">
        <v>7367</v>
      </c>
      <c r="E533" s="2550" t="s">
        <v>7215</v>
      </c>
      <c r="F533" s="2551">
        <v>103</v>
      </c>
      <c r="G533" s="2552">
        <v>9095154.7400000002</v>
      </c>
      <c r="H533" s="2552">
        <v>9095154.7400000002</v>
      </c>
      <c r="J533" s="2551">
        <v>10</v>
      </c>
      <c r="K533" s="2553" t="s">
        <v>7292</v>
      </c>
      <c r="L533" s="2551" t="e">
        <f t="shared" si="8"/>
        <v>#N/A</v>
      </c>
      <c r="W533" s="2979"/>
    </row>
    <row r="534" spans="1:23" hidden="1">
      <c r="A534" s="2551">
        <v>1424441</v>
      </c>
      <c r="B534" s="2551" t="s">
        <v>6109</v>
      </c>
      <c r="C534" s="2551">
        <v>10</v>
      </c>
      <c r="D534" s="2551" t="s">
        <v>7367</v>
      </c>
      <c r="E534" s="2550" t="s">
        <v>7215</v>
      </c>
      <c r="F534" s="2551">
        <v>103</v>
      </c>
      <c r="G534" s="2552">
        <v>3232584.98</v>
      </c>
      <c r="H534" s="2552">
        <v>3232584.98</v>
      </c>
      <c r="J534" s="2551">
        <v>10</v>
      </c>
      <c r="K534" s="2553" t="s">
        <v>7292</v>
      </c>
      <c r="L534" s="2551" t="e">
        <f t="shared" si="8"/>
        <v>#N/A</v>
      </c>
      <c r="W534" s="2979"/>
    </row>
    <row r="535" spans="1:23" hidden="1">
      <c r="A535" s="2551">
        <v>1424442</v>
      </c>
      <c r="B535" s="2551" t="s">
        <v>6110</v>
      </c>
      <c r="C535" s="2551">
        <v>10</v>
      </c>
      <c r="D535" s="2551" t="s">
        <v>7367</v>
      </c>
      <c r="E535" s="2550" t="s">
        <v>7215</v>
      </c>
      <c r="F535" s="2551">
        <v>103</v>
      </c>
      <c r="G535" s="2552">
        <v>131899</v>
      </c>
      <c r="H535" s="2552">
        <v>131899</v>
      </c>
      <c r="J535" s="2551">
        <v>10</v>
      </c>
      <c r="K535" s="2553" t="s">
        <v>7292</v>
      </c>
      <c r="L535" s="2551" t="e">
        <f t="shared" si="8"/>
        <v>#N/A</v>
      </c>
      <c r="W535" s="2979"/>
    </row>
    <row r="536" spans="1:23" hidden="1">
      <c r="A536" s="2551">
        <v>1424443</v>
      </c>
      <c r="B536" s="2551" t="s">
        <v>6111</v>
      </c>
      <c r="C536" s="2551">
        <v>10</v>
      </c>
      <c r="D536" s="2551" t="s">
        <v>7367</v>
      </c>
      <c r="E536" s="2550" t="s">
        <v>7215</v>
      </c>
      <c r="F536" s="2551">
        <v>103</v>
      </c>
      <c r="G536" s="2552">
        <v>294321</v>
      </c>
      <c r="H536" s="2552">
        <v>292101</v>
      </c>
      <c r="J536" s="2551">
        <v>10</v>
      </c>
      <c r="K536" s="2553" t="s">
        <v>7292</v>
      </c>
      <c r="L536" s="2551" t="e">
        <f t="shared" si="8"/>
        <v>#N/A</v>
      </c>
      <c r="W536" s="2979"/>
    </row>
    <row r="537" spans="1:23" hidden="1">
      <c r="A537" s="2551">
        <v>1424444</v>
      </c>
      <c r="B537" s="2551" t="s">
        <v>6112</v>
      </c>
      <c r="C537" s="2551">
        <v>10</v>
      </c>
      <c r="D537" s="2551" t="s">
        <v>7367</v>
      </c>
      <c r="E537" s="2550" t="s">
        <v>7215</v>
      </c>
      <c r="F537" s="2551">
        <v>103</v>
      </c>
      <c r="G537" s="2552">
        <v>2409705.34</v>
      </c>
      <c r="H537" s="2552">
        <v>2513545.54</v>
      </c>
      <c r="J537" s="2551">
        <v>10</v>
      </c>
      <c r="K537" s="2553" t="s">
        <v>7292</v>
      </c>
      <c r="L537" s="2551" t="e">
        <f t="shared" si="8"/>
        <v>#N/A</v>
      </c>
      <c r="W537" s="2979"/>
    </row>
    <row r="538" spans="1:23" hidden="1">
      <c r="A538" s="2551">
        <v>1424445</v>
      </c>
      <c r="B538" s="2551" t="s">
        <v>6113</v>
      </c>
      <c r="C538" s="2551">
        <v>10</v>
      </c>
      <c r="D538" s="2551" t="s">
        <v>7367</v>
      </c>
      <c r="E538" s="2550" t="s">
        <v>7215</v>
      </c>
      <c r="F538" s="2551">
        <v>103</v>
      </c>
      <c r="G538" s="2552">
        <v>492075.73</v>
      </c>
      <c r="H538" s="2552">
        <v>6479197.71</v>
      </c>
      <c r="J538" s="2551">
        <v>10</v>
      </c>
      <c r="K538" s="2553" t="s">
        <v>7292</v>
      </c>
      <c r="L538" s="2551" t="e">
        <f t="shared" si="8"/>
        <v>#N/A</v>
      </c>
      <c r="W538" s="2979"/>
    </row>
    <row r="539" spans="1:23" hidden="1">
      <c r="A539" s="2551">
        <v>1424446</v>
      </c>
      <c r="B539" s="2551" t="s">
        <v>6114</v>
      </c>
      <c r="C539" s="2551">
        <v>10</v>
      </c>
      <c r="D539" s="2551" t="s">
        <v>7367</v>
      </c>
      <c r="E539" s="2550" t="s">
        <v>7215</v>
      </c>
      <c r="F539" s="2551">
        <v>103</v>
      </c>
      <c r="G539" s="2552">
        <v>460158.95</v>
      </c>
      <c r="H539" s="2552">
        <v>460158.95</v>
      </c>
      <c r="J539" s="2551">
        <v>10</v>
      </c>
      <c r="K539" s="2553" t="s">
        <v>7292</v>
      </c>
      <c r="L539" s="2551" t="e">
        <f t="shared" si="8"/>
        <v>#N/A</v>
      </c>
      <c r="W539" s="2979"/>
    </row>
    <row r="540" spans="1:23" hidden="1">
      <c r="A540" s="2551">
        <v>1424447</v>
      </c>
      <c r="B540" s="2551" t="s">
        <v>6115</v>
      </c>
      <c r="C540" s="2551">
        <v>10</v>
      </c>
      <c r="D540" s="2551" t="s">
        <v>7367</v>
      </c>
      <c r="E540" s="2550" t="s">
        <v>7215</v>
      </c>
      <c r="F540" s="2551">
        <v>103</v>
      </c>
      <c r="G540" s="2552">
        <v>147512.37</v>
      </c>
      <c r="H540" s="2552">
        <v>147512.37</v>
      </c>
      <c r="J540" s="2551">
        <v>10</v>
      </c>
      <c r="K540" s="2553" t="s">
        <v>7292</v>
      </c>
      <c r="L540" s="2551" t="e">
        <f t="shared" si="8"/>
        <v>#N/A</v>
      </c>
      <c r="W540" s="2979"/>
    </row>
    <row r="541" spans="1:23" hidden="1">
      <c r="A541" s="2551">
        <v>1424449</v>
      </c>
      <c r="B541" s="2551" t="s">
        <v>6116</v>
      </c>
      <c r="C541" s="2551">
        <v>10</v>
      </c>
      <c r="D541" s="2551" t="s">
        <v>7367</v>
      </c>
      <c r="E541" s="2550" t="s">
        <v>7215</v>
      </c>
      <c r="F541" s="2551">
        <v>103</v>
      </c>
      <c r="G541" s="2552">
        <v>1810044</v>
      </c>
      <c r="H541" s="2552">
        <v>211750</v>
      </c>
      <c r="J541" s="2551">
        <v>10</v>
      </c>
      <c r="K541" s="2553" t="s">
        <v>7292</v>
      </c>
      <c r="L541" s="2551" t="e">
        <f t="shared" si="8"/>
        <v>#N/A</v>
      </c>
      <c r="W541" s="2979"/>
    </row>
    <row r="542" spans="1:23" hidden="1">
      <c r="A542" s="2551">
        <v>1424450</v>
      </c>
      <c r="B542" s="2551" t="s">
        <v>6117</v>
      </c>
      <c r="C542" s="2551">
        <v>10</v>
      </c>
      <c r="D542" s="2551" t="s">
        <v>7367</v>
      </c>
      <c r="E542" s="2550" t="s">
        <v>7215</v>
      </c>
      <c r="F542" s="2551">
        <v>103</v>
      </c>
      <c r="G542" s="2552">
        <v>161319</v>
      </c>
      <c r="H542" s="2552">
        <v>161319</v>
      </c>
      <c r="J542" s="2551">
        <v>10</v>
      </c>
      <c r="K542" s="2553" t="s">
        <v>7292</v>
      </c>
      <c r="L542" s="2551" t="e">
        <f t="shared" si="8"/>
        <v>#N/A</v>
      </c>
      <c r="W542" s="2979"/>
    </row>
    <row r="543" spans="1:23" hidden="1">
      <c r="A543" s="2551">
        <v>1424451</v>
      </c>
      <c r="B543" s="2551" t="s">
        <v>6118</v>
      </c>
      <c r="C543" s="2551">
        <v>10</v>
      </c>
      <c r="D543" s="2551" t="s">
        <v>7367</v>
      </c>
      <c r="E543" s="2550" t="s">
        <v>7215</v>
      </c>
      <c r="F543" s="2551">
        <v>103</v>
      </c>
      <c r="G543" s="2552">
        <v>4449067.87</v>
      </c>
      <c r="H543" s="2552">
        <v>872945.8</v>
      </c>
      <c r="J543" s="2551">
        <v>10</v>
      </c>
      <c r="K543" s="2553" t="s">
        <v>7292</v>
      </c>
      <c r="L543" s="2551" t="e">
        <f t="shared" si="8"/>
        <v>#N/A</v>
      </c>
      <c r="W543" s="2979"/>
    </row>
    <row r="544" spans="1:23" hidden="1">
      <c r="A544" s="2551">
        <v>1424452</v>
      </c>
      <c r="B544" s="2551" t="s">
        <v>6119</v>
      </c>
      <c r="C544" s="2551">
        <v>10</v>
      </c>
      <c r="D544" s="2551" t="s">
        <v>7367</v>
      </c>
      <c r="E544" s="2550" t="s">
        <v>7215</v>
      </c>
      <c r="F544" s="2551">
        <v>103</v>
      </c>
      <c r="G544" s="2552">
        <v>9446407.0700000003</v>
      </c>
      <c r="H544" s="2552">
        <v>3870457.98</v>
      </c>
      <c r="J544" s="2551">
        <v>10</v>
      </c>
      <c r="K544" s="2553" t="s">
        <v>7292</v>
      </c>
      <c r="L544" s="2551" t="e">
        <f t="shared" si="8"/>
        <v>#N/A</v>
      </c>
      <c r="W544" s="2979"/>
    </row>
    <row r="545" spans="1:23" hidden="1">
      <c r="A545" s="2551">
        <v>1424453</v>
      </c>
      <c r="B545" s="2551" t="s">
        <v>6120</v>
      </c>
      <c r="C545" s="2551">
        <v>10</v>
      </c>
      <c r="D545" s="2551" t="s">
        <v>7367</v>
      </c>
      <c r="E545" s="2550" t="s">
        <v>7215</v>
      </c>
      <c r="F545" s="2551">
        <v>103</v>
      </c>
      <c r="G545" s="2552">
        <v>2614321.88</v>
      </c>
      <c r="H545" s="2552">
        <v>5485140.7800000003</v>
      </c>
      <c r="J545" s="2551">
        <v>10</v>
      </c>
      <c r="K545" s="2553" t="s">
        <v>7292</v>
      </c>
      <c r="L545" s="2551" t="e">
        <f t="shared" si="8"/>
        <v>#N/A</v>
      </c>
      <c r="W545" s="2979"/>
    </row>
    <row r="546" spans="1:23" hidden="1">
      <c r="A546" s="2551">
        <v>1424454</v>
      </c>
      <c r="B546" s="2551" t="s">
        <v>6121</v>
      </c>
      <c r="C546" s="2551">
        <v>10</v>
      </c>
      <c r="D546" s="2551" t="s">
        <v>7367</v>
      </c>
      <c r="E546" s="2550" t="s">
        <v>7215</v>
      </c>
      <c r="F546" s="2551">
        <v>103</v>
      </c>
      <c r="G546" s="2552">
        <v>10000</v>
      </c>
      <c r="H546" s="2552">
        <v>10000</v>
      </c>
      <c r="J546" s="2551">
        <v>10</v>
      </c>
      <c r="K546" s="2553" t="s">
        <v>7292</v>
      </c>
      <c r="L546" s="2551" t="e">
        <f t="shared" si="8"/>
        <v>#N/A</v>
      </c>
      <c r="W546" s="2979"/>
    </row>
    <row r="547" spans="1:23" hidden="1">
      <c r="A547" s="2551">
        <v>1424455</v>
      </c>
      <c r="B547" s="2551" t="s">
        <v>6122</v>
      </c>
      <c r="C547" s="2551">
        <v>10</v>
      </c>
      <c r="D547" s="2551" t="s">
        <v>7367</v>
      </c>
      <c r="E547" s="2550" t="s">
        <v>7215</v>
      </c>
      <c r="F547" s="2551">
        <v>103</v>
      </c>
      <c r="G547" s="2552">
        <v>15279911</v>
      </c>
      <c r="H547" s="2552">
        <v>25921</v>
      </c>
      <c r="J547" s="2551">
        <v>10</v>
      </c>
      <c r="K547" s="2553" t="s">
        <v>7292</v>
      </c>
      <c r="L547" s="2551" t="e">
        <f t="shared" si="8"/>
        <v>#N/A</v>
      </c>
      <c r="W547" s="2979"/>
    </row>
    <row r="548" spans="1:23" hidden="1">
      <c r="A548" s="2551">
        <v>1424456</v>
      </c>
      <c r="B548" s="2551" t="s">
        <v>6123</v>
      </c>
      <c r="C548" s="2551">
        <v>10</v>
      </c>
      <c r="D548" s="2551" t="s">
        <v>7367</v>
      </c>
      <c r="E548" s="2550" t="s">
        <v>7215</v>
      </c>
      <c r="F548" s="2551">
        <v>103</v>
      </c>
      <c r="G548" s="2552">
        <v>3398198.04</v>
      </c>
      <c r="H548" s="2552">
        <v>2507033.46</v>
      </c>
      <c r="J548" s="2551">
        <v>10</v>
      </c>
      <c r="K548" s="2553" t="s">
        <v>7292</v>
      </c>
      <c r="L548" s="2551" t="e">
        <f t="shared" si="8"/>
        <v>#N/A</v>
      </c>
      <c r="W548" s="2979"/>
    </row>
    <row r="549" spans="1:23" hidden="1">
      <c r="A549" s="2551">
        <v>1424457</v>
      </c>
      <c r="B549" s="2551" t="s">
        <v>6124</v>
      </c>
      <c r="C549" s="2551">
        <v>10</v>
      </c>
      <c r="D549" s="2551" t="s">
        <v>7367</v>
      </c>
      <c r="E549" s="2550" t="s">
        <v>7215</v>
      </c>
      <c r="F549" s="2551">
        <v>103</v>
      </c>
      <c r="G549" s="2552">
        <v>4145006.14</v>
      </c>
      <c r="H549" s="2552">
        <v>4145006.14</v>
      </c>
      <c r="J549" s="2551">
        <v>10</v>
      </c>
      <c r="K549" s="2553" t="s">
        <v>7292</v>
      </c>
      <c r="L549" s="2551" t="e">
        <f t="shared" si="8"/>
        <v>#N/A</v>
      </c>
      <c r="W549" s="2979"/>
    </row>
    <row r="550" spans="1:23" hidden="1">
      <c r="A550" s="2551">
        <v>1424459</v>
      </c>
      <c r="B550" s="2551" t="s">
        <v>7464</v>
      </c>
      <c r="C550" s="2551">
        <v>10</v>
      </c>
      <c r="D550" s="2551" t="s">
        <v>7367</v>
      </c>
      <c r="E550" s="2550" t="s">
        <v>7215</v>
      </c>
      <c r="F550" s="2551">
        <v>103</v>
      </c>
      <c r="G550" s="2552">
        <v>8793798.9900000002</v>
      </c>
      <c r="H550" s="2552">
        <v>6202724.29</v>
      </c>
      <c r="J550" s="2551">
        <v>10</v>
      </c>
      <c r="K550" s="2553" t="s">
        <v>7292</v>
      </c>
      <c r="L550" s="2551" t="e">
        <f t="shared" si="8"/>
        <v>#N/A</v>
      </c>
      <c r="W550" s="2979"/>
    </row>
    <row r="551" spans="1:23" hidden="1">
      <c r="A551" s="2551">
        <v>1424460</v>
      </c>
      <c r="B551" s="2551" t="s">
        <v>6127</v>
      </c>
      <c r="C551" s="2551">
        <v>10</v>
      </c>
      <c r="D551" s="2551" t="s">
        <v>7367</v>
      </c>
      <c r="E551" s="2550" t="s">
        <v>7215</v>
      </c>
      <c r="F551" s="2551">
        <v>103</v>
      </c>
      <c r="G551" s="2552">
        <v>485997.7</v>
      </c>
      <c r="H551" s="2552">
        <v>70422.7</v>
      </c>
      <c r="J551" s="2551">
        <v>10</v>
      </c>
      <c r="K551" s="2553" t="s">
        <v>7292</v>
      </c>
      <c r="L551" s="2551" t="e">
        <f t="shared" si="8"/>
        <v>#N/A</v>
      </c>
      <c r="W551" s="2979"/>
    </row>
    <row r="552" spans="1:23" hidden="1">
      <c r="A552" s="2551">
        <v>1424461</v>
      </c>
      <c r="B552" s="2551" t="s">
        <v>6128</v>
      </c>
      <c r="C552" s="2551">
        <v>10</v>
      </c>
      <c r="D552" s="2551" t="s">
        <v>7367</v>
      </c>
      <c r="E552" s="2550" t="s">
        <v>7215</v>
      </c>
      <c r="F552" s="2551">
        <v>103</v>
      </c>
      <c r="G552" s="2552">
        <v>172035</v>
      </c>
      <c r="H552" s="2552">
        <v>172035</v>
      </c>
      <c r="J552" s="2551">
        <v>10</v>
      </c>
      <c r="K552" s="2553" t="s">
        <v>7292</v>
      </c>
      <c r="L552" s="2551" t="e">
        <f t="shared" si="8"/>
        <v>#N/A</v>
      </c>
      <c r="W552" s="2979"/>
    </row>
    <row r="553" spans="1:23" hidden="1">
      <c r="A553" s="2551">
        <v>1424462</v>
      </c>
      <c r="B553" s="2551" t="s">
        <v>7465</v>
      </c>
      <c r="C553" s="2551">
        <v>10</v>
      </c>
      <c r="D553" s="2551" t="s">
        <v>7367</v>
      </c>
      <c r="E553" s="2550" t="s">
        <v>7215</v>
      </c>
      <c r="F553" s="2551">
        <v>103</v>
      </c>
      <c r="G553" s="2552">
        <v>53160.71</v>
      </c>
      <c r="H553" s="2552">
        <v>53160.71</v>
      </c>
      <c r="J553" s="2551">
        <v>10</v>
      </c>
      <c r="K553" s="2553" t="s">
        <v>7292</v>
      </c>
      <c r="L553" s="2551" t="e">
        <f t="shared" si="8"/>
        <v>#N/A</v>
      </c>
      <c r="W553" s="2979"/>
    </row>
    <row r="554" spans="1:23" hidden="1">
      <c r="A554" s="2551">
        <v>1424463</v>
      </c>
      <c r="B554" s="2551" t="s">
        <v>6130</v>
      </c>
      <c r="C554" s="2551">
        <v>10</v>
      </c>
      <c r="D554" s="2551" t="s">
        <v>7367</v>
      </c>
      <c r="E554" s="2550" t="s">
        <v>7215</v>
      </c>
      <c r="F554" s="2551">
        <v>103</v>
      </c>
      <c r="G554" s="2552">
        <v>-22022195.510000002</v>
      </c>
      <c r="H554" s="2552">
        <v>531884.51</v>
      </c>
      <c r="J554" s="2551">
        <v>10</v>
      </c>
      <c r="K554" s="2553" t="s">
        <v>7292</v>
      </c>
      <c r="L554" s="2551" t="e">
        <f t="shared" si="8"/>
        <v>#N/A</v>
      </c>
      <c r="W554" s="2979"/>
    </row>
    <row r="555" spans="1:23" hidden="1">
      <c r="A555" s="2551">
        <v>1424464</v>
      </c>
      <c r="B555" s="2551" t="s">
        <v>6131</v>
      </c>
      <c r="C555" s="2551">
        <v>10</v>
      </c>
      <c r="D555" s="2551" t="s">
        <v>7367</v>
      </c>
      <c r="E555" s="2550" t="s">
        <v>7215</v>
      </c>
      <c r="F555" s="2551">
        <v>103</v>
      </c>
      <c r="G555" s="2552">
        <v>3468963.31</v>
      </c>
      <c r="H555" s="2552">
        <v>3794913.31</v>
      </c>
      <c r="J555" s="2551">
        <v>10</v>
      </c>
      <c r="K555" s="2553" t="s">
        <v>7292</v>
      </c>
      <c r="L555" s="2551" t="e">
        <f t="shared" si="8"/>
        <v>#N/A</v>
      </c>
      <c r="W555" s="2979"/>
    </row>
    <row r="556" spans="1:23" hidden="1">
      <c r="A556" s="2551">
        <v>1424465</v>
      </c>
      <c r="B556" s="2551" t="s">
        <v>6132</v>
      </c>
      <c r="C556" s="2551">
        <v>10</v>
      </c>
      <c r="D556" s="2551" t="s">
        <v>7367</v>
      </c>
      <c r="E556" s="2550" t="s">
        <v>7215</v>
      </c>
      <c r="F556" s="2551">
        <v>103</v>
      </c>
      <c r="G556" s="2552">
        <v>2063235.9</v>
      </c>
      <c r="H556" s="2552">
        <v>7221832.0599999996</v>
      </c>
      <c r="J556" s="2551">
        <v>10</v>
      </c>
      <c r="K556" s="2553" t="s">
        <v>7292</v>
      </c>
      <c r="L556" s="2551" t="e">
        <f t="shared" si="8"/>
        <v>#N/A</v>
      </c>
      <c r="W556" s="2979"/>
    </row>
    <row r="557" spans="1:23" hidden="1">
      <c r="A557" s="2551">
        <v>1424466</v>
      </c>
      <c r="B557" s="2551" t="s">
        <v>6133</v>
      </c>
      <c r="C557" s="2551">
        <v>10</v>
      </c>
      <c r="D557" s="2551" t="s">
        <v>7367</v>
      </c>
      <c r="E557" s="2550" t="s">
        <v>7215</v>
      </c>
      <c r="F557" s="2551">
        <v>103</v>
      </c>
      <c r="G557" s="2552">
        <v>345212</v>
      </c>
      <c r="H557" s="2552">
        <v>345212</v>
      </c>
      <c r="J557" s="2551">
        <v>10</v>
      </c>
      <c r="K557" s="2553" t="s">
        <v>7292</v>
      </c>
      <c r="L557" s="2551" t="e">
        <f t="shared" si="8"/>
        <v>#N/A</v>
      </c>
      <c r="W557" s="2979"/>
    </row>
    <row r="558" spans="1:23" hidden="1">
      <c r="A558" s="2551">
        <v>1424467</v>
      </c>
      <c r="B558" s="2551" t="s">
        <v>7466</v>
      </c>
      <c r="C558" s="2551">
        <v>10</v>
      </c>
      <c r="D558" s="2551" t="s">
        <v>7367</v>
      </c>
      <c r="E558" s="2550" t="s">
        <v>7215</v>
      </c>
      <c r="F558" s="2551">
        <v>103</v>
      </c>
      <c r="G558" s="2552">
        <v>851</v>
      </c>
      <c r="H558" s="2552">
        <v>851</v>
      </c>
      <c r="J558" s="2551">
        <v>10</v>
      </c>
      <c r="K558" s="2553" t="s">
        <v>7292</v>
      </c>
      <c r="L558" s="2551" t="e">
        <f t="shared" si="8"/>
        <v>#N/A</v>
      </c>
      <c r="W558" s="2979"/>
    </row>
    <row r="559" spans="1:23" hidden="1">
      <c r="A559" s="2551">
        <v>1424468</v>
      </c>
      <c r="B559" s="2551" t="s">
        <v>6134</v>
      </c>
      <c r="C559" s="2551">
        <v>10</v>
      </c>
      <c r="D559" s="2551" t="s">
        <v>7367</v>
      </c>
      <c r="E559" s="2550" t="s">
        <v>7215</v>
      </c>
      <c r="F559" s="2551">
        <v>103</v>
      </c>
      <c r="G559" s="2552">
        <v>68814.17</v>
      </c>
      <c r="H559" s="2552">
        <v>68814.17</v>
      </c>
      <c r="J559" s="2551">
        <v>10</v>
      </c>
      <c r="K559" s="2553" t="s">
        <v>7292</v>
      </c>
      <c r="L559" s="2551" t="e">
        <f t="shared" si="8"/>
        <v>#N/A</v>
      </c>
      <c r="W559" s="2979"/>
    </row>
    <row r="560" spans="1:23" hidden="1">
      <c r="A560" s="2551">
        <v>1424469</v>
      </c>
      <c r="B560" s="2551" t="s">
        <v>6135</v>
      </c>
      <c r="C560" s="2551">
        <v>10</v>
      </c>
      <c r="D560" s="2551" t="s">
        <v>7367</v>
      </c>
      <c r="E560" s="2550" t="s">
        <v>7215</v>
      </c>
      <c r="F560" s="2551">
        <v>103</v>
      </c>
      <c r="G560" s="2552">
        <v>2623969.0299999998</v>
      </c>
      <c r="H560" s="2552">
        <v>2055157.53</v>
      </c>
      <c r="J560" s="2551">
        <v>10</v>
      </c>
      <c r="K560" s="2553" t="s">
        <v>7292</v>
      </c>
      <c r="L560" s="2551" t="e">
        <f t="shared" si="8"/>
        <v>#N/A</v>
      </c>
      <c r="W560" s="2979"/>
    </row>
    <row r="561" spans="1:23" hidden="1">
      <c r="A561" s="2551">
        <v>1424470</v>
      </c>
      <c r="B561" s="2551" t="s">
        <v>6136</v>
      </c>
      <c r="C561" s="2551">
        <v>10</v>
      </c>
      <c r="D561" s="2551" t="s">
        <v>7367</v>
      </c>
      <c r="E561" s="2550" t="s">
        <v>7215</v>
      </c>
      <c r="F561" s="2551">
        <v>103</v>
      </c>
      <c r="G561" s="2552">
        <v>1116105.98</v>
      </c>
      <c r="H561" s="2552">
        <v>1068515.8</v>
      </c>
      <c r="J561" s="2551">
        <v>10</v>
      </c>
      <c r="K561" s="2553" t="s">
        <v>7292</v>
      </c>
      <c r="L561" s="2551" t="e">
        <f t="shared" si="8"/>
        <v>#N/A</v>
      </c>
      <c r="W561" s="2979"/>
    </row>
    <row r="562" spans="1:23" hidden="1">
      <c r="A562" s="2551">
        <v>1424471</v>
      </c>
      <c r="B562" s="2551" t="s">
        <v>6137</v>
      </c>
      <c r="C562" s="2551">
        <v>10</v>
      </c>
      <c r="D562" s="2551" t="s">
        <v>7367</v>
      </c>
      <c r="E562" s="2550" t="s">
        <v>7215</v>
      </c>
      <c r="F562" s="2551">
        <v>103</v>
      </c>
      <c r="G562" s="2552">
        <v>23850623.27</v>
      </c>
      <c r="H562" s="2552">
        <v>34014608.270000003</v>
      </c>
      <c r="J562" s="2551">
        <v>10</v>
      </c>
      <c r="K562" s="2553" t="s">
        <v>7292</v>
      </c>
      <c r="L562" s="2551" t="e">
        <f t="shared" si="8"/>
        <v>#N/A</v>
      </c>
      <c r="W562" s="2979"/>
    </row>
    <row r="563" spans="1:23" hidden="1">
      <c r="A563" s="2551">
        <v>1424472</v>
      </c>
      <c r="B563" s="2551" t="s">
        <v>6138</v>
      </c>
      <c r="C563" s="2551">
        <v>10</v>
      </c>
      <c r="D563" s="2551" t="s">
        <v>7367</v>
      </c>
      <c r="E563" s="2550" t="s">
        <v>7215</v>
      </c>
      <c r="F563" s="2551">
        <v>103</v>
      </c>
      <c r="G563" s="2552">
        <v>522835.94</v>
      </c>
      <c r="H563" s="2552">
        <v>522835.94</v>
      </c>
      <c r="J563" s="2551">
        <v>10</v>
      </c>
      <c r="K563" s="2553" t="s">
        <v>7292</v>
      </c>
      <c r="L563" s="2551" t="e">
        <f t="shared" si="8"/>
        <v>#N/A</v>
      </c>
      <c r="W563" s="2979"/>
    </row>
    <row r="564" spans="1:23" hidden="1">
      <c r="A564" s="2551">
        <v>1424473</v>
      </c>
      <c r="B564" s="2551" t="s">
        <v>6139</v>
      </c>
      <c r="C564" s="2551">
        <v>10</v>
      </c>
      <c r="D564" s="2551" t="s">
        <v>7367</v>
      </c>
      <c r="E564" s="2550" t="s">
        <v>7215</v>
      </c>
      <c r="F564" s="2551">
        <v>103</v>
      </c>
      <c r="G564" s="2552">
        <v>1411426.77</v>
      </c>
      <c r="H564" s="2552">
        <v>1411426.77</v>
      </c>
      <c r="J564" s="2551">
        <v>10</v>
      </c>
      <c r="K564" s="2553" t="s">
        <v>7292</v>
      </c>
      <c r="L564" s="2551" t="e">
        <f t="shared" si="8"/>
        <v>#N/A</v>
      </c>
      <c r="W564" s="2979"/>
    </row>
    <row r="565" spans="1:23" hidden="1">
      <c r="A565" s="2551">
        <v>1424474</v>
      </c>
      <c r="B565" s="2551" t="s">
        <v>6140</v>
      </c>
      <c r="C565" s="2551">
        <v>10</v>
      </c>
      <c r="D565" s="2551" t="s">
        <v>7367</v>
      </c>
      <c r="E565" s="2550" t="s">
        <v>7215</v>
      </c>
      <c r="F565" s="2551">
        <v>103</v>
      </c>
      <c r="G565" s="2552">
        <v>636476.30000000005</v>
      </c>
      <c r="H565" s="2552">
        <v>636476.30000000005</v>
      </c>
      <c r="J565" s="2551">
        <v>10</v>
      </c>
      <c r="K565" s="2553" t="s">
        <v>7292</v>
      </c>
      <c r="L565" s="2551" t="e">
        <f t="shared" si="8"/>
        <v>#N/A</v>
      </c>
      <c r="W565" s="2979"/>
    </row>
    <row r="566" spans="1:23" hidden="1">
      <c r="A566" s="2551">
        <v>1424475</v>
      </c>
      <c r="B566" s="2551" t="s">
        <v>6141</v>
      </c>
      <c r="C566" s="2551">
        <v>10</v>
      </c>
      <c r="D566" s="2551" t="s">
        <v>7367</v>
      </c>
      <c r="E566" s="2550" t="s">
        <v>7215</v>
      </c>
      <c r="F566" s="2551">
        <v>103</v>
      </c>
      <c r="G566" s="2552">
        <v>25744</v>
      </c>
      <c r="H566" s="2552">
        <v>25744</v>
      </c>
      <c r="J566" s="2551">
        <v>10</v>
      </c>
      <c r="K566" s="2553" t="s">
        <v>7292</v>
      </c>
      <c r="L566" s="2551" t="e">
        <f t="shared" si="8"/>
        <v>#N/A</v>
      </c>
      <c r="W566" s="2979"/>
    </row>
    <row r="567" spans="1:23" hidden="1">
      <c r="A567" s="2551">
        <v>1424476</v>
      </c>
      <c r="B567" s="2551" t="s">
        <v>6142</v>
      </c>
      <c r="C567" s="2551">
        <v>10</v>
      </c>
      <c r="D567" s="2551" t="s">
        <v>7367</v>
      </c>
      <c r="E567" s="2550" t="s">
        <v>7215</v>
      </c>
      <c r="F567" s="2551">
        <v>103</v>
      </c>
      <c r="G567" s="2552">
        <v>101580.95</v>
      </c>
      <c r="H567" s="2552">
        <v>101580.95</v>
      </c>
      <c r="J567" s="2551">
        <v>10</v>
      </c>
      <c r="K567" s="2553" t="s">
        <v>7292</v>
      </c>
      <c r="L567" s="2551" t="e">
        <f t="shared" si="8"/>
        <v>#N/A</v>
      </c>
      <c r="W567" s="2979"/>
    </row>
    <row r="568" spans="1:23" hidden="1">
      <c r="A568" s="2551">
        <v>1424478</v>
      </c>
      <c r="B568" s="2551" t="s">
        <v>6143</v>
      </c>
      <c r="C568" s="2551">
        <v>10</v>
      </c>
      <c r="D568" s="2551" t="s">
        <v>7367</v>
      </c>
      <c r="E568" s="2550" t="s">
        <v>7215</v>
      </c>
      <c r="F568" s="2551">
        <v>103</v>
      </c>
      <c r="G568" s="2552">
        <v>97457</v>
      </c>
      <c r="H568" s="2552">
        <v>97457</v>
      </c>
      <c r="J568" s="2551">
        <v>10</v>
      </c>
      <c r="K568" s="2553" t="s">
        <v>7292</v>
      </c>
      <c r="L568" s="2551" t="e">
        <f t="shared" si="8"/>
        <v>#N/A</v>
      </c>
      <c r="W568" s="2979"/>
    </row>
    <row r="569" spans="1:23" hidden="1">
      <c r="A569" s="2551">
        <v>1424479</v>
      </c>
      <c r="B569" s="2551" t="s">
        <v>7467</v>
      </c>
      <c r="C569" s="2551">
        <v>10</v>
      </c>
      <c r="D569" s="2551" t="s">
        <v>7367</v>
      </c>
      <c r="E569" s="2550" t="s">
        <v>7215</v>
      </c>
      <c r="F569" s="2551">
        <v>103</v>
      </c>
      <c r="G569" s="2552">
        <v>7500</v>
      </c>
      <c r="H569" s="2552">
        <v>7500</v>
      </c>
      <c r="J569" s="2551">
        <v>10</v>
      </c>
      <c r="K569" s="2553" t="s">
        <v>7292</v>
      </c>
      <c r="L569" s="2551" t="e">
        <f t="shared" si="8"/>
        <v>#N/A</v>
      </c>
      <c r="W569" s="2979"/>
    </row>
    <row r="570" spans="1:23" hidden="1">
      <c r="A570" s="2551">
        <v>1424482</v>
      </c>
      <c r="B570" s="2551" t="s">
        <v>6147</v>
      </c>
      <c r="C570" s="2551">
        <v>10</v>
      </c>
      <c r="D570" s="2551" t="s">
        <v>7367</v>
      </c>
      <c r="E570" s="2550" t="s">
        <v>7215</v>
      </c>
      <c r="F570" s="2551">
        <v>103</v>
      </c>
      <c r="G570" s="2552">
        <v>111269</v>
      </c>
      <c r="H570" s="2552">
        <v>111269</v>
      </c>
      <c r="J570" s="2551">
        <v>10</v>
      </c>
      <c r="K570" s="2553" t="s">
        <v>7292</v>
      </c>
      <c r="L570" s="2551" t="e">
        <f t="shared" si="8"/>
        <v>#N/A</v>
      </c>
      <c r="W570" s="2979"/>
    </row>
    <row r="571" spans="1:23" hidden="1">
      <c r="A571" s="2551">
        <v>1424483</v>
      </c>
      <c r="B571" s="2551" t="s">
        <v>6148</v>
      </c>
      <c r="C571" s="2551">
        <v>10</v>
      </c>
      <c r="D571" s="2551" t="s">
        <v>7367</v>
      </c>
      <c r="E571" s="2550" t="s">
        <v>7215</v>
      </c>
      <c r="F571" s="2551">
        <v>103</v>
      </c>
      <c r="G571" s="2552">
        <v>1472355.95</v>
      </c>
      <c r="H571" s="2552">
        <v>1472355.95</v>
      </c>
      <c r="J571" s="2551">
        <v>10</v>
      </c>
      <c r="K571" s="2553" t="s">
        <v>7292</v>
      </c>
      <c r="L571" s="2551" t="e">
        <f t="shared" si="8"/>
        <v>#N/A</v>
      </c>
      <c r="W571" s="2979"/>
    </row>
    <row r="572" spans="1:23" hidden="1">
      <c r="A572" s="2551">
        <v>1424484</v>
      </c>
      <c r="B572" s="2551" t="s">
        <v>6149</v>
      </c>
      <c r="C572" s="2551">
        <v>10</v>
      </c>
      <c r="D572" s="2551" t="s">
        <v>7367</v>
      </c>
      <c r="E572" s="2550" t="s">
        <v>7215</v>
      </c>
      <c r="F572" s="2551">
        <v>103</v>
      </c>
      <c r="G572" s="2552">
        <v>20350.3</v>
      </c>
      <c r="H572" s="2552">
        <v>20350.3</v>
      </c>
      <c r="J572" s="2551">
        <v>10</v>
      </c>
      <c r="K572" s="2553" t="s">
        <v>7292</v>
      </c>
      <c r="L572" s="2551" t="e">
        <f t="shared" si="8"/>
        <v>#N/A</v>
      </c>
      <c r="W572" s="2979"/>
    </row>
    <row r="573" spans="1:23" hidden="1">
      <c r="A573" s="2551">
        <v>1424485</v>
      </c>
      <c r="B573" s="2551" t="s">
        <v>6150</v>
      </c>
      <c r="C573" s="2551">
        <v>10</v>
      </c>
      <c r="D573" s="2551" t="s">
        <v>7367</v>
      </c>
      <c r="E573" s="2550" t="s">
        <v>7215</v>
      </c>
      <c r="F573" s="2551">
        <v>103</v>
      </c>
      <c r="G573" s="2552">
        <v>53553.74</v>
      </c>
      <c r="H573" s="2552">
        <v>53553.74</v>
      </c>
      <c r="J573" s="2551">
        <v>10</v>
      </c>
      <c r="K573" s="2553" t="s">
        <v>7292</v>
      </c>
      <c r="L573" s="2551" t="e">
        <f t="shared" si="8"/>
        <v>#N/A</v>
      </c>
      <c r="W573" s="2979"/>
    </row>
    <row r="574" spans="1:23" hidden="1">
      <c r="A574" s="2551">
        <v>1424487</v>
      </c>
      <c r="B574" s="2551" t="s">
        <v>7468</v>
      </c>
      <c r="C574" s="2551">
        <v>10</v>
      </c>
      <c r="D574" s="2551" t="s">
        <v>7367</v>
      </c>
      <c r="E574" s="2550" t="s">
        <v>7215</v>
      </c>
      <c r="F574" s="2551">
        <v>103</v>
      </c>
      <c r="G574" s="2552">
        <v>78158309.670000002</v>
      </c>
      <c r="H574" s="2552">
        <v>0</v>
      </c>
      <c r="J574" s="2551">
        <v>10</v>
      </c>
      <c r="K574" s="2553" t="s">
        <v>7292</v>
      </c>
      <c r="L574" s="2551" t="e">
        <f t="shared" si="8"/>
        <v>#N/A</v>
      </c>
      <c r="W574" s="2979"/>
    </row>
    <row r="575" spans="1:23" hidden="1">
      <c r="A575" s="2551">
        <v>1424488</v>
      </c>
      <c r="B575" s="2551" t="s">
        <v>7469</v>
      </c>
      <c r="C575" s="2551">
        <v>10</v>
      </c>
      <c r="D575" s="2551" t="s">
        <v>7367</v>
      </c>
      <c r="E575" s="2550" t="s">
        <v>7215</v>
      </c>
      <c r="F575" s="2551">
        <v>103</v>
      </c>
      <c r="G575" s="2552">
        <v>9958600.9199999999</v>
      </c>
      <c r="H575" s="2552">
        <v>0</v>
      </c>
      <c r="J575" s="2551">
        <v>10</v>
      </c>
      <c r="K575" s="2553" t="s">
        <v>7292</v>
      </c>
      <c r="L575" s="2551" t="e">
        <f t="shared" si="8"/>
        <v>#N/A</v>
      </c>
      <c r="W575" s="2979"/>
    </row>
    <row r="576" spans="1:23" hidden="1">
      <c r="A576" s="2551">
        <v>1424490</v>
      </c>
      <c r="B576" s="2551" t="s">
        <v>7470</v>
      </c>
      <c r="C576" s="2551">
        <v>10</v>
      </c>
      <c r="D576" s="2551" t="s">
        <v>7367</v>
      </c>
      <c r="E576" s="2550" t="s">
        <v>7215</v>
      </c>
      <c r="F576" s="2551">
        <v>103</v>
      </c>
      <c r="G576" s="2552">
        <v>4507</v>
      </c>
      <c r="H576" s="2552">
        <v>4507</v>
      </c>
      <c r="J576" s="2551">
        <v>10</v>
      </c>
      <c r="K576" s="2553" t="s">
        <v>7292</v>
      </c>
      <c r="L576" s="2551" t="e">
        <f t="shared" si="8"/>
        <v>#N/A</v>
      </c>
      <c r="W576" s="2979"/>
    </row>
    <row r="577" spans="1:23" hidden="1">
      <c r="A577" s="2551">
        <v>1424491</v>
      </c>
      <c r="B577" s="2551" t="s">
        <v>7471</v>
      </c>
      <c r="C577" s="2551">
        <v>10</v>
      </c>
      <c r="D577" s="2551" t="s">
        <v>7367</v>
      </c>
      <c r="E577" s="2550" t="s">
        <v>7215</v>
      </c>
      <c r="F577" s="2551">
        <v>103</v>
      </c>
      <c r="G577" s="2552">
        <v>743.24</v>
      </c>
      <c r="H577" s="2552">
        <v>743.24</v>
      </c>
      <c r="J577" s="2551">
        <v>10</v>
      </c>
      <c r="K577" s="2553" t="s">
        <v>7292</v>
      </c>
      <c r="L577" s="2551" t="e">
        <f t="shared" si="8"/>
        <v>#N/A</v>
      </c>
      <c r="W577" s="2979"/>
    </row>
    <row r="578" spans="1:23" hidden="1">
      <c r="A578" s="2551">
        <v>1424499</v>
      </c>
      <c r="B578" s="2551" t="s">
        <v>7472</v>
      </c>
      <c r="C578" s="2551">
        <v>10</v>
      </c>
      <c r="D578" s="2551" t="s">
        <v>7367</v>
      </c>
      <c r="E578" s="2550" t="s">
        <v>7215</v>
      </c>
      <c r="F578" s="2551">
        <v>103</v>
      </c>
      <c r="G578" s="2552">
        <v>3039932</v>
      </c>
      <c r="H578" s="2552">
        <v>0</v>
      </c>
      <c r="J578" s="2551">
        <v>10</v>
      </c>
      <c r="K578" s="2553" t="s">
        <v>7292</v>
      </c>
      <c r="L578" s="2551" t="e">
        <f t="shared" si="8"/>
        <v>#N/A</v>
      </c>
      <c r="W578" s="2979"/>
    </row>
    <row r="579" spans="1:23" hidden="1">
      <c r="A579" s="2551">
        <v>1424501</v>
      </c>
      <c r="B579" s="2551" t="s">
        <v>7473</v>
      </c>
      <c r="C579" s="2551">
        <v>10</v>
      </c>
      <c r="D579" s="2551" t="s">
        <v>7367</v>
      </c>
      <c r="E579" s="2550" t="s">
        <v>7215</v>
      </c>
      <c r="F579" s="2551">
        <v>103</v>
      </c>
      <c r="G579" s="2552">
        <v>1977</v>
      </c>
      <c r="H579" s="2552">
        <v>1747</v>
      </c>
      <c r="J579" s="2551">
        <v>10</v>
      </c>
      <c r="K579" s="2553" t="s">
        <v>7292</v>
      </c>
      <c r="L579" s="2551" t="e">
        <f t="shared" si="8"/>
        <v>#N/A</v>
      </c>
      <c r="W579" s="2979"/>
    </row>
    <row r="580" spans="1:23" hidden="1">
      <c r="A580" s="2551">
        <v>1424502</v>
      </c>
      <c r="B580" s="2551" t="s">
        <v>7474</v>
      </c>
      <c r="C580" s="2551">
        <v>10</v>
      </c>
      <c r="D580" s="2551" t="s">
        <v>7367</v>
      </c>
      <c r="E580" s="2550" t="s">
        <v>7215</v>
      </c>
      <c r="F580" s="2551">
        <v>103</v>
      </c>
      <c r="G580" s="2552">
        <v>9199407</v>
      </c>
      <c r="H580" s="2552">
        <v>0</v>
      </c>
      <c r="J580" s="2551">
        <v>10</v>
      </c>
      <c r="K580" s="2553" t="s">
        <v>7292</v>
      </c>
      <c r="L580" s="2551" t="e">
        <f t="shared" ref="L580:L643" si="9">VLOOKUP(A580,P:P,1,0)</f>
        <v>#N/A</v>
      </c>
      <c r="W580" s="2979"/>
    </row>
    <row r="581" spans="1:23" hidden="1">
      <c r="A581" s="2551">
        <v>1424503</v>
      </c>
      <c r="B581" s="2551" t="s">
        <v>7475</v>
      </c>
      <c r="C581" s="2551">
        <v>10</v>
      </c>
      <c r="D581" s="2551" t="s">
        <v>7367</v>
      </c>
      <c r="E581" s="2550" t="s">
        <v>7215</v>
      </c>
      <c r="F581" s="2551">
        <v>103</v>
      </c>
      <c r="G581" s="2552">
        <v>230779295.47</v>
      </c>
      <c r="H581" s="2552">
        <v>57399957</v>
      </c>
      <c r="J581" s="2551">
        <v>10</v>
      </c>
      <c r="K581" s="2553" t="s">
        <v>7292</v>
      </c>
      <c r="L581" s="2551" t="e">
        <f t="shared" si="9"/>
        <v>#N/A</v>
      </c>
      <c r="W581" s="2979"/>
    </row>
    <row r="582" spans="1:23" hidden="1">
      <c r="A582" s="2551">
        <v>1424504</v>
      </c>
      <c r="B582" s="2551" t="s">
        <v>7476</v>
      </c>
      <c r="C582" s="2551">
        <v>10</v>
      </c>
      <c r="D582" s="2551" t="s">
        <v>7367</v>
      </c>
      <c r="E582" s="2550" t="s">
        <v>7215</v>
      </c>
      <c r="F582" s="2551">
        <v>103</v>
      </c>
      <c r="G582" s="2552">
        <v>41793993.490000002</v>
      </c>
      <c r="H582" s="2552">
        <v>19147907.489999998</v>
      </c>
      <c r="J582" s="2551">
        <v>10</v>
      </c>
      <c r="K582" s="2553" t="s">
        <v>7292</v>
      </c>
      <c r="L582" s="2551" t="e">
        <f t="shared" si="9"/>
        <v>#N/A</v>
      </c>
      <c r="W582" s="2979"/>
    </row>
    <row r="583" spans="1:23" hidden="1">
      <c r="A583" s="2551">
        <v>1424505</v>
      </c>
      <c r="B583" s="2551" t="s">
        <v>7477</v>
      </c>
      <c r="C583" s="2551">
        <v>10</v>
      </c>
      <c r="D583" s="2551" t="s">
        <v>7367</v>
      </c>
      <c r="E583" s="2550" t="s">
        <v>7215</v>
      </c>
      <c r="F583" s="2551">
        <v>103</v>
      </c>
      <c r="G583" s="2552">
        <v>825</v>
      </c>
      <c r="H583" s="2552">
        <v>0</v>
      </c>
      <c r="J583" s="2551">
        <v>10</v>
      </c>
      <c r="K583" s="2553" t="s">
        <v>7292</v>
      </c>
      <c r="L583" s="2551" t="e">
        <f t="shared" si="9"/>
        <v>#N/A</v>
      </c>
      <c r="W583" s="2979"/>
    </row>
    <row r="584" spans="1:23" hidden="1">
      <c r="A584" s="2551">
        <v>1424507</v>
      </c>
      <c r="B584" s="2551" t="s">
        <v>7478</v>
      </c>
      <c r="C584" s="2551">
        <v>10</v>
      </c>
      <c r="D584" s="2551" t="s">
        <v>7367</v>
      </c>
      <c r="E584" s="2550" t="s">
        <v>7215</v>
      </c>
      <c r="F584" s="2551">
        <v>103</v>
      </c>
      <c r="G584" s="2552">
        <v>28527527.84</v>
      </c>
      <c r="H584" s="2552">
        <v>9293402</v>
      </c>
      <c r="J584" s="2551">
        <v>10</v>
      </c>
      <c r="K584" s="2553" t="s">
        <v>7292</v>
      </c>
      <c r="L584" s="2551" t="e">
        <f t="shared" si="9"/>
        <v>#N/A</v>
      </c>
      <c r="W584" s="2979"/>
    </row>
    <row r="585" spans="1:23" hidden="1">
      <c r="A585" s="2551">
        <v>1424508</v>
      </c>
      <c r="B585" s="2551" t="s">
        <v>6158</v>
      </c>
      <c r="C585" s="2551">
        <v>10</v>
      </c>
      <c r="D585" s="2551" t="s">
        <v>7367</v>
      </c>
      <c r="E585" s="2550" t="s">
        <v>7215</v>
      </c>
      <c r="F585" s="2551">
        <v>103</v>
      </c>
      <c r="G585" s="2552">
        <v>205841195</v>
      </c>
      <c r="H585" s="2552">
        <v>175003412</v>
      </c>
      <c r="J585" s="2551">
        <v>10</v>
      </c>
      <c r="K585" s="2553" t="s">
        <v>7292</v>
      </c>
      <c r="L585" s="2551" t="e">
        <f t="shared" si="9"/>
        <v>#N/A</v>
      </c>
      <c r="W585" s="2979"/>
    </row>
    <row r="586" spans="1:23" hidden="1">
      <c r="A586" s="2551">
        <v>1424509</v>
      </c>
      <c r="B586" s="2551" t="s">
        <v>7479</v>
      </c>
      <c r="C586" s="2551">
        <v>10</v>
      </c>
      <c r="D586" s="2551" t="s">
        <v>7367</v>
      </c>
      <c r="E586" s="2550" t="s">
        <v>7215</v>
      </c>
      <c r="F586" s="2551">
        <v>103</v>
      </c>
      <c r="G586" s="2552">
        <v>20000000</v>
      </c>
      <c r="H586" s="2552">
        <v>0</v>
      </c>
      <c r="J586" s="2551">
        <v>10</v>
      </c>
      <c r="K586" s="2553" t="s">
        <v>7292</v>
      </c>
      <c r="L586" s="2551" t="e">
        <f t="shared" si="9"/>
        <v>#N/A</v>
      </c>
      <c r="W586" s="2979"/>
    </row>
    <row r="587" spans="1:23" hidden="1">
      <c r="A587" s="2551">
        <v>1424511</v>
      </c>
      <c r="B587" s="2551" t="s">
        <v>6159</v>
      </c>
      <c r="C587" s="2551">
        <v>10</v>
      </c>
      <c r="D587" s="2551" t="s">
        <v>7367</v>
      </c>
      <c r="E587" s="2550" t="s">
        <v>7215</v>
      </c>
      <c r="F587" s="2551">
        <v>103</v>
      </c>
      <c r="G587" s="2552">
        <v>288524452</v>
      </c>
      <c r="H587" s="2552">
        <v>68352010</v>
      </c>
      <c r="J587" s="2551">
        <v>10</v>
      </c>
      <c r="K587" s="2553" t="s">
        <v>7292</v>
      </c>
      <c r="L587" s="2551" t="e">
        <f t="shared" si="9"/>
        <v>#N/A</v>
      </c>
      <c r="W587" s="2979"/>
    </row>
    <row r="588" spans="1:23" hidden="1">
      <c r="A588" s="2551">
        <v>1424512</v>
      </c>
      <c r="B588" s="2551" t="s">
        <v>7480</v>
      </c>
      <c r="C588" s="2551">
        <v>10</v>
      </c>
      <c r="D588" s="2551" t="s">
        <v>7367</v>
      </c>
      <c r="E588" s="2550" t="s">
        <v>7215</v>
      </c>
      <c r="F588" s="2551">
        <v>103</v>
      </c>
      <c r="G588" s="2552">
        <v>39841126.090000004</v>
      </c>
      <c r="H588" s="2552">
        <v>7028665.7599999998</v>
      </c>
      <c r="J588" s="2551">
        <v>10</v>
      </c>
      <c r="K588" s="2553" t="s">
        <v>7292</v>
      </c>
      <c r="L588" s="2551" t="e">
        <f t="shared" si="9"/>
        <v>#N/A</v>
      </c>
      <c r="W588" s="2979"/>
    </row>
    <row r="589" spans="1:23" hidden="1">
      <c r="A589" s="2551">
        <v>1424513</v>
      </c>
      <c r="B589" s="2551" t="s">
        <v>7481</v>
      </c>
      <c r="C589" s="2551">
        <v>10</v>
      </c>
      <c r="D589" s="2551" t="s">
        <v>7367</v>
      </c>
      <c r="E589" s="2550" t="s">
        <v>7215</v>
      </c>
      <c r="F589" s="2551">
        <v>103</v>
      </c>
      <c r="G589" s="2552">
        <v>4894693</v>
      </c>
      <c r="H589" s="2552">
        <v>0</v>
      </c>
      <c r="J589" s="2551">
        <v>10</v>
      </c>
      <c r="K589" s="2553" t="s">
        <v>7292</v>
      </c>
      <c r="L589" s="2551" t="e">
        <f t="shared" si="9"/>
        <v>#N/A</v>
      </c>
      <c r="W589" s="2979"/>
    </row>
    <row r="590" spans="1:23" hidden="1">
      <c r="A590" s="2551">
        <v>1424514</v>
      </c>
      <c r="B590" s="2551" t="s">
        <v>6162</v>
      </c>
      <c r="C590" s="2551">
        <v>10</v>
      </c>
      <c r="D590" s="2551" t="s">
        <v>7367</v>
      </c>
      <c r="E590" s="2550" t="s">
        <v>7215</v>
      </c>
      <c r="F590" s="2551">
        <v>103</v>
      </c>
      <c r="G590" s="2552">
        <v>175731940.78999999</v>
      </c>
      <c r="H590" s="2552">
        <v>35747720.43</v>
      </c>
      <c r="J590" s="2551">
        <v>10</v>
      </c>
      <c r="K590" s="2553" t="s">
        <v>7292</v>
      </c>
      <c r="L590" s="2551" t="e">
        <f t="shared" si="9"/>
        <v>#N/A</v>
      </c>
      <c r="W590" s="2979"/>
    </row>
    <row r="591" spans="1:23" hidden="1">
      <c r="A591" s="2551">
        <v>1424515</v>
      </c>
      <c r="B591" s="2551" t="s">
        <v>6163</v>
      </c>
      <c r="C591" s="2551">
        <v>10</v>
      </c>
      <c r="D591" s="2551" t="s">
        <v>7367</v>
      </c>
      <c r="E591" s="2550" t="s">
        <v>7215</v>
      </c>
      <c r="F591" s="2551">
        <v>103</v>
      </c>
      <c r="G591" s="2552">
        <v>29993374.199999999</v>
      </c>
      <c r="H591" s="2552">
        <v>14757630.6</v>
      </c>
      <c r="J591" s="2551">
        <v>10</v>
      </c>
      <c r="K591" s="2553" t="s">
        <v>7292</v>
      </c>
      <c r="L591" s="2551" t="e">
        <f t="shared" si="9"/>
        <v>#N/A</v>
      </c>
      <c r="W591" s="2979"/>
    </row>
    <row r="592" spans="1:23" hidden="1">
      <c r="A592" s="2551">
        <v>1424516</v>
      </c>
      <c r="B592" s="2551" t="s">
        <v>6164</v>
      </c>
      <c r="C592" s="2551">
        <v>10</v>
      </c>
      <c r="D592" s="2551" t="s">
        <v>7367</v>
      </c>
      <c r="E592" s="2550" t="s">
        <v>7215</v>
      </c>
      <c r="F592" s="2551">
        <v>103</v>
      </c>
      <c r="G592" s="2552">
        <v>4921683</v>
      </c>
      <c r="H592" s="2552">
        <v>0</v>
      </c>
      <c r="J592" s="2551">
        <v>10</v>
      </c>
      <c r="K592" s="2553" t="s">
        <v>7292</v>
      </c>
      <c r="L592" s="2551" t="e">
        <f t="shared" si="9"/>
        <v>#N/A</v>
      </c>
      <c r="W592" s="2979"/>
    </row>
    <row r="593" spans="1:23" hidden="1">
      <c r="A593" s="2551">
        <v>1424517</v>
      </c>
      <c r="B593" s="2551" t="s">
        <v>6165</v>
      </c>
      <c r="C593" s="2551">
        <v>10</v>
      </c>
      <c r="D593" s="2551" t="s">
        <v>7367</v>
      </c>
      <c r="E593" s="2550" t="s">
        <v>7215</v>
      </c>
      <c r="F593" s="2551">
        <v>103</v>
      </c>
      <c r="G593" s="2552">
        <v>71459288.090000004</v>
      </c>
      <c r="H593" s="2552">
        <v>8911289.6799999997</v>
      </c>
      <c r="J593" s="2551">
        <v>10</v>
      </c>
      <c r="K593" s="2553" t="s">
        <v>7292</v>
      </c>
      <c r="L593" s="2551" t="e">
        <f t="shared" si="9"/>
        <v>#N/A</v>
      </c>
      <c r="W593" s="2979"/>
    </row>
    <row r="594" spans="1:23" hidden="1">
      <c r="A594" s="2551">
        <v>1424520</v>
      </c>
      <c r="B594" s="2551" t="s">
        <v>7482</v>
      </c>
      <c r="C594" s="2551">
        <v>10</v>
      </c>
      <c r="D594" s="2551" t="s">
        <v>7367</v>
      </c>
      <c r="E594" s="2550" t="s">
        <v>7215</v>
      </c>
      <c r="F594" s="2551">
        <v>103</v>
      </c>
      <c r="G594" s="2552">
        <v>10008896.77</v>
      </c>
      <c r="H594" s="2552">
        <v>3046095</v>
      </c>
      <c r="J594" s="2551">
        <v>10</v>
      </c>
      <c r="K594" s="2553" t="s">
        <v>7292</v>
      </c>
      <c r="L594" s="2551" t="e">
        <f t="shared" si="9"/>
        <v>#N/A</v>
      </c>
      <c r="W594" s="2979"/>
    </row>
    <row r="595" spans="1:23" hidden="1">
      <c r="A595" s="2551">
        <v>1424521</v>
      </c>
      <c r="B595" s="2551" t="s">
        <v>7483</v>
      </c>
      <c r="C595" s="2551">
        <v>10</v>
      </c>
      <c r="D595" s="2551" t="s">
        <v>7367</v>
      </c>
      <c r="E595" s="2550" t="s">
        <v>7215</v>
      </c>
      <c r="F595" s="2551">
        <v>103</v>
      </c>
      <c r="G595" s="2552">
        <v>22040042</v>
      </c>
      <c r="H595" s="2552">
        <v>0</v>
      </c>
      <c r="J595" s="2551">
        <v>10</v>
      </c>
      <c r="K595" s="2553" t="s">
        <v>7292</v>
      </c>
      <c r="L595" s="2551" t="e">
        <f t="shared" si="9"/>
        <v>#N/A</v>
      </c>
      <c r="W595" s="2979"/>
    </row>
    <row r="596" spans="1:23" hidden="1">
      <c r="A596" s="2551">
        <v>1424522</v>
      </c>
      <c r="B596" s="2551" t="s">
        <v>7484</v>
      </c>
      <c r="C596" s="2551">
        <v>10</v>
      </c>
      <c r="D596" s="2551" t="s">
        <v>7367</v>
      </c>
      <c r="E596" s="2550" t="s">
        <v>7215</v>
      </c>
      <c r="F596" s="2551">
        <v>103</v>
      </c>
      <c r="G596" s="2552">
        <v>1198</v>
      </c>
      <c r="H596" s="2552">
        <v>0</v>
      </c>
      <c r="J596" s="2551">
        <v>10</v>
      </c>
      <c r="K596" s="2553" t="s">
        <v>7292</v>
      </c>
      <c r="L596" s="2551" t="e">
        <f t="shared" si="9"/>
        <v>#N/A</v>
      </c>
      <c r="W596" s="2979"/>
    </row>
    <row r="597" spans="1:23" hidden="1">
      <c r="A597" s="2551">
        <v>1424523</v>
      </c>
      <c r="B597" s="2551" t="s">
        <v>6168</v>
      </c>
      <c r="C597" s="2551">
        <v>10</v>
      </c>
      <c r="D597" s="2551" t="s">
        <v>7367</v>
      </c>
      <c r="E597" s="2550" t="s">
        <v>7215</v>
      </c>
      <c r="F597" s="2551">
        <v>103</v>
      </c>
      <c r="G597" s="2552">
        <v>262019978.52000001</v>
      </c>
      <c r="H597" s="2552">
        <v>75011546.349999994</v>
      </c>
      <c r="J597" s="2551">
        <v>10</v>
      </c>
      <c r="K597" s="2553" t="s">
        <v>7292</v>
      </c>
      <c r="L597" s="2551" t="e">
        <f t="shared" si="9"/>
        <v>#N/A</v>
      </c>
      <c r="W597" s="2979"/>
    </row>
    <row r="598" spans="1:23" hidden="1">
      <c r="A598" s="2551">
        <v>1424524</v>
      </c>
      <c r="B598" s="2551" t="s">
        <v>6169</v>
      </c>
      <c r="C598" s="2551">
        <v>10</v>
      </c>
      <c r="D598" s="2551" t="s">
        <v>7367</v>
      </c>
      <c r="E598" s="2550" t="s">
        <v>7215</v>
      </c>
      <c r="F598" s="2551">
        <v>103</v>
      </c>
      <c r="G598" s="2552">
        <v>19839749</v>
      </c>
      <c r="H598" s="2552">
        <v>3972356</v>
      </c>
      <c r="J598" s="2551">
        <v>10</v>
      </c>
      <c r="K598" s="2553" t="s">
        <v>7292</v>
      </c>
      <c r="L598" s="2551" t="e">
        <f t="shared" si="9"/>
        <v>#N/A</v>
      </c>
      <c r="W598" s="2979"/>
    </row>
    <row r="599" spans="1:23" hidden="1">
      <c r="A599" s="2551">
        <v>1424525</v>
      </c>
      <c r="B599" s="2551" t="s">
        <v>6170</v>
      </c>
      <c r="C599" s="2551">
        <v>10</v>
      </c>
      <c r="D599" s="2551" t="s">
        <v>7367</v>
      </c>
      <c r="E599" s="2550" t="s">
        <v>7215</v>
      </c>
      <c r="F599" s="2551">
        <v>103</v>
      </c>
      <c r="G599" s="2552">
        <v>29153252</v>
      </c>
      <c r="H599" s="2552">
        <v>8752538</v>
      </c>
      <c r="J599" s="2551">
        <v>10</v>
      </c>
      <c r="K599" s="2553" t="s">
        <v>7292</v>
      </c>
      <c r="L599" s="2551" t="e">
        <f t="shared" si="9"/>
        <v>#N/A</v>
      </c>
      <c r="W599" s="2979"/>
    </row>
    <row r="600" spans="1:23" hidden="1">
      <c r="A600" s="2551">
        <v>1424526</v>
      </c>
      <c r="B600" s="2551" t="s">
        <v>7459</v>
      </c>
      <c r="C600" s="2551">
        <v>10</v>
      </c>
      <c r="D600" s="2551" t="s">
        <v>7367</v>
      </c>
      <c r="E600" s="2550" t="s">
        <v>7215</v>
      </c>
      <c r="F600" s="2551">
        <v>103</v>
      </c>
      <c r="G600" s="2552">
        <v>52937789</v>
      </c>
      <c r="H600" s="2552">
        <v>17534205</v>
      </c>
      <c r="J600" s="2551">
        <v>10</v>
      </c>
      <c r="K600" s="2553" t="s">
        <v>7292</v>
      </c>
      <c r="L600" s="2551" t="e">
        <f t="shared" si="9"/>
        <v>#N/A</v>
      </c>
      <c r="W600" s="2979"/>
    </row>
    <row r="601" spans="1:23" hidden="1">
      <c r="A601" s="2551">
        <v>1424527</v>
      </c>
      <c r="B601" s="2551" t="s">
        <v>7460</v>
      </c>
      <c r="C601" s="2551">
        <v>10</v>
      </c>
      <c r="D601" s="2551" t="s">
        <v>7367</v>
      </c>
      <c r="E601" s="2550" t="s">
        <v>7215</v>
      </c>
      <c r="F601" s="2551">
        <v>103</v>
      </c>
      <c r="G601" s="2552">
        <v>338327240.89999998</v>
      </c>
      <c r="H601" s="2552">
        <v>81475607.909999996</v>
      </c>
      <c r="J601" s="2551">
        <v>10</v>
      </c>
      <c r="K601" s="2553" t="s">
        <v>7292</v>
      </c>
      <c r="L601" s="2551" t="e">
        <f t="shared" si="9"/>
        <v>#N/A</v>
      </c>
      <c r="W601" s="2979"/>
    </row>
    <row r="602" spans="1:23" hidden="1">
      <c r="A602" s="2551">
        <v>1424528</v>
      </c>
      <c r="B602" s="2551" t="s">
        <v>7461</v>
      </c>
      <c r="C602" s="2551">
        <v>10</v>
      </c>
      <c r="D602" s="2551" t="s">
        <v>7367</v>
      </c>
      <c r="E602" s="2550" t="s">
        <v>7215</v>
      </c>
      <c r="F602" s="2551">
        <v>103</v>
      </c>
      <c r="G602" s="2552">
        <v>15.7</v>
      </c>
      <c r="H602" s="2552">
        <v>0</v>
      </c>
      <c r="J602" s="2551">
        <v>10</v>
      </c>
      <c r="K602" s="2553" t="s">
        <v>7292</v>
      </c>
      <c r="L602" s="2551" t="e">
        <f t="shared" si="9"/>
        <v>#N/A</v>
      </c>
      <c r="W602" s="2979"/>
    </row>
    <row r="603" spans="1:23" hidden="1">
      <c r="A603" s="2551">
        <v>1424529</v>
      </c>
      <c r="B603" s="2551" t="s">
        <v>7485</v>
      </c>
      <c r="C603" s="2551">
        <v>10</v>
      </c>
      <c r="D603" s="2551" t="s">
        <v>7367</v>
      </c>
      <c r="E603" s="2550" t="s">
        <v>7215</v>
      </c>
      <c r="F603" s="2551">
        <v>103</v>
      </c>
      <c r="G603" s="2552">
        <v>3844</v>
      </c>
      <c r="H603" s="2552">
        <v>0</v>
      </c>
      <c r="J603" s="2551">
        <v>10</v>
      </c>
      <c r="K603" s="2553" t="s">
        <v>7292</v>
      </c>
      <c r="L603" s="2551" t="e">
        <f t="shared" si="9"/>
        <v>#N/A</v>
      </c>
      <c r="W603" s="2979"/>
    </row>
    <row r="604" spans="1:23" hidden="1">
      <c r="A604" s="2551">
        <v>1424530</v>
      </c>
      <c r="B604" s="2551" t="s">
        <v>7486</v>
      </c>
      <c r="C604" s="2551">
        <v>10</v>
      </c>
      <c r="D604" s="2551" t="s">
        <v>7367</v>
      </c>
      <c r="E604" s="2550" t="s">
        <v>7215</v>
      </c>
      <c r="F604" s="2551">
        <v>103</v>
      </c>
      <c r="G604" s="2552">
        <v>34459329</v>
      </c>
      <c r="H604" s="2552">
        <v>10270055</v>
      </c>
      <c r="J604" s="2551">
        <v>10</v>
      </c>
      <c r="K604" s="2553" t="s">
        <v>7292</v>
      </c>
      <c r="L604" s="2551" t="e">
        <f t="shared" si="9"/>
        <v>#N/A</v>
      </c>
      <c r="W604" s="2979"/>
    </row>
    <row r="605" spans="1:23" hidden="1">
      <c r="A605" s="2551">
        <v>1424533</v>
      </c>
      <c r="B605" s="2551" t="s">
        <v>7487</v>
      </c>
      <c r="C605" s="2551">
        <v>10</v>
      </c>
      <c r="D605" s="2551" t="s">
        <v>7367</v>
      </c>
      <c r="E605" s="2550" t="s">
        <v>7215</v>
      </c>
      <c r="F605" s="2551">
        <v>103</v>
      </c>
      <c r="G605" s="2552">
        <v>664682448.78999996</v>
      </c>
      <c r="H605" s="2552">
        <v>181122208.78999999</v>
      </c>
      <c r="J605" s="2551">
        <v>10</v>
      </c>
      <c r="K605" s="2553" t="s">
        <v>7292</v>
      </c>
      <c r="L605" s="2551" t="e">
        <f t="shared" si="9"/>
        <v>#N/A</v>
      </c>
      <c r="W605" s="2979"/>
    </row>
    <row r="606" spans="1:23" hidden="1">
      <c r="A606" s="2551">
        <v>1424534</v>
      </c>
      <c r="B606" s="2551" t="s">
        <v>7488</v>
      </c>
      <c r="C606" s="2551">
        <v>10</v>
      </c>
      <c r="D606" s="2551" t="s">
        <v>7367</v>
      </c>
      <c r="E606" s="2550" t="s">
        <v>7215</v>
      </c>
      <c r="F606" s="2551">
        <v>103</v>
      </c>
      <c r="G606" s="2552">
        <v>16486531.65</v>
      </c>
      <c r="H606" s="2552">
        <v>0</v>
      </c>
      <c r="J606" s="2551">
        <v>10</v>
      </c>
      <c r="K606" s="2553" t="s">
        <v>7292</v>
      </c>
      <c r="L606" s="2551" t="e">
        <f t="shared" si="9"/>
        <v>#N/A</v>
      </c>
      <c r="W606" s="2979"/>
    </row>
    <row r="607" spans="1:23" hidden="1">
      <c r="A607" s="2551">
        <v>1424535</v>
      </c>
      <c r="B607" s="2551" t="s">
        <v>7489</v>
      </c>
      <c r="C607" s="2551">
        <v>10</v>
      </c>
      <c r="D607" s="2551" t="s">
        <v>7367</v>
      </c>
      <c r="E607" s="2550" t="s">
        <v>7215</v>
      </c>
      <c r="F607" s="2551">
        <v>103</v>
      </c>
      <c r="G607" s="2552">
        <v>73103078</v>
      </c>
      <c r="H607" s="2552">
        <v>24218041</v>
      </c>
      <c r="J607" s="2551">
        <v>10</v>
      </c>
      <c r="K607" s="2553" t="s">
        <v>7292</v>
      </c>
      <c r="L607" s="2551" t="e">
        <f t="shared" si="9"/>
        <v>#N/A</v>
      </c>
      <c r="W607" s="2979"/>
    </row>
    <row r="608" spans="1:23" hidden="1">
      <c r="A608" s="2551">
        <v>1424536</v>
      </c>
      <c r="B608" s="2551" t="s">
        <v>7490</v>
      </c>
      <c r="C608" s="2551">
        <v>10</v>
      </c>
      <c r="D608" s="2551" t="s">
        <v>7367</v>
      </c>
      <c r="E608" s="2550" t="s">
        <v>7215</v>
      </c>
      <c r="F608" s="2551">
        <v>103</v>
      </c>
      <c r="G608" s="2552">
        <v>39081276.140000001</v>
      </c>
      <c r="H608" s="2552">
        <v>13159039.060000001</v>
      </c>
      <c r="J608" s="2551">
        <v>10</v>
      </c>
      <c r="K608" s="2553" t="s">
        <v>7292</v>
      </c>
      <c r="L608" s="2551" t="e">
        <f t="shared" si="9"/>
        <v>#N/A</v>
      </c>
      <c r="W608" s="2979"/>
    </row>
    <row r="609" spans="1:23" hidden="1">
      <c r="A609" s="2551">
        <v>1424537</v>
      </c>
      <c r="B609" s="2551" t="s">
        <v>7491</v>
      </c>
      <c r="C609" s="2551">
        <v>10</v>
      </c>
      <c r="D609" s="2551" t="s">
        <v>7367</v>
      </c>
      <c r="E609" s="2550" t="s">
        <v>7215</v>
      </c>
      <c r="F609" s="2551">
        <v>103</v>
      </c>
      <c r="G609" s="2552">
        <v>3296</v>
      </c>
      <c r="H609" s="2552">
        <v>0</v>
      </c>
      <c r="J609" s="2551">
        <v>10</v>
      </c>
      <c r="K609" s="2553" t="s">
        <v>7292</v>
      </c>
      <c r="L609" s="2551" t="e">
        <f t="shared" si="9"/>
        <v>#N/A</v>
      </c>
      <c r="W609" s="2979"/>
    </row>
    <row r="610" spans="1:23" hidden="1">
      <c r="A610" s="2551">
        <v>1424538</v>
      </c>
      <c r="B610" s="2551" t="s">
        <v>7492</v>
      </c>
      <c r="C610" s="2551">
        <v>10</v>
      </c>
      <c r="D610" s="2551" t="s">
        <v>7367</v>
      </c>
      <c r="E610" s="2550" t="s">
        <v>7215</v>
      </c>
      <c r="F610" s="2551">
        <v>103</v>
      </c>
      <c r="G610" s="2552">
        <v>8500000</v>
      </c>
      <c r="H610" s="2552">
        <v>0</v>
      </c>
      <c r="J610" s="2551">
        <v>10</v>
      </c>
      <c r="K610" s="2553" t="s">
        <v>7292</v>
      </c>
      <c r="L610" s="2551" t="e">
        <f t="shared" si="9"/>
        <v>#N/A</v>
      </c>
      <c r="W610" s="2979"/>
    </row>
    <row r="611" spans="1:23" hidden="1">
      <c r="A611" s="2551">
        <v>1424540</v>
      </c>
      <c r="B611" s="2551" t="s">
        <v>7493</v>
      </c>
      <c r="C611" s="2551">
        <v>10</v>
      </c>
      <c r="D611" s="2551" t="s">
        <v>7367</v>
      </c>
      <c r="E611" s="2550" t="s">
        <v>7215</v>
      </c>
      <c r="F611" s="2551">
        <v>103</v>
      </c>
      <c r="G611" s="2552">
        <v>46761023.630000003</v>
      </c>
      <c r="H611" s="2552">
        <v>2788069.63</v>
      </c>
      <c r="J611" s="2551">
        <v>10</v>
      </c>
      <c r="K611" s="2553" t="s">
        <v>7292</v>
      </c>
      <c r="L611" s="2551" t="e">
        <f t="shared" si="9"/>
        <v>#N/A</v>
      </c>
      <c r="W611" s="2979"/>
    </row>
    <row r="612" spans="1:23" hidden="1">
      <c r="A612" s="2551">
        <v>1424541</v>
      </c>
      <c r="B612" s="2551" t="s">
        <v>7494</v>
      </c>
      <c r="C612" s="2551">
        <v>10</v>
      </c>
      <c r="D612" s="2551" t="s">
        <v>7367</v>
      </c>
      <c r="E612" s="2550" t="s">
        <v>7215</v>
      </c>
      <c r="F612" s="2551">
        <v>103</v>
      </c>
      <c r="G612" s="2552">
        <v>30626983.300000001</v>
      </c>
      <c r="H612" s="2552">
        <v>12934602</v>
      </c>
      <c r="J612" s="2551">
        <v>10</v>
      </c>
      <c r="K612" s="2553" t="s">
        <v>7292</v>
      </c>
      <c r="L612" s="2551" t="e">
        <f t="shared" si="9"/>
        <v>#N/A</v>
      </c>
      <c r="W612" s="2979"/>
    </row>
    <row r="613" spans="1:23" hidden="1">
      <c r="A613" s="2551">
        <v>1424543</v>
      </c>
      <c r="B613" s="2551" t="s">
        <v>7495</v>
      </c>
      <c r="C613" s="2551">
        <v>10</v>
      </c>
      <c r="D613" s="2551" t="s">
        <v>7367</v>
      </c>
      <c r="E613" s="2550" t="s">
        <v>7215</v>
      </c>
      <c r="F613" s="2551">
        <v>103</v>
      </c>
      <c r="G613" s="2552">
        <v>10608989</v>
      </c>
      <c r="H613" s="2552">
        <v>0</v>
      </c>
      <c r="J613" s="2551">
        <v>10</v>
      </c>
      <c r="K613" s="2553" t="s">
        <v>7292</v>
      </c>
      <c r="L613" s="2551" t="e">
        <f t="shared" si="9"/>
        <v>#N/A</v>
      </c>
      <c r="W613" s="2979"/>
    </row>
    <row r="614" spans="1:23" hidden="1">
      <c r="A614" s="2551">
        <v>1424544</v>
      </c>
      <c r="B614" s="2551" t="s">
        <v>7496</v>
      </c>
      <c r="C614" s="2551">
        <v>10</v>
      </c>
      <c r="D614" s="2551" t="s">
        <v>7367</v>
      </c>
      <c r="E614" s="2550" t="s">
        <v>7215</v>
      </c>
      <c r="F614" s="2551">
        <v>103</v>
      </c>
      <c r="G614" s="2552">
        <v>9074747</v>
      </c>
      <c r="H614" s="2552">
        <v>0</v>
      </c>
      <c r="J614" s="2551">
        <v>10</v>
      </c>
      <c r="K614" s="2553" t="s">
        <v>7292</v>
      </c>
      <c r="L614" s="2551" t="e">
        <f t="shared" si="9"/>
        <v>#N/A</v>
      </c>
      <c r="W614" s="2979"/>
    </row>
    <row r="615" spans="1:23" hidden="1">
      <c r="A615" s="2551">
        <v>1424545</v>
      </c>
      <c r="B615" s="2551" t="s">
        <v>7497</v>
      </c>
      <c r="C615" s="2551">
        <v>10</v>
      </c>
      <c r="D615" s="2551" t="s">
        <v>7367</v>
      </c>
      <c r="E615" s="2550" t="s">
        <v>7215</v>
      </c>
      <c r="F615" s="2551">
        <v>103</v>
      </c>
      <c r="G615" s="2552">
        <v>27697055.920000002</v>
      </c>
      <c r="H615" s="2552">
        <v>8900180.4000000004</v>
      </c>
      <c r="J615" s="2551">
        <v>10</v>
      </c>
      <c r="K615" s="2553" t="s">
        <v>7292</v>
      </c>
      <c r="L615" s="2551" t="e">
        <f t="shared" si="9"/>
        <v>#N/A</v>
      </c>
      <c r="W615" s="2979"/>
    </row>
    <row r="616" spans="1:23" hidden="1">
      <c r="A616" s="2551">
        <v>1424546</v>
      </c>
      <c r="B616" s="2551" t="s">
        <v>7498</v>
      </c>
      <c r="C616" s="2551">
        <v>10</v>
      </c>
      <c r="D616" s="2551" t="s">
        <v>7367</v>
      </c>
      <c r="E616" s="2550" t="s">
        <v>7215</v>
      </c>
      <c r="F616" s="2551">
        <v>103</v>
      </c>
      <c r="G616" s="2552">
        <v>11374</v>
      </c>
      <c r="H616" s="2552">
        <v>0</v>
      </c>
      <c r="J616" s="2551">
        <v>10</v>
      </c>
      <c r="K616" s="2553" t="s">
        <v>7292</v>
      </c>
      <c r="L616" s="2551" t="e">
        <f t="shared" si="9"/>
        <v>#N/A</v>
      </c>
      <c r="W616" s="2979"/>
    </row>
    <row r="617" spans="1:23" hidden="1">
      <c r="A617" s="2551">
        <v>1424547</v>
      </c>
      <c r="B617" s="2551" t="s">
        <v>7499</v>
      </c>
      <c r="C617" s="2551">
        <v>10</v>
      </c>
      <c r="D617" s="2551" t="s">
        <v>7367</v>
      </c>
      <c r="E617" s="2550" t="s">
        <v>7215</v>
      </c>
      <c r="F617" s="2551">
        <v>103</v>
      </c>
      <c r="G617" s="2552">
        <v>744892314.14999998</v>
      </c>
      <c r="H617" s="2552">
        <v>171775575.33000001</v>
      </c>
      <c r="J617" s="2551">
        <v>10</v>
      </c>
      <c r="K617" s="2553" t="s">
        <v>7292</v>
      </c>
      <c r="L617" s="2551" t="e">
        <f t="shared" si="9"/>
        <v>#N/A</v>
      </c>
      <c r="W617" s="2979"/>
    </row>
    <row r="618" spans="1:23" hidden="1">
      <c r="A618" s="2551">
        <v>1424549</v>
      </c>
      <c r="B618" s="2551" t="s">
        <v>6184</v>
      </c>
      <c r="C618" s="2551">
        <v>10</v>
      </c>
      <c r="D618" s="2551" t="s">
        <v>7367</v>
      </c>
      <c r="E618" s="2550" t="s">
        <v>7215</v>
      </c>
      <c r="F618" s="2551">
        <v>103</v>
      </c>
      <c r="G618" s="2552">
        <v>2599</v>
      </c>
      <c r="H618" s="2552">
        <v>1178</v>
      </c>
      <c r="J618" s="2551">
        <v>10</v>
      </c>
      <c r="K618" s="2553" t="s">
        <v>7292</v>
      </c>
      <c r="L618" s="2551" t="e">
        <f t="shared" si="9"/>
        <v>#N/A</v>
      </c>
      <c r="W618" s="2979"/>
    </row>
    <row r="619" spans="1:23" hidden="1">
      <c r="A619" s="2551">
        <v>1424550</v>
      </c>
      <c r="B619" s="2551" t="s">
        <v>7500</v>
      </c>
      <c r="C619" s="2551">
        <v>10</v>
      </c>
      <c r="D619" s="2551" t="s">
        <v>7367</v>
      </c>
      <c r="E619" s="2550" t="s">
        <v>7215</v>
      </c>
      <c r="F619" s="2551">
        <v>103</v>
      </c>
      <c r="G619" s="2552">
        <v>100</v>
      </c>
      <c r="H619" s="2552">
        <v>0</v>
      </c>
      <c r="J619" s="2551">
        <v>10</v>
      </c>
      <c r="K619" s="2553" t="s">
        <v>7292</v>
      </c>
      <c r="L619" s="2551" t="e">
        <f t="shared" si="9"/>
        <v>#N/A</v>
      </c>
      <c r="W619" s="2979"/>
    </row>
    <row r="620" spans="1:23" hidden="1">
      <c r="A620" s="2551">
        <v>1424551</v>
      </c>
      <c r="B620" s="2551" t="s">
        <v>6185</v>
      </c>
      <c r="C620" s="2551">
        <v>10</v>
      </c>
      <c r="D620" s="2551" t="s">
        <v>7367</v>
      </c>
      <c r="E620" s="2550" t="s">
        <v>7215</v>
      </c>
      <c r="F620" s="2551">
        <v>103</v>
      </c>
      <c r="G620" s="2552">
        <v>10475275</v>
      </c>
      <c r="H620" s="2552">
        <v>5238416.24</v>
      </c>
      <c r="J620" s="2551">
        <v>10</v>
      </c>
      <c r="K620" s="2553" t="s">
        <v>7292</v>
      </c>
      <c r="L620" s="2551" t="e">
        <f t="shared" si="9"/>
        <v>#N/A</v>
      </c>
      <c r="W620" s="2979"/>
    </row>
    <row r="621" spans="1:23" hidden="1">
      <c r="A621" s="2551">
        <v>1424552</v>
      </c>
      <c r="B621" s="2551" t="s">
        <v>6186</v>
      </c>
      <c r="C621" s="2551">
        <v>10</v>
      </c>
      <c r="D621" s="2551" t="s">
        <v>7367</v>
      </c>
      <c r="E621" s="2550" t="s">
        <v>7215</v>
      </c>
      <c r="F621" s="2551">
        <v>103</v>
      </c>
      <c r="G621" s="2552">
        <v>6174814</v>
      </c>
      <c r="H621" s="2552">
        <v>11662648</v>
      </c>
      <c r="J621" s="2551">
        <v>10</v>
      </c>
      <c r="K621" s="2553" t="s">
        <v>7292</v>
      </c>
      <c r="L621" s="2551" t="e">
        <f t="shared" si="9"/>
        <v>#N/A</v>
      </c>
      <c r="W621" s="2979"/>
    </row>
    <row r="622" spans="1:23" hidden="1">
      <c r="A622" s="2551">
        <v>1424553</v>
      </c>
      <c r="B622" s="2551" t="s">
        <v>6187</v>
      </c>
      <c r="C622" s="2551">
        <v>10</v>
      </c>
      <c r="D622" s="2551" t="s">
        <v>7367</v>
      </c>
      <c r="E622" s="2550" t="s">
        <v>7215</v>
      </c>
      <c r="F622" s="2551">
        <v>103</v>
      </c>
      <c r="G622" s="2552">
        <v>50970580.560000002</v>
      </c>
      <c r="H622" s="2552">
        <v>120305905.15000001</v>
      </c>
      <c r="J622" s="2551">
        <v>10</v>
      </c>
      <c r="K622" s="2553" t="s">
        <v>7292</v>
      </c>
      <c r="L622" s="2551" t="e">
        <f t="shared" si="9"/>
        <v>#N/A</v>
      </c>
      <c r="W622" s="2979"/>
    </row>
    <row r="623" spans="1:23" hidden="1">
      <c r="A623" s="2551">
        <v>1424555</v>
      </c>
      <c r="B623" s="2551" t="s">
        <v>7501</v>
      </c>
      <c r="C623" s="2551">
        <v>10</v>
      </c>
      <c r="D623" s="2551" t="s">
        <v>7367</v>
      </c>
      <c r="E623" s="2550" t="s">
        <v>7215</v>
      </c>
      <c r="F623" s="2551">
        <v>103</v>
      </c>
      <c r="G623" s="2552">
        <v>10000000</v>
      </c>
      <c r="H623" s="2552">
        <v>0</v>
      </c>
      <c r="J623" s="2551">
        <v>10</v>
      </c>
      <c r="K623" s="2553" t="s">
        <v>7292</v>
      </c>
      <c r="L623" s="2551" t="e">
        <f t="shared" si="9"/>
        <v>#N/A</v>
      </c>
      <c r="W623" s="2979"/>
    </row>
    <row r="624" spans="1:23" hidden="1">
      <c r="A624" s="2551">
        <v>1424556</v>
      </c>
      <c r="B624" s="2551" t="s">
        <v>7502</v>
      </c>
      <c r="C624" s="2551">
        <v>10</v>
      </c>
      <c r="D624" s="2551" t="s">
        <v>7367</v>
      </c>
      <c r="E624" s="2550" t="s">
        <v>7215</v>
      </c>
      <c r="F624" s="2551">
        <v>103</v>
      </c>
      <c r="G624" s="2552">
        <v>5361925</v>
      </c>
      <c r="H624" s="2552">
        <v>0</v>
      </c>
      <c r="J624" s="2551">
        <v>10</v>
      </c>
      <c r="K624" s="2553" t="s">
        <v>7292</v>
      </c>
      <c r="L624" s="2551" t="e">
        <f t="shared" si="9"/>
        <v>#N/A</v>
      </c>
      <c r="W624" s="2979"/>
    </row>
    <row r="625" spans="1:23" hidden="1">
      <c r="A625" s="2551">
        <v>1424557</v>
      </c>
      <c r="B625" s="2551" t="s">
        <v>7503</v>
      </c>
      <c r="C625" s="2551">
        <v>10</v>
      </c>
      <c r="D625" s="2551" t="s">
        <v>7367</v>
      </c>
      <c r="E625" s="2550" t="s">
        <v>7215</v>
      </c>
      <c r="F625" s="2551">
        <v>103</v>
      </c>
      <c r="G625" s="2552">
        <v>493472850.98000002</v>
      </c>
      <c r="H625" s="2552">
        <v>133241040.44</v>
      </c>
      <c r="J625" s="2551">
        <v>10</v>
      </c>
      <c r="K625" s="2553" t="s">
        <v>7292</v>
      </c>
      <c r="L625" s="2551" t="e">
        <f t="shared" si="9"/>
        <v>#N/A</v>
      </c>
      <c r="W625" s="2979"/>
    </row>
    <row r="626" spans="1:23" hidden="1">
      <c r="A626" s="2551">
        <v>1424559</v>
      </c>
      <c r="B626" s="2551" t="s">
        <v>7504</v>
      </c>
      <c r="C626" s="2551">
        <v>10</v>
      </c>
      <c r="D626" s="2551" t="s">
        <v>7367</v>
      </c>
      <c r="E626" s="2550" t="s">
        <v>7215</v>
      </c>
      <c r="F626" s="2551">
        <v>103</v>
      </c>
      <c r="G626" s="2552">
        <v>25155737</v>
      </c>
      <c r="H626" s="2552">
        <v>12986225.800000001</v>
      </c>
      <c r="J626" s="2551">
        <v>10</v>
      </c>
      <c r="K626" s="2553" t="s">
        <v>7292</v>
      </c>
      <c r="L626" s="2551" t="e">
        <f t="shared" si="9"/>
        <v>#N/A</v>
      </c>
      <c r="W626" s="2979"/>
    </row>
    <row r="627" spans="1:23" hidden="1">
      <c r="A627" s="2551">
        <v>1424560</v>
      </c>
      <c r="B627" s="2551" t="s">
        <v>7505</v>
      </c>
      <c r="C627" s="2551">
        <v>10</v>
      </c>
      <c r="D627" s="2551" t="s">
        <v>7367</v>
      </c>
      <c r="E627" s="2550" t="s">
        <v>7215</v>
      </c>
      <c r="F627" s="2551">
        <v>103</v>
      </c>
      <c r="G627" s="2552">
        <v>25000000</v>
      </c>
      <c r="H627" s="2552">
        <v>0</v>
      </c>
      <c r="J627" s="2551">
        <v>10</v>
      </c>
      <c r="K627" s="2553" t="s">
        <v>7292</v>
      </c>
      <c r="L627" s="2551" t="e">
        <f t="shared" si="9"/>
        <v>#N/A</v>
      </c>
      <c r="W627" s="2979"/>
    </row>
    <row r="628" spans="1:23" hidden="1">
      <c r="A628" s="2551">
        <v>1424562</v>
      </c>
      <c r="B628" s="2551" t="s">
        <v>7506</v>
      </c>
      <c r="C628" s="2551">
        <v>10</v>
      </c>
      <c r="D628" s="2551" t="s">
        <v>7367</v>
      </c>
      <c r="E628" s="2550" t="s">
        <v>7215</v>
      </c>
      <c r="F628" s="2551">
        <v>103</v>
      </c>
      <c r="G628" s="2552">
        <v>1353</v>
      </c>
      <c r="H628" s="2552">
        <v>0</v>
      </c>
      <c r="J628" s="2551">
        <v>10</v>
      </c>
      <c r="K628" s="2553" t="s">
        <v>7292</v>
      </c>
      <c r="L628" s="2551" t="e">
        <f t="shared" si="9"/>
        <v>#N/A</v>
      </c>
      <c r="W628" s="2979"/>
    </row>
    <row r="629" spans="1:23" hidden="1">
      <c r="A629" s="2551">
        <v>1424563</v>
      </c>
      <c r="B629" s="2551" t="s">
        <v>7507</v>
      </c>
      <c r="C629" s="2551">
        <v>10</v>
      </c>
      <c r="D629" s="2551" t="s">
        <v>7367</v>
      </c>
      <c r="E629" s="2550" t="s">
        <v>7215</v>
      </c>
      <c r="F629" s="2551">
        <v>103</v>
      </c>
      <c r="G629" s="2552">
        <v>158679082.93000001</v>
      </c>
      <c r="H629" s="2552">
        <v>106751071.59999999</v>
      </c>
      <c r="J629" s="2551">
        <v>10</v>
      </c>
      <c r="K629" s="2553" t="s">
        <v>7292</v>
      </c>
      <c r="L629" s="2551" t="e">
        <f t="shared" si="9"/>
        <v>#N/A</v>
      </c>
      <c r="W629" s="2979"/>
    </row>
    <row r="630" spans="1:23" hidden="1">
      <c r="A630" s="2551">
        <v>1424564</v>
      </c>
      <c r="B630" s="2551" t="s">
        <v>7508</v>
      </c>
      <c r="C630" s="2551">
        <v>10</v>
      </c>
      <c r="D630" s="2551" t="s">
        <v>7367</v>
      </c>
      <c r="E630" s="2550" t="s">
        <v>7215</v>
      </c>
      <c r="F630" s="2551">
        <v>103</v>
      </c>
      <c r="G630" s="2552">
        <v>2124302.1</v>
      </c>
      <c r="H630" s="2552">
        <v>8337765</v>
      </c>
      <c r="J630" s="2551">
        <v>10</v>
      </c>
      <c r="K630" s="2553" t="s">
        <v>7292</v>
      </c>
      <c r="L630" s="2551" t="e">
        <f t="shared" si="9"/>
        <v>#N/A</v>
      </c>
      <c r="W630" s="2979"/>
    </row>
    <row r="631" spans="1:23" hidden="1">
      <c r="A631" s="2551">
        <v>1424565</v>
      </c>
      <c r="B631" s="2551" t="s">
        <v>7509</v>
      </c>
      <c r="C631" s="2551">
        <v>10</v>
      </c>
      <c r="D631" s="2551" t="s">
        <v>7367</v>
      </c>
      <c r="E631" s="2550" t="s">
        <v>7215</v>
      </c>
      <c r="F631" s="2551">
        <v>103</v>
      </c>
      <c r="G631" s="2552">
        <v>6777690</v>
      </c>
      <c r="H631" s="2552">
        <v>6747371.8399999999</v>
      </c>
      <c r="J631" s="2551">
        <v>10</v>
      </c>
      <c r="K631" s="2553" t="s">
        <v>7292</v>
      </c>
      <c r="L631" s="2551" t="e">
        <f t="shared" si="9"/>
        <v>#N/A</v>
      </c>
      <c r="W631" s="2979"/>
    </row>
    <row r="632" spans="1:23" hidden="1">
      <c r="A632" s="2551">
        <v>1424566</v>
      </c>
      <c r="B632" s="2551" t="s">
        <v>7510</v>
      </c>
      <c r="C632" s="2551">
        <v>10</v>
      </c>
      <c r="D632" s="2551" t="s">
        <v>7367</v>
      </c>
      <c r="E632" s="2550" t="s">
        <v>7215</v>
      </c>
      <c r="F632" s="2551">
        <v>103</v>
      </c>
      <c r="G632" s="2552">
        <v>8925</v>
      </c>
      <c r="H632" s="2552">
        <v>0</v>
      </c>
      <c r="J632" s="2551">
        <v>10</v>
      </c>
      <c r="K632" s="2553" t="s">
        <v>7292</v>
      </c>
      <c r="L632" s="2551" t="e">
        <f t="shared" si="9"/>
        <v>#N/A</v>
      </c>
      <c r="W632" s="2979"/>
    </row>
    <row r="633" spans="1:23" hidden="1">
      <c r="A633" s="2551">
        <v>1424569</v>
      </c>
      <c r="B633" s="2551" t="s">
        <v>7511</v>
      </c>
      <c r="C633" s="2551">
        <v>10</v>
      </c>
      <c r="D633" s="2551" t="s">
        <v>7367</v>
      </c>
      <c r="E633" s="2550" t="s">
        <v>7215</v>
      </c>
      <c r="F633" s="2551">
        <v>103</v>
      </c>
      <c r="G633" s="2552">
        <v>3721301</v>
      </c>
      <c r="H633" s="2552">
        <v>0</v>
      </c>
      <c r="J633" s="2551">
        <v>10</v>
      </c>
      <c r="K633" s="2553" t="s">
        <v>7292</v>
      </c>
      <c r="L633" s="2551" t="e">
        <f t="shared" si="9"/>
        <v>#N/A</v>
      </c>
      <c r="W633" s="2979"/>
    </row>
    <row r="634" spans="1:23" hidden="1">
      <c r="A634" s="2551">
        <v>1424570</v>
      </c>
      <c r="B634" s="2551" t="s">
        <v>7512</v>
      </c>
      <c r="C634" s="2551">
        <v>10</v>
      </c>
      <c r="D634" s="2551" t="s">
        <v>7367</v>
      </c>
      <c r="E634" s="2550" t="s">
        <v>7215</v>
      </c>
      <c r="F634" s="2551">
        <v>103</v>
      </c>
      <c r="G634" s="2552">
        <v>13002009</v>
      </c>
      <c r="H634" s="2552">
        <v>0</v>
      </c>
      <c r="J634" s="2551">
        <v>10</v>
      </c>
      <c r="K634" s="2553" t="s">
        <v>7292</v>
      </c>
      <c r="L634" s="2551" t="e">
        <f t="shared" si="9"/>
        <v>#N/A</v>
      </c>
      <c r="W634" s="2979"/>
    </row>
    <row r="635" spans="1:23" hidden="1">
      <c r="A635" s="2551">
        <v>1424571</v>
      </c>
      <c r="B635" s="2551" t="s">
        <v>7513</v>
      </c>
      <c r="C635" s="2551">
        <v>10</v>
      </c>
      <c r="D635" s="2551" t="s">
        <v>7367</v>
      </c>
      <c r="E635" s="2550" t="s">
        <v>7215</v>
      </c>
      <c r="F635" s="2551">
        <v>103</v>
      </c>
      <c r="G635" s="2552">
        <v>239486</v>
      </c>
      <c r="H635" s="2552">
        <v>0</v>
      </c>
      <c r="J635" s="2551">
        <v>10</v>
      </c>
      <c r="K635" s="2553" t="s">
        <v>7292</v>
      </c>
      <c r="L635" s="2551" t="e">
        <f t="shared" si="9"/>
        <v>#N/A</v>
      </c>
      <c r="W635" s="2979"/>
    </row>
    <row r="636" spans="1:23" hidden="1">
      <c r="A636" s="2551">
        <v>1424573</v>
      </c>
      <c r="B636" s="2551" t="s">
        <v>7514</v>
      </c>
      <c r="C636" s="2551">
        <v>10</v>
      </c>
      <c r="D636" s="2551" t="s">
        <v>7367</v>
      </c>
      <c r="E636" s="2550" t="s">
        <v>7215</v>
      </c>
      <c r="F636" s="2551">
        <v>103</v>
      </c>
      <c r="G636" s="2552">
        <v>202356482</v>
      </c>
      <c r="H636" s="2552">
        <v>6603731</v>
      </c>
      <c r="J636" s="2551">
        <v>10</v>
      </c>
      <c r="K636" s="2553" t="s">
        <v>7292</v>
      </c>
      <c r="L636" s="2551" t="e">
        <f t="shared" si="9"/>
        <v>#N/A</v>
      </c>
      <c r="W636" s="2979"/>
    </row>
    <row r="637" spans="1:23" hidden="1">
      <c r="A637" s="2551">
        <v>1424574</v>
      </c>
      <c r="B637" s="2551" t="s">
        <v>7515</v>
      </c>
      <c r="C637" s="2551">
        <v>10</v>
      </c>
      <c r="D637" s="2551" t="s">
        <v>7367</v>
      </c>
      <c r="E637" s="2550" t="s">
        <v>7215</v>
      </c>
      <c r="F637" s="2551">
        <v>103</v>
      </c>
      <c r="G637" s="2552">
        <v>3907293</v>
      </c>
      <c r="H637" s="2552">
        <v>0</v>
      </c>
      <c r="J637" s="2551">
        <v>10</v>
      </c>
      <c r="K637" s="2553" t="s">
        <v>7292</v>
      </c>
      <c r="L637" s="2551" t="e">
        <f t="shared" si="9"/>
        <v>#N/A</v>
      </c>
      <c r="W637" s="2979"/>
    </row>
    <row r="638" spans="1:23" hidden="1">
      <c r="A638" s="2551">
        <v>1424576</v>
      </c>
      <c r="B638" s="2551" t="s">
        <v>7516</v>
      </c>
      <c r="C638" s="2551">
        <v>10</v>
      </c>
      <c r="D638" s="2551" t="s">
        <v>7367</v>
      </c>
      <c r="E638" s="2550" t="s">
        <v>7215</v>
      </c>
      <c r="F638" s="2551">
        <v>103</v>
      </c>
      <c r="G638" s="2552">
        <v>75486079</v>
      </c>
      <c r="H638" s="2552">
        <v>18047483</v>
      </c>
      <c r="J638" s="2551">
        <v>10</v>
      </c>
      <c r="K638" s="2553" t="s">
        <v>7292</v>
      </c>
      <c r="L638" s="2551" t="e">
        <f t="shared" si="9"/>
        <v>#N/A</v>
      </c>
      <c r="W638" s="2979"/>
    </row>
    <row r="639" spans="1:23" hidden="1">
      <c r="A639" s="2551">
        <v>1424578</v>
      </c>
      <c r="B639" s="2551" t="s">
        <v>7517</v>
      </c>
      <c r="C639" s="2551">
        <v>10</v>
      </c>
      <c r="D639" s="2551" t="s">
        <v>7367</v>
      </c>
      <c r="E639" s="2550" t="s">
        <v>7215</v>
      </c>
      <c r="F639" s="2551">
        <v>103</v>
      </c>
      <c r="G639" s="2552">
        <v>136588</v>
      </c>
      <c r="H639" s="2552">
        <v>0</v>
      </c>
      <c r="J639" s="2551">
        <v>10</v>
      </c>
      <c r="K639" s="2553" t="s">
        <v>7292</v>
      </c>
      <c r="L639" s="2551" t="e">
        <f t="shared" si="9"/>
        <v>#N/A</v>
      </c>
      <c r="W639" s="2979"/>
    </row>
    <row r="640" spans="1:23" hidden="1">
      <c r="A640" s="2551">
        <v>1424582</v>
      </c>
      <c r="B640" s="2551" t="s">
        <v>7518</v>
      </c>
      <c r="C640" s="2551">
        <v>10</v>
      </c>
      <c r="D640" s="2551" t="s">
        <v>7367</v>
      </c>
      <c r="E640" s="2550" t="s">
        <v>7215</v>
      </c>
      <c r="F640" s="2551">
        <v>103</v>
      </c>
      <c r="G640" s="2552">
        <v>5004397</v>
      </c>
      <c r="H640" s="2552">
        <v>0</v>
      </c>
      <c r="J640" s="2551">
        <v>10</v>
      </c>
      <c r="K640" s="2553" t="s">
        <v>7292</v>
      </c>
      <c r="L640" s="2551" t="e">
        <f t="shared" si="9"/>
        <v>#N/A</v>
      </c>
      <c r="W640" s="2979"/>
    </row>
    <row r="641" spans="1:23" hidden="1">
      <c r="A641" s="2551">
        <v>1424583</v>
      </c>
      <c r="B641" s="2551" t="s">
        <v>7519</v>
      </c>
      <c r="C641" s="2551">
        <v>10</v>
      </c>
      <c r="D641" s="2551" t="s">
        <v>7367</v>
      </c>
      <c r="E641" s="2550" t="s">
        <v>7215</v>
      </c>
      <c r="F641" s="2551">
        <v>103</v>
      </c>
      <c r="G641" s="2552">
        <v>52139</v>
      </c>
      <c r="H641" s="2552">
        <v>0</v>
      </c>
      <c r="J641" s="2551">
        <v>10</v>
      </c>
      <c r="K641" s="2553" t="s">
        <v>7292</v>
      </c>
      <c r="L641" s="2551" t="e">
        <f t="shared" si="9"/>
        <v>#N/A</v>
      </c>
      <c r="W641" s="2979"/>
    </row>
    <row r="642" spans="1:23" hidden="1">
      <c r="A642" s="2551">
        <v>1424589</v>
      </c>
      <c r="B642" s="2551" t="s">
        <v>7520</v>
      </c>
      <c r="C642" s="2551">
        <v>10</v>
      </c>
      <c r="D642" s="2551" t="s">
        <v>7367</v>
      </c>
      <c r="E642" s="2550" t="s">
        <v>7215</v>
      </c>
      <c r="F642" s="2551">
        <v>103</v>
      </c>
      <c r="G642" s="2552">
        <v>884000</v>
      </c>
      <c r="H642" s="2552">
        <v>0</v>
      </c>
      <c r="J642" s="2551">
        <v>10</v>
      </c>
      <c r="K642" s="2553" t="s">
        <v>7292</v>
      </c>
      <c r="L642" s="2551" t="e">
        <f t="shared" si="9"/>
        <v>#N/A</v>
      </c>
      <c r="W642" s="2979"/>
    </row>
    <row r="643" spans="1:23" hidden="1">
      <c r="A643" s="2551">
        <v>1424590</v>
      </c>
      <c r="B643" s="2551" t="s">
        <v>6658</v>
      </c>
      <c r="C643" s="2551">
        <v>10</v>
      </c>
      <c r="D643" s="2551" t="s">
        <v>7367</v>
      </c>
      <c r="E643" s="2550" t="s">
        <v>7215</v>
      </c>
      <c r="F643" s="2551">
        <v>103</v>
      </c>
      <c r="G643" s="2552">
        <v>61</v>
      </c>
      <c r="H643" s="2552">
        <v>0</v>
      </c>
      <c r="J643" s="2551">
        <v>10</v>
      </c>
      <c r="K643" s="2553" t="s">
        <v>7292</v>
      </c>
      <c r="L643" s="2551" t="e">
        <f t="shared" si="9"/>
        <v>#N/A</v>
      </c>
      <c r="W643" s="2979"/>
    </row>
    <row r="644" spans="1:23" hidden="1">
      <c r="A644" s="2551">
        <v>1424591</v>
      </c>
      <c r="B644" s="2551" t="s">
        <v>7521</v>
      </c>
      <c r="C644" s="2551">
        <v>10</v>
      </c>
      <c r="D644" s="2551" t="s">
        <v>7367</v>
      </c>
      <c r="E644" s="2550" t="s">
        <v>7215</v>
      </c>
      <c r="F644" s="2551">
        <v>103</v>
      </c>
      <c r="G644" s="2552">
        <v>26</v>
      </c>
      <c r="H644" s="2552">
        <v>0</v>
      </c>
      <c r="J644" s="2551">
        <v>10</v>
      </c>
      <c r="K644" s="2553" t="s">
        <v>7292</v>
      </c>
      <c r="L644" s="2551" t="e">
        <f t="shared" ref="L644:L707" si="10">VLOOKUP(A644,P:P,1,0)</f>
        <v>#N/A</v>
      </c>
      <c r="W644" s="2979"/>
    </row>
    <row r="645" spans="1:23" hidden="1">
      <c r="A645" s="2551">
        <v>1424592</v>
      </c>
      <c r="B645" s="2551" t="s">
        <v>7522</v>
      </c>
      <c r="C645" s="2551">
        <v>10</v>
      </c>
      <c r="D645" s="2551" t="s">
        <v>7367</v>
      </c>
      <c r="E645" s="2550" t="s">
        <v>7215</v>
      </c>
      <c r="F645" s="2551">
        <v>103</v>
      </c>
      <c r="G645" s="2552">
        <v>500000</v>
      </c>
      <c r="H645" s="2552">
        <v>500000</v>
      </c>
      <c r="J645" s="2551">
        <v>10</v>
      </c>
      <c r="K645" s="2553" t="s">
        <v>7292</v>
      </c>
      <c r="L645" s="2551" t="e">
        <f t="shared" si="10"/>
        <v>#N/A</v>
      </c>
      <c r="W645" s="2979"/>
    </row>
    <row r="646" spans="1:23" hidden="1">
      <c r="A646" s="2551">
        <v>1424593</v>
      </c>
      <c r="B646" s="2551" t="s">
        <v>7523</v>
      </c>
      <c r="C646" s="2551">
        <v>10</v>
      </c>
      <c r="D646" s="2551" t="s">
        <v>7367</v>
      </c>
      <c r="E646" s="2550" t="s">
        <v>7215</v>
      </c>
      <c r="F646" s="2551">
        <v>103</v>
      </c>
      <c r="G646" s="2552">
        <v>210265.06</v>
      </c>
      <c r="H646" s="2552">
        <v>210265.06</v>
      </c>
      <c r="J646" s="2551">
        <v>10</v>
      </c>
      <c r="K646" s="2553" t="s">
        <v>7292</v>
      </c>
      <c r="L646" s="2551" t="e">
        <f t="shared" si="10"/>
        <v>#N/A</v>
      </c>
      <c r="W646" s="2979"/>
    </row>
    <row r="647" spans="1:23" hidden="1">
      <c r="A647" s="2551">
        <v>1424594</v>
      </c>
      <c r="B647" s="2551" t="s">
        <v>7524</v>
      </c>
      <c r="C647" s="2551">
        <v>10</v>
      </c>
      <c r="D647" s="2551" t="s">
        <v>7367</v>
      </c>
      <c r="E647" s="2550" t="s">
        <v>7215</v>
      </c>
      <c r="F647" s="2551">
        <v>103</v>
      </c>
      <c r="G647" s="2552">
        <v>19098.7</v>
      </c>
      <c r="H647" s="2552">
        <v>19098.7</v>
      </c>
      <c r="J647" s="2551">
        <v>10</v>
      </c>
      <c r="K647" s="2553" t="s">
        <v>7292</v>
      </c>
      <c r="L647" s="2551" t="e">
        <f t="shared" si="10"/>
        <v>#N/A</v>
      </c>
      <c r="W647" s="2979"/>
    </row>
    <row r="648" spans="1:23" hidden="1">
      <c r="A648" s="2551">
        <v>1424595</v>
      </c>
      <c r="B648" s="2551" t="s">
        <v>7525</v>
      </c>
      <c r="C648" s="2551">
        <v>10</v>
      </c>
      <c r="D648" s="2551" t="s">
        <v>7367</v>
      </c>
      <c r="E648" s="2550" t="s">
        <v>7215</v>
      </c>
      <c r="F648" s="2551">
        <v>103</v>
      </c>
      <c r="G648" s="2552">
        <v>19869</v>
      </c>
      <c r="H648" s="2552">
        <v>19869</v>
      </c>
      <c r="J648" s="2551">
        <v>10</v>
      </c>
      <c r="K648" s="2553" t="s">
        <v>7292</v>
      </c>
      <c r="L648" s="2551" t="e">
        <f t="shared" si="10"/>
        <v>#N/A</v>
      </c>
      <c r="W648" s="2979"/>
    </row>
    <row r="649" spans="1:23" hidden="1">
      <c r="A649" s="2551">
        <v>1424596</v>
      </c>
      <c r="B649" s="2551" t="s">
        <v>7526</v>
      </c>
      <c r="C649" s="2551">
        <v>10</v>
      </c>
      <c r="D649" s="2551" t="s">
        <v>7367</v>
      </c>
      <c r="E649" s="2550" t="s">
        <v>7215</v>
      </c>
      <c r="F649" s="2551">
        <v>103</v>
      </c>
      <c r="G649" s="2552">
        <v>978196.16</v>
      </c>
      <c r="H649" s="2552">
        <v>978196.16</v>
      </c>
      <c r="J649" s="2551">
        <v>10</v>
      </c>
      <c r="K649" s="2553" t="s">
        <v>7292</v>
      </c>
      <c r="L649" s="2551" t="e">
        <f t="shared" si="10"/>
        <v>#N/A</v>
      </c>
      <c r="W649" s="2979"/>
    </row>
    <row r="650" spans="1:23" hidden="1">
      <c r="A650" s="2551">
        <v>1424597</v>
      </c>
      <c r="B650" s="2551" t="s">
        <v>7527</v>
      </c>
      <c r="C650" s="2551">
        <v>10</v>
      </c>
      <c r="D650" s="2551" t="s">
        <v>7367</v>
      </c>
      <c r="E650" s="2550" t="s">
        <v>7215</v>
      </c>
      <c r="F650" s="2551">
        <v>103</v>
      </c>
      <c r="G650" s="2552">
        <v>31405.19</v>
      </c>
      <c r="H650" s="2552">
        <v>31405.19</v>
      </c>
      <c r="J650" s="2551">
        <v>10</v>
      </c>
      <c r="K650" s="2553" t="s">
        <v>7292</v>
      </c>
      <c r="L650" s="2551" t="e">
        <f t="shared" si="10"/>
        <v>#N/A</v>
      </c>
      <c r="W650" s="2979"/>
    </row>
    <row r="651" spans="1:23" hidden="1">
      <c r="A651" s="2551">
        <v>1424598</v>
      </c>
      <c r="B651" s="2551" t="s">
        <v>7528</v>
      </c>
      <c r="C651" s="2551">
        <v>10</v>
      </c>
      <c r="D651" s="2551" t="s">
        <v>7367</v>
      </c>
      <c r="E651" s="2550" t="s">
        <v>7215</v>
      </c>
      <c r="F651" s="2551">
        <v>103</v>
      </c>
      <c r="G651" s="2552">
        <v>850000000</v>
      </c>
      <c r="H651" s="2552">
        <v>0</v>
      </c>
      <c r="J651" s="2551">
        <v>10</v>
      </c>
      <c r="K651" s="2553" t="s">
        <v>7292</v>
      </c>
      <c r="L651" s="2551" t="e">
        <f t="shared" si="10"/>
        <v>#N/A</v>
      </c>
      <c r="W651" s="2979"/>
    </row>
    <row r="652" spans="1:23" hidden="1">
      <c r="A652" s="2551">
        <v>1424600</v>
      </c>
      <c r="B652" s="2551" t="s">
        <v>7529</v>
      </c>
      <c r="C652" s="2551">
        <v>10</v>
      </c>
      <c r="D652" s="2551" t="s">
        <v>7367</v>
      </c>
      <c r="E652" s="2550" t="s">
        <v>7215</v>
      </c>
      <c r="F652" s="2551">
        <v>103</v>
      </c>
      <c r="G652" s="2552">
        <v>-35906.28</v>
      </c>
      <c r="H652" s="2552">
        <v>0</v>
      </c>
      <c r="J652" s="2551">
        <v>10</v>
      </c>
      <c r="K652" s="2553" t="s">
        <v>7292</v>
      </c>
      <c r="L652" s="2551" t="e">
        <f t="shared" si="10"/>
        <v>#N/A</v>
      </c>
      <c r="W652" s="2979"/>
    </row>
    <row r="653" spans="1:23" hidden="1">
      <c r="A653" s="2551">
        <v>1424601</v>
      </c>
      <c r="B653" s="2551" t="s">
        <v>7530</v>
      </c>
      <c r="C653" s="2551">
        <v>10</v>
      </c>
      <c r="D653" s="2551" t="s">
        <v>7367</v>
      </c>
      <c r="E653" s="2550" t="s">
        <v>7215</v>
      </c>
      <c r="F653" s="2551">
        <v>103</v>
      </c>
      <c r="G653" s="2552">
        <v>-40851</v>
      </c>
      <c r="H653" s="2552">
        <v>-649</v>
      </c>
      <c r="J653" s="2551">
        <v>10</v>
      </c>
      <c r="K653" s="2553" t="s">
        <v>7292</v>
      </c>
      <c r="L653" s="2551" t="e">
        <f t="shared" si="10"/>
        <v>#N/A</v>
      </c>
      <c r="W653" s="2979"/>
    </row>
    <row r="654" spans="1:23" hidden="1">
      <c r="A654" s="2551">
        <v>1424602</v>
      </c>
      <c r="B654" s="2551" t="s">
        <v>7531</v>
      </c>
      <c r="C654" s="2551">
        <v>10</v>
      </c>
      <c r="D654" s="2551" t="s">
        <v>7367</v>
      </c>
      <c r="E654" s="2550" t="s">
        <v>7215</v>
      </c>
      <c r="F654" s="2551">
        <v>103</v>
      </c>
      <c r="G654" s="2552">
        <v>-9210143.3200000003</v>
      </c>
      <c r="H654" s="2552">
        <v>0</v>
      </c>
      <c r="J654" s="2551">
        <v>10</v>
      </c>
      <c r="K654" s="2553" t="s">
        <v>7292</v>
      </c>
      <c r="L654" s="2551" t="e">
        <f t="shared" si="10"/>
        <v>#N/A</v>
      </c>
      <c r="W654" s="2979"/>
    </row>
    <row r="655" spans="1:23" hidden="1">
      <c r="A655" s="2551">
        <v>1424603</v>
      </c>
      <c r="B655" s="2551" t="s">
        <v>7532</v>
      </c>
      <c r="C655" s="2551">
        <v>10</v>
      </c>
      <c r="D655" s="2551" t="s">
        <v>7367</v>
      </c>
      <c r="E655" s="2550" t="s">
        <v>7215</v>
      </c>
      <c r="F655" s="2551">
        <v>103</v>
      </c>
      <c r="G655" s="2552">
        <v>-228982131.84</v>
      </c>
      <c r="H655" s="2552">
        <v>-54236636.619999997</v>
      </c>
      <c r="J655" s="2551">
        <v>10</v>
      </c>
      <c r="K655" s="2553" t="s">
        <v>7292</v>
      </c>
      <c r="L655" s="2551" t="e">
        <f t="shared" si="10"/>
        <v>#N/A</v>
      </c>
      <c r="W655" s="2979"/>
    </row>
    <row r="656" spans="1:23" hidden="1">
      <c r="A656" s="2551">
        <v>1424604</v>
      </c>
      <c r="B656" s="2551" t="s">
        <v>7533</v>
      </c>
      <c r="C656" s="2551">
        <v>10</v>
      </c>
      <c r="D656" s="2551" t="s">
        <v>7367</v>
      </c>
      <c r="E656" s="2550" t="s">
        <v>7215</v>
      </c>
      <c r="F656" s="2551">
        <v>103</v>
      </c>
      <c r="G656" s="2552">
        <v>-42236174</v>
      </c>
      <c r="H656" s="2552">
        <v>-19364151</v>
      </c>
      <c r="J656" s="2551">
        <v>10</v>
      </c>
      <c r="K656" s="2553" t="s">
        <v>7292</v>
      </c>
      <c r="L656" s="2551" t="e">
        <f t="shared" si="10"/>
        <v>#N/A</v>
      </c>
      <c r="W656" s="2979"/>
    </row>
    <row r="657" spans="1:23" hidden="1">
      <c r="A657" s="2551">
        <v>1424605</v>
      </c>
      <c r="B657" s="2551" t="s">
        <v>7534</v>
      </c>
      <c r="C657" s="2551">
        <v>10</v>
      </c>
      <c r="D657" s="2551" t="s">
        <v>7367</v>
      </c>
      <c r="E657" s="2550" t="s">
        <v>7215</v>
      </c>
      <c r="F657" s="2551">
        <v>103</v>
      </c>
      <c r="G657" s="2552">
        <v>-34223.760000000002</v>
      </c>
      <c r="H657" s="2552">
        <v>0</v>
      </c>
      <c r="J657" s="2551">
        <v>10</v>
      </c>
      <c r="K657" s="2553" t="s">
        <v>7292</v>
      </c>
      <c r="L657" s="2551" t="e">
        <f t="shared" si="10"/>
        <v>#N/A</v>
      </c>
      <c r="W657" s="2979"/>
    </row>
    <row r="658" spans="1:23" hidden="1">
      <c r="A658" s="2551">
        <v>1424607</v>
      </c>
      <c r="B658" s="2551" t="s">
        <v>7535</v>
      </c>
      <c r="C658" s="2551">
        <v>10</v>
      </c>
      <c r="D658" s="2551" t="s">
        <v>7367</v>
      </c>
      <c r="E658" s="2550" t="s">
        <v>7215</v>
      </c>
      <c r="F658" s="2551">
        <v>103</v>
      </c>
      <c r="G658" s="2552">
        <v>-28950373.359999999</v>
      </c>
      <c r="H658" s="2552">
        <v>-10575394.18</v>
      </c>
      <c r="J658" s="2551">
        <v>10</v>
      </c>
      <c r="K658" s="2553" t="s">
        <v>7292</v>
      </c>
      <c r="L658" s="2551" t="e">
        <f t="shared" si="10"/>
        <v>#N/A</v>
      </c>
      <c r="W658" s="2979"/>
    </row>
    <row r="659" spans="1:23" hidden="1">
      <c r="A659" s="2551">
        <v>1424608</v>
      </c>
      <c r="B659" s="2551" t="s">
        <v>6212</v>
      </c>
      <c r="C659" s="2551">
        <v>10</v>
      </c>
      <c r="D659" s="2551" t="s">
        <v>7367</v>
      </c>
      <c r="E659" s="2550" t="s">
        <v>7215</v>
      </c>
      <c r="F659" s="2551">
        <v>103</v>
      </c>
      <c r="G659" s="2552">
        <v>-205785976.19999999</v>
      </c>
      <c r="H659" s="2552">
        <v>-175424287.19999999</v>
      </c>
      <c r="J659" s="2551">
        <v>10</v>
      </c>
      <c r="K659" s="2553" t="s">
        <v>7292</v>
      </c>
      <c r="L659" s="2551" t="e">
        <f t="shared" si="10"/>
        <v>#N/A</v>
      </c>
      <c r="W659" s="2979"/>
    </row>
    <row r="660" spans="1:23" hidden="1">
      <c r="A660" s="2551">
        <v>1424609</v>
      </c>
      <c r="B660" s="2551" t="s">
        <v>7536</v>
      </c>
      <c r="C660" s="2551">
        <v>10</v>
      </c>
      <c r="D660" s="2551" t="s">
        <v>7367</v>
      </c>
      <c r="E660" s="2550" t="s">
        <v>7215</v>
      </c>
      <c r="F660" s="2551">
        <v>103</v>
      </c>
      <c r="G660" s="2552">
        <v>-19767981</v>
      </c>
      <c r="H660" s="2552">
        <v>0</v>
      </c>
      <c r="J660" s="2551">
        <v>10</v>
      </c>
      <c r="K660" s="2553" t="s">
        <v>7292</v>
      </c>
      <c r="L660" s="2551" t="e">
        <f t="shared" si="10"/>
        <v>#N/A</v>
      </c>
      <c r="W660" s="2979"/>
    </row>
    <row r="661" spans="1:23" hidden="1">
      <c r="A661" s="2551">
        <v>1424610</v>
      </c>
      <c r="B661" s="2551" t="s">
        <v>7537</v>
      </c>
      <c r="C661" s="2551">
        <v>10</v>
      </c>
      <c r="D661" s="2551" t="s">
        <v>7367</v>
      </c>
      <c r="E661" s="2550" t="s">
        <v>7215</v>
      </c>
      <c r="F661" s="2551">
        <v>103</v>
      </c>
      <c r="G661" s="2552">
        <v>-10000</v>
      </c>
      <c r="H661" s="2552">
        <v>0</v>
      </c>
      <c r="J661" s="2551">
        <v>10</v>
      </c>
      <c r="K661" s="2553" t="s">
        <v>7292</v>
      </c>
      <c r="L661" s="2551" t="e">
        <f t="shared" si="10"/>
        <v>#N/A</v>
      </c>
      <c r="W661" s="2979"/>
    </row>
    <row r="662" spans="1:23" hidden="1">
      <c r="A662" s="2551">
        <v>1424611</v>
      </c>
      <c r="B662" s="2551" t="s">
        <v>6213</v>
      </c>
      <c r="C662" s="2551">
        <v>10</v>
      </c>
      <c r="D662" s="2551" t="s">
        <v>7367</v>
      </c>
      <c r="E662" s="2550" t="s">
        <v>7215</v>
      </c>
      <c r="F662" s="2551">
        <v>103</v>
      </c>
      <c r="G662" s="2552">
        <v>-284967424.00999999</v>
      </c>
      <c r="H662" s="2552">
        <v>-68758918.260000005</v>
      </c>
      <c r="J662" s="2551">
        <v>10</v>
      </c>
      <c r="K662" s="2553" t="s">
        <v>7292</v>
      </c>
      <c r="L662" s="2551" t="e">
        <f t="shared" si="10"/>
        <v>#N/A</v>
      </c>
      <c r="W662" s="2979"/>
    </row>
    <row r="663" spans="1:23" hidden="1">
      <c r="A663" s="2551">
        <v>1424612</v>
      </c>
      <c r="B663" s="2551" t="s">
        <v>7538</v>
      </c>
      <c r="C663" s="2551">
        <v>10</v>
      </c>
      <c r="D663" s="2551" t="s">
        <v>7367</v>
      </c>
      <c r="E663" s="2550" t="s">
        <v>7215</v>
      </c>
      <c r="F663" s="2551">
        <v>103</v>
      </c>
      <c r="G663" s="2552">
        <v>-43137605.18</v>
      </c>
      <c r="H663" s="2552">
        <v>-11423655.779999999</v>
      </c>
      <c r="J663" s="2551">
        <v>10</v>
      </c>
      <c r="K663" s="2553" t="s">
        <v>7292</v>
      </c>
      <c r="L663" s="2551" t="e">
        <f t="shared" si="10"/>
        <v>#N/A</v>
      </c>
      <c r="W663" s="2979"/>
    </row>
    <row r="664" spans="1:23" hidden="1">
      <c r="A664" s="2551">
        <v>1424613</v>
      </c>
      <c r="B664" s="2551" t="s">
        <v>7539</v>
      </c>
      <c r="C664" s="2551">
        <v>10</v>
      </c>
      <c r="D664" s="2551" t="s">
        <v>7367</v>
      </c>
      <c r="E664" s="2550" t="s">
        <v>7215</v>
      </c>
      <c r="F664" s="2551">
        <v>103</v>
      </c>
      <c r="G664" s="2552">
        <v>-4898120.46</v>
      </c>
      <c r="H664" s="2552">
        <v>0</v>
      </c>
      <c r="J664" s="2551">
        <v>10</v>
      </c>
      <c r="K664" s="2553" t="s">
        <v>7292</v>
      </c>
      <c r="L664" s="2551" t="e">
        <f t="shared" si="10"/>
        <v>#N/A</v>
      </c>
      <c r="W664" s="2979"/>
    </row>
    <row r="665" spans="1:23" hidden="1">
      <c r="A665" s="2551">
        <v>1424614</v>
      </c>
      <c r="B665" s="2551" t="s">
        <v>6216</v>
      </c>
      <c r="C665" s="2551">
        <v>10</v>
      </c>
      <c r="D665" s="2551" t="s">
        <v>7367</v>
      </c>
      <c r="E665" s="2550" t="s">
        <v>7215</v>
      </c>
      <c r="F665" s="2551">
        <v>103</v>
      </c>
      <c r="G665" s="2552">
        <v>-175261761.97</v>
      </c>
      <c r="H665" s="2552">
        <v>-32367502.800000001</v>
      </c>
      <c r="J665" s="2551">
        <v>10</v>
      </c>
      <c r="K665" s="2553" t="s">
        <v>7292</v>
      </c>
      <c r="L665" s="2551" t="e">
        <f t="shared" si="10"/>
        <v>#N/A</v>
      </c>
      <c r="W665" s="2979"/>
    </row>
    <row r="666" spans="1:23" hidden="1">
      <c r="A666" s="2551">
        <v>1424615</v>
      </c>
      <c r="B666" s="2551" t="s">
        <v>6217</v>
      </c>
      <c r="C666" s="2551">
        <v>10</v>
      </c>
      <c r="D666" s="2551" t="s">
        <v>7367</v>
      </c>
      <c r="E666" s="2550" t="s">
        <v>7215</v>
      </c>
      <c r="F666" s="2551">
        <v>103</v>
      </c>
      <c r="G666" s="2552">
        <v>-29530971.800000001</v>
      </c>
      <c r="H666" s="2552">
        <v>-14325137.800000001</v>
      </c>
      <c r="J666" s="2551">
        <v>10</v>
      </c>
      <c r="K666" s="2553" t="s">
        <v>7292</v>
      </c>
      <c r="L666" s="2551" t="e">
        <f t="shared" si="10"/>
        <v>#N/A</v>
      </c>
      <c r="W666" s="2979"/>
    </row>
    <row r="667" spans="1:23" hidden="1">
      <c r="A667" s="2551">
        <v>1424616</v>
      </c>
      <c r="B667" s="2551" t="s">
        <v>6218</v>
      </c>
      <c r="C667" s="2551">
        <v>10</v>
      </c>
      <c r="D667" s="2551" t="s">
        <v>7367</v>
      </c>
      <c r="E667" s="2550" t="s">
        <v>7215</v>
      </c>
      <c r="F667" s="2551">
        <v>103</v>
      </c>
      <c r="G667" s="2552">
        <v>-4929893.74</v>
      </c>
      <c r="H667" s="2552">
        <v>0</v>
      </c>
      <c r="J667" s="2551">
        <v>10</v>
      </c>
      <c r="K667" s="2553" t="s">
        <v>7292</v>
      </c>
      <c r="L667" s="2551" t="e">
        <f t="shared" si="10"/>
        <v>#N/A</v>
      </c>
      <c r="W667" s="2979"/>
    </row>
    <row r="668" spans="1:23" hidden="1">
      <c r="A668" s="2551">
        <v>1424617</v>
      </c>
      <c r="B668" s="2551" t="s">
        <v>6219</v>
      </c>
      <c r="C668" s="2551">
        <v>10</v>
      </c>
      <c r="D668" s="2551" t="s">
        <v>7367</v>
      </c>
      <c r="E668" s="2550" t="s">
        <v>7215</v>
      </c>
      <c r="F668" s="2551">
        <v>103</v>
      </c>
      <c r="G668" s="2552">
        <v>-65055531.719999999</v>
      </c>
      <c r="H668" s="2552">
        <v>-1855081</v>
      </c>
      <c r="J668" s="2551">
        <v>10</v>
      </c>
      <c r="K668" s="2553" t="s">
        <v>7292</v>
      </c>
      <c r="L668" s="2551" t="e">
        <f t="shared" si="10"/>
        <v>#N/A</v>
      </c>
      <c r="W668" s="2979"/>
    </row>
    <row r="669" spans="1:23" hidden="1">
      <c r="A669" s="2551">
        <v>1424619</v>
      </c>
      <c r="B669" s="2551" t="s">
        <v>7540</v>
      </c>
      <c r="C669" s="2551">
        <v>10</v>
      </c>
      <c r="D669" s="2551" t="s">
        <v>7367</v>
      </c>
      <c r="E669" s="2550" t="s">
        <v>7215</v>
      </c>
      <c r="F669" s="2551">
        <v>103</v>
      </c>
      <c r="G669" s="2552">
        <v>-48033</v>
      </c>
      <c r="H669" s="2552">
        <v>0</v>
      </c>
      <c r="J669" s="2551">
        <v>10</v>
      </c>
      <c r="K669" s="2553" t="s">
        <v>7292</v>
      </c>
      <c r="L669" s="2551" t="e">
        <f t="shared" si="10"/>
        <v>#N/A</v>
      </c>
      <c r="W669" s="2979"/>
    </row>
    <row r="670" spans="1:23" hidden="1">
      <c r="A670" s="2551">
        <v>1424620</v>
      </c>
      <c r="B670" s="2551" t="s">
        <v>7541</v>
      </c>
      <c r="C670" s="2551">
        <v>10</v>
      </c>
      <c r="D670" s="2551" t="s">
        <v>7367</v>
      </c>
      <c r="E670" s="2550" t="s">
        <v>7215</v>
      </c>
      <c r="F670" s="2551">
        <v>103</v>
      </c>
      <c r="G670" s="2552">
        <v>-8969019.6799999997</v>
      </c>
      <c r="H670" s="2552">
        <v>-1066102</v>
      </c>
      <c r="J670" s="2551">
        <v>10</v>
      </c>
      <c r="K670" s="2553" t="s">
        <v>7292</v>
      </c>
      <c r="L670" s="2551" t="e">
        <f t="shared" si="10"/>
        <v>#N/A</v>
      </c>
      <c r="W670" s="2979"/>
    </row>
    <row r="671" spans="1:23" hidden="1">
      <c r="A671" s="2551">
        <v>1424621</v>
      </c>
      <c r="B671" s="2551" t="s">
        <v>7542</v>
      </c>
      <c r="C671" s="2551">
        <v>10</v>
      </c>
      <c r="D671" s="2551" t="s">
        <v>7367</v>
      </c>
      <c r="E671" s="2550" t="s">
        <v>7215</v>
      </c>
      <c r="F671" s="2551">
        <v>103</v>
      </c>
      <c r="G671" s="2552">
        <v>-20719549.460000001</v>
      </c>
      <c r="H671" s="2552">
        <v>0</v>
      </c>
      <c r="J671" s="2551">
        <v>10</v>
      </c>
      <c r="K671" s="2553" t="s">
        <v>7292</v>
      </c>
      <c r="L671" s="2551" t="e">
        <f t="shared" si="10"/>
        <v>#N/A</v>
      </c>
      <c r="W671" s="2979"/>
    </row>
    <row r="672" spans="1:23" hidden="1">
      <c r="A672" s="2551">
        <v>1424622</v>
      </c>
      <c r="B672" s="2551" t="s">
        <v>7543</v>
      </c>
      <c r="C672" s="2551">
        <v>10</v>
      </c>
      <c r="D672" s="2551" t="s">
        <v>7367</v>
      </c>
      <c r="E672" s="2550" t="s">
        <v>7215</v>
      </c>
      <c r="F672" s="2551">
        <v>103</v>
      </c>
      <c r="G672" s="2552">
        <v>-109136.77</v>
      </c>
      <c r="H672" s="2552">
        <v>0</v>
      </c>
      <c r="J672" s="2551">
        <v>10</v>
      </c>
      <c r="K672" s="2553" t="s">
        <v>7292</v>
      </c>
      <c r="L672" s="2551" t="e">
        <f t="shared" si="10"/>
        <v>#N/A</v>
      </c>
      <c r="W672" s="2979"/>
    </row>
    <row r="673" spans="1:23" hidden="1">
      <c r="A673" s="2551">
        <v>1424623</v>
      </c>
      <c r="B673" s="2551" t="s">
        <v>6222</v>
      </c>
      <c r="C673" s="2551">
        <v>10</v>
      </c>
      <c r="D673" s="2551" t="s">
        <v>7367</v>
      </c>
      <c r="E673" s="2550" t="s">
        <v>7215</v>
      </c>
      <c r="F673" s="2551">
        <v>103</v>
      </c>
      <c r="G673" s="2552">
        <v>-255653149.5</v>
      </c>
      <c r="H673" s="2552">
        <v>-61471850.259999998</v>
      </c>
      <c r="J673" s="2551">
        <v>10</v>
      </c>
      <c r="K673" s="2553" t="s">
        <v>7292</v>
      </c>
      <c r="L673" s="2551" t="e">
        <f t="shared" si="10"/>
        <v>#N/A</v>
      </c>
      <c r="W673" s="2979"/>
    </row>
    <row r="674" spans="1:23" hidden="1">
      <c r="A674" s="2551">
        <v>1424624</v>
      </c>
      <c r="B674" s="2551" t="s">
        <v>6223</v>
      </c>
      <c r="C674" s="2551">
        <v>10</v>
      </c>
      <c r="D674" s="2551" t="s">
        <v>7367</v>
      </c>
      <c r="E674" s="2550" t="s">
        <v>7215</v>
      </c>
      <c r="F674" s="2551">
        <v>103</v>
      </c>
      <c r="G674" s="2552">
        <v>-11719115.41</v>
      </c>
      <c r="H674" s="2552">
        <v>-2338736</v>
      </c>
      <c r="J674" s="2551">
        <v>10</v>
      </c>
      <c r="K674" s="2553" t="s">
        <v>7292</v>
      </c>
      <c r="L674" s="2551" t="e">
        <f t="shared" si="10"/>
        <v>#N/A</v>
      </c>
      <c r="W674" s="2979"/>
    </row>
    <row r="675" spans="1:23" hidden="1">
      <c r="A675" s="2551">
        <v>1424625</v>
      </c>
      <c r="B675" s="2551" t="s">
        <v>6224</v>
      </c>
      <c r="C675" s="2551">
        <v>10</v>
      </c>
      <c r="D675" s="2551" t="s">
        <v>7367</v>
      </c>
      <c r="E675" s="2550" t="s">
        <v>7215</v>
      </c>
      <c r="F675" s="2551">
        <v>103</v>
      </c>
      <c r="G675" s="2552">
        <v>-31661970</v>
      </c>
      <c r="H675" s="2552">
        <v>-10650364</v>
      </c>
      <c r="J675" s="2551">
        <v>10</v>
      </c>
      <c r="K675" s="2553" t="s">
        <v>7292</v>
      </c>
      <c r="L675" s="2551" t="e">
        <f t="shared" si="10"/>
        <v>#N/A</v>
      </c>
      <c r="W675" s="2979"/>
    </row>
    <row r="676" spans="1:23" hidden="1">
      <c r="A676" s="2551">
        <v>1424626</v>
      </c>
      <c r="B676" s="2551" t="s">
        <v>7459</v>
      </c>
      <c r="C676" s="2551">
        <v>10</v>
      </c>
      <c r="D676" s="2551" t="s">
        <v>7367</v>
      </c>
      <c r="E676" s="2550" t="s">
        <v>7215</v>
      </c>
      <c r="F676" s="2551">
        <v>103</v>
      </c>
      <c r="G676" s="2552">
        <v>-44560074</v>
      </c>
      <c r="H676" s="2552">
        <v>-17524997.399999999</v>
      </c>
      <c r="J676" s="2551">
        <v>10</v>
      </c>
      <c r="K676" s="2553" t="s">
        <v>7292</v>
      </c>
      <c r="L676" s="2551" t="e">
        <f t="shared" si="10"/>
        <v>#N/A</v>
      </c>
      <c r="W676" s="2979"/>
    </row>
    <row r="677" spans="1:23" hidden="1">
      <c r="A677" s="2551">
        <v>1424627</v>
      </c>
      <c r="B677" s="2551" t="s">
        <v>7460</v>
      </c>
      <c r="C677" s="2551">
        <v>10</v>
      </c>
      <c r="D677" s="2551" t="s">
        <v>7367</v>
      </c>
      <c r="E677" s="2550" t="s">
        <v>7215</v>
      </c>
      <c r="F677" s="2551">
        <v>103</v>
      </c>
      <c r="G677" s="2552">
        <v>-332684804.38999999</v>
      </c>
      <c r="H677" s="2552">
        <v>-80895183.280000001</v>
      </c>
      <c r="J677" s="2551">
        <v>10</v>
      </c>
      <c r="K677" s="2553" t="s">
        <v>7292</v>
      </c>
      <c r="L677" s="2551" t="e">
        <f t="shared" si="10"/>
        <v>#N/A</v>
      </c>
      <c r="W677" s="2979"/>
    </row>
    <row r="678" spans="1:23" hidden="1">
      <c r="A678" s="2551">
        <v>1424628</v>
      </c>
      <c r="B678" s="2551" t="s">
        <v>7461</v>
      </c>
      <c r="C678" s="2551">
        <v>10</v>
      </c>
      <c r="D678" s="2551" t="s">
        <v>7367</v>
      </c>
      <c r="E678" s="2550" t="s">
        <v>7215</v>
      </c>
      <c r="F678" s="2551">
        <v>103</v>
      </c>
      <c r="G678" s="2552">
        <v>-10835.5</v>
      </c>
      <c r="H678" s="2552">
        <v>0</v>
      </c>
      <c r="J678" s="2551">
        <v>10</v>
      </c>
      <c r="K678" s="2553" t="s">
        <v>7292</v>
      </c>
      <c r="L678" s="2551" t="e">
        <f t="shared" si="10"/>
        <v>#N/A</v>
      </c>
      <c r="W678" s="2979"/>
    </row>
    <row r="679" spans="1:23" hidden="1">
      <c r="A679" s="2551">
        <v>1424629</v>
      </c>
      <c r="B679" s="2551" t="s">
        <v>7544</v>
      </c>
      <c r="C679" s="2551">
        <v>10</v>
      </c>
      <c r="D679" s="2551" t="s">
        <v>7367</v>
      </c>
      <c r="E679" s="2550" t="s">
        <v>7215</v>
      </c>
      <c r="F679" s="2551">
        <v>103</v>
      </c>
      <c r="G679" s="2552">
        <v>-233292</v>
      </c>
      <c r="H679" s="2552">
        <v>0</v>
      </c>
      <c r="J679" s="2551">
        <v>10</v>
      </c>
      <c r="K679" s="2553" t="s">
        <v>7292</v>
      </c>
      <c r="L679" s="2551" t="e">
        <f t="shared" si="10"/>
        <v>#N/A</v>
      </c>
      <c r="W679" s="2979"/>
    </row>
    <row r="680" spans="1:23" hidden="1">
      <c r="A680" s="2551">
        <v>1424630</v>
      </c>
      <c r="B680" s="2551" t="s">
        <v>7545</v>
      </c>
      <c r="C680" s="2551">
        <v>10</v>
      </c>
      <c r="D680" s="2551" t="s">
        <v>7367</v>
      </c>
      <c r="E680" s="2550" t="s">
        <v>7215</v>
      </c>
      <c r="F680" s="2551">
        <v>103</v>
      </c>
      <c r="G680" s="2552">
        <v>-32481646.530000001</v>
      </c>
      <c r="H680" s="2552">
        <v>-12315605.77</v>
      </c>
      <c r="J680" s="2551">
        <v>10</v>
      </c>
      <c r="K680" s="2553" t="s">
        <v>7292</v>
      </c>
      <c r="L680" s="2551" t="e">
        <f t="shared" si="10"/>
        <v>#N/A</v>
      </c>
      <c r="W680" s="2979"/>
    </row>
    <row r="681" spans="1:23" hidden="1">
      <c r="A681" s="2551">
        <v>1424633</v>
      </c>
      <c r="B681" s="2551" t="s">
        <v>7546</v>
      </c>
      <c r="C681" s="2551">
        <v>10</v>
      </c>
      <c r="D681" s="2551" t="s">
        <v>7367</v>
      </c>
      <c r="E681" s="2550" t="s">
        <v>7215</v>
      </c>
      <c r="F681" s="2551">
        <v>103</v>
      </c>
      <c r="G681" s="2552">
        <v>-660239127.66999996</v>
      </c>
      <c r="H681" s="2552">
        <v>-168629141.28999999</v>
      </c>
      <c r="J681" s="2551">
        <v>10</v>
      </c>
      <c r="K681" s="2553" t="s">
        <v>7292</v>
      </c>
      <c r="L681" s="2551" t="e">
        <f t="shared" si="10"/>
        <v>#N/A</v>
      </c>
      <c r="W681" s="2979"/>
    </row>
    <row r="682" spans="1:23" hidden="1">
      <c r="A682" s="2551">
        <v>1424634</v>
      </c>
      <c r="B682" s="2551" t="s">
        <v>7547</v>
      </c>
      <c r="C682" s="2551">
        <v>10</v>
      </c>
      <c r="D682" s="2551" t="s">
        <v>7367</v>
      </c>
      <c r="E682" s="2550" t="s">
        <v>7215</v>
      </c>
      <c r="F682" s="2551">
        <v>103</v>
      </c>
      <c r="G682" s="2552">
        <v>-16686903.15</v>
      </c>
      <c r="H682" s="2552">
        <v>-5700000</v>
      </c>
      <c r="J682" s="2551">
        <v>10</v>
      </c>
      <c r="K682" s="2553" t="s">
        <v>7292</v>
      </c>
      <c r="L682" s="2551" t="e">
        <f t="shared" si="10"/>
        <v>#N/A</v>
      </c>
      <c r="W682" s="2979"/>
    </row>
    <row r="683" spans="1:23" hidden="1">
      <c r="A683" s="2551">
        <v>1424635</v>
      </c>
      <c r="B683" s="2551" t="s">
        <v>7548</v>
      </c>
      <c r="C683" s="2551">
        <v>10</v>
      </c>
      <c r="D683" s="2551" t="s">
        <v>7367</v>
      </c>
      <c r="E683" s="2550" t="s">
        <v>7215</v>
      </c>
      <c r="F683" s="2551">
        <v>103</v>
      </c>
      <c r="G683" s="2552">
        <v>-72201661.5</v>
      </c>
      <c r="H683" s="2552">
        <v>-25090244.699999999</v>
      </c>
      <c r="J683" s="2551">
        <v>10</v>
      </c>
      <c r="K683" s="2553" t="s">
        <v>7292</v>
      </c>
      <c r="L683" s="2551" t="e">
        <f t="shared" si="10"/>
        <v>#N/A</v>
      </c>
      <c r="W683" s="2979"/>
    </row>
    <row r="684" spans="1:23" hidden="1">
      <c r="A684" s="2551">
        <v>1424636</v>
      </c>
      <c r="B684" s="2551" t="s">
        <v>7549</v>
      </c>
      <c r="C684" s="2551">
        <v>10</v>
      </c>
      <c r="D684" s="2551" t="s">
        <v>7367</v>
      </c>
      <c r="E684" s="2550" t="s">
        <v>7215</v>
      </c>
      <c r="F684" s="2551">
        <v>103</v>
      </c>
      <c r="G684" s="2552">
        <v>-36405539.020000003</v>
      </c>
      <c r="H684" s="2552">
        <v>-14401371.699999999</v>
      </c>
      <c r="J684" s="2551">
        <v>10</v>
      </c>
      <c r="K684" s="2553" t="s">
        <v>7292</v>
      </c>
      <c r="L684" s="2551" t="e">
        <f t="shared" si="10"/>
        <v>#N/A</v>
      </c>
      <c r="W684" s="2979"/>
    </row>
    <row r="685" spans="1:23" hidden="1">
      <c r="A685" s="2551">
        <v>1424637</v>
      </c>
      <c r="B685" s="2551" t="s">
        <v>7550</v>
      </c>
      <c r="C685" s="2551">
        <v>10</v>
      </c>
      <c r="D685" s="2551" t="s">
        <v>7367</v>
      </c>
      <c r="E685" s="2550" t="s">
        <v>7215</v>
      </c>
      <c r="F685" s="2551">
        <v>103</v>
      </c>
      <c r="G685" s="2552">
        <v>-135735.57</v>
      </c>
      <c r="H685" s="2552">
        <v>0</v>
      </c>
      <c r="J685" s="2551">
        <v>10</v>
      </c>
      <c r="K685" s="2553" t="s">
        <v>7292</v>
      </c>
      <c r="L685" s="2551" t="e">
        <f t="shared" si="10"/>
        <v>#N/A</v>
      </c>
      <c r="W685" s="2979"/>
    </row>
    <row r="686" spans="1:23" hidden="1">
      <c r="A686" s="2551">
        <v>1424638</v>
      </c>
      <c r="B686" s="2551" t="s">
        <v>7551</v>
      </c>
      <c r="C686" s="2551">
        <v>10</v>
      </c>
      <c r="D686" s="2551" t="s">
        <v>7367</v>
      </c>
      <c r="E686" s="2550" t="s">
        <v>7215</v>
      </c>
      <c r="F686" s="2551">
        <v>103</v>
      </c>
      <c r="G686" s="2552">
        <v>-9003038</v>
      </c>
      <c r="H686" s="2552">
        <v>0</v>
      </c>
      <c r="J686" s="2551">
        <v>10</v>
      </c>
      <c r="K686" s="2553" t="s">
        <v>7292</v>
      </c>
      <c r="L686" s="2551" t="e">
        <f t="shared" si="10"/>
        <v>#N/A</v>
      </c>
      <c r="W686" s="2979"/>
    </row>
    <row r="687" spans="1:23" hidden="1">
      <c r="A687" s="2551">
        <v>1424640</v>
      </c>
      <c r="B687" s="2551" t="s">
        <v>7552</v>
      </c>
      <c r="C687" s="2551">
        <v>10</v>
      </c>
      <c r="D687" s="2551" t="s">
        <v>7367</v>
      </c>
      <c r="E687" s="2550" t="s">
        <v>7215</v>
      </c>
      <c r="F687" s="2551">
        <v>103</v>
      </c>
      <c r="G687" s="2552">
        <v>-48599331.890000001</v>
      </c>
      <c r="H687" s="2552">
        <v>-5486762.1399999997</v>
      </c>
      <c r="J687" s="2551">
        <v>10</v>
      </c>
      <c r="K687" s="2553" t="s">
        <v>7292</v>
      </c>
      <c r="L687" s="2551" t="e">
        <f t="shared" si="10"/>
        <v>#N/A</v>
      </c>
      <c r="W687" s="2979"/>
    </row>
    <row r="688" spans="1:23" hidden="1">
      <c r="A688" s="2551">
        <v>1424641</v>
      </c>
      <c r="B688" s="2551" t="s">
        <v>7553</v>
      </c>
      <c r="C688" s="2551">
        <v>10</v>
      </c>
      <c r="D688" s="2551" t="s">
        <v>7367</v>
      </c>
      <c r="E688" s="2550" t="s">
        <v>7215</v>
      </c>
      <c r="F688" s="2551">
        <v>103</v>
      </c>
      <c r="G688" s="2552">
        <v>-31721544.5</v>
      </c>
      <c r="H688" s="2552">
        <v>-13124405.699999999</v>
      </c>
      <c r="J688" s="2551">
        <v>10</v>
      </c>
      <c r="K688" s="2553" t="s">
        <v>7292</v>
      </c>
      <c r="L688" s="2551" t="e">
        <f t="shared" si="10"/>
        <v>#N/A</v>
      </c>
      <c r="W688" s="2979"/>
    </row>
    <row r="689" spans="1:23" hidden="1">
      <c r="A689" s="2551">
        <v>1424642</v>
      </c>
      <c r="B689" s="2551" t="s">
        <v>7554</v>
      </c>
      <c r="C689" s="2551">
        <v>10</v>
      </c>
      <c r="D689" s="2551" t="s">
        <v>7367</v>
      </c>
      <c r="E689" s="2550" t="s">
        <v>7215</v>
      </c>
      <c r="F689" s="2551">
        <v>103</v>
      </c>
      <c r="G689" s="2552">
        <v>-132018</v>
      </c>
      <c r="H689" s="2552">
        <v>0</v>
      </c>
      <c r="J689" s="2551">
        <v>10</v>
      </c>
      <c r="K689" s="2553" t="s">
        <v>7292</v>
      </c>
      <c r="L689" s="2551" t="e">
        <f t="shared" si="10"/>
        <v>#N/A</v>
      </c>
      <c r="W689" s="2979"/>
    </row>
    <row r="690" spans="1:23" hidden="1">
      <c r="A690" s="2551">
        <v>1424643</v>
      </c>
      <c r="B690" s="2551" t="s">
        <v>7555</v>
      </c>
      <c r="C690" s="2551">
        <v>10</v>
      </c>
      <c r="D690" s="2551" t="s">
        <v>7367</v>
      </c>
      <c r="E690" s="2550" t="s">
        <v>7215</v>
      </c>
      <c r="F690" s="2551">
        <v>103</v>
      </c>
      <c r="G690" s="2552">
        <v>-5509545.0899999999</v>
      </c>
      <c r="H690" s="2552">
        <v>-20125</v>
      </c>
      <c r="J690" s="2551">
        <v>10</v>
      </c>
      <c r="K690" s="2553" t="s">
        <v>7292</v>
      </c>
      <c r="L690" s="2551" t="e">
        <f t="shared" si="10"/>
        <v>#N/A</v>
      </c>
      <c r="W690" s="2979"/>
    </row>
    <row r="691" spans="1:23" hidden="1">
      <c r="A691" s="2551">
        <v>1424644</v>
      </c>
      <c r="B691" s="2551" t="s">
        <v>7556</v>
      </c>
      <c r="C691" s="2551">
        <v>10</v>
      </c>
      <c r="D691" s="2551" t="s">
        <v>7367</v>
      </c>
      <c r="E691" s="2550" t="s">
        <v>7215</v>
      </c>
      <c r="F691" s="2551">
        <v>103</v>
      </c>
      <c r="G691" s="2552">
        <v>-9397480.3499999996</v>
      </c>
      <c r="H691" s="2552">
        <v>-1109752</v>
      </c>
      <c r="J691" s="2551">
        <v>10</v>
      </c>
      <c r="K691" s="2553" t="s">
        <v>7292</v>
      </c>
      <c r="L691" s="2551" t="e">
        <f t="shared" si="10"/>
        <v>#N/A</v>
      </c>
      <c r="W691" s="2979"/>
    </row>
    <row r="692" spans="1:23" hidden="1">
      <c r="A692" s="2551">
        <v>1424645</v>
      </c>
      <c r="B692" s="2551" t="s">
        <v>7557</v>
      </c>
      <c r="C692" s="2551">
        <v>10</v>
      </c>
      <c r="D692" s="2551" t="s">
        <v>7367</v>
      </c>
      <c r="E692" s="2550" t="s">
        <v>7215</v>
      </c>
      <c r="F692" s="2551">
        <v>103</v>
      </c>
      <c r="G692" s="2552">
        <v>-18657174.27</v>
      </c>
      <c r="H692" s="2552">
        <v>-14243333.210000001</v>
      </c>
      <c r="J692" s="2551">
        <v>10</v>
      </c>
      <c r="K692" s="2553" t="s">
        <v>7292</v>
      </c>
      <c r="L692" s="2551" t="e">
        <f t="shared" si="10"/>
        <v>#N/A</v>
      </c>
      <c r="W692" s="2979"/>
    </row>
    <row r="693" spans="1:23" hidden="1">
      <c r="A693" s="2551">
        <v>1424646</v>
      </c>
      <c r="B693" s="2551" t="s">
        <v>7558</v>
      </c>
      <c r="C693" s="2551">
        <v>10</v>
      </c>
      <c r="D693" s="2551" t="s">
        <v>7367</v>
      </c>
      <c r="E693" s="2550" t="s">
        <v>7215</v>
      </c>
      <c r="F693" s="2551">
        <v>103</v>
      </c>
      <c r="G693" s="2552">
        <v>-471532.95</v>
      </c>
      <c r="H693" s="2552">
        <v>0</v>
      </c>
      <c r="J693" s="2551">
        <v>10</v>
      </c>
      <c r="K693" s="2553" t="s">
        <v>7292</v>
      </c>
      <c r="L693" s="2551" t="e">
        <f t="shared" si="10"/>
        <v>#N/A</v>
      </c>
      <c r="W693" s="2979"/>
    </row>
    <row r="694" spans="1:23" hidden="1">
      <c r="A694" s="2551">
        <v>1424647</v>
      </c>
      <c r="B694" s="2551" t="s">
        <v>7559</v>
      </c>
      <c r="C694" s="2551">
        <v>10</v>
      </c>
      <c r="D694" s="2551" t="s">
        <v>7367</v>
      </c>
      <c r="E694" s="2550" t="s">
        <v>7215</v>
      </c>
      <c r="F694" s="2551">
        <v>103</v>
      </c>
      <c r="G694" s="2552">
        <v>-742375871.30999994</v>
      </c>
      <c r="H694" s="2552">
        <v>-169331709.66</v>
      </c>
      <c r="J694" s="2551">
        <v>10</v>
      </c>
      <c r="K694" s="2553" t="s">
        <v>7292</v>
      </c>
      <c r="L694" s="2551" t="e">
        <f t="shared" si="10"/>
        <v>#N/A</v>
      </c>
      <c r="W694" s="2979"/>
    </row>
    <row r="695" spans="1:23" hidden="1">
      <c r="A695" s="2551">
        <v>1424649</v>
      </c>
      <c r="B695" s="2551" t="s">
        <v>6664</v>
      </c>
      <c r="C695" s="2551">
        <v>10</v>
      </c>
      <c r="D695" s="2551" t="s">
        <v>7367</v>
      </c>
      <c r="E695" s="2550" t="s">
        <v>7215</v>
      </c>
      <c r="F695" s="2551">
        <v>103</v>
      </c>
      <c r="G695" s="2552">
        <v>-668830</v>
      </c>
      <c r="H695" s="2552">
        <v>0</v>
      </c>
      <c r="J695" s="2551">
        <v>10</v>
      </c>
      <c r="K695" s="2553" t="s">
        <v>7292</v>
      </c>
      <c r="L695" s="2551" t="e">
        <f t="shared" si="10"/>
        <v>#N/A</v>
      </c>
      <c r="W695" s="2979"/>
    </row>
    <row r="696" spans="1:23" hidden="1">
      <c r="A696" s="2551">
        <v>1424650</v>
      </c>
      <c r="B696" s="2551" t="s">
        <v>7560</v>
      </c>
      <c r="C696" s="2551">
        <v>10</v>
      </c>
      <c r="D696" s="2551" t="s">
        <v>7367</v>
      </c>
      <c r="E696" s="2550" t="s">
        <v>7215</v>
      </c>
      <c r="F696" s="2551">
        <v>103</v>
      </c>
      <c r="G696" s="2552">
        <v>-161419</v>
      </c>
      <c r="H696" s="2552">
        <v>0</v>
      </c>
      <c r="J696" s="2551">
        <v>10</v>
      </c>
      <c r="K696" s="2553" t="s">
        <v>7292</v>
      </c>
      <c r="L696" s="2551" t="e">
        <f t="shared" si="10"/>
        <v>#N/A</v>
      </c>
      <c r="W696" s="2979"/>
    </row>
    <row r="697" spans="1:23" hidden="1">
      <c r="A697" s="2551">
        <v>1424651</v>
      </c>
      <c r="B697" s="2551" t="s">
        <v>6241</v>
      </c>
      <c r="C697" s="2551">
        <v>10</v>
      </c>
      <c r="D697" s="2551" t="s">
        <v>7367</v>
      </c>
      <c r="E697" s="2550" t="s">
        <v>7215</v>
      </c>
      <c r="F697" s="2551">
        <v>103</v>
      </c>
      <c r="G697" s="2552">
        <v>-14880278.439999999</v>
      </c>
      <c r="H697" s="2552">
        <v>-6045779</v>
      </c>
      <c r="J697" s="2551">
        <v>10</v>
      </c>
      <c r="K697" s="2553" t="s">
        <v>7292</v>
      </c>
      <c r="L697" s="2551" t="e">
        <f t="shared" si="10"/>
        <v>#N/A</v>
      </c>
      <c r="W697" s="2979"/>
    </row>
    <row r="698" spans="1:23" hidden="1">
      <c r="A698" s="2551">
        <v>1424652</v>
      </c>
      <c r="B698" s="2551" t="s">
        <v>6242</v>
      </c>
      <c r="C698" s="2551">
        <v>10</v>
      </c>
      <c r="D698" s="2551" t="s">
        <v>7367</v>
      </c>
      <c r="E698" s="2550" t="s">
        <v>7215</v>
      </c>
      <c r="F698" s="2551">
        <v>103</v>
      </c>
      <c r="G698" s="2552">
        <v>-9376460</v>
      </c>
      <c r="H698" s="2552">
        <v>-14456402</v>
      </c>
      <c r="J698" s="2551">
        <v>10</v>
      </c>
      <c r="K698" s="2553" t="s">
        <v>7292</v>
      </c>
      <c r="L698" s="2551" t="e">
        <f t="shared" si="10"/>
        <v>#N/A</v>
      </c>
      <c r="W698" s="2979"/>
    </row>
    <row r="699" spans="1:23" hidden="1">
      <c r="A699" s="2551">
        <v>1424653</v>
      </c>
      <c r="B699" s="2551" t="s">
        <v>6243</v>
      </c>
      <c r="C699" s="2551">
        <v>10</v>
      </c>
      <c r="D699" s="2551" t="s">
        <v>7367</v>
      </c>
      <c r="E699" s="2550" t="s">
        <v>7215</v>
      </c>
      <c r="F699" s="2551">
        <v>103</v>
      </c>
      <c r="G699" s="2552">
        <v>-44667628.950000003</v>
      </c>
      <c r="H699" s="2552">
        <v>-114449988.7</v>
      </c>
      <c r="J699" s="2551">
        <v>10</v>
      </c>
      <c r="K699" s="2553" t="s">
        <v>7292</v>
      </c>
      <c r="L699" s="2551" t="e">
        <f t="shared" si="10"/>
        <v>#N/A</v>
      </c>
      <c r="W699" s="2979"/>
    </row>
    <row r="700" spans="1:23" hidden="1">
      <c r="A700" s="2551">
        <v>1424654</v>
      </c>
      <c r="B700" s="2551" t="s">
        <v>7561</v>
      </c>
      <c r="C700" s="2551">
        <v>10</v>
      </c>
      <c r="D700" s="2551" t="s">
        <v>7367</v>
      </c>
      <c r="E700" s="2550" t="s">
        <v>7215</v>
      </c>
      <c r="F700" s="2551">
        <v>103</v>
      </c>
      <c r="G700" s="2552">
        <v>-10000</v>
      </c>
      <c r="H700" s="2552">
        <v>0</v>
      </c>
      <c r="J700" s="2551">
        <v>10</v>
      </c>
      <c r="K700" s="2553" t="s">
        <v>7292</v>
      </c>
      <c r="L700" s="2551" t="e">
        <f t="shared" si="10"/>
        <v>#N/A</v>
      </c>
      <c r="W700" s="2979"/>
    </row>
    <row r="701" spans="1:23" hidden="1">
      <c r="A701" s="2551">
        <v>1424655</v>
      </c>
      <c r="B701" s="2551" t="s">
        <v>6665</v>
      </c>
      <c r="C701" s="2551">
        <v>10</v>
      </c>
      <c r="D701" s="2551" t="s">
        <v>7367</v>
      </c>
      <c r="E701" s="2550" t="s">
        <v>7215</v>
      </c>
      <c r="F701" s="2551">
        <v>103</v>
      </c>
      <c r="G701" s="2552">
        <v>-15230035</v>
      </c>
      <c r="H701" s="2552">
        <v>0</v>
      </c>
      <c r="J701" s="2551">
        <v>10</v>
      </c>
      <c r="K701" s="2553" t="s">
        <v>7292</v>
      </c>
      <c r="L701" s="2551" t="e">
        <f t="shared" si="10"/>
        <v>#N/A</v>
      </c>
      <c r="W701" s="2979"/>
    </row>
    <row r="702" spans="1:23" hidden="1">
      <c r="A702" s="2551">
        <v>1424656</v>
      </c>
      <c r="B702" s="2551" t="s">
        <v>7562</v>
      </c>
      <c r="C702" s="2551">
        <v>10</v>
      </c>
      <c r="D702" s="2551" t="s">
        <v>7367</v>
      </c>
      <c r="E702" s="2550" t="s">
        <v>7215</v>
      </c>
      <c r="F702" s="2551">
        <v>103</v>
      </c>
      <c r="G702" s="2552">
        <v>-4426288.9000000004</v>
      </c>
      <c r="H702" s="2552">
        <v>-627631</v>
      </c>
      <c r="J702" s="2551">
        <v>10</v>
      </c>
      <c r="K702" s="2553" t="s">
        <v>7292</v>
      </c>
      <c r="L702" s="2551" t="e">
        <f t="shared" si="10"/>
        <v>#N/A</v>
      </c>
      <c r="W702" s="2979"/>
    </row>
    <row r="703" spans="1:23" hidden="1">
      <c r="A703" s="2551">
        <v>1424657</v>
      </c>
      <c r="B703" s="2551" t="s">
        <v>7563</v>
      </c>
      <c r="C703" s="2551">
        <v>10</v>
      </c>
      <c r="D703" s="2551" t="s">
        <v>7367</v>
      </c>
      <c r="E703" s="2550" t="s">
        <v>7215</v>
      </c>
      <c r="F703" s="2551">
        <v>103</v>
      </c>
      <c r="G703" s="2552">
        <v>-476448167.89999998</v>
      </c>
      <c r="H703" s="2552">
        <v>-128327979.34</v>
      </c>
      <c r="J703" s="2551">
        <v>10</v>
      </c>
      <c r="K703" s="2553" t="s">
        <v>7292</v>
      </c>
      <c r="L703" s="2551" t="e">
        <f t="shared" si="10"/>
        <v>#N/A</v>
      </c>
      <c r="W703" s="2979"/>
    </row>
    <row r="704" spans="1:23" hidden="1">
      <c r="A704" s="2551">
        <v>1424659</v>
      </c>
      <c r="B704" s="2551" t="s">
        <v>7564</v>
      </c>
      <c r="C704" s="2551">
        <v>10</v>
      </c>
      <c r="D704" s="2551" t="s">
        <v>7367</v>
      </c>
      <c r="E704" s="2550" t="s">
        <v>7215</v>
      </c>
      <c r="F704" s="2551">
        <v>103</v>
      </c>
      <c r="G704" s="2552">
        <v>-31959134.699999999</v>
      </c>
      <c r="H704" s="2552">
        <v>-19045930</v>
      </c>
      <c r="J704" s="2551">
        <v>10</v>
      </c>
      <c r="K704" s="2553" t="s">
        <v>7292</v>
      </c>
      <c r="L704" s="2551" t="e">
        <f t="shared" si="10"/>
        <v>#N/A</v>
      </c>
      <c r="W704" s="2979"/>
    </row>
    <row r="705" spans="1:23" hidden="1">
      <c r="A705" s="2551">
        <v>1424660</v>
      </c>
      <c r="B705" s="2551" t="s">
        <v>7565</v>
      </c>
      <c r="C705" s="2551">
        <v>10</v>
      </c>
      <c r="D705" s="2551" t="s">
        <v>7367</v>
      </c>
      <c r="E705" s="2550" t="s">
        <v>7215</v>
      </c>
      <c r="F705" s="2551">
        <v>103</v>
      </c>
      <c r="G705" s="2552">
        <v>-450000</v>
      </c>
      <c r="H705" s="2552">
        <v>0</v>
      </c>
      <c r="J705" s="2551">
        <v>10</v>
      </c>
      <c r="K705" s="2553" t="s">
        <v>7292</v>
      </c>
      <c r="L705" s="2551" t="e">
        <f t="shared" si="10"/>
        <v>#N/A</v>
      </c>
      <c r="W705" s="2979"/>
    </row>
    <row r="706" spans="1:23" hidden="1">
      <c r="A706" s="2551">
        <v>1424661</v>
      </c>
      <c r="B706" s="2551" t="s">
        <v>7566</v>
      </c>
      <c r="C706" s="2551">
        <v>10</v>
      </c>
      <c r="D706" s="2551" t="s">
        <v>7367</v>
      </c>
      <c r="E706" s="2550" t="s">
        <v>7215</v>
      </c>
      <c r="F706" s="2551">
        <v>103</v>
      </c>
      <c r="G706" s="2552">
        <v>-172035</v>
      </c>
      <c r="H706" s="2552">
        <v>0</v>
      </c>
      <c r="J706" s="2551">
        <v>10</v>
      </c>
      <c r="K706" s="2553" t="s">
        <v>7292</v>
      </c>
      <c r="L706" s="2551" t="e">
        <f t="shared" si="10"/>
        <v>#N/A</v>
      </c>
      <c r="W706" s="2979"/>
    </row>
    <row r="707" spans="1:23" hidden="1">
      <c r="A707" s="2551">
        <v>1424662</v>
      </c>
      <c r="B707" s="2551" t="s">
        <v>7567</v>
      </c>
      <c r="C707" s="2551">
        <v>10</v>
      </c>
      <c r="D707" s="2551" t="s">
        <v>7367</v>
      </c>
      <c r="E707" s="2550" t="s">
        <v>7215</v>
      </c>
      <c r="F707" s="2551">
        <v>103</v>
      </c>
      <c r="G707" s="2552">
        <v>-54513.71</v>
      </c>
      <c r="H707" s="2552">
        <v>0</v>
      </c>
      <c r="J707" s="2551">
        <v>10</v>
      </c>
      <c r="K707" s="2553" t="s">
        <v>7292</v>
      </c>
      <c r="L707" s="2551" t="e">
        <f t="shared" si="10"/>
        <v>#N/A</v>
      </c>
      <c r="W707" s="2979"/>
    </row>
    <row r="708" spans="1:23" hidden="1">
      <c r="A708" s="2551">
        <v>1424663</v>
      </c>
      <c r="B708" s="2551" t="s">
        <v>7568</v>
      </c>
      <c r="C708" s="2551">
        <v>10</v>
      </c>
      <c r="D708" s="2551" t="s">
        <v>7367</v>
      </c>
      <c r="E708" s="2550" t="s">
        <v>7215</v>
      </c>
      <c r="F708" s="2551">
        <v>103</v>
      </c>
      <c r="G708" s="2552">
        <v>-123790511</v>
      </c>
      <c r="H708" s="2552">
        <v>-94818398</v>
      </c>
      <c r="J708" s="2551">
        <v>10</v>
      </c>
      <c r="K708" s="2553" t="s">
        <v>7292</v>
      </c>
      <c r="L708" s="2551" t="e">
        <f t="shared" ref="L708:L771" si="11">VLOOKUP(A708,P:P,1,0)</f>
        <v>#N/A</v>
      </c>
      <c r="W708" s="2979"/>
    </row>
    <row r="709" spans="1:23" hidden="1">
      <c r="A709" s="2551">
        <v>1424664</v>
      </c>
      <c r="B709" s="2551" t="s">
        <v>7569</v>
      </c>
      <c r="C709" s="2551">
        <v>10</v>
      </c>
      <c r="D709" s="2551" t="s">
        <v>7367</v>
      </c>
      <c r="E709" s="2550" t="s">
        <v>7215</v>
      </c>
      <c r="F709" s="2551">
        <v>103</v>
      </c>
      <c r="G709" s="2552">
        <v>-2186095.3199999998</v>
      </c>
      <c r="H709" s="2552">
        <v>-7465162</v>
      </c>
      <c r="J709" s="2551">
        <v>10</v>
      </c>
      <c r="K709" s="2553" t="s">
        <v>7292</v>
      </c>
      <c r="L709" s="2551" t="e">
        <f t="shared" si="11"/>
        <v>#N/A</v>
      </c>
      <c r="W709" s="2979"/>
    </row>
    <row r="710" spans="1:23" hidden="1">
      <c r="A710" s="2551">
        <v>1424665</v>
      </c>
      <c r="B710" s="2551" t="s">
        <v>7570</v>
      </c>
      <c r="C710" s="2551">
        <v>10</v>
      </c>
      <c r="D710" s="2551" t="s">
        <v>7367</v>
      </c>
      <c r="E710" s="2550" t="s">
        <v>7215</v>
      </c>
      <c r="F710" s="2551">
        <v>103</v>
      </c>
      <c r="G710" s="2552">
        <v>-4011694.83</v>
      </c>
      <c r="H710" s="2552">
        <v>-10955435</v>
      </c>
      <c r="J710" s="2551">
        <v>10</v>
      </c>
      <c r="K710" s="2553" t="s">
        <v>7292</v>
      </c>
      <c r="L710" s="2551" t="e">
        <f t="shared" si="11"/>
        <v>#N/A</v>
      </c>
      <c r="W710" s="2979"/>
    </row>
    <row r="711" spans="1:23" hidden="1">
      <c r="A711" s="2551">
        <v>1424666</v>
      </c>
      <c r="B711" s="2551" t="s">
        <v>7571</v>
      </c>
      <c r="C711" s="2551">
        <v>10</v>
      </c>
      <c r="D711" s="2551" t="s">
        <v>7367</v>
      </c>
      <c r="E711" s="2550" t="s">
        <v>7215</v>
      </c>
      <c r="F711" s="2551">
        <v>103</v>
      </c>
      <c r="G711" s="2552">
        <v>-354137</v>
      </c>
      <c r="H711" s="2552">
        <v>0</v>
      </c>
      <c r="J711" s="2551">
        <v>10</v>
      </c>
      <c r="K711" s="2553" t="s">
        <v>7292</v>
      </c>
      <c r="L711" s="2551" t="e">
        <f t="shared" si="11"/>
        <v>#N/A</v>
      </c>
      <c r="W711" s="2979"/>
    </row>
    <row r="712" spans="1:23" hidden="1">
      <c r="A712" s="2551">
        <v>1424669</v>
      </c>
      <c r="B712" s="2551" t="s">
        <v>7572</v>
      </c>
      <c r="C712" s="2551">
        <v>10</v>
      </c>
      <c r="D712" s="2551" t="s">
        <v>7367</v>
      </c>
      <c r="E712" s="2550" t="s">
        <v>7215</v>
      </c>
      <c r="F712" s="2551">
        <v>103</v>
      </c>
      <c r="G712" s="2552">
        <v>-2301754.16</v>
      </c>
      <c r="H712" s="2552">
        <v>-477032</v>
      </c>
      <c r="J712" s="2551">
        <v>10</v>
      </c>
      <c r="K712" s="2553" t="s">
        <v>7292</v>
      </c>
      <c r="L712" s="2551" t="e">
        <f t="shared" si="11"/>
        <v>#N/A</v>
      </c>
      <c r="W712" s="2979"/>
    </row>
    <row r="713" spans="1:23" hidden="1">
      <c r="A713" s="2551">
        <v>1424670</v>
      </c>
      <c r="B713" s="2551" t="s">
        <v>7573</v>
      </c>
      <c r="C713" s="2551">
        <v>10</v>
      </c>
      <c r="D713" s="2551" t="s">
        <v>7367</v>
      </c>
      <c r="E713" s="2550" t="s">
        <v>7215</v>
      </c>
      <c r="F713" s="2551">
        <v>103</v>
      </c>
      <c r="G713" s="2552">
        <v>-15391.4</v>
      </c>
      <c r="H713" s="2552">
        <v>-400000</v>
      </c>
      <c r="J713" s="2551">
        <v>10</v>
      </c>
      <c r="K713" s="2553" t="s">
        <v>7292</v>
      </c>
      <c r="L713" s="2551" t="e">
        <f t="shared" si="11"/>
        <v>#N/A</v>
      </c>
      <c r="W713" s="2979"/>
    </row>
    <row r="714" spans="1:23" hidden="1">
      <c r="A714" s="2551">
        <v>1424671</v>
      </c>
      <c r="B714" s="2551" t="s">
        <v>7574</v>
      </c>
      <c r="C714" s="2551">
        <v>10</v>
      </c>
      <c r="D714" s="2551" t="s">
        <v>7367</v>
      </c>
      <c r="E714" s="2550" t="s">
        <v>7215</v>
      </c>
      <c r="F714" s="2551">
        <v>103</v>
      </c>
      <c r="G714" s="2552">
        <v>-2830551</v>
      </c>
      <c r="H714" s="2552">
        <v>0</v>
      </c>
      <c r="J714" s="2551">
        <v>10</v>
      </c>
      <c r="K714" s="2553" t="s">
        <v>7292</v>
      </c>
      <c r="L714" s="2551" t="e">
        <f t="shared" si="11"/>
        <v>#N/A</v>
      </c>
      <c r="W714" s="2979"/>
    </row>
    <row r="715" spans="1:23" hidden="1">
      <c r="A715" s="2551">
        <v>1424672</v>
      </c>
      <c r="B715" s="2551" t="s">
        <v>7575</v>
      </c>
      <c r="C715" s="2551">
        <v>10</v>
      </c>
      <c r="D715" s="2551" t="s">
        <v>7367</v>
      </c>
      <c r="E715" s="2550" t="s">
        <v>7215</v>
      </c>
      <c r="F715" s="2551">
        <v>103</v>
      </c>
      <c r="G715" s="2552">
        <v>-522835.94</v>
      </c>
      <c r="H715" s="2552">
        <v>0</v>
      </c>
      <c r="J715" s="2551">
        <v>10</v>
      </c>
      <c r="K715" s="2553" t="s">
        <v>7292</v>
      </c>
      <c r="L715" s="2551" t="e">
        <f t="shared" si="11"/>
        <v>#N/A</v>
      </c>
      <c r="W715" s="2979"/>
    </row>
    <row r="716" spans="1:23" hidden="1">
      <c r="A716" s="2551">
        <v>1424673</v>
      </c>
      <c r="B716" s="2551" t="s">
        <v>7576</v>
      </c>
      <c r="C716" s="2551">
        <v>10</v>
      </c>
      <c r="D716" s="2551" t="s">
        <v>7367</v>
      </c>
      <c r="E716" s="2550" t="s">
        <v>7215</v>
      </c>
      <c r="F716" s="2551">
        <v>103</v>
      </c>
      <c r="G716" s="2552">
        <v>-202274262.5</v>
      </c>
      <c r="H716" s="2552">
        <v>-7323594.7000000002</v>
      </c>
      <c r="J716" s="2551">
        <v>10</v>
      </c>
      <c r="K716" s="2553" t="s">
        <v>7292</v>
      </c>
      <c r="L716" s="2551" t="e">
        <f t="shared" si="11"/>
        <v>#N/A</v>
      </c>
      <c r="W716" s="2979"/>
    </row>
    <row r="717" spans="1:23" hidden="1">
      <c r="A717" s="2551">
        <v>1424674</v>
      </c>
      <c r="B717" s="2551" t="s">
        <v>7577</v>
      </c>
      <c r="C717" s="2551">
        <v>10</v>
      </c>
      <c r="D717" s="2551" t="s">
        <v>7367</v>
      </c>
      <c r="E717" s="2550" t="s">
        <v>7215</v>
      </c>
      <c r="F717" s="2551">
        <v>103</v>
      </c>
      <c r="G717" s="2552">
        <v>-3907363.74</v>
      </c>
      <c r="H717" s="2552">
        <v>0</v>
      </c>
      <c r="J717" s="2551">
        <v>10</v>
      </c>
      <c r="K717" s="2553" t="s">
        <v>7292</v>
      </c>
      <c r="L717" s="2551" t="e">
        <f t="shared" si="11"/>
        <v>#N/A</v>
      </c>
      <c r="W717" s="2979"/>
    </row>
    <row r="718" spans="1:23" hidden="1">
      <c r="A718" s="2551">
        <v>1424675</v>
      </c>
      <c r="B718" s="2551" t="s">
        <v>7578</v>
      </c>
      <c r="C718" s="2551">
        <v>10</v>
      </c>
      <c r="D718" s="2551" t="s">
        <v>7367</v>
      </c>
      <c r="E718" s="2550" t="s">
        <v>7215</v>
      </c>
      <c r="F718" s="2551">
        <v>103</v>
      </c>
      <c r="G718" s="2552">
        <v>-25744</v>
      </c>
      <c r="H718" s="2552">
        <v>-271.39999999999998</v>
      </c>
      <c r="J718" s="2551">
        <v>10</v>
      </c>
      <c r="K718" s="2553" t="s">
        <v>7292</v>
      </c>
      <c r="L718" s="2551" t="e">
        <f t="shared" si="11"/>
        <v>#N/A</v>
      </c>
      <c r="W718" s="2979"/>
    </row>
    <row r="719" spans="1:23" hidden="1">
      <c r="A719" s="2551">
        <v>1424676</v>
      </c>
      <c r="B719" s="2551" t="s">
        <v>7579</v>
      </c>
      <c r="C719" s="2551">
        <v>10</v>
      </c>
      <c r="D719" s="2551" t="s">
        <v>7367</v>
      </c>
      <c r="E719" s="2550" t="s">
        <v>7215</v>
      </c>
      <c r="F719" s="2551">
        <v>103</v>
      </c>
      <c r="G719" s="2552">
        <v>-75587659.950000003</v>
      </c>
      <c r="H719" s="2552">
        <v>-18047483</v>
      </c>
      <c r="J719" s="2551">
        <v>10</v>
      </c>
      <c r="K719" s="2553" t="s">
        <v>7292</v>
      </c>
      <c r="L719" s="2551" t="e">
        <f t="shared" si="11"/>
        <v>#N/A</v>
      </c>
      <c r="W719" s="2979"/>
    </row>
    <row r="720" spans="1:23" hidden="1">
      <c r="A720" s="2551">
        <v>1424678</v>
      </c>
      <c r="B720" s="2551" t="s">
        <v>7580</v>
      </c>
      <c r="C720" s="2551">
        <v>10</v>
      </c>
      <c r="D720" s="2551" t="s">
        <v>7367</v>
      </c>
      <c r="E720" s="2550" t="s">
        <v>7215</v>
      </c>
      <c r="F720" s="2551">
        <v>103</v>
      </c>
      <c r="G720" s="2552">
        <v>-119237</v>
      </c>
      <c r="H720" s="2552">
        <v>0</v>
      </c>
      <c r="J720" s="2551">
        <v>10</v>
      </c>
      <c r="K720" s="2553" t="s">
        <v>7292</v>
      </c>
      <c r="L720" s="2551" t="e">
        <f t="shared" si="11"/>
        <v>#N/A</v>
      </c>
      <c r="W720" s="2979"/>
    </row>
    <row r="721" spans="1:23" hidden="1">
      <c r="A721" s="2551">
        <v>1424682</v>
      </c>
      <c r="B721" s="2551" t="s">
        <v>7581</v>
      </c>
      <c r="C721" s="2551">
        <v>10</v>
      </c>
      <c r="D721" s="2551" t="s">
        <v>7367</v>
      </c>
      <c r="E721" s="2550" t="s">
        <v>7215</v>
      </c>
      <c r="F721" s="2551">
        <v>103</v>
      </c>
      <c r="G721" s="2552">
        <v>-5003868.5</v>
      </c>
      <c r="H721" s="2552">
        <v>0</v>
      </c>
      <c r="J721" s="2551">
        <v>10</v>
      </c>
      <c r="K721" s="2553" t="s">
        <v>7292</v>
      </c>
      <c r="L721" s="2551" t="e">
        <f t="shared" si="11"/>
        <v>#N/A</v>
      </c>
      <c r="W721" s="2979"/>
    </row>
    <row r="722" spans="1:23" hidden="1">
      <c r="A722" s="2551">
        <v>1424683</v>
      </c>
      <c r="B722" s="2551" t="s">
        <v>7582</v>
      </c>
      <c r="C722" s="2551">
        <v>10</v>
      </c>
      <c r="D722" s="2551" t="s">
        <v>7367</v>
      </c>
      <c r="E722" s="2550" t="s">
        <v>7215</v>
      </c>
      <c r="F722" s="2551">
        <v>103</v>
      </c>
      <c r="G722" s="2552">
        <v>-1524494.95</v>
      </c>
      <c r="H722" s="2552">
        <v>0</v>
      </c>
      <c r="J722" s="2551">
        <v>10</v>
      </c>
      <c r="K722" s="2553" t="s">
        <v>7292</v>
      </c>
      <c r="L722" s="2551" t="e">
        <f t="shared" si="11"/>
        <v>#N/A</v>
      </c>
      <c r="W722" s="2979"/>
    </row>
    <row r="723" spans="1:23" hidden="1">
      <c r="A723" s="2551">
        <v>1424684</v>
      </c>
      <c r="B723" s="2551" t="s">
        <v>7583</v>
      </c>
      <c r="C723" s="2551">
        <v>10</v>
      </c>
      <c r="D723" s="2551" t="s">
        <v>7367</v>
      </c>
      <c r="E723" s="2550" t="s">
        <v>7215</v>
      </c>
      <c r="F723" s="2551">
        <v>103</v>
      </c>
      <c r="G723" s="2552">
        <v>-30</v>
      </c>
      <c r="H723" s="2552">
        <v>0</v>
      </c>
      <c r="J723" s="2551">
        <v>10</v>
      </c>
      <c r="K723" s="2553" t="s">
        <v>7292</v>
      </c>
      <c r="L723" s="2551" t="e">
        <f t="shared" si="11"/>
        <v>#N/A</v>
      </c>
      <c r="W723" s="2979"/>
    </row>
    <row r="724" spans="1:23" hidden="1">
      <c r="A724" s="2551">
        <v>1424685</v>
      </c>
      <c r="B724" s="2551" t="s">
        <v>7584</v>
      </c>
      <c r="C724" s="2551">
        <v>10</v>
      </c>
      <c r="D724" s="2551" t="s">
        <v>7367</v>
      </c>
      <c r="E724" s="2550" t="s">
        <v>7215</v>
      </c>
      <c r="F724" s="2551">
        <v>103</v>
      </c>
      <c r="G724" s="2552">
        <v>-30</v>
      </c>
      <c r="H724" s="2552">
        <v>0</v>
      </c>
      <c r="J724" s="2551">
        <v>10</v>
      </c>
      <c r="K724" s="2553" t="s">
        <v>7292</v>
      </c>
      <c r="L724" s="2551" t="e">
        <f t="shared" si="11"/>
        <v>#N/A</v>
      </c>
      <c r="W724" s="2979"/>
    </row>
    <row r="725" spans="1:23" hidden="1">
      <c r="A725" s="2551">
        <v>1424687</v>
      </c>
      <c r="B725" s="2551" t="s">
        <v>7585</v>
      </c>
      <c r="C725" s="2551">
        <v>10</v>
      </c>
      <c r="D725" s="2551" t="s">
        <v>7367</v>
      </c>
      <c r="E725" s="2550" t="s">
        <v>7215</v>
      </c>
      <c r="F725" s="2551">
        <v>103</v>
      </c>
      <c r="G725" s="2552">
        <v>-2050807</v>
      </c>
      <c r="H725" s="2552">
        <v>0</v>
      </c>
      <c r="J725" s="2551">
        <v>10</v>
      </c>
      <c r="K725" s="2553" t="s">
        <v>7292</v>
      </c>
      <c r="L725" s="2551" t="e">
        <f t="shared" si="11"/>
        <v>#N/A</v>
      </c>
      <c r="W725" s="2979"/>
    </row>
    <row r="726" spans="1:23" hidden="1">
      <c r="A726" s="2551">
        <v>1424690</v>
      </c>
      <c r="B726" s="2551" t="s">
        <v>6666</v>
      </c>
      <c r="C726" s="2551">
        <v>10</v>
      </c>
      <c r="D726" s="2551" t="s">
        <v>7367</v>
      </c>
      <c r="E726" s="2550" t="s">
        <v>7215</v>
      </c>
      <c r="F726" s="2551">
        <v>103</v>
      </c>
      <c r="G726" s="2552">
        <v>-4982.21</v>
      </c>
      <c r="H726" s="2552">
        <v>0</v>
      </c>
      <c r="J726" s="2551">
        <v>10</v>
      </c>
      <c r="K726" s="2553" t="s">
        <v>7292</v>
      </c>
      <c r="L726" s="2551" t="e">
        <f t="shared" si="11"/>
        <v>#N/A</v>
      </c>
      <c r="W726" s="2979"/>
    </row>
    <row r="727" spans="1:23" hidden="1">
      <c r="A727" s="2551">
        <v>1424691</v>
      </c>
      <c r="B727" s="2551" t="s">
        <v>7586</v>
      </c>
      <c r="C727" s="2551">
        <v>10</v>
      </c>
      <c r="D727" s="2551" t="s">
        <v>7367</v>
      </c>
      <c r="E727" s="2550" t="s">
        <v>7215</v>
      </c>
      <c r="F727" s="2551">
        <v>103</v>
      </c>
      <c r="G727" s="2552">
        <v>-769.24</v>
      </c>
      <c r="H727" s="2552">
        <v>0</v>
      </c>
      <c r="J727" s="2551">
        <v>10</v>
      </c>
      <c r="K727" s="2553" t="s">
        <v>7292</v>
      </c>
      <c r="L727" s="2551" t="e">
        <f t="shared" si="11"/>
        <v>#N/A</v>
      </c>
      <c r="W727" s="2979"/>
    </row>
    <row r="728" spans="1:23" hidden="1">
      <c r="A728" s="2551">
        <v>1424698</v>
      </c>
      <c r="B728" s="2551" t="s">
        <v>7587</v>
      </c>
      <c r="C728" s="2551">
        <v>10</v>
      </c>
      <c r="D728" s="2551" t="s">
        <v>7367</v>
      </c>
      <c r="E728" s="2550" t="s">
        <v>7215</v>
      </c>
      <c r="F728" s="2551">
        <v>103</v>
      </c>
      <c r="G728" s="2552">
        <v>-850000000</v>
      </c>
      <c r="H728" s="2552">
        <v>0</v>
      </c>
      <c r="J728" s="2551">
        <v>10</v>
      </c>
      <c r="K728" s="2553" t="s">
        <v>7292</v>
      </c>
      <c r="L728" s="2551" t="e">
        <f t="shared" si="11"/>
        <v>#N/A</v>
      </c>
      <c r="W728" s="2979"/>
    </row>
    <row r="729" spans="1:23" hidden="1">
      <c r="A729" s="2551">
        <v>1424700</v>
      </c>
      <c r="B729" s="2551" t="s">
        <v>7588</v>
      </c>
      <c r="C729" s="2551">
        <v>10</v>
      </c>
      <c r="D729" s="2551" t="s">
        <v>7367</v>
      </c>
      <c r="E729" s="2550" t="s">
        <v>7215</v>
      </c>
      <c r="F729" s="2551">
        <v>103</v>
      </c>
      <c r="G729" s="2552">
        <v>10400000</v>
      </c>
      <c r="H729" s="2552">
        <v>0</v>
      </c>
      <c r="J729" s="2551">
        <v>10</v>
      </c>
      <c r="K729" s="2553" t="s">
        <v>7292</v>
      </c>
      <c r="L729" s="2551" t="e">
        <f t="shared" si="11"/>
        <v>#N/A</v>
      </c>
      <c r="W729" s="2979"/>
    </row>
    <row r="730" spans="1:23" hidden="1">
      <c r="A730" s="2551">
        <v>1424701</v>
      </c>
      <c r="B730" s="2551" t="s">
        <v>7589</v>
      </c>
      <c r="C730" s="2551">
        <v>10</v>
      </c>
      <c r="D730" s="2551" t="s">
        <v>7367</v>
      </c>
      <c r="E730" s="2550" t="s">
        <v>7215</v>
      </c>
      <c r="F730" s="2551">
        <v>103</v>
      </c>
      <c r="G730" s="2552">
        <v>98257985</v>
      </c>
      <c r="H730" s="2552">
        <v>0</v>
      </c>
      <c r="J730" s="2551">
        <v>10</v>
      </c>
      <c r="K730" s="2553" t="s">
        <v>7292</v>
      </c>
      <c r="L730" s="2551" t="e">
        <f t="shared" si="11"/>
        <v>#N/A</v>
      </c>
      <c r="W730" s="2979"/>
    </row>
    <row r="731" spans="1:23" hidden="1">
      <c r="A731" s="2551">
        <v>1424702</v>
      </c>
      <c r="B731" s="2551" t="s">
        <v>7590</v>
      </c>
      <c r="C731" s="2551">
        <v>10</v>
      </c>
      <c r="D731" s="2551" t="s">
        <v>7367</v>
      </c>
      <c r="E731" s="2550" t="s">
        <v>7215</v>
      </c>
      <c r="F731" s="2551">
        <v>103</v>
      </c>
      <c r="G731" s="2552">
        <v>244800000</v>
      </c>
      <c r="H731" s="2552">
        <v>0</v>
      </c>
      <c r="J731" s="2551">
        <v>10</v>
      </c>
      <c r="K731" s="2553" t="s">
        <v>7292</v>
      </c>
      <c r="L731" s="2551" t="e">
        <f t="shared" si="11"/>
        <v>#N/A</v>
      </c>
      <c r="W731" s="2979"/>
    </row>
    <row r="732" spans="1:23" hidden="1">
      <c r="A732" s="2551">
        <v>1024110</v>
      </c>
      <c r="B732" s="2551" t="s">
        <v>5717</v>
      </c>
      <c r="C732" s="2551">
        <v>10</v>
      </c>
      <c r="D732" s="2551" t="s">
        <v>5716</v>
      </c>
      <c r="E732" s="2550" t="s">
        <v>7215</v>
      </c>
      <c r="F732" s="2551">
        <v>101</v>
      </c>
      <c r="G732" s="2552">
        <v>5252.4</v>
      </c>
      <c r="H732" s="2552">
        <v>688316.64</v>
      </c>
      <c r="J732" s="2551">
        <v>10</v>
      </c>
      <c r="K732" s="2553" t="s">
        <v>7292</v>
      </c>
      <c r="L732" s="2551" t="e">
        <f t="shared" si="11"/>
        <v>#N/A</v>
      </c>
      <c r="W732" s="2979"/>
    </row>
    <row r="733" spans="1:23" hidden="1">
      <c r="A733" s="2551">
        <v>1024111</v>
      </c>
      <c r="B733" s="2551" t="s">
        <v>5718</v>
      </c>
      <c r="C733" s="2551">
        <v>10</v>
      </c>
      <c r="D733" s="2551" t="s">
        <v>5716</v>
      </c>
      <c r="E733" s="2550" t="s">
        <v>7215</v>
      </c>
      <c r="F733" s="2551">
        <v>101</v>
      </c>
      <c r="G733" s="2552">
        <v>209997330.37</v>
      </c>
      <c r="H733" s="2552">
        <v>150807008.83000001</v>
      </c>
      <c r="J733" s="2551">
        <v>10</v>
      </c>
      <c r="K733" s="2553" t="s">
        <v>7292</v>
      </c>
      <c r="L733" s="2551" t="e">
        <f t="shared" si="11"/>
        <v>#N/A</v>
      </c>
      <c r="W733" s="2979"/>
    </row>
    <row r="734" spans="1:23" hidden="1">
      <c r="A734" s="2551">
        <v>1024112</v>
      </c>
      <c r="B734" s="2551" t="s">
        <v>5719</v>
      </c>
      <c r="C734" s="2551">
        <v>10</v>
      </c>
      <c r="D734" s="2551" t="s">
        <v>5716</v>
      </c>
      <c r="E734" s="2550" t="s">
        <v>7215</v>
      </c>
      <c r="F734" s="2551">
        <v>101</v>
      </c>
      <c r="G734" s="2552">
        <v>282828.45</v>
      </c>
      <c r="H734" s="2552">
        <v>1676.45</v>
      </c>
      <c r="J734" s="2551">
        <v>10</v>
      </c>
      <c r="K734" s="2553" t="s">
        <v>7292</v>
      </c>
      <c r="L734" s="2551" t="e">
        <f t="shared" si="11"/>
        <v>#N/A</v>
      </c>
      <c r="W734" s="2979"/>
    </row>
    <row r="735" spans="1:23" hidden="1">
      <c r="A735" s="2551">
        <v>1024113</v>
      </c>
      <c r="B735" s="2551" t="s">
        <v>7591</v>
      </c>
      <c r="C735" s="2551">
        <v>10</v>
      </c>
      <c r="D735" s="2551" t="s">
        <v>5716</v>
      </c>
      <c r="E735" s="2550" t="s">
        <v>7215</v>
      </c>
      <c r="F735" s="2551">
        <v>101</v>
      </c>
      <c r="G735" s="2552">
        <v>4479.79</v>
      </c>
      <c r="H735" s="2552">
        <v>4479.79</v>
      </c>
      <c r="J735" s="2551">
        <v>10</v>
      </c>
      <c r="K735" s="2553" t="s">
        <v>7292</v>
      </c>
      <c r="L735" s="2551" t="e">
        <f t="shared" si="11"/>
        <v>#N/A</v>
      </c>
      <c r="W735" s="2979"/>
    </row>
    <row r="736" spans="1:23" hidden="1">
      <c r="A736" s="2551">
        <v>1024120</v>
      </c>
      <c r="B736" s="2551" t="s">
        <v>2784</v>
      </c>
      <c r="C736" s="2551">
        <v>10</v>
      </c>
      <c r="D736" s="2551" t="s">
        <v>5716</v>
      </c>
      <c r="E736" s="2550" t="s">
        <v>7215</v>
      </c>
      <c r="F736" s="2551">
        <v>102</v>
      </c>
      <c r="G736" s="2552">
        <v>40483.800000000003</v>
      </c>
      <c r="H736" s="2552">
        <v>-685.2</v>
      </c>
      <c r="J736" s="2551">
        <v>10</v>
      </c>
      <c r="K736" s="2553" t="s">
        <v>7292</v>
      </c>
      <c r="L736" s="2551" t="e">
        <f t="shared" si="11"/>
        <v>#N/A</v>
      </c>
      <c r="W736" s="2979"/>
    </row>
    <row r="737" spans="1:23" hidden="1">
      <c r="A737" s="2551">
        <v>1024121</v>
      </c>
      <c r="B737" s="2551" t="s">
        <v>6811</v>
      </c>
      <c r="C737" s="2551">
        <v>10</v>
      </c>
      <c r="D737" s="2551" t="s">
        <v>5716</v>
      </c>
      <c r="E737" s="2550" t="s">
        <v>7215</v>
      </c>
      <c r="F737" s="2551">
        <v>102</v>
      </c>
      <c r="G737" s="2552">
        <v>3508</v>
      </c>
      <c r="H737" s="2552">
        <v>3508</v>
      </c>
      <c r="J737" s="2551">
        <v>10</v>
      </c>
      <c r="K737" s="2553" t="s">
        <v>7292</v>
      </c>
      <c r="L737" s="2551" t="e">
        <f t="shared" si="11"/>
        <v>#N/A</v>
      </c>
      <c r="W737" s="2979"/>
    </row>
    <row r="738" spans="1:23" hidden="1">
      <c r="A738" s="2551">
        <v>1024125</v>
      </c>
      <c r="B738" s="2551" t="s">
        <v>7592</v>
      </c>
      <c r="C738" s="2551">
        <v>10</v>
      </c>
      <c r="D738" s="2551" t="s">
        <v>5716</v>
      </c>
      <c r="E738" s="2550" t="s">
        <v>7215</v>
      </c>
      <c r="F738" s="2551">
        <v>101</v>
      </c>
      <c r="G738" s="2552">
        <v>485.76</v>
      </c>
      <c r="H738" s="2552">
        <v>106.95</v>
      </c>
      <c r="J738" s="2551">
        <v>10</v>
      </c>
      <c r="K738" s="2553" t="s">
        <v>7292</v>
      </c>
      <c r="L738" s="2551" t="e">
        <f t="shared" si="11"/>
        <v>#N/A</v>
      </c>
      <c r="W738" s="2979"/>
    </row>
    <row r="739" spans="1:23" hidden="1">
      <c r="A739" s="2551">
        <v>1024191</v>
      </c>
      <c r="B739" s="2551" t="s">
        <v>2788</v>
      </c>
      <c r="C739" s="2551">
        <v>10</v>
      </c>
      <c r="D739" s="2551" t="s">
        <v>5716</v>
      </c>
      <c r="E739" s="2550" t="s">
        <v>7215</v>
      </c>
      <c r="F739" s="2551">
        <v>101</v>
      </c>
      <c r="G739" s="2567">
        <v>11481204.800000001</v>
      </c>
      <c r="H739" s="2559">
        <v>11481204.800000001</v>
      </c>
      <c r="J739" s="2551">
        <v>6</v>
      </c>
      <c r="K739" s="2553" t="s">
        <v>7278</v>
      </c>
      <c r="L739" s="2551" t="e">
        <f t="shared" si="11"/>
        <v>#N/A</v>
      </c>
      <c r="W739" s="2979"/>
    </row>
    <row r="740" spans="1:23" hidden="1">
      <c r="A740" s="2551">
        <v>1024192</v>
      </c>
      <c r="B740" s="2551" t="s">
        <v>5721</v>
      </c>
      <c r="C740" s="2551">
        <v>10</v>
      </c>
      <c r="D740" s="2551" t="s">
        <v>5716</v>
      </c>
      <c r="E740" s="2550" t="s">
        <v>7215</v>
      </c>
      <c r="F740" s="2551">
        <v>101</v>
      </c>
      <c r="G740" s="2567">
        <v>-2081849.84</v>
      </c>
      <c r="H740" s="2559">
        <v>-2081849.84</v>
      </c>
      <c r="J740" s="2551">
        <v>6</v>
      </c>
      <c r="K740" s="2553" t="s">
        <v>7278</v>
      </c>
      <c r="L740" s="2551" t="e">
        <f t="shared" si="11"/>
        <v>#N/A</v>
      </c>
      <c r="W740" s="2979"/>
    </row>
    <row r="741" spans="1:23" hidden="1">
      <c r="A741" s="2551">
        <v>1024193</v>
      </c>
      <c r="B741" s="2551" t="s">
        <v>5722</v>
      </c>
      <c r="C741" s="2551">
        <v>10</v>
      </c>
      <c r="D741" s="2551" t="s">
        <v>5716</v>
      </c>
      <c r="E741" s="2550" t="s">
        <v>7215</v>
      </c>
      <c r="F741" s="2551">
        <v>101</v>
      </c>
      <c r="G741" s="2567">
        <v>-316079.62</v>
      </c>
      <c r="H741" s="2559">
        <v>-316079.62</v>
      </c>
      <c r="J741" s="2551">
        <v>6</v>
      </c>
      <c r="K741" s="2553" t="s">
        <v>7278</v>
      </c>
      <c r="L741" s="2551" t="e">
        <f t="shared" si="11"/>
        <v>#N/A</v>
      </c>
      <c r="W741" s="2979"/>
    </row>
    <row r="742" spans="1:23" hidden="1">
      <c r="A742" s="2551">
        <v>1024501</v>
      </c>
      <c r="B742" s="2551" t="s">
        <v>5728</v>
      </c>
      <c r="C742" s="2551">
        <v>10</v>
      </c>
      <c r="D742" s="2551" t="s">
        <v>1698</v>
      </c>
      <c r="E742" s="2550" t="s">
        <v>7215</v>
      </c>
      <c r="F742" s="2551">
        <v>105</v>
      </c>
      <c r="G742" s="2567">
        <v>-2419240.2200000002</v>
      </c>
      <c r="H742" s="2559">
        <v>1237020.78</v>
      </c>
      <c r="J742" s="2551">
        <v>6</v>
      </c>
      <c r="K742" s="2553" t="s">
        <v>7278</v>
      </c>
      <c r="L742" s="2551" t="e">
        <f t="shared" si="11"/>
        <v>#N/A</v>
      </c>
      <c r="W742" s="2979"/>
    </row>
    <row r="743" spans="1:23" hidden="1">
      <c r="A743" s="2551">
        <v>1024601</v>
      </c>
      <c r="B743" s="2551" t="s">
        <v>5729</v>
      </c>
      <c r="C743" s="2551">
        <v>10</v>
      </c>
      <c r="D743" s="2551" t="s">
        <v>1698</v>
      </c>
      <c r="E743" s="2550" t="s">
        <v>7215</v>
      </c>
      <c r="F743" s="2551">
        <v>105</v>
      </c>
      <c r="G743" s="2567">
        <v>4100267</v>
      </c>
      <c r="H743" s="2559">
        <v>3985919</v>
      </c>
      <c r="J743" s="2551">
        <v>6</v>
      </c>
      <c r="K743" s="2553" t="s">
        <v>7278</v>
      </c>
      <c r="L743" s="2551" t="e">
        <f t="shared" si="11"/>
        <v>#N/A</v>
      </c>
      <c r="W743" s="2979"/>
    </row>
    <row r="744" spans="1:23" hidden="1">
      <c r="A744" s="2551">
        <v>1024701</v>
      </c>
      <c r="B744" s="2551" t="s">
        <v>7593</v>
      </c>
      <c r="C744" s="2551">
        <v>10</v>
      </c>
      <c r="D744" s="2551" t="s">
        <v>7594</v>
      </c>
      <c r="E744" s="2550" t="s">
        <v>7215</v>
      </c>
      <c r="F744" s="2551">
        <v>104</v>
      </c>
      <c r="G744" s="2552">
        <f>2680952734-G745</f>
        <v>2390952734</v>
      </c>
      <c r="H744" s="2552">
        <f>2351755392-H745</f>
        <v>1937827011</v>
      </c>
      <c r="J744" s="2551">
        <v>10</v>
      </c>
      <c r="K744" s="2553" t="s">
        <v>7292</v>
      </c>
      <c r="L744" s="2551" t="e">
        <f t="shared" si="11"/>
        <v>#N/A</v>
      </c>
      <c r="W744" s="2979"/>
    </row>
    <row r="745" spans="1:23" hidden="1">
      <c r="A745" s="2551">
        <v>1024701</v>
      </c>
      <c r="B745" s="2551" t="s">
        <v>7593</v>
      </c>
      <c r="C745" s="2551">
        <v>10</v>
      </c>
      <c r="D745" s="2551" t="s">
        <v>7594</v>
      </c>
      <c r="E745" s="2550" t="s">
        <v>7215</v>
      </c>
      <c r="F745" s="2551">
        <v>104</v>
      </c>
      <c r="G745" s="2552">
        <v>290000000</v>
      </c>
      <c r="H745" s="2552">
        <v>413928381</v>
      </c>
      <c r="J745" s="2551">
        <v>6</v>
      </c>
      <c r="K745" s="2553" t="s">
        <v>7278</v>
      </c>
      <c r="L745" s="2551" t="e">
        <f t="shared" si="11"/>
        <v>#N/A</v>
      </c>
      <c r="W745" s="2979"/>
    </row>
    <row r="746" spans="1:23" hidden="1">
      <c r="A746" s="2551">
        <v>1024706</v>
      </c>
      <c r="B746" s="2551" t="s">
        <v>7595</v>
      </c>
      <c r="C746" s="2551">
        <v>10</v>
      </c>
      <c r="D746" s="2551" t="s">
        <v>7594</v>
      </c>
      <c r="E746" s="2550" t="s">
        <v>7215</v>
      </c>
      <c r="F746" s="2551">
        <v>104</v>
      </c>
      <c r="G746" s="2552">
        <v>2100000</v>
      </c>
      <c r="H746" s="2552">
        <v>0</v>
      </c>
      <c r="J746" s="2551">
        <v>10</v>
      </c>
      <c r="K746" s="2553" t="s">
        <v>7292</v>
      </c>
      <c r="L746" s="2551" t="e">
        <f t="shared" si="11"/>
        <v>#N/A</v>
      </c>
      <c r="W746" s="2979"/>
    </row>
    <row r="747" spans="1:23" hidden="1">
      <c r="A747" s="2551">
        <v>1024707</v>
      </c>
      <c r="B747" s="2551" t="s">
        <v>7596</v>
      </c>
      <c r="C747" s="2551">
        <v>10</v>
      </c>
      <c r="D747" s="2551" t="s">
        <v>7594</v>
      </c>
      <c r="E747" s="2550" t="s">
        <v>7215</v>
      </c>
      <c r="F747" s="2551">
        <v>104</v>
      </c>
      <c r="G747" s="2552">
        <v>653737092.88999999</v>
      </c>
      <c r="H747" s="2552">
        <v>716353723.88999999</v>
      </c>
      <c r="J747" s="2551">
        <v>10</v>
      </c>
      <c r="K747" s="2553" t="s">
        <v>7292</v>
      </c>
      <c r="L747" s="2551" t="e">
        <f t="shared" si="11"/>
        <v>#N/A</v>
      </c>
      <c r="W747" s="2979"/>
    </row>
    <row r="748" spans="1:23" hidden="1">
      <c r="A748" s="2551">
        <v>1028254</v>
      </c>
      <c r="B748" s="2551" t="s">
        <v>5778</v>
      </c>
      <c r="C748" s="2551">
        <v>11</v>
      </c>
      <c r="D748" s="2551" t="s">
        <v>4017</v>
      </c>
      <c r="E748" s="2550" t="s">
        <v>7215</v>
      </c>
      <c r="F748" s="2551">
        <v>114</v>
      </c>
      <c r="G748" s="2551">
        <v>18</v>
      </c>
      <c r="H748" s="2551">
        <v>18</v>
      </c>
      <c r="J748" s="2551">
        <v>11</v>
      </c>
      <c r="K748" s="2553" t="s">
        <v>7278</v>
      </c>
      <c r="L748" s="2551" t="e">
        <f t="shared" si="11"/>
        <v>#N/A</v>
      </c>
      <c r="W748" s="2979"/>
    </row>
    <row r="749" spans="1:23" hidden="1">
      <c r="A749" s="2551">
        <v>1028328</v>
      </c>
      <c r="B749" s="2551" t="s">
        <v>7597</v>
      </c>
      <c r="C749" s="2551">
        <v>11</v>
      </c>
      <c r="D749" s="2551" t="s">
        <v>4017</v>
      </c>
      <c r="E749" s="2550" t="s">
        <v>7215</v>
      </c>
      <c r="F749" s="2551">
        <v>114</v>
      </c>
      <c r="G749" s="2559">
        <v>41338889.399999999</v>
      </c>
      <c r="H749" s="2559">
        <v>62239134.399999999</v>
      </c>
      <c r="J749" s="2551">
        <v>11</v>
      </c>
      <c r="K749" s="2553" t="s">
        <v>7278</v>
      </c>
      <c r="L749" s="2551" t="e">
        <f t="shared" si="11"/>
        <v>#N/A</v>
      </c>
      <c r="W749" s="2979"/>
    </row>
    <row r="750" spans="1:23" hidden="1">
      <c r="A750" s="2551">
        <v>1028805</v>
      </c>
      <c r="B750" s="2551" t="s">
        <v>5787</v>
      </c>
      <c r="C750" s="2551">
        <v>11</v>
      </c>
      <c r="D750" s="2551" t="s">
        <v>7290</v>
      </c>
      <c r="E750" s="2550" t="s">
        <v>7215</v>
      </c>
      <c r="F750" s="2551">
        <v>110</v>
      </c>
      <c r="G750" s="2559">
        <v>359192</v>
      </c>
      <c r="H750" s="2559">
        <v>359192</v>
      </c>
      <c r="J750" s="2551">
        <v>11</v>
      </c>
      <c r="K750" s="2553" t="s">
        <v>7278</v>
      </c>
      <c r="L750" s="2551" t="e">
        <f t="shared" si="11"/>
        <v>#N/A</v>
      </c>
      <c r="W750" s="2979"/>
    </row>
    <row r="751" spans="1:23" hidden="1">
      <c r="A751" s="2551">
        <v>1028828</v>
      </c>
      <c r="B751" s="2551" t="s">
        <v>7598</v>
      </c>
      <c r="C751" s="2551">
        <v>11</v>
      </c>
      <c r="D751" s="2551" t="s">
        <v>7288</v>
      </c>
      <c r="E751" s="2550" t="s">
        <v>7215</v>
      </c>
      <c r="F751" s="2551">
        <v>115</v>
      </c>
      <c r="G751" s="2559">
        <v>41652272.420000002</v>
      </c>
      <c r="H751" s="2559">
        <v>41652272.420000002</v>
      </c>
      <c r="J751" s="2551">
        <v>6</v>
      </c>
      <c r="K751" s="2553" t="s">
        <v>7278</v>
      </c>
      <c r="L751" s="2551" t="e">
        <f t="shared" si="11"/>
        <v>#N/A</v>
      </c>
      <c r="W751" s="2979"/>
    </row>
    <row r="752" spans="1:23" hidden="1">
      <c r="A752" s="2551">
        <v>1028829</v>
      </c>
      <c r="B752" s="2551" t="s">
        <v>7599</v>
      </c>
      <c r="C752" s="2551">
        <v>11</v>
      </c>
      <c r="D752" s="2551" t="s">
        <v>7290</v>
      </c>
      <c r="E752" s="2550" t="s">
        <v>7215</v>
      </c>
      <c r="F752" s="2551">
        <v>110</v>
      </c>
      <c r="G752" s="2559">
        <v>2132561.37</v>
      </c>
      <c r="H752" s="2559">
        <v>2132561.37</v>
      </c>
      <c r="J752" s="2551">
        <v>6</v>
      </c>
      <c r="K752" s="2553" t="s">
        <v>7278</v>
      </c>
      <c r="L752" s="2551" t="e">
        <f t="shared" si="11"/>
        <v>#N/A</v>
      </c>
      <c r="W752" s="2979"/>
    </row>
    <row r="753" spans="1:23" hidden="1">
      <c r="A753" s="2551">
        <v>1028833</v>
      </c>
      <c r="B753" s="2551" t="s">
        <v>5798</v>
      </c>
      <c r="C753" s="2551">
        <v>11</v>
      </c>
      <c r="D753" s="2551" t="s">
        <v>5522</v>
      </c>
      <c r="E753" s="2550" t="s">
        <v>7215</v>
      </c>
      <c r="F753" s="2551">
        <v>111</v>
      </c>
      <c r="G753" s="2559">
        <v>22383400.23</v>
      </c>
      <c r="H753" s="2559">
        <v>22383400.23</v>
      </c>
      <c r="J753" s="2551">
        <v>11</v>
      </c>
      <c r="K753" s="2553" t="s">
        <v>7278</v>
      </c>
      <c r="L753" s="2551" t="e">
        <f t="shared" si="11"/>
        <v>#N/A</v>
      </c>
      <c r="W753" s="2979"/>
    </row>
    <row r="754" spans="1:23" hidden="1">
      <c r="A754" s="2551">
        <v>1028834</v>
      </c>
      <c r="B754" s="2551" t="s">
        <v>5799</v>
      </c>
      <c r="C754" s="2551">
        <v>11</v>
      </c>
      <c r="D754" s="2551" t="s">
        <v>5522</v>
      </c>
      <c r="E754" s="2550" t="s">
        <v>7215</v>
      </c>
      <c r="F754" s="2551">
        <v>111</v>
      </c>
      <c r="G754" s="2551">
        <v>0.17</v>
      </c>
      <c r="H754" s="2559">
        <v>1594340.17</v>
      </c>
      <c r="J754" s="2551">
        <v>11</v>
      </c>
      <c r="K754" s="2553" t="s">
        <v>7278</v>
      </c>
      <c r="L754" s="2551" t="e">
        <f t="shared" si="11"/>
        <v>#N/A</v>
      </c>
      <c r="W754" s="2979"/>
    </row>
    <row r="755" spans="1:23" hidden="1">
      <c r="A755" s="2551">
        <v>1028835</v>
      </c>
      <c r="B755" s="2551" t="s">
        <v>5800</v>
      </c>
      <c r="C755" s="2551">
        <v>11</v>
      </c>
      <c r="D755" s="2551" t="s">
        <v>5522</v>
      </c>
      <c r="E755" s="2550" t="s">
        <v>7215</v>
      </c>
      <c r="F755" s="2551">
        <v>111</v>
      </c>
      <c r="G755" s="2559">
        <v>815559.97</v>
      </c>
      <c r="H755" s="2559">
        <v>815559.97</v>
      </c>
      <c r="J755" s="2551">
        <v>11</v>
      </c>
      <c r="K755" s="2553" t="s">
        <v>7278</v>
      </c>
      <c r="L755" s="2551" t="e">
        <f t="shared" si="11"/>
        <v>#N/A</v>
      </c>
      <c r="W755" s="2979"/>
    </row>
    <row r="756" spans="1:23" hidden="1">
      <c r="A756" s="2551">
        <v>1028836</v>
      </c>
      <c r="B756" s="2551" t="s">
        <v>5801</v>
      </c>
      <c r="C756" s="2551">
        <v>11</v>
      </c>
      <c r="D756" s="2551" t="s">
        <v>5522</v>
      </c>
      <c r="E756" s="2550" t="s">
        <v>7215</v>
      </c>
      <c r="F756" s="2551">
        <v>111</v>
      </c>
      <c r="G756" s="2551">
        <v>0.42</v>
      </c>
      <c r="H756" s="2559">
        <v>2622520.42</v>
      </c>
      <c r="J756" s="2551">
        <v>11</v>
      </c>
      <c r="K756" s="2553" t="s">
        <v>7278</v>
      </c>
      <c r="L756" s="2551" t="e">
        <f t="shared" si="11"/>
        <v>#N/A</v>
      </c>
      <c r="W756" s="2979"/>
    </row>
    <row r="757" spans="1:23" hidden="1">
      <c r="A757" s="2551">
        <v>1028840</v>
      </c>
      <c r="B757" s="2551" t="s">
        <v>5805</v>
      </c>
      <c r="C757" s="2551">
        <v>11</v>
      </c>
      <c r="D757" s="2551" t="s">
        <v>5522</v>
      </c>
      <c r="E757" s="2550" t="s">
        <v>7215</v>
      </c>
      <c r="F757" s="2551">
        <v>111</v>
      </c>
      <c r="G757" s="2551">
        <v>0</v>
      </c>
      <c r="H757" s="2559">
        <v>-7906029.6100000003</v>
      </c>
      <c r="J757" s="2551" t="s">
        <v>7600</v>
      </c>
      <c r="K757" s="2553" t="s">
        <v>5804</v>
      </c>
      <c r="L757" s="2551" t="e">
        <f t="shared" si="11"/>
        <v>#N/A</v>
      </c>
      <c r="W757" s="2979"/>
    </row>
    <row r="758" spans="1:23" hidden="1">
      <c r="A758" s="2551">
        <v>1028841</v>
      </c>
      <c r="B758" s="2551" t="s">
        <v>7601</v>
      </c>
      <c r="C758" s="2551">
        <v>11</v>
      </c>
      <c r="D758" s="2551" t="s">
        <v>5522</v>
      </c>
      <c r="E758" s="2550" t="s">
        <v>7215</v>
      </c>
      <c r="F758" s="2551">
        <v>111</v>
      </c>
      <c r="G758" s="2551">
        <v>0.42</v>
      </c>
      <c r="H758" s="2559">
        <v>969575.42</v>
      </c>
      <c r="J758" s="2551">
        <v>11</v>
      </c>
      <c r="K758" s="2553" t="s">
        <v>7278</v>
      </c>
      <c r="L758" s="2551" t="e">
        <f t="shared" si="11"/>
        <v>#N/A</v>
      </c>
      <c r="W758" s="2979"/>
    </row>
    <row r="759" spans="1:23" hidden="1">
      <c r="A759" s="2551">
        <v>1028864</v>
      </c>
      <c r="B759" s="2551" t="s">
        <v>5807</v>
      </c>
      <c r="C759" s="2551">
        <v>12</v>
      </c>
      <c r="D759" s="2551" t="s">
        <v>7602</v>
      </c>
      <c r="E759" s="2550" t="s">
        <v>7215</v>
      </c>
      <c r="F759" s="2551" t="s">
        <v>7603</v>
      </c>
      <c r="G759" s="2559">
        <v>-127834345.42</v>
      </c>
      <c r="H759" s="2559">
        <v>-214369954.72</v>
      </c>
      <c r="J759" s="2559" t="s">
        <v>7604</v>
      </c>
      <c r="K759" s="2553" t="s">
        <v>7605</v>
      </c>
      <c r="L759" s="2551" t="e">
        <f t="shared" si="11"/>
        <v>#N/A</v>
      </c>
      <c r="W759" s="2979"/>
    </row>
    <row r="760" spans="1:23" hidden="1">
      <c r="A760" s="2551">
        <v>1026501</v>
      </c>
      <c r="B760" s="2551" t="s">
        <v>7606</v>
      </c>
      <c r="C760" s="2551">
        <v>11</v>
      </c>
      <c r="D760" s="2551" t="s">
        <v>7288</v>
      </c>
      <c r="E760" s="2550" t="s">
        <v>7215</v>
      </c>
      <c r="F760" s="2551">
        <v>115</v>
      </c>
      <c r="G760" s="2559">
        <v>858146</v>
      </c>
      <c r="H760" s="2559">
        <v>864103</v>
      </c>
      <c r="J760" s="2551">
        <v>11</v>
      </c>
      <c r="K760" s="2553" t="s">
        <v>7278</v>
      </c>
      <c r="L760" s="2551" t="e">
        <f t="shared" si="11"/>
        <v>#N/A</v>
      </c>
      <c r="W760" s="2979"/>
    </row>
    <row r="761" spans="1:23" hidden="1">
      <c r="A761" s="2551">
        <v>1026502</v>
      </c>
      <c r="B761" s="2551" t="s">
        <v>7607</v>
      </c>
      <c r="C761" s="2551">
        <v>11</v>
      </c>
      <c r="D761" s="2551" t="s">
        <v>7288</v>
      </c>
      <c r="E761" s="2550" t="s">
        <v>7215</v>
      </c>
      <c r="F761" s="2551">
        <v>115</v>
      </c>
      <c r="G761" s="2559">
        <v>136621</v>
      </c>
      <c r="H761" s="2559">
        <v>136621</v>
      </c>
      <c r="J761" s="2551">
        <v>12</v>
      </c>
      <c r="K761" s="2553" t="s">
        <v>7267</v>
      </c>
      <c r="L761" s="2551" t="e">
        <f t="shared" si="11"/>
        <v>#N/A</v>
      </c>
      <c r="W761" s="2979"/>
    </row>
    <row r="762" spans="1:23" hidden="1">
      <c r="A762" s="2551">
        <v>1026503</v>
      </c>
      <c r="B762" s="2551" t="s">
        <v>2832</v>
      </c>
      <c r="C762" s="2551">
        <v>11</v>
      </c>
      <c r="D762" s="2551" t="s">
        <v>7288</v>
      </c>
      <c r="E762" s="2550" t="s">
        <v>7215</v>
      </c>
      <c r="F762" s="2551">
        <v>115</v>
      </c>
      <c r="G762" s="2559">
        <v>1576576.75</v>
      </c>
      <c r="H762" s="2559">
        <v>1568076.75</v>
      </c>
      <c r="J762" s="2551">
        <v>12</v>
      </c>
      <c r="K762" s="2553" t="s">
        <v>7267</v>
      </c>
      <c r="L762" s="2551" t="e">
        <f t="shared" si="11"/>
        <v>#N/A</v>
      </c>
      <c r="W762" s="2979"/>
    </row>
    <row r="763" spans="1:23" hidden="1">
      <c r="A763" s="2551">
        <v>1026504</v>
      </c>
      <c r="B763" s="2551" t="s">
        <v>2833</v>
      </c>
      <c r="C763" s="2551">
        <v>11</v>
      </c>
      <c r="D763" s="2551" t="s">
        <v>7288</v>
      </c>
      <c r="E763" s="2550" t="s">
        <v>7215</v>
      </c>
      <c r="F763" s="2551">
        <v>115</v>
      </c>
      <c r="G763" s="2559">
        <v>2691406</v>
      </c>
      <c r="H763" s="2559">
        <v>-3512479</v>
      </c>
      <c r="J763" s="2551">
        <v>12</v>
      </c>
      <c r="K763" s="2553" t="s">
        <v>7267</v>
      </c>
      <c r="L763" s="2551" t="e">
        <f t="shared" si="11"/>
        <v>#N/A</v>
      </c>
      <c r="W763" s="2979"/>
    </row>
    <row r="764" spans="1:23" hidden="1">
      <c r="A764" s="2551">
        <v>1026508</v>
      </c>
      <c r="B764" s="2551" t="s">
        <v>5741</v>
      </c>
      <c r="C764" s="2551">
        <v>11</v>
      </c>
      <c r="D764" s="2551" t="s">
        <v>7288</v>
      </c>
      <c r="E764" s="2550" t="s">
        <v>7215</v>
      </c>
      <c r="F764" s="2551">
        <v>115</v>
      </c>
      <c r="G764" s="2559">
        <v>523158</v>
      </c>
      <c r="H764" s="2559">
        <v>523158</v>
      </c>
      <c r="J764" s="2551">
        <v>12</v>
      </c>
      <c r="K764" s="2553" t="s">
        <v>7267</v>
      </c>
      <c r="L764" s="2551" t="e">
        <f t="shared" si="11"/>
        <v>#N/A</v>
      </c>
      <c r="W764" s="2979"/>
    </row>
    <row r="765" spans="1:23" hidden="1">
      <c r="A765" s="2551">
        <v>1026509</v>
      </c>
      <c r="B765" s="2551" t="s">
        <v>7608</v>
      </c>
      <c r="C765" s="2551">
        <v>11</v>
      </c>
      <c r="D765" s="2551" t="s">
        <v>7288</v>
      </c>
      <c r="E765" s="2550" t="s">
        <v>7215</v>
      </c>
      <c r="F765" s="2551">
        <v>115</v>
      </c>
      <c r="G765" s="2559">
        <v>680156</v>
      </c>
      <c r="H765" s="2559">
        <v>680156</v>
      </c>
      <c r="J765" s="2551">
        <v>12</v>
      </c>
      <c r="K765" s="2553" t="s">
        <v>7267</v>
      </c>
      <c r="L765" s="2551" t="e">
        <f t="shared" si="11"/>
        <v>#N/A</v>
      </c>
      <c r="W765" s="2979"/>
    </row>
    <row r="766" spans="1:23" hidden="1">
      <c r="A766" s="2551">
        <v>1026601</v>
      </c>
      <c r="B766" s="2551" t="s">
        <v>7268</v>
      </c>
      <c r="C766" s="2551">
        <v>11</v>
      </c>
      <c r="D766" s="2551" t="s">
        <v>7288</v>
      </c>
      <c r="E766" s="2550" t="s">
        <v>7215</v>
      </c>
      <c r="F766" s="2551">
        <v>115</v>
      </c>
      <c r="G766" s="2559">
        <v>8186241.7999999998</v>
      </c>
      <c r="H766" s="2559">
        <v>5246218.8</v>
      </c>
      <c r="J766" s="2551">
        <v>12</v>
      </c>
      <c r="K766" s="2553" t="s">
        <v>7267</v>
      </c>
      <c r="L766" s="2551" t="e">
        <f t="shared" si="11"/>
        <v>#N/A</v>
      </c>
      <c r="W766" s="2979"/>
    </row>
    <row r="767" spans="1:23" hidden="1">
      <c r="A767" s="2551">
        <v>1027310</v>
      </c>
      <c r="B767" s="2551" t="s">
        <v>5751</v>
      </c>
      <c r="C767" s="2551">
        <v>11</v>
      </c>
      <c r="D767" s="2551" t="s">
        <v>7288</v>
      </c>
      <c r="E767" s="2550" t="s">
        <v>7215</v>
      </c>
      <c r="F767" s="2551">
        <v>115</v>
      </c>
      <c r="G767" s="2559">
        <v>45000</v>
      </c>
      <c r="H767" s="2559">
        <v>45000</v>
      </c>
      <c r="J767" s="2551">
        <v>11</v>
      </c>
      <c r="K767" s="2553" t="s">
        <v>7278</v>
      </c>
      <c r="L767" s="2551" t="e">
        <f t="shared" si="11"/>
        <v>#N/A</v>
      </c>
      <c r="W767" s="2979"/>
    </row>
    <row r="768" spans="1:23" hidden="1">
      <c r="A768" s="2551">
        <v>1028804</v>
      </c>
      <c r="B768" s="2551" t="s">
        <v>2888</v>
      </c>
      <c r="C768" s="2551">
        <v>11</v>
      </c>
      <c r="D768" s="2551" t="s">
        <v>7288</v>
      </c>
      <c r="E768" s="2550" t="s">
        <v>7215</v>
      </c>
      <c r="F768" s="2551">
        <v>115</v>
      </c>
      <c r="G768" s="2559">
        <v>36352894.100000001</v>
      </c>
      <c r="H768" s="2559">
        <v>4954838.03</v>
      </c>
      <c r="J768" s="2551">
        <v>12</v>
      </c>
      <c r="K768" s="2553" t="s">
        <v>7267</v>
      </c>
      <c r="L768" s="2551" t="e">
        <f t="shared" si="11"/>
        <v>#N/A</v>
      </c>
      <c r="W768" s="2979"/>
    </row>
    <row r="769" spans="1:23" hidden="1">
      <c r="A769" s="2551">
        <v>2052102</v>
      </c>
      <c r="B769" s="2551" t="s">
        <v>49</v>
      </c>
      <c r="C769" s="2551">
        <v>1</v>
      </c>
      <c r="D769" s="2551" t="s">
        <v>49</v>
      </c>
      <c r="E769" s="2550" t="s">
        <v>7215</v>
      </c>
      <c r="F769" s="2551">
        <v>65</v>
      </c>
      <c r="G769" s="2559">
        <v>-2479400000</v>
      </c>
      <c r="H769" s="2559">
        <v>-2000000000</v>
      </c>
      <c r="J769" s="2551">
        <v>13</v>
      </c>
      <c r="K769" s="2553" t="s">
        <v>7609</v>
      </c>
      <c r="L769" s="2551" t="e">
        <f t="shared" si="11"/>
        <v>#N/A</v>
      </c>
      <c r="W769" s="2979"/>
    </row>
    <row r="770" spans="1:23" hidden="1">
      <c r="A770" s="2551">
        <v>2052104</v>
      </c>
      <c r="B770" s="2551" t="s">
        <v>7610</v>
      </c>
      <c r="C770" s="2551">
        <v>12</v>
      </c>
      <c r="D770" s="2551" t="s">
        <v>7611</v>
      </c>
      <c r="E770" s="2550" t="s">
        <v>7215</v>
      </c>
      <c r="F770" s="2551">
        <v>149</v>
      </c>
      <c r="G770" s="2559">
        <v>-306000</v>
      </c>
      <c r="H770" s="2551">
        <v>0</v>
      </c>
      <c r="J770" s="2559" t="s">
        <v>7604</v>
      </c>
      <c r="K770" s="2553" t="s">
        <v>7605</v>
      </c>
      <c r="L770" s="2551" t="e">
        <f t="shared" si="11"/>
        <v>#N/A</v>
      </c>
      <c r="W770" s="2979"/>
    </row>
    <row r="771" spans="1:23" hidden="1">
      <c r="A771" s="2551">
        <v>2058110</v>
      </c>
      <c r="B771" s="2551" t="s">
        <v>6432</v>
      </c>
      <c r="C771" s="2551" t="s">
        <v>7612</v>
      </c>
      <c r="D771" s="2551" t="s">
        <v>7613</v>
      </c>
      <c r="E771" s="2550" t="s">
        <v>7215</v>
      </c>
      <c r="F771" s="2551" t="s">
        <v>7614</v>
      </c>
      <c r="G771" s="2559">
        <v>-224054838.58000001</v>
      </c>
      <c r="H771" s="2551">
        <v>0</v>
      </c>
      <c r="J771" s="2551">
        <v>14</v>
      </c>
      <c r="K771" s="2553" t="s">
        <v>7615</v>
      </c>
      <c r="L771" s="2551" t="e">
        <f t="shared" si="11"/>
        <v>#N/A</v>
      </c>
      <c r="W771" s="2979"/>
    </row>
    <row r="772" spans="1:23" hidden="1">
      <c r="A772" s="2551">
        <v>2055320</v>
      </c>
      <c r="B772" s="2551" t="s">
        <v>7616</v>
      </c>
      <c r="C772" s="2551">
        <v>2</v>
      </c>
      <c r="D772" s="2551" t="s">
        <v>7617</v>
      </c>
      <c r="E772" s="2550" t="s">
        <v>7215</v>
      </c>
      <c r="F772" s="2551">
        <v>155</v>
      </c>
      <c r="G772" s="2559">
        <v>-938704633.75</v>
      </c>
      <c r="H772" s="2559">
        <v>-934851458.75</v>
      </c>
      <c r="J772" s="2551" t="s">
        <v>7618</v>
      </c>
      <c r="K772" s="2553" t="s">
        <v>7619</v>
      </c>
      <c r="L772" s="2551" t="e">
        <f t="shared" ref="L772:L835" si="12">VLOOKUP(A772,P:P,1,0)</f>
        <v>#N/A</v>
      </c>
      <c r="W772" s="2979"/>
    </row>
    <row r="773" spans="1:23" hidden="1">
      <c r="A773" s="2551">
        <v>2055325</v>
      </c>
      <c r="B773" s="2551" t="s">
        <v>7620</v>
      </c>
      <c r="C773" s="2551">
        <v>2</v>
      </c>
      <c r="D773" s="2551" t="s">
        <v>7617</v>
      </c>
      <c r="E773" s="2550" t="s">
        <v>7215</v>
      </c>
      <c r="F773" s="2551">
        <v>155</v>
      </c>
      <c r="G773" s="2559">
        <v>-884000</v>
      </c>
      <c r="H773" s="2551">
        <v>0</v>
      </c>
      <c r="J773" s="2551" t="s">
        <v>7618</v>
      </c>
      <c r="K773" s="2553" t="s">
        <v>7619</v>
      </c>
      <c r="L773" s="2551" t="e">
        <f t="shared" si="12"/>
        <v>#N/A</v>
      </c>
      <c r="W773" s="2979"/>
    </row>
    <row r="774" spans="1:23" hidden="1">
      <c r="A774" s="2551">
        <v>2055350</v>
      </c>
      <c r="B774" s="2551" t="s">
        <v>7621</v>
      </c>
      <c r="C774" s="2551">
        <v>2</v>
      </c>
      <c r="D774" s="2551" t="s">
        <v>6827</v>
      </c>
      <c r="E774" s="2550" t="s">
        <v>7215</v>
      </c>
      <c r="F774" s="2551">
        <v>153</v>
      </c>
      <c r="G774" s="2559">
        <v>-180819099</v>
      </c>
      <c r="H774" s="2559">
        <v>-180819099</v>
      </c>
      <c r="J774" s="2551" t="s">
        <v>7618</v>
      </c>
      <c r="K774" s="2553" t="s">
        <v>7619</v>
      </c>
      <c r="L774" s="2551" t="e">
        <f t="shared" si="12"/>
        <v>#N/A</v>
      </c>
      <c r="W774" s="2979"/>
    </row>
    <row r="775" spans="1:23" hidden="1">
      <c r="A775" s="2551">
        <v>2055360</v>
      </c>
      <c r="B775" s="2551" t="s">
        <v>7622</v>
      </c>
      <c r="C775" s="2551">
        <v>2</v>
      </c>
      <c r="D775" s="2551" t="s">
        <v>6827</v>
      </c>
      <c r="E775" s="2550" t="s">
        <v>7215</v>
      </c>
      <c r="F775" s="2551">
        <v>153</v>
      </c>
      <c r="G775" s="2559">
        <v>-11042990</v>
      </c>
      <c r="H775" s="2559">
        <v>-345121104</v>
      </c>
      <c r="J775" s="2551" t="s">
        <v>7618</v>
      </c>
      <c r="K775" s="2553" t="s">
        <v>7619</v>
      </c>
      <c r="L775" s="2551" t="e">
        <f t="shared" si="12"/>
        <v>#N/A</v>
      </c>
      <c r="W775" s="2979"/>
    </row>
    <row r="776" spans="1:23" hidden="1">
      <c r="A776" s="2551">
        <v>2055370</v>
      </c>
      <c r="B776" s="2551" t="s">
        <v>7621</v>
      </c>
      <c r="C776" s="2551">
        <v>2</v>
      </c>
      <c r="D776" s="2551" t="s">
        <v>6828</v>
      </c>
      <c r="E776" s="2550" t="s">
        <v>7215</v>
      </c>
      <c r="F776" s="2551">
        <v>154</v>
      </c>
      <c r="G776" s="2559">
        <v>-20956341</v>
      </c>
      <c r="H776" s="2559">
        <v>-20956341</v>
      </c>
      <c r="J776" s="2551" t="s">
        <v>7618</v>
      </c>
      <c r="K776" s="2553" t="s">
        <v>7619</v>
      </c>
      <c r="L776" s="2551" t="e">
        <f t="shared" si="12"/>
        <v>#N/A</v>
      </c>
      <c r="W776" s="2979"/>
    </row>
    <row r="777" spans="1:23" hidden="1">
      <c r="A777" s="2551">
        <v>2056210</v>
      </c>
      <c r="B777" s="2551" t="s">
        <v>7623</v>
      </c>
      <c r="C777" s="2551">
        <v>2</v>
      </c>
      <c r="D777" s="2551" t="s">
        <v>7617</v>
      </c>
      <c r="E777" s="2550" t="s">
        <v>7215</v>
      </c>
      <c r="F777" s="2551">
        <v>155</v>
      </c>
      <c r="G777" s="2559">
        <v>45849329</v>
      </c>
      <c r="H777" s="2551">
        <v>0</v>
      </c>
      <c r="J777" s="2551" t="s">
        <v>7624</v>
      </c>
      <c r="K777" s="2553" t="s">
        <v>7625</v>
      </c>
      <c r="L777" s="2551" t="e">
        <f t="shared" si="12"/>
        <v>#N/A</v>
      </c>
      <c r="W777" s="2979"/>
    </row>
    <row r="778" spans="1:23" hidden="1">
      <c r="A778" s="2551">
        <v>2057150</v>
      </c>
      <c r="B778" s="2551" t="s">
        <v>7626</v>
      </c>
      <c r="C778" s="2551">
        <v>12</v>
      </c>
      <c r="D778" s="2551" t="s">
        <v>7627</v>
      </c>
      <c r="E778" s="2550" t="s">
        <v>7215</v>
      </c>
      <c r="F778" s="2551">
        <v>141</v>
      </c>
      <c r="G778" s="2559">
        <v>-45964</v>
      </c>
      <c r="H778" s="2559">
        <v>-97888</v>
      </c>
      <c r="J778" s="2551" t="s">
        <v>7628</v>
      </c>
      <c r="K778" s="2553" t="s">
        <v>7629</v>
      </c>
      <c r="L778" s="2551" t="e">
        <f t="shared" si="12"/>
        <v>#N/A</v>
      </c>
      <c r="W778" s="2979"/>
    </row>
    <row r="779" spans="1:23" hidden="1">
      <c r="A779" s="2551">
        <v>2051224</v>
      </c>
      <c r="B779" s="2551" t="s">
        <v>6415</v>
      </c>
      <c r="C779" s="2551">
        <v>12</v>
      </c>
      <c r="D779" s="2551" t="s">
        <v>7630</v>
      </c>
      <c r="E779" s="2550" t="s">
        <v>7215</v>
      </c>
      <c r="F779" s="2551">
        <v>144</v>
      </c>
      <c r="G779" s="2559">
        <v>-34425</v>
      </c>
      <c r="H779" s="2559">
        <v>-126592</v>
      </c>
      <c r="J779" s="2551" t="s">
        <v>7631</v>
      </c>
      <c r="K779" s="2553" t="s">
        <v>116</v>
      </c>
      <c r="L779" s="2551" t="e">
        <f t="shared" si="12"/>
        <v>#N/A</v>
      </c>
      <c r="W779" s="2979"/>
    </row>
    <row r="780" spans="1:23" hidden="1">
      <c r="A780" s="2551">
        <v>2051227</v>
      </c>
      <c r="B780" s="2551" t="s">
        <v>7632</v>
      </c>
      <c r="C780" s="2551">
        <v>12</v>
      </c>
      <c r="D780" s="2551" t="s">
        <v>7630</v>
      </c>
      <c r="E780" s="2550" t="s">
        <v>7215</v>
      </c>
      <c r="F780" s="2551">
        <v>144</v>
      </c>
      <c r="G780" s="2559">
        <v>-91056.35</v>
      </c>
      <c r="H780" s="2559">
        <v>-10024895</v>
      </c>
      <c r="J780" s="2551" t="s">
        <v>7631</v>
      </c>
      <c r="K780" s="2553" t="s">
        <v>116</v>
      </c>
      <c r="L780" s="2551" t="e">
        <f t="shared" si="12"/>
        <v>#N/A</v>
      </c>
      <c r="W780" s="2979"/>
    </row>
    <row r="781" spans="1:23" hidden="1">
      <c r="A781" s="2551">
        <v>2051229</v>
      </c>
      <c r="B781" s="2551" t="s">
        <v>6417</v>
      </c>
      <c r="C781" s="2551">
        <v>12</v>
      </c>
      <c r="D781" s="2551" t="s">
        <v>7633</v>
      </c>
      <c r="E781" s="2550" t="s">
        <v>7215</v>
      </c>
      <c r="F781" s="2551">
        <v>146</v>
      </c>
      <c r="G781" s="2551">
        <v>0</v>
      </c>
      <c r="H781" s="2559">
        <v>-6193649.1200000001</v>
      </c>
      <c r="J781" s="2551" t="s">
        <v>7631</v>
      </c>
      <c r="K781" s="2553" t="s">
        <v>116</v>
      </c>
      <c r="L781" s="2551" t="e">
        <f t="shared" si="12"/>
        <v>#N/A</v>
      </c>
      <c r="W781" s="2979"/>
    </row>
    <row r="782" spans="1:23" hidden="1">
      <c r="A782" s="2551">
        <v>2051230</v>
      </c>
      <c r="B782" s="2551" t="s">
        <v>7634</v>
      </c>
      <c r="C782" s="2551">
        <v>12</v>
      </c>
      <c r="D782" s="2551" t="s">
        <v>7630</v>
      </c>
      <c r="E782" s="2550" t="s">
        <v>7215</v>
      </c>
      <c r="F782" s="2551">
        <v>144</v>
      </c>
      <c r="G782" s="2551">
        <v>-0.49</v>
      </c>
      <c r="H782" s="2551">
        <v>0</v>
      </c>
      <c r="J782" s="2551" t="s">
        <v>7631</v>
      </c>
      <c r="K782" s="2553" t="s">
        <v>116</v>
      </c>
      <c r="L782" s="2551" t="e">
        <f t="shared" si="12"/>
        <v>#N/A</v>
      </c>
      <c r="W782" s="2979"/>
    </row>
    <row r="783" spans="1:23" hidden="1">
      <c r="A783" s="2551">
        <v>2051232</v>
      </c>
      <c r="B783" s="2551" t="s">
        <v>7635</v>
      </c>
      <c r="C783" s="2551">
        <v>12</v>
      </c>
      <c r="D783" s="2551" t="s">
        <v>7630</v>
      </c>
      <c r="E783" s="2550" t="s">
        <v>7215</v>
      </c>
      <c r="F783" s="2551">
        <v>144</v>
      </c>
      <c r="G783" s="2559">
        <v>392168.33</v>
      </c>
      <c r="H783" s="2551">
        <v>0</v>
      </c>
      <c r="J783" s="2551" t="s">
        <v>7631</v>
      </c>
      <c r="K783" s="2553" t="s">
        <v>116</v>
      </c>
      <c r="L783" s="2551" t="e">
        <f t="shared" si="12"/>
        <v>#N/A</v>
      </c>
      <c r="W783" s="2979"/>
    </row>
    <row r="784" spans="1:23" hidden="1">
      <c r="A784" s="2551">
        <v>2051235</v>
      </c>
      <c r="B784" s="2551" t="s">
        <v>7636</v>
      </c>
      <c r="C784" s="2551">
        <v>12</v>
      </c>
      <c r="D784" s="2551" t="s">
        <v>7630</v>
      </c>
      <c r="E784" s="2550" t="s">
        <v>7215</v>
      </c>
      <c r="F784" s="2551">
        <v>144</v>
      </c>
      <c r="G784" s="2559">
        <v>-123424.24</v>
      </c>
      <c r="H784" s="2551">
        <v>0</v>
      </c>
      <c r="J784" s="2551" t="s">
        <v>7631</v>
      </c>
      <c r="K784" s="2553" t="s">
        <v>116</v>
      </c>
      <c r="L784" s="2551" t="e">
        <f t="shared" si="12"/>
        <v>#N/A</v>
      </c>
      <c r="W784" s="2979"/>
    </row>
    <row r="785" spans="1:23" hidden="1">
      <c r="A785" s="2551">
        <v>2053305</v>
      </c>
      <c r="B785" s="2551" t="s">
        <v>7637</v>
      </c>
      <c r="C785" s="2551">
        <v>3</v>
      </c>
      <c r="D785" s="2551" t="s">
        <v>7368</v>
      </c>
      <c r="E785" s="2550" t="s">
        <v>7215</v>
      </c>
      <c r="F785" s="2551">
        <v>78</v>
      </c>
      <c r="G785" s="2559">
        <v>-605770504.21000004</v>
      </c>
      <c r="H785" s="2559">
        <v>-618883614</v>
      </c>
      <c r="J785" s="2551">
        <v>19</v>
      </c>
      <c r="K785" s="2553" t="s">
        <v>7369</v>
      </c>
      <c r="L785" s="2551" t="e">
        <f t="shared" si="12"/>
        <v>#N/A</v>
      </c>
      <c r="W785" s="2979"/>
    </row>
    <row r="786" spans="1:23" hidden="1">
      <c r="A786" s="2551">
        <v>2053306</v>
      </c>
      <c r="B786" s="2551" t="s">
        <v>7638</v>
      </c>
      <c r="C786" s="2551">
        <v>3</v>
      </c>
      <c r="D786" s="2551" t="s">
        <v>7368</v>
      </c>
      <c r="E786" s="2550" t="s">
        <v>7215</v>
      </c>
      <c r="F786" s="2551">
        <v>76</v>
      </c>
      <c r="G786" s="2559">
        <v>-133939381</v>
      </c>
      <c r="H786" s="2559">
        <v>-67726884</v>
      </c>
      <c r="J786" s="2551">
        <v>19</v>
      </c>
      <c r="K786" s="2553" t="s">
        <v>7369</v>
      </c>
      <c r="L786" s="2551" t="e">
        <f t="shared" si="12"/>
        <v>#N/A</v>
      </c>
      <c r="W786" s="2979"/>
    </row>
    <row r="787" spans="1:23" hidden="1">
      <c r="A787" s="2551">
        <v>2053310</v>
      </c>
      <c r="B787" s="2551" t="s">
        <v>7639</v>
      </c>
      <c r="C787" s="2551">
        <v>3</v>
      </c>
      <c r="D787" s="2551" t="s">
        <v>7368</v>
      </c>
      <c r="E787" s="2550" t="s">
        <v>7215</v>
      </c>
      <c r="F787" s="2551">
        <v>79</v>
      </c>
      <c r="G787" s="2559">
        <v>-1242329952.28</v>
      </c>
      <c r="H787" s="2551">
        <v>0</v>
      </c>
      <c r="J787" s="2551">
        <v>19</v>
      </c>
      <c r="K787" s="2553" t="s">
        <v>7369</v>
      </c>
      <c r="L787" s="2551" t="e">
        <f t="shared" si="12"/>
        <v>#N/A</v>
      </c>
      <c r="W787" s="2979"/>
    </row>
    <row r="788" spans="1:23" hidden="1">
      <c r="A788" s="2551">
        <v>2053312</v>
      </c>
      <c r="B788" s="2551" t="s">
        <v>7640</v>
      </c>
      <c r="C788" s="2551">
        <v>3</v>
      </c>
      <c r="D788" s="2551" t="s">
        <v>7368</v>
      </c>
      <c r="E788" s="2550" t="s">
        <v>7215</v>
      </c>
      <c r="F788" s="2551">
        <v>81</v>
      </c>
      <c r="G788" s="2559">
        <v>-850000000</v>
      </c>
      <c r="H788" s="2551">
        <v>0</v>
      </c>
      <c r="J788" s="2551">
        <v>19</v>
      </c>
      <c r="K788" s="2553" t="s">
        <v>7369</v>
      </c>
      <c r="L788" s="2551" t="e">
        <f t="shared" si="12"/>
        <v>#N/A</v>
      </c>
      <c r="W788" s="2979"/>
    </row>
    <row r="789" spans="1:23" hidden="1">
      <c r="A789" s="2551">
        <v>2053313</v>
      </c>
      <c r="B789" s="2551" t="s">
        <v>7641</v>
      </c>
      <c r="C789" s="2551">
        <v>3</v>
      </c>
      <c r="D789" s="2551" t="s">
        <v>7368</v>
      </c>
      <c r="E789" s="2550" t="s">
        <v>7215</v>
      </c>
      <c r="F789" s="2551">
        <v>82</v>
      </c>
      <c r="G789" s="2559">
        <v>-400000000</v>
      </c>
      <c r="H789" s="2551">
        <v>0</v>
      </c>
      <c r="J789" s="2551">
        <v>15</v>
      </c>
      <c r="K789" s="2553" t="s">
        <v>7642</v>
      </c>
      <c r="L789" s="2551" t="e">
        <f t="shared" si="12"/>
        <v>#N/A</v>
      </c>
      <c r="W789" s="2979"/>
    </row>
    <row r="790" spans="1:23" hidden="1">
      <c r="A790" s="2551">
        <v>2053703</v>
      </c>
      <c r="B790" s="2551" t="s">
        <v>7643</v>
      </c>
      <c r="C790" s="2551">
        <v>12</v>
      </c>
      <c r="D790" s="2551" t="s">
        <v>7633</v>
      </c>
      <c r="E790" s="2550" t="s">
        <v>7215</v>
      </c>
      <c r="F790" s="2551">
        <v>146</v>
      </c>
      <c r="G790" s="2552">
        <v>0</v>
      </c>
      <c r="H790" s="2552">
        <v>-112136037.64</v>
      </c>
      <c r="J790" s="2551">
        <v>19</v>
      </c>
      <c r="K790" s="2553" t="s">
        <v>7642</v>
      </c>
      <c r="L790" s="2551" t="e">
        <f t="shared" si="12"/>
        <v>#N/A</v>
      </c>
      <c r="W790" s="2979"/>
    </row>
    <row r="791" spans="1:23" hidden="1">
      <c r="A791" s="2551">
        <v>2053704</v>
      </c>
      <c r="B791" s="2551" t="s">
        <v>7644</v>
      </c>
      <c r="C791" s="2551">
        <v>12</v>
      </c>
      <c r="D791" s="2551" t="s">
        <v>7645</v>
      </c>
      <c r="E791" s="2550" t="s">
        <v>7215</v>
      </c>
      <c r="F791" s="2551">
        <v>147</v>
      </c>
      <c r="G791" s="2552">
        <v>0</v>
      </c>
      <c r="H791" s="2552">
        <v>-1041900</v>
      </c>
      <c r="J791" s="2551"/>
      <c r="L791" s="2551" t="e">
        <f t="shared" si="12"/>
        <v>#N/A</v>
      </c>
      <c r="W791" s="2979"/>
    </row>
    <row r="792" spans="1:23" hidden="1">
      <c r="A792" s="2551">
        <v>2053705</v>
      </c>
      <c r="B792" s="2551" t="s">
        <v>6424</v>
      </c>
      <c r="C792" s="2551">
        <v>3</v>
      </c>
      <c r="D792" s="2551" t="s">
        <v>7368</v>
      </c>
      <c r="E792" s="2550" t="s">
        <v>7215</v>
      </c>
      <c r="F792" s="2551">
        <v>84</v>
      </c>
      <c r="G792" s="2559">
        <v>-975200</v>
      </c>
      <c r="H792" s="2559">
        <v>-83733</v>
      </c>
      <c r="J792" s="2551">
        <v>19</v>
      </c>
      <c r="K792" s="2553" t="s">
        <v>7369</v>
      </c>
      <c r="L792" s="2551" t="e">
        <f t="shared" si="12"/>
        <v>#N/A</v>
      </c>
      <c r="W792" s="2979"/>
    </row>
    <row r="793" spans="1:23" hidden="1">
      <c r="A793" s="2551">
        <v>2044110</v>
      </c>
      <c r="B793" s="2551" t="s">
        <v>6296</v>
      </c>
      <c r="C793" s="2551">
        <v>12</v>
      </c>
      <c r="D793" s="2551" t="s">
        <v>7646</v>
      </c>
      <c r="E793" s="2550" t="s">
        <v>7215</v>
      </c>
      <c r="F793" s="2551">
        <v>150</v>
      </c>
      <c r="G793" s="2559">
        <v>-329802874</v>
      </c>
      <c r="H793" s="2559">
        <v>-98928810</v>
      </c>
      <c r="J793" s="2551">
        <v>17</v>
      </c>
      <c r="K793" s="2553" t="s">
        <v>7646</v>
      </c>
      <c r="L793" s="2551" t="e">
        <f t="shared" si="12"/>
        <v>#N/A</v>
      </c>
      <c r="W793" s="2979"/>
    </row>
    <row r="794" spans="1:23" hidden="1">
      <c r="A794" s="2551">
        <v>2044126</v>
      </c>
      <c r="B794" s="2551" t="s">
        <v>7647</v>
      </c>
      <c r="C794" s="2551">
        <v>12</v>
      </c>
      <c r="D794" s="2551" t="s">
        <v>7646</v>
      </c>
      <c r="E794" s="2550" t="s">
        <v>7215</v>
      </c>
      <c r="F794" s="2551">
        <v>150</v>
      </c>
      <c r="G794" s="2559">
        <v>-65143565</v>
      </c>
      <c r="H794" s="2559">
        <v>-64244033.990000002</v>
      </c>
      <c r="J794" s="2551">
        <v>17</v>
      </c>
      <c r="K794" s="2553" t="s">
        <v>7646</v>
      </c>
      <c r="L794" s="2551" t="e">
        <f t="shared" si="12"/>
        <v>#N/A</v>
      </c>
      <c r="W794" s="2979"/>
    </row>
    <row r="795" spans="1:23" hidden="1">
      <c r="A795" s="2551">
        <v>2044115</v>
      </c>
      <c r="B795" s="2551" t="s">
        <v>6297</v>
      </c>
      <c r="C795" s="2551">
        <v>12</v>
      </c>
      <c r="D795" s="2551" t="s">
        <v>7611</v>
      </c>
      <c r="E795" s="2550" t="s">
        <v>7215</v>
      </c>
      <c r="F795" s="2551">
        <v>149</v>
      </c>
      <c r="G795" s="2559">
        <v>-1635512110.54</v>
      </c>
      <c r="H795" s="2559">
        <v>-799597039</v>
      </c>
      <c r="J795" s="2551">
        <v>17</v>
      </c>
      <c r="K795" s="2553" t="s">
        <v>7646</v>
      </c>
      <c r="L795" s="2551" t="e">
        <f t="shared" si="12"/>
        <v>#N/A</v>
      </c>
      <c r="W795" s="2979"/>
    </row>
    <row r="796" spans="1:23" hidden="1">
      <c r="A796" s="2551">
        <v>2044413</v>
      </c>
      <c r="B796" s="2551" t="s">
        <v>6673</v>
      </c>
      <c r="C796" s="2551">
        <v>12</v>
      </c>
      <c r="D796" s="2551" t="s">
        <v>7611</v>
      </c>
      <c r="E796" s="2550" t="s">
        <v>7215</v>
      </c>
      <c r="F796" s="2551">
        <v>149</v>
      </c>
      <c r="G796" s="2559">
        <v>111388</v>
      </c>
      <c r="H796" s="2551">
        <v>0</v>
      </c>
      <c r="J796" s="2551">
        <v>17</v>
      </c>
      <c r="K796" s="2553" t="s">
        <v>7646</v>
      </c>
      <c r="L796" s="2551" t="e">
        <f t="shared" si="12"/>
        <v>#N/A</v>
      </c>
      <c r="W796" s="2979"/>
    </row>
    <row r="797" spans="1:23" hidden="1">
      <c r="A797" s="2551">
        <v>2044413</v>
      </c>
      <c r="B797" s="2551" t="s">
        <v>6673</v>
      </c>
      <c r="C797" s="2551">
        <v>12</v>
      </c>
      <c r="D797" s="2551" t="s">
        <v>7611</v>
      </c>
      <c r="E797" s="2550" t="s">
        <v>7215</v>
      </c>
      <c r="F797" s="2551">
        <v>149</v>
      </c>
      <c r="G797" s="2559">
        <v>-164383</v>
      </c>
      <c r="H797" s="2551">
        <v>0</v>
      </c>
      <c r="J797" s="2551">
        <v>17</v>
      </c>
      <c r="K797" s="2553" t="s">
        <v>7646</v>
      </c>
      <c r="L797" s="2551" t="e">
        <f t="shared" si="12"/>
        <v>#N/A</v>
      </c>
      <c r="W797" s="2979"/>
    </row>
    <row r="798" spans="1:23" hidden="1">
      <c r="A798" s="2551">
        <v>2044125</v>
      </c>
      <c r="B798" s="2551" t="s">
        <v>6301</v>
      </c>
      <c r="C798" s="2551">
        <v>12</v>
      </c>
      <c r="D798" s="2551" t="s">
        <v>7646</v>
      </c>
      <c r="E798" s="2550" t="s">
        <v>7215</v>
      </c>
      <c r="F798" s="2551">
        <v>151</v>
      </c>
      <c r="G798" s="2559">
        <v>-206435677</v>
      </c>
      <c r="H798" s="2559">
        <v>10603266</v>
      </c>
      <c r="J798" s="2551">
        <v>17</v>
      </c>
      <c r="K798" s="2553" t="s">
        <v>7646</v>
      </c>
      <c r="L798" s="2551" t="e">
        <f t="shared" si="12"/>
        <v>#N/A</v>
      </c>
      <c r="W798" s="2979"/>
    </row>
    <row r="799" spans="1:23" hidden="1">
      <c r="A799" s="2551">
        <v>2044127</v>
      </c>
      <c r="B799" s="2551" t="s">
        <v>7648</v>
      </c>
      <c r="C799" s="2551">
        <v>12</v>
      </c>
      <c r="D799" s="2551" t="s">
        <v>7646</v>
      </c>
      <c r="E799" s="2550" t="s">
        <v>7215</v>
      </c>
      <c r="F799" s="2551">
        <v>151</v>
      </c>
      <c r="G799" s="2559">
        <v>-27100000</v>
      </c>
      <c r="H799" s="2559">
        <v>-27203695.219999999</v>
      </c>
      <c r="J799" s="2551">
        <v>17</v>
      </c>
      <c r="K799" s="2553" t="s">
        <v>7646</v>
      </c>
      <c r="L799" s="2551" t="e">
        <f t="shared" si="12"/>
        <v>#N/A</v>
      </c>
      <c r="W799" s="2979"/>
    </row>
    <row r="800" spans="1:23" hidden="1">
      <c r="A800" s="2551">
        <v>2044150</v>
      </c>
      <c r="B800" s="2551" t="s">
        <v>7649</v>
      </c>
      <c r="C800" s="2551">
        <v>12</v>
      </c>
      <c r="D800" s="2551" t="s">
        <v>7646</v>
      </c>
      <c r="E800" s="2550" t="s">
        <v>7215</v>
      </c>
      <c r="F800" s="2551">
        <v>150</v>
      </c>
      <c r="G800" s="2559">
        <v>-11235772</v>
      </c>
      <c r="H800" s="2559">
        <v>-6735335</v>
      </c>
      <c r="J800" s="2551">
        <v>17</v>
      </c>
      <c r="K800" s="2553" t="s">
        <v>7646</v>
      </c>
      <c r="L800" s="2551" t="e">
        <f t="shared" si="12"/>
        <v>#N/A</v>
      </c>
      <c r="W800" s="2979"/>
    </row>
    <row r="801" spans="1:23" hidden="1">
      <c r="A801" s="2551">
        <v>2044128</v>
      </c>
      <c r="B801" s="2551" t="s">
        <v>7650</v>
      </c>
      <c r="C801" s="2551">
        <v>12</v>
      </c>
      <c r="D801" s="2551" t="s">
        <v>7646</v>
      </c>
      <c r="E801" s="2550" t="s">
        <v>7215</v>
      </c>
      <c r="F801" s="2551">
        <v>150</v>
      </c>
      <c r="G801" s="2559">
        <v>-13618616.82</v>
      </c>
      <c r="H801" s="2559">
        <v>-32757279</v>
      </c>
      <c r="J801" s="2551">
        <v>17</v>
      </c>
      <c r="K801" s="2553" t="s">
        <v>7646</v>
      </c>
      <c r="L801" s="2551" t="e">
        <f t="shared" si="12"/>
        <v>#N/A</v>
      </c>
      <c r="W801" s="2979"/>
    </row>
    <row r="802" spans="1:23" hidden="1">
      <c r="A802" s="2551">
        <v>2044128</v>
      </c>
      <c r="B802" s="2551" t="s">
        <v>7650</v>
      </c>
      <c r="C802" s="2551">
        <v>12</v>
      </c>
      <c r="D802" s="2551" t="s">
        <v>7646</v>
      </c>
      <c r="E802" s="2550" t="s">
        <v>7215</v>
      </c>
      <c r="F802" s="2551">
        <v>150</v>
      </c>
      <c r="G802" s="2551">
        <v>0.89</v>
      </c>
      <c r="H802" s="2551">
        <v>0</v>
      </c>
      <c r="J802" s="2551">
        <v>17</v>
      </c>
      <c r="K802" s="2553" t="s">
        <v>7646</v>
      </c>
      <c r="L802" s="2551" t="e">
        <f t="shared" si="12"/>
        <v>#N/A</v>
      </c>
      <c r="W802" s="2979"/>
    </row>
    <row r="803" spans="1:23" hidden="1">
      <c r="A803" s="2551">
        <v>2044130</v>
      </c>
      <c r="B803" s="2551" t="s">
        <v>7651</v>
      </c>
      <c r="C803" s="2551">
        <v>12</v>
      </c>
      <c r="D803" s="2551" t="s">
        <v>7646</v>
      </c>
      <c r="E803" s="2550" t="s">
        <v>7215</v>
      </c>
      <c r="F803" s="2551">
        <v>150</v>
      </c>
      <c r="G803" s="2559">
        <v>-8833950.0299999993</v>
      </c>
      <c r="H803" s="2559">
        <v>-11559625.380000001</v>
      </c>
      <c r="J803" s="2551" t="s">
        <v>7652</v>
      </c>
      <c r="K803" s="2553" t="s">
        <v>6311</v>
      </c>
      <c r="L803" s="2551" t="e">
        <f t="shared" si="12"/>
        <v>#N/A</v>
      </c>
      <c r="W803" s="2979"/>
    </row>
    <row r="804" spans="1:23" hidden="1">
      <c r="A804" s="2551">
        <v>2044135</v>
      </c>
      <c r="B804" s="2551" t="s">
        <v>6305</v>
      </c>
      <c r="C804" s="2551">
        <v>12</v>
      </c>
      <c r="D804" s="2551" t="s">
        <v>7611</v>
      </c>
      <c r="E804" s="2550" t="s">
        <v>7215</v>
      </c>
      <c r="F804" s="2551">
        <v>149</v>
      </c>
      <c r="G804" s="2559">
        <v>-148284977.19</v>
      </c>
      <c r="H804" s="2559">
        <v>-110200726.45</v>
      </c>
      <c r="J804" s="2551" t="s">
        <v>7652</v>
      </c>
      <c r="K804" s="2553" t="s">
        <v>6311</v>
      </c>
      <c r="L804" s="2551" t="e">
        <f t="shared" si="12"/>
        <v>#N/A</v>
      </c>
      <c r="W804" s="2979"/>
    </row>
    <row r="805" spans="1:23" hidden="1">
      <c r="A805" s="2551">
        <v>2055110</v>
      </c>
      <c r="B805" s="2551" t="s">
        <v>7653</v>
      </c>
      <c r="C805" s="2551">
        <v>5</v>
      </c>
      <c r="D805" s="2551" t="s">
        <v>7654</v>
      </c>
      <c r="E805" s="2550" t="s">
        <v>7215</v>
      </c>
      <c r="F805" s="2551">
        <v>134</v>
      </c>
      <c r="G805" s="2559">
        <v>-2163895223.7600002</v>
      </c>
      <c r="H805" s="2559">
        <v>-2287322308.4400001</v>
      </c>
      <c r="J805" s="2551" t="s">
        <v>7655</v>
      </c>
      <c r="K805" s="2553" t="s">
        <v>6363</v>
      </c>
      <c r="L805" s="2551" t="e">
        <f t="shared" si="12"/>
        <v>#N/A</v>
      </c>
      <c r="W805" s="2979"/>
    </row>
    <row r="806" spans="1:23" hidden="1">
      <c r="A806" s="2551">
        <v>7000017</v>
      </c>
      <c r="B806" s="2551" t="s">
        <v>6580</v>
      </c>
      <c r="C806" s="2551">
        <v>12</v>
      </c>
      <c r="D806" s="2551" t="s">
        <v>7611</v>
      </c>
      <c r="E806" s="2550" t="s">
        <v>7215</v>
      </c>
      <c r="F806" s="2551">
        <v>149</v>
      </c>
      <c r="G806" s="2552">
        <v>-223329666.16</v>
      </c>
      <c r="H806" s="2552">
        <v>0</v>
      </c>
      <c r="J806" s="2551"/>
      <c r="L806" s="2551" t="e">
        <f t="shared" si="12"/>
        <v>#N/A</v>
      </c>
      <c r="W806" s="2979"/>
    </row>
    <row r="807" spans="1:23" hidden="1">
      <c r="A807" s="2551">
        <v>7000018</v>
      </c>
      <c r="B807" s="2551" t="s">
        <v>6583</v>
      </c>
      <c r="C807" s="2551">
        <v>12</v>
      </c>
      <c r="D807" s="2551" t="s">
        <v>7611</v>
      </c>
      <c r="E807" s="2550" t="s">
        <v>7215</v>
      </c>
      <c r="F807" s="2551">
        <v>149</v>
      </c>
      <c r="G807" s="2552">
        <v>-0.44</v>
      </c>
      <c r="H807" s="2552">
        <v>0</v>
      </c>
      <c r="J807" s="2551"/>
      <c r="L807" s="2551" t="e">
        <f t="shared" si="12"/>
        <v>#N/A</v>
      </c>
      <c r="W807" s="2979"/>
    </row>
    <row r="808" spans="1:23" hidden="1">
      <c r="A808" s="2551">
        <v>2046101</v>
      </c>
      <c r="B808" s="2551" t="s">
        <v>6330</v>
      </c>
      <c r="C808" s="2551">
        <v>12</v>
      </c>
      <c r="D808" s="2551" t="s">
        <v>7656</v>
      </c>
      <c r="E808" s="2550" t="s">
        <v>7215</v>
      </c>
      <c r="F808" s="2551">
        <v>137</v>
      </c>
      <c r="G808" s="2552">
        <v>-2210488.36</v>
      </c>
      <c r="H808" s="2552">
        <v>-2227420.36</v>
      </c>
      <c r="J808" s="2551">
        <v>16</v>
      </c>
      <c r="K808" s="2553" t="s">
        <v>7657</v>
      </c>
      <c r="L808" s="2551" t="e">
        <f t="shared" si="12"/>
        <v>#N/A</v>
      </c>
      <c r="W808" s="2979"/>
    </row>
    <row r="809" spans="1:23" hidden="1">
      <c r="A809" s="2551">
        <v>2046102</v>
      </c>
      <c r="B809" s="2551" t="s">
        <v>7658</v>
      </c>
      <c r="C809" s="2551">
        <v>12</v>
      </c>
      <c r="D809" s="2551" t="s">
        <v>7656</v>
      </c>
      <c r="E809" s="2550" t="s">
        <v>7215</v>
      </c>
      <c r="F809" s="2551">
        <v>137</v>
      </c>
      <c r="G809" s="2552">
        <v>-104919</v>
      </c>
      <c r="H809" s="2552">
        <v>-104919</v>
      </c>
      <c r="J809" s="2551">
        <v>16</v>
      </c>
      <c r="K809" s="2553" t="s">
        <v>7657</v>
      </c>
      <c r="L809" s="2551" t="e">
        <f t="shared" si="12"/>
        <v>#N/A</v>
      </c>
      <c r="W809" s="2979"/>
    </row>
    <row r="810" spans="1:23" hidden="1">
      <c r="A810" s="2551">
        <v>2046103</v>
      </c>
      <c r="B810" s="2551" t="s">
        <v>6332</v>
      </c>
      <c r="C810" s="2551">
        <v>12</v>
      </c>
      <c r="D810" s="2551" t="s">
        <v>7656</v>
      </c>
      <c r="E810" s="2550" t="s">
        <v>7215</v>
      </c>
      <c r="F810" s="2551">
        <v>137</v>
      </c>
      <c r="G810" s="2552">
        <v>-7757424.5700000003</v>
      </c>
      <c r="H810" s="2552">
        <v>-9538010.9600000009</v>
      </c>
      <c r="J810" s="2551">
        <v>16</v>
      </c>
      <c r="K810" s="2553" t="s">
        <v>7657</v>
      </c>
      <c r="L810" s="2551" t="e">
        <f t="shared" si="12"/>
        <v>#N/A</v>
      </c>
      <c r="W810" s="2979"/>
    </row>
    <row r="811" spans="1:23" hidden="1">
      <c r="A811" s="2551">
        <v>2046104</v>
      </c>
      <c r="B811" s="2551" t="s">
        <v>6333</v>
      </c>
      <c r="C811" s="2551">
        <v>12</v>
      </c>
      <c r="D811" s="2551" t="s">
        <v>7656</v>
      </c>
      <c r="E811" s="2550" t="s">
        <v>7215</v>
      </c>
      <c r="F811" s="2551">
        <v>137</v>
      </c>
      <c r="G811" s="2552">
        <v>-64748</v>
      </c>
      <c r="H811" s="2552">
        <v>-64748</v>
      </c>
      <c r="J811" s="2551">
        <v>16</v>
      </c>
      <c r="K811" s="2553" t="s">
        <v>7657</v>
      </c>
      <c r="L811" s="2551" t="e">
        <f t="shared" si="12"/>
        <v>#N/A</v>
      </c>
      <c r="W811" s="2979"/>
    </row>
    <row r="812" spans="1:23" hidden="1">
      <c r="A812" s="2551">
        <v>2046105</v>
      </c>
      <c r="B812" s="2551" t="s">
        <v>6335</v>
      </c>
      <c r="C812" s="2551">
        <v>12</v>
      </c>
      <c r="D812" s="2551" t="s">
        <v>7656</v>
      </c>
      <c r="E812" s="2550" t="s">
        <v>7215</v>
      </c>
      <c r="F812" s="2551">
        <v>137</v>
      </c>
      <c r="G812" s="2552">
        <v>-7040475.9800000004</v>
      </c>
      <c r="H812" s="2552">
        <v>-6960783.9800000004</v>
      </c>
      <c r="J812" s="2551">
        <v>16</v>
      </c>
      <c r="K812" s="2553" t="s">
        <v>7657</v>
      </c>
      <c r="L812" s="2551" t="e">
        <f t="shared" si="12"/>
        <v>#N/A</v>
      </c>
      <c r="W812" s="2979"/>
    </row>
    <row r="813" spans="1:23" hidden="1">
      <c r="A813" s="2551">
        <v>2046106</v>
      </c>
      <c r="B813" s="2551" t="s">
        <v>7659</v>
      </c>
      <c r="C813" s="2551">
        <v>12</v>
      </c>
      <c r="D813" s="2551" t="s">
        <v>7656</v>
      </c>
      <c r="E813" s="2550" t="s">
        <v>7215</v>
      </c>
      <c r="F813" s="2551">
        <v>137</v>
      </c>
      <c r="G813" s="2552">
        <v>-7281743</v>
      </c>
      <c r="H813" s="2552">
        <v>-7281743</v>
      </c>
      <c r="J813" s="2551">
        <v>16</v>
      </c>
      <c r="K813" s="2553" t="s">
        <v>7657</v>
      </c>
      <c r="L813" s="2551" t="e">
        <f t="shared" si="12"/>
        <v>#N/A</v>
      </c>
      <c r="W813" s="2979"/>
    </row>
    <row r="814" spans="1:23" hidden="1">
      <c r="A814" s="2551">
        <v>2046107</v>
      </c>
      <c r="B814" s="2551" t="s">
        <v>7660</v>
      </c>
      <c r="C814" s="2551">
        <v>12</v>
      </c>
      <c r="D814" s="2551" t="s">
        <v>7656</v>
      </c>
      <c r="E814" s="2550" t="s">
        <v>7215</v>
      </c>
      <c r="F814" s="2551">
        <v>137</v>
      </c>
      <c r="G814" s="2552">
        <v>-40904700.240000002</v>
      </c>
      <c r="H814" s="2552">
        <v>-38981918.240000002</v>
      </c>
      <c r="J814" s="2551">
        <v>16</v>
      </c>
      <c r="K814" s="2553" t="s">
        <v>7657</v>
      </c>
      <c r="L814" s="2551" t="e">
        <f t="shared" si="12"/>
        <v>#N/A</v>
      </c>
      <c r="W814" s="2979"/>
    </row>
    <row r="815" spans="1:23" hidden="1">
      <c r="A815" s="2551">
        <v>2046108</v>
      </c>
      <c r="B815" s="2551" t="s">
        <v>4993</v>
      </c>
      <c r="C815" s="2551">
        <v>12</v>
      </c>
      <c r="D815" s="2551" t="s">
        <v>7661</v>
      </c>
      <c r="E815" s="2550" t="s">
        <v>7215</v>
      </c>
      <c r="F815" s="2551">
        <v>138</v>
      </c>
      <c r="G815" s="2552">
        <v>-623303.72</v>
      </c>
      <c r="H815" s="2552">
        <v>-623303.72</v>
      </c>
      <c r="J815" s="2551">
        <v>16</v>
      </c>
      <c r="K815" s="2553" t="s">
        <v>7657</v>
      </c>
      <c r="L815" s="2551" t="e">
        <f t="shared" si="12"/>
        <v>#N/A</v>
      </c>
      <c r="W815" s="2979"/>
    </row>
    <row r="816" spans="1:23" hidden="1">
      <c r="A816" s="2551">
        <v>2046121</v>
      </c>
      <c r="B816" s="2551" t="s">
        <v>6337</v>
      </c>
      <c r="C816" s="2551">
        <v>12</v>
      </c>
      <c r="D816" s="2551" t="s">
        <v>7661</v>
      </c>
      <c r="E816" s="2550" t="s">
        <v>7215</v>
      </c>
      <c r="F816" s="2551">
        <v>138</v>
      </c>
      <c r="G816" s="2552">
        <v>-1125706.8500000001</v>
      </c>
      <c r="H816" s="2552">
        <v>-1125706.8500000001</v>
      </c>
      <c r="J816" s="2551">
        <v>16</v>
      </c>
      <c r="K816" s="2553" t="s">
        <v>7657</v>
      </c>
      <c r="L816" s="2551" t="e">
        <f t="shared" si="12"/>
        <v>#N/A</v>
      </c>
      <c r="W816" s="2979"/>
    </row>
    <row r="817" spans="1:23" hidden="1">
      <c r="A817" s="2551">
        <v>2046122</v>
      </c>
      <c r="B817" s="2551" t="s">
        <v>7662</v>
      </c>
      <c r="C817" s="2551">
        <v>12</v>
      </c>
      <c r="D817" s="2551" t="s">
        <v>7661</v>
      </c>
      <c r="E817" s="2550" t="s">
        <v>7215</v>
      </c>
      <c r="F817" s="2551">
        <v>138</v>
      </c>
      <c r="G817" s="2552">
        <v>-19159513.48</v>
      </c>
      <c r="H817" s="2552">
        <v>-9065654</v>
      </c>
      <c r="J817" s="2551">
        <v>16</v>
      </c>
      <c r="K817" s="2553" t="s">
        <v>7657</v>
      </c>
      <c r="L817" s="2551" t="e">
        <f t="shared" si="12"/>
        <v>#N/A</v>
      </c>
      <c r="W817" s="2979"/>
    </row>
    <row r="818" spans="1:23" hidden="1">
      <c r="A818" s="2551">
        <v>2046123</v>
      </c>
      <c r="B818" s="2551" t="s">
        <v>6339</v>
      </c>
      <c r="C818" s="2551">
        <v>12</v>
      </c>
      <c r="D818" s="2551" t="s">
        <v>7661</v>
      </c>
      <c r="E818" s="2550" t="s">
        <v>7215</v>
      </c>
      <c r="F818" s="2551">
        <v>138</v>
      </c>
      <c r="G818" s="2552">
        <v>-29577162.68</v>
      </c>
      <c r="H818" s="2552">
        <f>-24182839.93</f>
        <v>-24182839.93</v>
      </c>
      <c r="J818" s="2551">
        <v>16</v>
      </c>
      <c r="K818" s="2553" t="s">
        <v>7657</v>
      </c>
      <c r="L818" s="2551" t="e">
        <f t="shared" si="12"/>
        <v>#N/A</v>
      </c>
      <c r="W818" s="2979"/>
    </row>
    <row r="819" spans="1:23" hidden="1">
      <c r="A819" s="2551">
        <v>2046125</v>
      </c>
      <c r="B819" s="2551" t="s">
        <v>6340</v>
      </c>
      <c r="C819" s="2551">
        <v>12</v>
      </c>
      <c r="D819" s="2551" t="s">
        <v>7661</v>
      </c>
      <c r="E819" s="2550" t="s">
        <v>7215</v>
      </c>
      <c r="F819" s="2551">
        <v>138</v>
      </c>
      <c r="G819" s="2552">
        <v>-3738075</v>
      </c>
      <c r="H819" s="2552">
        <v>-3716895</v>
      </c>
      <c r="J819" s="2551">
        <v>16</v>
      </c>
      <c r="K819" s="2553" t="s">
        <v>7657</v>
      </c>
      <c r="L819" s="2551" t="e">
        <f t="shared" si="12"/>
        <v>#N/A</v>
      </c>
      <c r="W819" s="2979"/>
    </row>
    <row r="820" spans="1:23" hidden="1">
      <c r="A820" s="2551">
        <v>2046126</v>
      </c>
      <c r="B820" s="2551" t="s">
        <v>6341</v>
      </c>
      <c r="C820" s="2551">
        <v>12</v>
      </c>
      <c r="D820" s="2551" t="s">
        <v>7661</v>
      </c>
      <c r="E820" s="2550" t="s">
        <v>7215</v>
      </c>
      <c r="F820" s="2551">
        <v>138</v>
      </c>
      <c r="G820" s="2552">
        <v>-17488753.75</v>
      </c>
      <c r="H820" s="2552">
        <v>-17188867.75</v>
      </c>
      <c r="J820" s="2551">
        <v>16</v>
      </c>
      <c r="K820" s="2553" t="s">
        <v>7657</v>
      </c>
      <c r="L820" s="2551" t="e">
        <f t="shared" si="12"/>
        <v>#N/A</v>
      </c>
      <c r="W820" s="2979"/>
    </row>
    <row r="821" spans="1:23" hidden="1">
      <c r="A821" s="2551">
        <v>2046128</v>
      </c>
      <c r="B821" s="2551" t="s">
        <v>7663</v>
      </c>
      <c r="C821" s="2551">
        <v>12</v>
      </c>
      <c r="D821" s="2551" t="s">
        <v>7661</v>
      </c>
      <c r="E821" s="2550" t="s">
        <v>7215</v>
      </c>
      <c r="F821" s="2551">
        <v>138</v>
      </c>
      <c r="G821" s="2552">
        <v>-169120000</v>
      </c>
      <c r="J821" s="2550" t="s">
        <v>7664</v>
      </c>
      <c r="K821" s="2553" t="s">
        <v>7665</v>
      </c>
      <c r="L821" s="2551" t="e">
        <f t="shared" si="12"/>
        <v>#N/A</v>
      </c>
      <c r="W821" s="2979"/>
    </row>
    <row r="822" spans="1:23" hidden="1">
      <c r="A822" s="2551">
        <v>2046128</v>
      </c>
      <c r="B822" s="2551" t="s">
        <v>7663</v>
      </c>
      <c r="C822" s="2551">
        <v>12</v>
      </c>
      <c r="D822" s="2551" t="s">
        <v>7661</v>
      </c>
      <c r="E822" s="2550" t="s">
        <v>7215</v>
      </c>
      <c r="F822" s="2551">
        <v>138</v>
      </c>
      <c r="G822" s="2552">
        <f>-285795601.75-G821</f>
        <v>-116675601.75</v>
      </c>
      <c r="H822" s="2552">
        <f>-151207690.56</f>
        <v>-151207690.56</v>
      </c>
      <c r="J822" s="2551">
        <v>16</v>
      </c>
      <c r="K822" s="2553" t="s">
        <v>7657</v>
      </c>
      <c r="L822" s="2551" t="e">
        <f t="shared" si="12"/>
        <v>#N/A</v>
      </c>
      <c r="W822" s="2979"/>
    </row>
    <row r="823" spans="1:23" hidden="1">
      <c r="A823" s="2551">
        <v>2046129</v>
      </c>
      <c r="B823" s="2551" t="s">
        <v>7666</v>
      </c>
      <c r="C823" s="2551">
        <v>12</v>
      </c>
      <c r="D823" s="2551" t="s">
        <v>7661</v>
      </c>
      <c r="E823" s="2550" t="s">
        <v>7215</v>
      </c>
      <c r="F823" s="2551">
        <v>138</v>
      </c>
      <c r="G823" s="2552">
        <v>-9174511.8000000007</v>
      </c>
      <c r="H823" s="2552">
        <v>-3018847.74</v>
      </c>
      <c r="J823" s="2551">
        <v>16</v>
      </c>
      <c r="K823" s="2553" t="s">
        <v>7657</v>
      </c>
      <c r="L823" s="2551" t="e">
        <f t="shared" si="12"/>
        <v>#N/A</v>
      </c>
      <c r="W823" s="2979"/>
    </row>
    <row r="824" spans="1:23" hidden="1">
      <c r="A824" s="2551">
        <v>2047301</v>
      </c>
      <c r="B824" s="2551" t="s">
        <v>7667</v>
      </c>
      <c r="C824" s="2551">
        <v>12</v>
      </c>
      <c r="D824" s="2551" t="s">
        <v>7627</v>
      </c>
      <c r="E824" s="2550" t="s">
        <v>7215</v>
      </c>
      <c r="F824" s="2551">
        <v>141</v>
      </c>
      <c r="G824" s="2559">
        <v>-583515462.75999999</v>
      </c>
      <c r="H824" s="2559">
        <v>-554670297.38999999</v>
      </c>
      <c r="J824" s="2551" t="s">
        <v>7668</v>
      </c>
      <c r="K824" s="2553" t="s">
        <v>6363</v>
      </c>
      <c r="L824" s="2551" t="e">
        <f t="shared" si="12"/>
        <v>#N/A</v>
      </c>
      <c r="W824" s="2979"/>
    </row>
    <row r="825" spans="1:23" hidden="1">
      <c r="A825" s="2551">
        <v>2047302</v>
      </c>
      <c r="B825" s="2551" t="s">
        <v>7667</v>
      </c>
      <c r="C825" s="2551">
        <v>12</v>
      </c>
      <c r="D825" s="2551" t="s">
        <v>7627</v>
      </c>
      <c r="E825" s="2550" t="s">
        <v>7215</v>
      </c>
      <c r="F825" s="2551">
        <v>141</v>
      </c>
      <c r="G825" s="2559">
        <v>188302180.75</v>
      </c>
      <c r="H825" s="2559">
        <v>186867358.75</v>
      </c>
      <c r="J825" s="2551" t="s">
        <v>7668</v>
      </c>
      <c r="K825" s="2553" t="s">
        <v>6363</v>
      </c>
      <c r="L825" s="2551" t="e">
        <f t="shared" si="12"/>
        <v>#N/A</v>
      </c>
      <c r="W825" s="2979"/>
    </row>
    <row r="826" spans="1:23" hidden="1">
      <c r="A826" s="2551">
        <v>2047311</v>
      </c>
      <c r="B826" s="2551" t="s">
        <v>7669</v>
      </c>
      <c r="C826" s="2551">
        <v>12</v>
      </c>
      <c r="D826" s="2551" t="s">
        <v>7627</v>
      </c>
      <c r="E826" s="2550" t="s">
        <v>7215</v>
      </c>
      <c r="F826" s="2551">
        <v>141</v>
      </c>
      <c r="G826" s="2559">
        <v>-75973378.849999994</v>
      </c>
      <c r="H826" s="2559">
        <v>-75242498.310000002</v>
      </c>
      <c r="J826" s="2551" t="s">
        <v>7668</v>
      </c>
      <c r="K826" s="2553" t="s">
        <v>6363</v>
      </c>
      <c r="L826" s="2551" t="e">
        <f t="shared" si="12"/>
        <v>#N/A</v>
      </c>
      <c r="W826" s="2979"/>
    </row>
    <row r="827" spans="1:23" hidden="1">
      <c r="A827" s="2551">
        <v>2047312</v>
      </c>
      <c r="B827" s="2551" t="s">
        <v>7669</v>
      </c>
      <c r="C827" s="2551">
        <v>12</v>
      </c>
      <c r="D827" s="2551" t="s">
        <v>7627</v>
      </c>
      <c r="E827" s="2550" t="s">
        <v>7215</v>
      </c>
      <c r="F827" s="2551">
        <v>141</v>
      </c>
      <c r="G827" s="2559">
        <v>83673286.659999996</v>
      </c>
      <c r="H827" s="2559">
        <v>83673286.659999996</v>
      </c>
      <c r="J827" s="2551" t="s">
        <v>7668</v>
      </c>
      <c r="K827" s="2553" t="s">
        <v>6363</v>
      </c>
      <c r="L827" s="2551" t="e">
        <f t="shared" si="12"/>
        <v>#N/A</v>
      </c>
      <c r="W827" s="2979"/>
    </row>
    <row r="828" spans="1:23" hidden="1">
      <c r="A828" s="2551">
        <v>2047321</v>
      </c>
      <c r="B828" s="2551" t="s">
        <v>7670</v>
      </c>
      <c r="C828" s="2551">
        <v>12</v>
      </c>
      <c r="D828" s="2551" t="s">
        <v>7627</v>
      </c>
      <c r="E828" s="2550" t="s">
        <v>7215</v>
      </c>
      <c r="F828" s="2551">
        <v>141</v>
      </c>
      <c r="G828" s="2559">
        <v>-2243187.36</v>
      </c>
      <c r="H828" s="2559">
        <v>-2429291.46</v>
      </c>
      <c r="J828" s="2551" t="s">
        <v>7668</v>
      </c>
      <c r="K828" s="2553" t="s">
        <v>6363</v>
      </c>
      <c r="L828" s="2551" t="e">
        <f t="shared" si="12"/>
        <v>#N/A</v>
      </c>
      <c r="W828" s="2979"/>
    </row>
    <row r="829" spans="1:23" hidden="1">
      <c r="A829" s="2551">
        <v>2047322</v>
      </c>
      <c r="B829" s="2551" t="s">
        <v>7670</v>
      </c>
      <c r="C829" s="2551">
        <v>12</v>
      </c>
      <c r="D829" s="2551" t="s">
        <v>7627</v>
      </c>
      <c r="E829" s="2550" t="s">
        <v>7215</v>
      </c>
      <c r="F829" s="2551">
        <v>141</v>
      </c>
      <c r="G829" s="2559">
        <v>681521</v>
      </c>
      <c r="H829" s="2551">
        <v>0</v>
      </c>
      <c r="J829" s="2551" t="s">
        <v>7668</v>
      </c>
      <c r="K829" s="2553" t="s">
        <v>6363</v>
      </c>
      <c r="L829" s="2551" t="e">
        <f t="shared" si="12"/>
        <v>#N/A</v>
      </c>
      <c r="W829" s="2979"/>
    </row>
    <row r="830" spans="1:23" hidden="1">
      <c r="A830" s="2551">
        <v>2047331</v>
      </c>
      <c r="B830" s="2551" t="s">
        <v>7671</v>
      </c>
      <c r="C830" s="2551">
        <v>12</v>
      </c>
      <c r="D830" s="2551" t="s">
        <v>7627</v>
      </c>
      <c r="E830" s="2550" t="s">
        <v>7215</v>
      </c>
      <c r="F830" s="2551">
        <v>141</v>
      </c>
      <c r="G830" s="2559">
        <v>-768707160.61000001</v>
      </c>
      <c r="H830" s="2559">
        <v>-682868981.62</v>
      </c>
      <c r="J830" s="2551" t="s">
        <v>7668</v>
      </c>
      <c r="K830" s="2553" t="s">
        <v>6363</v>
      </c>
      <c r="L830" s="2551" t="e">
        <f t="shared" si="12"/>
        <v>#N/A</v>
      </c>
      <c r="W830" s="2979"/>
    </row>
    <row r="831" spans="1:23" hidden="1">
      <c r="A831" s="2551">
        <v>2047332</v>
      </c>
      <c r="B831" s="2551" t="s">
        <v>7671</v>
      </c>
      <c r="C831" s="2551">
        <v>12</v>
      </c>
      <c r="D831" s="2551" t="s">
        <v>7627</v>
      </c>
      <c r="E831" s="2550" t="s">
        <v>7215</v>
      </c>
      <c r="F831" s="2551">
        <v>141</v>
      </c>
      <c r="G831" s="2559">
        <v>179436206.78999999</v>
      </c>
      <c r="H831" s="2559">
        <v>174053518.78999999</v>
      </c>
      <c r="J831" s="2551" t="s">
        <v>7668</v>
      </c>
      <c r="K831" s="2553" t="s">
        <v>6363</v>
      </c>
      <c r="L831" s="2551" t="e">
        <f t="shared" si="12"/>
        <v>#N/A</v>
      </c>
      <c r="W831" s="2979"/>
    </row>
    <row r="832" spans="1:23" hidden="1">
      <c r="A832" s="2551">
        <v>2047690</v>
      </c>
      <c r="B832" s="2551" t="s">
        <v>6395</v>
      </c>
      <c r="C832" s="2551">
        <v>12</v>
      </c>
      <c r="D832" s="2551" t="s">
        <v>7627</v>
      </c>
      <c r="E832" s="2550" t="s">
        <v>7215</v>
      </c>
      <c r="F832" s="2551">
        <v>141</v>
      </c>
      <c r="G832" s="2559">
        <v>-32643059.989999998</v>
      </c>
      <c r="H832" s="2559">
        <v>-27937132.780000001</v>
      </c>
      <c r="J832" s="2551" t="s">
        <v>7668</v>
      </c>
      <c r="K832" s="2553" t="s">
        <v>6363</v>
      </c>
      <c r="L832" s="2551" t="e">
        <f t="shared" si="12"/>
        <v>#N/A</v>
      </c>
      <c r="W832" s="2979"/>
    </row>
    <row r="833" spans="1:23" hidden="1">
      <c r="A833" s="2551">
        <v>2047110</v>
      </c>
      <c r="B833" s="2551" t="s">
        <v>7672</v>
      </c>
      <c r="C833" s="2551">
        <v>12</v>
      </c>
      <c r="D833" s="2551" t="s">
        <v>7627</v>
      </c>
      <c r="E833" s="2550" t="s">
        <v>7215</v>
      </c>
      <c r="F833" s="2551">
        <v>139</v>
      </c>
      <c r="G833" s="2559">
        <v>-5502611.2699999996</v>
      </c>
      <c r="H833" s="2559">
        <v>-5502611.2699999996</v>
      </c>
      <c r="J833" s="2551" t="s">
        <v>7668</v>
      </c>
      <c r="K833" s="2553" t="s">
        <v>6363</v>
      </c>
      <c r="L833" s="2551" t="e">
        <f t="shared" si="12"/>
        <v>#N/A</v>
      </c>
      <c r="W833" s="2979"/>
    </row>
    <row r="834" spans="1:23" hidden="1">
      <c r="A834" s="2551">
        <v>2047111</v>
      </c>
      <c r="B834" s="2551" t="s">
        <v>7672</v>
      </c>
      <c r="C834" s="2551">
        <v>12</v>
      </c>
      <c r="D834" s="2551" t="s">
        <v>7627</v>
      </c>
      <c r="E834" s="2550" t="s">
        <v>7215</v>
      </c>
      <c r="F834" s="2551">
        <v>139</v>
      </c>
      <c r="G834" s="2559">
        <v>-45352008.740000002</v>
      </c>
      <c r="H834" s="2559">
        <v>-45352008.740000002</v>
      </c>
      <c r="J834" s="2551" t="s">
        <v>7668</v>
      </c>
      <c r="K834" s="2553" t="s">
        <v>6363</v>
      </c>
      <c r="L834" s="2551" t="e">
        <f t="shared" si="12"/>
        <v>#N/A</v>
      </c>
      <c r="W834" s="2979"/>
    </row>
    <row r="835" spans="1:23" hidden="1">
      <c r="A835" s="2551">
        <v>2047115</v>
      </c>
      <c r="B835" s="2551" t="s">
        <v>7673</v>
      </c>
      <c r="C835" s="2551">
        <v>12</v>
      </c>
      <c r="D835" s="2551" t="s">
        <v>7627</v>
      </c>
      <c r="E835" s="2550" t="s">
        <v>7215</v>
      </c>
      <c r="F835" s="2551">
        <v>139</v>
      </c>
      <c r="G835" s="2559">
        <v>-105171741.63</v>
      </c>
      <c r="H835" s="2559">
        <v>-105160473.63</v>
      </c>
      <c r="J835" s="2551" t="s">
        <v>7668</v>
      </c>
      <c r="K835" s="2553" t="s">
        <v>6363</v>
      </c>
      <c r="L835" s="2551" t="e">
        <f t="shared" si="12"/>
        <v>#N/A</v>
      </c>
      <c r="W835" s="2979"/>
    </row>
    <row r="836" spans="1:23" hidden="1">
      <c r="A836" s="2551">
        <v>2047116</v>
      </c>
      <c r="B836" s="2551" t="s">
        <v>7673</v>
      </c>
      <c r="C836" s="2551">
        <v>12</v>
      </c>
      <c r="D836" s="2551" t="s">
        <v>7627</v>
      </c>
      <c r="E836" s="2550" t="s">
        <v>7215</v>
      </c>
      <c r="F836" s="2551">
        <v>139</v>
      </c>
      <c r="G836" s="2559">
        <v>56290981</v>
      </c>
      <c r="H836" s="2559">
        <v>56290981</v>
      </c>
      <c r="J836" s="2551" t="s">
        <v>7668</v>
      </c>
      <c r="K836" s="2553" t="s">
        <v>6363</v>
      </c>
      <c r="L836" s="2551" t="e">
        <f t="shared" ref="L836:L899" si="13">VLOOKUP(A836,P:P,1,0)</f>
        <v>#N/A</v>
      </c>
      <c r="W836" s="2979"/>
    </row>
    <row r="837" spans="1:23" hidden="1">
      <c r="A837" s="2551">
        <v>2047120</v>
      </c>
      <c r="B837" s="2551" t="s">
        <v>7674</v>
      </c>
      <c r="C837" s="2551">
        <v>12</v>
      </c>
      <c r="D837" s="2551" t="s">
        <v>7627</v>
      </c>
      <c r="E837" s="2550" t="s">
        <v>7215</v>
      </c>
      <c r="F837" s="2551">
        <v>139</v>
      </c>
      <c r="G837" s="2559">
        <v>-3474497.37</v>
      </c>
      <c r="H837" s="2559">
        <v>-3450331.37</v>
      </c>
      <c r="J837" s="2551" t="s">
        <v>7668</v>
      </c>
      <c r="K837" s="2553" t="s">
        <v>6363</v>
      </c>
      <c r="L837" s="2551" t="e">
        <f t="shared" si="13"/>
        <v>#N/A</v>
      </c>
      <c r="W837" s="2979"/>
    </row>
    <row r="838" spans="1:23" hidden="1">
      <c r="A838" s="2551">
        <v>2047121</v>
      </c>
      <c r="B838" s="2551" t="s">
        <v>7675</v>
      </c>
      <c r="C838" s="2551">
        <v>12</v>
      </c>
      <c r="D838" s="2551" t="s">
        <v>7627</v>
      </c>
      <c r="E838" s="2550" t="s">
        <v>7215</v>
      </c>
      <c r="F838" s="2551">
        <v>139</v>
      </c>
      <c r="G838" s="2559">
        <v>7792416.5</v>
      </c>
      <c r="H838" s="2559">
        <v>7792416.5</v>
      </c>
      <c r="J838" s="2551" t="s">
        <v>7668</v>
      </c>
      <c r="K838" s="2553" t="s">
        <v>6363</v>
      </c>
      <c r="L838" s="2551" t="e">
        <f t="shared" si="13"/>
        <v>#N/A</v>
      </c>
      <c r="W838" s="2979"/>
    </row>
    <row r="839" spans="1:23" hidden="1">
      <c r="A839" s="2551">
        <v>2047131</v>
      </c>
      <c r="B839" s="2551" t="s">
        <v>7676</v>
      </c>
      <c r="C839" s="2551">
        <v>12</v>
      </c>
      <c r="D839" s="2551" t="s">
        <v>7627</v>
      </c>
      <c r="E839" s="2550" t="s">
        <v>7215</v>
      </c>
      <c r="F839" s="2551">
        <v>139</v>
      </c>
      <c r="G839" s="2559">
        <v>15627827.74</v>
      </c>
      <c r="H839" s="2559">
        <v>15627827.74</v>
      </c>
      <c r="J839" s="2551" t="s">
        <v>7668</v>
      </c>
      <c r="K839" s="2553" t="s">
        <v>6363</v>
      </c>
      <c r="L839" s="2551" t="e">
        <f t="shared" si="13"/>
        <v>#N/A</v>
      </c>
      <c r="W839" s="2979"/>
    </row>
    <row r="840" spans="1:23" hidden="1">
      <c r="A840" s="2551">
        <v>2047140</v>
      </c>
      <c r="B840" s="2551" t="s">
        <v>7677</v>
      </c>
      <c r="C840" s="2551">
        <v>12</v>
      </c>
      <c r="D840" s="2551" t="s">
        <v>7627</v>
      </c>
      <c r="E840" s="2550" t="s">
        <v>7215</v>
      </c>
      <c r="F840" s="2551">
        <v>139</v>
      </c>
      <c r="G840" s="2559">
        <v>-31378681.280000001</v>
      </c>
      <c r="H840" s="2559">
        <v>-31378681.280000001</v>
      </c>
      <c r="J840" s="2551" t="s">
        <v>7668</v>
      </c>
      <c r="K840" s="2553" t="s">
        <v>6363</v>
      </c>
      <c r="L840" s="2551" t="e">
        <f t="shared" si="13"/>
        <v>#N/A</v>
      </c>
      <c r="W840" s="2979"/>
    </row>
    <row r="841" spans="1:23" hidden="1">
      <c r="A841" s="2551">
        <v>2047141</v>
      </c>
      <c r="B841" s="2551" t="s">
        <v>7677</v>
      </c>
      <c r="C841" s="2551">
        <v>12</v>
      </c>
      <c r="D841" s="2551" t="s">
        <v>7627</v>
      </c>
      <c r="E841" s="2550" t="s">
        <v>7215</v>
      </c>
      <c r="F841" s="2551">
        <v>139</v>
      </c>
      <c r="G841" s="2559">
        <v>3266309.76</v>
      </c>
      <c r="H841" s="2559">
        <v>3266309.76</v>
      </c>
      <c r="J841" s="2551" t="s">
        <v>7668</v>
      </c>
      <c r="K841" s="2553" t="s">
        <v>6363</v>
      </c>
      <c r="L841" s="2551" t="e">
        <f t="shared" si="13"/>
        <v>#N/A</v>
      </c>
      <c r="W841" s="2979"/>
    </row>
    <row r="842" spans="1:23" hidden="1">
      <c r="A842" s="2551">
        <v>2047150</v>
      </c>
      <c r="B842" s="2551" t="s">
        <v>7678</v>
      </c>
      <c r="C842" s="2551">
        <v>12</v>
      </c>
      <c r="D842" s="2551" t="s">
        <v>7627</v>
      </c>
      <c r="E842" s="2550" t="s">
        <v>7215</v>
      </c>
      <c r="F842" s="2551">
        <v>139</v>
      </c>
      <c r="G842" s="2559">
        <v>-464838094.54000002</v>
      </c>
      <c r="H842" s="2559">
        <v>-209738094.53999999</v>
      </c>
      <c r="J842" s="2551" t="s">
        <v>7668</v>
      </c>
      <c r="K842" s="2553" t="s">
        <v>6363</v>
      </c>
      <c r="L842" s="2551" t="e">
        <f t="shared" si="13"/>
        <v>#N/A</v>
      </c>
      <c r="W842" s="2979"/>
    </row>
    <row r="843" spans="1:23" hidden="1">
      <c r="A843" s="2551">
        <v>2047151</v>
      </c>
      <c r="B843" s="2551" t="s">
        <v>7679</v>
      </c>
      <c r="C843" s="2551">
        <v>12</v>
      </c>
      <c r="D843" s="2551" t="s">
        <v>7627</v>
      </c>
      <c r="E843" s="2550" t="s">
        <v>7215</v>
      </c>
      <c r="F843" s="2551">
        <v>139</v>
      </c>
      <c r="G843" s="2559">
        <v>112127579.84999999</v>
      </c>
      <c r="H843" s="2559">
        <v>112127579.84999999</v>
      </c>
      <c r="J843" s="2551" t="s">
        <v>7668</v>
      </c>
      <c r="K843" s="2553" t="s">
        <v>6363</v>
      </c>
      <c r="L843" s="2551" t="e">
        <f t="shared" si="13"/>
        <v>#N/A</v>
      </c>
      <c r="W843" s="2979"/>
    </row>
    <row r="844" spans="1:23" hidden="1">
      <c r="A844" s="2551">
        <v>2047160</v>
      </c>
      <c r="B844" s="2551" t="s">
        <v>7680</v>
      </c>
      <c r="C844" s="2551">
        <v>12</v>
      </c>
      <c r="D844" s="2551" t="s">
        <v>7627</v>
      </c>
      <c r="E844" s="2550" t="s">
        <v>7215</v>
      </c>
      <c r="F844" s="2551">
        <v>139</v>
      </c>
      <c r="G844" s="2559">
        <v>-152893683.28999999</v>
      </c>
      <c r="H844" s="2559">
        <v>-152568030.28999999</v>
      </c>
      <c r="J844" s="2551" t="s">
        <v>7668</v>
      </c>
      <c r="K844" s="2553" t="s">
        <v>6363</v>
      </c>
      <c r="L844" s="2551" t="e">
        <f t="shared" si="13"/>
        <v>#N/A</v>
      </c>
      <c r="W844" s="2979"/>
    </row>
    <row r="845" spans="1:23" hidden="1">
      <c r="A845" s="2551">
        <v>2047161</v>
      </c>
      <c r="B845" s="2551" t="s">
        <v>7681</v>
      </c>
      <c r="C845" s="2551">
        <v>12</v>
      </c>
      <c r="D845" s="2551" t="s">
        <v>7627</v>
      </c>
      <c r="E845" s="2550" t="s">
        <v>7215</v>
      </c>
      <c r="F845" s="2551">
        <v>139</v>
      </c>
      <c r="G845" s="2559">
        <v>135019360.88999999</v>
      </c>
      <c r="H845" s="2559">
        <v>135019360.88999999</v>
      </c>
      <c r="J845" s="2551" t="s">
        <v>7668</v>
      </c>
      <c r="K845" s="2553" t="s">
        <v>6363</v>
      </c>
      <c r="L845" s="2551" t="e">
        <f t="shared" si="13"/>
        <v>#N/A</v>
      </c>
      <c r="W845" s="2979"/>
    </row>
    <row r="846" spans="1:23" hidden="1">
      <c r="A846" s="2551">
        <v>2047170</v>
      </c>
      <c r="B846" s="2551" t="s">
        <v>7682</v>
      </c>
      <c r="C846" s="2551">
        <v>12</v>
      </c>
      <c r="D846" s="2551" t="s">
        <v>7627</v>
      </c>
      <c r="E846" s="2550" t="s">
        <v>7215</v>
      </c>
      <c r="F846" s="2551">
        <v>139</v>
      </c>
      <c r="G846" s="2559">
        <v>-152843425</v>
      </c>
      <c r="H846" s="2559">
        <v>-152843425</v>
      </c>
      <c r="J846" s="2551" t="s">
        <v>7668</v>
      </c>
      <c r="K846" s="2553" t="s">
        <v>6363</v>
      </c>
      <c r="L846" s="2551" t="e">
        <f t="shared" si="13"/>
        <v>#N/A</v>
      </c>
      <c r="W846" s="2979"/>
    </row>
    <row r="847" spans="1:23" hidden="1">
      <c r="A847" s="2551">
        <v>2047171</v>
      </c>
      <c r="B847" s="2551" t="s">
        <v>7683</v>
      </c>
      <c r="C847" s="2551">
        <v>12</v>
      </c>
      <c r="D847" s="2551" t="s">
        <v>7627</v>
      </c>
      <c r="E847" s="2550" t="s">
        <v>7215</v>
      </c>
      <c r="F847" s="2551">
        <v>139</v>
      </c>
      <c r="G847" s="2559">
        <v>28050181.210000001</v>
      </c>
      <c r="H847" s="2559">
        <v>27488505.210000001</v>
      </c>
      <c r="J847" s="2551" t="s">
        <v>7668</v>
      </c>
      <c r="K847" s="2553" t="s">
        <v>6363</v>
      </c>
      <c r="L847" s="2551" t="e">
        <f t="shared" si="13"/>
        <v>#N/A</v>
      </c>
      <c r="W847" s="2979"/>
    </row>
    <row r="848" spans="1:23" hidden="1">
      <c r="A848" s="2551">
        <v>2047175</v>
      </c>
      <c r="B848" s="2551" t="s">
        <v>7684</v>
      </c>
      <c r="C848" s="2551">
        <v>12</v>
      </c>
      <c r="D848" s="2551" t="s">
        <v>7627</v>
      </c>
      <c r="E848" s="2550" t="s">
        <v>7215</v>
      </c>
      <c r="F848" s="2551">
        <v>139</v>
      </c>
      <c r="G848" s="2559">
        <v>-631403028</v>
      </c>
      <c r="H848" s="2559">
        <v>-350495777</v>
      </c>
      <c r="J848" s="2551" t="s">
        <v>7624</v>
      </c>
      <c r="K848" s="2553" t="s">
        <v>7625</v>
      </c>
      <c r="L848" s="2551" t="e">
        <f t="shared" si="13"/>
        <v>#N/A</v>
      </c>
      <c r="W848" s="2979"/>
    </row>
    <row r="849" spans="1:23" hidden="1">
      <c r="A849" s="2551">
        <v>2047176</v>
      </c>
      <c r="B849" s="2551" t="s">
        <v>7684</v>
      </c>
      <c r="C849" s="2551">
        <v>12</v>
      </c>
      <c r="D849" s="2551" t="s">
        <v>7627</v>
      </c>
      <c r="E849" s="2550" t="s">
        <v>7215</v>
      </c>
      <c r="F849" s="2551">
        <v>139</v>
      </c>
      <c r="G849" s="2559">
        <v>101640985.56999999</v>
      </c>
      <c r="H849" s="2559">
        <v>101640985.56999999</v>
      </c>
      <c r="J849" s="2551" t="s">
        <v>7624</v>
      </c>
      <c r="K849" s="2553" t="s">
        <v>7625</v>
      </c>
      <c r="L849" s="2551" t="e">
        <f t="shared" si="13"/>
        <v>#N/A</v>
      </c>
      <c r="W849" s="2979"/>
    </row>
    <row r="850" spans="1:23" hidden="1">
      <c r="A850" s="2551">
        <v>2047180</v>
      </c>
      <c r="B850" s="2551" t="s">
        <v>7685</v>
      </c>
      <c r="C850" s="2551">
        <v>12</v>
      </c>
      <c r="D850" s="2551" t="s">
        <v>7627</v>
      </c>
      <c r="E850" s="2550" t="s">
        <v>7215</v>
      </c>
      <c r="F850" s="2551">
        <v>139</v>
      </c>
      <c r="G850" s="2559">
        <v>-213909014</v>
      </c>
      <c r="H850" s="2559">
        <v>-211846306</v>
      </c>
      <c r="J850" s="2551" t="s">
        <v>7668</v>
      </c>
      <c r="K850" s="2553" t="s">
        <v>6363</v>
      </c>
      <c r="L850" s="2551" t="e">
        <f t="shared" si="13"/>
        <v>#N/A</v>
      </c>
      <c r="W850" s="2979"/>
    </row>
    <row r="851" spans="1:23" hidden="1">
      <c r="A851" s="2551">
        <v>2047181</v>
      </c>
      <c r="B851" s="2551" t="s">
        <v>7686</v>
      </c>
      <c r="C851" s="2551">
        <v>12</v>
      </c>
      <c r="D851" s="2551" t="s">
        <v>7627</v>
      </c>
      <c r="E851" s="2550" t="s">
        <v>7215</v>
      </c>
      <c r="F851" s="2551">
        <v>139</v>
      </c>
      <c r="G851" s="2559">
        <v>137948485.75</v>
      </c>
      <c r="H851" s="2559">
        <v>136233900.75</v>
      </c>
      <c r="J851" s="2551" t="s">
        <v>7668</v>
      </c>
      <c r="K851" s="2553" t="s">
        <v>6363</v>
      </c>
      <c r="L851" s="2551" t="e">
        <f t="shared" si="13"/>
        <v>#N/A</v>
      </c>
      <c r="W851" s="2979"/>
    </row>
    <row r="852" spans="1:23" hidden="1">
      <c r="A852" s="2551">
        <v>2047185</v>
      </c>
      <c r="B852" s="2551" t="s">
        <v>7687</v>
      </c>
      <c r="C852" s="2551">
        <v>12</v>
      </c>
      <c r="D852" s="2551" t="s">
        <v>7627</v>
      </c>
      <c r="E852" s="2550" t="s">
        <v>7215</v>
      </c>
      <c r="F852" s="2551">
        <v>139</v>
      </c>
      <c r="G852" s="2559">
        <v>-1519271</v>
      </c>
      <c r="H852" s="2559">
        <v>-713470</v>
      </c>
      <c r="J852" s="2551" t="s">
        <v>7668</v>
      </c>
      <c r="K852" s="2553" t="s">
        <v>6363</v>
      </c>
      <c r="L852" s="2551" t="e">
        <f t="shared" si="13"/>
        <v>#N/A</v>
      </c>
      <c r="W852" s="2979"/>
    </row>
    <row r="853" spans="1:23" hidden="1">
      <c r="A853" s="2551">
        <v>2047186</v>
      </c>
      <c r="B853" s="2551" t="s">
        <v>7687</v>
      </c>
      <c r="C853" s="2551">
        <v>12</v>
      </c>
      <c r="D853" s="2551" t="s">
        <v>7627</v>
      </c>
      <c r="E853" s="2550" t="s">
        <v>7215</v>
      </c>
      <c r="F853" s="2551">
        <v>139</v>
      </c>
      <c r="G853" s="2559">
        <v>1125024</v>
      </c>
      <c r="H853" s="2559">
        <v>1125024</v>
      </c>
      <c r="J853" s="2551" t="s">
        <v>7668</v>
      </c>
      <c r="K853" s="2553" t="s">
        <v>6363</v>
      </c>
      <c r="L853" s="2551" t="e">
        <f t="shared" si="13"/>
        <v>#N/A</v>
      </c>
      <c r="W853" s="2979"/>
    </row>
    <row r="854" spans="1:23" hidden="1">
      <c r="A854" s="2551">
        <v>2047190</v>
      </c>
      <c r="B854" s="2551" t="s">
        <v>7688</v>
      </c>
      <c r="C854" s="2551">
        <v>12</v>
      </c>
      <c r="D854" s="2551" t="s">
        <v>7627</v>
      </c>
      <c r="E854" s="2550" t="s">
        <v>7215</v>
      </c>
      <c r="F854" s="2551">
        <v>139</v>
      </c>
      <c r="G854" s="2559">
        <v>-906845</v>
      </c>
      <c r="H854" s="2551">
        <v>0</v>
      </c>
      <c r="J854" s="2551" t="s">
        <v>7668</v>
      </c>
      <c r="K854" s="2553" t="s">
        <v>6363</v>
      </c>
      <c r="L854" s="2551" t="e">
        <f t="shared" si="13"/>
        <v>#N/A</v>
      </c>
      <c r="W854" s="2979"/>
    </row>
    <row r="855" spans="1:23" hidden="1">
      <c r="A855" s="2551">
        <v>2047191</v>
      </c>
      <c r="B855" s="2551" t="s">
        <v>7688</v>
      </c>
      <c r="C855" s="2551">
        <v>12</v>
      </c>
      <c r="D855" s="2551" t="s">
        <v>7627</v>
      </c>
      <c r="E855" s="2550" t="s">
        <v>7215</v>
      </c>
      <c r="F855" s="2551">
        <v>139</v>
      </c>
      <c r="G855" s="2559">
        <v>12516929</v>
      </c>
      <c r="H855" s="2559">
        <v>10855452</v>
      </c>
      <c r="J855" s="2551" t="s">
        <v>7668</v>
      </c>
      <c r="K855" s="2553" t="s">
        <v>6363</v>
      </c>
      <c r="L855" s="2551" t="e">
        <f t="shared" si="13"/>
        <v>#N/A</v>
      </c>
      <c r="W855" s="2979"/>
    </row>
    <row r="856" spans="1:23" hidden="1">
      <c r="A856" s="2551">
        <v>2047341</v>
      </c>
      <c r="B856" s="2551" t="s">
        <v>7689</v>
      </c>
      <c r="C856" s="2551">
        <v>12</v>
      </c>
      <c r="D856" s="2551" t="s">
        <v>7627</v>
      </c>
      <c r="E856" s="2550" t="s">
        <v>7215</v>
      </c>
      <c r="F856" s="2551">
        <v>139</v>
      </c>
      <c r="G856" s="2559">
        <v>-29000000</v>
      </c>
      <c r="H856" s="2551">
        <v>0</v>
      </c>
      <c r="J856" s="2551" t="s">
        <v>7668</v>
      </c>
      <c r="K856" s="2553" t="s">
        <v>6363</v>
      </c>
      <c r="L856" s="2551" t="e">
        <f t="shared" si="13"/>
        <v>#N/A</v>
      </c>
      <c r="W856" s="2979"/>
    </row>
    <row r="857" spans="1:23" hidden="1">
      <c r="A857" s="2551">
        <v>2047361</v>
      </c>
      <c r="B857" s="2551" t="s">
        <v>7690</v>
      </c>
      <c r="C857" s="2551">
        <v>12</v>
      </c>
      <c r="D857" s="2551" t="s">
        <v>7627</v>
      </c>
      <c r="E857" s="2550" t="s">
        <v>7215</v>
      </c>
      <c r="F857" s="2551">
        <v>139</v>
      </c>
      <c r="G857" s="2559">
        <v>-69349</v>
      </c>
      <c r="H857" s="2551">
        <v>0</v>
      </c>
      <c r="J857" s="2551" t="s">
        <v>7618</v>
      </c>
      <c r="K857" s="2553" t="s">
        <v>7619</v>
      </c>
      <c r="L857" s="2551" t="e">
        <f t="shared" si="13"/>
        <v>#N/A</v>
      </c>
      <c r="W857" s="2979"/>
    </row>
    <row r="858" spans="1:23" hidden="1">
      <c r="A858" s="2551">
        <v>2047363</v>
      </c>
      <c r="B858" s="2551" t="s">
        <v>7691</v>
      </c>
      <c r="C858" s="2551">
        <v>12</v>
      </c>
      <c r="D858" s="2551" t="s">
        <v>7627</v>
      </c>
      <c r="E858" s="2550" t="s">
        <v>7215</v>
      </c>
      <c r="F858" s="2551">
        <v>139</v>
      </c>
      <c r="G858" s="2559">
        <v>-10492863</v>
      </c>
      <c r="H858" s="2551">
        <v>0</v>
      </c>
      <c r="J858" s="2551" t="s">
        <v>7668</v>
      </c>
      <c r="K858" s="2553" t="s">
        <v>6363</v>
      </c>
      <c r="L858" s="2551" t="e">
        <f t="shared" si="13"/>
        <v>#N/A</v>
      </c>
      <c r="W858" s="2979"/>
    </row>
    <row r="859" spans="1:23" hidden="1">
      <c r="A859" s="2551">
        <v>2055210</v>
      </c>
      <c r="B859" s="2551" t="s">
        <v>7692</v>
      </c>
      <c r="C859" s="2551">
        <v>2</v>
      </c>
      <c r="D859" s="2551" t="s">
        <v>7617</v>
      </c>
      <c r="E859" s="2550" t="s">
        <v>7215</v>
      </c>
      <c r="F859" s="2551">
        <v>155</v>
      </c>
      <c r="G859" s="2559">
        <v>268030.65000000002</v>
      </c>
      <c r="H859" s="2559">
        <v>268030.65000000002</v>
      </c>
      <c r="J859" s="2551" t="s">
        <v>7618</v>
      </c>
      <c r="K859" s="2553" t="s">
        <v>7619</v>
      </c>
      <c r="L859" s="2551" t="e">
        <f t="shared" si="13"/>
        <v>#N/A</v>
      </c>
      <c r="W859" s="2979"/>
    </row>
    <row r="860" spans="1:23" hidden="1">
      <c r="A860" s="2551">
        <v>2050107</v>
      </c>
      <c r="B860" s="2551" t="s">
        <v>7693</v>
      </c>
      <c r="C860" s="2551">
        <v>3</v>
      </c>
      <c r="D860" s="2551" t="s">
        <v>7368</v>
      </c>
      <c r="E860" s="2550" t="s">
        <v>7215</v>
      </c>
      <c r="F860" s="2551">
        <v>76</v>
      </c>
      <c r="G860" s="2551">
        <v>0</v>
      </c>
      <c r="H860" s="2559">
        <v>-885508951</v>
      </c>
      <c r="J860" s="2551">
        <v>19</v>
      </c>
      <c r="K860" s="2553" t="s">
        <v>7369</v>
      </c>
      <c r="L860" s="2551" t="e">
        <f t="shared" si="13"/>
        <v>#N/A</v>
      </c>
      <c r="W860" s="2979"/>
    </row>
    <row r="861" spans="1:23" hidden="1">
      <c r="A861" s="2551">
        <v>2043610</v>
      </c>
      <c r="B861" s="2551" t="s">
        <v>7694</v>
      </c>
      <c r="C861" s="2551">
        <v>12</v>
      </c>
      <c r="D861" s="2551" t="s">
        <v>7695</v>
      </c>
      <c r="E861" s="2550" t="s">
        <v>7215</v>
      </c>
      <c r="F861" s="2551">
        <v>136</v>
      </c>
      <c r="G861" s="2559">
        <v>-123890327.72</v>
      </c>
      <c r="H861" s="2559">
        <v>-35065094</v>
      </c>
      <c r="J861" s="2551" t="s">
        <v>7696</v>
      </c>
      <c r="K861" s="2553" t="s">
        <v>7697</v>
      </c>
      <c r="L861" s="2551" t="e">
        <f t="shared" si="13"/>
        <v>#N/A</v>
      </c>
      <c r="W861" s="2979"/>
    </row>
    <row r="862" spans="1:23" hidden="1">
      <c r="A862" s="2551">
        <v>2041114</v>
      </c>
      <c r="B862" s="2551" t="s">
        <v>7698</v>
      </c>
      <c r="C862" s="2551">
        <v>12</v>
      </c>
      <c r="D862" s="2551" t="s">
        <v>4600</v>
      </c>
      <c r="E862" s="2550" t="s">
        <v>7215</v>
      </c>
      <c r="F862" s="2551">
        <v>135</v>
      </c>
      <c r="G862" s="2559">
        <v>-821347137.57000005</v>
      </c>
      <c r="H862" s="2559">
        <v>-3435944963.3899999</v>
      </c>
      <c r="J862" s="2551" t="s">
        <v>7600</v>
      </c>
      <c r="K862" s="2553" t="s">
        <v>5804</v>
      </c>
      <c r="L862" s="2551" t="e">
        <f t="shared" si="13"/>
        <v>#N/A</v>
      </c>
      <c r="W862" s="2979"/>
    </row>
    <row r="863" spans="1:23" hidden="1">
      <c r="A863" s="2551">
        <v>2041115</v>
      </c>
      <c r="B863" s="2551" t="s">
        <v>7699</v>
      </c>
      <c r="C863" s="2551">
        <v>12</v>
      </c>
      <c r="D863" s="2551" t="s">
        <v>4600</v>
      </c>
      <c r="E863" s="2550" t="s">
        <v>7215</v>
      </c>
      <c r="F863" s="2551">
        <v>135</v>
      </c>
      <c r="G863" s="2559">
        <v>-113534315.01000001</v>
      </c>
      <c r="H863" s="2559">
        <v>-83879304</v>
      </c>
      <c r="J863" s="2551" t="s">
        <v>7600</v>
      </c>
      <c r="K863" s="2553" t="s">
        <v>5804</v>
      </c>
      <c r="L863" s="2551" t="e">
        <f t="shared" si="13"/>
        <v>#N/A</v>
      </c>
      <c r="W863" s="2979"/>
    </row>
    <row r="864" spans="1:23" hidden="1">
      <c r="A864" s="2551">
        <v>2041116</v>
      </c>
      <c r="B864" s="2551" t="s">
        <v>7700</v>
      </c>
      <c r="C864" s="2551">
        <v>12</v>
      </c>
      <c r="D864" s="2551" t="s">
        <v>4600</v>
      </c>
      <c r="E864" s="2550" t="s">
        <v>7215</v>
      </c>
      <c r="F864" s="2551">
        <v>135</v>
      </c>
      <c r="G864" s="2551">
        <v>0</v>
      </c>
      <c r="H864" s="2559">
        <v>506684</v>
      </c>
      <c r="J864" s="2551" t="s">
        <v>7600</v>
      </c>
      <c r="K864" s="2553" t="s">
        <v>5804</v>
      </c>
      <c r="L864" s="2551" t="e">
        <f t="shared" si="13"/>
        <v>#N/A</v>
      </c>
      <c r="W864" s="2979"/>
    </row>
    <row r="865" spans="1:23" hidden="1">
      <c r="A865" s="2551">
        <v>2042701</v>
      </c>
      <c r="B865" s="2551" t="s">
        <v>7701</v>
      </c>
      <c r="C865" s="2551">
        <v>12</v>
      </c>
      <c r="D865" s="2551" t="s">
        <v>7695</v>
      </c>
      <c r="E865" s="2550" t="s">
        <v>7215</v>
      </c>
      <c r="F865" s="2551">
        <v>136</v>
      </c>
      <c r="G865" s="2559">
        <v>-17390298</v>
      </c>
      <c r="H865" s="2551">
        <v>0</v>
      </c>
      <c r="J865" s="2551" t="s">
        <v>7600</v>
      </c>
      <c r="K865" s="2553" t="s">
        <v>5804</v>
      </c>
      <c r="L865" s="2551" t="e">
        <f t="shared" si="13"/>
        <v>#N/A</v>
      </c>
      <c r="M865" s="2551" t="s">
        <v>7702</v>
      </c>
      <c r="W865" s="2979"/>
    </row>
    <row r="866" spans="1:23" hidden="1">
      <c r="A866" s="2551">
        <v>2043110</v>
      </c>
      <c r="B866" s="2551" t="s">
        <v>7703</v>
      </c>
      <c r="C866" s="2551">
        <v>12</v>
      </c>
      <c r="D866" s="2551" t="s">
        <v>7695</v>
      </c>
      <c r="E866" s="2550" t="s">
        <v>7215</v>
      </c>
      <c r="F866" s="2551">
        <v>136</v>
      </c>
      <c r="G866" s="2559">
        <v>-13642935.5</v>
      </c>
      <c r="H866" s="2559">
        <v>-43797</v>
      </c>
      <c r="J866" s="2551" t="s">
        <v>7600</v>
      </c>
      <c r="K866" s="2553" t="s">
        <v>5804</v>
      </c>
      <c r="L866" s="2551" t="e">
        <f t="shared" si="13"/>
        <v>#N/A</v>
      </c>
      <c r="W866" s="2979"/>
    </row>
    <row r="867" spans="1:23" hidden="1">
      <c r="A867" s="2551">
        <v>2043210</v>
      </c>
      <c r="B867" s="2551" t="s">
        <v>6278</v>
      </c>
      <c r="C867" s="2551">
        <v>12</v>
      </c>
      <c r="D867" s="2551" t="s">
        <v>7695</v>
      </c>
      <c r="E867" s="2550" t="s">
        <v>7215</v>
      </c>
      <c r="F867" s="2551">
        <v>136</v>
      </c>
      <c r="G867" s="2559">
        <v>-35887664</v>
      </c>
      <c r="H867" s="2559">
        <v>-35887664</v>
      </c>
      <c r="J867" s="2551" t="s">
        <v>7600</v>
      </c>
      <c r="K867" s="2553" t="s">
        <v>5804</v>
      </c>
      <c r="L867" s="2551" t="e">
        <f t="shared" si="13"/>
        <v>#N/A</v>
      </c>
      <c r="W867" s="2979"/>
    </row>
    <row r="868" spans="1:23" hidden="1">
      <c r="A868" s="2551">
        <v>2043212</v>
      </c>
      <c r="B868" s="2551" t="s">
        <v>7704</v>
      </c>
      <c r="C868" s="2551">
        <v>12</v>
      </c>
      <c r="D868" s="2551" t="s">
        <v>7695</v>
      </c>
      <c r="E868" s="2550" t="s">
        <v>7215</v>
      </c>
      <c r="F868" s="2551">
        <v>136</v>
      </c>
      <c r="G868" s="2559">
        <v>-2420456</v>
      </c>
      <c r="H868" s="2559">
        <v>-2420456</v>
      </c>
      <c r="J868" s="2551" t="s">
        <v>7600</v>
      </c>
      <c r="K868" s="2553" t="s">
        <v>5804</v>
      </c>
      <c r="L868" s="2551" t="e">
        <f t="shared" si="13"/>
        <v>#N/A</v>
      </c>
      <c r="W868" s="2979"/>
    </row>
    <row r="869" spans="1:23" hidden="1">
      <c r="A869" s="2551">
        <v>2043213</v>
      </c>
      <c r="B869" s="2551" t="s">
        <v>6280</v>
      </c>
      <c r="C869" s="2551">
        <v>12</v>
      </c>
      <c r="D869" s="2551" t="s">
        <v>7695</v>
      </c>
      <c r="E869" s="2550" t="s">
        <v>7215</v>
      </c>
      <c r="F869" s="2551">
        <v>136</v>
      </c>
      <c r="G869" s="2559">
        <v>-57127</v>
      </c>
      <c r="H869" s="2559">
        <v>-57127</v>
      </c>
      <c r="J869" s="2551" t="s">
        <v>7600</v>
      </c>
      <c r="K869" s="2553" t="s">
        <v>5804</v>
      </c>
      <c r="L869" s="2551" t="e">
        <f t="shared" si="13"/>
        <v>#N/A</v>
      </c>
      <c r="W869" s="2979"/>
    </row>
    <row r="870" spans="1:23" hidden="1">
      <c r="A870" s="2551">
        <v>2043215</v>
      </c>
      <c r="B870" s="2551" t="s">
        <v>7705</v>
      </c>
      <c r="C870" s="2551">
        <v>12</v>
      </c>
      <c r="D870" s="2551" t="s">
        <v>7695</v>
      </c>
      <c r="E870" s="2550" t="s">
        <v>7215</v>
      </c>
      <c r="F870" s="2551">
        <v>136</v>
      </c>
      <c r="G870" s="2559">
        <v>32000</v>
      </c>
      <c r="H870" s="2559">
        <v>32000</v>
      </c>
      <c r="J870" s="2551" t="s">
        <v>7600</v>
      </c>
      <c r="K870" s="2553" t="s">
        <v>5804</v>
      </c>
      <c r="L870" s="2551" t="e">
        <f t="shared" si="13"/>
        <v>#N/A</v>
      </c>
      <c r="W870" s="2979"/>
    </row>
    <row r="871" spans="1:23" hidden="1">
      <c r="A871" s="2551">
        <v>2043310</v>
      </c>
      <c r="B871" s="2551" t="s">
        <v>6286</v>
      </c>
      <c r="C871" s="2551">
        <v>12</v>
      </c>
      <c r="D871" s="2551" t="s">
        <v>7695</v>
      </c>
      <c r="E871" s="2550" t="s">
        <v>7215</v>
      </c>
      <c r="F871" s="2551">
        <v>136</v>
      </c>
      <c r="G871" s="2559">
        <v>-1352095.69</v>
      </c>
      <c r="H871" s="2559">
        <v>-1395890.69</v>
      </c>
      <c r="J871" s="2551" t="s">
        <v>7600</v>
      </c>
      <c r="K871" s="2553" t="s">
        <v>5804</v>
      </c>
      <c r="L871" s="2551" t="e">
        <f t="shared" si="13"/>
        <v>#N/A</v>
      </c>
      <c r="W871" s="2979"/>
    </row>
    <row r="872" spans="1:23" hidden="1">
      <c r="A872" s="2551">
        <v>2043410</v>
      </c>
      <c r="B872" s="2551" t="s">
        <v>6287</v>
      </c>
      <c r="C872" s="2551">
        <v>12</v>
      </c>
      <c r="D872" s="2551" t="s">
        <v>7695</v>
      </c>
      <c r="E872" s="2550" t="s">
        <v>7215</v>
      </c>
      <c r="F872" s="2551">
        <v>136</v>
      </c>
      <c r="G872" s="2559">
        <v>-37974</v>
      </c>
      <c r="H872" s="2559">
        <v>-2121896</v>
      </c>
      <c r="J872" s="2551" t="s">
        <v>7600</v>
      </c>
      <c r="K872" s="2553" t="s">
        <v>5804</v>
      </c>
      <c r="L872" s="2551" t="e">
        <f t="shared" si="13"/>
        <v>#N/A</v>
      </c>
      <c r="W872" s="2979"/>
    </row>
    <row r="873" spans="1:23" hidden="1">
      <c r="A873" s="2551">
        <v>2043510</v>
      </c>
      <c r="B873" s="2551" t="s">
        <v>6288</v>
      </c>
      <c r="C873" s="2551">
        <v>12</v>
      </c>
      <c r="D873" s="2551" t="s">
        <v>7695</v>
      </c>
      <c r="E873" s="2550" t="s">
        <v>7215</v>
      </c>
      <c r="F873" s="2551">
        <v>136</v>
      </c>
      <c r="G873" s="2559">
        <v>-413089331.62</v>
      </c>
      <c r="H873" s="2559">
        <v>-374881244.06999999</v>
      </c>
      <c r="J873" s="2551" t="s">
        <v>7600</v>
      </c>
      <c r="K873" s="2553" t="s">
        <v>5804</v>
      </c>
      <c r="L873" s="2551" t="e">
        <f t="shared" si="13"/>
        <v>#N/A</v>
      </c>
      <c r="W873" s="2979"/>
    </row>
    <row r="874" spans="1:23" hidden="1">
      <c r="A874" s="2551">
        <v>2043511</v>
      </c>
      <c r="B874" s="2551" t="s">
        <v>6289</v>
      </c>
      <c r="C874" s="2551">
        <v>12</v>
      </c>
      <c r="D874" s="2551" t="s">
        <v>7695</v>
      </c>
      <c r="E874" s="2550" t="s">
        <v>7215</v>
      </c>
      <c r="F874" s="2551">
        <v>136</v>
      </c>
      <c r="G874" s="2559">
        <v>-512175</v>
      </c>
      <c r="H874" s="2559">
        <v>-512175</v>
      </c>
      <c r="J874" s="2551" t="s">
        <v>7600</v>
      </c>
      <c r="K874" s="2553" t="s">
        <v>5804</v>
      </c>
      <c r="L874" s="2551" t="e">
        <f t="shared" si="13"/>
        <v>#N/A</v>
      </c>
      <c r="W874" s="2979"/>
    </row>
    <row r="875" spans="1:23" hidden="1">
      <c r="A875" s="2551">
        <v>8000001</v>
      </c>
      <c r="B875" s="2551" t="s">
        <v>6567</v>
      </c>
      <c r="C875" s="2551">
        <v>12</v>
      </c>
      <c r="D875" s="2551" t="s">
        <v>7695</v>
      </c>
      <c r="E875" s="2550" t="s">
        <v>7215</v>
      </c>
      <c r="F875" s="2551">
        <v>136</v>
      </c>
      <c r="G875" s="2559">
        <v>-6674571.4100000001</v>
      </c>
      <c r="H875" s="2559">
        <v>-4887.12</v>
      </c>
      <c r="J875" s="2551" t="s">
        <v>7600</v>
      </c>
      <c r="K875" s="2553" t="s">
        <v>5804</v>
      </c>
      <c r="L875" s="2551" t="e">
        <f t="shared" si="13"/>
        <v>#N/A</v>
      </c>
      <c r="W875" s="2979"/>
    </row>
    <row r="876" spans="1:23" hidden="1">
      <c r="A876" s="2551">
        <v>8000005</v>
      </c>
      <c r="B876" s="2551" t="s">
        <v>6734</v>
      </c>
      <c r="C876" s="2551">
        <v>12</v>
      </c>
      <c r="D876" s="2551" t="s">
        <v>7695</v>
      </c>
      <c r="E876" s="2550" t="s">
        <v>7215</v>
      </c>
      <c r="F876" s="2551">
        <v>136</v>
      </c>
      <c r="G876" s="2559">
        <v>-28323152.739999998</v>
      </c>
      <c r="H876" s="2551">
        <v>0</v>
      </c>
      <c r="J876" s="2551" t="s">
        <v>7600</v>
      </c>
      <c r="K876" s="2553" t="s">
        <v>5804</v>
      </c>
      <c r="L876" s="2551" t="e">
        <f t="shared" si="13"/>
        <v>#N/A</v>
      </c>
      <c r="W876" s="2979"/>
    </row>
    <row r="877" spans="1:23" hidden="1">
      <c r="A877" s="2551">
        <v>2041010</v>
      </c>
      <c r="B877" s="2551" t="s">
        <v>6667</v>
      </c>
      <c r="C877" s="2551">
        <v>12</v>
      </c>
      <c r="D877" s="2551" t="s">
        <v>7611</v>
      </c>
      <c r="E877" s="2550" t="s">
        <v>7215</v>
      </c>
      <c r="F877" s="2551">
        <v>149</v>
      </c>
      <c r="G877" s="2559">
        <v>30159465.039999999</v>
      </c>
      <c r="H877" s="2551">
        <v>0</v>
      </c>
      <c r="J877" s="2551">
        <v>11</v>
      </c>
      <c r="K877" s="2553" t="s">
        <v>7278</v>
      </c>
      <c r="L877" s="2551" t="e">
        <f t="shared" si="13"/>
        <v>#N/A</v>
      </c>
      <c r="W877" s="2979"/>
    </row>
    <row r="878" spans="1:23" hidden="1">
      <c r="A878" s="2551">
        <v>2044140</v>
      </c>
      <c r="B878" s="2551" t="s">
        <v>6670</v>
      </c>
      <c r="C878" s="2551">
        <v>12</v>
      </c>
      <c r="D878" s="2551" t="s">
        <v>7611</v>
      </c>
      <c r="E878" s="2550" t="s">
        <v>7215</v>
      </c>
      <c r="F878" s="2551">
        <v>149</v>
      </c>
      <c r="G878" s="2559">
        <v>-22102836</v>
      </c>
      <c r="H878" s="2551">
        <v>0</v>
      </c>
      <c r="J878" s="2551" t="s">
        <v>7652</v>
      </c>
      <c r="K878" s="2553" t="s">
        <v>6311</v>
      </c>
      <c r="L878" s="2551" t="e">
        <f t="shared" si="13"/>
        <v>#N/A</v>
      </c>
      <c r="W878" s="2979"/>
    </row>
    <row r="879" spans="1:23" hidden="1">
      <c r="A879" s="2551">
        <v>2044210</v>
      </c>
      <c r="B879" s="2551" t="s">
        <v>6312</v>
      </c>
      <c r="C879" s="2551">
        <v>12</v>
      </c>
      <c r="D879" s="2551" t="s">
        <v>7611</v>
      </c>
      <c r="E879" s="2550" t="s">
        <v>7215</v>
      </c>
      <c r="F879" s="2551">
        <v>149</v>
      </c>
      <c r="G879" s="2559">
        <v>-1737</v>
      </c>
      <c r="H879" s="2559">
        <v>-1736</v>
      </c>
      <c r="J879" s="2551" t="s">
        <v>7652</v>
      </c>
      <c r="K879" s="2553" t="s">
        <v>6311</v>
      </c>
      <c r="L879" s="2551" t="e">
        <f t="shared" si="13"/>
        <v>#N/A</v>
      </c>
      <c r="W879" s="2979"/>
    </row>
    <row r="880" spans="1:23" hidden="1">
      <c r="A880" s="2551">
        <v>2044220</v>
      </c>
      <c r="B880" s="2551" t="s">
        <v>1933</v>
      </c>
      <c r="C880" s="2551">
        <v>12</v>
      </c>
      <c r="D880" s="2551" t="s">
        <v>7611</v>
      </c>
      <c r="E880" s="2550" t="s">
        <v>7215</v>
      </c>
      <c r="F880" s="2551">
        <v>149</v>
      </c>
      <c r="G880" s="2559">
        <v>-33923</v>
      </c>
      <c r="H880" s="2559">
        <v>-33923</v>
      </c>
      <c r="J880" s="2551" t="s">
        <v>7652</v>
      </c>
      <c r="K880" s="2553" t="s">
        <v>6311</v>
      </c>
      <c r="L880" s="2551" t="e">
        <f t="shared" si="13"/>
        <v>#N/A</v>
      </c>
      <c r="W880" s="2979"/>
    </row>
    <row r="881" spans="1:23" hidden="1">
      <c r="A881" s="2551">
        <v>2044230</v>
      </c>
      <c r="B881" s="2551" t="s">
        <v>6313</v>
      </c>
      <c r="C881" s="2551">
        <v>12</v>
      </c>
      <c r="D881" s="2551" t="s">
        <v>7611</v>
      </c>
      <c r="E881" s="2550" t="s">
        <v>7215</v>
      </c>
      <c r="F881" s="2551">
        <v>149</v>
      </c>
      <c r="G881" s="2559">
        <v>-65167.38</v>
      </c>
      <c r="H881" s="2559">
        <v>-22950</v>
      </c>
      <c r="J881" s="2559" t="s">
        <v>7604</v>
      </c>
      <c r="K881" s="2553" t="s">
        <v>7605</v>
      </c>
      <c r="L881" s="2551" t="e">
        <f t="shared" si="13"/>
        <v>#N/A</v>
      </c>
      <c r="W881" s="2979"/>
    </row>
    <row r="882" spans="1:23" hidden="1">
      <c r="A882" s="2551">
        <v>2044310</v>
      </c>
      <c r="B882" s="2551" t="s">
        <v>6314</v>
      </c>
      <c r="C882" s="2551">
        <v>12</v>
      </c>
      <c r="D882" s="2551" t="s">
        <v>7611</v>
      </c>
      <c r="E882" s="2550" t="s">
        <v>7215</v>
      </c>
      <c r="F882" s="2551">
        <v>149</v>
      </c>
      <c r="G882" s="2559">
        <v>-83616679.209999993</v>
      </c>
      <c r="H882" s="2559">
        <v>-132030863.45</v>
      </c>
      <c r="J882" s="2551" t="s">
        <v>7652</v>
      </c>
      <c r="K882" s="2553" t="s">
        <v>6311</v>
      </c>
      <c r="L882" s="2551" t="e">
        <f t="shared" si="13"/>
        <v>#N/A</v>
      </c>
      <c r="W882" s="2979"/>
    </row>
    <row r="883" spans="1:23" hidden="1">
      <c r="A883" s="2551">
        <v>2044310</v>
      </c>
      <c r="B883" s="2551" t="s">
        <v>6314</v>
      </c>
      <c r="C883" s="2551">
        <v>12</v>
      </c>
      <c r="D883" s="2551" t="s">
        <v>7611</v>
      </c>
      <c r="E883" s="2550" t="s">
        <v>7215</v>
      </c>
      <c r="F883" s="2551">
        <v>149</v>
      </c>
      <c r="G883" s="2559">
        <v>-29296940.43</v>
      </c>
      <c r="H883" s="2551">
        <v>0</v>
      </c>
      <c r="J883" s="2551" t="s">
        <v>7652</v>
      </c>
      <c r="K883" s="2553" t="s">
        <v>6311</v>
      </c>
      <c r="L883" s="2551" t="e">
        <f t="shared" si="13"/>
        <v>#N/A</v>
      </c>
      <c r="W883" s="2979"/>
    </row>
    <row r="884" spans="1:23" hidden="1">
      <c r="A884" s="2551">
        <v>2044330</v>
      </c>
      <c r="B884" s="2551" t="s">
        <v>1938</v>
      </c>
      <c r="C884" s="2551">
        <v>12</v>
      </c>
      <c r="D884" s="2551" t="s">
        <v>7611</v>
      </c>
      <c r="E884" s="2550" t="s">
        <v>7215</v>
      </c>
      <c r="F884" s="2551">
        <v>149</v>
      </c>
      <c r="G884" s="2559">
        <v>-965135.19</v>
      </c>
      <c r="H884" s="2559">
        <v>-756672.19</v>
      </c>
      <c r="J884" s="2559" t="s">
        <v>7604</v>
      </c>
      <c r="K884" s="2553" t="s">
        <v>7605</v>
      </c>
      <c r="L884" s="2551" t="e">
        <f t="shared" si="13"/>
        <v>#N/A</v>
      </c>
      <c r="W884" s="2979"/>
    </row>
    <row r="885" spans="1:23" hidden="1">
      <c r="A885" s="2551">
        <v>2044340</v>
      </c>
      <c r="B885" s="2551" t="s">
        <v>6316</v>
      </c>
      <c r="C885" s="2551">
        <v>12</v>
      </c>
      <c r="D885" s="2551" t="s">
        <v>7611</v>
      </c>
      <c r="E885" s="2550" t="s">
        <v>7215</v>
      </c>
      <c r="F885" s="2551">
        <v>149</v>
      </c>
      <c r="G885" s="2559">
        <v>-5651737.9000000004</v>
      </c>
      <c r="H885" s="2559">
        <v>-5520447.9000000004</v>
      </c>
      <c r="J885" s="2559" t="s">
        <v>7604</v>
      </c>
      <c r="K885" s="2553" t="s">
        <v>7605</v>
      </c>
      <c r="L885" s="2551" t="e">
        <f t="shared" si="13"/>
        <v>#N/A</v>
      </c>
      <c r="W885" s="2979"/>
    </row>
    <row r="886" spans="1:23" hidden="1">
      <c r="A886" s="2551">
        <v>2044350</v>
      </c>
      <c r="B886" s="2568" t="s">
        <v>7706</v>
      </c>
      <c r="C886" s="2551">
        <v>12</v>
      </c>
      <c r="D886" s="2551" t="s">
        <v>7611</v>
      </c>
      <c r="E886" s="2550" t="s">
        <v>7215</v>
      </c>
      <c r="F886" s="2551">
        <v>149</v>
      </c>
      <c r="G886" s="2559">
        <v>-3107078.88</v>
      </c>
      <c r="H886" s="2559">
        <v>-4635584.88</v>
      </c>
      <c r="J886" s="2551" t="s">
        <v>7652</v>
      </c>
      <c r="K886" s="2553" t="s">
        <v>6311</v>
      </c>
      <c r="L886" s="2551" t="e">
        <f t="shared" si="13"/>
        <v>#N/A</v>
      </c>
      <c r="Q886" s="2551" t="s">
        <v>7702</v>
      </c>
      <c r="W886" s="2979"/>
    </row>
    <row r="887" spans="1:23" hidden="1">
      <c r="A887" s="2551">
        <v>2044407</v>
      </c>
      <c r="B887" s="2551" t="s">
        <v>6318</v>
      </c>
      <c r="C887" s="2551">
        <v>12</v>
      </c>
      <c r="D887" s="2551" t="s">
        <v>7611</v>
      </c>
      <c r="E887" s="2550" t="s">
        <v>7215</v>
      </c>
      <c r="F887" s="2551">
        <v>149</v>
      </c>
      <c r="G887" s="2559">
        <v>-314299.96999999997</v>
      </c>
      <c r="H887" s="2559">
        <v>-3421053.97</v>
      </c>
      <c r="J887" s="2551" t="s">
        <v>7652</v>
      </c>
      <c r="K887" s="2553" t="s">
        <v>6311</v>
      </c>
      <c r="L887" s="2551" t="e">
        <f t="shared" si="13"/>
        <v>#N/A</v>
      </c>
      <c r="W887" s="2979"/>
    </row>
    <row r="888" spans="1:23" hidden="1">
      <c r="A888" s="2551">
        <v>2044408</v>
      </c>
      <c r="B888" s="2551" t="s">
        <v>6319</v>
      </c>
      <c r="C888" s="2551">
        <v>12</v>
      </c>
      <c r="D888" s="2551" t="s">
        <v>7611</v>
      </c>
      <c r="E888" s="2550" t="s">
        <v>7215</v>
      </c>
      <c r="F888" s="2551">
        <v>149</v>
      </c>
      <c r="G888" s="2559">
        <v>-4246</v>
      </c>
      <c r="H888" s="2559">
        <v>-4246</v>
      </c>
      <c r="J888" s="2551" t="s">
        <v>7652</v>
      </c>
      <c r="K888" s="2553" t="s">
        <v>6311</v>
      </c>
      <c r="L888" s="2551" t="e">
        <f t="shared" si="13"/>
        <v>#N/A</v>
      </c>
      <c r="W888" s="2979"/>
    </row>
    <row r="889" spans="1:23" hidden="1">
      <c r="A889" s="2551">
        <v>2044409</v>
      </c>
      <c r="B889" s="2551" t="s">
        <v>6671</v>
      </c>
      <c r="C889" s="2551">
        <v>12</v>
      </c>
      <c r="D889" s="2551" t="s">
        <v>7611</v>
      </c>
      <c r="E889" s="2550" t="s">
        <v>7215</v>
      </c>
      <c r="F889" s="2551">
        <v>149</v>
      </c>
      <c r="G889" s="2559">
        <v>-273390</v>
      </c>
      <c r="H889" s="2551">
        <v>0</v>
      </c>
      <c r="J889" s="2551" t="s">
        <v>7652</v>
      </c>
      <c r="K889" s="2553" t="s">
        <v>6311</v>
      </c>
      <c r="L889" s="2551" t="e">
        <f t="shared" si="13"/>
        <v>#N/A</v>
      </c>
      <c r="W889" s="2979"/>
    </row>
    <row r="890" spans="1:23" hidden="1">
      <c r="A890" s="2551">
        <v>2044431</v>
      </c>
      <c r="B890" s="2551" t="s">
        <v>6320</v>
      </c>
      <c r="C890" s="2551">
        <v>12</v>
      </c>
      <c r="D890" s="2551" t="s">
        <v>7611</v>
      </c>
      <c r="E890" s="2550" t="s">
        <v>7215</v>
      </c>
      <c r="F890" s="2551">
        <v>149</v>
      </c>
      <c r="G890" s="2559">
        <v>-55157.599999999999</v>
      </c>
      <c r="H890" s="2559">
        <v>-21565.599999999999</v>
      </c>
      <c r="J890" s="2551" t="s">
        <v>7652</v>
      </c>
      <c r="K890" s="2553" t="s">
        <v>6311</v>
      </c>
      <c r="L890" s="2551" t="e">
        <f t="shared" si="13"/>
        <v>#N/A</v>
      </c>
      <c r="W890" s="2979"/>
    </row>
    <row r="891" spans="1:23" hidden="1">
      <c r="A891" s="2551">
        <v>2044445</v>
      </c>
      <c r="B891" s="2551" t="s">
        <v>6321</v>
      </c>
      <c r="C891" s="2551">
        <v>12</v>
      </c>
      <c r="D891" s="2551" t="s">
        <v>7611</v>
      </c>
      <c r="E891" s="2550" t="s">
        <v>7215</v>
      </c>
      <c r="F891" s="2551">
        <v>149</v>
      </c>
      <c r="G891" s="2559">
        <v>-933439.96</v>
      </c>
      <c r="H891" s="2559">
        <v>-507709.56</v>
      </c>
      <c r="J891" s="2551" t="s">
        <v>7652</v>
      </c>
      <c r="K891" s="2553" t="s">
        <v>6311</v>
      </c>
      <c r="L891" s="2551" t="e">
        <f t="shared" si="13"/>
        <v>#N/A</v>
      </c>
      <c r="W891" s="2979"/>
    </row>
    <row r="892" spans="1:23" hidden="1">
      <c r="A892" s="2551">
        <v>2044460</v>
      </c>
      <c r="B892" s="2551" t="s">
        <v>7707</v>
      </c>
      <c r="C892" s="2551">
        <v>12</v>
      </c>
      <c r="D892" s="2551" t="s">
        <v>7611</v>
      </c>
      <c r="E892" s="2550" t="s">
        <v>7215</v>
      </c>
      <c r="F892" s="2551">
        <v>149</v>
      </c>
      <c r="G892" s="2559">
        <v>222033</v>
      </c>
      <c r="H892" s="2559">
        <v>-391024</v>
      </c>
      <c r="J892" s="2551" t="s">
        <v>7652</v>
      </c>
      <c r="K892" s="2553" t="s">
        <v>6311</v>
      </c>
      <c r="L892" s="2551" t="e">
        <f t="shared" si="13"/>
        <v>#N/A</v>
      </c>
      <c r="W892" s="2979"/>
    </row>
    <row r="893" spans="1:23" hidden="1">
      <c r="A893" s="2551">
        <v>2044461</v>
      </c>
      <c r="B893" s="2551" t="s">
        <v>7708</v>
      </c>
      <c r="C893" s="2551">
        <v>12</v>
      </c>
      <c r="D893" s="2551" t="s">
        <v>7611</v>
      </c>
      <c r="E893" s="2550" t="s">
        <v>7215</v>
      </c>
      <c r="F893" s="2551">
        <v>149</v>
      </c>
      <c r="G893" s="2559">
        <v>-613412.47</v>
      </c>
      <c r="H893" s="2559">
        <v>-475570</v>
      </c>
      <c r="J893" s="2551" t="s">
        <v>7709</v>
      </c>
      <c r="K893" s="2553" t="s">
        <v>7710</v>
      </c>
      <c r="L893" s="2551" t="e">
        <f t="shared" si="13"/>
        <v>#N/A</v>
      </c>
      <c r="W893" s="2979"/>
    </row>
    <row r="894" spans="1:23" hidden="1">
      <c r="A894" s="2551">
        <v>2044461</v>
      </c>
      <c r="B894" s="2551" t="s">
        <v>7708</v>
      </c>
      <c r="C894" s="2551">
        <v>12</v>
      </c>
      <c r="D894" s="2551" t="s">
        <v>7611</v>
      </c>
      <c r="E894" s="2550" t="s">
        <v>7215</v>
      </c>
      <c r="F894" s="2551">
        <v>149</v>
      </c>
      <c r="G894" s="2559">
        <v>-46650</v>
      </c>
      <c r="H894" s="2551">
        <v>0</v>
      </c>
      <c r="J894" s="2551" t="s">
        <v>7709</v>
      </c>
      <c r="K894" s="2553" t="s">
        <v>7710</v>
      </c>
      <c r="L894" s="2551" t="e">
        <f t="shared" si="13"/>
        <v>#N/A</v>
      </c>
      <c r="W894" s="2979"/>
    </row>
    <row r="895" spans="1:23" hidden="1">
      <c r="A895" s="2551">
        <v>2044465</v>
      </c>
      <c r="B895" s="2551" t="s">
        <v>6326</v>
      </c>
      <c r="C895" s="2551">
        <v>12</v>
      </c>
      <c r="D895" s="2551" t="s">
        <v>7611</v>
      </c>
      <c r="E895" s="2550" t="s">
        <v>7215</v>
      </c>
      <c r="F895" s="2551">
        <v>149</v>
      </c>
      <c r="G895" s="2559">
        <v>-8248167.5099999998</v>
      </c>
      <c r="H895" s="2559">
        <v>-4589066.5999999996</v>
      </c>
      <c r="J895" s="2551" t="s">
        <v>7652</v>
      </c>
      <c r="K895" s="2553" t="s">
        <v>6311</v>
      </c>
      <c r="L895" s="2551" t="e">
        <f t="shared" si="13"/>
        <v>#N/A</v>
      </c>
      <c r="W895" s="2979"/>
    </row>
    <row r="896" spans="1:23" hidden="1">
      <c r="A896" s="2551">
        <v>2044490</v>
      </c>
      <c r="B896" s="2551" t="s">
        <v>7711</v>
      </c>
      <c r="C896" s="2551">
        <v>12</v>
      </c>
      <c r="D896" s="2551" t="s">
        <v>7611</v>
      </c>
      <c r="E896" s="2550" t="s">
        <v>7215</v>
      </c>
      <c r="F896" s="2551">
        <v>149</v>
      </c>
      <c r="G896" s="2559">
        <v>-2606</v>
      </c>
      <c r="H896" s="2551">
        <v>0</v>
      </c>
      <c r="J896" s="2551" t="s">
        <v>7631</v>
      </c>
      <c r="K896" s="2553" t="s">
        <v>116</v>
      </c>
      <c r="L896" s="2551" t="e">
        <f t="shared" si="13"/>
        <v>#N/A</v>
      </c>
      <c r="W896" s="2979"/>
    </row>
    <row r="897" spans="1:23" hidden="1">
      <c r="A897" s="2551">
        <v>2048101</v>
      </c>
      <c r="B897" s="2551" t="s">
        <v>6396</v>
      </c>
      <c r="C897" s="2551">
        <v>4</v>
      </c>
      <c r="D897" s="2551" t="s">
        <v>7712</v>
      </c>
      <c r="E897" s="2550" t="s">
        <v>7215</v>
      </c>
      <c r="F897" s="2551">
        <v>130</v>
      </c>
      <c r="G897" s="2559">
        <v>-1143860078.1500001</v>
      </c>
      <c r="H897" s="2559">
        <v>-994855509.24000001</v>
      </c>
      <c r="J897" s="2551" t="s">
        <v>7713</v>
      </c>
      <c r="K897" s="2553" t="s">
        <v>7714</v>
      </c>
      <c r="L897" s="2551" t="e">
        <f t="shared" si="13"/>
        <v>#N/A</v>
      </c>
      <c r="W897" s="2979"/>
    </row>
    <row r="898" spans="1:23" hidden="1">
      <c r="A898" s="2551">
        <v>2048102</v>
      </c>
      <c r="B898" s="2551" t="s">
        <v>7715</v>
      </c>
      <c r="C898" s="2551">
        <v>4</v>
      </c>
      <c r="D898" s="2551" t="s">
        <v>7712</v>
      </c>
      <c r="E898" s="2550" t="s">
        <v>7215</v>
      </c>
      <c r="F898" s="2551">
        <v>130</v>
      </c>
      <c r="G898" s="2559">
        <v>-74867372.260000005</v>
      </c>
      <c r="H898" s="2559">
        <v>-64489824.5</v>
      </c>
      <c r="J898" s="2551" t="s">
        <v>7713</v>
      </c>
      <c r="K898" s="2553" t="s">
        <v>7714</v>
      </c>
      <c r="L898" s="2551" t="e">
        <f t="shared" si="13"/>
        <v>#N/A</v>
      </c>
      <c r="W898" s="2979"/>
    </row>
    <row r="899" spans="1:23" hidden="1">
      <c r="A899" s="2551">
        <v>2048103</v>
      </c>
      <c r="B899" s="2551" t="s">
        <v>6398</v>
      </c>
      <c r="C899" s="2551">
        <v>4</v>
      </c>
      <c r="D899" s="2551" t="s">
        <v>7712</v>
      </c>
      <c r="E899" s="2550" t="s">
        <v>7215</v>
      </c>
      <c r="F899" s="2551">
        <v>130</v>
      </c>
      <c r="G899" s="2559">
        <v>-384115716.80000001</v>
      </c>
      <c r="H899" s="2559">
        <v>-359068526.20999998</v>
      </c>
      <c r="J899" s="2551" t="s">
        <v>7713</v>
      </c>
      <c r="K899" s="2553" t="s">
        <v>7714</v>
      </c>
      <c r="L899" s="2551" t="e">
        <f t="shared" si="13"/>
        <v>#N/A</v>
      </c>
      <c r="W899" s="2979"/>
    </row>
    <row r="900" spans="1:23" hidden="1">
      <c r="A900" s="2551">
        <v>2048104</v>
      </c>
      <c r="B900" s="2551" t="s">
        <v>6678</v>
      </c>
      <c r="C900" s="2551">
        <v>4</v>
      </c>
      <c r="D900" s="2551" t="s">
        <v>7712</v>
      </c>
      <c r="E900" s="2550" t="s">
        <v>7215</v>
      </c>
      <c r="F900" s="2551">
        <v>130</v>
      </c>
      <c r="G900" s="2559">
        <v>-4247850.4000000004</v>
      </c>
      <c r="H900" s="2551">
        <v>0</v>
      </c>
      <c r="J900" s="2551" t="s">
        <v>7713</v>
      </c>
      <c r="K900" s="2553" t="s">
        <v>7714</v>
      </c>
      <c r="L900" s="2551" t="e">
        <f t="shared" ref="L900:L963" si="14">VLOOKUP(A900,P:P,1,0)</f>
        <v>#N/A</v>
      </c>
      <c r="W900" s="2979"/>
    </row>
    <row r="901" spans="1:23" hidden="1">
      <c r="A901" s="2551">
        <v>2048106</v>
      </c>
      <c r="B901" s="2551" t="s">
        <v>7716</v>
      </c>
      <c r="C901" s="2551">
        <v>4</v>
      </c>
      <c r="D901" s="2551" t="s">
        <v>7712</v>
      </c>
      <c r="E901" s="2550" t="s">
        <v>7215</v>
      </c>
      <c r="F901" s="2551">
        <v>130</v>
      </c>
      <c r="G901" s="2559">
        <v>-192632983.5</v>
      </c>
      <c r="H901" s="2559">
        <v>-190183730.30000001</v>
      </c>
      <c r="J901" s="2551" t="s">
        <v>7713</v>
      </c>
      <c r="K901" s="2553" t="s">
        <v>7714</v>
      </c>
      <c r="L901" s="2551" t="e">
        <f t="shared" si="14"/>
        <v>#N/A</v>
      </c>
      <c r="W901" s="2979"/>
    </row>
    <row r="902" spans="1:23" hidden="1">
      <c r="A902" s="2551">
        <v>2048107</v>
      </c>
      <c r="B902" s="2551" t="s">
        <v>7717</v>
      </c>
      <c r="C902" s="2551">
        <v>4</v>
      </c>
      <c r="D902" s="2551" t="s">
        <v>7712</v>
      </c>
      <c r="E902" s="2550" t="s">
        <v>7215</v>
      </c>
      <c r="F902" s="2551">
        <v>130</v>
      </c>
      <c r="G902" s="2559">
        <v>-125689181.7</v>
      </c>
      <c r="H902" s="2559">
        <v>-120841774.04000001</v>
      </c>
      <c r="J902" s="2551" t="s">
        <v>7713</v>
      </c>
      <c r="K902" s="2553" t="s">
        <v>7714</v>
      </c>
      <c r="L902" s="2551" t="e">
        <f t="shared" si="14"/>
        <v>#N/A</v>
      </c>
      <c r="W902" s="2979"/>
    </row>
    <row r="903" spans="1:23" hidden="1">
      <c r="A903" s="2551">
        <v>2048108</v>
      </c>
      <c r="B903" s="2551" t="s">
        <v>7717</v>
      </c>
      <c r="C903" s="2551">
        <v>4</v>
      </c>
      <c r="D903" s="2551" t="s">
        <v>7712</v>
      </c>
      <c r="E903" s="2550" t="s">
        <v>7215</v>
      </c>
      <c r="F903" s="2551">
        <v>130</v>
      </c>
      <c r="G903" s="2559">
        <v>86329</v>
      </c>
      <c r="H903" s="2551">
        <v>0</v>
      </c>
      <c r="J903" s="2551" t="s">
        <v>7713</v>
      </c>
      <c r="K903" s="2553" t="s">
        <v>7714</v>
      </c>
      <c r="L903" s="2551" t="e">
        <f t="shared" si="14"/>
        <v>#N/A</v>
      </c>
      <c r="W903" s="2979"/>
    </row>
    <row r="904" spans="1:23" hidden="1">
      <c r="A904" s="2551">
        <v>2048109</v>
      </c>
      <c r="B904" s="2551" t="s">
        <v>6401</v>
      </c>
      <c r="C904" s="2551">
        <v>4</v>
      </c>
      <c r="D904" s="2551" t="s">
        <v>7712</v>
      </c>
      <c r="E904" s="2550" t="s">
        <v>7215</v>
      </c>
      <c r="F904" s="2551">
        <v>130</v>
      </c>
      <c r="G904" s="2559">
        <v>-410935320.38</v>
      </c>
      <c r="H904" s="2559">
        <v>-384297723.72000003</v>
      </c>
      <c r="J904" s="2551" t="s">
        <v>7713</v>
      </c>
      <c r="K904" s="2553" t="s">
        <v>7714</v>
      </c>
      <c r="L904" s="2551" t="e">
        <f t="shared" si="14"/>
        <v>#N/A</v>
      </c>
      <c r="W904" s="2979"/>
    </row>
    <row r="905" spans="1:23" hidden="1">
      <c r="A905" s="2551">
        <v>2048110</v>
      </c>
      <c r="B905" s="2551" t="s">
        <v>6680</v>
      </c>
      <c r="C905" s="2551">
        <v>4</v>
      </c>
      <c r="D905" s="2551" t="s">
        <v>7712</v>
      </c>
      <c r="E905" s="2550" t="s">
        <v>7215</v>
      </c>
      <c r="F905" s="2551">
        <v>130</v>
      </c>
      <c r="G905" s="2559">
        <v>-10930713</v>
      </c>
      <c r="H905" s="2551">
        <v>0</v>
      </c>
      <c r="J905" s="2551" t="s">
        <v>7713</v>
      </c>
      <c r="K905" s="2553" t="s">
        <v>7714</v>
      </c>
      <c r="L905" s="2551" t="e">
        <f t="shared" si="14"/>
        <v>#N/A</v>
      </c>
      <c r="W905" s="2979"/>
    </row>
    <row r="906" spans="1:23" hidden="1">
      <c r="A906" s="2551">
        <v>2048111</v>
      </c>
      <c r="B906" s="2551" t="s">
        <v>6681</v>
      </c>
      <c r="C906" s="2551">
        <v>4</v>
      </c>
      <c r="D906" s="2551" t="s">
        <v>7712</v>
      </c>
      <c r="E906" s="2550" t="s">
        <v>7215</v>
      </c>
      <c r="F906" s="2551">
        <v>130</v>
      </c>
      <c r="G906" s="2559">
        <v>-77224</v>
      </c>
      <c r="H906" s="2551">
        <v>0</v>
      </c>
      <c r="J906" s="2551" t="s">
        <v>7713</v>
      </c>
      <c r="K906" s="2553" t="s">
        <v>7714</v>
      </c>
      <c r="L906" s="2551" t="e">
        <f t="shared" si="14"/>
        <v>#N/A</v>
      </c>
      <c r="W906" s="2979"/>
    </row>
    <row r="907" spans="1:23" hidden="1">
      <c r="A907" s="2551">
        <v>2048113</v>
      </c>
      <c r="B907" s="2551" t="s">
        <v>7718</v>
      </c>
      <c r="C907" s="2551">
        <v>4</v>
      </c>
      <c r="D907" s="2551" t="s">
        <v>7712</v>
      </c>
      <c r="E907" s="2550" t="s">
        <v>7215</v>
      </c>
      <c r="F907" s="2551">
        <v>130</v>
      </c>
      <c r="G907" s="2559">
        <v>-24004570</v>
      </c>
      <c r="H907" s="2559">
        <v>-24004570</v>
      </c>
      <c r="J907" s="2551" t="s">
        <v>7713</v>
      </c>
      <c r="K907" s="2553" t="s">
        <v>7714</v>
      </c>
      <c r="L907" s="2551" t="e">
        <f t="shared" si="14"/>
        <v>#N/A</v>
      </c>
      <c r="W907" s="2979"/>
    </row>
    <row r="908" spans="1:23" hidden="1">
      <c r="A908" s="2551">
        <v>2048114</v>
      </c>
      <c r="B908" s="2551" t="s">
        <v>7718</v>
      </c>
      <c r="C908" s="2551">
        <v>4</v>
      </c>
      <c r="D908" s="2551" t="s">
        <v>7712</v>
      </c>
      <c r="E908" s="2550" t="s">
        <v>7215</v>
      </c>
      <c r="F908" s="2551">
        <v>130</v>
      </c>
      <c r="G908" s="2559">
        <v>-154964720.69999999</v>
      </c>
      <c r="H908" s="2559">
        <v>-154964720.69999999</v>
      </c>
      <c r="J908" s="2551" t="s">
        <v>7713</v>
      </c>
      <c r="K908" s="2553" t="s">
        <v>7714</v>
      </c>
      <c r="L908" s="2551" t="e">
        <f t="shared" si="14"/>
        <v>#N/A</v>
      </c>
      <c r="W908" s="2979"/>
    </row>
    <row r="909" spans="1:23" hidden="1">
      <c r="A909" s="2551">
        <v>2048115</v>
      </c>
      <c r="B909" s="2551" t="s">
        <v>6404</v>
      </c>
      <c r="C909" s="2551">
        <v>4</v>
      </c>
      <c r="D909" s="2551" t="s">
        <v>7712</v>
      </c>
      <c r="E909" s="2550" t="s">
        <v>7215</v>
      </c>
      <c r="F909" s="2551">
        <v>130</v>
      </c>
      <c r="G909" s="2559">
        <v>-10565541.859999999</v>
      </c>
      <c r="H909" s="2559">
        <v>-8140433.8600000003</v>
      </c>
      <c r="J909" s="2551" t="s">
        <v>7713</v>
      </c>
      <c r="K909" s="2553" t="s">
        <v>7714</v>
      </c>
      <c r="L909" s="2551" t="e">
        <f t="shared" si="14"/>
        <v>#N/A</v>
      </c>
      <c r="W909" s="2979"/>
    </row>
    <row r="910" spans="1:23" hidden="1">
      <c r="A910" s="2551">
        <v>2048116</v>
      </c>
      <c r="B910" s="2551" t="s">
        <v>6405</v>
      </c>
      <c r="C910" s="2551">
        <v>4</v>
      </c>
      <c r="D910" s="2551" t="s">
        <v>7712</v>
      </c>
      <c r="E910" s="2550" t="s">
        <v>7215</v>
      </c>
      <c r="F910" s="2551">
        <v>130</v>
      </c>
      <c r="G910" s="2559">
        <v>-150237541</v>
      </c>
      <c r="H910" s="2559">
        <v>-104294880</v>
      </c>
      <c r="J910" s="2551" t="s">
        <v>7713</v>
      </c>
      <c r="K910" s="2553" t="s">
        <v>7714</v>
      </c>
      <c r="L910" s="2551" t="e">
        <f t="shared" si="14"/>
        <v>#N/A</v>
      </c>
      <c r="W910" s="2979"/>
    </row>
    <row r="911" spans="1:23" hidden="1">
      <c r="A911" s="2551">
        <v>2048117</v>
      </c>
      <c r="B911" s="2551" t="s">
        <v>6406</v>
      </c>
      <c r="C911" s="2551">
        <v>4</v>
      </c>
      <c r="D911" s="2551" t="s">
        <v>7712</v>
      </c>
      <c r="E911" s="2550" t="s">
        <v>7215</v>
      </c>
      <c r="F911" s="2551">
        <v>130</v>
      </c>
      <c r="G911" s="2559">
        <v>-179998596.28</v>
      </c>
      <c r="H911" s="2559">
        <v>-154908121.28</v>
      </c>
      <c r="J911" s="2551" t="s">
        <v>7713</v>
      </c>
      <c r="K911" s="2553" t="s">
        <v>7714</v>
      </c>
      <c r="L911" s="2551" t="e">
        <f t="shared" si="14"/>
        <v>#N/A</v>
      </c>
      <c r="W911" s="2979"/>
    </row>
    <row r="912" spans="1:23" hidden="1">
      <c r="A912" s="2551">
        <v>2048118</v>
      </c>
      <c r="B912" s="2551" t="s">
        <v>7719</v>
      </c>
      <c r="C912" s="2551">
        <v>4</v>
      </c>
      <c r="D912" s="2551" t="s">
        <v>7712</v>
      </c>
      <c r="E912" s="2550" t="s">
        <v>7215</v>
      </c>
      <c r="F912" s="2551">
        <v>130</v>
      </c>
      <c r="G912" s="2559">
        <v>-46492233.789999999</v>
      </c>
      <c r="H912" s="2559">
        <v>-41244976.049999997</v>
      </c>
      <c r="J912" s="2551" t="s">
        <v>7713</v>
      </c>
      <c r="K912" s="2553" t="s">
        <v>7714</v>
      </c>
      <c r="L912" s="2551" t="e">
        <f t="shared" si="14"/>
        <v>#N/A</v>
      </c>
      <c r="W912" s="2979"/>
    </row>
    <row r="913" spans="1:23" hidden="1">
      <c r="A913" s="2551">
        <v>2048119</v>
      </c>
      <c r="B913" s="2551" t="s">
        <v>7719</v>
      </c>
      <c r="C913" s="2551">
        <v>4</v>
      </c>
      <c r="D913" s="2551" t="s">
        <v>7712</v>
      </c>
      <c r="E913" s="2550" t="s">
        <v>7215</v>
      </c>
      <c r="F913" s="2551">
        <v>130</v>
      </c>
      <c r="G913" s="2559">
        <v>-139577</v>
      </c>
      <c r="H913" s="2551">
        <v>0</v>
      </c>
      <c r="J913" s="2551" t="s">
        <v>7713</v>
      </c>
      <c r="K913" s="2553" t="s">
        <v>7714</v>
      </c>
      <c r="L913" s="2551" t="e">
        <f t="shared" si="14"/>
        <v>#N/A</v>
      </c>
      <c r="W913" s="2979"/>
    </row>
    <row r="914" spans="1:23" hidden="1">
      <c r="A914" s="2551">
        <v>2048120</v>
      </c>
      <c r="B914" s="2551" t="s">
        <v>7720</v>
      </c>
      <c r="C914" s="2551">
        <v>4</v>
      </c>
      <c r="D914" s="2551" t="s">
        <v>7712</v>
      </c>
      <c r="E914" s="2550" t="s">
        <v>7215</v>
      </c>
      <c r="F914" s="2551">
        <v>130</v>
      </c>
      <c r="G914" s="2559">
        <v>-52673942.479999997</v>
      </c>
      <c r="H914" s="2559">
        <v>-49507829.479999997</v>
      </c>
      <c r="J914" s="2551" t="s">
        <v>7713</v>
      </c>
      <c r="K914" s="2553" t="s">
        <v>7714</v>
      </c>
      <c r="L914" s="2551" t="e">
        <f t="shared" si="14"/>
        <v>#N/A</v>
      </c>
      <c r="W914" s="2979"/>
    </row>
    <row r="915" spans="1:23" hidden="1">
      <c r="A915" s="2551">
        <v>2048121</v>
      </c>
      <c r="B915" s="2551" t="s">
        <v>7720</v>
      </c>
      <c r="C915" s="2551">
        <v>4</v>
      </c>
      <c r="D915" s="2551" t="s">
        <v>7712</v>
      </c>
      <c r="E915" s="2550" t="s">
        <v>7215</v>
      </c>
      <c r="F915" s="2551">
        <v>130</v>
      </c>
      <c r="G915" s="2559">
        <v>-18662188</v>
      </c>
      <c r="H915" s="2551">
        <v>0</v>
      </c>
      <c r="J915" s="2551" t="s">
        <v>7713</v>
      </c>
      <c r="K915" s="2553" t="s">
        <v>7714</v>
      </c>
      <c r="L915" s="2551" t="e">
        <f t="shared" si="14"/>
        <v>#N/A</v>
      </c>
      <c r="W915" s="2979"/>
    </row>
    <row r="916" spans="1:23" hidden="1">
      <c r="A916" s="2551">
        <v>2048122</v>
      </c>
      <c r="B916" s="2551" t="s">
        <v>7721</v>
      </c>
      <c r="C916" s="2551">
        <v>4</v>
      </c>
      <c r="D916" s="2551" t="s">
        <v>7712</v>
      </c>
      <c r="E916" s="2550" t="s">
        <v>7215</v>
      </c>
      <c r="F916" s="2551">
        <v>130</v>
      </c>
      <c r="G916" s="2559">
        <v>-2124636.75</v>
      </c>
      <c r="H916" s="2559">
        <v>-1986240.35</v>
      </c>
      <c r="J916" s="2551" t="s">
        <v>7713</v>
      </c>
      <c r="K916" s="2553" t="s">
        <v>7714</v>
      </c>
      <c r="L916" s="2551" t="e">
        <f t="shared" si="14"/>
        <v>#N/A</v>
      </c>
      <c r="W916" s="2979"/>
    </row>
    <row r="917" spans="1:23" hidden="1">
      <c r="A917" s="2551">
        <v>2048123</v>
      </c>
      <c r="B917" s="2551" t="s">
        <v>7721</v>
      </c>
      <c r="C917" s="2551">
        <v>4</v>
      </c>
      <c r="D917" s="2551" t="s">
        <v>7712</v>
      </c>
      <c r="E917" s="2550" t="s">
        <v>7215</v>
      </c>
      <c r="F917" s="2551">
        <v>130</v>
      </c>
      <c r="G917" s="2559">
        <v>-291200.34999999998</v>
      </c>
      <c r="H917" s="2559">
        <v>-100267.35</v>
      </c>
      <c r="J917" s="2551" t="s">
        <v>7713</v>
      </c>
      <c r="K917" s="2553" t="s">
        <v>7714</v>
      </c>
      <c r="L917" s="2551" t="e">
        <f t="shared" si="14"/>
        <v>#N/A</v>
      </c>
      <c r="W917" s="2979"/>
    </row>
    <row r="918" spans="1:23" hidden="1">
      <c r="A918" s="2551">
        <v>2048124</v>
      </c>
      <c r="B918" s="2551" t="s">
        <v>7722</v>
      </c>
      <c r="C918" s="2551">
        <v>4</v>
      </c>
      <c r="D918" s="2551" t="s">
        <v>7712</v>
      </c>
      <c r="E918" s="2550" t="s">
        <v>7215</v>
      </c>
      <c r="F918" s="2551">
        <v>130</v>
      </c>
      <c r="G918" s="2559">
        <v>-853951.77</v>
      </c>
      <c r="H918" s="2559">
        <v>-708220.17</v>
      </c>
      <c r="J918" s="2551" t="s">
        <v>7713</v>
      </c>
      <c r="K918" s="2553" t="s">
        <v>7714</v>
      </c>
      <c r="L918" s="2551" t="e">
        <f t="shared" si="14"/>
        <v>#N/A</v>
      </c>
      <c r="W918" s="2979"/>
    </row>
    <row r="919" spans="1:23" hidden="1">
      <c r="A919" s="2551">
        <v>2048126</v>
      </c>
      <c r="B919" s="2551" t="s">
        <v>7723</v>
      </c>
      <c r="C919" s="2551">
        <v>4</v>
      </c>
      <c r="D919" s="2551" t="s">
        <v>7712</v>
      </c>
      <c r="E919" s="2550" t="s">
        <v>7215</v>
      </c>
      <c r="F919" s="2551">
        <v>130</v>
      </c>
      <c r="G919" s="2559">
        <v>-61431334.310000002</v>
      </c>
      <c r="H919" s="2559">
        <v>-57210252.240000002</v>
      </c>
      <c r="J919" s="2551" t="s">
        <v>7713</v>
      </c>
      <c r="K919" s="2553" t="s">
        <v>7714</v>
      </c>
      <c r="L919" s="2551" t="e">
        <f t="shared" si="14"/>
        <v>#N/A</v>
      </c>
      <c r="W919" s="2979"/>
    </row>
    <row r="920" spans="1:23" hidden="1">
      <c r="A920" s="2551">
        <v>2048127</v>
      </c>
      <c r="B920" s="2551" t="s">
        <v>7723</v>
      </c>
      <c r="C920" s="2551">
        <v>4</v>
      </c>
      <c r="D920" s="2551" t="s">
        <v>7712</v>
      </c>
      <c r="E920" s="2550" t="s">
        <v>7215</v>
      </c>
      <c r="F920" s="2551">
        <v>130</v>
      </c>
      <c r="G920" s="2559">
        <v>-2031481.2</v>
      </c>
      <c r="H920" s="2551">
        <v>0</v>
      </c>
      <c r="J920" s="2551" t="s">
        <v>7713</v>
      </c>
      <c r="K920" s="2553" t="s">
        <v>7714</v>
      </c>
      <c r="L920" s="2551" t="e">
        <f t="shared" si="14"/>
        <v>#N/A</v>
      </c>
      <c r="W920" s="2979"/>
    </row>
    <row r="921" spans="1:23" hidden="1">
      <c r="A921" s="2551">
        <v>2048201</v>
      </c>
      <c r="B921" s="2551" t="s">
        <v>7724</v>
      </c>
      <c r="C921" s="2551">
        <v>4</v>
      </c>
      <c r="D921" s="2551" t="s">
        <v>7712</v>
      </c>
      <c r="E921" s="2550" t="s">
        <v>7215</v>
      </c>
      <c r="F921" s="2551">
        <v>130</v>
      </c>
      <c r="G921" s="2559">
        <v>-18437705.98</v>
      </c>
      <c r="H921" s="2559">
        <v>-18438843.98</v>
      </c>
      <c r="J921" s="2551" t="s">
        <v>7713</v>
      </c>
      <c r="K921" s="2553" t="s">
        <v>7714</v>
      </c>
      <c r="L921" s="2551" t="e">
        <f t="shared" si="14"/>
        <v>#N/A</v>
      </c>
      <c r="W921" s="2979"/>
    </row>
    <row r="922" spans="1:23" hidden="1">
      <c r="A922" s="2551">
        <v>2046916</v>
      </c>
      <c r="B922" s="2551" t="s">
        <v>6358</v>
      </c>
      <c r="C922" s="2551">
        <v>12</v>
      </c>
      <c r="D922" s="2551" t="s">
        <v>7611</v>
      </c>
      <c r="E922" s="2550" t="s">
        <v>7215</v>
      </c>
      <c r="F922" s="2551">
        <v>149</v>
      </c>
      <c r="G922" s="2559">
        <v>-215452.2</v>
      </c>
      <c r="H922" s="2559">
        <v>-272052.2</v>
      </c>
      <c r="J922" s="2551" t="s">
        <v>7628</v>
      </c>
      <c r="K922" s="2553" t="s">
        <v>7629</v>
      </c>
      <c r="L922" s="2551" t="e">
        <f t="shared" si="14"/>
        <v>#N/A</v>
      </c>
      <c r="W922" s="2979"/>
    </row>
    <row r="923" spans="1:23" hidden="1">
      <c r="A923" s="2551">
        <v>2046917</v>
      </c>
      <c r="B923" s="2551" t="s">
        <v>7725</v>
      </c>
      <c r="C923" s="2551">
        <v>12</v>
      </c>
      <c r="D923" s="2551" t="s">
        <v>7611</v>
      </c>
      <c r="E923" s="2550" t="s">
        <v>7215</v>
      </c>
      <c r="F923" s="2551">
        <v>149</v>
      </c>
      <c r="G923" s="2559">
        <v>81909.56</v>
      </c>
      <c r="H923" s="2559">
        <v>81909.56</v>
      </c>
      <c r="J923" s="2551" t="s">
        <v>7628</v>
      </c>
      <c r="K923" s="2553" t="s">
        <v>7629</v>
      </c>
      <c r="L923" s="2551" t="e">
        <f t="shared" si="14"/>
        <v>#N/A</v>
      </c>
      <c r="W923" s="2979"/>
    </row>
    <row r="924" spans="1:23" hidden="1">
      <c r="A924" s="2551">
        <v>2046918</v>
      </c>
      <c r="B924" s="2551" t="s">
        <v>7726</v>
      </c>
      <c r="C924" s="2551">
        <v>12</v>
      </c>
      <c r="D924" s="2551" t="s">
        <v>7611</v>
      </c>
      <c r="E924" s="2550" t="s">
        <v>7215</v>
      </c>
      <c r="F924" s="2551">
        <v>149</v>
      </c>
      <c r="G924" s="2559">
        <v>-535000</v>
      </c>
      <c r="H924" s="2551">
        <v>0</v>
      </c>
      <c r="J924" s="2551" t="s">
        <v>7628</v>
      </c>
      <c r="K924" s="2553" t="s">
        <v>7629</v>
      </c>
      <c r="L924" s="2551" t="e">
        <f t="shared" si="14"/>
        <v>#N/A</v>
      </c>
      <c r="W924" s="2979"/>
    </row>
    <row r="925" spans="1:23" hidden="1">
      <c r="A925" s="2550">
        <v>2046920</v>
      </c>
      <c r="B925" s="2551" t="s">
        <v>7727</v>
      </c>
      <c r="C925" s="2550">
        <v>8</v>
      </c>
      <c r="D925" s="2551" t="s">
        <v>7312</v>
      </c>
      <c r="E925" s="2550" t="s">
        <v>7215</v>
      </c>
      <c r="F925" s="2550">
        <v>116</v>
      </c>
      <c r="G925" s="2559">
        <v>-37064421.520000003</v>
      </c>
      <c r="H925" s="2551">
        <v>0</v>
      </c>
      <c r="J925" s="2550">
        <v>9</v>
      </c>
      <c r="K925" s="2553" t="s">
        <v>7313</v>
      </c>
      <c r="L925" s="2551" t="e">
        <f t="shared" si="14"/>
        <v>#N/A</v>
      </c>
      <c r="W925" s="2979"/>
    </row>
    <row r="926" spans="1:23" hidden="1">
      <c r="A926" s="2551">
        <v>2046921</v>
      </c>
      <c r="B926" s="2551" t="s">
        <v>6359</v>
      </c>
      <c r="C926" s="2551">
        <v>12</v>
      </c>
      <c r="D926" s="2551" t="s">
        <v>7611</v>
      </c>
      <c r="E926" s="2550" t="s">
        <v>7215</v>
      </c>
      <c r="F926" s="2551">
        <v>149</v>
      </c>
      <c r="G926" s="2559">
        <v>-1213764.3999999999</v>
      </c>
      <c r="H926" s="2559">
        <v>-850749.4</v>
      </c>
      <c r="J926" s="2551" t="s">
        <v>7628</v>
      </c>
      <c r="K926" s="2553" t="s">
        <v>7629</v>
      </c>
      <c r="L926" s="2551" t="e">
        <f t="shared" si="14"/>
        <v>#N/A</v>
      </c>
      <c r="W926" s="2979"/>
    </row>
    <row r="927" spans="1:23" hidden="1">
      <c r="A927" s="2551">
        <v>2046922</v>
      </c>
      <c r="B927" s="2551" t="s">
        <v>7728</v>
      </c>
      <c r="C927" s="2551">
        <v>12</v>
      </c>
      <c r="D927" s="2551" t="s">
        <v>7611</v>
      </c>
      <c r="E927" s="2550" t="s">
        <v>7215</v>
      </c>
      <c r="F927" s="2551">
        <v>149</v>
      </c>
      <c r="G927" s="2559">
        <v>-7623000.54</v>
      </c>
      <c r="H927" s="2551">
        <v>0</v>
      </c>
      <c r="J927" s="2551" t="s">
        <v>7628</v>
      </c>
      <c r="K927" s="2553" t="s">
        <v>7629</v>
      </c>
      <c r="L927" s="2551" t="e">
        <f t="shared" si="14"/>
        <v>#N/A</v>
      </c>
      <c r="N927" s="2551" t="s">
        <v>7702</v>
      </c>
      <c r="W927" s="2979"/>
    </row>
    <row r="928" spans="1:23" hidden="1">
      <c r="A928" s="2551">
        <v>2042601</v>
      </c>
      <c r="B928" s="2551" t="s">
        <v>7729</v>
      </c>
      <c r="C928" s="2551">
        <v>12</v>
      </c>
      <c r="D928" s="2551" t="s">
        <v>7730</v>
      </c>
      <c r="E928" s="2550" t="s">
        <v>7215</v>
      </c>
      <c r="F928" s="2551">
        <v>142</v>
      </c>
      <c r="G928" s="2559">
        <v>-258994283.87</v>
      </c>
      <c r="H928" s="2559">
        <v>-2318870</v>
      </c>
      <c r="J928" s="2551" t="s">
        <v>7600</v>
      </c>
      <c r="K928" s="2553" t="s">
        <v>5804</v>
      </c>
      <c r="L928" s="2551" t="e">
        <f t="shared" si="14"/>
        <v>#N/A</v>
      </c>
      <c r="W928" s="2979"/>
    </row>
    <row r="929" spans="1:23" hidden="1">
      <c r="A929" s="2551">
        <v>2042101</v>
      </c>
      <c r="B929" s="2551" t="s">
        <v>7731</v>
      </c>
      <c r="C929" s="2551">
        <v>12</v>
      </c>
      <c r="D929" s="2551" t="s">
        <v>7730</v>
      </c>
      <c r="E929" s="2550" t="s">
        <v>7215</v>
      </c>
      <c r="F929" s="2551">
        <v>142</v>
      </c>
      <c r="G929" s="2559">
        <v>-231271831.84</v>
      </c>
      <c r="H929" s="2559">
        <v>-39317241.460000001</v>
      </c>
      <c r="J929" s="2550" t="s">
        <v>7732</v>
      </c>
      <c r="K929" s="2553" t="s">
        <v>7733</v>
      </c>
      <c r="L929" s="2551" t="e">
        <f t="shared" si="14"/>
        <v>#N/A</v>
      </c>
      <c r="W929" s="2979"/>
    </row>
    <row r="930" spans="1:23" hidden="1">
      <c r="A930" s="2551">
        <v>2042102</v>
      </c>
      <c r="B930" s="2551" t="s">
        <v>7734</v>
      </c>
      <c r="C930" s="2551">
        <v>12</v>
      </c>
      <c r="D930" s="2551" t="s">
        <v>7730</v>
      </c>
      <c r="E930" s="2550" t="s">
        <v>7215</v>
      </c>
      <c r="F930" s="2551">
        <v>142</v>
      </c>
      <c r="G930" s="2559">
        <v>-7606870</v>
      </c>
      <c r="H930" s="2551">
        <v>0</v>
      </c>
      <c r="J930" s="2551" t="s">
        <v>7600</v>
      </c>
      <c r="K930" s="2553" t="s">
        <v>5804</v>
      </c>
      <c r="L930" s="2551" t="e">
        <f t="shared" si="14"/>
        <v>#N/A</v>
      </c>
      <c r="W930" s="2979"/>
    </row>
    <row r="931" spans="1:23" hidden="1">
      <c r="A931" s="2551">
        <v>2042103</v>
      </c>
      <c r="B931" s="2551" t="s">
        <v>7735</v>
      </c>
      <c r="C931" s="2551">
        <v>12</v>
      </c>
      <c r="D931" s="2551" t="s">
        <v>7730</v>
      </c>
      <c r="E931" s="2550" t="s">
        <v>7215</v>
      </c>
      <c r="F931" s="2551">
        <v>142</v>
      </c>
      <c r="G931" s="2559">
        <v>-64182256.469999999</v>
      </c>
      <c r="H931" s="2559">
        <v>-30736081.760000002</v>
      </c>
      <c r="J931" s="2551" t="s">
        <v>7600</v>
      </c>
      <c r="K931" s="2553" t="s">
        <v>5804</v>
      </c>
      <c r="L931" s="2551" t="e">
        <f t="shared" si="14"/>
        <v>#N/A</v>
      </c>
      <c r="W931" s="2979"/>
    </row>
    <row r="932" spans="1:23" hidden="1">
      <c r="A932" s="2551">
        <v>2042104</v>
      </c>
      <c r="B932" s="2551" t="s">
        <v>7734</v>
      </c>
      <c r="C932" s="2551">
        <v>12</v>
      </c>
      <c r="D932" s="2551" t="s">
        <v>7730</v>
      </c>
      <c r="E932" s="2550" t="s">
        <v>7215</v>
      </c>
      <c r="F932" s="2551">
        <v>142</v>
      </c>
      <c r="G932" s="2559">
        <v>-24601990.309999999</v>
      </c>
      <c r="H932" s="2559">
        <v>-24601990.309999999</v>
      </c>
      <c r="J932" s="2551" t="s">
        <v>7600</v>
      </c>
      <c r="K932" s="2553" t="s">
        <v>5804</v>
      </c>
      <c r="L932" s="2551" t="e">
        <f t="shared" si="14"/>
        <v>#N/A</v>
      </c>
      <c r="W932" s="2979"/>
    </row>
    <row r="933" spans="1:23" hidden="1">
      <c r="A933" s="2551">
        <v>2042105</v>
      </c>
      <c r="B933" s="2551" t="s">
        <v>7736</v>
      </c>
      <c r="C933" s="2551">
        <v>12</v>
      </c>
      <c r="D933" s="2551" t="s">
        <v>7730</v>
      </c>
      <c r="E933" s="2550" t="s">
        <v>7215</v>
      </c>
      <c r="F933" s="2551">
        <v>142</v>
      </c>
      <c r="G933" s="2559">
        <v>-998978439.97000003</v>
      </c>
      <c r="H933" s="2559">
        <v>-994214458</v>
      </c>
      <c r="J933" s="2551" t="s">
        <v>7600</v>
      </c>
      <c r="K933" s="2553" t="s">
        <v>5804</v>
      </c>
      <c r="L933" s="2551" t="e">
        <f t="shared" si="14"/>
        <v>#N/A</v>
      </c>
      <c r="W933" s="2979"/>
    </row>
    <row r="934" spans="1:23" hidden="1">
      <c r="A934" s="2551">
        <v>2042201</v>
      </c>
      <c r="B934" s="2551" t="s">
        <v>6267</v>
      </c>
      <c r="C934" s="2551">
        <v>12</v>
      </c>
      <c r="D934" s="2551" t="s">
        <v>7730</v>
      </c>
      <c r="E934" s="2550" t="s">
        <v>7215</v>
      </c>
      <c r="F934" s="2551">
        <v>142</v>
      </c>
      <c r="G934" s="2559">
        <v>835811869.29999995</v>
      </c>
      <c r="H934" s="2559">
        <v>828963703.74000001</v>
      </c>
      <c r="J934" s="2551" t="s">
        <v>7600</v>
      </c>
      <c r="K934" s="2553" t="s">
        <v>5804</v>
      </c>
      <c r="L934" s="2551" t="e">
        <f t="shared" si="14"/>
        <v>#N/A</v>
      </c>
      <c r="W934" s="2979"/>
    </row>
    <row r="935" spans="1:23" hidden="1">
      <c r="A935" s="2551">
        <v>2042203</v>
      </c>
      <c r="B935" s="2551" t="s">
        <v>7735</v>
      </c>
      <c r="C935" s="2551">
        <v>12</v>
      </c>
      <c r="D935" s="2551" t="s">
        <v>7730</v>
      </c>
      <c r="E935" s="2550" t="s">
        <v>7215</v>
      </c>
      <c r="F935" s="2551">
        <v>142</v>
      </c>
      <c r="G935" s="2559">
        <v>-14843563.050000001</v>
      </c>
      <c r="H935" s="2559">
        <v>-23977784.07</v>
      </c>
      <c r="J935" s="2551" t="s">
        <v>7600</v>
      </c>
      <c r="K935" s="2553" t="s">
        <v>5804</v>
      </c>
      <c r="L935" s="2551" t="e">
        <f t="shared" si="14"/>
        <v>#N/A</v>
      </c>
      <c r="W935" s="2979"/>
    </row>
    <row r="936" spans="1:23" hidden="1">
      <c r="A936" s="2551">
        <v>2042214</v>
      </c>
      <c r="B936" s="2551" t="s">
        <v>7737</v>
      </c>
      <c r="C936" s="2551">
        <v>12</v>
      </c>
      <c r="D936" s="2551" t="s">
        <v>7730</v>
      </c>
      <c r="E936" s="2550" t="s">
        <v>7215</v>
      </c>
      <c r="F936" s="2551">
        <v>142</v>
      </c>
      <c r="G936" s="2559">
        <v>372437</v>
      </c>
      <c r="H936" s="2559">
        <v>372437</v>
      </c>
      <c r="J936" s="2551" t="s">
        <v>7600</v>
      </c>
      <c r="K936" s="2553" t="s">
        <v>5804</v>
      </c>
      <c r="L936" s="2551" t="e">
        <f t="shared" si="14"/>
        <v>#N/A</v>
      </c>
      <c r="W936" s="2979"/>
    </row>
    <row r="937" spans="1:23" hidden="1">
      <c r="A937" s="2551">
        <v>2042301</v>
      </c>
      <c r="B937" s="2551" t="s">
        <v>7738</v>
      </c>
      <c r="C937" s="2551">
        <v>12</v>
      </c>
      <c r="D937" s="2551" t="s">
        <v>7730</v>
      </c>
      <c r="E937" s="2550" t="s">
        <v>7215</v>
      </c>
      <c r="F937" s="2551">
        <v>142</v>
      </c>
      <c r="G937" s="2559">
        <v>3672.7</v>
      </c>
      <c r="H937" s="2559">
        <v>3672.7</v>
      </c>
      <c r="J937" s="2550" t="s">
        <v>7732</v>
      </c>
      <c r="K937" s="2553" t="s">
        <v>7733</v>
      </c>
      <c r="L937" s="2551" t="e">
        <f t="shared" si="14"/>
        <v>#N/A</v>
      </c>
      <c r="W937" s="2979"/>
    </row>
    <row r="938" spans="1:23" hidden="1">
      <c r="A938" s="2551">
        <v>2042401</v>
      </c>
      <c r="B938" s="2551" t="s">
        <v>6270</v>
      </c>
      <c r="C938" s="2551">
        <v>12</v>
      </c>
      <c r="D938" s="2551" t="s">
        <v>7730</v>
      </c>
      <c r="E938" s="2550" t="s">
        <v>7215</v>
      </c>
      <c r="F938" s="2551">
        <v>142</v>
      </c>
      <c r="G938" s="2559">
        <v>5621234.7000000002</v>
      </c>
      <c r="H938" s="2559">
        <v>5906826.7000000002</v>
      </c>
      <c r="J938" s="2550" t="s">
        <v>7732</v>
      </c>
      <c r="K938" s="2553" t="s">
        <v>7733</v>
      </c>
      <c r="L938" s="2551" t="e">
        <f t="shared" si="14"/>
        <v>#N/A</v>
      </c>
      <c r="W938" s="2979"/>
    </row>
    <row r="939" spans="1:23" hidden="1">
      <c r="A939" s="2551">
        <v>2042501</v>
      </c>
      <c r="B939" s="2551" t="s">
        <v>6271</v>
      </c>
      <c r="C939" s="2551">
        <v>12</v>
      </c>
      <c r="D939" s="2551" t="s">
        <v>7730</v>
      </c>
      <c r="E939" s="2550" t="s">
        <v>7215</v>
      </c>
      <c r="F939" s="2551">
        <v>142</v>
      </c>
      <c r="G939" s="2559">
        <v>-243405661.25</v>
      </c>
      <c r="H939" s="2559">
        <v>-1801635</v>
      </c>
      <c r="J939" s="2550" t="s">
        <v>7732</v>
      </c>
      <c r="K939" s="2553" t="s">
        <v>7733</v>
      </c>
      <c r="L939" s="2551" t="e">
        <f t="shared" si="14"/>
        <v>#N/A</v>
      </c>
      <c r="W939" s="2979"/>
    </row>
    <row r="940" spans="1:23" hidden="1">
      <c r="A940" s="2551">
        <v>2042502</v>
      </c>
      <c r="B940" s="2551" t="s">
        <v>6272</v>
      </c>
      <c r="C940" s="2551">
        <v>12</v>
      </c>
      <c r="D940" s="2551" t="s">
        <v>7730</v>
      </c>
      <c r="E940" s="2550" t="s">
        <v>7215</v>
      </c>
      <c r="F940" s="2551">
        <v>142</v>
      </c>
      <c r="G940" s="2559">
        <v>67494.86</v>
      </c>
      <c r="H940" s="2559">
        <v>-182751</v>
      </c>
      <c r="J940" s="2550" t="s">
        <v>7732</v>
      </c>
      <c r="K940" s="2553" t="s">
        <v>7733</v>
      </c>
      <c r="L940" s="2551" t="e">
        <f t="shared" si="14"/>
        <v>#N/A</v>
      </c>
      <c r="W940" s="2979"/>
    </row>
    <row r="941" spans="1:23" hidden="1">
      <c r="A941" s="2551">
        <v>2043117</v>
      </c>
      <c r="B941" s="2551" t="s">
        <v>7739</v>
      </c>
      <c r="C941" s="2551">
        <v>12</v>
      </c>
      <c r="D941" s="2551" t="s">
        <v>7730</v>
      </c>
      <c r="E941" s="2550" t="s">
        <v>7215</v>
      </c>
      <c r="F941" s="2551">
        <v>142</v>
      </c>
      <c r="G941" s="2559">
        <v>-21201728.379999999</v>
      </c>
      <c r="H941" s="2559">
        <v>-48469139.840000004</v>
      </c>
      <c r="J941" s="2551" t="s">
        <v>7600</v>
      </c>
      <c r="K941" s="2553" t="s">
        <v>5804</v>
      </c>
      <c r="L941" s="2551" t="e">
        <f t="shared" si="14"/>
        <v>#N/A</v>
      </c>
      <c r="W941" s="2979"/>
    </row>
    <row r="942" spans="1:23" hidden="1">
      <c r="A942" s="2551">
        <v>2043118</v>
      </c>
      <c r="B942" s="2551" t="s">
        <v>7740</v>
      </c>
      <c r="C942" s="2551">
        <v>12</v>
      </c>
      <c r="D942" s="2551" t="s">
        <v>7730</v>
      </c>
      <c r="E942" s="2550" t="s">
        <v>7215</v>
      </c>
      <c r="F942" s="2551">
        <v>142</v>
      </c>
      <c r="G942" s="2559">
        <v>-592241.24</v>
      </c>
      <c r="H942" s="2559">
        <v>-592241.24</v>
      </c>
      <c r="J942" s="2551" t="s">
        <v>7600</v>
      </c>
      <c r="K942" s="2553" t="s">
        <v>5804</v>
      </c>
      <c r="L942" s="2551" t="e">
        <f t="shared" si="14"/>
        <v>#N/A</v>
      </c>
      <c r="W942" s="2979"/>
    </row>
    <row r="943" spans="1:23" hidden="1">
      <c r="A943" s="2551">
        <v>2043122</v>
      </c>
      <c r="B943" s="2551" t="s">
        <v>7741</v>
      </c>
      <c r="C943" s="2551">
        <v>12</v>
      </c>
      <c r="D943" s="2551" t="s">
        <v>7730</v>
      </c>
      <c r="E943" s="2550" t="s">
        <v>7215</v>
      </c>
      <c r="F943" s="2551">
        <v>142</v>
      </c>
      <c r="G943" s="2559">
        <v>-140175</v>
      </c>
      <c r="H943" s="2559">
        <v>-140175</v>
      </c>
      <c r="J943" s="2551" t="s">
        <v>7600</v>
      </c>
      <c r="K943" s="2553" t="s">
        <v>5804</v>
      </c>
      <c r="L943" s="2551" t="e">
        <f t="shared" si="14"/>
        <v>#N/A</v>
      </c>
      <c r="W943" s="2979"/>
    </row>
    <row r="944" spans="1:23" hidden="1">
      <c r="A944" s="2551">
        <v>2043217</v>
      </c>
      <c r="B944" s="2551" t="s">
        <v>7739</v>
      </c>
      <c r="C944" s="2551">
        <v>12</v>
      </c>
      <c r="D944" s="2551" t="s">
        <v>7730</v>
      </c>
      <c r="E944" s="2550" t="s">
        <v>7215</v>
      </c>
      <c r="F944" s="2551">
        <v>142</v>
      </c>
      <c r="G944" s="2559">
        <v>-1290956.48</v>
      </c>
      <c r="H944" s="2559">
        <v>-1290956.48</v>
      </c>
      <c r="J944" s="2551" t="s">
        <v>7600</v>
      </c>
      <c r="K944" s="2553" t="s">
        <v>5804</v>
      </c>
      <c r="L944" s="2551" t="e">
        <f t="shared" si="14"/>
        <v>#N/A</v>
      </c>
      <c r="W944" s="2979"/>
    </row>
    <row r="945" spans="1:23" hidden="1">
      <c r="A945" s="2551">
        <v>2043218</v>
      </c>
      <c r="B945" s="2551" t="s">
        <v>7742</v>
      </c>
      <c r="C945" s="2551">
        <v>12</v>
      </c>
      <c r="D945" s="2551" t="s">
        <v>7730</v>
      </c>
      <c r="E945" s="2550" t="s">
        <v>7215</v>
      </c>
      <c r="F945" s="2551">
        <v>142</v>
      </c>
      <c r="G945" s="2559">
        <v>14762994.93</v>
      </c>
      <c r="H945" s="2559">
        <v>-4217813.07</v>
      </c>
      <c r="J945" s="2551" t="s">
        <v>7600</v>
      </c>
      <c r="K945" s="2553" t="s">
        <v>5804</v>
      </c>
      <c r="L945" s="2551" t="e">
        <f t="shared" si="14"/>
        <v>#N/A</v>
      </c>
      <c r="W945" s="2979"/>
    </row>
    <row r="946" spans="1:23" hidden="1">
      <c r="A946" s="2551">
        <v>2043219</v>
      </c>
      <c r="B946" s="2551" t="s">
        <v>7743</v>
      </c>
      <c r="C946" s="2551">
        <v>12</v>
      </c>
      <c r="D946" s="2551" t="s">
        <v>7730</v>
      </c>
      <c r="E946" s="2550" t="s">
        <v>7215</v>
      </c>
      <c r="F946" s="2551">
        <v>142</v>
      </c>
      <c r="G946" s="2559">
        <v>-7473</v>
      </c>
      <c r="H946" s="2559">
        <v>-7473</v>
      </c>
      <c r="J946" s="2551" t="s">
        <v>7600</v>
      </c>
      <c r="K946" s="2553" t="s">
        <v>5804</v>
      </c>
      <c r="L946" s="2551" t="e">
        <f t="shared" si="14"/>
        <v>#N/A</v>
      </c>
      <c r="W946" s="2979"/>
    </row>
    <row r="947" spans="1:23" hidden="1">
      <c r="A947" s="2551">
        <v>2043220</v>
      </c>
      <c r="B947" s="2551" t="s">
        <v>7744</v>
      </c>
      <c r="C947" s="2551">
        <v>12</v>
      </c>
      <c r="D947" s="2551" t="s">
        <v>7730</v>
      </c>
      <c r="E947" s="2550" t="s">
        <v>7215</v>
      </c>
      <c r="F947" s="2551">
        <v>142</v>
      </c>
      <c r="G947" s="2559">
        <v>-96089</v>
      </c>
      <c r="H947" s="2559">
        <v>-96089</v>
      </c>
      <c r="J947" s="2551" t="s">
        <v>7600</v>
      </c>
      <c r="K947" s="2553" t="s">
        <v>5804</v>
      </c>
      <c r="L947" s="2551" t="e">
        <f t="shared" si="14"/>
        <v>#N/A</v>
      </c>
      <c r="W947" s="2979"/>
    </row>
    <row r="948" spans="1:23" hidden="1">
      <c r="A948" s="2551">
        <v>2046410</v>
      </c>
      <c r="B948" s="2551" t="s">
        <v>6351</v>
      </c>
      <c r="C948" s="2551">
        <v>12</v>
      </c>
      <c r="D948" s="2551" t="s">
        <v>7695</v>
      </c>
      <c r="E948" s="2550" t="s">
        <v>7215</v>
      </c>
      <c r="F948" s="2551">
        <v>136</v>
      </c>
      <c r="G948" s="2559">
        <v>-3233821.79</v>
      </c>
      <c r="H948" s="2559">
        <v>-16872459.789999999</v>
      </c>
      <c r="J948" s="2551" t="s">
        <v>7600</v>
      </c>
      <c r="K948" s="2553" t="s">
        <v>5804</v>
      </c>
      <c r="L948" s="2551" t="e">
        <f t="shared" si="14"/>
        <v>#N/A</v>
      </c>
      <c r="W948" s="2979"/>
    </row>
    <row r="949" spans="1:23" hidden="1">
      <c r="A949" s="2551">
        <v>2046411</v>
      </c>
      <c r="B949" s="2551" t="s">
        <v>7745</v>
      </c>
      <c r="C949" s="2551">
        <v>12</v>
      </c>
      <c r="D949" s="2551" t="s">
        <v>7695</v>
      </c>
      <c r="E949" s="2550" t="s">
        <v>7215</v>
      </c>
      <c r="F949" s="2551">
        <v>136</v>
      </c>
      <c r="G949" s="2551">
        <v>0</v>
      </c>
      <c r="H949" s="2559">
        <v>247198203</v>
      </c>
      <c r="J949" s="2551" t="s">
        <v>7600</v>
      </c>
      <c r="K949" s="2553" t="s">
        <v>5804</v>
      </c>
      <c r="L949" s="2551" t="e">
        <f t="shared" si="14"/>
        <v>#N/A</v>
      </c>
      <c r="W949" s="2979"/>
    </row>
    <row r="950" spans="1:23" hidden="1">
      <c r="A950" s="2551">
        <v>2046412</v>
      </c>
      <c r="B950" s="2551" t="s">
        <v>1854</v>
      </c>
      <c r="C950" s="2551">
        <v>12</v>
      </c>
      <c r="D950" s="2551" t="s">
        <v>7695</v>
      </c>
      <c r="E950" s="2550" t="s">
        <v>7215</v>
      </c>
      <c r="F950" s="2551">
        <v>136</v>
      </c>
      <c r="G950" s="2559">
        <v>-16405671.52</v>
      </c>
      <c r="H950" s="2559">
        <v>-16405671.52</v>
      </c>
      <c r="J950" s="2559" t="s">
        <v>7604</v>
      </c>
      <c r="K950" s="2553" t="s">
        <v>7605</v>
      </c>
      <c r="L950" s="2551" t="e">
        <f t="shared" si="14"/>
        <v>#N/A</v>
      </c>
      <c r="W950" s="2979"/>
    </row>
    <row r="951" spans="1:23" hidden="1">
      <c r="A951" s="2551">
        <v>2046414</v>
      </c>
      <c r="B951" s="2551" t="s">
        <v>1856</v>
      </c>
      <c r="C951" s="2551">
        <v>12</v>
      </c>
      <c r="D951" s="2551" t="s">
        <v>7695</v>
      </c>
      <c r="E951" s="2550" t="s">
        <v>7215</v>
      </c>
      <c r="F951" s="2551">
        <v>136</v>
      </c>
      <c r="G951" s="2559">
        <v>-1625225.25</v>
      </c>
      <c r="H951" s="2559">
        <v>-1625225.25</v>
      </c>
      <c r="J951" s="2559" t="s">
        <v>7604</v>
      </c>
      <c r="K951" s="2553" t="s">
        <v>7605</v>
      </c>
      <c r="L951" s="2551" t="e">
        <f t="shared" si="14"/>
        <v>#N/A</v>
      </c>
      <c r="W951" s="2979"/>
    </row>
    <row r="952" spans="1:23" hidden="1">
      <c r="A952" s="2551">
        <v>2046415</v>
      </c>
      <c r="B952" s="2551" t="s">
        <v>7746</v>
      </c>
      <c r="C952" s="2551">
        <v>12</v>
      </c>
      <c r="D952" s="2551" t="s">
        <v>7695</v>
      </c>
      <c r="E952" s="2550" t="s">
        <v>7215</v>
      </c>
      <c r="F952" s="2551">
        <v>136</v>
      </c>
      <c r="G952" s="2559">
        <v>-73380.990000000005</v>
      </c>
      <c r="H952" s="2559">
        <v>-73380.990000000005</v>
      </c>
      <c r="J952" s="2559" t="s">
        <v>7604</v>
      </c>
      <c r="K952" s="2553" t="s">
        <v>7605</v>
      </c>
      <c r="L952" s="2551" t="e">
        <f t="shared" si="14"/>
        <v>#N/A</v>
      </c>
      <c r="W952" s="2979"/>
    </row>
    <row r="953" spans="1:23" hidden="1">
      <c r="A953" s="2551">
        <v>2046417</v>
      </c>
      <c r="B953" s="2551" t="s">
        <v>7747</v>
      </c>
      <c r="C953" s="2551">
        <v>12</v>
      </c>
      <c r="D953" s="2551" t="s">
        <v>7695</v>
      </c>
      <c r="E953" s="2550" t="s">
        <v>7215</v>
      </c>
      <c r="F953" s="2551">
        <v>136</v>
      </c>
      <c r="G953" s="2559">
        <v>-13310812.710000001</v>
      </c>
      <c r="H953" s="2559">
        <v>-13310812.710000001</v>
      </c>
      <c r="J953" s="2559" t="s">
        <v>7604</v>
      </c>
      <c r="K953" s="2553" t="s">
        <v>7605</v>
      </c>
      <c r="L953" s="2551" t="e">
        <f t="shared" si="14"/>
        <v>#N/A</v>
      </c>
      <c r="W953" s="2979"/>
    </row>
    <row r="954" spans="1:23" hidden="1">
      <c r="A954" s="2551">
        <v>2046418</v>
      </c>
      <c r="B954" s="2551" t="s">
        <v>7748</v>
      </c>
      <c r="C954" s="2551">
        <v>12</v>
      </c>
      <c r="D954" s="2551" t="s">
        <v>7695</v>
      </c>
      <c r="E954" s="2550" t="s">
        <v>7215</v>
      </c>
      <c r="F954" s="2551">
        <v>136</v>
      </c>
      <c r="G954" s="2559">
        <v>-3721716.01</v>
      </c>
      <c r="H954" s="2559">
        <v>-3721716.01</v>
      </c>
      <c r="J954" s="2559" t="s">
        <v>7604</v>
      </c>
      <c r="K954" s="2553" t="s">
        <v>7605</v>
      </c>
      <c r="L954" s="2551" t="e">
        <f t="shared" si="14"/>
        <v>#N/A</v>
      </c>
      <c r="W954" s="2979"/>
    </row>
    <row r="955" spans="1:23" hidden="1">
      <c r="A955" s="2551">
        <v>2046419</v>
      </c>
      <c r="B955" s="2551" t="s">
        <v>7749</v>
      </c>
      <c r="C955" s="2551">
        <v>12</v>
      </c>
      <c r="D955" s="2551" t="s">
        <v>7695</v>
      </c>
      <c r="E955" s="2550" t="s">
        <v>7215</v>
      </c>
      <c r="F955" s="2551">
        <v>136</v>
      </c>
      <c r="G955" s="2559">
        <v>-943945</v>
      </c>
      <c r="H955" s="2559">
        <v>-943945</v>
      </c>
      <c r="J955" s="2559" t="s">
        <v>7604</v>
      </c>
      <c r="K955" s="2553" t="s">
        <v>7605</v>
      </c>
      <c r="L955" s="2551" t="e">
        <f t="shared" si="14"/>
        <v>#N/A</v>
      </c>
      <c r="W955" s="2979"/>
    </row>
    <row r="956" spans="1:23" hidden="1">
      <c r="A956" s="2551">
        <v>2046430</v>
      </c>
      <c r="B956" s="2551" t="s">
        <v>1861</v>
      </c>
      <c r="C956" s="2551">
        <v>12</v>
      </c>
      <c r="D956" s="2551" t="s">
        <v>7695</v>
      </c>
      <c r="E956" s="2550" t="s">
        <v>7215</v>
      </c>
      <c r="F956" s="2551">
        <v>136</v>
      </c>
      <c r="G956" s="2559">
        <v>-468281348.94999999</v>
      </c>
      <c r="H956" s="2559">
        <v>-313964453.76999998</v>
      </c>
      <c r="J956" s="2551" t="s">
        <v>7600</v>
      </c>
      <c r="K956" s="2553" t="s">
        <v>5804</v>
      </c>
      <c r="L956" s="2551" t="e">
        <f t="shared" si="14"/>
        <v>#N/A</v>
      </c>
      <c r="W956" s="2979"/>
    </row>
    <row r="957" spans="1:23" hidden="1">
      <c r="A957" s="2551">
        <v>1028811</v>
      </c>
      <c r="B957" s="2551" t="s">
        <v>5788</v>
      </c>
      <c r="C957" s="2551">
        <v>11</v>
      </c>
      <c r="D957" s="2551" t="s">
        <v>7750</v>
      </c>
      <c r="E957" s="2550" t="s">
        <v>7215</v>
      </c>
      <c r="F957" s="2551" t="s">
        <v>7751</v>
      </c>
      <c r="G957" s="2559">
        <v>8863227.25</v>
      </c>
      <c r="H957" s="2559">
        <v>8863227.25</v>
      </c>
      <c r="J957" s="2551" t="s">
        <v>7600</v>
      </c>
      <c r="K957" s="2553" t="s">
        <v>5804</v>
      </c>
      <c r="L957" s="2551" t="e">
        <f t="shared" si="14"/>
        <v>#N/A</v>
      </c>
      <c r="W957" s="2979"/>
    </row>
    <row r="958" spans="1:23" hidden="1">
      <c r="A958" s="2551">
        <v>1028812</v>
      </c>
      <c r="B958" s="2551" t="s">
        <v>7752</v>
      </c>
      <c r="C958" s="2551">
        <v>12</v>
      </c>
      <c r="D958" s="2551" t="s">
        <v>7633</v>
      </c>
      <c r="E958" s="2550" t="s">
        <v>7215</v>
      </c>
      <c r="F958" s="2551">
        <v>146</v>
      </c>
      <c r="G958" s="2552">
        <v>0</v>
      </c>
      <c r="H958" s="2552">
        <v>-26707631.030000001</v>
      </c>
      <c r="J958" s="2551"/>
      <c r="L958" s="2551" t="e">
        <f t="shared" si="14"/>
        <v>#N/A</v>
      </c>
      <c r="W958" s="2979"/>
    </row>
    <row r="959" spans="1:23" hidden="1">
      <c r="A959" s="2551">
        <v>1028813</v>
      </c>
      <c r="B959" s="2551" t="s">
        <v>7753</v>
      </c>
      <c r="C959" s="2551">
        <v>12</v>
      </c>
      <c r="D959" s="2551" t="s">
        <v>7754</v>
      </c>
      <c r="E959" s="2550" t="s">
        <v>7215</v>
      </c>
      <c r="F959" s="2551" t="s">
        <v>7755</v>
      </c>
      <c r="G959" s="2559">
        <v>-253969545.91</v>
      </c>
      <c r="H959" s="2551">
        <v>0</v>
      </c>
      <c r="J959" s="2559" t="s">
        <v>7604</v>
      </c>
      <c r="K959" s="2553" t="s">
        <v>7605</v>
      </c>
      <c r="L959" s="2551" t="e">
        <f t="shared" si="14"/>
        <v>#N/A</v>
      </c>
      <c r="W959" s="2979"/>
    </row>
    <row r="960" spans="1:23" hidden="1">
      <c r="A960" s="2551">
        <v>1028814</v>
      </c>
      <c r="B960" s="2551" t="s">
        <v>7756</v>
      </c>
      <c r="C960" s="2551">
        <v>11</v>
      </c>
      <c r="D960" s="2551" t="s">
        <v>4716</v>
      </c>
      <c r="E960" s="2550" t="s">
        <v>7215</v>
      </c>
      <c r="F960" s="2551">
        <v>109</v>
      </c>
      <c r="G960" s="2551">
        <v>0</v>
      </c>
      <c r="H960" s="2559">
        <v>54591945</v>
      </c>
      <c r="J960" s="2551">
        <v>11</v>
      </c>
      <c r="K960" s="2553" t="s">
        <v>7278</v>
      </c>
      <c r="L960" s="2551" t="e">
        <f t="shared" si="14"/>
        <v>#N/A</v>
      </c>
      <c r="W960" s="2979"/>
    </row>
    <row r="961" spans="1:23" hidden="1">
      <c r="A961" s="2551">
        <v>2044145</v>
      </c>
      <c r="B961" s="2551" t="s">
        <v>7757</v>
      </c>
      <c r="C961" s="2551">
        <v>12</v>
      </c>
      <c r="D961" s="2551" t="s">
        <v>7758</v>
      </c>
      <c r="E961" s="2550" t="s">
        <v>7215</v>
      </c>
      <c r="F961" s="2551">
        <v>152</v>
      </c>
      <c r="G961" s="2559">
        <v>-97710054</v>
      </c>
      <c r="H961" s="2551">
        <v>0</v>
      </c>
      <c r="J961" s="2551">
        <v>17</v>
      </c>
      <c r="K961" s="2553" t="s">
        <v>7646</v>
      </c>
      <c r="L961" s="2551" t="e">
        <f t="shared" si="14"/>
        <v>#N/A</v>
      </c>
      <c r="W961" s="2979"/>
    </row>
    <row r="962" spans="1:23" hidden="1">
      <c r="A962" s="2551">
        <v>2046431</v>
      </c>
      <c r="B962" s="2551" t="s">
        <v>7759</v>
      </c>
      <c r="C962" s="2551">
        <v>12</v>
      </c>
      <c r="D962" s="2551" t="s">
        <v>7695</v>
      </c>
      <c r="E962" s="2550" t="s">
        <v>7215</v>
      </c>
      <c r="F962" s="2551">
        <v>136</v>
      </c>
      <c r="G962" s="2559">
        <v>-39892543.609999999</v>
      </c>
      <c r="H962" s="2559">
        <v>-40455200</v>
      </c>
      <c r="J962" s="2559" t="s">
        <v>7604</v>
      </c>
      <c r="K962" s="2553" t="s">
        <v>7605</v>
      </c>
      <c r="L962" s="2551" t="e">
        <f t="shared" si="14"/>
        <v>#N/A</v>
      </c>
      <c r="W962" s="2979"/>
    </row>
    <row r="963" spans="1:23" hidden="1">
      <c r="A963" s="2551">
        <v>2046436</v>
      </c>
      <c r="B963" s="2551" t="s">
        <v>7759</v>
      </c>
      <c r="C963" s="2551">
        <v>12</v>
      </c>
      <c r="D963" s="2551" t="s">
        <v>7633</v>
      </c>
      <c r="E963" s="2550" t="s">
        <v>7215</v>
      </c>
      <c r="F963" s="2551">
        <v>146</v>
      </c>
      <c r="G963" s="2551">
        <v>0</v>
      </c>
      <c r="H963" s="2559">
        <v>-19523641.780000001</v>
      </c>
      <c r="J963" s="2559" t="s">
        <v>7604</v>
      </c>
      <c r="K963" s="2553" t="s">
        <v>7605</v>
      </c>
      <c r="L963" s="2551" t="e">
        <f t="shared" si="14"/>
        <v>#N/A</v>
      </c>
      <c r="W963" s="2979"/>
    </row>
    <row r="964" spans="1:23" hidden="1">
      <c r="A964" s="2551">
        <v>7000004</v>
      </c>
      <c r="B964" s="2551" t="s">
        <v>6550</v>
      </c>
      <c r="C964" s="2551">
        <v>12</v>
      </c>
      <c r="D964" s="2551" t="s">
        <v>7611</v>
      </c>
      <c r="E964" s="2550" t="s">
        <v>7215</v>
      </c>
      <c r="F964" s="2551">
        <v>149</v>
      </c>
      <c r="G964" s="2559">
        <v>-21808787.07</v>
      </c>
      <c r="H964" s="2559">
        <v>-1612854.37</v>
      </c>
      <c r="J964" s="2551" t="s">
        <v>7709</v>
      </c>
      <c r="K964" s="2553" t="s">
        <v>7710</v>
      </c>
      <c r="L964" s="2551" t="e">
        <f t="shared" ref="L964:L1027" si="15">VLOOKUP(A964,P:P,1,0)</f>
        <v>#N/A</v>
      </c>
      <c r="W964" s="2979"/>
    </row>
    <row r="965" spans="1:23" hidden="1">
      <c r="A965" s="2551">
        <v>7000005</v>
      </c>
      <c r="B965" s="2551" t="s">
        <v>6551</v>
      </c>
      <c r="C965" s="2551">
        <v>12</v>
      </c>
      <c r="D965" s="2551" t="s">
        <v>7611</v>
      </c>
      <c r="E965" s="2550" t="s">
        <v>7215</v>
      </c>
      <c r="F965" s="2551">
        <v>149</v>
      </c>
      <c r="G965" s="2559">
        <v>-21284065.710000001</v>
      </c>
      <c r="H965" s="2559">
        <v>-738356.73</v>
      </c>
      <c r="J965" s="2551" t="s">
        <v>7709</v>
      </c>
      <c r="K965" s="2553" t="s">
        <v>7710</v>
      </c>
      <c r="L965" s="2551" t="e">
        <f t="shared" si="15"/>
        <v>#N/A</v>
      </c>
      <c r="W965" s="2979"/>
    </row>
    <row r="966" spans="1:23" hidden="1">
      <c r="A966" s="2551">
        <v>7000006</v>
      </c>
      <c r="B966" s="2551" t="s">
        <v>6552</v>
      </c>
      <c r="C966" s="2551">
        <v>12</v>
      </c>
      <c r="D966" s="2551" t="s">
        <v>7611</v>
      </c>
      <c r="E966" s="2550" t="s">
        <v>7215</v>
      </c>
      <c r="F966" s="2551">
        <v>149</v>
      </c>
      <c r="G966" s="2559">
        <v>-7421530.7000000002</v>
      </c>
      <c r="H966" s="2559">
        <v>-296668.14</v>
      </c>
      <c r="J966" s="2551" t="s">
        <v>7709</v>
      </c>
      <c r="K966" s="2553" t="s">
        <v>7710</v>
      </c>
      <c r="L966" s="2551" t="e">
        <f t="shared" si="15"/>
        <v>#N/A</v>
      </c>
      <c r="W966" s="2979"/>
    </row>
    <row r="967" spans="1:23" hidden="1">
      <c r="A967" s="2551">
        <v>7000010</v>
      </c>
      <c r="B967" s="2551" t="s">
        <v>6553</v>
      </c>
      <c r="C967" s="2551">
        <v>12</v>
      </c>
      <c r="D967" s="2551" t="s">
        <v>7611</v>
      </c>
      <c r="E967" s="2550" t="s">
        <v>7215</v>
      </c>
      <c r="F967" s="2551">
        <v>149</v>
      </c>
      <c r="G967" s="2559">
        <v>-3972989.02</v>
      </c>
      <c r="H967" s="2559">
        <v>-6297895.9400000004</v>
      </c>
      <c r="J967" s="2551" t="s">
        <v>7709</v>
      </c>
      <c r="K967" s="2553" t="s">
        <v>7710</v>
      </c>
      <c r="L967" s="2551" t="e">
        <f t="shared" si="15"/>
        <v>#N/A</v>
      </c>
      <c r="W967" s="2979"/>
    </row>
    <row r="968" spans="1:23" hidden="1">
      <c r="A968" s="2551">
        <v>7000010</v>
      </c>
      <c r="B968" s="2551" t="s">
        <v>6553</v>
      </c>
      <c r="C968" s="2551">
        <v>12</v>
      </c>
      <c r="D968" s="2551" t="s">
        <v>7611</v>
      </c>
      <c r="E968" s="2550" t="s">
        <v>7215</v>
      </c>
      <c r="F968" s="2551">
        <v>149</v>
      </c>
      <c r="G968" s="2559">
        <v>-293998</v>
      </c>
      <c r="H968" s="2551">
        <v>0</v>
      </c>
      <c r="J968" s="2551" t="s">
        <v>7709</v>
      </c>
      <c r="K968" s="2553" t="s">
        <v>7710</v>
      </c>
      <c r="L968" s="2551" t="e">
        <f t="shared" si="15"/>
        <v>#N/A</v>
      </c>
      <c r="W968" s="2979"/>
    </row>
    <row r="969" spans="1:23" hidden="1">
      <c r="A969" s="2551">
        <v>7000011</v>
      </c>
      <c r="B969" s="2551" t="s">
        <v>6554</v>
      </c>
      <c r="C969" s="2551">
        <v>12</v>
      </c>
      <c r="D969" s="2551" t="s">
        <v>7611</v>
      </c>
      <c r="E969" s="2550" t="s">
        <v>7215</v>
      </c>
      <c r="F969" s="2551">
        <v>149</v>
      </c>
      <c r="G969" s="2559">
        <v>-9501987.7400000002</v>
      </c>
      <c r="H969" s="2559">
        <v>-1928575.23</v>
      </c>
      <c r="J969" s="2551" t="s">
        <v>7709</v>
      </c>
      <c r="K969" s="2553" t="s">
        <v>7710</v>
      </c>
      <c r="L969" s="2551" t="e">
        <f t="shared" si="15"/>
        <v>#N/A</v>
      </c>
      <c r="W969" s="2979"/>
    </row>
    <row r="970" spans="1:23" hidden="1">
      <c r="A970" s="2551">
        <v>7000012</v>
      </c>
      <c r="B970" s="2551" t="s">
        <v>6555</v>
      </c>
      <c r="C970" s="2551">
        <v>12</v>
      </c>
      <c r="D970" s="2551" t="s">
        <v>7611</v>
      </c>
      <c r="E970" s="2550" t="s">
        <v>7215</v>
      </c>
      <c r="F970" s="2551">
        <v>149</v>
      </c>
      <c r="G970" s="2559">
        <v>-4579660</v>
      </c>
      <c r="H970" s="2559">
        <v>-91325.26</v>
      </c>
      <c r="J970" s="2551" t="s">
        <v>7709</v>
      </c>
      <c r="K970" s="2553" t="s">
        <v>7710</v>
      </c>
      <c r="L970" s="2551" t="e">
        <f t="shared" si="15"/>
        <v>#N/A</v>
      </c>
      <c r="W970" s="2979"/>
    </row>
    <row r="971" spans="1:23" hidden="1">
      <c r="A971" s="2551">
        <v>7000014</v>
      </c>
      <c r="B971" s="2551" t="s">
        <v>7760</v>
      </c>
      <c r="C971" s="2551">
        <v>12</v>
      </c>
      <c r="D971" s="2551" t="s">
        <v>7611</v>
      </c>
      <c r="E971" s="2550" t="s">
        <v>7215</v>
      </c>
      <c r="F971" s="2551">
        <v>149</v>
      </c>
      <c r="G971" s="2559">
        <v>-9928353</v>
      </c>
      <c r="H971" s="2559">
        <v>-1194359</v>
      </c>
      <c r="J971" s="2551" t="s">
        <v>7709</v>
      </c>
      <c r="K971" s="2553" t="s">
        <v>7710</v>
      </c>
      <c r="L971" s="2551" t="e">
        <f t="shared" si="15"/>
        <v>#N/A</v>
      </c>
      <c r="W971" s="2979"/>
    </row>
    <row r="972" spans="1:23" hidden="1">
      <c r="A972" s="2551">
        <v>7000015</v>
      </c>
      <c r="B972" s="2551" t="s">
        <v>6557</v>
      </c>
      <c r="C972" s="2551">
        <v>12</v>
      </c>
      <c r="D972" s="2551" t="s">
        <v>7611</v>
      </c>
      <c r="E972" s="2550" t="s">
        <v>7215</v>
      </c>
      <c r="F972" s="2551">
        <v>149</v>
      </c>
      <c r="G972" s="2559">
        <v>-2210529</v>
      </c>
      <c r="H972" s="2559">
        <v>-2244153</v>
      </c>
      <c r="J972" s="2551" t="s">
        <v>7709</v>
      </c>
      <c r="K972" s="2553" t="s">
        <v>7710</v>
      </c>
      <c r="L972" s="2551" t="e">
        <f t="shared" si="15"/>
        <v>#N/A</v>
      </c>
      <c r="W972" s="2979"/>
    </row>
    <row r="973" spans="1:23" hidden="1">
      <c r="A973" s="2551">
        <v>7000022</v>
      </c>
      <c r="B973" s="2551" t="s">
        <v>6558</v>
      </c>
      <c r="C973" s="2551">
        <v>12</v>
      </c>
      <c r="D973" s="2551" t="s">
        <v>7611</v>
      </c>
      <c r="E973" s="2550" t="s">
        <v>7215</v>
      </c>
      <c r="F973" s="2551">
        <v>149</v>
      </c>
      <c r="G973" s="2559">
        <v>-4306253.2300000004</v>
      </c>
      <c r="H973" s="2559">
        <v>-6637</v>
      </c>
      <c r="J973" s="2551" t="s">
        <v>7709</v>
      </c>
      <c r="K973" s="2553" t="s">
        <v>7710</v>
      </c>
      <c r="L973" s="2551" t="e">
        <f t="shared" si="15"/>
        <v>#N/A</v>
      </c>
      <c r="W973" s="2979"/>
    </row>
    <row r="974" spans="1:23" hidden="1">
      <c r="A974" s="2551">
        <v>7000023</v>
      </c>
      <c r="B974" s="2551" t="s">
        <v>6559</v>
      </c>
      <c r="C974" s="2551">
        <v>12</v>
      </c>
      <c r="D974" s="2551" t="s">
        <v>7611</v>
      </c>
      <c r="E974" s="2550" t="s">
        <v>7215</v>
      </c>
      <c r="F974" s="2551">
        <v>149</v>
      </c>
      <c r="G974" s="2559">
        <v>-1932916.14</v>
      </c>
      <c r="H974" s="2559">
        <v>813205.81</v>
      </c>
      <c r="J974" s="2551" t="s">
        <v>7709</v>
      </c>
      <c r="K974" s="2553" t="s">
        <v>7710</v>
      </c>
      <c r="L974" s="2551" t="e">
        <f t="shared" si="15"/>
        <v>#N/A</v>
      </c>
      <c r="W974" s="2979"/>
    </row>
    <row r="975" spans="1:23" hidden="1">
      <c r="A975" s="2551">
        <v>7000025</v>
      </c>
      <c r="B975" s="2551" t="s">
        <v>6560</v>
      </c>
      <c r="C975" s="2551">
        <v>12</v>
      </c>
      <c r="D975" s="2551" t="s">
        <v>7611</v>
      </c>
      <c r="E975" s="2550" t="s">
        <v>7215</v>
      </c>
      <c r="F975" s="2551">
        <v>149</v>
      </c>
      <c r="G975" s="2559">
        <v>-647716.5</v>
      </c>
      <c r="H975" s="2551">
        <v>0</v>
      </c>
      <c r="J975" s="2551" t="s">
        <v>7709</v>
      </c>
      <c r="K975" s="2553" t="s">
        <v>7710</v>
      </c>
      <c r="L975" s="2551" t="e">
        <f t="shared" si="15"/>
        <v>#N/A</v>
      </c>
      <c r="W975" s="2979"/>
    </row>
    <row r="976" spans="1:23" hidden="1">
      <c r="A976" s="2551">
        <v>7000026</v>
      </c>
      <c r="B976" s="2551" t="s">
        <v>6561</v>
      </c>
      <c r="C976" s="2551">
        <v>12</v>
      </c>
      <c r="D976" s="2551" t="s">
        <v>7611</v>
      </c>
      <c r="E976" s="2550" t="s">
        <v>7215</v>
      </c>
      <c r="F976" s="2551">
        <v>149</v>
      </c>
      <c r="G976" s="2559">
        <v>-647716.5</v>
      </c>
      <c r="H976" s="2551">
        <v>0</v>
      </c>
      <c r="J976" s="2551" t="s">
        <v>7709</v>
      </c>
      <c r="K976" s="2553" t="s">
        <v>7710</v>
      </c>
      <c r="L976" s="2551" t="e">
        <f t="shared" si="15"/>
        <v>#N/A</v>
      </c>
      <c r="W976" s="2979"/>
    </row>
    <row r="977" spans="1:23" hidden="1">
      <c r="A977" s="2551">
        <v>7000027</v>
      </c>
      <c r="B977" s="2551" t="s">
        <v>6732</v>
      </c>
      <c r="C977" s="2551">
        <v>12</v>
      </c>
      <c r="D977" s="2551" t="s">
        <v>7611</v>
      </c>
      <c r="E977" s="2550" t="s">
        <v>7215</v>
      </c>
      <c r="F977" s="2551">
        <v>149</v>
      </c>
      <c r="G977" s="2559">
        <v>-292200</v>
      </c>
      <c r="H977" s="2551">
        <v>0</v>
      </c>
      <c r="J977" s="2551" t="s">
        <v>7709</v>
      </c>
      <c r="K977" s="2553" t="s">
        <v>7710</v>
      </c>
      <c r="L977" s="2551" t="e">
        <f t="shared" si="15"/>
        <v>#N/A</v>
      </c>
      <c r="W977" s="2979"/>
    </row>
    <row r="978" spans="1:23" hidden="1">
      <c r="A978" s="2551">
        <v>7000033</v>
      </c>
      <c r="B978" s="2551" t="s">
        <v>7761</v>
      </c>
      <c r="C978" s="2551">
        <v>12</v>
      </c>
      <c r="D978" s="2551" t="s">
        <v>7611</v>
      </c>
      <c r="E978" s="2550" t="s">
        <v>7215</v>
      </c>
      <c r="F978" s="2551">
        <v>149</v>
      </c>
      <c r="G978" s="2559">
        <v>-1075605</v>
      </c>
      <c r="H978" s="2551">
        <v>0</v>
      </c>
      <c r="J978" s="2551" t="s">
        <v>7709</v>
      </c>
      <c r="K978" s="2553" t="s">
        <v>7710</v>
      </c>
      <c r="L978" s="2551" t="e">
        <f t="shared" si="15"/>
        <v>#N/A</v>
      </c>
      <c r="W978" s="2979"/>
    </row>
    <row r="979" spans="1:23" hidden="1">
      <c r="A979" s="2551">
        <v>7000034</v>
      </c>
      <c r="B979" s="2551" t="s">
        <v>7762</v>
      </c>
      <c r="C979" s="2551">
        <v>12</v>
      </c>
      <c r="D979" s="2551" t="s">
        <v>7611</v>
      </c>
      <c r="E979" s="2550" t="s">
        <v>7215</v>
      </c>
      <c r="F979" s="2551">
        <v>149</v>
      </c>
      <c r="G979" s="2559">
        <v>-8174923</v>
      </c>
      <c r="H979" s="2551">
        <v>0</v>
      </c>
      <c r="J979" s="2551" t="s">
        <v>7709</v>
      </c>
      <c r="K979" s="2553" t="s">
        <v>7710</v>
      </c>
      <c r="L979" s="2551" t="e">
        <f t="shared" si="15"/>
        <v>#N/A</v>
      </c>
      <c r="W979" s="2979"/>
    </row>
    <row r="980" spans="1:23" hidden="1">
      <c r="A980" s="2551">
        <v>7000035</v>
      </c>
      <c r="B980" s="2551" t="s">
        <v>7763</v>
      </c>
      <c r="C980" s="2551">
        <v>12</v>
      </c>
      <c r="D980" s="2551" t="s">
        <v>7611</v>
      </c>
      <c r="E980" s="2550" t="s">
        <v>7215</v>
      </c>
      <c r="F980" s="2551">
        <v>149</v>
      </c>
      <c r="G980" s="2559">
        <v>-8174923</v>
      </c>
      <c r="H980" s="2551">
        <v>0</v>
      </c>
      <c r="J980" s="2551" t="s">
        <v>7709</v>
      </c>
      <c r="K980" s="2553" t="s">
        <v>7710</v>
      </c>
      <c r="L980" s="2551" t="e">
        <f t="shared" si="15"/>
        <v>#N/A</v>
      </c>
      <c r="W980" s="2979"/>
    </row>
    <row r="981" spans="1:23" hidden="1">
      <c r="A981" s="2551">
        <v>2044120</v>
      </c>
      <c r="B981" s="2551" t="s">
        <v>6300</v>
      </c>
      <c r="C981" s="2551">
        <v>12</v>
      </c>
      <c r="D981" s="2551" t="s">
        <v>7611</v>
      </c>
      <c r="E981" s="2550" t="s">
        <v>7215</v>
      </c>
      <c r="F981" s="2551">
        <v>149</v>
      </c>
      <c r="G981" s="2551">
        <v>0</v>
      </c>
      <c r="H981" s="2559">
        <v>15672433.18</v>
      </c>
      <c r="J981" s="2559" t="s">
        <v>7604</v>
      </c>
      <c r="K981" s="2553" t="s">
        <v>7605</v>
      </c>
      <c r="L981" s="2551" t="e">
        <f t="shared" si="15"/>
        <v>#N/A</v>
      </c>
      <c r="W981" s="2979"/>
    </row>
    <row r="982" spans="1:23" hidden="1">
      <c r="A982" s="2551">
        <v>2044137</v>
      </c>
      <c r="B982" s="2551" t="s">
        <v>7764</v>
      </c>
      <c r="C982" s="2551">
        <v>12</v>
      </c>
      <c r="D982" s="2551" t="s">
        <v>7611</v>
      </c>
      <c r="E982" s="2550" t="s">
        <v>7215</v>
      </c>
      <c r="F982" s="2551">
        <v>149</v>
      </c>
      <c r="G982" s="2559">
        <v>-240450016</v>
      </c>
      <c r="H982" s="2559">
        <v>-56516658</v>
      </c>
      <c r="J982" s="2551" t="s">
        <v>7652</v>
      </c>
      <c r="K982" s="2553" t="s">
        <v>6311</v>
      </c>
      <c r="L982" s="2551" t="e">
        <f t="shared" si="15"/>
        <v>#N/A</v>
      </c>
      <c r="W982" s="2979"/>
    </row>
    <row r="983" spans="1:23" hidden="1">
      <c r="A983" s="2551">
        <v>2044138</v>
      </c>
      <c r="B983" s="2551" t="s">
        <v>7765</v>
      </c>
      <c r="C983" s="2551">
        <v>12</v>
      </c>
      <c r="D983" s="2551" t="s">
        <v>7611</v>
      </c>
      <c r="E983" s="2550" t="s">
        <v>7215</v>
      </c>
      <c r="F983" s="2551">
        <v>149</v>
      </c>
      <c r="G983" s="2559">
        <v>-158110405</v>
      </c>
      <c r="H983" s="2559">
        <v>-229854714</v>
      </c>
      <c r="J983" s="2551" t="s">
        <v>7652</v>
      </c>
      <c r="K983" s="2553" t="s">
        <v>6311</v>
      </c>
      <c r="L983" s="2551" t="e">
        <f t="shared" si="15"/>
        <v>#N/A</v>
      </c>
      <c r="W983" s="2979"/>
    </row>
    <row r="984" spans="1:23" hidden="1">
      <c r="A984" s="2551">
        <v>2044412</v>
      </c>
      <c r="B984" s="2551" t="s">
        <v>6672</v>
      </c>
      <c r="C984" s="2551">
        <v>12</v>
      </c>
      <c r="D984" s="2551" t="s">
        <v>7611</v>
      </c>
      <c r="E984" s="2550" t="s">
        <v>7215</v>
      </c>
      <c r="F984" s="2551">
        <v>149</v>
      </c>
      <c r="G984" s="2559">
        <v>7794</v>
      </c>
      <c r="H984" s="2551">
        <v>0</v>
      </c>
      <c r="J984" s="2551" t="s">
        <v>7709</v>
      </c>
      <c r="K984" s="2553" t="s">
        <v>7710</v>
      </c>
      <c r="L984" s="2551" t="e">
        <f t="shared" si="15"/>
        <v>#N/A</v>
      </c>
      <c r="W984" s="2979"/>
    </row>
    <row r="985" spans="1:23" hidden="1">
      <c r="A985" s="2551">
        <v>2044412</v>
      </c>
      <c r="B985" s="2551" t="s">
        <v>6672</v>
      </c>
      <c r="C985" s="2551">
        <v>12</v>
      </c>
      <c r="D985" s="2551" t="s">
        <v>7611</v>
      </c>
      <c r="E985" s="2550" t="s">
        <v>7215</v>
      </c>
      <c r="F985" s="2551">
        <v>149</v>
      </c>
      <c r="G985" s="2559">
        <v>-28881</v>
      </c>
      <c r="H985" s="2551">
        <v>0</v>
      </c>
      <c r="J985" s="2551" t="s">
        <v>7709</v>
      </c>
      <c r="K985" s="2553" t="s">
        <v>7710</v>
      </c>
      <c r="L985" s="2551" t="e">
        <f t="shared" si="15"/>
        <v>#N/A</v>
      </c>
      <c r="W985" s="2979"/>
    </row>
    <row r="986" spans="1:23" hidden="1">
      <c r="A986" s="2551">
        <v>2044414</v>
      </c>
      <c r="B986" s="2551" t="s">
        <v>6674</v>
      </c>
      <c r="C986" s="2551">
        <v>12</v>
      </c>
      <c r="D986" s="2551" t="s">
        <v>7611</v>
      </c>
      <c r="E986" s="2550" t="s">
        <v>7215</v>
      </c>
      <c r="F986" s="2551">
        <v>149</v>
      </c>
      <c r="G986" s="2551">
        <v>-1</v>
      </c>
      <c r="H986" s="2551">
        <v>0</v>
      </c>
      <c r="J986" s="2551" t="s">
        <v>7709</v>
      </c>
      <c r="K986" s="2553" t="s">
        <v>7710</v>
      </c>
      <c r="L986" s="2551" t="e">
        <f t="shared" si="15"/>
        <v>#N/A</v>
      </c>
      <c r="W986" s="2979"/>
    </row>
    <row r="987" spans="1:23" hidden="1">
      <c r="A987" s="2551">
        <v>2044451</v>
      </c>
      <c r="B987" s="2551" t="s">
        <v>7766</v>
      </c>
      <c r="C987" s="2551">
        <v>12</v>
      </c>
      <c r="D987" s="2551" t="s">
        <v>7611</v>
      </c>
      <c r="E987" s="2550" t="s">
        <v>7215</v>
      </c>
      <c r="F987" s="2551">
        <v>149</v>
      </c>
      <c r="G987" s="2559">
        <v>50000</v>
      </c>
      <c r="H987" s="2559">
        <v>50000</v>
      </c>
      <c r="J987" s="2551" t="s">
        <v>7709</v>
      </c>
      <c r="K987" s="2553" t="s">
        <v>7710</v>
      </c>
      <c r="L987" s="2551" t="e">
        <f t="shared" si="15"/>
        <v>#N/A</v>
      </c>
      <c r="W987" s="2979"/>
    </row>
    <row r="988" spans="1:23" hidden="1">
      <c r="A988" s="2551">
        <v>2044468</v>
      </c>
      <c r="B988" s="2551" t="s">
        <v>7767</v>
      </c>
      <c r="C988" s="2551">
        <v>12</v>
      </c>
      <c r="D988" s="2551" t="s">
        <v>7611</v>
      </c>
      <c r="E988" s="2550" t="s">
        <v>7215</v>
      </c>
      <c r="F988" s="2551">
        <v>149</v>
      </c>
      <c r="G988" s="2559">
        <v>-26134801.82</v>
      </c>
      <c r="H988" s="2559">
        <v>-1433738.45</v>
      </c>
      <c r="J988" s="2551" t="s">
        <v>7709</v>
      </c>
      <c r="K988" s="2553" t="s">
        <v>7710</v>
      </c>
      <c r="L988" s="2551" t="e">
        <f t="shared" si="15"/>
        <v>#N/A</v>
      </c>
      <c r="W988" s="2979"/>
    </row>
    <row r="989" spans="1:23" hidden="1">
      <c r="A989" s="2551">
        <v>2044470</v>
      </c>
      <c r="B989" s="2551" t="s">
        <v>7768</v>
      </c>
      <c r="C989" s="2551">
        <v>12</v>
      </c>
      <c r="D989" s="2551" t="s">
        <v>7611</v>
      </c>
      <c r="E989" s="2550" t="s">
        <v>7215</v>
      </c>
      <c r="F989" s="2551">
        <v>149</v>
      </c>
      <c r="G989" s="2559">
        <v>963292.35</v>
      </c>
      <c r="H989" s="2551">
        <v>0</v>
      </c>
      <c r="J989" s="2551" t="s">
        <v>7709</v>
      </c>
      <c r="K989" s="2553" t="s">
        <v>7710</v>
      </c>
      <c r="L989" s="2551" t="e">
        <f t="shared" si="15"/>
        <v>#N/A</v>
      </c>
      <c r="W989" s="2979"/>
    </row>
    <row r="990" spans="1:23" hidden="1">
      <c r="A990" s="2551">
        <v>2044470</v>
      </c>
      <c r="B990" s="2551" t="s">
        <v>7768</v>
      </c>
      <c r="C990" s="2551">
        <v>12</v>
      </c>
      <c r="D990" s="2551" t="s">
        <v>7611</v>
      </c>
      <c r="E990" s="2550" t="s">
        <v>7215</v>
      </c>
      <c r="F990" s="2551">
        <v>149</v>
      </c>
      <c r="G990" s="2559">
        <v>-4314089.3899999997</v>
      </c>
      <c r="H990" s="2551">
        <v>0</v>
      </c>
      <c r="J990" s="2551" t="s">
        <v>7709</v>
      </c>
      <c r="K990" s="2553" t="s">
        <v>7710</v>
      </c>
      <c r="L990" s="2551" t="e">
        <f t="shared" si="15"/>
        <v>#N/A</v>
      </c>
      <c r="W990" s="2979"/>
    </row>
    <row r="991" spans="1:23" hidden="1">
      <c r="A991" s="2551">
        <v>2044471</v>
      </c>
      <c r="B991" s="2551" t="s">
        <v>7769</v>
      </c>
      <c r="C991" s="2551">
        <v>12</v>
      </c>
      <c r="D991" s="2551" t="s">
        <v>7611</v>
      </c>
      <c r="E991" s="2550" t="s">
        <v>7215</v>
      </c>
      <c r="F991" s="2551">
        <v>149</v>
      </c>
      <c r="G991" s="2559">
        <v>7596783.5999999996</v>
      </c>
      <c r="H991" s="2559">
        <v>-2466286</v>
      </c>
      <c r="J991" s="2559" t="s">
        <v>7604</v>
      </c>
      <c r="K991" s="2553" t="s">
        <v>7605</v>
      </c>
      <c r="L991" s="2551" t="e">
        <f t="shared" si="15"/>
        <v>#N/A</v>
      </c>
      <c r="W991" s="2979"/>
    </row>
    <row r="992" spans="1:23" hidden="1">
      <c r="A992" s="2551">
        <v>2046201</v>
      </c>
      <c r="B992" s="2551" t="s">
        <v>7770</v>
      </c>
      <c r="C992" s="2551">
        <v>12</v>
      </c>
      <c r="D992" s="2551" t="s">
        <v>7611</v>
      </c>
      <c r="E992" s="2550" t="s">
        <v>7215</v>
      </c>
      <c r="F992" s="2551">
        <v>149</v>
      </c>
      <c r="G992" s="2559">
        <v>21077.01</v>
      </c>
      <c r="H992" s="2559">
        <v>-5987</v>
      </c>
      <c r="J992" s="2551" t="s">
        <v>7709</v>
      </c>
      <c r="K992" s="2553" t="s">
        <v>7710</v>
      </c>
      <c r="L992" s="2551" t="e">
        <f t="shared" si="15"/>
        <v>#N/A</v>
      </c>
      <c r="W992" s="2979"/>
    </row>
    <row r="993" spans="1:23" hidden="1">
      <c r="A993" s="2551">
        <v>2046202</v>
      </c>
      <c r="B993" s="2551" t="s">
        <v>6344</v>
      </c>
      <c r="C993" s="2551">
        <v>12</v>
      </c>
      <c r="D993" s="2551" t="s">
        <v>7611</v>
      </c>
      <c r="E993" s="2550" t="s">
        <v>7215</v>
      </c>
      <c r="F993" s="2551">
        <v>149</v>
      </c>
      <c r="G993" s="2559">
        <v>-2839551.41</v>
      </c>
      <c r="H993" s="2559">
        <v>-12573</v>
      </c>
      <c r="J993" s="2551" t="s">
        <v>7709</v>
      </c>
      <c r="K993" s="2553" t="s">
        <v>7710</v>
      </c>
      <c r="L993" s="2551" t="e">
        <f t="shared" si="15"/>
        <v>#N/A</v>
      </c>
      <c r="W993" s="2979"/>
    </row>
    <row r="994" spans="1:23" hidden="1">
      <c r="A994" s="2551">
        <v>2046203</v>
      </c>
      <c r="B994" s="2551" t="s">
        <v>6345</v>
      </c>
      <c r="C994" s="2551">
        <v>12</v>
      </c>
      <c r="D994" s="2551" t="s">
        <v>7611</v>
      </c>
      <c r="E994" s="2550" t="s">
        <v>7215</v>
      </c>
      <c r="F994" s="2551">
        <v>149</v>
      </c>
      <c r="G994" s="2559">
        <v>2162634.88</v>
      </c>
      <c r="H994" s="2559">
        <v>1882</v>
      </c>
      <c r="J994" s="2551" t="s">
        <v>7709</v>
      </c>
      <c r="K994" s="2553" t="s">
        <v>7710</v>
      </c>
      <c r="L994" s="2551" t="e">
        <f t="shared" si="15"/>
        <v>#N/A</v>
      </c>
      <c r="W994" s="2979"/>
    </row>
    <row r="995" spans="1:23" hidden="1">
      <c r="A995" s="2551">
        <v>2046301</v>
      </c>
      <c r="B995" s="2551" t="s">
        <v>7771</v>
      </c>
      <c r="C995" s="2551">
        <v>12</v>
      </c>
      <c r="D995" s="2551" t="s">
        <v>7772</v>
      </c>
      <c r="E995" s="2550" t="s">
        <v>7215</v>
      </c>
      <c r="F995" s="2551">
        <v>148</v>
      </c>
      <c r="G995" s="2559">
        <v>-15659765.93</v>
      </c>
      <c r="H995" s="2559">
        <v>-11329568.300000001</v>
      </c>
      <c r="J995" s="2551" t="s">
        <v>7709</v>
      </c>
      <c r="K995" s="2553" t="s">
        <v>7710</v>
      </c>
      <c r="L995" s="2551" t="e">
        <f t="shared" si="15"/>
        <v>#N/A</v>
      </c>
      <c r="W995" s="2979"/>
    </row>
    <row r="996" spans="1:23" hidden="1">
      <c r="A996" s="2551">
        <v>2046302</v>
      </c>
      <c r="B996" s="2551" t="s">
        <v>7773</v>
      </c>
      <c r="C996" s="2551">
        <v>12</v>
      </c>
      <c r="D996" s="2551" t="s">
        <v>7772</v>
      </c>
      <c r="E996" s="2550" t="s">
        <v>7215</v>
      </c>
      <c r="F996" s="2551">
        <v>148</v>
      </c>
      <c r="G996" s="2559">
        <v>-1002945838.08</v>
      </c>
      <c r="H996" s="2559">
        <v>-457794469.20999998</v>
      </c>
      <c r="J996" s="2551" t="s">
        <v>7709</v>
      </c>
      <c r="K996" s="2553" t="s">
        <v>7710</v>
      </c>
      <c r="L996" s="2551" t="e">
        <f t="shared" si="15"/>
        <v>#N/A</v>
      </c>
      <c r="W996" s="2979"/>
    </row>
    <row r="997" spans="1:23" hidden="1">
      <c r="A997" s="2551">
        <v>2046303</v>
      </c>
      <c r="B997" s="2551" t="s">
        <v>6348</v>
      </c>
      <c r="C997" s="2551">
        <v>12</v>
      </c>
      <c r="D997" s="2551" t="s">
        <v>7772</v>
      </c>
      <c r="E997" s="2550" t="s">
        <v>7215</v>
      </c>
      <c r="F997" s="2551">
        <v>148</v>
      </c>
      <c r="G997" s="2559">
        <v>1012241090.5</v>
      </c>
      <c r="H997" s="2559">
        <v>404317027.5</v>
      </c>
      <c r="J997" s="2551" t="s">
        <v>7709</v>
      </c>
      <c r="K997" s="2553" t="s">
        <v>7710</v>
      </c>
      <c r="L997" s="2551" t="e">
        <f t="shared" si="15"/>
        <v>#N/A</v>
      </c>
      <c r="W997" s="2979"/>
    </row>
    <row r="998" spans="1:23" hidden="1">
      <c r="A998" s="2551">
        <v>2046501</v>
      </c>
      <c r="B998" s="2551" t="s">
        <v>6355</v>
      </c>
      <c r="C998" s="2551">
        <v>12</v>
      </c>
      <c r="D998" s="2551" t="s">
        <v>7611</v>
      </c>
      <c r="E998" s="2550" t="s">
        <v>7215</v>
      </c>
      <c r="F998" s="2551">
        <v>149</v>
      </c>
      <c r="G998" s="2559">
        <v>-123000887.75</v>
      </c>
      <c r="H998" s="2559">
        <v>-121940297.75</v>
      </c>
      <c r="J998" s="2559" t="s">
        <v>7604</v>
      </c>
      <c r="K998" s="2553" t="s">
        <v>7605</v>
      </c>
      <c r="L998" s="2551" t="e">
        <f t="shared" si="15"/>
        <v>#N/A</v>
      </c>
      <c r="W998" s="2979"/>
    </row>
    <row r="999" spans="1:23" hidden="1">
      <c r="A999" s="2551">
        <v>2046551</v>
      </c>
      <c r="B999" s="2551" t="s">
        <v>7774</v>
      </c>
      <c r="C999" s="2551">
        <v>12</v>
      </c>
      <c r="D999" s="2551" t="s">
        <v>7611</v>
      </c>
      <c r="E999" s="2550" t="s">
        <v>7215</v>
      </c>
      <c r="F999" s="2551">
        <v>149</v>
      </c>
      <c r="G999" s="2559">
        <v>5338983</v>
      </c>
      <c r="H999" s="2559">
        <v>-55756</v>
      </c>
      <c r="J999" s="2559" t="s">
        <v>7604</v>
      </c>
      <c r="K999" s="2553" t="s">
        <v>7605</v>
      </c>
      <c r="L999" s="2551" t="e">
        <f t="shared" si="15"/>
        <v>#N/A</v>
      </c>
      <c r="W999" s="2979"/>
    </row>
    <row r="1000" spans="1:23" hidden="1">
      <c r="A1000" s="2551">
        <v>2046552</v>
      </c>
      <c r="B1000" s="2551" t="s">
        <v>3449</v>
      </c>
      <c r="C1000" s="2551">
        <v>12</v>
      </c>
      <c r="D1000" s="2551" t="s">
        <v>7611</v>
      </c>
      <c r="E1000" s="2550" t="s">
        <v>7215</v>
      </c>
      <c r="F1000" s="2551">
        <v>149</v>
      </c>
      <c r="G1000" s="2559">
        <v>2970</v>
      </c>
      <c r="H1000" s="2551">
        <v>0</v>
      </c>
      <c r="J1000" s="2551" t="s">
        <v>7709</v>
      </c>
      <c r="K1000" s="2553" t="s">
        <v>7710</v>
      </c>
      <c r="L1000" s="2551" t="e">
        <f t="shared" si="15"/>
        <v>#N/A</v>
      </c>
      <c r="W1000" s="2979"/>
    </row>
    <row r="1001" spans="1:23" hidden="1">
      <c r="A1001" s="2551">
        <v>2046938</v>
      </c>
      <c r="B1001" s="2551" t="s">
        <v>2001</v>
      </c>
      <c r="C1001" s="2551">
        <v>12</v>
      </c>
      <c r="D1001" s="2551" t="s">
        <v>7611</v>
      </c>
      <c r="E1001" s="2550" t="s">
        <v>7215</v>
      </c>
      <c r="F1001" s="2551">
        <v>149</v>
      </c>
      <c r="G1001" s="2559">
        <v>-222142.89</v>
      </c>
      <c r="H1001" s="2559">
        <v>-222142.89</v>
      </c>
      <c r="J1001" s="2551" t="s">
        <v>7709</v>
      </c>
      <c r="K1001" s="2553" t="s">
        <v>7710</v>
      </c>
      <c r="L1001" s="2551" t="e">
        <f t="shared" si="15"/>
        <v>#N/A</v>
      </c>
      <c r="W1001" s="2979"/>
    </row>
    <row r="1002" spans="1:23" hidden="1">
      <c r="A1002" s="2551">
        <v>2046948</v>
      </c>
      <c r="B1002" s="2551" t="s">
        <v>7775</v>
      </c>
      <c r="C1002" s="2551">
        <v>12</v>
      </c>
      <c r="D1002" s="2551" t="s">
        <v>7611</v>
      </c>
      <c r="E1002" s="2550" t="s">
        <v>7215</v>
      </c>
      <c r="F1002" s="2551">
        <v>149</v>
      </c>
      <c r="G1002" s="2559">
        <v>-90988.92</v>
      </c>
      <c r="H1002" s="2559">
        <v>-143047.92000000001</v>
      </c>
      <c r="J1002" s="2551" t="s">
        <v>7709</v>
      </c>
      <c r="K1002" s="2553" t="s">
        <v>7710</v>
      </c>
      <c r="L1002" s="2551" t="e">
        <f t="shared" si="15"/>
        <v>#N/A</v>
      </c>
      <c r="W1002" s="2979"/>
    </row>
    <row r="1003" spans="1:23" hidden="1">
      <c r="A1003" s="2551">
        <v>2046940</v>
      </c>
      <c r="B1003" s="2551" t="s">
        <v>2003</v>
      </c>
      <c r="C1003" s="2551">
        <v>12</v>
      </c>
      <c r="D1003" s="2551" t="s">
        <v>7611</v>
      </c>
      <c r="E1003" s="2550" t="s">
        <v>7215</v>
      </c>
      <c r="F1003" s="2551">
        <v>149</v>
      </c>
      <c r="G1003" s="2559">
        <v>-598886</v>
      </c>
      <c r="H1003" s="2559">
        <v>25540</v>
      </c>
      <c r="J1003" s="2551" t="s">
        <v>7709</v>
      </c>
      <c r="K1003" s="2553" t="s">
        <v>7710</v>
      </c>
      <c r="L1003" s="2551" t="e">
        <f t="shared" si="15"/>
        <v>#N/A</v>
      </c>
      <c r="W1003" s="2979"/>
    </row>
    <row r="1004" spans="1:23" hidden="1">
      <c r="A1004" s="2551">
        <v>2044415</v>
      </c>
      <c r="B1004" s="2551" t="s">
        <v>7776</v>
      </c>
      <c r="C1004" s="2551">
        <v>12</v>
      </c>
      <c r="D1004" s="2551" t="s">
        <v>7611</v>
      </c>
      <c r="E1004" s="2550" t="s">
        <v>7215</v>
      </c>
      <c r="F1004" s="2551">
        <v>149</v>
      </c>
      <c r="G1004" s="2559">
        <v>-5808123.6200000001</v>
      </c>
      <c r="H1004" s="2551">
        <v>0</v>
      </c>
      <c r="J1004" s="2551" t="s">
        <v>7631</v>
      </c>
      <c r="K1004" s="2553" t="s">
        <v>116</v>
      </c>
      <c r="L1004" s="2551" t="e">
        <f t="shared" si="15"/>
        <v>#N/A</v>
      </c>
      <c r="W1004" s="2979"/>
    </row>
    <row r="1005" spans="1:23" hidden="1">
      <c r="A1005" s="2551">
        <v>2044415</v>
      </c>
      <c r="B1005" s="2551" t="s">
        <v>7776</v>
      </c>
      <c r="C1005" s="2551">
        <v>12</v>
      </c>
      <c r="D1005" s="2551" t="s">
        <v>7611</v>
      </c>
      <c r="E1005" s="2550" t="s">
        <v>7215</v>
      </c>
      <c r="F1005" s="2551">
        <v>149</v>
      </c>
      <c r="G1005" s="2559">
        <v>-227122.41</v>
      </c>
      <c r="H1005" s="2551">
        <v>0</v>
      </c>
      <c r="J1005" s="2551" t="s">
        <v>7631</v>
      </c>
      <c r="K1005" s="2553" t="s">
        <v>116</v>
      </c>
      <c r="L1005" s="2551" t="e">
        <f t="shared" si="15"/>
        <v>#N/A</v>
      </c>
      <c r="W1005" s="2979"/>
    </row>
    <row r="1006" spans="1:23" hidden="1">
      <c r="A1006" s="2551">
        <v>2046350</v>
      </c>
      <c r="B1006" s="2551" t="s">
        <v>7777</v>
      </c>
      <c r="C1006" s="2551">
        <v>12</v>
      </c>
      <c r="D1006" s="2551" t="s">
        <v>7611</v>
      </c>
      <c r="E1006" s="2550" t="s">
        <v>7215</v>
      </c>
      <c r="F1006" s="2551">
        <v>149</v>
      </c>
      <c r="G1006" s="2559">
        <v>-1495384</v>
      </c>
      <c r="H1006" s="2559">
        <v>-1060490</v>
      </c>
      <c r="J1006" s="2551" t="s">
        <v>7709</v>
      </c>
      <c r="K1006" s="2553" t="s">
        <v>7710</v>
      </c>
      <c r="L1006" s="2551" t="e">
        <f t="shared" si="15"/>
        <v>#N/A</v>
      </c>
      <c r="W1006" s="2979"/>
    </row>
    <row r="1007" spans="1:23" hidden="1">
      <c r="A1007" s="2551">
        <v>2046801</v>
      </c>
      <c r="B1007" s="2551" t="s">
        <v>6574</v>
      </c>
      <c r="C1007" s="2550">
        <v>11</v>
      </c>
      <c r="D1007" s="2551" t="s">
        <v>7214</v>
      </c>
      <c r="E1007" s="2550" t="s">
        <v>7215</v>
      </c>
      <c r="F1007" s="2551">
        <v>107</v>
      </c>
      <c r="G1007" s="2552">
        <v>-36508482</v>
      </c>
      <c r="H1007" s="2552">
        <v>0</v>
      </c>
      <c r="J1007" s="2551"/>
      <c r="L1007" s="2551" t="e">
        <f t="shared" si="15"/>
        <v>#N/A</v>
      </c>
      <c r="W1007" s="2979"/>
    </row>
    <row r="1008" spans="1:23" hidden="1">
      <c r="A1008" s="2551">
        <v>3061201</v>
      </c>
      <c r="B1008" s="2551" t="s">
        <v>7778</v>
      </c>
      <c r="C1008" s="2550">
        <v>13</v>
      </c>
      <c r="D1008" s="2551" t="s">
        <v>7779</v>
      </c>
      <c r="E1008" s="2550" t="s">
        <v>7780</v>
      </c>
      <c r="F1008" s="2551">
        <v>1</v>
      </c>
      <c r="G1008" s="2559">
        <v>-5259155354.9399996</v>
      </c>
      <c r="H1008" s="2559">
        <v>-1531307220.1300001</v>
      </c>
      <c r="J1008" s="2551">
        <v>24</v>
      </c>
      <c r="K1008" s="2553" t="s">
        <v>7781</v>
      </c>
      <c r="L1008" s="2551" t="e">
        <f t="shared" si="15"/>
        <v>#N/A</v>
      </c>
      <c r="W1008" s="2979"/>
    </row>
    <row r="1009" spans="1:23" hidden="1">
      <c r="A1009" s="2551">
        <v>3061202</v>
      </c>
      <c r="B1009" s="2551" t="s">
        <v>7778</v>
      </c>
      <c r="C1009" s="2550">
        <v>13</v>
      </c>
      <c r="D1009" s="2551" t="s">
        <v>7779</v>
      </c>
      <c r="E1009" s="2550" t="s">
        <v>7780</v>
      </c>
      <c r="F1009" s="2551">
        <v>1</v>
      </c>
      <c r="G1009" s="2559">
        <v>-698641259.30999994</v>
      </c>
      <c r="H1009" s="2559">
        <v>-432846756.51999998</v>
      </c>
      <c r="J1009" s="2551">
        <v>24</v>
      </c>
      <c r="K1009" s="2553" t="s">
        <v>7781</v>
      </c>
      <c r="L1009" s="2551" t="e">
        <f t="shared" si="15"/>
        <v>#N/A</v>
      </c>
      <c r="W1009" s="2979"/>
    </row>
    <row r="1010" spans="1:23" hidden="1">
      <c r="A1010" s="2551">
        <v>3061203</v>
      </c>
      <c r="B1010" s="2551" t="s">
        <v>7778</v>
      </c>
      <c r="C1010" s="2550">
        <v>13</v>
      </c>
      <c r="D1010" s="2551" t="s">
        <v>7779</v>
      </c>
      <c r="E1010" s="2550" t="s">
        <v>7780</v>
      </c>
      <c r="F1010" s="2551">
        <v>1</v>
      </c>
      <c r="G1010" s="2559">
        <v>-98490712.480000004</v>
      </c>
      <c r="H1010" s="2559">
        <v>-62710998.020000003</v>
      </c>
      <c r="J1010" s="2551">
        <v>24</v>
      </c>
      <c r="K1010" s="2553" t="s">
        <v>7781</v>
      </c>
      <c r="L1010" s="2551" t="e">
        <f t="shared" si="15"/>
        <v>#N/A</v>
      </c>
      <c r="W1010" s="2979"/>
    </row>
    <row r="1011" spans="1:23" hidden="1">
      <c r="A1011" s="2551">
        <v>3061205</v>
      </c>
      <c r="B1011" s="2551" t="s">
        <v>7782</v>
      </c>
      <c r="C1011" s="2550">
        <v>13</v>
      </c>
      <c r="D1011" s="2551" t="s">
        <v>7779</v>
      </c>
      <c r="E1011" s="2550" t="s">
        <v>7780</v>
      </c>
      <c r="F1011" s="2551">
        <v>11</v>
      </c>
      <c r="G1011" s="2559">
        <v>-41601164.399999999</v>
      </c>
      <c r="H1011" s="2559">
        <v>-22943730.5</v>
      </c>
      <c r="J1011" s="2551">
        <v>24</v>
      </c>
      <c r="K1011" s="2553" t="s">
        <v>7781</v>
      </c>
      <c r="L1011" s="2551" t="e">
        <f t="shared" si="15"/>
        <v>#N/A</v>
      </c>
      <c r="W1011" s="2979"/>
    </row>
    <row r="1012" spans="1:23" hidden="1">
      <c r="A1012" s="2551">
        <v>3061206</v>
      </c>
      <c r="B1012" s="2551" t="s">
        <v>7782</v>
      </c>
      <c r="C1012" s="2550">
        <v>13</v>
      </c>
      <c r="D1012" s="2551" t="s">
        <v>7779</v>
      </c>
      <c r="E1012" s="2550" t="s">
        <v>7780</v>
      </c>
      <c r="F1012" s="2551">
        <v>11</v>
      </c>
      <c r="G1012" s="2559">
        <v>-1422401.38</v>
      </c>
      <c r="H1012" s="2559">
        <v>-8942988.1999999993</v>
      </c>
      <c r="J1012" s="2551">
        <v>24</v>
      </c>
      <c r="K1012" s="2553" t="s">
        <v>7781</v>
      </c>
      <c r="L1012" s="2551" t="e">
        <f t="shared" si="15"/>
        <v>#N/A</v>
      </c>
      <c r="W1012" s="2979"/>
    </row>
    <row r="1013" spans="1:23" hidden="1">
      <c r="A1013" s="2551">
        <v>3061208</v>
      </c>
      <c r="B1013" s="2551" t="s">
        <v>7783</v>
      </c>
      <c r="C1013" s="2550">
        <v>13</v>
      </c>
      <c r="D1013" s="2551" t="s">
        <v>7779</v>
      </c>
      <c r="E1013" s="2550" t="s">
        <v>7780</v>
      </c>
      <c r="F1013" s="2551">
        <v>2</v>
      </c>
      <c r="G1013" s="2559">
        <v>-1888029681.73</v>
      </c>
      <c r="H1013" s="2559">
        <v>-304778875.33999997</v>
      </c>
      <c r="J1013" s="2551">
        <v>24</v>
      </c>
      <c r="K1013" s="2553" t="s">
        <v>7781</v>
      </c>
      <c r="L1013" s="2551" t="e">
        <f t="shared" si="15"/>
        <v>#N/A</v>
      </c>
      <c r="W1013" s="2979"/>
    </row>
    <row r="1014" spans="1:23" hidden="1">
      <c r="A1014" s="2551">
        <v>3061209</v>
      </c>
      <c r="B1014" s="2551" t="s">
        <v>7783</v>
      </c>
      <c r="C1014" s="2550">
        <v>13</v>
      </c>
      <c r="D1014" s="2551" t="s">
        <v>7779</v>
      </c>
      <c r="E1014" s="2550" t="s">
        <v>7780</v>
      </c>
      <c r="F1014" s="2551">
        <v>2</v>
      </c>
      <c r="G1014" s="2559">
        <v>-96247872.390000001</v>
      </c>
      <c r="H1014" s="2559">
        <v>-22024822.359999999</v>
      </c>
      <c r="J1014" s="2551">
        <v>24</v>
      </c>
      <c r="K1014" s="2553" t="s">
        <v>7781</v>
      </c>
      <c r="L1014" s="2551" t="e">
        <f t="shared" si="15"/>
        <v>#N/A</v>
      </c>
      <c r="W1014" s="2979"/>
    </row>
    <row r="1015" spans="1:23" hidden="1">
      <c r="A1015" s="2551">
        <v>3061211</v>
      </c>
      <c r="B1015" s="2551" t="s">
        <v>7783</v>
      </c>
      <c r="C1015" s="2550">
        <v>13</v>
      </c>
      <c r="D1015" s="2551" t="s">
        <v>7779</v>
      </c>
      <c r="E1015" s="2550" t="s">
        <v>7780</v>
      </c>
      <c r="F1015" s="2551">
        <v>2</v>
      </c>
      <c r="G1015" s="2559">
        <v>-258089749.41999999</v>
      </c>
      <c r="H1015" s="2551">
        <v>0</v>
      </c>
      <c r="J1015" s="2551">
        <v>24</v>
      </c>
      <c r="K1015" s="2553" t="s">
        <v>7781</v>
      </c>
      <c r="L1015" s="2551" t="e">
        <f t="shared" si="15"/>
        <v>#N/A</v>
      </c>
      <c r="W1015" s="2979"/>
    </row>
    <row r="1016" spans="1:23" hidden="1">
      <c r="A1016" s="2551">
        <v>3061212</v>
      </c>
      <c r="B1016" s="2551" t="s">
        <v>7783</v>
      </c>
      <c r="C1016" s="2550">
        <v>13</v>
      </c>
      <c r="D1016" s="2551" t="s">
        <v>7779</v>
      </c>
      <c r="E1016" s="2550" t="s">
        <v>7780</v>
      </c>
      <c r="F1016" s="2551">
        <v>2</v>
      </c>
      <c r="G1016" s="2559">
        <v>-95132936.340000004</v>
      </c>
      <c r="H1016" s="2551">
        <v>0</v>
      </c>
      <c r="J1016" s="2551">
        <v>24</v>
      </c>
      <c r="K1016" s="2553" t="s">
        <v>7781</v>
      </c>
      <c r="L1016" s="2551" t="e">
        <f t="shared" si="15"/>
        <v>#N/A</v>
      </c>
      <c r="W1016" s="2979"/>
    </row>
    <row r="1017" spans="1:23" hidden="1">
      <c r="A1017" s="2551">
        <v>3061217</v>
      </c>
      <c r="B1017" s="2551" t="s">
        <v>6442</v>
      </c>
      <c r="C1017" s="2550">
        <v>13</v>
      </c>
      <c r="D1017" s="2551" t="s">
        <v>7779</v>
      </c>
      <c r="E1017" s="2550" t="s">
        <v>7780</v>
      </c>
      <c r="F1017" s="2551">
        <v>3</v>
      </c>
      <c r="G1017" s="2559">
        <v>-77790258.599999994</v>
      </c>
      <c r="H1017" s="2559">
        <v>-12228999.83</v>
      </c>
      <c r="J1017" s="2551">
        <v>24</v>
      </c>
      <c r="K1017" s="2553" t="s">
        <v>7781</v>
      </c>
      <c r="L1017" s="2551" t="e">
        <f t="shared" si="15"/>
        <v>#N/A</v>
      </c>
      <c r="W1017" s="2979"/>
    </row>
    <row r="1018" spans="1:23" hidden="1">
      <c r="A1018" s="2551">
        <v>3061218</v>
      </c>
      <c r="B1018" s="2551" t="s">
        <v>7784</v>
      </c>
      <c r="C1018" s="2550">
        <v>13</v>
      </c>
      <c r="D1018" s="2551" t="s">
        <v>7779</v>
      </c>
      <c r="E1018" s="2550" t="s">
        <v>7780</v>
      </c>
      <c r="F1018" s="2551">
        <v>3</v>
      </c>
      <c r="G1018" s="2559">
        <v>-12886919.130000001</v>
      </c>
      <c r="H1018" s="2559">
        <v>-2128020.67</v>
      </c>
      <c r="J1018" s="2551">
        <v>24</v>
      </c>
      <c r="K1018" s="2553" t="s">
        <v>7781</v>
      </c>
      <c r="L1018" s="2551" t="e">
        <f t="shared" si="15"/>
        <v>#N/A</v>
      </c>
      <c r="W1018" s="2979"/>
    </row>
    <row r="1019" spans="1:23" hidden="1">
      <c r="A1019" s="2551">
        <v>3061220</v>
      </c>
      <c r="B1019" s="2551" t="s">
        <v>6444</v>
      </c>
      <c r="C1019" s="2550">
        <v>13</v>
      </c>
      <c r="D1019" s="2551" t="s">
        <v>7779</v>
      </c>
      <c r="E1019" s="2550" t="s">
        <v>7780</v>
      </c>
      <c r="F1019" s="2551">
        <v>4</v>
      </c>
      <c r="G1019" s="2559">
        <v>-161558691.44</v>
      </c>
      <c r="H1019" s="2559">
        <v>-83311578.340000004</v>
      </c>
      <c r="J1019" s="2551">
        <v>24</v>
      </c>
      <c r="K1019" s="2553" t="s">
        <v>7781</v>
      </c>
      <c r="L1019" s="2551" t="e">
        <f t="shared" si="15"/>
        <v>#N/A</v>
      </c>
      <c r="W1019" s="2979"/>
    </row>
    <row r="1020" spans="1:23" hidden="1">
      <c r="A1020" s="2551">
        <v>3061221</v>
      </c>
      <c r="B1020" s="2551" t="s">
        <v>6445</v>
      </c>
      <c r="C1020" s="2550">
        <v>13</v>
      </c>
      <c r="D1020" s="2551" t="s">
        <v>7779</v>
      </c>
      <c r="E1020" s="2550" t="s">
        <v>7780</v>
      </c>
      <c r="F1020" s="2551">
        <v>4</v>
      </c>
      <c r="G1020" s="2559">
        <v>-41808454.630000003</v>
      </c>
      <c r="H1020" s="2559">
        <v>-24315079.73</v>
      </c>
      <c r="J1020" s="2551">
        <v>24</v>
      </c>
      <c r="K1020" s="2553" t="s">
        <v>7781</v>
      </c>
      <c r="L1020" s="2551" t="e">
        <f t="shared" si="15"/>
        <v>#N/A</v>
      </c>
      <c r="W1020" s="2979"/>
    </row>
    <row r="1021" spans="1:23" hidden="1">
      <c r="A1021" s="2551">
        <v>3061223</v>
      </c>
      <c r="B1021" s="2551" t="s">
        <v>6686</v>
      </c>
      <c r="C1021" s="2550">
        <v>13</v>
      </c>
      <c r="D1021" s="2551" t="s">
        <v>7779</v>
      </c>
      <c r="E1021" s="2550" t="s">
        <v>7780</v>
      </c>
      <c r="F1021" s="2551">
        <v>4</v>
      </c>
      <c r="G1021" s="2559">
        <v>-303885854.97000003</v>
      </c>
      <c r="H1021" s="2551">
        <v>0</v>
      </c>
      <c r="J1021" s="2551">
        <v>24</v>
      </c>
      <c r="K1021" s="2553" t="s">
        <v>7781</v>
      </c>
      <c r="L1021" s="2551" t="e">
        <f t="shared" si="15"/>
        <v>#N/A</v>
      </c>
      <c r="W1021" s="2979"/>
    </row>
    <row r="1022" spans="1:23" hidden="1">
      <c r="A1022" s="2551">
        <v>3061224</v>
      </c>
      <c r="B1022" s="2551" t="s">
        <v>6687</v>
      </c>
      <c r="C1022" s="2550">
        <v>13</v>
      </c>
      <c r="D1022" s="2551" t="s">
        <v>7779</v>
      </c>
      <c r="E1022" s="2550" t="s">
        <v>7780</v>
      </c>
      <c r="F1022" s="2551">
        <v>4</v>
      </c>
      <c r="G1022" s="2559">
        <v>-103074464.47</v>
      </c>
      <c r="H1022" s="2551">
        <v>0</v>
      </c>
      <c r="J1022" s="2551">
        <v>24</v>
      </c>
      <c r="K1022" s="2553" t="s">
        <v>7781</v>
      </c>
      <c r="L1022" s="2551" t="e">
        <f t="shared" si="15"/>
        <v>#N/A</v>
      </c>
      <c r="W1022" s="2979"/>
    </row>
    <row r="1023" spans="1:23" hidden="1">
      <c r="A1023" s="2551">
        <v>3061226</v>
      </c>
      <c r="B1023" s="2551" t="s">
        <v>7785</v>
      </c>
      <c r="C1023" s="2550">
        <v>13</v>
      </c>
      <c r="D1023" s="2551" t="s">
        <v>7779</v>
      </c>
      <c r="E1023" s="2550" t="s">
        <v>7780</v>
      </c>
      <c r="F1023" s="2551">
        <v>5</v>
      </c>
      <c r="G1023" s="2559">
        <v>-99501.05</v>
      </c>
      <c r="H1023" s="2551">
        <v>0</v>
      </c>
      <c r="J1023" s="2551">
        <v>24</v>
      </c>
      <c r="K1023" s="2553" t="s">
        <v>7781</v>
      </c>
      <c r="L1023" s="2551" t="e">
        <f t="shared" si="15"/>
        <v>#N/A</v>
      </c>
      <c r="W1023" s="2979"/>
    </row>
    <row r="1024" spans="1:23" hidden="1">
      <c r="A1024" s="2551">
        <v>3061227</v>
      </c>
      <c r="B1024" s="2551" t="s">
        <v>7785</v>
      </c>
      <c r="C1024" s="2550">
        <v>13</v>
      </c>
      <c r="D1024" s="2551" t="s">
        <v>7779</v>
      </c>
      <c r="E1024" s="2550" t="s">
        <v>7780</v>
      </c>
      <c r="F1024" s="2551">
        <v>5</v>
      </c>
      <c r="G1024" s="2559">
        <v>-223872</v>
      </c>
      <c r="H1024" s="2551">
        <v>0</v>
      </c>
      <c r="J1024" s="2551">
        <v>24</v>
      </c>
      <c r="K1024" s="2553" t="s">
        <v>7781</v>
      </c>
      <c r="L1024" s="2551" t="e">
        <f t="shared" si="15"/>
        <v>#N/A</v>
      </c>
      <c r="W1024" s="2979"/>
    </row>
    <row r="1025" spans="1:23" hidden="1">
      <c r="A1025" s="2551">
        <v>3061229</v>
      </c>
      <c r="B1025" s="2551" t="s">
        <v>7785</v>
      </c>
      <c r="C1025" s="2550">
        <v>13</v>
      </c>
      <c r="D1025" s="2551" t="s">
        <v>7779</v>
      </c>
      <c r="E1025" s="2550" t="s">
        <v>7780</v>
      </c>
      <c r="F1025" s="2551">
        <v>5</v>
      </c>
      <c r="G1025" s="2559">
        <v>-945602145.98000002</v>
      </c>
      <c r="H1025" s="2559">
        <v>-242671358.06999999</v>
      </c>
      <c r="J1025" s="2551">
        <v>24</v>
      </c>
      <c r="K1025" s="2553" t="s">
        <v>7781</v>
      </c>
      <c r="L1025" s="2551" t="e">
        <f t="shared" si="15"/>
        <v>#N/A</v>
      </c>
      <c r="W1025" s="2979"/>
    </row>
    <row r="1026" spans="1:23" hidden="1">
      <c r="A1026" s="2551">
        <v>3061230</v>
      </c>
      <c r="B1026" s="2551" t="s">
        <v>7785</v>
      </c>
      <c r="C1026" s="2550">
        <v>13</v>
      </c>
      <c r="D1026" s="2551" t="s">
        <v>7779</v>
      </c>
      <c r="E1026" s="2550" t="s">
        <v>7780</v>
      </c>
      <c r="F1026" s="2551">
        <v>5</v>
      </c>
      <c r="G1026" s="2559">
        <v>-219254067.80000001</v>
      </c>
      <c r="H1026" s="2559">
        <v>-55199296.340000004</v>
      </c>
      <c r="J1026" s="2551">
        <v>24</v>
      </c>
      <c r="K1026" s="2553" t="s">
        <v>7781</v>
      </c>
      <c r="L1026" s="2551" t="e">
        <f t="shared" si="15"/>
        <v>#N/A</v>
      </c>
      <c r="W1026" s="2979"/>
    </row>
    <row r="1027" spans="1:23" hidden="1">
      <c r="A1027" s="2551">
        <v>3061232</v>
      </c>
      <c r="B1027" s="2551" t="s">
        <v>7785</v>
      </c>
      <c r="C1027" s="2550">
        <v>13</v>
      </c>
      <c r="D1027" s="2551" t="s">
        <v>7779</v>
      </c>
      <c r="E1027" s="2550" t="s">
        <v>7780</v>
      </c>
      <c r="F1027" s="2551">
        <v>5</v>
      </c>
      <c r="G1027" s="2559">
        <v>-807286459.39999998</v>
      </c>
      <c r="H1027" s="2551">
        <v>0</v>
      </c>
      <c r="J1027" s="2551">
        <v>24</v>
      </c>
      <c r="K1027" s="2553" t="s">
        <v>7781</v>
      </c>
      <c r="L1027" s="2551" t="e">
        <f t="shared" si="15"/>
        <v>#N/A</v>
      </c>
      <c r="W1027" s="2979"/>
    </row>
    <row r="1028" spans="1:23" hidden="1">
      <c r="A1028" s="2551">
        <v>3061233</v>
      </c>
      <c r="B1028" s="2551" t="s">
        <v>7785</v>
      </c>
      <c r="C1028" s="2550">
        <v>13</v>
      </c>
      <c r="D1028" s="2551" t="s">
        <v>7779</v>
      </c>
      <c r="E1028" s="2550" t="s">
        <v>7780</v>
      </c>
      <c r="F1028" s="2551">
        <v>5</v>
      </c>
      <c r="G1028" s="2559">
        <v>-121903250</v>
      </c>
      <c r="H1028" s="2551">
        <v>0</v>
      </c>
      <c r="J1028" s="2551">
        <v>24</v>
      </c>
      <c r="K1028" s="2553" t="s">
        <v>7781</v>
      </c>
      <c r="L1028" s="2551" t="e">
        <f t="shared" ref="L1028:L1091" si="16">VLOOKUP(A1028,P:P,1,0)</f>
        <v>#N/A</v>
      </c>
      <c r="W1028" s="2979"/>
    </row>
    <row r="1029" spans="1:23" hidden="1">
      <c r="A1029" s="2551">
        <v>3061241</v>
      </c>
      <c r="B1029" s="2551" t="s">
        <v>7786</v>
      </c>
      <c r="C1029" s="2550">
        <v>13</v>
      </c>
      <c r="D1029" s="2551" t="s">
        <v>7779</v>
      </c>
      <c r="E1029" s="2550" t="s">
        <v>7780</v>
      </c>
      <c r="F1029" s="2551">
        <v>6</v>
      </c>
      <c r="G1029" s="2559">
        <v>-656519605.5</v>
      </c>
      <c r="H1029" s="2559">
        <v>-126446551.67</v>
      </c>
      <c r="J1029" s="2551">
        <v>24</v>
      </c>
      <c r="K1029" s="2553" t="s">
        <v>7781</v>
      </c>
      <c r="L1029" s="2551" t="e">
        <f t="shared" si="16"/>
        <v>#N/A</v>
      </c>
      <c r="W1029" s="2979"/>
    </row>
    <row r="1030" spans="1:23" hidden="1">
      <c r="A1030" s="2551">
        <v>3061242</v>
      </c>
      <c r="B1030" s="2551" t="s">
        <v>7786</v>
      </c>
      <c r="C1030" s="2550">
        <v>13</v>
      </c>
      <c r="D1030" s="2551" t="s">
        <v>7779</v>
      </c>
      <c r="E1030" s="2550" t="s">
        <v>7780</v>
      </c>
      <c r="F1030" s="2551">
        <v>6</v>
      </c>
      <c r="G1030" s="2559">
        <v>-69124154.469999999</v>
      </c>
      <c r="H1030" s="2559">
        <v>-11555200</v>
      </c>
      <c r="J1030" s="2551">
        <v>24</v>
      </c>
      <c r="K1030" s="2553" t="s">
        <v>7781</v>
      </c>
      <c r="L1030" s="2551" t="e">
        <f t="shared" si="16"/>
        <v>#N/A</v>
      </c>
      <c r="W1030" s="2979"/>
    </row>
    <row r="1031" spans="1:23" hidden="1">
      <c r="A1031" s="2551">
        <v>3061244</v>
      </c>
      <c r="B1031" s="2551" t="s">
        <v>7787</v>
      </c>
      <c r="C1031" s="2550">
        <v>13</v>
      </c>
      <c r="D1031" s="2551" t="s">
        <v>7779</v>
      </c>
      <c r="E1031" s="2550" t="s">
        <v>7780</v>
      </c>
      <c r="F1031" s="2551">
        <v>7</v>
      </c>
      <c r="G1031" s="2559">
        <v>-190078334.21000001</v>
      </c>
      <c r="H1031" s="2559">
        <v>-47272210.439999998</v>
      </c>
      <c r="J1031" s="2551">
        <v>24</v>
      </c>
      <c r="K1031" s="2553" t="s">
        <v>7781</v>
      </c>
      <c r="L1031" s="2551" t="e">
        <f t="shared" si="16"/>
        <v>#N/A</v>
      </c>
      <c r="W1031" s="2979"/>
    </row>
    <row r="1032" spans="1:23" hidden="1">
      <c r="A1032" s="2551">
        <v>3061245</v>
      </c>
      <c r="B1032" s="2551" t="s">
        <v>7787</v>
      </c>
      <c r="C1032" s="2550">
        <v>13</v>
      </c>
      <c r="D1032" s="2551" t="s">
        <v>7779</v>
      </c>
      <c r="E1032" s="2550" t="s">
        <v>7780</v>
      </c>
      <c r="F1032" s="2551">
        <v>7</v>
      </c>
      <c r="G1032" s="2559">
        <v>-2372159.98</v>
      </c>
      <c r="H1032" s="2559">
        <v>-464658.45</v>
      </c>
      <c r="J1032" s="2551">
        <v>24</v>
      </c>
      <c r="K1032" s="2553" t="s">
        <v>7781</v>
      </c>
      <c r="L1032" s="2551" t="e">
        <f t="shared" si="16"/>
        <v>#N/A</v>
      </c>
      <c r="W1032" s="2979"/>
    </row>
    <row r="1033" spans="1:23" hidden="1">
      <c r="A1033" s="2551">
        <v>3061250</v>
      </c>
      <c r="B1033" s="2551" t="s">
        <v>7788</v>
      </c>
      <c r="C1033" s="2550">
        <v>13</v>
      </c>
      <c r="D1033" s="2551" t="s">
        <v>7779</v>
      </c>
      <c r="E1033" s="2550" t="s">
        <v>7780</v>
      </c>
      <c r="F1033" s="2551">
        <v>8</v>
      </c>
      <c r="G1033" s="2559">
        <v>-1536491097.21</v>
      </c>
      <c r="H1033" s="2559">
        <v>-222352120.44999999</v>
      </c>
      <c r="J1033" s="2551">
        <v>24</v>
      </c>
      <c r="K1033" s="2553" t="s">
        <v>7781</v>
      </c>
      <c r="L1033" s="2551" t="e">
        <f t="shared" si="16"/>
        <v>#N/A</v>
      </c>
      <c r="W1033" s="2979"/>
    </row>
    <row r="1034" spans="1:23" hidden="1">
      <c r="A1034" s="2551">
        <v>3061251</v>
      </c>
      <c r="B1034" s="2551" t="s">
        <v>7788</v>
      </c>
      <c r="C1034" s="2550">
        <v>13</v>
      </c>
      <c r="D1034" s="2551" t="s">
        <v>7779</v>
      </c>
      <c r="E1034" s="2550" t="s">
        <v>7780</v>
      </c>
      <c r="F1034" s="2551">
        <v>8</v>
      </c>
      <c r="G1034" s="2559">
        <v>-350378258.69999999</v>
      </c>
      <c r="H1034" s="2559">
        <v>-52644000</v>
      </c>
      <c r="J1034" s="2551">
        <v>24</v>
      </c>
      <c r="K1034" s="2553" t="s">
        <v>7781</v>
      </c>
      <c r="L1034" s="2551" t="e">
        <f t="shared" si="16"/>
        <v>#N/A</v>
      </c>
      <c r="W1034" s="2979"/>
    </row>
    <row r="1035" spans="1:23" hidden="1">
      <c r="A1035" s="2551">
        <v>3061253</v>
      </c>
      <c r="B1035" s="2551" t="s">
        <v>7789</v>
      </c>
      <c r="C1035" s="2550">
        <v>13</v>
      </c>
      <c r="D1035" s="2551" t="s">
        <v>7779</v>
      </c>
      <c r="E1035" s="2550" t="s">
        <v>7780</v>
      </c>
      <c r="F1035" s="2551">
        <v>9</v>
      </c>
      <c r="G1035" s="2559">
        <v>-161505348.78</v>
      </c>
      <c r="H1035" s="2559">
        <v>-21976577.77</v>
      </c>
      <c r="J1035" s="2551">
        <v>24</v>
      </c>
      <c r="K1035" s="2553" t="s">
        <v>7781</v>
      </c>
      <c r="L1035" s="2551" t="e">
        <f t="shared" si="16"/>
        <v>#N/A</v>
      </c>
      <c r="W1035" s="2979"/>
    </row>
    <row r="1036" spans="1:23" hidden="1">
      <c r="A1036" s="2551">
        <v>3061254</v>
      </c>
      <c r="B1036" s="2551" t="s">
        <v>7789</v>
      </c>
      <c r="C1036" s="2550">
        <v>13</v>
      </c>
      <c r="D1036" s="2551" t="s">
        <v>7779</v>
      </c>
      <c r="E1036" s="2550" t="s">
        <v>7780</v>
      </c>
      <c r="F1036" s="2551">
        <v>9</v>
      </c>
      <c r="G1036" s="2559">
        <v>-17808438.32</v>
      </c>
      <c r="H1036" s="2559">
        <v>-3170570.36</v>
      </c>
      <c r="J1036" s="2551">
        <v>24</v>
      </c>
      <c r="K1036" s="2553" t="s">
        <v>7781</v>
      </c>
      <c r="L1036" s="2551" t="e">
        <f t="shared" si="16"/>
        <v>#N/A</v>
      </c>
      <c r="W1036" s="2979"/>
    </row>
    <row r="1037" spans="1:23" hidden="1">
      <c r="A1037" s="2551">
        <v>3061256</v>
      </c>
      <c r="B1037" s="2551" t="s">
        <v>7790</v>
      </c>
      <c r="C1037" s="2550">
        <v>13</v>
      </c>
      <c r="D1037" s="2551" t="s">
        <v>7779</v>
      </c>
      <c r="E1037" s="2550" t="s">
        <v>7780</v>
      </c>
      <c r="F1037" s="2551">
        <v>9</v>
      </c>
      <c r="G1037" s="2559">
        <v>-5610775.4000000004</v>
      </c>
      <c r="H1037" s="2551">
        <v>0</v>
      </c>
      <c r="J1037" s="2551">
        <v>24</v>
      </c>
      <c r="K1037" s="2553" t="s">
        <v>7781</v>
      </c>
      <c r="L1037" s="2551" t="e">
        <f t="shared" si="16"/>
        <v>#N/A</v>
      </c>
      <c r="W1037" s="2979"/>
    </row>
    <row r="1038" spans="1:23" hidden="1">
      <c r="A1038" s="2551">
        <v>3061257</v>
      </c>
      <c r="B1038" s="2551" t="s">
        <v>7790</v>
      </c>
      <c r="C1038" s="2550">
        <v>13</v>
      </c>
      <c r="D1038" s="2551" t="s">
        <v>7779</v>
      </c>
      <c r="E1038" s="2550" t="s">
        <v>7780</v>
      </c>
      <c r="F1038" s="2551">
        <v>9</v>
      </c>
      <c r="G1038" s="2559">
        <v>-9912149.8499999996</v>
      </c>
      <c r="H1038" s="2551">
        <v>0</v>
      </c>
      <c r="J1038" s="2551">
        <v>24</v>
      </c>
      <c r="K1038" s="2553" t="s">
        <v>7781</v>
      </c>
      <c r="L1038" s="2551" t="e">
        <f t="shared" si="16"/>
        <v>#N/A</v>
      </c>
      <c r="W1038" s="2979"/>
    </row>
    <row r="1039" spans="1:23" hidden="1">
      <c r="A1039" s="2551">
        <v>3061259</v>
      </c>
      <c r="B1039" s="2551" t="s">
        <v>6456</v>
      </c>
      <c r="C1039" s="2550">
        <v>13</v>
      </c>
      <c r="D1039" s="2551" t="s">
        <v>7779</v>
      </c>
      <c r="E1039" s="2550" t="s">
        <v>7780</v>
      </c>
      <c r="F1039" s="2551">
        <v>10</v>
      </c>
      <c r="G1039" s="2559">
        <v>-390772194.82999998</v>
      </c>
      <c r="H1039" s="2559">
        <v>-157863718.52000001</v>
      </c>
      <c r="J1039" s="2551">
        <v>24</v>
      </c>
      <c r="K1039" s="2553" t="s">
        <v>7781</v>
      </c>
      <c r="L1039" s="2551" t="e">
        <f t="shared" si="16"/>
        <v>#N/A</v>
      </c>
      <c r="W1039" s="2979"/>
    </row>
    <row r="1040" spans="1:23" hidden="1">
      <c r="A1040" s="2551">
        <v>3061260</v>
      </c>
      <c r="B1040" s="2551" t="s">
        <v>6457</v>
      </c>
      <c r="C1040" s="2550">
        <v>13</v>
      </c>
      <c r="D1040" s="2551" t="s">
        <v>7779</v>
      </c>
      <c r="E1040" s="2550" t="s">
        <v>7780</v>
      </c>
      <c r="F1040" s="2551">
        <v>10</v>
      </c>
      <c r="G1040" s="2559">
        <v>-19839189.84</v>
      </c>
      <c r="H1040" s="2559">
        <v>-5046037.32</v>
      </c>
      <c r="J1040" s="2551">
        <v>24</v>
      </c>
      <c r="K1040" s="2553" t="s">
        <v>7781</v>
      </c>
      <c r="L1040" s="2551" t="e">
        <f t="shared" si="16"/>
        <v>#N/A</v>
      </c>
      <c r="W1040" s="2979"/>
    </row>
    <row r="1041" spans="1:23" hidden="1">
      <c r="A1041" s="2551">
        <v>3061262</v>
      </c>
      <c r="B1041" s="2551" t="s">
        <v>6458</v>
      </c>
      <c r="C1041" s="2550">
        <v>13</v>
      </c>
      <c r="D1041" s="2551" t="s">
        <v>7779</v>
      </c>
      <c r="E1041" s="2550" t="s">
        <v>7780</v>
      </c>
      <c r="F1041" s="2551">
        <v>10</v>
      </c>
      <c r="G1041" s="2559">
        <v>-171231751.09999999</v>
      </c>
      <c r="H1041" s="2559">
        <v>-102421</v>
      </c>
      <c r="J1041" s="2551">
        <v>24</v>
      </c>
      <c r="K1041" s="2553" t="s">
        <v>7781</v>
      </c>
      <c r="L1041" s="2551" t="e">
        <f t="shared" si="16"/>
        <v>#N/A</v>
      </c>
      <c r="W1041" s="2979"/>
    </row>
    <row r="1042" spans="1:23" hidden="1">
      <c r="A1042" s="2551">
        <v>3061263</v>
      </c>
      <c r="B1042" s="2551" t="s">
        <v>6459</v>
      </c>
      <c r="C1042" s="2550">
        <v>13</v>
      </c>
      <c r="D1042" s="2551" t="s">
        <v>7779</v>
      </c>
      <c r="E1042" s="2550" t="s">
        <v>7780</v>
      </c>
      <c r="F1042" s="2551">
        <v>10</v>
      </c>
      <c r="G1042" s="2559">
        <v>-23430947.82</v>
      </c>
      <c r="H1042" s="2559">
        <v>-1756508.33</v>
      </c>
      <c r="J1042" s="2551">
        <v>24</v>
      </c>
      <c r="K1042" s="2553" t="s">
        <v>7781</v>
      </c>
      <c r="L1042" s="2551" t="e">
        <f t="shared" si="16"/>
        <v>#N/A</v>
      </c>
      <c r="W1042" s="2979"/>
    </row>
    <row r="1043" spans="1:23" hidden="1">
      <c r="A1043" s="2551">
        <v>3061265</v>
      </c>
      <c r="B1043" s="2551" t="s">
        <v>7791</v>
      </c>
      <c r="C1043" s="2550">
        <v>13</v>
      </c>
      <c r="D1043" s="2551" t="s">
        <v>7779</v>
      </c>
      <c r="E1043" s="2550" t="s">
        <v>7780</v>
      </c>
      <c r="F1043" s="2551">
        <v>13</v>
      </c>
      <c r="G1043" s="2559">
        <v>-7854710.2800000003</v>
      </c>
      <c r="H1043" s="2559">
        <v>-6600880.6500000004</v>
      </c>
      <c r="J1043" s="2551">
        <v>24</v>
      </c>
      <c r="K1043" s="2553" t="s">
        <v>7781</v>
      </c>
      <c r="L1043" s="2551" t="e">
        <f t="shared" si="16"/>
        <v>#N/A</v>
      </c>
      <c r="W1043" s="2979"/>
    </row>
    <row r="1044" spans="1:23" hidden="1">
      <c r="A1044" s="2551">
        <v>3061266</v>
      </c>
      <c r="B1044" s="2551" t="s">
        <v>7791</v>
      </c>
      <c r="C1044" s="2550">
        <v>13</v>
      </c>
      <c r="D1044" s="2551" t="s">
        <v>7779</v>
      </c>
      <c r="E1044" s="2550" t="s">
        <v>7780</v>
      </c>
      <c r="F1044" s="2551">
        <v>13</v>
      </c>
      <c r="G1044" s="2559">
        <v>-549774.53</v>
      </c>
      <c r="H1044" s="2559">
        <v>-730332.67</v>
      </c>
      <c r="J1044" s="2551">
        <v>24</v>
      </c>
      <c r="K1044" s="2553" t="s">
        <v>7781</v>
      </c>
      <c r="L1044" s="2551" t="e">
        <f t="shared" si="16"/>
        <v>#N/A</v>
      </c>
      <c r="W1044" s="2979"/>
    </row>
    <row r="1045" spans="1:23" hidden="1">
      <c r="A1045" s="2551">
        <v>3061268</v>
      </c>
      <c r="B1045" s="2551" t="s">
        <v>7791</v>
      </c>
      <c r="C1045" s="2550">
        <v>13</v>
      </c>
      <c r="D1045" s="2551" t="s">
        <v>7779</v>
      </c>
      <c r="E1045" s="2550" t="s">
        <v>7780</v>
      </c>
      <c r="F1045" s="2551">
        <v>13</v>
      </c>
      <c r="G1045" s="2559">
        <v>-41641291.240000002</v>
      </c>
      <c r="H1045" s="2551">
        <v>0</v>
      </c>
      <c r="J1045" s="2551">
        <v>24</v>
      </c>
      <c r="K1045" s="2553" t="s">
        <v>7781</v>
      </c>
      <c r="L1045" s="2551" t="e">
        <f t="shared" si="16"/>
        <v>#N/A</v>
      </c>
      <c r="W1045" s="2979"/>
    </row>
    <row r="1046" spans="1:23" hidden="1">
      <c r="A1046" s="2551">
        <v>3061269</v>
      </c>
      <c r="B1046" s="2551" t="s">
        <v>7791</v>
      </c>
      <c r="C1046" s="2550">
        <v>13</v>
      </c>
      <c r="D1046" s="2551" t="s">
        <v>7779</v>
      </c>
      <c r="E1046" s="2550" t="s">
        <v>7780</v>
      </c>
      <c r="F1046" s="2551">
        <v>13</v>
      </c>
      <c r="G1046" s="2559">
        <v>-6565700.4400000004</v>
      </c>
      <c r="H1046" s="2559">
        <v>-187993.65</v>
      </c>
      <c r="J1046" s="2551">
        <v>24</v>
      </c>
      <c r="K1046" s="2553" t="s">
        <v>7781</v>
      </c>
      <c r="L1046" s="2551" t="e">
        <f t="shared" si="16"/>
        <v>#N/A</v>
      </c>
      <c r="W1046" s="2979"/>
    </row>
    <row r="1047" spans="1:23" hidden="1">
      <c r="A1047" s="2551">
        <v>3061271</v>
      </c>
      <c r="B1047" s="2551" t="s">
        <v>7792</v>
      </c>
      <c r="C1047" s="2550">
        <v>13</v>
      </c>
      <c r="D1047" s="2551" t="s">
        <v>7779</v>
      </c>
      <c r="E1047" s="2550" t="s">
        <v>7780</v>
      </c>
      <c r="F1047" s="2551">
        <v>14</v>
      </c>
      <c r="G1047" s="2559">
        <v>-3199721.75</v>
      </c>
      <c r="H1047" s="2559">
        <v>-2781293.39</v>
      </c>
      <c r="J1047" s="2551">
        <v>24</v>
      </c>
      <c r="K1047" s="2553" t="s">
        <v>7781</v>
      </c>
      <c r="L1047" s="2551" t="e">
        <f t="shared" si="16"/>
        <v>#N/A</v>
      </c>
      <c r="W1047" s="2979"/>
    </row>
    <row r="1048" spans="1:23" hidden="1">
      <c r="A1048" s="2551">
        <v>3061272</v>
      </c>
      <c r="B1048" s="2551" t="s">
        <v>7792</v>
      </c>
      <c r="C1048" s="2550">
        <v>13</v>
      </c>
      <c r="D1048" s="2551" t="s">
        <v>7779</v>
      </c>
      <c r="E1048" s="2550" t="s">
        <v>7780</v>
      </c>
      <c r="F1048" s="2551">
        <v>14</v>
      </c>
      <c r="G1048" s="2559">
        <v>-499744.69</v>
      </c>
      <c r="H1048" s="2559">
        <v>-323553</v>
      </c>
      <c r="J1048" s="2551">
        <v>24</v>
      </c>
      <c r="K1048" s="2553" t="s">
        <v>7781</v>
      </c>
      <c r="L1048" s="2551" t="e">
        <f t="shared" si="16"/>
        <v>#N/A</v>
      </c>
      <c r="W1048" s="2979"/>
    </row>
    <row r="1049" spans="1:23" hidden="1">
      <c r="A1049" s="2551">
        <v>3061274</v>
      </c>
      <c r="B1049" s="2551" t="s">
        <v>7793</v>
      </c>
      <c r="C1049" s="2550">
        <v>13</v>
      </c>
      <c r="D1049" s="2551" t="s">
        <v>7779</v>
      </c>
      <c r="E1049" s="2550" t="s">
        <v>7780</v>
      </c>
      <c r="F1049" s="2551">
        <v>14</v>
      </c>
      <c r="G1049" s="2559">
        <v>-9250064.3599999994</v>
      </c>
      <c r="H1049" s="2551">
        <v>0</v>
      </c>
      <c r="J1049" s="2551">
        <v>24</v>
      </c>
      <c r="K1049" s="2553" t="s">
        <v>7781</v>
      </c>
      <c r="L1049" s="2551" t="e">
        <f t="shared" si="16"/>
        <v>#N/A</v>
      </c>
      <c r="W1049" s="2979"/>
    </row>
    <row r="1050" spans="1:23" hidden="1">
      <c r="A1050" s="2551">
        <v>3061275</v>
      </c>
      <c r="B1050" s="2551" t="s">
        <v>7793</v>
      </c>
      <c r="C1050" s="2550">
        <v>13</v>
      </c>
      <c r="D1050" s="2551" t="s">
        <v>7779</v>
      </c>
      <c r="E1050" s="2550" t="s">
        <v>7780</v>
      </c>
      <c r="F1050" s="2551">
        <v>14</v>
      </c>
      <c r="G1050" s="2559">
        <v>-988533.18</v>
      </c>
      <c r="H1050" s="2559">
        <v>-145408.79999999999</v>
      </c>
      <c r="J1050" s="2551">
        <v>24</v>
      </c>
      <c r="K1050" s="2553" t="s">
        <v>7781</v>
      </c>
      <c r="L1050" s="2551" t="e">
        <f t="shared" si="16"/>
        <v>#N/A</v>
      </c>
      <c r="W1050" s="2979"/>
    </row>
    <row r="1051" spans="1:23" hidden="1">
      <c r="A1051" s="2551">
        <v>3061277</v>
      </c>
      <c r="B1051" s="2551" t="s">
        <v>7794</v>
      </c>
      <c r="C1051" s="2550">
        <v>13</v>
      </c>
      <c r="D1051" s="2551" t="s">
        <v>7779</v>
      </c>
      <c r="E1051" s="2550" t="s">
        <v>7780</v>
      </c>
      <c r="F1051" s="2551">
        <v>12</v>
      </c>
      <c r="G1051" s="2559">
        <v>-212054336.38</v>
      </c>
      <c r="H1051" s="2559">
        <v>-76139226.109999999</v>
      </c>
      <c r="J1051" s="2551">
        <v>24</v>
      </c>
      <c r="K1051" s="2553" t="s">
        <v>7781</v>
      </c>
      <c r="L1051" s="2551" t="e">
        <f t="shared" si="16"/>
        <v>#N/A</v>
      </c>
      <c r="W1051" s="2979"/>
    </row>
    <row r="1052" spans="1:23" hidden="1">
      <c r="A1052" s="2551">
        <v>3061278</v>
      </c>
      <c r="B1052" s="2551" t="s">
        <v>7794</v>
      </c>
      <c r="C1052" s="2550">
        <v>13</v>
      </c>
      <c r="D1052" s="2551" t="s">
        <v>7779</v>
      </c>
      <c r="E1052" s="2550" t="s">
        <v>7780</v>
      </c>
      <c r="F1052" s="2551">
        <v>12</v>
      </c>
      <c r="G1052" s="2559">
        <v>-21784374.809999999</v>
      </c>
      <c r="H1052" s="2559">
        <v>-10794631.23</v>
      </c>
      <c r="J1052" s="2551">
        <v>24</v>
      </c>
      <c r="K1052" s="2553" t="s">
        <v>7781</v>
      </c>
      <c r="L1052" s="2551" t="e">
        <f t="shared" si="16"/>
        <v>#N/A</v>
      </c>
      <c r="W1052" s="2979"/>
    </row>
    <row r="1053" spans="1:23" hidden="1">
      <c r="A1053" s="2551">
        <v>3061280</v>
      </c>
      <c r="B1053" s="2551" t="s">
        <v>7794</v>
      </c>
      <c r="C1053" s="2550">
        <v>13</v>
      </c>
      <c r="D1053" s="2551" t="s">
        <v>7779</v>
      </c>
      <c r="E1053" s="2550" t="s">
        <v>7780</v>
      </c>
      <c r="F1053" s="2551">
        <v>12</v>
      </c>
      <c r="G1053" s="2559">
        <v>-129052813.41</v>
      </c>
      <c r="H1053" s="2551">
        <v>0</v>
      </c>
      <c r="J1053" s="2551">
        <v>24</v>
      </c>
      <c r="K1053" s="2553" t="s">
        <v>7781</v>
      </c>
      <c r="L1053" s="2551" t="e">
        <f t="shared" si="16"/>
        <v>#N/A</v>
      </c>
      <c r="W1053" s="2979"/>
    </row>
    <row r="1054" spans="1:23" hidden="1">
      <c r="A1054" s="2551">
        <v>3061281</v>
      </c>
      <c r="B1054" s="2551" t="s">
        <v>7794</v>
      </c>
      <c r="C1054" s="2550">
        <v>13</v>
      </c>
      <c r="D1054" s="2551" t="s">
        <v>7779</v>
      </c>
      <c r="E1054" s="2550" t="s">
        <v>7780</v>
      </c>
      <c r="F1054" s="2551">
        <v>12</v>
      </c>
      <c r="G1054" s="2559">
        <v>-50096428.219999999</v>
      </c>
      <c r="H1054" s="2551">
        <v>0</v>
      </c>
      <c r="J1054" s="2551">
        <v>24</v>
      </c>
      <c r="K1054" s="2553" t="s">
        <v>7781</v>
      </c>
      <c r="L1054" s="2551" t="e">
        <f t="shared" si="16"/>
        <v>#N/A</v>
      </c>
      <c r="W1054" s="2979"/>
    </row>
    <row r="1055" spans="1:23" hidden="1">
      <c r="A1055" s="2551">
        <v>3061292</v>
      </c>
      <c r="B1055" s="2551" t="s">
        <v>7795</v>
      </c>
      <c r="C1055" s="2550">
        <v>13</v>
      </c>
      <c r="D1055" s="2551" t="s">
        <v>7779</v>
      </c>
      <c r="E1055" s="2550" t="s">
        <v>7780</v>
      </c>
      <c r="F1055" s="2551" t="s">
        <v>6562</v>
      </c>
      <c r="G1055" s="2559">
        <v>-14401684.619999999</v>
      </c>
      <c r="H1055" s="2551">
        <v>0</v>
      </c>
      <c r="J1055" s="2551">
        <v>24</v>
      </c>
      <c r="K1055" s="2553" t="s">
        <v>7781</v>
      </c>
      <c r="L1055" s="2551" t="e">
        <f t="shared" si="16"/>
        <v>#N/A</v>
      </c>
      <c r="W1055" s="2979"/>
    </row>
    <row r="1056" spans="1:23" hidden="1">
      <c r="A1056" s="2551">
        <v>3061400</v>
      </c>
      <c r="B1056" s="2551" t="s">
        <v>7796</v>
      </c>
      <c r="C1056" s="2550">
        <v>13</v>
      </c>
      <c r="D1056" s="2551" t="s">
        <v>7779</v>
      </c>
      <c r="E1056" s="2550" t="s">
        <v>7780</v>
      </c>
      <c r="F1056" s="2551" t="s">
        <v>7797</v>
      </c>
      <c r="G1056" s="2559">
        <v>-1211100172</v>
      </c>
      <c r="H1056" s="2551">
        <v>0</v>
      </c>
      <c r="J1056" s="2551">
        <v>24</v>
      </c>
      <c r="K1056" s="2553" t="s">
        <v>7781</v>
      </c>
      <c r="L1056" s="2551" t="e">
        <f t="shared" si="16"/>
        <v>#N/A</v>
      </c>
      <c r="W1056" s="2979"/>
    </row>
    <row r="1057" spans="1:23" hidden="1">
      <c r="A1057" s="2551">
        <v>4078821</v>
      </c>
      <c r="B1057" s="2551" t="s">
        <v>7798</v>
      </c>
      <c r="C1057" s="2550">
        <v>16</v>
      </c>
      <c r="D1057" s="2551" t="s">
        <v>3546</v>
      </c>
      <c r="E1057" s="2550" t="s">
        <v>7780</v>
      </c>
      <c r="F1057" s="2551">
        <v>39</v>
      </c>
      <c r="G1057" s="2559">
        <v>101679264.5</v>
      </c>
      <c r="H1057" s="2559">
        <v>13834914.33</v>
      </c>
      <c r="J1057" s="2551">
        <v>24</v>
      </c>
      <c r="K1057" s="2553" t="s">
        <v>7781</v>
      </c>
      <c r="L1057" s="2551" t="e">
        <f t="shared" si="16"/>
        <v>#N/A</v>
      </c>
      <c r="W1057" s="2979"/>
    </row>
    <row r="1058" spans="1:23" hidden="1">
      <c r="A1058" s="2551">
        <v>4078822</v>
      </c>
      <c r="B1058" s="2551" t="s">
        <v>7799</v>
      </c>
      <c r="C1058" s="2550">
        <v>16</v>
      </c>
      <c r="D1058" s="2551" t="s">
        <v>3546</v>
      </c>
      <c r="E1058" s="2550" t="s">
        <v>7780</v>
      </c>
      <c r="F1058" s="2551">
        <v>39</v>
      </c>
      <c r="G1058" s="2559">
        <v>15203123.109999999</v>
      </c>
      <c r="H1058" s="2559">
        <v>4148724.51</v>
      </c>
      <c r="J1058" s="2551">
        <v>24</v>
      </c>
      <c r="K1058" s="2553" t="s">
        <v>7781</v>
      </c>
      <c r="L1058" s="2551" t="e">
        <f t="shared" si="16"/>
        <v>#N/A</v>
      </c>
      <c r="W1058" s="2979"/>
    </row>
    <row r="1059" spans="1:23" hidden="1">
      <c r="A1059" s="2551">
        <v>4078823</v>
      </c>
      <c r="B1059" s="2551" t="s">
        <v>7800</v>
      </c>
      <c r="C1059" s="2550">
        <v>16</v>
      </c>
      <c r="D1059" s="2551" t="s">
        <v>3546</v>
      </c>
      <c r="E1059" s="2550" t="s">
        <v>7780</v>
      </c>
      <c r="F1059" s="2551">
        <v>39</v>
      </c>
      <c r="G1059" s="2559">
        <v>30246484.370000001</v>
      </c>
      <c r="H1059" s="2559">
        <v>2744907.98</v>
      </c>
      <c r="J1059" s="2551">
        <v>24</v>
      </c>
      <c r="K1059" s="2553" t="s">
        <v>7781</v>
      </c>
      <c r="L1059" s="2551" t="e">
        <f t="shared" si="16"/>
        <v>#N/A</v>
      </c>
      <c r="W1059" s="2979"/>
    </row>
    <row r="1060" spans="1:23">
      <c r="A1060" s="2551">
        <v>4080100</v>
      </c>
      <c r="B1060" s="2551" t="s">
        <v>7801</v>
      </c>
      <c r="C1060" s="2550">
        <v>16</v>
      </c>
      <c r="D1060" s="2551" t="s">
        <v>7802</v>
      </c>
      <c r="E1060" s="2550" t="s">
        <v>7780</v>
      </c>
      <c r="F1060" s="2551">
        <v>26</v>
      </c>
      <c r="G1060" s="2839">
        <v>1099076350</v>
      </c>
      <c r="H1060" s="2559">
        <v>284725755</v>
      </c>
      <c r="J1060" s="2551">
        <v>27</v>
      </c>
      <c r="K1060" s="2553" t="s">
        <v>7803</v>
      </c>
      <c r="L1060" s="2551" t="e">
        <f t="shared" si="16"/>
        <v>#N/A</v>
      </c>
      <c r="R1060" s="3100" t="s">
        <v>8484</v>
      </c>
      <c r="W1060" s="2979"/>
    </row>
    <row r="1061" spans="1:23" hidden="1">
      <c r="A1061" s="2551">
        <v>5062369</v>
      </c>
      <c r="B1061" s="2551" t="s">
        <v>6549</v>
      </c>
      <c r="C1061" s="2550">
        <v>14</v>
      </c>
      <c r="D1061" s="2551" t="s">
        <v>7804</v>
      </c>
      <c r="F1061" s="2551">
        <v>19</v>
      </c>
      <c r="G1061" s="2559">
        <v>-11862080</v>
      </c>
      <c r="H1061" s="2559">
        <v>-6124282</v>
      </c>
      <c r="J1061" s="2551">
        <v>25</v>
      </c>
      <c r="K1061" s="2553" t="s">
        <v>7805</v>
      </c>
      <c r="L1061" s="2551" t="e">
        <f t="shared" si="16"/>
        <v>#N/A</v>
      </c>
      <c r="W1061" s="2979"/>
    </row>
    <row r="1062" spans="1:23" hidden="1">
      <c r="A1062" s="2551">
        <v>1162925</v>
      </c>
      <c r="B1062" s="2551" t="s">
        <v>7806</v>
      </c>
      <c r="C1062" s="2550">
        <v>14</v>
      </c>
      <c r="D1062" s="2551" t="s">
        <v>7804</v>
      </c>
      <c r="E1062" s="2550" t="s">
        <v>7780</v>
      </c>
      <c r="F1062" s="2551" t="s">
        <v>7807</v>
      </c>
      <c r="G1062" s="2559">
        <v>-123427084.68000001</v>
      </c>
      <c r="H1062" s="2551">
        <v>0</v>
      </c>
      <c r="J1062" s="2551">
        <v>24</v>
      </c>
      <c r="K1062" s="2553" t="s">
        <v>7781</v>
      </c>
      <c r="L1062" s="2551" t="e">
        <f t="shared" si="16"/>
        <v>#N/A</v>
      </c>
      <c r="N1062" s="2551" t="s">
        <v>7702</v>
      </c>
      <c r="W1062" s="2979"/>
    </row>
    <row r="1063" spans="1:23" hidden="1">
      <c r="A1063" s="2551">
        <v>3061610</v>
      </c>
      <c r="B1063" s="2551" t="s">
        <v>7808</v>
      </c>
      <c r="C1063" s="2550">
        <v>14</v>
      </c>
      <c r="D1063" s="2551" t="s">
        <v>7804</v>
      </c>
      <c r="E1063" s="2550" t="s">
        <v>7780</v>
      </c>
      <c r="F1063" s="2551">
        <v>16</v>
      </c>
      <c r="G1063" s="2559">
        <v>-146606899.65000001</v>
      </c>
      <c r="H1063" s="2559">
        <v>-25631421.199999999</v>
      </c>
      <c r="J1063" s="2551">
        <v>24</v>
      </c>
      <c r="K1063" s="2553" t="s">
        <v>7781</v>
      </c>
      <c r="L1063" s="2551" t="e">
        <f t="shared" si="16"/>
        <v>#N/A</v>
      </c>
      <c r="W1063" s="2979"/>
    </row>
    <row r="1064" spans="1:23" hidden="1">
      <c r="A1064" s="2551">
        <v>3062251</v>
      </c>
      <c r="B1064" s="2551" t="s">
        <v>6470</v>
      </c>
      <c r="C1064" s="2550">
        <v>14</v>
      </c>
      <c r="D1064" s="2551" t="s">
        <v>7804</v>
      </c>
      <c r="E1064" s="2550" t="s">
        <v>7780</v>
      </c>
      <c r="F1064" s="2551">
        <v>17</v>
      </c>
      <c r="G1064" s="2559">
        <v>-154000</v>
      </c>
      <c r="H1064" s="2559">
        <v>-668000</v>
      </c>
      <c r="J1064" s="2551">
        <v>24</v>
      </c>
      <c r="K1064" s="2553" t="s">
        <v>7781</v>
      </c>
      <c r="L1064" s="2551" t="e">
        <f t="shared" si="16"/>
        <v>#N/A</v>
      </c>
      <c r="W1064" s="2979"/>
    </row>
    <row r="1065" spans="1:23" hidden="1">
      <c r="A1065" s="2551">
        <v>3062252</v>
      </c>
      <c r="B1065" s="2551" t="s">
        <v>6471</v>
      </c>
      <c r="C1065" s="2550">
        <v>14</v>
      </c>
      <c r="D1065" s="2551" t="s">
        <v>7804</v>
      </c>
      <c r="E1065" s="2550" t="s">
        <v>7780</v>
      </c>
      <c r="F1065" s="2551">
        <v>20</v>
      </c>
      <c r="G1065" s="2559">
        <v>-31998.7</v>
      </c>
      <c r="H1065" s="2559">
        <v>-296059.32</v>
      </c>
      <c r="J1065" s="2551">
        <v>25</v>
      </c>
      <c r="K1065" s="2553" t="s">
        <v>7805</v>
      </c>
      <c r="L1065" s="2551" t="e">
        <f t="shared" si="16"/>
        <v>#N/A</v>
      </c>
      <c r="W1065" s="2979"/>
    </row>
    <row r="1066" spans="1:23" hidden="1">
      <c r="A1066" s="2551">
        <v>1162927</v>
      </c>
      <c r="B1066" s="2551" t="s">
        <v>5845</v>
      </c>
      <c r="C1066" s="2550">
        <v>14</v>
      </c>
      <c r="D1066" s="2551" t="s">
        <v>7804</v>
      </c>
      <c r="E1066" s="2550" t="s">
        <v>7780</v>
      </c>
      <c r="F1066" s="2551">
        <v>22</v>
      </c>
      <c r="G1066" s="2559">
        <v>-172544850.71000001</v>
      </c>
      <c r="H1066" s="2559">
        <v>-90832476</v>
      </c>
      <c r="J1066" s="2551">
        <v>25</v>
      </c>
      <c r="K1066" s="2553" t="s">
        <v>7805</v>
      </c>
      <c r="L1066" s="2551" t="e">
        <f t="shared" si="16"/>
        <v>#N/A</v>
      </c>
      <c r="W1066" s="2979"/>
    </row>
    <row r="1067" spans="1:23" hidden="1">
      <c r="A1067" s="2551">
        <v>5061908</v>
      </c>
      <c r="B1067" s="2551" t="s">
        <v>6547</v>
      </c>
      <c r="C1067" s="2550">
        <v>14</v>
      </c>
      <c r="D1067" s="2551" t="s">
        <v>951</v>
      </c>
      <c r="E1067" s="2550" t="s">
        <v>7780</v>
      </c>
      <c r="F1067" s="2551">
        <v>23</v>
      </c>
      <c r="G1067" s="2559">
        <v>-71063540.920000002</v>
      </c>
      <c r="H1067" s="2559">
        <v>-36535472.079999998</v>
      </c>
      <c r="J1067" s="2551">
        <v>25</v>
      </c>
      <c r="K1067" s="2553" t="s">
        <v>7805</v>
      </c>
      <c r="L1067" s="2551" t="e">
        <f t="shared" si="16"/>
        <v>#N/A</v>
      </c>
      <c r="W1067" s="2979"/>
    </row>
    <row r="1068" spans="1:23" hidden="1">
      <c r="A1068" s="2551">
        <v>5061909</v>
      </c>
      <c r="B1068" s="2551" t="s">
        <v>6728</v>
      </c>
      <c r="C1068" s="2550">
        <v>14</v>
      </c>
      <c r="D1068" s="2551" t="s">
        <v>7804</v>
      </c>
      <c r="E1068" s="2550" t="s">
        <v>7780</v>
      </c>
      <c r="F1068" s="2551">
        <v>23</v>
      </c>
      <c r="G1068" s="2559">
        <v>-153943.76</v>
      </c>
      <c r="H1068" s="2551">
        <v>0</v>
      </c>
      <c r="J1068" s="2551">
        <v>25</v>
      </c>
      <c r="K1068" s="2553" t="s">
        <v>7805</v>
      </c>
      <c r="L1068" s="2551" t="e">
        <f t="shared" si="16"/>
        <v>#N/A</v>
      </c>
      <c r="W1068" s="2979"/>
    </row>
    <row r="1069" spans="1:23" hidden="1">
      <c r="A1069" s="2551">
        <v>5061720</v>
      </c>
      <c r="B1069" s="2551" t="s">
        <v>6542</v>
      </c>
      <c r="C1069" s="2550">
        <v>14</v>
      </c>
      <c r="D1069" s="2551" t="s">
        <v>7804</v>
      </c>
      <c r="E1069" s="2550" t="s">
        <v>7780</v>
      </c>
      <c r="F1069" s="2551">
        <v>16</v>
      </c>
      <c r="G1069" s="2551">
        <v>0</v>
      </c>
      <c r="H1069" s="2559">
        <v>-1018671</v>
      </c>
      <c r="J1069" s="2551">
        <v>24</v>
      </c>
      <c r="K1069" s="2553" t="s">
        <v>7781</v>
      </c>
      <c r="L1069" s="2551" t="e">
        <f t="shared" si="16"/>
        <v>#N/A</v>
      </c>
      <c r="W1069" s="2979"/>
    </row>
    <row r="1070" spans="1:23" hidden="1">
      <c r="A1070" s="2551">
        <v>5061902</v>
      </c>
      <c r="B1070" s="2551" t="s">
        <v>6543</v>
      </c>
      <c r="C1070" s="2550">
        <v>14</v>
      </c>
      <c r="D1070" s="2551" t="s">
        <v>7804</v>
      </c>
      <c r="E1070" s="2550" t="s">
        <v>7780</v>
      </c>
      <c r="F1070" s="2551">
        <v>17</v>
      </c>
      <c r="G1070" s="2559">
        <v>-84023</v>
      </c>
      <c r="H1070" s="2559">
        <v>-106965</v>
      </c>
      <c r="J1070" s="2551">
        <v>24</v>
      </c>
      <c r="K1070" s="2553" t="s">
        <v>7781</v>
      </c>
      <c r="L1070" s="2551" t="e">
        <f t="shared" si="16"/>
        <v>#N/A</v>
      </c>
      <c r="W1070" s="2979"/>
    </row>
    <row r="1071" spans="1:23" hidden="1">
      <c r="A1071" s="2551">
        <v>5061903</v>
      </c>
      <c r="B1071" s="2551" t="s">
        <v>7809</v>
      </c>
      <c r="C1071" s="2550">
        <v>14</v>
      </c>
      <c r="D1071" s="2551" t="s">
        <v>7804</v>
      </c>
      <c r="E1071" s="2550" t="s">
        <v>7780</v>
      </c>
      <c r="F1071" s="2551">
        <v>17</v>
      </c>
      <c r="G1071" s="2559">
        <v>-2482053.14</v>
      </c>
      <c r="H1071" s="2559">
        <v>-881007.09</v>
      </c>
      <c r="J1071" s="2551">
        <v>24</v>
      </c>
      <c r="K1071" s="2553" t="s">
        <v>7781</v>
      </c>
      <c r="L1071" s="2551" t="e">
        <f t="shared" si="16"/>
        <v>#N/A</v>
      </c>
      <c r="W1071" s="2979"/>
    </row>
    <row r="1072" spans="1:23" hidden="1">
      <c r="A1072" s="2551">
        <v>5061904</v>
      </c>
      <c r="B1072" s="2551" t="s">
        <v>6545</v>
      </c>
      <c r="C1072" s="2550">
        <v>14</v>
      </c>
      <c r="D1072" s="2551" t="s">
        <v>7804</v>
      </c>
      <c r="E1072" s="2550" t="s">
        <v>7780</v>
      </c>
      <c r="F1072" s="2551">
        <v>17</v>
      </c>
      <c r="G1072" s="2559">
        <v>-1015360</v>
      </c>
      <c r="H1072" s="2559">
        <v>-442941</v>
      </c>
      <c r="J1072" s="2551">
        <v>24</v>
      </c>
      <c r="K1072" s="2553" t="s">
        <v>7781</v>
      </c>
      <c r="L1072" s="2551" t="e">
        <f t="shared" si="16"/>
        <v>#N/A</v>
      </c>
      <c r="W1072" s="2979"/>
    </row>
    <row r="1073" spans="1:23" hidden="1">
      <c r="A1073" s="2551">
        <v>5061906</v>
      </c>
      <c r="B1073" s="2551" t="s">
        <v>6546</v>
      </c>
      <c r="C1073" s="2550">
        <v>14</v>
      </c>
      <c r="D1073" s="2551" t="s">
        <v>7804</v>
      </c>
      <c r="E1073" s="2550" t="s">
        <v>7780</v>
      </c>
      <c r="F1073" s="2551">
        <v>17</v>
      </c>
      <c r="G1073" s="2559">
        <v>-72522029.620000005</v>
      </c>
      <c r="H1073" s="2559">
        <v>-5677139.46</v>
      </c>
      <c r="J1073" s="2551">
        <v>24</v>
      </c>
      <c r="K1073" s="2553" t="s">
        <v>7781</v>
      </c>
      <c r="L1073" s="2551" t="e">
        <f t="shared" si="16"/>
        <v>#N/A</v>
      </c>
      <c r="W1073" s="2979"/>
    </row>
    <row r="1074" spans="1:23" hidden="1">
      <c r="A1074" s="2551">
        <v>5061990</v>
      </c>
      <c r="B1074" s="2551" t="s">
        <v>6548</v>
      </c>
      <c r="C1074" s="2550">
        <v>14</v>
      </c>
      <c r="D1074" s="2551" t="s">
        <v>7804</v>
      </c>
      <c r="E1074" s="2550" t="s">
        <v>7780</v>
      </c>
      <c r="F1074" s="2551">
        <v>17</v>
      </c>
      <c r="G1074" s="2559">
        <v>-6648643.7300000004</v>
      </c>
      <c r="H1074" s="2559">
        <v>-1085881.82</v>
      </c>
      <c r="J1074" s="2551">
        <v>24</v>
      </c>
      <c r="K1074" s="2553" t="s">
        <v>7781</v>
      </c>
      <c r="L1074" s="2551" t="e">
        <f t="shared" si="16"/>
        <v>#N/A</v>
      </c>
      <c r="W1074" s="2979"/>
    </row>
    <row r="1075" spans="1:23" hidden="1">
      <c r="A1075" s="2551">
        <v>5062998</v>
      </c>
      <c r="B1075" s="2551" t="s">
        <v>7810</v>
      </c>
      <c r="C1075" s="2550">
        <v>14</v>
      </c>
      <c r="D1075" s="2551" t="s">
        <v>7804</v>
      </c>
      <c r="E1075" s="2550" t="s">
        <v>7780</v>
      </c>
      <c r="F1075" s="2551">
        <v>17</v>
      </c>
      <c r="G1075" s="2551">
        <v>-200</v>
      </c>
      <c r="H1075" s="2551">
        <v>0</v>
      </c>
      <c r="J1075" s="2551">
        <v>25</v>
      </c>
      <c r="K1075" s="2553" t="s">
        <v>7805</v>
      </c>
      <c r="L1075" s="2551" t="e">
        <f t="shared" si="16"/>
        <v>#N/A</v>
      </c>
      <c r="W1075" s="2979"/>
    </row>
    <row r="1076" spans="1:23" hidden="1">
      <c r="A1076" s="2551">
        <v>1162340</v>
      </c>
      <c r="B1076" s="2551" t="s">
        <v>5836</v>
      </c>
      <c r="C1076" s="2550">
        <v>14</v>
      </c>
      <c r="D1076" s="2551" t="s">
        <v>3020</v>
      </c>
      <c r="E1076" s="2550" t="s">
        <v>7780</v>
      </c>
      <c r="F1076" s="2551" t="s">
        <v>7811</v>
      </c>
      <c r="G1076" s="2559">
        <v>-109822718.08</v>
      </c>
      <c r="H1076" s="2551">
        <v>0</v>
      </c>
      <c r="J1076" s="2551">
        <v>24</v>
      </c>
      <c r="K1076" s="2553" t="s">
        <v>7781</v>
      </c>
      <c r="L1076" s="2551" t="e">
        <f t="shared" si="16"/>
        <v>#N/A</v>
      </c>
      <c r="W1076" s="2979"/>
    </row>
    <row r="1077" spans="1:23" hidden="1">
      <c r="A1077" s="2551">
        <v>4077410</v>
      </c>
      <c r="B1077" s="2551" t="s">
        <v>7812</v>
      </c>
      <c r="C1077" s="2550">
        <v>14</v>
      </c>
      <c r="D1077" s="2551" t="s">
        <v>3020</v>
      </c>
      <c r="E1077" s="2550" t="s">
        <v>7780</v>
      </c>
      <c r="F1077" s="2551" t="s">
        <v>7811</v>
      </c>
      <c r="G1077" s="2559">
        <v>540945.94999999995</v>
      </c>
      <c r="H1077" s="2551">
        <v>0</v>
      </c>
      <c r="J1077" s="2551">
        <v>24</v>
      </c>
      <c r="K1077" s="2553" t="s">
        <v>7781</v>
      </c>
      <c r="L1077" s="2551" t="e">
        <f t="shared" si="16"/>
        <v>#N/A</v>
      </c>
      <c r="W1077" s="2979"/>
    </row>
    <row r="1078" spans="1:23" hidden="1">
      <c r="A1078" s="2551">
        <v>4077418</v>
      </c>
      <c r="B1078" s="2551" t="s">
        <v>6726</v>
      </c>
      <c r="C1078" s="2550">
        <v>14</v>
      </c>
      <c r="D1078" s="2551" t="s">
        <v>3020</v>
      </c>
      <c r="E1078" s="2550" t="s">
        <v>7780</v>
      </c>
      <c r="F1078" s="2551" t="s">
        <v>7811</v>
      </c>
      <c r="G1078" s="2551">
        <v>860</v>
      </c>
      <c r="H1078" s="2551">
        <v>0</v>
      </c>
      <c r="J1078" s="2551">
        <v>24</v>
      </c>
      <c r="K1078" s="2553" t="s">
        <v>7781</v>
      </c>
      <c r="L1078" s="2551" t="e">
        <f t="shared" si="16"/>
        <v>#N/A</v>
      </c>
      <c r="W1078" s="2979"/>
    </row>
    <row r="1079" spans="1:23" hidden="1">
      <c r="A1079" s="2551">
        <v>4077451</v>
      </c>
      <c r="B1079" s="2551" t="s">
        <v>6727</v>
      </c>
      <c r="C1079" s="2550">
        <v>14</v>
      </c>
      <c r="D1079" s="2551" t="s">
        <v>3020</v>
      </c>
      <c r="E1079" s="2550" t="s">
        <v>7780</v>
      </c>
      <c r="F1079" s="2551" t="s">
        <v>7811</v>
      </c>
      <c r="G1079" s="2551">
        <v>500</v>
      </c>
      <c r="H1079" s="2551">
        <v>0</v>
      </c>
      <c r="J1079" s="2551">
        <v>24</v>
      </c>
      <c r="K1079" s="2553" t="s">
        <v>7781</v>
      </c>
      <c r="L1079" s="2551" t="e">
        <f t="shared" si="16"/>
        <v>#N/A</v>
      </c>
      <c r="W1079" s="2979"/>
    </row>
    <row r="1080" spans="1:23" hidden="1">
      <c r="A1080" s="2551">
        <v>4077470</v>
      </c>
      <c r="B1080" s="2551" t="s">
        <v>7813</v>
      </c>
      <c r="C1080" s="2550">
        <v>14</v>
      </c>
      <c r="D1080" s="2551" t="s">
        <v>3020</v>
      </c>
      <c r="E1080" s="2550" t="s">
        <v>7780</v>
      </c>
      <c r="F1080" s="2551" t="s">
        <v>7811</v>
      </c>
      <c r="G1080" s="2551">
        <v>250</v>
      </c>
      <c r="H1080" s="2551">
        <v>0</v>
      </c>
      <c r="J1080" s="2551">
        <v>24</v>
      </c>
      <c r="K1080" s="2553" t="s">
        <v>7781</v>
      </c>
      <c r="L1080" s="2551" t="e">
        <f t="shared" si="16"/>
        <v>#N/A</v>
      </c>
      <c r="W1080" s="2979"/>
    </row>
    <row r="1081" spans="1:23" hidden="1">
      <c r="A1081" s="2551">
        <v>1162215</v>
      </c>
      <c r="B1081" s="2551" t="s">
        <v>5827</v>
      </c>
      <c r="C1081" s="2550">
        <v>14</v>
      </c>
      <c r="D1081" s="2551" t="s">
        <v>7804</v>
      </c>
      <c r="E1081" s="2550" t="s">
        <v>7780</v>
      </c>
      <c r="F1081" s="2551">
        <v>23</v>
      </c>
      <c r="G1081" s="2559">
        <v>-8959</v>
      </c>
      <c r="H1081" s="2551">
        <v>-16</v>
      </c>
      <c r="J1081" s="2551">
        <v>25</v>
      </c>
      <c r="K1081" s="2553" t="s">
        <v>7805</v>
      </c>
      <c r="L1081" s="2551" t="e">
        <f t="shared" si="16"/>
        <v>#N/A</v>
      </c>
      <c r="W1081" s="2979"/>
    </row>
    <row r="1082" spans="1:23" hidden="1">
      <c r="A1082" s="2551">
        <v>1162228</v>
      </c>
      <c r="B1082" s="2551" t="s">
        <v>7814</v>
      </c>
      <c r="C1082" s="2550">
        <v>14</v>
      </c>
      <c r="D1082" s="2551" t="s">
        <v>7804</v>
      </c>
      <c r="E1082" s="2550" t="s">
        <v>7780</v>
      </c>
      <c r="F1082" s="2551" t="s">
        <v>7815</v>
      </c>
      <c r="G1082" s="2567">
        <v>-128221401</v>
      </c>
      <c r="H1082" s="2559">
        <v>-57563888.810000002</v>
      </c>
      <c r="J1082" s="2551">
        <v>25</v>
      </c>
      <c r="K1082" s="2553" t="s">
        <v>7805</v>
      </c>
      <c r="L1082" s="2551" t="e">
        <f t="shared" si="16"/>
        <v>#N/A</v>
      </c>
      <c r="W1082" s="2979"/>
    </row>
    <row r="1083" spans="1:23" hidden="1">
      <c r="A1083" s="2551">
        <v>1162235</v>
      </c>
      <c r="B1083" s="2551" t="s">
        <v>5830</v>
      </c>
      <c r="C1083" s="2550">
        <v>14</v>
      </c>
      <c r="D1083" s="2551" t="s">
        <v>7804</v>
      </c>
      <c r="E1083" s="2550" t="s">
        <v>7780</v>
      </c>
      <c r="F1083" s="2551" t="s">
        <v>7815</v>
      </c>
      <c r="G1083" s="2567">
        <v>-692744</v>
      </c>
      <c r="H1083" s="2551">
        <v>0</v>
      </c>
      <c r="J1083" s="2551">
        <v>25</v>
      </c>
      <c r="K1083" s="2553" t="s">
        <v>7805</v>
      </c>
      <c r="L1083" s="2551" t="e">
        <f t="shared" si="16"/>
        <v>#N/A</v>
      </c>
      <c r="W1083" s="2979"/>
    </row>
    <row r="1084" spans="1:23" hidden="1">
      <c r="A1084" s="2551">
        <v>1162236</v>
      </c>
      <c r="B1084" s="2551" t="s">
        <v>5831</v>
      </c>
      <c r="C1084" s="2550">
        <v>14</v>
      </c>
      <c r="D1084" s="2551" t="s">
        <v>7804</v>
      </c>
      <c r="E1084" s="2550" t="s">
        <v>7780</v>
      </c>
      <c r="F1084" s="2551" t="s">
        <v>7815</v>
      </c>
      <c r="G1084" s="2567">
        <v>-443596</v>
      </c>
      <c r="H1084" s="2551">
        <v>0</v>
      </c>
      <c r="J1084" s="2551">
        <v>25</v>
      </c>
      <c r="K1084" s="2553" t="s">
        <v>7805</v>
      </c>
      <c r="L1084" s="2551" t="e">
        <f t="shared" si="16"/>
        <v>#N/A</v>
      </c>
      <c r="W1084" s="2979"/>
    </row>
    <row r="1085" spans="1:23" hidden="1">
      <c r="A1085" s="2551">
        <v>1162270</v>
      </c>
      <c r="B1085" s="2551" t="s">
        <v>7816</v>
      </c>
      <c r="C1085" s="2550">
        <v>14</v>
      </c>
      <c r="D1085" s="2551" t="s">
        <v>7804</v>
      </c>
      <c r="E1085" s="2550" t="s">
        <v>7780</v>
      </c>
      <c r="F1085" s="2551">
        <v>23</v>
      </c>
      <c r="G1085" s="2559">
        <v>-174018</v>
      </c>
      <c r="H1085" s="2551">
        <v>0</v>
      </c>
      <c r="J1085" s="2551">
        <v>25</v>
      </c>
      <c r="K1085" s="2553" t="s">
        <v>7805</v>
      </c>
      <c r="L1085" s="2551" t="e">
        <f t="shared" si="16"/>
        <v>#N/A</v>
      </c>
      <c r="W1085" s="2979"/>
    </row>
    <row r="1086" spans="1:23" hidden="1">
      <c r="A1086" s="2551">
        <v>3062250</v>
      </c>
      <c r="B1086" s="2551" t="s">
        <v>7817</v>
      </c>
      <c r="C1086" s="2550">
        <v>14</v>
      </c>
      <c r="D1086" s="2551" t="s">
        <v>7804</v>
      </c>
      <c r="E1086" s="2550" t="s">
        <v>7780</v>
      </c>
      <c r="F1086" s="2551">
        <v>18</v>
      </c>
      <c r="G1086" s="2559">
        <v>-85115879.329999998</v>
      </c>
      <c r="H1086" s="2559">
        <v>-44155790.130000003</v>
      </c>
      <c r="J1086" s="2551">
        <v>25</v>
      </c>
      <c r="K1086" s="2553" t="s">
        <v>7805</v>
      </c>
      <c r="L1086" s="2551" t="e">
        <f t="shared" si="16"/>
        <v>#N/A</v>
      </c>
      <c r="W1086" s="2979"/>
    </row>
    <row r="1087" spans="1:23" hidden="1">
      <c r="A1087" s="2551">
        <v>4022611</v>
      </c>
      <c r="B1087" s="2957" t="s">
        <v>7818</v>
      </c>
      <c r="C1087" s="2569">
        <v>16</v>
      </c>
      <c r="D1087" s="2569" t="s">
        <v>7819</v>
      </c>
      <c r="E1087" s="2550" t="s">
        <v>7780</v>
      </c>
      <c r="F1087" s="2569">
        <v>37</v>
      </c>
      <c r="G1087" s="2551">
        <v>2</v>
      </c>
      <c r="H1087" s="2551">
        <v>0</v>
      </c>
      <c r="J1087" s="2551">
        <v>29</v>
      </c>
      <c r="K1087" s="2553" t="s">
        <v>1525</v>
      </c>
      <c r="L1087" s="2551" t="e">
        <f t="shared" si="16"/>
        <v>#N/A</v>
      </c>
      <c r="W1087" s="2979"/>
    </row>
    <row r="1088" spans="1:23" hidden="1">
      <c r="A1088" s="2562">
        <v>4022622</v>
      </c>
      <c r="B1088" s="2562" t="s">
        <v>7820</v>
      </c>
      <c r="C1088" s="2562">
        <v>16</v>
      </c>
      <c r="D1088" s="2562" t="s">
        <v>7276</v>
      </c>
      <c r="E1088" s="2550" t="s">
        <v>7780</v>
      </c>
      <c r="F1088" s="2562">
        <v>30</v>
      </c>
      <c r="G1088" s="2841">
        <v>17.05</v>
      </c>
      <c r="H1088" s="2562">
        <v>0</v>
      </c>
      <c r="J1088" s="2551">
        <v>29</v>
      </c>
      <c r="K1088" s="2553" t="s">
        <v>1525</v>
      </c>
      <c r="L1088" s="2551" t="e">
        <f t="shared" si="16"/>
        <v>#N/A</v>
      </c>
      <c r="N1088" s="2551" t="s">
        <v>7702</v>
      </c>
      <c r="W1088" s="2979"/>
    </row>
    <row r="1089" spans="1:23" hidden="1">
      <c r="A1089" s="2551">
        <v>1162901</v>
      </c>
      <c r="B1089" s="2551" t="s">
        <v>5837</v>
      </c>
      <c r="C1089" s="2550">
        <v>14</v>
      </c>
      <c r="D1089" s="2551" t="s">
        <v>7804</v>
      </c>
      <c r="E1089" s="2550" t="s">
        <v>7780</v>
      </c>
      <c r="F1089" s="2551">
        <v>23</v>
      </c>
      <c r="G1089" s="2559">
        <v>-54097</v>
      </c>
      <c r="H1089" s="2559">
        <v>-12130</v>
      </c>
      <c r="J1089" s="2551">
        <v>25</v>
      </c>
      <c r="K1089" s="2553" t="s">
        <v>7805</v>
      </c>
      <c r="L1089" s="2551" t="e">
        <f t="shared" si="16"/>
        <v>#N/A</v>
      </c>
      <c r="W1089" s="2979"/>
    </row>
    <row r="1090" spans="1:23" hidden="1">
      <c r="A1090" s="2551">
        <v>1162905</v>
      </c>
      <c r="B1090" s="2551" t="s">
        <v>7821</v>
      </c>
      <c r="C1090" s="2550">
        <v>14</v>
      </c>
      <c r="D1090" s="2551" t="s">
        <v>7804</v>
      </c>
      <c r="E1090" s="2550" t="s">
        <v>7780</v>
      </c>
      <c r="F1090" s="2551">
        <v>23</v>
      </c>
      <c r="G1090" s="2559">
        <v>-1845902</v>
      </c>
      <c r="H1090" s="2551">
        <v>0</v>
      </c>
      <c r="J1090" s="2551">
        <v>25</v>
      </c>
      <c r="K1090" s="2553" t="s">
        <v>7805</v>
      </c>
      <c r="L1090" s="2551" t="e">
        <f t="shared" si="16"/>
        <v>#N/A</v>
      </c>
      <c r="N1090" s="2551" t="s">
        <v>7702</v>
      </c>
      <c r="W1090" s="2979"/>
    </row>
    <row r="1091" spans="1:23" hidden="1">
      <c r="A1091" s="2551">
        <v>1162906</v>
      </c>
      <c r="B1091" s="2551" t="s">
        <v>7822</v>
      </c>
      <c r="C1091" s="2550">
        <v>14</v>
      </c>
      <c r="D1091" s="2551" t="s">
        <v>7804</v>
      </c>
      <c r="E1091" s="2550" t="s">
        <v>7780</v>
      </c>
      <c r="F1091" s="2551">
        <v>23</v>
      </c>
      <c r="G1091" s="2551">
        <v>0</v>
      </c>
      <c r="H1091" s="2559">
        <v>-3600</v>
      </c>
      <c r="J1091" s="2551">
        <v>25</v>
      </c>
      <c r="K1091" s="2553" t="s">
        <v>7805</v>
      </c>
      <c r="L1091" s="2551" t="e">
        <f t="shared" si="16"/>
        <v>#N/A</v>
      </c>
      <c r="W1091" s="2979"/>
    </row>
    <row r="1092" spans="1:23" hidden="1">
      <c r="A1092" s="2551">
        <v>1162912</v>
      </c>
      <c r="B1092" s="2551" t="s">
        <v>7823</v>
      </c>
      <c r="C1092" s="2550">
        <v>14</v>
      </c>
      <c r="D1092" s="2551" t="s">
        <v>7804</v>
      </c>
      <c r="E1092" s="2550" t="s">
        <v>7780</v>
      </c>
      <c r="F1092" s="2551">
        <v>23</v>
      </c>
      <c r="G1092" s="2559">
        <v>-1355471.57</v>
      </c>
      <c r="H1092" s="2551">
        <v>0</v>
      </c>
      <c r="J1092" s="2551">
        <v>25</v>
      </c>
      <c r="K1092" s="2553" t="s">
        <v>7805</v>
      </c>
      <c r="L1092" s="2551" t="e">
        <f t="shared" ref="L1092:L1155" si="17">VLOOKUP(A1092,P:P,1,0)</f>
        <v>#N/A</v>
      </c>
      <c r="N1092" s="2551" t="s">
        <v>7702</v>
      </c>
      <c r="W1092" s="2979"/>
    </row>
    <row r="1093" spans="1:23" hidden="1">
      <c r="A1093" s="2551">
        <v>1162918</v>
      </c>
      <c r="B1093" s="2551" t="s">
        <v>5839</v>
      </c>
      <c r="C1093" s="2550">
        <v>14</v>
      </c>
      <c r="D1093" s="2551" t="s">
        <v>7804</v>
      </c>
      <c r="E1093" s="2550" t="s">
        <v>7780</v>
      </c>
      <c r="F1093" s="2551">
        <v>23</v>
      </c>
      <c r="G1093" s="2559">
        <v>-1657886</v>
      </c>
      <c r="H1093" s="2559">
        <v>-690000</v>
      </c>
      <c r="J1093" s="2551">
        <v>25</v>
      </c>
      <c r="K1093" s="2553" t="s">
        <v>7805</v>
      </c>
      <c r="L1093" s="2551" t="e">
        <f t="shared" si="17"/>
        <v>#N/A</v>
      </c>
      <c r="W1093" s="2979"/>
    </row>
    <row r="1094" spans="1:23" hidden="1">
      <c r="A1094" s="2551">
        <v>1162920</v>
      </c>
      <c r="B1094" s="2551" t="s">
        <v>5840</v>
      </c>
      <c r="C1094" s="2550">
        <v>14</v>
      </c>
      <c r="D1094" s="2551" t="s">
        <v>7804</v>
      </c>
      <c r="E1094" s="2550" t="s">
        <v>7780</v>
      </c>
      <c r="F1094" s="2551">
        <v>23</v>
      </c>
      <c r="G1094" s="2559">
        <v>-12120</v>
      </c>
      <c r="H1094" s="2559">
        <v>-1981</v>
      </c>
      <c r="J1094" s="2551">
        <v>25</v>
      </c>
      <c r="K1094" s="2553" t="s">
        <v>7805</v>
      </c>
      <c r="L1094" s="2551" t="e">
        <f t="shared" si="17"/>
        <v>#N/A</v>
      </c>
      <c r="W1094" s="2979"/>
    </row>
    <row r="1095" spans="1:23" hidden="1">
      <c r="A1095" s="2551">
        <v>1162998</v>
      </c>
      <c r="B1095" s="2551" t="s">
        <v>4786</v>
      </c>
      <c r="C1095" s="2550">
        <v>14</v>
      </c>
      <c r="D1095" s="2551" t="s">
        <v>7804</v>
      </c>
      <c r="E1095" s="2550" t="s">
        <v>7780</v>
      </c>
      <c r="F1095" s="2551">
        <v>23</v>
      </c>
      <c r="G1095" s="2559">
        <v>-3584695.56</v>
      </c>
      <c r="H1095" s="2559">
        <v>-1084151.56</v>
      </c>
      <c r="J1095" s="2551">
        <v>25</v>
      </c>
      <c r="K1095" s="2553" t="s">
        <v>7805</v>
      </c>
      <c r="L1095" s="2551" t="e">
        <f t="shared" si="17"/>
        <v>#N/A</v>
      </c>
      <c r="W1095" s="2979"/>
    </row>
    <row r="1096" spans="1:23" hidden="1">
      <c r="A1096" s="2551">
        <v>1162999</v>
      </c>
      <c r="B1096" s="2551" t="s">
        <v>5849</v>
      </c>
      <c r="C1096" s="2550">
        <v>14</v>
      </c>
      <c r="D1096" s="2551" t="s">
        <v>7804</v>
      </c>
      <c r="E1096" s="2550" t="s">
        <v>7780</v>
      </c>
      <c r="F1096" s="2551">
        <v>23</v>
      </c>
      <c r="G1096" s="2559">
        <v>-14163044</v>
      </c>
      <c r="H1096" s="2559">
        <v>-4379732.75</v>
      </c>
      <c r="J1096" s="2551">
        <v>25</v>
      </c>
      <c r="K1096" s="2553" t="s">
        <v>7805</v>
      </c>
      <c r="L1096" s="2551" t="e">
        <f t="shared" si="17"/>
        <v>#N/A</v>
      </c>
      <c r="W1096" s="2979"/>
    </row>
    <row r="1097" spans="1:23" hidden="1">
      <c r="A1097" s="2551">
        <v>4070144</v>
      </c>
      <c r="B1097" s="2551" t="s">
        <v>6481</v>
      </c>
      <c r="C1097" s="2550">
        <v>15</v>
      </c>
      <c r="D1097" s="2551" t="s">
        <v>7824</v>
      </c>
      <c r="E1097" s="2550" t="s">
        <v>7780</v>
      </c>
      <c r="F1097" s="2551">
        <v>24</v>
      </c>
      <c r="G1097" s="2559">
        <v>8166470850.79</v>
      </c>
      <c r="H1097" s="2559">
        <v>1779189353.05</v>
      </c>
      <c r="J1097" s="2551">
        <v>26</v>
      </c>
      <c r="K1097" s="2553" t="s">
        <v>7825</v>
      </c>
      <c r="W1097" s="2979"/>
    </row>
    <row r="1098" spans="1:23" hidden="1">
      <c r="A1098" s="2551">
        <v>4070143</v>
      </c>
      <c r="B1098" s="2551" t="s">
        <v>6480</v>
      </c>
      <c r="C1098" s="2550">
        <v>15</v>
      </c>
      <c r="D1098" s="2551" t="s">
        <v>7824</v>
      </c>
      <c r="E1098" s="2550" t="s">
        <v>7780</v>
      </c>
      <c r="F1098" s="2551">
        <v>24</v>
      </c>
      <c r="G1098" s="2559">
        <v>1089724923</v>
      </c>
      <c r="H1098" s="2559">
        <v>222127495</v>
      </c>
      <c r="J1098" s="2551">
        <v>26</v>
      </c>
      <c r="K1098" s="2553" t="s">
        <v>7825</v>
      </c>
      <c r="L1098" s="2551" t="e">
        <f t="shared" si="17"/>
        <v>#N/A</v>
      </c>
      <c r="W1098" s="2979"/>
    </row>
    <row r="1099" spans="1:23" hidden="1">
      <c r="A1099" s="2551">
        <v>4070108</v>
      </c>
      <c r="B1099" s="2551" t="s">
        <v>6479</v>
      </c>
      <c r="C1099" s="2550">
        <v>15</v>
      </c>
      <c r="D1099" s="2551" t="s">
        <v>7824</v>
      </c>
      <c r="E1099" s="2550" t="s">
        <v>7780</v>
      </c>
      <c r="F1099" s="2551">
        <v>24</v>
      </c>
      <c r="G1099" s="2559">
        <v>7072440</v>
      </c>
      <c r="H1099" s="2559">
        <v>1543200</v>
      </c>
      <c r="J1099" s="2551">
        <v>26</v>
      </c>
      <c r="K1099" s="2553" t="s">
        <v>7825</v>
      </c>
      <c r="L1099" s="2551" t="e">
        <f t="shared" si="17"/>
        <v>#N/A</v>
      </c>
      <c r="W1099" s="2979"/>
    </row>
    <row r="1100" spans="1:23" hidden="1">
      <c r="A1100" s="2551">
        <v>1162921</v>
      </c>
      <c r="B1100" s="2551" t="s">
        <v>5843</v>
      </c>
      <c r="C1100" s="2550">
        <v>14</v>
      </c>
      <c r="D1100" s="2551" t="s">
        <v>7804</v>
      </c>
      <c r="E1100" s="2550" t="s">
        <v>7780</v>
      </c>
      <c r="F1100" s="2551">
        <v>21</v>
      </c>
      <c r="G1100" s="2559">
        <v>-86685850.930000007</v>
      </c>
      <c r="H1100" s="2559">
        <v>-11180602</v>
      </c>
      <c r="J1100" s="2551">
        <v>26</v>
      </c>
      <c r="K1100" s="2553" t="s">
        <v>7825</v>
      </c>
      <c r="L1100" s="2551" t="e">
        <f t="shared" si="17"/>
        <v>#N/A</v>
      </c>
      <c r="W1100" s="2979"/>
    </row>
    <row r="1101" spans="1:23" hidden="1">
      <c r="A1101" s="2551">
        <v>1162929</v>
      </c>
      <c r="B1101" s="2551" t="s">
        <v>7826</v>
      </c>
      <c r="C1101" s="2550">
        <v>14</v>
      </c>
      <c r="D1101" s="2551" t="s">
        <v>7804</v>
      </c>
      <c r="E1101" s="2550" t="s">
        <v>7780</v>
      </c>
      <c r="F1101" s="2551">
        <v>21</v>
      </c>
      <c r="G1101" s="2559">
        <v>-10777832</v>
      </c>
      <c r="H1101" s="2559">
        <v>-4149947</v>
      </c>
      <c r="J1101" s="2551">
        <v>26</v>
      </c>
      <c r="K1101" s="2553" t="s">
        <v>7825</v>
      </c>
      <c r="L1101" s="2551" t="e">
        <f t="shared" si="17"/>
        <v>#N/A</v>
      </c>
      <c r="W1101" s="2979"/>
    </row>
    <row r="1102" spans="1:23" hidden="1">
      <c r="A1102" s="2551">
        <v>1162930</v>
      </c>
      <c r="B1102" s="2551" t="s">
        <v>5848</v>
      </c>
      <c r="C1102" s="2550">
        <v>14</v>
      </c>
      <c r="D1102" s="2551" t="s">
        <v>7804</v>
      </c>
      <c r="E1102" s="2550" t="s">
        <v>7780</v>
      </c>
      <c r="F1102" s="2551">
        <v>21</v>
      </c>
      <c r="G1102" s="2559">
        <v>-58168</v>
      </c>
      <c r="H1102" s="2551">
        <v>0</v>
      </c>
      <c r="J1102" s="2551">
        <v>26</v>
      </c>
      <c r="K1102" s="2553" t="s">
        <v>7825</v>
      </c>
      <c r="L1102" s="2551" t="e">
        <f t="shared" si="17"/>
        <v>#N/A</v>
      </c>
      <c r="W1102" s="2979"/>
    </row>
    <row r="1103" spans="1:23">
      <c r="A1103" s="2551">
        <v>4075104</v>
      </c>
      <c r="B1103" s="2551" t="s">
        <v>6484</v>
      </c>
      <c r="C1103" s="2550">
        <v>16</v>
      </c>
      <c r="D1103" s="2551" t="s">
        <v>7802</v>
      </c>
      <c r="E1103" s="2550" t="s">
        <v>7780</v>
      </c>
      <c r="F1103" s="2551">
        <v>25</v>
      </c>
      <c r="G1103" s="2835">
        <v>1020019392.95</v>
      </c>
      <c r="H1103" s="2559">
        <v>282077685.00999999</v>
      </c>
      <c r="J1103" s="2551">
        <v>27</v>
      </c>
      <c r="K1103" s="2553" t="s">
        <v>7803</v>
      </c>
      <c r="L1103" s="2551" t="e">
        <f t="shared" si="17"/>
        <v>#N/A</v>
      </c>
      <c r="R1103" s="3101" t="s">
        <v>8485</v>
      </c>
      <c r="W1103" s="2979"/>
    </row>
    <row r="1104" spans="1:23">
      <c r="A1104" s="2551">
        <v>4075104</v>
      </c>
      <c r="B1104" s="2551" t="s">
        <v>6484</v>
      </c>
      <c r="C1104" s="2550">
        <v>16</v>
      </c>
      <c r="D1104" s="2551" t="s">
        <v>7802</v>
      </c>
      <c r="E1104" s="2550" t="s">
        <v>7780</v>
      </c>
      <c r="F1104" s="2551">
        <v>25</v>
      </c>
      <c r="G1104" s="2835">
        <v>75943</v>
      </c>
      <c r="H1104" s="2551">
        <v>0</v>
      </c>
      <c r="J1104" s="2551">
        <v>27</v>
      </c>
      <c r="K1104" s="2553" t="s">
        <v>7803</v>
      </c>
      <c r="L1104" s="2551" t="e">
        <f t="shared" si="17"/>
        <v>#N/A</v>
      </c>
      <c r="R1104" s="3101" t="s">
        <v>8485</v>
      </c>
      <c r="W1104" s="2979"/>
    </row>
    <row r="1105" spans="1:23">
      <c r="A1105" s="2551">
        <v>4075304</v>
      </c>
      <c r="B1105" s="2551" t="s">
        <v>6485</v>
      </c>
      <c r="C1105" s="2550">
        <v>16</v>
      </c>
      <c r="D1105" s="2551" t="s">
        <v>7802</v>
      </c>
      <c r="E1105" s="2550" t="s">
        <v>7780</v>
      </c>
      <c r="F1105" s="2551">
        <v>25</v>
      </c>
      <c r="G1105" s="2835">
        <v>227359136.74000001</v>
      </c>
      <c r="H1105" s="2559">
        <v>6509675</v>
      </c>
      <c r="J1105" s="2551">
        <v>27</v>
      </c>
      <c r="K1105" s="2553" t="s">
        <v>7803</v>
      </c>
      <c r="L1105" s="2551" t="e">
        <f t="shared" si="17"/>
        <v>#N/A</v>
      </c>
      <c r="R1105" s="3101" t="s">
        <v>8486</v>
      </c>
      <c r="W1105" s="2979"/>
    </row>
    <row r="1106" spans="1:23">
      <c r="A1106" s="2551">
        <v>4075305</v>
      </c>
      <c r="B1106" s="2551" t="s">
        <v>6486</v>
      </c>
      <c r="C1106" s="2550">
        <v>16</v>
      </c>
      <c r="D1106" s="2551" t="s">
        <v>7802</v>
      </c>
      <c r="E1106" s="2550" t="s">
        <v>7780</v>
      </c>
      <c r="F1106" s="2551">
        <v>25</v>
      </c>
      <c r="G1106" s="2835">
        <v>286421344.61000001</v>
      </c>
      <c r="H1106" s="2559">
        <v>35773973</v>
      </c>
      <c r="J1106" s="2551">
        <v>27</v>
      </c>
      <c r="K1106" s="2553" t="s">
        <v>7803</v>
      </c>
      <c r="L1106" s="2551" t="e">
        <f t="shared" si="17"/>
        <v>#N/A</v>
      </c>
      <c r="R1106" s="3101" t="s">
        <v>8487</v>
      </c>
      <c r="W1106" s="2979"/>
    </row>
    <row r="1107" spans="1:23">
      <c r="A1107" s="2551">
        <v>4075306</v>
      </c>
      <c r="B1107" s="2551" t="s">
        <v>6702</v>
      </c>
      <c r="C1107" s="2550">
        <v>16</v>
      </c>
      <c r="D1107" s="2551" t="s">
        <v>7802</v>
      </c>
      <c r="E1107" s="2550" t="s">
        <v>7780</v>
      </c>
      <c r="F1107" s="2551">
        <v>25</v>
      </c>
      <c r="G1107" s="2835">
        <v>69428113.709999993</v>
      </c>
      <c r="H1107" s="2551">
        <v>0</v>
      </c>
      <c r="J1107" s="2551">
        <v>27</v>
      </c>
      <c r="K1107" s="2553" t="s">
        <v>7803</v>
      </c>
      <c r="L1107" s="2551" t="e">
        <f t="shared" si="17"/>
        <v>#N/A</v>
      </c>
      <c r="W1107" s="2979"/>
    </row>
    <row r="1108" spans="1:23">
      <c r="A1108" s="2551">
        <v>4075307</v>
      </c>
      <c r="B1108" s="2551" t="s">
        <v>7827</v>
      </c>
      <c r="C1108" s="2550">
        <v>16</v>
      </c>
      <c r="D1108" s="2551" t="s">
        <v>7802</v>
      </c>
      <c r="E1108" s="2550" t="s">
        <v>7780</v>
      </c>
      <c r="F1108" s="2551">
        <v>25</v>
      </c>
      <c r="G1108" s="2835">
        <v>3542200</v>
      </c>
      <c r="H1108" s="2551">
        <v>0</v>
      </c>
      <c r="J1108" s="2551">
        <v>27</v>
      </c>
      <c r="K1108" s="2553" t="s">
        <v>7803</v>
      </c>
      <c r="L1108" s="2551" t="e">
        <f t="shared" si="17"/>
        <v>#N/A</v>
      </c>
      <c r="W1108" s="2979"/>
    </row>
    <row r="1109" spans="1:23">
      <c r="A1109" s="2551">
        <v>4075391</v>
      </c>
      <c r="B1109" s="2551" t="s">
        <v>6703</v>
      </c>
      <c r="C1109" s="2550">
        <v>16</v>
      </c>
      <c r="D1109" s="2551" t="s">
        <v>7802</v>
      </c>
      <c r="E1109" s="2550" t="s">
        <v>7780</v>
      </c>
      <c r="F1109" s="2551">
        <v>25</v>
      </c>
      <c r="G1109" s="2835">
        <v>21170</v>
      </c>
      <c r="H1109" s="2551">
        <v>0</v>
      </c>
      <c r="J1109" s="2551">
        <v>27</v>
      </c>
      <c r="K1109" s="2553" t="s">
        <v>7803</v>
      </c>
      <c r="L1109" s="2551" t="e">
        <f t="shared" si="17"/>
        <v>#N/A</v>
      </c>
      <c r="W1109" s="2979"/>
    </row>
    <row r="1110" spans="1:23">
      <c r="A1110" s="2551">
        <v>4075392</v>
      </c>
      <c r="B1110" s="2551" t="s">
        <v>6704</v>
      </c>
      <c r="C1110" s="2550">
        <v>16</v>
      </c>
      <c r="D1110" s="2551" t="s">
        <v>7802</v>
      </c>
      <c r="E1110" s="2550" t="s">
        <v>7780</v>
      </c>
      <c r="F1110" s="2551">
        <v>25</v>
      </c>
      <c r="G1110" s="2835">
        <v>150784</v>
      </c>
      <c r="H1110" s="2551">
        <v>0</v>
      </c>
      <c r="J1110" s="2551">
        <v>27</v>
      </c>
      <c r="K1110" s="2553" t="s">
        <v>7803</v>
      </c>
      <c r="L1110" s="2551" t="e">
        <f t="shared" si="17"/>
        <v>#N/A</v>
      </c>
      <c r="W1110" s="2979"/>
    </row>
    <row r="1111" spans="1:23">
      <c r="A1111" s="2551">
        <v>4075393</v>
      </c>
      <c r="B1111" s="2551" t="s">
        <v>6705</v>
      </c>
      <c r="C1111" s="2550">
        <v>16</v>
      </c>
      <c r="D1111" s="2551" t="s">
        <v>7802</v>
      </c>
      <c r="E1111" s="2550" t="s">
        <v>7780</v>
      </c>
      <c r="F1111" s="2551">
        <v>25</v>
      </c>
      <c r="G1111" s="2835">
        <v>1336212</v>
      </c>
      <c r="H1111" s="2551">
        <v>0</v>
      </c>
      <c r="J1111" s="2551">
        <v>27</v>
      </c>
      <c r="K1111" s="2553" t="s">
        <v>7803</v>
      </c>
      <c r="L1111" s="2551" t="e">
        <f t="shared" si="17"/>
        <v>#N/A</v>
      </c>
      <c r="W1111" s="2979"/>
    </row>
    <row r="1112" spans="1:23">
      <c r="A1112" s="2551">
        <v>4075394</v>
      </c>
      <c r="B1112" s="2551" t="s">
        <v>6706</v>
      </c>
      <c r="C1112" s="2550">
        <v>16</v>
      </c>
      <c r="D1112" s="2551" t="s">
        <v>7802</v>
      </c>
      <c r="E1112" s="2550" t="s">
        <v>7780</v>
      </c>
      <c r="F1112" s="2551">
        <v>25</v>
      </c>
      <c r="G1112" s="2835">
        <v>21068</v>
      </c>
      <c r="H1112" s="2551">
        <v>0</v>
      </c>
      <c r="J1112" s="2551">
        <v>27</v>
      </c>
      <c r="K1112" s="2553" t="s">
        <v>7803</v>
      </c>
      <c r="L1112" s="2551" t="e">
        <f t="shared" si="17"/>
        <v>#N/A</v>
      </c>
      <c r="W1112" s="2979"/>
    </row>
    <row r="1113" spans="1:23">
      <c r="A1113" s="2551">
        <v>4075395</v>
      </c>
      <c r="B1113" s="2551" t="s">
        <v>6707</v>
      </c>
      <c r="C1113" s="2550">
        <v>16</v>
      </c>
      <c r="D1113" s="2551" t="s">
        <v>7802</v>
      </c>
      <c r="E1113" s="2550" t="s">
        <v>7780</v>
      </c>
      <c r="F1113" s="2551">
        <v>25</v>
      </c>
      <c r="G1113" s="2836">
        <v>40504284.240000002</v>
      </c>
      <c r="H1113" s="2551">
        <v>0</v>
      </c>
      <c r="J1113" s="2551">
        <v>27</v>
      </c>
      <c r="K1113" s="2553" t="s">
        <v>7803</v>
      </c>
      <c r="L1113" s="2551" t="e">
        <f t="shared" si="17"/>
        <v>#N/A</v>
      </c>
      <c r="W1113" s="2979"/>
    </row>
    <row r="1114" spans="1:23">
      <c r="A1114" s="2551">
        <v>4075395</v>
      </c>
      <c r="B1114" s="2551" t="s">
        <v>6707</v>
      </c>
      <c r="C1114" s="2550">
        <v>16</v>
      </c>
      <c r="D1114" s="2551" t="s">
        <v>7802</v>
      </c>
      <c r="E1114" s="2550" t="s">
        <v>7780</v>
      </c>
      <c r="F1114" s="2551">
        <v>25</v>
      </c>
      <c r="G1114" s="2836">
        <v>9291559.7599999998</v>
      </c>
      <c r="H1114" s="2551">
        <v>0</v>
      </c>
      <c r="J1114" s="2551">
        <v>27</v>
      </c>
      <c r="K1114" s="2553" t="s">
        <v>7803</v>
      </c>
      <c r="L1114" s="2551" t="e">
        <f t="shared" si="17"/>
        <v>#N/A</v>
      </c>
      <c r="W1114" s="2979"/>
    </row>
    <row r="1115" spans="1:23">
      <c r="A1115" s="2551">
        <v>4075396</v>
      </c>
      <c r="B1115" s="2551" t="s">
        <v>6708</v>
      </c>
      <c r="C1115" s="2550">
        <v>16</v>
      </c>
      <c r="D1115" s="2551" t="s">
        <v>7802</v>
      </c>
      <c r="E1115" s="2550" t="s">
        <v>7780</v>
      </c>
      <c r="F1115" s="2551">
        <v>25</v>
      </c>
      <c r="G1115" s="2836">
        <v>992197.12</v>
      </c>
      <c r="H1115" s="2551">
        <v>0</v>
      </c>
      <c r="J1115" s="2551">
        <v>27</v>
      </c>
      <c r="K1115" s="2553" t="s">
        <v>7803</v>
      </c>
      <c r="L1115" s="2551" t="e">
        <f t="shared" si="17"/>
        <v>#N/A</v>
      </c>
      <c r="W1115" s="2979"/>
    </row>
    <row r="1116" spans="1:23">
      <c r="A1116" s="2551">
        <v>4075396</v>
      </c>
      <c r="B1116" s="2551" t="s">
        <v>6708</v>
      </c>
      <c r="C1116" s="2550">
        <v>16</v>
      </c>
      <c r="D1116" s="2551" t="s">
        <v>7802</v>
      </c>
      <c r="E1116" s="2550" t="s">
        <v>7780</v>
      </c>
      <c r="F1116" s="2551">
        <v>25</v>
      </c>
      <c r="G1116" s="2836">
        <v>4324.2299999999996</v>
      </c>
      <c r="H1116" s="2551">
        <v>0</v>
      </c>
      <c r="J1116" s="2551">
        <v>27</v>
      </c>
      <c r="K1116" s="2553" t="s">
        <v>7803</v>
      </c>
      <c r="L1116" s="2551" t="e">
        <f t="shared" si="17"/>
        <v>#N/A</v>
      </c>
      <c r="W1116" s="2979"/>
    </row>
    <row r="1117" spans="1:23">
      <c r="A1117" s="2551">
        <v>4075397</v>
      </c>
      <c r="B1117" s="2551" t="s">
        <v>7828</v>
      </c>
      <c r="C1117" s="2550">
        <v>16</v>
      </c>
      <c r="D1117" s="2551" t="s">
        <v>7802</v>
      </c>
      <c r="E1117" s="2550" t="s">
        <v>7780</v>
      </c>
      <c r="F1117" s="2551">
        <v>25</v>
      </c>
      <c r="G1117" s="2836">
        <v>1091853.73</v>
      </c>
      <c r="H1117" s="2551">
        <v>0</v>
      </c>
      <c r="J1117" s="2551">
        <v>27</v>
      </c>
      <c r="K1117" s="2553" t="s">
        <v>7803</v>
      </c>
      <c r="L1117" s="2551" t="e">
        <f t="shared" si="17"/>
        <v>#N/A</v>
      </c>
      <c r="W1117" s="2979"/>
    </row>
    <row r="1118" spans="1:23">
      <c r="A1118" s="2551">
        <v>4075397</v>
      </c>
      <c r="B1118" s="2551" t="s">
        <v>7828</v>
      </c>
      <c r="C1118" s="2550">
        <v>16</v>
      </c>
      <c r="D1118" s="2551" t="s">
        <v>7802</v>
      </c>
      <c r="E1118" s="2550" t="s">
        <v>7780</v>
      </c>
      <c r="F1118" s="2551">
        <v>25</v>
      </c>
      <c r="G1118" s="2836">
        <v>177248.06</v>
      </c>
      <c r="H1118" s="2551">
        <v>0</v>
      </c>
      <c r="J1118" s="2551">
        <v>27</v>
      </c>
      <c r="K1118" s="2553" t="s">
        <v>7803</v>
      </c>
      <c r="L1118" s="2551" t="e">
        <f t="shared" si="17"/>
        <v>#N/A</v>
      </c>
      <c r="W1118" s="2979"/>
    </row>
    <row r="1119" spans="1:23">
      <c r="A1119" s="2551">
        <v>4075398</v>
      </c>
      <c r="B1119" s="2551" t="s">
        <v>6710</v>
      </c>
      <c r="C1119" s="2550">
        <v>16</v>
      </c>
      <c r="D1119" s="2551" t="s">
        <v>7802</v>
      </c>
      <c r="E1119" s="2550" t="s">
        <v>7780</v>
      </c>
      <c r="F1119" s="2551">
        <v>25</v>
      </c>
      <c r="G1119" s="2836">
        <v>10232588.1</v>
      </c>
      <c r="H1119" s="2551">
        <v>0</v>
      </c>
      <c r="J1119" s="2551">
        <v>27</v>
      </c>
      <c r="K1119" s="2553" t="s">
        <v>7803</v>
      </c>
      <c r="L1119" s="2551" t="e">
        <f t="shared" si="17"/>
        <v>#N/A</v>
      </c>
      <c r="W1119" s="2979"/>
    </row>
    <row r="1120" spans="1:23">
      <c r="A1120" s="2551">
        <v>4075398</v>
      </c>
      <c r="B1120" s="2551" t="s">
        <v>6710</v>
      </c>
      <c r="C1120" s="2550">
        <v>16</v>
      </c>
      <c r="D1120" s="2551" t="s">
        <v>7802</v>
      </c>
      <c r="E1120" s="2550" t="s">
        <v>7780</v>
      </c>
      <c r="F1120" s="2551">
        <v>25</v>
      </c>
      <c r="G1120" s="2836">
        <v>1604069.2</v>
      </c>
      <c r="H1120" s="2551">
        <v>0</v>
      </c>
      <c r="J1120" s="2551">
        <v>27</v>
      </c>
      <c r="K1120" s="2553" t="s">
        <v>7803</v>
      </c>
      <c r="L1120" s="2551" t="e">
        <f t="shared" si="17"/>
        <v>#N/A</v>
      </c>
      <c r="W1120" s="2979"/>
    </row>
    <row r="1121" spans="1:23">
      <c r="A1121" s="2551">
        <v>4075399</v>
      </c>
      <c r="B1121" s="2551" t="s">
        <v>6711</v>
      </c>
      <c r="C1121" s="2550">
        <v>16</v>
      </c>
      <c r="D1121" s="2551" t="s">
        <v>7802</v>
      </c>
      <c r="E1121" s="2550" t="s">
        <v>7780</v>
      </c>
      <c r="F1121" s="2551">
        <v>25</v>
      </c>
      <c r="G1121" s="2836">
        <v>1034747.91</v>
      </c>
      <c r="H1121" s="2551">
        <v>0</v>
      </c>
      <c r="J1121" s="2551">
        <v>27</v>
      </c>
      <c r="K1121" s="2553" t="s">
        <v>7803</v>
      </c>
      <c r="L1121" s="2551" t="e">
        <f t="shared" si="17"/>
        <v>#N/A</v>
      </c>
      <c r="W1121" s="2979"/>
    </row>
    <row r="1122" spans="1:23">
      <c r="A1122" s="2551">
        <v>4075399</v>
      </c>
      <c r="B1122" s="2551" t="s">
        <v>6711</v>
      </c>
      <c r="C1122" s="2550">
        <v>16</v>
      </c>
      <c r="D1122" s="2551" t="s">
        <v>7802</v>
      </c>
      <c r="E1122" s="2550" t="s">
        <v>7780</v>
      </c>
      <c r="F1122" s="2551">
        <v>25</v>
      </c>
      <c r="G1122" s="2836">
        <v>135609.68</v>
      </c>
      <c r="H1122" s="2551">
        <v>0</v>
      </c>
      <c r="J1122" s="2551">
        <v>27</v>
      </c>
      <c r="K1122" s="2553" t="s">
        <v>7803</v>
      </c>
      <c r="L1122" s="2551" t="e">
        <f t="shared" si="17"/>
        <v>#N/A</v>
      </c>
      <c r="W1122" s="2979"/>
    </row>
    <row r="1123" spans="1:23">
      <c r="A1123" s="2551">
        <v>4075400</v>
      </c>
      <c r="B1123" s="2551" t="s">
        <v>6712</v>
      </c>
      <c r="C1123" s="2550">
        <v>16</v>
      </c>
      <c r="D1123" s="2551" t="s">
        <v>7802</v>
      </c>
      <c r="E1123" s="2550" t="s">
        <v>7780</v>
      </c>
      <c r="F1123" s="2551">
        <v>25</v>
      </c>
      <c r="G1123" s="2836">
        <v>906635.48</v>
      </c>
      <c r="H1123" s="2551">
        <v>0</v>
      </c>
      <c r="J1123" s="2551">
        <v>27</v>
      </c>
      <c r="K1123" s="2553" t="s">
        <v>7803</v>
      </c>
      <c r="L1123" s="2551" t="e">
        <f t="shared" si="17"/>
        <v>#N/A</v>
      </c>
      <c r="W1123" s="2979"/>
    </row>
    <row r="1124" spans="1:23">
      <c r="A1124" s="2551">
        <v>4075400</v>
      </c>
      <c r="B1124" s="2551" t="s">
        <v>6712</v>
      </c>
      <c r="C1124" s="2550">
        <v>16</v>
      </c>
      <c r="D1124" s="2551" t="s">
        <v>7802</v>
      </c>
      <c r="E1124" s="2550" t="s">
        <v>7780</v>
      </c>
      <c r="F1124" s="2551">
        <v>25</v>
      </c>
      <c r="G1124" s="2836">
        <v>145385.60999999999</v>
      </c>
      <c r="H1124" s="2551">
        <v>0</v>
      </c>
      <c r="J1124" s="2551">
        <v>27</v>
      </c>
      <c r="K1124" s="2553" t="s">
        <v>7803</v>
      </c>
      <c r="L1124" s="2551" t="e">
        <f t="shared" si="17"/>
        <v>#N/A</v>
      </c>
      <c r="W1124" s="2979"/>
    </row>
    <row r="1125" spans="1:23">
      <c r="A1125" s="2551">
        <v>4075401</v>
      </c>
      <c r="B1125" s="2551" t="s">
        <v>7829</v>
      </c>
      <c r="C1125" s="2550">
        <v>16</v>
      </c>
      <c r="D1125" s="2551" t="s">
        <v>7802</v>
      </c>
      <c r="E1125" s="2550" t="s">
        <v>7780</v>
      </c>
      <c r="F1125" s="2551">
        <v>25</v>
      </c>
      <c r="G1125" s="2836">
        <v>1670000</v>
      </c>
      <c r="H1125" s="2551">
        <v>0</v>
      </c>
      <c r="J1125" s="2551">
        <v>27</v>
      </c>
      <c r="K1125" s="2553" t="s">
        <v>7803</v>
      </c>
      <c r="L1125" s="2551" t="e">
        <f t="shared" si="17"/>
        <v>#N/A</v>
      </c>
      <c r="W1125" s="2979"/>
    </row>
    <row r="1126" spans="1:23">
      <c r="A1126" s="2551">
        <v>4075401</v>
      </c>
      <c r="B1126" s="2551" t="s">
        <v>7829</v>
      </c>
      <c r="C1126" s="2550">
        <v>16</v>
      </c>
      <c r="D1126" s="2551" t="s">
        <v>7802</v>
      </c>
      <c r="E1126" s="2550" t="s">
        <v>7780</v>
      </c>
      <c r="F1126" s="2551">
        <v>25</v>
      </c>
      <c r="G1126" s="2836">
        <v>230400</v>
      </c>
      <c r="H1126" s="2551">
        <v>0</v>
      </c>
      <c r="J1126" s="2551">
        <v>27</v>
      </c>
      <c r="K1126" s="2553" t="s">
        <v>7803</v>
      </c>
      <c r="L1126" s="2551" t="e">
        <f t="shared" si="17"/>
        <v>#N/A</v>
      </c>
      <c r="W1126" s="2979"/>
    </row>
    <row r="1127" spans="1:23">
      <c r="A1127" s="2551">
        <v>4075402</v>
      </c>
      <c r="B1127" s="2551" t="s">
        <v>6714</v>
      </c>
      <c r="C1127" s="2550">
        <v>16</v>
      </c>
      <c r="D1127" s="2551" t="s">
        <v>7802</v>
      </c>
      <c r="E1127" s="2550" t="s">
        <v>7780</v>
      </c>
      <c r="F1127" s="2551">
        <v>25</v>
      </c>
      <c r="G1127" s="2836">
        <v>180351.22</v>
      </c>
      <c r="H1127" s="2551">
        <v>0</v>
      </c>
      <c r="J1127" s="2551">
        <v>27</v>
      </c>
      <c r="K1127" s="2553" t="s">
        <v>7803</v>
      </c>
      <c r="L1127" s="2551" t="e">
        <f t="shared" si="17"/>
        <v>#N/A</v>
      </c>
      <c r="W1127" s="2979"/>
    </row>
    <row r="1128" spans="1:23">
      <c r="A1128" s="2551">
        <v>4075402</v>
      </c>
      <c r="B1128" s="2551" t="s">
        <v>6714</v>
      </c>
      <c r="C1128" s="2550">
        <v>16</v>
      </c>
      <c r="D1128" s="2551" t="s">
        <v>7802</v>
      </c>
      <c r="E1128" s="2550" t="s">
        <v>7780</v>
      </c>
      <c r="F1128" s="2551">
        <v>25</v>
      </c>
      <c r="G1128" s="2836">
        <v>2500</v>
      </c>
      <c r="H1128" s="2551">
        <v>0</v>
      </c>
      <c r="J1128" s="2551">
        <v>27</v>
      </c>
      <c r="K1128" s="2553" t="s">
        <v>7803</v>
      </c>
      <c r="L1128" s="2551" t="e">
        <f t="shared" si="17"/>
        <v>#N/A</v>
      </c>
      <c r="W1128" s="2979"/>
    </row>
    <row r="1129" spans="1:23">
      <c r="A1129" s="2551">
        <v>4075403</v>
      </c>
      <c r="B1129" s="2551" t="s">
        <v>7830</v>
      </c>
      <c r="C1129" s="2550">
        <v>16</v>
      </c>
      <c r="D1129" s="2551" t="s">
        <v>7802</v>
      </c>
      <c r="E1129" s="2550" t="s">
        <v>7780</v>
      </c>
      <c r="F1129" s="2551">
        <v>25</v>
      </c>
      <c r="G1129" s="2834">
        <v>7645</v>
      </c>
      <c r="H1129" s="2551">
        <v>0</v>
      </c>
      <c r="J1129" s="2551">
        <v>27</v>
      </c>
      <c r="K1129" s="2553" t="s">
        <v>7803</v>
      </c>
      <c r="L1129" s="2551" t="e">
        <f t="shared" si="17"/>
        <v>#N/A</v>
      </c>
      <c r="W1129" s="2979"/>
    </row>
    <row r="1130" spans="1:23">
      <c r="A1130" s="2551">
        <v>4075404</v>
      </c>
      <c r="B1130" s="2551" t="s">
        <v>6487</v>
      </c>
      <c r="C1130" s="2550">
        <v>16</v>
      </c>
      <c r="D1130" s="2551" t="s">
        <v>7802</v>
      </c>
      <c r="E1130" s="2550" t="s">
        <v>7780</v>
      </c>
      <c r="F1130" s="2551">
        <v>25</v>
      </c>
      <c r="G1130" s="2834">
        <v>19911935.09</v>
      </c>
      <c r="H1130" s="2559">
        <v>5020455</v>
      </c>
      <c r="J1130" s="2551">
        <v>27</v>
      </c>
      <c r="K1130" s="2553" t="s">
        <v>7803</v>
      </c>
      <c r="L1130" s="2551" t="e">
        <f t="shared" si="17"/>
        <v>#N/A</v>
      </c>
      <c r="W1130" s="2979"/>
    </row>
    <row r="1131" spans="1:23">
      <c r="A1131" s="2562">
        <v>4075501</v>
      </c>
      <c r="B1131" s="2562" t="s">
        <v>6715</v>
      </c>
      <c r="C1131" s="2563">
        <v>16</v>
      </c>
      <c r="D1131" s="2562" t="s">
        <v>7802</v>
      </c>
      <c r="E1131" s="2550" t="s">
        <v>7780</v>
      </c>
      <c r="F1131" s="2562">
        <v>25</v>
      </c>
      <c r="G1131" s="2837">
        <v>7410838</v>
      </c>
      <c r="H1131" s="2562">
        <v>0</v>
      </c>
      <c r="J1131" s="2551">
        <v>27</v>
      </c>
      <c r="K1131" s="2553" t="s">
        <v>7803</v>
      </c>
      <c r="L1131" s="2551" t="e">
        <f t="shared" si="17"/>
        <v>#N/A</v>
      </c>
      <c r="N1131" s="2551" t="s">
        <v>7702</v>
      </c>
      <c r="W1131" s="2979"/>
    </row>
    <row r="1132" spans="1:23">
      <c r="A1132" s="2562">
        <v>4075502</v>
      </c>
      <c r="B1132" s="2562" t="s">
        <v>6488</v>
      </c>
      <c r="C1132" s="2563">
        <v>16</v>
      </c>
      <c r="D1132" s="2562" t="s">
        <v>7802</v>
      </c>
      <c r="E1132" s="2550" t="s">
        <v>7780</v>
      </c>
      <c r="F1132" s="2562">
        <v>25</v>
      </c>
      <c r="G1132" s="2837">
        <v>10130817</v>
      </c>
      <c r="H1132" s="2564">
        <v>4777454</v>
      </c>
      <c r="J1132" s="2551">
        <v>27</v>
      </c>
      <c r="K1132" s="2553" t="s">
        <v>7803</v>
      </c>
      <c r="L1132" s="2551" t="e">
        <f t="shared" si="17"/>
        <v>#N/A</v>
      </c>
      <c r="N1132" s="2551" t="s">
        <v>7702</v>
      </c>
      <c r="W1132" s="2979"/>
    </row>
    <row r="1133" spans="1:23">
      <c r="A1133" s="2562">
        <v>4075503</v>
      </c>
      <c r="B1133" s="2562" t="s">
        <v>5557</v>
      </c>
      <c r="C1133" s="2563">
        <v>16</v>
      </c>
      <c r="D1133" s="2562" t="s">
        <v>7802</v>
      </c>
      <c r="E1133" s="2550" t="s">
        <v>7780</v>
      </c>
      <c r="F1133" s="2562">
        <v>25</v>
      </c>
      <c r="G1133" s="2837">
        <v>1325472095.46</v>
      </c>
      <c r="H1133" s="2564">
        <v>133446359.42</v>
      </c>
      <c r="J1133" s="2551">
        <v>29</v>
      </c>
      <c r="K1133" s="2553" t="s">
        <v>1525</v>
      </c>
      <c r="L1133" s="2551" t="e">
        <f t="shared" si="17"/>
        <v>#N/A</v>
      </c>
      <c r="N1133" s="2551" t="s">
        <v>7702</v>
      </c>
      <c r="W1133" s="2979"/>
    </row>
    <row r="1134" spans="1:23">
      <c r="A1134" s="2551">
        <v>4075504</v>
      </c>
      <c r="B1134" s="2551" t="s">
        <v>6489</v>
      </c>
      <c r="C1134" s="2550">
        <v>16</v>
      </c>
      <c r="D1134" s="2551" t="s">
        <v>7802</v>
      </c>
      <c r="E1134" s="2550" t="s">
        <v>7780</v>
      </c>
      <c r="F1134" s="2551">
        <v>25</v>
      </c>
      <c r="G1134" s="2834">
        <v>0</v>
      </c>
      <c r="H1134" s="2559">
        <v>7710841.9800000004</v>
      </c>
      <c r="J1134" s="2551">
        <v>27</v>
      </c>
      <c r="K1134" s="2553" t="s">
        <v>7803</v>
      </c>
      <c r="L1134" s="2551" t="e">
        <f t="shared" si="17"/>
        <v>#N/A</v>
      </c>
      <c r="W1134" s="2979"/>
    </row>
    <row r="1135" spans="1:23">
      <c r="A1135" s="2551">
        <v>4075505</v>
      </c>
      <c r="B1135" s="2551" t="s">
        <v>6490</v>
      </c>
      <c r="C1135" s="2550">
        <v>16</v>
      </c>
      <c r="D1135" s="2551" t="s">
        <v>7802</v>
      </c>
      <c r="E1135" s="2550" t="s">
        <v>7780</v>
      </c>
      <c r="F1135" s="2551">
        <v>25</v>
      </c>
      <c r="G1135" s="2832">
        <v>781770</v>
      </c>
      <c r="H1135" s="2559">
        <v>4010859</v>
      </c>
      <c r="J1135" s="2551">
        <v>27</v>
      </c>
      <c r="K1135" s="2553" t="s">
        <v>7803</v>
      </c>
      <c r="L1135" s="2551" t="e">
        <f t="shared" si="17"/>
        <v>#N/A</v>
      </c>
      <c r="W1135" s="2979"/>
    </row>
    <row r="1136" spans="1:23">
      <c r="A1136" s="2551">
        <v>4075610</v>
      </c>
      <c r="B1136" s="2551" t="s">
        <v>7831</v>
      </c>
      <c r="C1136" s="2550">
        <v>16</v>
      </c>
      <c r="D1136" s="2551" t="s">
        <v>7802</v>
      </c>
      <c r="E1136" s="2550" t="s">
        <v>7780</v>
      </c>
      <c r="F1136" s="2551">
        <v>25</v>
      </c>
      <c r="G1136" s="2836">
        <v>97525084</v>
      </c>
      <c r="H1136" s="2559">
        <v>9265632</v>
      </c>
      <c r="J1136" s="2551">
        <v>27</v>
      </c>
      <c r="K1136" s="2553" t="s">
        <v>7803</v>
      </c>
      <c r="L1136" s="2551" t="e">
        <f t="shared" si="17"/>
        <v>#N/A</v>
      </c>
      <c r="W1136" s="2979"/>
    </row>
    <row r="1137" spans="1:23">
      <c r="A1137" s="2551">
        <v>4075611</v>
      </c>
      <c r="B1137" s="2551" t="s">
        <v>6492</v>
      </c>
      <c r="C1137" s="2550">
        <v>16</v>
      </c>
      <c r="D1137" s="2551" t="s">
        <v>7802</v>
      </c>
      <c r="E1137" s="2550" t="s">
        <v>7780</v>
      </c>
      <c r="F1137" s="2551">
        <v>25</v>
      </c>
      <c r="G1137" s="2833">
        <v>15401281.5</v>
      </c>
      <c r="H1137" s="2559">
        <v>15339171</v>
      </c>
      <c r="J1137" s="2551">
        <v>27</v>
      </c>
      <c r="K1137" s="2553" t="s">
        <v>7803</v>
      </c>
      <c r="L1137" s="2551" t="e">
        <f t="shared" si="17"/>
        <v>#N/A</v>
      </c>
      <c r="W1137" s="2979"/>
    </row>
    <row r="1138" spans="1:23">
      <c r="A1138" s="2551">
        <v>4075612</v>
      </c>
      <c r="B1138" s="2551" t="s">
        <v>573</v>
      </c>
      <c r="C1138" s="2550">
        <v>16</v>
      </c>
      <c r="D1138" s="2551" t="s">
        <v>7802</v>
      </c>
      <c r="E1138" s="2550" t="s">
        <v>7780</v>
      </c>
      <c r="F1138" s="2551">
        <v>25</v>
      </c>
      <c r="G1138" s="2833">
        <v>226487.4</v>
      </c>
      <c r="H1138" s="2551">
        <v>0</v>
      </c>
      <c r="J1138" s="2551">
        <v>27</v>
      </c>
      <c r="K1138" s="2553" t="s">
        <v>7803</v>
      </c>
      <c r="L1138" s="2551" t="e">
        <f t="shared" si="17"/>
        <v>#N/A</v>
      </c>
      <c r="W1138" s="2979"/>
    </row>
    <row r="1139" spans="1:23">
      <c r="A1139" s="2551">
        <v>4075612</v>
      </c>
      <c r="B1139" s="2551" t="s">
        <v>573</v>
      </c>
      <c r="C1139" s="2550">
        <v>16</v>
      </c>
      <c r="D1139" s="2551" t="s">
        <v>7802</v>
      </c>
      <c r="E1139" s="2550" t="s">
        <v>7780</v>
      </c>
      <c r="F1139" s="2551">
        <v>25</v>
      </c>
      <c r="G1139" s="2833">
        <v>24575.98</v>
      </c>
      <c r="H1139" s="2551">
        <v>0</v>
      </c>
      <c r="J1139" s="2551">
        <v>27</v>
      </c>
      <c r="K1139" s="2553" t="s">
        <v>7803</v>
      </c>
      <c r="L1139" s="2551" t="e">
        <f t="shared" si="17"/>
        <v>#N/A</v>
      </c>
      <c r="W1139" s="2979"/>
    </row>
    <row r="1140" spans="1:23">
      <c r="A1140" s="2551">
        <v>4075614</v>
      </c>
      <c r="B1140" s="2551" t="s">
        <v>6493</v>
      </c>
      <c r="C1140" s="2550">
        <v>16</v>
      </c>
      <c r="D1140" s="2551" t="s">
        <v>7802</v>
      </c>
      <c r="E1140" s="2550" t="s">
        <v>7780</v>
      </c>
      <c r="F1140" s="2551">
        <v>25</v>
      </c>
      <c r="G1140" s="2835">
        <v>37751400</v>
      </c>
      <c r="H1140" s="2559">
        <v>32398278</v>
      </c>
      <c r="J1140" s="2551">
        <v>27</v>
      </c>
      <c r="K1140" s="2553" t="s">
        <v>7803</v>
      </c>
      <c r="L1140" s="2551" t="e">
        <f t="shared" si="17"/>
        <v>#N/A</v>
      </c>
      <c r="W1140" s="2979"/>
    </row>
    <row r="1141" spans="1:23">
      <c r="A1141" s="2551">
        <v>4075617</v>
      </c>
      <c r="B1141" s="2551" t="s">
        <v>6495</v>
      </c>
      <c r="C1141" s="2550">
        <v>16</v>
      </c>
      <c r="D1141" s="2551" t="s">
        <v>7802</v>
      </c>
      <c r="E1141" s="2550" t="s">
        <v>7780</v>
      </c>
      <c r="F1141" s="2551">
        <v>25</v>
      </c>
      <c r="G1141" s="2839">
        <v>-3331489</v>
      </c>
      <c r="H1141" s="2559">
        <v>11000688</v>
      </c>
      <c r="J1141" s="2551">
        <v>27</v>
      </c>
      <c r="K1141" s="2553" t="s">
        <v>7803</v>
      </c>
      <c r="L1141" s="2551" t="e">
        <f t="shared" si="17"/>
        <v>#N/A</v>
      </c>
      <c r="W1141" s="2979"/>
    </row>
    <row r="1142" spans="1:23">
      <c r="A1142" s="2551">
        <v>4075618</v>
      </c>
      <c r="B1142" s="2551" t="s">
        <v>580</v>
      </c>
      <c r="C1142" s="2550">
        <v>16</v>
      </c>
      <c r="D1142" s="2551" t="s">
        <v>7802</v>
      </c>
      <c r="E1142" s="2550" t="s">
        <v>7780</v>
      </c>
      <c r="F1142" s="2551">
        <v>25</v>
      </c>
      <c r="G1142" s="2833">
        <v>336992</v>
      </c>
      <c r="H1142" s="2559">
        <v>-4625</v>
      </c>
      <c r="J1142" s="2551">
        <v>27</v>
      </c>
      <c r="K1142" s="2553" t="s">
        <v>7803</v>
      </c>
      <c r="L1142" s="2551" t="e">
        <f t="shared" si="17"/>
        <v>#N/A</v>
      </c>
      <c r="W1142" s="2979"/>
    </row>
    <row r="1143" spans="1:23">
      <c r="A1143" s="2551">
        <v>4075675</v>
      </c>
      <c r="B1143" s="2551" t="s">
        <v>6496</v>
      </c>
      <c r="C1143" s="2550">
        <v>16</v>
      </c>
      <c r="D1143" s="2551" t="s">
        <v>7802</v>
      </c>
      <c r="E1143" s="2550" t="s">
        <v>7780</v>
      </c>
      <c r="F1143" s="2551">
        <v>25</v>
      </c>
      <c r="G1143" s="2836">
        <v>72403856.030000001</v>
      </c>
      <c r="H1143" s="2559">
        <v>4298119.37</v>
      </c>
      <c r="J1143" s="2551">
        <v>27</v>
      </c>
      <c r="K1143" s="2553" t="s">
        <v>7803</v>
      </c>
      <c r="L1143" s="2551" t="e">
        <f t="shared" si="17"/>
        <v>#N/A</v>
      </c>
      <c r="W1143" s="2979"/>
    </row>
    <row r="1144" spans="1:23">
      <c r="A1144" s="2551">
        <v>4075675</v>
      </c>
      <c r="B1144" s="2551" t="s">
        <v>6496</v>
      </c>
      <c r="C1144" s="2550">
        <v>16</v>
      </c>
      <c r="D1144" s="2551" t="s">
        <v>7802</v>
      </c>
      <c r="E1144" s="2550" t="s">
        <v>7780</v>
      </c>
      <c r="F1144" s="2551">
        <v>25</v>
      </c>
      <c r="G1144" s="2836">
        <v>14655675.68</v>
      </c>
      <c r="H1144" s="2551">
        <v>0</v>
      </c>
      <c r="J1144" s="2551">
        <v>27</v>
      </c>
      <c r="K1144" s="2553" t="s">
        <v>7803</v>
      </c>
      <c r="L1144" s="2551" t="e">
        <f t="shared" si="17"/>
        <v>#N/A</v>
      </c>
      <c r="W1144" s="2979"/>
    </row>
    <row r="1145" spans="1:23">
      <c r="A1145" s="2551">
        <v>4075676</v>
      </c>
      <c r="B1145" s="2551" t="s">
        <v>6716</v>
      </c>
      <c r="C1145" s="2550">
        <v>16</v>
      </c>
      <c r="D1145" s="2551" t="s">
        <v>7802</v>
      </c>
      <c r="E1145" s="2550" t="s">
        <v>7780</v>
      </c>
      <c r="F1145" s="2551">
        <v>25</v>
      </c>
      <c r="G1145" s="2836">
        <v>7892950.54</v>
      </c>
      <c r="H1145" s="2551">
        <v>0</v>
      </c>
      <c r="J1145" s="2551">
        <v>27</v>
      </c>
      <c r="K1145" s="2553" t="s">
        <v>7803</v>
      </c>
      <c r="L1145" s="2551" t="e">
        <f t="shared" si="17"/>
        <v>#N/A</v>
      </c>
      <c r="W1145" s="2979"/>
    </row>
    <row r="1146" spans="1:23">
      <c r="A1146" s="2551">
        <v>4075676</v>
      </c>
      <c r="B1146" s="2551" t="s">
        <v>6716</v>
      </c>
      <c r="C1146" s="2550">
        <v>16</v>
      </c>
      <c r="D1146" s="2551" t="s">
        <v>7802</v>
      </c>
      <c r="E1146" s="2550" t="s">
        <v>7780</v>
      </c>
      <c r="F1146" s="2551">
        <v>25</v>
      </c>
      <c r="G1146" s="2836">
        <v>449854.84</v>
      </c>
      <c r="H1146" s="2551">
        <v>0</v>
      </c>
      <c r="J1146" s="2551">
        <v>27</v>
      </c>
      <c r="K1146" s="2553" t="s">
        <v>7803</v>
      </c>
      <c r="L1146" s="2551" t="e">
        <f t="shared" si="17"/>
        <v>#N/A</v>
      </c>
      <c r="W1146" s="2979"/>
    </row>
    <row r="1147" spans="1:23">
      <c r="A1147" s="2551">
        <v>4075678</v>
      </c>
      <c r="B1147" s="2551" t="s">
        <v>6717</v>
      </c>
      <c r="C1147" s="2550">
        <v>16</v>
      </c>
      <c r="D1147" s="2551" t="s">
        <v>7802</v>
      </c>
      <c r="E1147" s="2550" t="s">
        <v>7780</v>
      </c>
      <c r="F1147" s="2551">
        <v>25</v>
      </c>
      <c r="G1147" s="2836">
        <v>8507630.9299999997</v>
      </c>
      <c r="H1147" s="2551">
        <v>0</v>
      </c>
      <c r="J1147" s="2551">
        <v>27</v>
      </c>
      <c r="K1147" s="2553" t="s">
        <v>7803</v>
      </c>
      <c r="L1147" s="2551" t="e">
        <f t="shared" si="17"/>
        <v>#N/A</v>
      </c>
      <c r="W1147" s="2979"/>
    </row>
    <row r="1148" spans="1:23">
      <c r="A1148" s="2551">
        <v>4075678</v>
      </c>
      <c r="B1148" s="2551" t="s">
        <v>6717</v>
      </c>
      <c r="C1148" s="2550">
        <v>16</v>
      </c>
      <c r="D1148" s="2551" t="s">
        <v>7802</v>
      </c>
      <c r="E1148" s="2550" t="s">
        <v>7780</v>
      </c>
      <c r="F1148" s="2551">
        <v>25</v>
      </c>
      <c r="G1148" s="2836">
        <v>370375.05</v>
      </c>
      <c r="H1148" s="2551">
        <v>0</v>
      </c>
      <c r="J1148" s="2551">
        <v>27</v>
      </c>
      <c r="K1148" s="2553" t="s">
        <v>7803</v>
      </c>
      <c r="L1148" s="2551" t="e">
        <f t="shared" si="17"/>
        <v>#N/A</v>
      </c>
      <c r="W1148" s="2979"/>
    </row>
    <row r="1149" spans="1:23">
      <c r="A1149" s="2551">
        <v>4075679</v>
      </c>
      <c r="B1149" s="2551" t="s">
        <v>6498</v>
      </c>
      <c r="C1149" s="2550">
        <v>16</v>
      </c>
      <c r="D1149" s="2551" t="s">
        <v>7802</v>
      </c>
      <c r="E1149" s="2550" t="s">
        <v>7780</v>
      </c>
      <c r="F1149" s="2551">
        <v>25</v>
      </c>
      <c r="G1149" s="2836">
        <v>10598745.02</v>
      </c>
      <c r="H1149" s="2559">
        <v>5509679</v>
      </c>
      <c r="J1149" s="2551">
        <v>27</v>
      </c>
      <c r="K1149" s="2553" t="s">
        <v>7803</v>
      </c>
      <c r="L1149" s="2551" t="e">
        <f t="shared" si="17"/>
        <v>#N/A</v>
      </c>
      <c r="W1149" s="2979"/>
    </row>
    <row r="1150" spans="1:23">
      <c r="A1150" s="2551">
        <v>4075679</v>
      </c>
      <c r="B1150" s="2551" t="s">
        <v>6498</v>
      </c>
      <c r="C1150" s="2550">
        <v>16</v>
      </c>
      <c r="D1150" s="2551" t="s">
        <v>7802</v>
      </c>
      <c r="E1150" s="2550" t="s">
        <v>7780</v>
      </c>
      <c r="F1150" s="2551">
        <v>25</v>
      </c>
      <c r="G1150" s="2836">
        <v>1480716.77</v>
      </c>
      <c r="H1150" s="2551">
        <v>0</v>
      </c>
      <c r="J1150" s="2551">
        <v>27</v>
      </c>
      <c r="K1150" s="2553" t="s">
        <v>7803</v>
      </c>
      <c r="L1150" s="2551" t="e">
        <f t="shared" si="17"/>
        <v>#N/A</v>
      </c>
      <c r="W1150" s="2979"/>
    </row>
    <row r="1151" spans="1:23">
      <c r="A1151" s="2551">
        <v>4075680</v>
      </c>
      <c r="B1151" s="2551" t="s">
        <v>7832</v>
      </c>
      <c r="C1151" s="2550">
        <v>16</v>
      </c>
      <c r="D1151" s="2551" t="s">
        <v>7802</v>
      </c>
      <c r="E1151" s="2550" t="s">
        <v>7780</v>
      </c>
      <c r="F1151" s="2551">
        <v>25</v>
      </c>
      <c r="G1151" s="2836">
        <v>608109</v>
      </c>
      <c r="H1151" s="2551">
        <v>0</v>
      </c>
      <c r="J1151" s="2551">
        <v>27</v>
      </c>
      <c r="K1151" s="2553" t="s">
        <v>7803</v>
      </c>
      <c r="L1151" s="2551" t="e">
        <f t="shared" si="17"/>
        <v>#N/A</v>
      </c>
      <c r="W1151" s="2979"/>
    </row>
    <row r="1152" spans="1:23">
      <c r="A1152" s="2551">
        <v>4075680</v>
      </c>
      <c r="B1152" s="2551" t="s">
        <v>7832</v>
      </c>
      <c r="C1152" s="2550">
        <v>16</v>
      </c>
      <c r="D1152" s="2551" t="s">
        <v>7802</v>
      </c>
      <c r="E1152" s="2550" t="s">
        <v>7780</v>
      </c>
      <c r="F1152" s="2551">
        <v>25</v>
      </c>
      <c r="G1152" s="2836">
        <v>5904</v>
      </c>
      <c r="H1152" s="2551">
        <v>0</v>
      </c>
      <c r="J1152" s="2551">
        <v>27</v>
      </c>
      <c r="K1152" s="2553" t="s">
        <v>7803</v>
      </c>
      <c r="L1152" s="2551" t="e">
        <f t="shared" si="17"/>
        <v>#N/A</v>
      </c>
      <c r="W1152" s="2979"/>
    </row>
    <row r="1153" spans="1:23">
      <c r="A1153" s="2551">
        <v>4075682</v>
      </c>
      <c r="B1153" s="2551" t="s">
        <v>6718</v>
      </c>
      <c r="C1153" s="2550">
        <v>16</v>
      </c>
      <c r="D1153" s="2551" t="s">
        <v>7802</v>
      </c>
      <c r="E1153" s="2550" t="s">
        <v>7780</v>
      </c>
      <c r="F1153" s="2551">
        <v>25</v>
      </c>
      <c r="G1153" s="2836">
        <v>631030.30000000005</v>
      </c>
      <c r="H1153" s="2551">
        <v>0</v>
      </c>
      <c r="J1153" s="2551">
        <v>27</v>
      </c>
      <c r="K1153" s="2553" t="s">
        <v>7803</v>
      </c>
      <c r="L1153" s="2551" t="e">
        <f t="shared" si="17"/>
        <v>#N/A</v>
      </c>
      <c r="W1153" s="2979"/>
    </row>
    <row r="1154" spans="1:23">
      <c r="A1154" s="2551">
        <v>4075682</v>
      </c>
      <c r="B1154" s="2551" t="s">
        <v>6718</v>
      </c>
      <c r="C1154" s="2550">
        <v>16</v>
      </c>
      <c r="D1154" s="2551" t="s">
        <v>7802</v>
      </c>
      <c r="E1154" s="2550" t="s">
        <v>7780</v>
      </c>
      <c r="F1154" s="2551">
        <v>25</v>
      </c>
      <c r="G1154" s="2836">
        <v>14490.93</v>
      </c>
      <c r="H1154" s="2551">
        <v>0</v>
      </c>
      <c r="J1154" s="2551">
        <v>27</v>
      </c>
      <c r="K1154" s="2553" t="s">
        <v>7803</v>
      </c>
      <c r="L1154" s="2551" t="e">
        <f t="shared" si="17"/>
        <v>#N/A</v>
      </c>
      <c r="W1154" s="2979"/>
    </row>
    <row r="1155" spans="1:23">
      <c r="A1155" s="2551">
        <v>4075687</v>
      </c>
      <c r="B1155" s="2551" t="s">
        <v>7833</v>
      </c>
      <c r="C1155" s="2550">
        <v>16</v>
      </c>
      <c r="D1155" s="2551" t="s">
        <v>7802</v>
      </c>
      <c r="E1155" s="2550" t="s">
        <v>7780</v>
      </c>
      <c r="F1155" s="2551">
        <v>25</v>
      </c>
      <c r="G1155" s="2836">
        <v>101183</v>
      </c>
      <c r="H1155" s="2551">
        <v>0</v>
      </c>
      <c r="J1155" s="2551">
        <v>27</v>
      </c>
      <c r="K1155" s="2553" t="s">
        <v>7803</v>
      </c>
      <c r="L1155" s="2551" t="e">
        <f t="shared" si="17"/>
        <v>#N/A</v>
      </c>
      <c r="W1155" s="2979"/>
    </row>
    <row r="1156" spans="1:23">
      <c r="A1156" s="2551">
        <v>4075687</v>
      </c>
      <c r="B1156" s="2551" t="s">
        <v>7833</v>
      </c>
      <c r="C1156" s="2550">
        <v>16</v>
      </c>
      <c r="D1156" s="2551" t="s">
        <v>7802</v>
      </c>
      <c r="E1156" s="2550" t="s">
        <v>7780</v>
      </c>
      <c r="F1156" s="2551">
        <v>25</v>
      </c>
      <c r="G1156" s="2836">
        <v>23434</v>
      </c>
      <c r="H1156" s="2551">
        <v>0</v>
      </c>
      <c r="J1156" s="2551">
        <v>27</v>
      </c>
      <c r="K1156" s="2553" t="s">
        <v>7803</v>
      </c>
      <c r="L1156" s="2551" t="e">
        <f t="shared" ref="L1156:L1219" si="18">VLOOKUP(A1156,P:P,1,0)</f>
        <v>#N/A</v>
      </c>
      <c r="W1156" s="2979"/>
    </row>
    <row r="1157" spans="1:23">
      <c r="A1157" s="2551">
        <v>4075690</v>
      </c>
      <c r="B1157" s="2551" t="s">
        <v>6499</v>
      </c>
      <c r="C1157" s="2550">
        <v>16</v>
      </c>
      <c r="D1157" s="2551" t="s">
        <v>7802</v>
      </c>
      <c r="E1157" s="2550" t="s">
        <v>7780</v>
      </c>
      <c r="F1157" s="2551">
        <v>25</v>
      </c>
      <c r="G1157" s="2832">
        <v>-1147108.05</v>
      </c>
      <c r="H1157" s="2559">
        <v>30373362</v>
      </c>
      <c r="J1157" s="2551">
        <v>27</v>
      </c>
      <c r="K1157" s="2553" t="s">
        <v>7803</v>
      </c>
      <c r="L1157" s="2551" t="e">
        <f t="shared" si="18"/>
        <v>#N/A</v>
      </c>
      <c r="W1157" s="2979"/>
    </row>
    <row r="1158" spans="1:23">
      <c r="A1158" s="2551">
        <v>4075690</v>
      </c>
      <c r="B1158" s="2551" t="s">
        <v>6499</v>
      </c>
      <c r="C1158" s="2550">
        <v>16</v>
      </c>
      <c r="D1158" s="2551" t="s">
        <v>7802</v>
      </c>
      <c r="E1158" s="2550" t="s">
        <v>7780</v>
      </c>
      <c r="F1158" s="2551">
        <v>25</v>
      </c>
      <c r="G1158" s="2832">
        <v>3382767.03</v>
      </c>
      <c r="H1158" s="2551">
        <v>0</v>
      </c>
      <c r="J1158" s="2551">
        <v>27</v>
      </c>
      <c r="K1158" s="2553" t="s">
        <v>7803</v>
      </c>
      <c r="L1158" s="2551" t="e">
        <f t="shared" si="18"/>
        <v>#N/A</v>
      </c>
      <c r="W1158" s="2979"/>
    </row>
    <row r="1159" spans="1:23">
      <c r="A1159" s="2551">
        <v>4075910</v>
      </c>
      <c r="B1159" s="2551" t="s">
        <v>7834</v>
      </c>
      <c r="C1159" s="2550">
        <v>16</v>
      </c>
      <c r="D1159" s="2551" t="s">
        <v>7834</v>
      </c>
      <c r="E1159" s="2550" t="s">
        <v>7780</v>
      </c>
      <c r="F1159" s="2551">
        <v>43</v>
      </c>
      <c r="G1159" s="2834">
        <v>-21675901.870000001</v>
      </c>
      <c r="H1159" s="2551">
        <v>0</v>
      </c>
      <c r="J1159" s="2551">
        <v>27</v>
      </c>
      <c r="K1159" s="2553" t="s">
        <v>7803</v>
      </c>
      <c r="L1159" s="2551" t="e">
        <f t="shared" si="18"/>
        <v>#N/A</v>
      </c>
      <c r="W1159" s="2979"/>
    </row>
    <row r="1160" spans="1:23">
      <c r="A1160" s="2551">
        <v>4075677</v>
      </c>
      <c r="B1160" s="2551" t="s">
        <v>6497</v>
      </c>
      <c r="C1160" s="2550">
        <v>16</v>
      </c>
      <c r="D1160" s="2551" t="s">
        <v>7802</v>
      </c>
      <c r="E1160" s="2550" t="s">
        <v>7780</v>
      </c>
      <c r="F1160" s="2551">
        <v>26</v>
      </c>
      <c r="G1160" s="2839">
        <v>7825930</v>
      </c>
      <c r="H1160" s="2559">
        <v>-41881000</v>
      </c>
      <c r="J1160" s="2551">
        <v>27</v>
      </c>
      <c r="K1160" s="2553" t="s">
        <v>7803</v>
      </c>
      <c r="L1160" s="2551" t="e">
        <f t="shared" si="18"/>
        <v>#N/A</v>
      </c>
      <c r="R1160" s="3100" t="s">
        <v>8484</v>
      </c>
      <c r="W1160" s="2979"/>
    </row>
    <row r="1161" spans="1:23">
      <c r="A1161" s="2551">
        <v>4075683</v>
      </c>
      <c r="B1161" s="2551" t="s">
        <v>6719</v>
      </c>
      <c r="C1161" s="2550">
        <v>16</v>
      </c>
      <c r="D1161" s="2551" t="s">
        <v>7802</v>
      </c>
      <c r="E1161" s="2550" t="s">
        <v>7780</v>
      </c>
      <c r="F1161" s="2551">
        <v>26</v>
      </c>
      <c r="G1161" s="2838">
        <v>12552881</v>
      </c>
      <c r="H1161" s="2551">
        <v>0</v>
      </c>
      <c r="J1161" s="2551">
        <v>27</v>
      </c>
      <c r="K1161" s="2553" t="s">
        <v>7803</v>
      </c>
      <c r="L1161" s="2551" t="e">
        <f t="shared" si="18"/>
        <v>#N/A</v>
      </c>
      <c r="W1161" s="2979"/>
    </row>
    <row r="1162" spans="1:23">
      <c r="A1162" s="2551">
        <v>4075683</v>
      </c>
      <c r="B1162" s="2551" t="s">
        <v>6719</v>
      </c>
      <c r="C1162" s="2550">
        <v>16</v>
      </c>
      <c r="D1162" s="2551" t="s">
        <v>7802</v>
      </c>
      <c r="E1162" s="2550" t="s">
        <v>7780</v>
      </c>
      <c r="F1162" s="2551">
        <v>26</v>
      </c>
      <c r="G1162" s="2838">
        <v>2073055</v>
      </c>
      <c r="H1162" s="2551">
        <v>0</v>
      </c>
      <c r="J1162" s="2551">
        <v>27</v>
      </c>
      <c r="K1162" s="2553" t="s">
        <v>7803</v>
      </c>
      <c r="L1162" s="2551" t="e">
        <f t="shared" si="18"/>
        <v>#N/A</v>
      </c>
      <c r="W1162" s="2979"/>
    </row>
    <row r="1163" spans="1:23">
      <c r="A1163" s="2551">
        <v>4075686</v>
      </c>
      <c r="B1163" s="2551" t="s">
        <v>7835</v>
      </c>
      <c r="C1163" s="2550">
        <v>16</v>
      </c>
      <c r="D1163" s="2551" t="s">
        <v>7802</v>
      </c>
      <c r="E1163" s="2550" t="s">
        <v>7780</v>
      </c>
      <c r="F1163" s="2551">
        <v>26</v>
      </c>
      <c r="G1163" s="2838">
        <v>1815597</v>
      </c>
      <c r="H1163" s="2551">
        <v>0</v>
      </c>
      <c r="J1163" s="2551">
        <v>27</v>
      </c>
      <c r="K1163" s="2553" t="s">
        <v>7803</v>
      </c>
      <c r="L1163" s="2551" t="e">
        <f t="shared" si="18"/>
        <v>#N/A</v>
      </c>
      <c r="W1163" s="2979"/>
    </row>
    <row r="1164" spans="1:23">
      <c r="A1164" s="2551">
        <v>4075686</v>
      </c>
      <c r="B1164" s="2551" t="s">
        <v>7835</v>
      </c>
      <c r="C1164" s="2550">
        <v>16</v>
      </c>
      <c r="D1164" s="2551" t="s">
        <v>7802</v>
      </c>
      <c r="E1164" s="2550" t="s">
        <v>7780</v>
      </c>
      <c r="F1164" s="2551">
        <v>26</v>
      </c>
      <c r="G1164" s="2838">
        <v>163415</v>
      </c>
      <c r="H1164" s="2551">
        <v>0</v>
      </c>
      <c r="J1164" s="2551">
        <v>27</v>
      </c>
      <c r="K1164" s="2553" t="s">
        <v>7803</v>
      </c>
      <c r="L1164" s="2551" t="e">
        <f t="shared" si="18"/>
        <v>#N/A</v>
      </c>
      <c r="W1164" s="2979"/>
    </row>
    <row r="1165" spans="1:23">
      <c r="A1165" s="2551">
        <v>4075801</v>
      </c>
      <c r="B1165" s="2551" t="s">
        <v>6504</v>
      </c>
      <c r="C1165" s="2550">
        <v>16</v>
      </c>
      <c r="D1165" s="2551" t="s">
        <v>7802</v>
      </c>
      <c r="E1165" s="2550" t="s">
        <v>7780</v>
      </c>
      <c r="F1165" s="2551">
        <v>26</v>
      </c>
      <c r="G1165" s="2838">
        <v>73587538.239999995</v>
      </c>
      <c r="H1165" s="2559">
        <v>15745012</v>
      </c>
      <c r="J1165" s="2551">
        <v>27</v>
      </c>
      <c r="K1165" s="2553" t="s">
        <v>7803</v>
      </c>
      <c r="L1165" s="2551" t="e">
        <f t="shared" si="18"/>
        <v>#N/A</v>
      </c>
      <c r="W1165" s="2979"/>
    </row>
    <row r="1166" spans="1:23">
      <c r="A1166" s="2551">
        <v>4075803</v>
      </c>
      <c r="B1166" s="2551" t="s">
        <v>7836</v>
      </c>
      <c r="C1166" s="2550">
        <v>16</v>
      </c>
      <c r="D1166" s="2551" t="s">
        <v>7802</v>
      </c>
      <c r="E1166" s="2550" t="s">
        <v>7780</v>
      </c>
      <c r="F1166" s="2551">
        <v>26</v>
      </c>
      <c r="G1166" s="2838">
        <v>361430</v>
      </c>
      <c r="H1166" s="2551">
        <v>0</v>
      </c>
      <c r="J1166" s="2551">
        <v>27</v>
      </c>
      <c r="K1166" s="2553" t="s">
        <v>7803</v>
      </c>
      <c r="L1166" s="2551" t="e">
        <f t="shared" si="18"/>
        <v>#N/A</v>
      </c>
      <c r="W1166" s="2979"/>
    </row>
    <row r="1167" spans="1:23">
      <c r="A1167" s="2551">
        <v>4075805</v>
      </c>
      <c r="B1167" s="2551" t="s">
        <v>7837</v>
      </c>
      <c r="C1167" s="2550">
        <v>16</v>
      </c>
      <c r="D1167" s="2551" t="s">
        <v>7802</v>
      </c>
      <c r="E1167" s="2550" t="s">
        <v>7780</v>
      </c>
      <c r="F1167" s="2551">
        <v>26</v>
      </c>
      <c r="G1167" s="2838">
        <v>3093878.13</v>
      </c>
      <c r="H1167" s="2559">
        <v>662640</v>
      </c>
      <c r="J1167" s="2551">
        <v>27</v>
      </c>
      <c r="K1167" s="2553" t="s">
        <v>7803</v>
      </c>
      <c r="L1167" s="2551" t="e">
        <f t="shared" si="18"/>
        <v>#N/A</v>
      </c>
      <c r="W1167" s="2979"/>
    </row>
    <row r="1168" spans="1:23">
      <c r="A1168" s="2551">
        <v>4075805</v>
      </c>
      <c r="B1168" s="2551" t="s">
        <v>7837</v>
      </c>
      <c r="C1168" s="2550">
        <v>16</v>
      </c>
      <c r="D1168" s="2551" t="s">
        <v>7802</v>
      </c>
      <c r="E1168" s="2550" t="s">
        <v>7780</v>
      </c>
      <c r="F1168" s="2551">
        <v>26</v>
      </c>
      <c r="G1168" s="2834">
        <v>3535.36</v>
      </c>
      <c r="H1168" s="2551">
        <v>0</v>
      </c>
      <c r="J1168" s="2551">
        <v>27</v>
      </c>
      <c r="K1168" s="2553" t="s">
        <v>7803</v>
      </c>
      <c r="L1168" s="2551" t="e">
        <f t="shared" si="18"/>
        <v>#N/A</v>
      </c>
      <c r="W1168" s="2979"/>
    </row>
    <row r="1169" spans="1:23">
      <c r="A1169" s="2551">
        <v>4075806</v>
      </c>
      <c r="B1169" s="2551" t="s">
        <v>6506</v>
      </c>
      <c r="C1169" s="2550">
        <v>16</v>
      </c>
      <c r="D1169" s="2551" t="s">
        <v>7802</v>
      </c>
      <c r="E1169" s="2550" t="s">
        <v>7780</v>
      </c>
      <c r="F1169" s="2551">
        <v>26</v>
      </c>
      <c r="G1169" s="2839">
        <v>220995727</v>
      </c>
      <c r="H1169" s="2559">
        <v>94599992</v>
      </c>
      <c r="J1169" s="2551">
        <v>27</v>
      </c>
      <c r="K1169" s="2553" t="s">
        <v>7803</v>
      </c>
      <c r="L1169" s="2551" t="e">
        <f t="shared" si="18"/>
        <v>#N/A</v>
      </c>
      <c r="R1169" s="3100" t="s">
        <v>8484</v>
      </c>
      <c r="W1169" s="2979"/>
    </row>
    <row r="1170" spans="1:23">
      <c r="A1170" s="2551">
        <v>4075807</v>
      </c>
      <c r="B1170" s="2551" t="s">
        <v>6507</v>
      </c>
      <c r="C1170" s="2550">
        <v>16</v>
      </c>
      <c r="D1170" s="2551" t="s">
        <v>7802</v>
      </c>
      <c r="E1170" s="2550" t="s">
        <v>7780</v>
      </c>
      <c r="F1170" s="2551">
        <v>26</v>
      </c>
      <c r="G1170" s="2839">
        <v>265668516.58000001</v>
      </c>
      <c r="H1170" s="2559">
        <v>246697248</v>
      </c>
      <c r="J1170" s="2551">
        <v>27</v>
      </c>
      <c r="K1170" s="2553" t="s">
        <v>7803</v>
      </c>
      <c r="L1170" s="2551" t="e">
        <f t="shared" si="18"/>
        <v>#N/A</v>
      </c>
      <c r="W1170" s="2979"/>
    </row>
    <row r="1171" spans="1:23">
      <c r="A1171" s="2551">
        <v>4075619</v>
      </c>
      <c r="B1171" s="2551" t="s">
        <v>7838</v>
      </c>
      <c r="C1171" s="2550">
        <v>16</v>
      </c>
      <c r="D1171" s="2551" t="s">
        <v>7802</v>
      </c>
      <c r="E1171" s="2550" t="s">
        <v>7780</v>
      </c>
      <c r="F1171" s="2551">
        <v>26</v>
      </c>
      <c r="G1171" s="2833">
        <v>1288368</v>
      </c>
      <c r="H1171" s="2551">
        <v>0</v>
      </c>
      <c r="J1171" s="2551">
        <v>27</v>
      </c>
      <c r="K1171" s="2553" t="s">
        <v>7803</v>
      </c>
      <c r="L1171" s="2551" t="e">
        <f t="shared" si="18"/>
        <v>#N/A</v>
      </c>
      <c r="W1171" s="2979"/>
    </row>
    <row r="1172" spans="1:23">
      <c r="A1172" s="2551">
        <v>4075684</v>
      </c>
      <c r="B1172" s="2551" t="s">
        <v>7839</v>
      </c>
      <c r="C1172" s="2550">
        <v>16</v>
      </c>
      <c r="D1172" s="2551" t="s">
        <v>7802</v>
      </c>
      <c r="E1172" s="2550" t="s">
        <v>7780</v>
      </c>
      <c r="F1172" s="2551">
        <v>26</v>
      </c>
      <c r="G1172" s="2839">
        <v>4809290.32</v>
      </c>
      <c r="H1172" s="2551">
        <v>0</v>
      </c>
      <c r="J1172" s="2551">
        <v>27</v>
      </c>
      <c r="K1172" s="2553" t="s">
        <v>7803</v>
      </c>
      <c r="L1172" s="2551" t="e">
        <f t="shared" si="18"/>
        <v>#N/A</v>
      </c>
      <c r="W1172" s="2979"/>
    </row>
    <row r="1173" spans="1:23">
      <c r="A1173" s="2551">
        <v>4075684</v>
      </c>
      <c r="B1173" s="2551" t="s">
        <v>7839</v>
      </c>
      <c r="C1173" s="2550">
        <v>16</v>
      </c>
      <c r="D1173" s="2551" t="s">
        <v>7802</v>
      </c>
      <c r="E1173" s="2550" t="s">
        <v>7780</v>
      </c>
      <c r="F1173" s="2551">
        <v>26</v>
      </c>
      <c r="G1173" s="2839">
        <v>1174516.1299999999</v>
      </c>
      <c r="H1173" s="2551">
        <v>0</v>
      </c>
      <c r="J1173" s="2551">
        <v>27</v>
      </c>
      <c r="K1173" s="2553" t="s">
        <v>7803</v>
      </c>
      <c r="L1173" s="2551" t="e">
        <f t="shared" si="18"/>
        <v>#N/A</v>
      </c>
      <c r="W1173" s="2979"/>
    </row>
    <row r="1174" spans="1:23">
      <c r="A1174" s="2551">
        <v>4075688</v>
      </c>
      <c r="B1174" s="2551" t="s">
        <v>7840</v>
      </c>
      <c r="C1174" s="2550">
        <v>16</v>
      </c>
      <c r="D1174" s="2551" t="s">
        <v>7802</v>
      </c>
      <c r="E1174" s="2550" t="s">
        <v>7780</v>
      </c>
      <c r="F1174" s="2551">
        <v>25</v>
      </c>
      <c r="G1174" s="2836">
        <v>72000</v>
      </c>
      <c r="H1174" s="2551">
        <v>0</v>
      </c>
      <c r="J1174" s="2551">
        <v>29</v>
      </c>
      <c r="K1174" s="2553" t="s">
        <v>1525</v>
      </c>
      <c r="L1174" s="2551" t="e">
        <f t="shared" si="18"/>
        <v>#N/A</v>
      </c>
      <c r="W1174" s="2979"/>
    </row>
    <row r="1175" spans="1:23">
      <c r="A1175" s="2551">
        <v>4075702</v>
      </c>
      <c r="B1175" s="2551" t="s">
        <v>6500</v>
      </c>
      <c r="C1175" s="2550">
        <v>16</v>
      </c>
      <c r="D1175" s="2551" t="s">
        <v>7802</v>
      </c>
      <c r="E1175" s="2550" t="s">
        <v>7780</v>
      </c>
      <c r="F1175" s="2551">
        <v>26</v>
      </c>
      <c r="G1175" s="2832">
        <v>53888</v>
      </c>
      <c r="H1175" s="2559">
        <v>8337335</v>
      </c>
      <c r="J1175" s="2551">
        <v>27</v>
      </c>
      <c r="K1175" s="2553" t="s">
        <v>7803</v>
      </c>
      <c r="L1175" s="2551" t="e">
        <f t="shared" si="18"/>
        <v>#N/A</v>
      </c>
      <c r="W1175" s="2979"/>
    </row>
    <row r="1176" spans="1:23">
      <c r="A1176" s="2551">
        <v>4075703</v>
      </c>
      <c r="B1176" s="2551" t="s">
        <v>6722</v>
      </c>
      <c r="C1176" s="2550">
        <v>16</v>
      </c>
      <c r="D1176" s="2551" t="s">
        <v>7802</v>
      </c>
      <c r="E1176" s="2550" t="s">
        <v>7780</v>
      </c>
      <c r="F1176" s="2551">
        <v>25</v>
      </c>
      <c r="G1176" s="2835">
        <v>1491593</v>
      </c>
      <c r="H1176" s="2551">
        <v>0</v>
      </c>
      <c r="J1176" s="2551">
        <v>27</v>
      </c>
      <c r="K1176" s="2553" t="s">
        <v>7803</v>
      </c>
      <c r="L1176" s="2551" t="e">
        <f t="shared" si="18"/>
        <v>#N/A</v>
      </c>
      <c r="W1176" s="2979"/>
    </row>
    <row r="1177" spans="1:23">
      <c r="A1177" s="2551">
        <v>4075704</v>
      </c>
      <c r="B1177" s="2551" t="s">
        <v>7841</v>
      </c>
      <c r="C1177" s="2550">
        <v>16</v>
      </c>
      <c r="D1177" s="2551" t="s">
        <v>7802</v>
      </c>
      <c r="E1177" s="2550" t="s">
        <v>7780</v>
      </c>
      <c r="F1177" s="2551">
        <v>25</v>
      </c>
      <c r="G1177" s="2832">
        <v>976363</v>
      </c>
      <c r="H1177" s="2551">
        <v>0</v>
      </c>
      <c r="J1177" s="2551">
        <v>27</v>
      </c>
      <c r="K1177" s="2553" t="s">
        <v>7803</v>
      </c>
      <c r="L1177" s="2551" t="e">
        <f t="shared" si="18"/>
        <v>#N/A</v>
      </c>
      <c r="W1177" s="2979"/>
    </row>
    <row r="1178" spans="1:23">
      <c r="A1178" s="2551">
        <v>4075706</v>
      </c>
      <c r="B1178" s="2551" t="s">
        <v>7842</v>
      </c>
      <c r="C1178" s="2550">
        <v>16</v>
      </c>
      <c r="D1178" s="2551" t="s">
        <v>7802</v>
      </c>
      <c r="E1178" s="2550" t="s">
        <v>7780</v>
      </c>
      <c r="F1178" s="2551">
        <v>27</v>
      </c>
      <c r="G1178" s="2832">
        <v>369417</v>
      </c>
      <c r="H1178" s="2551">
        <v>0</v>
      </c>
      <c r="J1178" s="2551">
        <v>27</v>
      </c>
      <c r="K1178" s="2553" t="s">
        <v>7803</v>
      </c>
      <c r="L1178" s="2551" t="e">
        <f t="shared" si="18"/>
        <v>#N/A</v>
      </c>
      <c r="W1178" s="2979"/>
    </row>
    <row r="1179" spans="1:23">
      <c r="A1179" s="2551">
        <v>4075707</v>
      </c>
      <c r="B1179" s="2551" t="s">
        <v>6501</v>
      </c>
      <c r="C1179" s="2550">
        <v>16</v>
      </c>
      <c r="D1179" s="2551" t="s">
        <v>7802</v>
      </c>
      <c r="E1179" s="2550" t="s">
        <v>7780</v>
      </c>
      <c r="F1179" s="2551">
        <v>27</v>
      </c>
      <c r="G1179" s="2832">
        <v>92887</v>
      </c>
      <c r="H1179" s="2559">
        <v>4200</v>
      </c>
      <c r="J1179" s="2551">
        <v>27</v>
      </c>
      <c r="K1179" s="2553" t="s">
        <v>7803</v>
      </c>
      <c r="L1179" s="2551" t="e">
        <f t="shared" si="18"/>
        <v>#N/A</v>
      </c>
      <c r="W1179" s="2979"/>
    </row>
    <row r="1180" spans="1:23">
      <c r="A1180" s="2551">
        <v>4075708</v>
      </c>
      <c r="B1180" s="2551" t="s">
        <v>3133</v>
      </c>
      <c r="C1180" s="2550">
        <v>16</v>
      </c>
      <c r="D1180" s="2551" t="s">
        <v>7802</v>
      </c>
      <c r="E1180" s="2550" t="s">
        <v>7780</v>
      </c>
      <c r="F1180" s="2551">
        <v>27</v>
      </c>
      <c r="G1180" s="2832">
        <v>0</v>
      </c>
      <c r="H1180" s="2551">
        <v>85</v>
      </c>
      <c r="J1180" s="2551">
        <v>27</v>
      </c>
      <c r="K1180" s="2553" t="s">
        <v>7803</v>
      </c>
      <c r="L1180" s="2551" t="e">
        <f t="shared" si="18"/>
        <v>#N/A</v>
      </c>
      <c r="W1180" s="2979"/>
    </row>
    <row r="1181" spans="1:23">
      <c r="A1181" s="2551">
        <v>4075709</v>
      </c>
      <c r="B1181" s="2551" t="s">
        <v>6723</v>
      </c>
      <c r="C1181" s="2550">
        <v>16</v>
      </c>
      <c r="D1181" s="2551" t="s">
        <v>7802</v>
      </c>
      <c r="E1181" s="2550" t="s">
        <v>7780</v>
      </c>
      <c r="F1181" s="2551">
        <v>27</v>
      </c>
      <c r="G1181" s="2832">
        <v>6393155</v>
      </c>
      <c r="H1181" s="2551">
        <v>0</v>
      </c>
      <c r="J1181" s="2551">
        <v>27</v>
      </c>
      <c r="K1181" s="2553" t="s">
        <v>7803</v>
      </c>
      <c r="L1181" s="2551" t="e">
        <f t="shared" si="18"/>
        <v>#N/A</v>
      </c>
      <c r="W1181" s="2979"/>
    </row>
    <row r="1182" spans="1:23">
      <c r="A1182" s="2551">
        <v>4075711</v>
      </c>
      <c r="B1182" s="2551" t="s">
        <v>6502</v>
      </c>
      <c r="C1182" s="2550">
        <v>16</v>
      </c>
      <c r="D1182" s="2551" t="s">
        <v>7802</v>
      </c>
      <c r="E1182" s="2550" t="s">
        <v>7780</v>
      </c>
      <c r="F1182" s="2551">
        <v>26</v>
      </c>
      <c r="G1182" s="2839">
        <v>2510151</v>
      </c>
      <c r="H1182" s="2559">
        <v>18391852</v>
      </c>
      <c r="J1182" s="2551">
        <v>27</v>
      </c>
      <c r="K1182" s="2553" t="s">
        <v>7803</v>
      </c>
      <c r="L1182" s="2551" t="e">
        <f t="shared" si="18"/>
        <v>#N/A</v>
      </c>
      <c r="W1182" s="2979"/>
    </row>
    <row r="1183" spans="1:23">
      <c r="A1183" s="2551">
        <v>4075714</v>
      </c>
      <c r="B1183" s="2551" t="s">
        <v>6724</v>
      </c>
      <c r="C1183" s="2550">
        <v>16</v>
      </c>
      <c r="D1183" s="2551" t="s">
        <v>7802</v>
      </c>
      <c r="E1183" s="2550" t="s">
        <v>7780</v>
      </c>
      <c r="F1183" s="2551">
        <v>26</v>
      </c>
      <c r="G1183" s="2838">
        <v>475296.39</v>
      </c>
      <c r="H1183" s="2551">
        <v>0</v>
      </c>
      <c r="J1183" s="2551">
        <v>27</v>
      </c>
      <c r="K1183" s="2553" t="s">
        <v>7803</v>
      </c>
      <c r="L1183" s="2551" t="e">
        <f t="shared" si="18"/>
        <v>#N/A</v>
      </c>
      <c r="W1183" s="2979"/>
    </row>
    <row r="1184" spans="1:23">
      <c r="A1184" s="2551">
        <v>4075714</v>
      </c>
      <c r="B1184" s="2551" t="s">
        <v>6724</v>
      </c>
      <c r="C1184" s="2550">
        <v>16</v>
      </c>
      <c r="D1184" s="2551" t="s">
        <v>7802</v>
      </c>
      <c r="E1184" s="2550" t="s">
        <v>7780</v>
      </c>
      <c r="F1184" s="2551">
        <v>26</v>
      </c>
      <c r="G1184" s="2838">
        <v>141693.03</v>
      </c>
      <c r="H1184" s="2551">
        <v>0</v>
      </c>
      <c r="J1184" s="2551">
        <v>27</v>
      </c>
      <c r="K1184" s="2553" t="s">
        <v>7803</v>
      </c>
      <c r="L1184" s="2551" t="e">
        <f t="shared" si="18"/>
        <v>#N/A</v>
      </c>
      <c r="W1184" s="2979"/>
    </row>
    <row r="1185" spans="1:23">
      <c r="A1185" s="2551">
        <v>4075717</v>
      </c>
      <c r="B1185" s="2551" t="s">
        <v>5490</v>
      </c>
      <c r="C1185" s="2550">
        <v>16</v>
      </c>
      <c r="D1185" s="2551" t="s">
        <v>7802</v>
      </c>
      <c r="E1185" s="2550" t="s">
        <v>7780</v>
      </c>
      <c r="F1185" s="2551">
        <v>26</v>
      </c>
      <c r="G1185" s="2839">
        <v>10000</v>
      </c>
      <c r="H1185" s="2551">
        <v>0</v>
      </c>
      <c r="J1185" s="2551">
        <v>27</v>
      </c>
      <c r="K1185" s="2553" t="s">
        <v>7803</v>
      </c>
      <c r="L1185" s="2551" t="e">
        <f t="shared" si="18"/>
        <v>#N/A</v>
      </c>
      <c r="W1185" s="2979"/>
    </row>
    <row r="1186" spans="1:23">
      <c r="A1186" s="2551">
        <v>4075790</v>
      </c>
      <c r="B1186" s="2551" t="s">
        <v>6503</v>
      </c>
      <c r="C1186" s="2550">
        <v>16</v>
      </c>
      <c r="D1186" s="2551" t="s">
        <v>7802</v>
      </c>
      <c r="E1186" s="2550" t="s">
        <v>7780</v>
      </c>
      <c r="F1186" s="2551">
        <v>27</v>
      </c>
      <c r="G1186" s="2832">
        <v>30233826</v>
      </c>
      <c r="H1186" s="2559">
        <v>10603995</v>
      </c>
      <c r="J1186" s="2551">
        <v>27</v>
      </c>
      <c r="K1186" s="2553" t="s">
        <v>7803</v>
      </c>
      <c r="L1186" s="2551" t="e">
        <f t="shared" si="18"/>
        <v>#N/A</v>
      </c>
      <c r="W1186" s="2979"/>
    </row>
    <row r="1187" spans="1:23" hidden="1">
      <c r="A1187" s="2551">
        <v>4076142</v>
      </c>
      <c r="B1187" s="2957" t="s">
        <v>4789</v>
      </c>
      <c r="C1187" s="2569">
        <v>16</v>
      </c>
      <c r="D1187" s="2569" t="s">
        <v>7819</v>
      </c>
      <c r="E1187" s="2550" t="s">
        <v>7780</v>
      </c>
      <c r="F1187" s="2569">
        <v>37</v>
      </c>
      <c r="G1187" s="2559">
        <v>13274998</v>
      </c>
      <c r="H1187" s="2559">
        <v>6966409</v>
      </c>
      <c r="J1187" s="2551">
        <v>29</v>
      </c>
      <c r="K1187" s="2553" t="s">
        <v>1525</v>
      </c>
      <c r="L1187" s="2551" t="e">
        <f t="shared" si="18"/>
        <v>#N/A</v>
      </c>
      <c r="W1187" s="2979"/>
    </row>
    <row r="1188" spans="1:23" hidden="1">
      <c r="A1188" s="2551">
        <v>4076161</v>
      </c>
      <c r="B1188" s="2842" t="s">
        <v>645</v>
      </c>
      <c r="C1188" s="2569">
        <v>16</v>
      </c>
      <c r="D1188" s="2569" t="s">
        <v>7819</v>
      </c>
      <c r="E1188" s="2550" t="s">
        <v>7780</v>
      </c>
      <c r="F1188" s="2569">
        <v>37</v>
      </c>
      <c r="G1188" s="2559">
        <v>4025350.24</v>
      </c>
      <c r="H1188" s="2559">
        <v>11023</v>
      </c>
      <c r="J1188" s="2551">
        <v>29</v>
      </c>
      <c r="K1188" s="2553" t="s">
        <v>1525</v>
      </c>
      <c r="L1188" s="2551" t="e">
        <f t="shared" si="18"/>
        <v>#N/A</v>
      </c>
      <c r="W1188" s="2979"/>
    </row>
    <row r="1189" spans="1:23" hidden="1">
      <c r="A1189" s="2551">
        <v>4079530</v>
      </c>
      <c r="B1189" s="2551" t="s">
        <v>7843</v>
      </c>
      <c r="C1189" s="2551">
        <v>16</v>
      </c>
      <c r="D1189" s="2551" t="s">
        <v>7844</v>
      </c>
      <c r="E1189" s="2550" t="s">
        <v>7780</v>
      </c>
      <c r="F1189" s="2551">
        <v>38</v>
      </c>
      <c r="G1189" s="2559">
        <v>5000</v>
      </c>
      <c r="H1189" s="2551">
        <v>0</v>
      </c>
      <c r="J1189" s="2551">
        <v>29</v>
      </c>
      <c r="K1189" s="2553" t="s">
        <v>1525</v>
      </c>
      <c r="L1189" s="2551" t="e">
        <f t="shared" si="18"/>
        <v>#N/A</v>
      </c>
      <c r="W1189" s="2979"/>
    </row>
    <row r="1190" spans="1:23">
      <c r="A1190" s="2551">
        <v>4075808</v>
      </c>
      <c r="B1190" s="2551" t="s">
        <v>7845</v>
      </c>
      <c r="C1190" s="2550">
        <v>16</v>
      </c>
      <c r="D1190" s="2551" t="s">
        <v>7802</v>
      </c>
      <c r="E1190" s="2550" t="s">
        <v>7780</v>
      </c>
      <c r="F1190" s="2551">
        <v>26</v>
      </c>
      <c r="G1190" s="2839">
        <v>61440942</v>
      </c>
      <c r="H1190" s="2551">
        <v>0</v>
      </c>
      <c r="J1190" s="2551">
        <v>27</v>
      </c>
      <c r="K1190" s="2553" t="s">
        <v>7803</v>
      </c>
      <c r="L1190" s="2551" t="e">
        <f t="shared" si="18"/>
        <v>#N/A</v>
      </c>
      <c r="W1190" s="2979"/>
    </row>
    <row r="1191" spans="1:23">
      <c r="A1191" s="2551">
        <v>4075890</v>
      </c>
      <c r="B1191" s="2551" t="s">
        <v>7846</v>
      </c>
      <c r="C1191" s="2550">
        <v>16</v>
      </c>
      <c r="D1191" s="2551" t="s">
        <v>7802</v>
      </c>
      <c r="E1191" s="2550" t="s">
        <v>7780</v>
      </c>
      <c r="F1191" s="2551">
        <v>26</v>
      </c>
      <c r="G1191" s="2839">
        <v>196215906</v>
      </c>
      <c r="H1191" s="2559">
        <v>-19318958</v>
      </c>
      <c r="J1191" s="2551">
        <v>27</v>
      </c>
      <c r="K1191" s="2553" t="s">
        <v>7803</v>
      </c>
      <c r="L1191" s="2551" t="e">
        <f t="shared" si="18"/>
        <v>#N/A</v>
      </c>
      <c r="W1191" s="2979"/>
    </row>
    <row r="1192" spans="1:23" hidden="1">
      <c r="A1192" s="2551">
        <v>4078610</v>
      </c>
      <c r="B1192" s="2551" t="s">
        <v>7847</v>
      </c>
      <c r="C1192" s="2551">
        <v>17</v>
      </c>
      <c r="D1192" s="2551" t="s">
        <v>7848</v>
      </c>
      <c r="E1192" s="2550" t="s">
        <v>7780</v>
      </c>
      <c r="F1192" s="2551">
        <v>58</v>
      </c>
      <c r="G1192" s="2559">
        <v>119181331.23</v>
      </c>
      <c r="H1192" s="2559">
        <v>31500902</v>
      </c>
      <c r="J1192" s="2551">
        <v>28</v>
      </c>
      <c r="K1192" s="2553" t="s">
        <v>7849</v>
      </c>
      <c r="L1192" s="2551" t="e">
        <f t="shared" si="18"/>
        <v>#N/A</v>
      </c>
      <c r="W1192" s="2979"/>
    </row>
    <row r="1193" spans="1:23" hidden="1">
      <c r="A1193" s="2551">
        <v>4078701</v>
      </c>
      <c r="B1193" s="2551" t="s">
        <v>7850</v>
      </c>
      <c r="C1193" s="2551">
        <v>17</v>
      </c>
      <c r="D1193" s="2551" t="s">
        <v>7848</v>
      </c>
      <c r="E1193" s="2550" t="s">
        <v>7780</v>
      </c>
      <c r="F1193" s="2551">
        <v>51</v>
      </c>
      <c r="G1193" s="2559">
        <v>34990194.560000002</v>
      </c>
      <c r="H1193" s="2559">
        <v>9928391</v>
      </c>
      <c r="J1193" s="2551">
        <v>28</v>
      </c>
      <c r="K1193" s="2553" t="s">
        <v>7849</v>
      </c>
      <c r="L1193" s="2551" t="e">
        <f t="shared" si="18"/>
        <v>#N/A</v>
      </c>
      <c r="W1193" s="2979"/>
    </row>
    <row r="1194" spans="1:23" hidden="1">
      <c r="A1194" s="2551">
        <v>4078710</v>
      </c>
      <c r="B1194" s="2551" t="s">
        <v>7851</v>
      </c>
      <c r="C1194" s="2551">
        <v>17</v>
      </c>
      <c r="D1194" s="2551" t="s">
        <v>7848</v>
      </c>
      <c r="E1194" s="2550" t="s">
        <v>7780</v>
      </c>
      <c r="F1194" s="2551">
        <v>52</v>
      </c>
      <c r="G1194" s="2559">
        <v>6400230</v>
      </c>
      <c r="H1194" s="2559">
        <v>752960.12</v>
      </c>
      <c r="J1194" s="2551">
        <v>28</v>
      </c>
      <c r="K1194" s="2553" t="s">
        <v>7849</v>
      </c>
      <c r="L1194" s="2551" t="e">
        <f t="shared" si="18"/>
        <v>#N/A</v>
      </c>
      <c r="W1194" s="2979"/>
    </row>
    <row r="1195" spans="1:23" hidden="1">
      <c r="A1195" s="2551">
        <v>4078711</v>
      </c>
      <c r="B1195" s="2551" t="s">
        <v>7852</v>
      </c>
      <c r="C1195" s="2551">
        <v>17</v>
      </c>
      <c r="D1195" s="2551" t="s">
        <v>7848</v>
      </c>
      <c r="E1195" s="2550" t="s">
        <v>7780</v>
      </c>
      <c r="F1195" s="2551">
        <v>52</v>
      </c>
      <c r="G1195" s="2559">
        <v>15853320</v>
      </c>
      <c r="H1195" s="2559">
        <v>2683260</v>
      </c>
      <c r="J1195" s="2551">
        <v>28</v>
      </c>
      <c r="K1195" s="2553" t="s">
        <v>7849</v>
      </c>
      <c r="L1195" s="2551" t="e">
        <f t="shared" si="18"/>
        <v>#N/A</v>
      </c>
      <c r="W1195" s="2979"/>
    </row>
    <row r="1196" spans="1:23" hidden="1">
      <c r="A1196" s="2551">
        <v>4078712</v>
      </c>
      <c r="B1196" s="2551" t="s">
        <v>7853</v>
      </c>
      <c r="C1196" s="2551">
        <v>17</v>
      </c>
      <c r="D1196" s="2551" t="s">
        <v>7848</v>
      </c>
      <c r="E1196" s="2550" t="s">
        <v>7780</v>
      </c>
      <c r="F1196" s="2551">
        <v>53</v>
      </c>
      <c r="G1196" s="2559">
        <v>22470245.719999999</v>
      </c>
      <c r="H1196" s="2551">
        <v>0</v>
      </c>
      <c r="J1196" s="2551">
        <v>28</v>
      </c>
      <c r="K1196" s="2553" t="s">
        <v>7849</v>
      </c>
      <c r="L1196" s="2551" t="e">
        <f t="shared" si="18"/>
        <v>#N/A</v>
      </c>
      <c r="W1196" s="2979"/>
    </row>
    <row r="1197" spans="1:23" hidden="1">
      <c r="A1197" s="2551">
        <v>4078713</v>
      </c>
      <c r="B1197" s="2551" t="s">
        <v>7854</v>
      </c>
      <c r="C1197" s="2551">
        <v>17</v>
      </c>
      <c r="D1197" s="2551" t="s">
        <v>7848</v>
      </c>
      <c r="E1197" s="2550" t="s">
        <v>7780</v>
      </c>
      <c r="F1197" s="2551">
        <v>53</v>
      </c>
      <c r="G1197" s="2559">
        <v>6015041</v>
      </c>
      <c r="H1197" s="2551">
        <v>0</v>
      </c>
      <c r="J1197" s="2551">
        <v>28</v>
      </c>
      <c r="K1197" s="2553" t="s">
        <v>7849</v>
      </c>
      <c r="L1197" s="2551" t="e">
        <f t="shared" si="18"/>
        <v>#N/A</v>
      </c>
      <c r="W1197" s="2979"/>
    </row>
    <row r="1198" spans="1:23" hidden="1">
      <c r="A1198" s="2551">
        <v>4078714</v>
      </c>
      <c r="B1198" s="2551" t="s">
        <v>7855</v>
      </c>
      <c r="C1198" s="2551">
        <v>17</v>
      </c>
      <c r="D1198" s="2551" t="s">
        <v>7848</v>
      </c>
      <c r="E1198" s="2550" t="s">
        <v>7780</v>
      </c>
      <c r="F1198" s="2551">
        <v>54</v>
      </c>
      <c r="G1198" s="2559">
        <v>44539272.729999997</v>
      </c>
      <c r="H1198" s="2551">
        <v>0</v>
      </c>
      <c r="J1198" s="2551">
        <v>28</v>
      </c>
      <c r="K1198" s="2553" t="s">
        <v>7849</v>
      </c>
      <c r="L1198" s="2551" t="e">
        <f t="shared" si="18"/>
        <v>#N/A</v>
      </c>
      <c r="W1198" s="2979"/>
    </row>
    <row r="1199" spans="1:23" hidden="1">
      <c r="A1199" s="2551">
        <v>4078715</v>
      </c>
      <c r="B1199" s="2551" t="s">
        <v>7856</v>
      </c>
      <c r="C1199" s="2551">
        <v>17</v>
      </c>
      <c r="D1199" s="2551" t="s">
        <v>7848</v>
      </c>
      <c r="E1199" s="2550" t="s">
        <v>7780</v>
      </c>
      <c r="F1199" s="2551">
        <v>55</v>
      </c>
      <c r="G1199" s="2559">
        <v>3557534.24</v>
      </c>
      <c r="H1199" s="2551">
        <v>0</v>
      </c>
      <c r="J1199" s="2551">
        <v>28</v>
      </c>
      <c r="K1199" s="2553" t="s">
        <v>7849</v>
      </c>
      <c r="L1199" s="2551" t="e">
        <f t="shared" si="18"/>
        <v>#N/A</v>
      </c>
      <c r="W1199" s="2979"/>
    </row>
    <row r="1200" spans="1:23" hidden="1">
      <c r="A1200" s="2551">
        <v>4078719</v>
      </c>
      <c r="B1200" s="2551" t="s">
        <v>6523</v>
      </c>
      <c r="C1200" s="2551">
        <v>17</v>
      </c>
      <c r="D1200" s="2551" t="s">
        <v>7848</v>
      </c>
      <c r="E1200" s="2550" t="s">
        <v>7780</v>
      </c>
      <c r="F1200" s="2551">
        <v>56</v>
      </c>
      <c r="G1200" s="2559">
        <v>4616939</v>
      </c>
      <c r="H1200" s="2559">
        <v>1510999</v>
      </c>
      <c r="J1200" s="2551">
        <v>28</v>
      </c>
      <c r="K1200" s="2553" t="s">
        <v>7849</v>
      </c>
      <c r="L1200" s="2551" t="e">
        <f t="shared" si="18"/>
        <v>#N/A</v>
      </c>
      <c r="W1200" s="2979"/>
    </row>
    <row r="1201" spans="1:23" hidden="1">
      <c r="A1201" s="2551">
        <v>4078881</v>
      </c>
      <c r="B1201" s="2551" t="s">
        <v>6529</v>
      </c>
      <c r="C1201" s="2551">
        <v>17</v>
      </c>
      <c r="D1201" s="2551" t="s">
        <v>7848</v>
      </c>
      <c r="E1201" s="2550" t="s">
        <v>7780</v>
      </c>
      <c r="F1201" s="2551">
        <v>59</v>
      </c>
      <c r="G1201" s="2559">
        <v>693495.64</v>
      </c>
      <c r="H1201" s="2559">
        <v>385421.19</v>
      </c>
      <c r="J1201" s="2551">
        <v>28</v>
      </c>
      <c r="K1201" s="2553" t="s">
        <v>7849</v>
      </c>
      <c r="L1201" s="2551" t="e">
        <f t="shared" si="18"/>
        <v>#N/A</v>
      </c>
      <c r="W1201" s="2979"/>
    </row>
    <row r="1202" spans="1:23" hidden="1">
      <c r="A1202" s="2551">
        <v>4078882</v>
      </c>
      <c r="B1202" s="2551" t="s">
        <v>7857</v>
      </c>
      <c r="C1202" s="2551">
        <v>17</v>
      </c>
      <c r="D1202" s="2551" t="s">
        <v>7848</v>
      </c>
      <c r="E1202" s="2550" t="s">
        <v>7780</v>
      </c>
      <c r="F1202" s="2551">
        <v>59</v>
      </c>
      <c r="G1202" s="2559">
        <v>129052.53</v>
      </c>
      <c r="H1202" s="2551">
        <v>0</v>
      </c>
      <c r="J1202" s="2551">
        <v>28</v>
      </c>
      <c r="K1202" s="2553" t="s">
        <v>7849</v>
      </c>
      <c r="L1202" s="2551" t="e">
        <f t="shared" si="18"/>
        <v>#N/A</v>
      </c>
      <c r="W1202" s="2979"/>
    </row>
    <row r="1203" spans="1:23" hidden="1">
      <c r="A1203" s="2551">
        <v>4078883</v>
      </c>
      <c r="B1203" s="2551" t="s">
        <v>7858</v>
      </c>
      <c r="C1203" s="2551">
        <v>17</v>
      </c>
      <c r="D1203" s="2551" t="s">
        <v>7848</v>
      </c>
      <c r="E1203" s="2550" t="s">
        <v>7780</v>
      </c>
      <c r="F1203" s="2551">
        <v>59</v>
      </c>
      <c r="G1203" s="2559">
        <v>231871.75</v>
      </c>
      <c r="H1203" s="2559">
        <v>232796.77</v>
      </c>
      <c r="J1203" s="2551">
        <v>28</v>
      </c>
      <c r="K1203" s="2553" t="s">
        <v>7849</v>
      </c>
      <c r="L1203" s="2551" t="e">
        <f t="shared" si="18"/>
        <v>#N/A</v>
      </c>
      <c r="W1203" s="2979"/>
    </row>
    <row r="1204" spans="1:23" hidden="1">
      <c r="A1204" s="2551">
        <v>4078884</v>
      </c>
      <c r="B1204" s="2551" t="s">
        <v>6532</v>
      </c>
      <c r="C1204" s="2551">
        <v>17</v>
      </c>
      <c r="D1204" s="2551" t="s">
        <v>7848</v>
      </c>
      <c r="E1204" s="2550" t="s">
        <v>7780</v>
      </c>
      <c r="F1204" s="2551">
        <v>59</v>
      </c>
      <c r="G1204" s="2559">
        <v>13895.32</v>
      </c>
      <c r="H1204" s="2559">
        <v>8138.95</v>
      </c>
      <c r="J1204" s="2551">
        <v>28</v>
      </c>
      <c r="K1204" s="2553" t="s">
        <v>7849</v>
      </c>
      <c r="L1204" s="2551" t="e">
        <f t="shared" si="18"/>
        <v>#N/A</v>
      </c>
      <c r="W1204" s="2979"/>
    </row>
    <row r="1205" spans="1:23" hidden="1">
      <c r="A1205" s="2551">
        <v>4078885</v>
      </c>
      <c r="B1205" s="2551" t="s">
        <v>6533</v>
      </c>
      <c r="C1205" s="2551">
        <v>17</v>
      </c>
      <c r="D1205" s="2551" t="s">
        <v>7848</v>
      </c>
      <c r="E1205" s="2550" t="s">
        <v>7780</v>
      </c>
      <c r="F1205" s="2551">
        <v>59</v>
      </c>
      <c r="G1205" s="2559">
        <v>4979594.09</v>
      </c>
      <c r="H1205" s="2559">
        <v>280335.15000000002</v>
      </c>
      <c r="J1205" s="2551">
        <v>28</v>
      </c>
      <c r="K1205" s="2553" t="s">
        <v>7849</v>
      </c>
      <c r="L1205" s="2551" t="e">
        <f t="shared" si="18"/>
        <v>#N/A</v>
      </c>
      <c r="W1205" s="2979"/>
    </row>
    <row r="1206" spans="1:23" hidden="1">
      <c r="A1206" s="2551">
        <v>4078886</v>
      </c>
      <c r="B1206" s="2551" t="s">
        <v>7859</v>
      </c>
      <c r="C1206" s="2551">
        <v>17</v>
      </c>
      <c r="D1206" s="2551" t="s">
        <v>7848</v>
      </c>
      <c r="E1206" s="2550" t="s">
        <v>7780</v>
      </c>
      <c r="F1206" s="2551">
        <v>59</v>
      </c>
      <c r="G1206" s="2559">
        <v>-81654.91</v>
      </c>
      <c r="H1206" s="2551">
        <v>0</v>
      </c>
      <c r="J1206" s="2551">
        <v>28</v>
      </c>
      <c r="K1206" s="2553" t="s">
        <v>7849</v>
      </c>
      <c r="L1206" s="2551" t="e">
        <f t="shared" si="18"/>
        <v>#N/A</v>
      </c>
      <c r="W1206" s="2979"/>
    </row>
    <row r="1207" spans="1:23" hidden="1">
      <c r="A1207" s="2551">
        <v>4078887</v>
      </c>
      <c r="B1207" s="2551" t="s">
        <v>6534</v>
      </c>
      <c r="C1207" s="2551">
        <v>17</v>
      </c>
      <c r="D1207" s="2551" t="s">
        <v>7848</v>
      </c>
      <c r="E1207" s="2550" t="s">
        <v>7780</v>
      </c>
      <c r="F1207" s="2551">
        <v>59</v>
      </c>
      <c r="G1207" s="2559">
        <v>6726269.29</v>
      </c>
      <c r="H1207" s="2551">
        <v>0</v>
      </c>
      <c r="J1207" s="2551">
        <v>28</v>
      </c>
      <c r="K1207" s="2553" t="s">
        <v>7849</v>
      </c>
      <c r="L1207" s="2551" t="e">
        <f t="shared" si="18"/>
        <v>#N/A</v>
      </c>
      <c r="W1207" s="2979"/>
    </row>
    <row r="1208" spans="1:23" hidden="1">
      <c r="A1208" s="2551">
        <v>4077120</v>
      </c>
      <c r="B1208" s="2551" t="s">
        <v>6510</v>
      </c>
      <c r="C1208" s="2550" t="s">
        <v>7780</v>
      </c>
      <c r="D1208" s="2551" t="s">
        <v>118</v>
      </c>
      <c r="E1208" s="2550" t="s">
        <v>7780</v>
      </c>
      <c r="F1208" s="2551">
        <v>61</v>
      </c>
      <c r="G1208" s="2559">
        <v>2171568.5099999998</v>
      </c>
      <c r="H1208" s="2559">
        <v>240347</v>
      </c>
      <c r="J1208" s="2551" t="s">
        <v>7860</v>
      </c>
      <c r="K1208" s="2553" t="s">
        <v>7861</v>
      </c>
      <c r="L1208" s="2551" t="e">
        <f t="shared" si="18"/>
        <v>#N/A</v>
      </c>
      <c r="W1208" s="2979"/>
    </row>
    <row r="1209" spans="1:23" hidden="1">
      <c r="A1209" s="2551">
        <v>4077150</v>
      </c>
      <c r="B1209" s="2551" t="s">
        <v>6511</v>
      </c>
      <c r="C1209" s="2550" t="s">
        <v>7780</v>
      </c>
      <c r="D1209" s="2551" t="s">
        <v>118</v>
      </c>
      <c r="E1209" s="2550" t="s">
        <v>7780</v>
      </c>
      <c r="F1209" s="2551">
        <v>61</v>
      </c>
      <c r="G1209" s="2559">
        <v>351644257.25999999</v>
      </c>
      <c r="H1209" s="2559">
        <v>68452992</v>
      </c>
      <c r="J1209" s="2551" t="s">
        <v>7860</v>
      </c>
      <c r="K1209" s="2553" t="s">
        <v>7861</v>
      </c>
      <c r="L1209" s="2551" t="e">
        <f t="shared" si="18"/>
        <v>#N/A</v>
      </c>
      <c r="W1209" s="2979"/>
    </row>
    <row r="1210" spans="1:23" hidden="1">
      <c r="A1210" s="2551">
        <v>4077152</v>
      </c>
      <c r="B1210" s="2551" t="s">
        <v>7862</v>
      </c>
      <c r="C1210" s="2550" t="s">
        <v>7780</v>
      </c>
      <c r="D1210" s="2551" t="s">
        <v>118</v>
      </c>
      <c r="E1210" s="2550" t="s">
        <v>7780</v>
      </c>
      <c r="F1210" s="2551">
        <v>61</v>
      </c>
      <c r="G1210" s="2559">
        <v>707047.77</v>
      </c>
      <c r="H1210" s="2551">
        <v>0</v>
      </c>
      <c r="J1210" s="2551" t="s">
        <v>7860</v>
      </c>
      <c r="K1210" s="2553" t="s">
        <v>7861</v>
      </c>
      <c r="L1210" s="2551" t="e">
        <f t="shared" si="18"/>
        <v>#N/A</v>
      </c>
      <c r="W1210" s="2979"/>
    </row>
    <row r="1211" spans="1:23" hidden="1">
      <c r="A1211" s="2551">
        <v>4077160</v>
      </c>
      <c r="B1211" s="2551" t="s">
        <v>7863</v>
      </c>
      <c r="C1211" s="2550" t="s">
        <v>7780</v>
      </c>
      <c r="D1211" s="2551" t="s">
        <v>118</v>
      </c>
      <c r="E1211" s="2550" t="s">
        <v>7780</v>
      </c>
      <c r="F1211" s="2551">
        <v>61</v>
      </c>
      <c r="G1211" s="2559">
        <v>23199540.920000002</v>
      </c>
      <c r="H1211" s="2551">
        <v>0</v>
      </c>
      <c r="J1211" s="2551" t="s">
        <v>7860</v>
      </c>
      <c r="K1211" s="2553" t="s">
        <v>7861</v>
      </c>
      <c r="L1211" s="2551" t="e">
        <f t="shared" si="18"/>
        <v>#N/A</v>
      </c>
      <c r="W1211" s="2979"/>
    </row>
    <row r="1212" spans="1:23" hidden="1">
      <c r="A1212" s="2551">
        <v>4077170</v>
      </c>
      <c r="B1212" s="2551" t="s">
        <v>6512</v>
      </c>
      <c r="C1212" s="2550" t="s">
        <v>7780</v>
      </c>
      <c r="D1212" s="2551" t="s">
        <v>118</v>
      </c>
      <c r="E1212" s="2550" t="s">
        <v>7780</v>
      </c>
      <c r="F1212" s="2551">
        <v>61</v>
      </c>
      <c r="G1212" s="2559">
        <v>1874642.91</v>
      </c>
      <c r="H1212" s="2551">
        <v>0</v>
      </c>
      <c r="J1212" s="2551" t="s">
        <v>7860</v>
      </c>
      <c r="K1212" s="2553" t="s">
        <v>7861</v>
      </c>
      <c r="L1212" s="2551" t="e">
        <f t="shared" si="18"/>
        <v>#N/A</v>
      </c>
      <c r="W1212" s="2979"/>
    </row>
    <row r="1213" spans="1:23" hidden="1">
      <c r="A1213" s="2551">
        <v>4077180</v>
      </c>
      <c r="B1213" s="2551" t="s">
        <v>6513</v>
      </c>
      <c r="C1213" s="2550" t="s">
        <v>7780</v>
      </c>
      <c r="D1213" s="2551" t="s">
        <v>118</v>
      </c>
      <c r="E1213" s="2550" t="s">
        <v>7780</v>
      </c>
      <c r="F1213" s="2551">
        <v>61</v>
      </c>
      <c r="G1213" s="2559">
        <v>1222175.48</v>
      </c>
      <c r="H1213" s="2559">
        <v>70772</v>
      </c>
      <c r="J1213" s="2551" t="s">
        <v>7860</v>
      </c>
      <c r="K1213" s="2553" t="s">
        <v>7861</v>
      </c>
      <c r="L1213" s="2551" t="e">
        <f t="shared" si="18"/>
        <v>#N/A</v>
      </c>
      <c r="W1213" s="2979"/>
    </row>
    <row r="1214" spans="1:23" hidden="1">
      <c r="A1214" s="2551">
        <v>4077190</v>
      </c>
      <c r="B1214" s="2551" t="s">
        <v>6514</v>
      </c>
      <c r="C1214" s="2550" t="s">
        <v>7780</v>
      </c>
      <c r="D1214" s="2551" t="s">
        <v>118</v>
      </c>
      <c r="E1214" s="2550" t="s">
        <v>7780</v>
      </c>
      <c r="F1214" s="2551">
        <v>61</v>
      </c>
      <c r="G1214" s="2559">
        <v>-286462.86</v>
      </c>
      <c r="H1214" s="2559">
        <v>260698</v>
      </c>
      <c r="J1214" s="2551" t="s">
        <v>7860</v>
      </c>
      <c r="K1214" s="2553" t="s">
        <v>7861</v>
      </c>
      <c r="L1214" s="2551" t="e">
        <f t="shared" si="18"/>
        <v>#N/A</v>
      </c>
      <c r="W1214" s="2979"/>
    </row>
    <row r="1215" spans="1:23" hidden="1">
      <c r="A1215" s="2551">
        <v>4077192</v>
      </c>
      <c r="B1215" s="2551" t="s">
        <v>7864</v>
      </c>
      <c r="C1215" s="2550" t="s">
        <v>7780</v>
      </c>
      <c r="D1215" s="2551" t="s">
        <v>118</v>
      </c>
      <c r="E1215" s="2550" t="s">
        <v>7780</v>
      </c>
      <c r="F1215" s="2551">
        <v>61</v>
      </c>
      <c r="G1215" s="2559">
        <v>17802769.41</v>
      </c>
      <c r="H1215" s="2551">
        <v>0</v>
      </c>
      <c r="J1215" s="2551" t="s">
        <v>7860</v>
      </c>
      <c r="K1215" s="2553" t="s">
        <v>7861</v>
      </c>
      <c r="L1215" s="2551" t="e">
        <f t="shared" si="18"/>
        <v>#N/A</v>
      </c>
      <c r="W1215" s="2979"/>
    </row>
    <row r="1216" spans="1:23" hidden="1">
      <c r="A1216" s="2551">
        <v>4077193</v>
      </c>
      <c r="B1216" s="2551" t="s">
        <v>7865</v>
      </c>
      <c r="C1216" s="2550" t="s">
        <v>7780</v>
      </c>
      <c r="D1216" s="2551" t="s">
        <v>118</v>
      </c>
      <c r="E1216" s="2550" t="s">
        <v>7780</v>
      </c>
      <c r="F1216" s="2551">
        <v>61</v>
      </c>
      <c r="G1216" s="2559">
        <v>7953120.5499999998</v>
      </c>
      <c r="H1216" s="2551">
        <v>0</v>
      </c>
      <c r="J1216" s="2551" t="s">
        <v>7860</v>
      </c>
      <c r="K1216" s="2553" t="s">
        <v>7861</v>
      </c>
      <c r="L1216" s="2551" t="e">
        <f t="shared" si="18"/>
        <v>#N/A</v>
      </c>
      <c r="W1216" s="2979"/>
    </row>
    <row r="1217" spans="1:23" hidden="1">
      <c r="A1217" s="2551">
        <v>4076101</v>
      </c>
      <c r="B1217" s="2551" t="s">
        <v>5559</v>
      </c>
      <c r="C1217" s="2551">
        <v>16</v>
      </c>
      <c r="D1217" s="2551" t="s">
        <v>7866</v>
      </c>
      <c r="E1217" s="2550" t="s">
        <v>7780</v>
      </c>
      <c r="F1217" s="2551">
        <v>31</v>
      </c>
      <c r="G1217" s="2559">
        <v>24645133</v>
      </c>
      <c r="H1217" s="2559">
        <v>1452326</v>
      </c>
      <c r="J1217" s="2551">
        <v>29</v>
      </c>
      <c r="K1217" s="2553" t="s">
        <v>1525</v>
      </c>
      <c r="L1217" s="2551" t="e">
        <f t="shared" si="18"/>
        <v>#N/A</v>
      </c>
      <c r="W1217" s="2979"/>
    </row>
    <row r="1218" spans="1:23" hidden="1">
      <c r="A1218" s="2551">
        <v>4074210</v>
      </c>
      <c r="B1218" s="2551" t="s">
        <v>5615</v>
      </c>
      <c r="C1218" s="2551">
        <v>16</v>
      </c>
      <c r="D1218" s="2551" t="s">
        <v>7867</v>
      </c>
      <c r="E1218" s="2550" t="s">
        <v>7780</v>
      </c>
      <c r="F1218" s="2551">
        <v>28</v>
      </c>
      <c r="G1218" s="2840">
        <v>486400.55</v>
      </c>
      <c r="H1218" s="2551">
        <v>0</v>
      </c>
      <c r="J1218" s="2551">
        <v>29</v>
      </c>
      <c r="K1218" s="2553" t="s">
        <v>1525</v>
      </c>
      <c r="L1218" s="2551" t="e">
        <f t="shared" si="18"/>
        <v>#N/A</v>
      </c>
      <c r="W1218" s="2979"/>
    </row>
    <row r="1219" spans="1:23" hidden="1">
      <c r="A1219" s="2551">
        <v>4074216</v>
      </c>
      <c r="B1219" s="2551" t="s">
        <v>5552</v>
      </c>
      <c r="C1219" s="2551">
        <v>16</v>
      </c>
      <c r="D1219" s="2551" t="s">
        <v>7867</v>
      </c>
      <c r="E1219" s="2550" t="s">
        <v>7780</v>
      </c>
      <c r="F1219" s="2551">
        <v>28</v>
      </c>
      <c r="G1219" s="2840">
        <v>247609.37</v>
      </c>
      <c r="H1219" s="2559">
        <v>-3805226.63</v>
      </c>
      <c r="J1219" s="2551">
        <v>29</v>
      </c>
      <c r="K1219" s="2553" t="s">
        <v>1525</v>
      </c>
      <c r="L1219" s="2551" t="e">
        <f t="shared" si="18"/>
        <v>#N/A</v>
      </c>
      <c r="W1219" s="2979"/>
    </row>
    <row r="1220" spans="1:23" hidden="1">
      <c r="A1220" s="2551">
        <v>4074228</v>
      </c>
      <c r="B1220" s="2551" t="s">
        <v>5553</v>
      </c>
      <c r="C1220" s="2551">
        <v>16</v>
      </c>
      <c r="D1220" s="2551" t="s">
        <v>7867</v>
      </c>
      <c r="E1220" s="2550" t="s">
        <v>7780</v>
      </c>
      <c r="F1220" s="2551">
        <v>28</v>
      </c>
      <c r="G1220" s="2840">
        <v>451765</v>
      </c>
      <c r="H1220" s="2559">
        <v>33900</v>
      </c>
      <c r="J1220" s="2551">
        <v>29</v>
      </c>
      <c r="K1220" s="2553" t="s">
        <v>1525</v>
      </c>
      <c r="L1220" s="2551" t="e">
        <f t="shared" ref="L1220:L1283" si="19">VLOOKUP(A1220,P:P,1,0)</f>
        <v>#N/A</v>
      </c>
      <c r="W1220" s="2979"/>
    </row>
    <row r="1221" spans="1:23" hidden="1">
      <c r="A1221" s="2551">
        <v>4074310</v>
      </c>
      <c r="B1221" s="2551" t="s">
        <v>7868</v>
      </c>
      <c r="C1221" s="2551">
        <v>16</v>
      </c>
      <c r="D1221" s="2551" t="s">
        <v>7867</v>
      </c>
      <c r="E1221" s="2550" t="s">
        <v>7780</v>
      </c>
      <c r="F1221" s="2551">
        <v>28</v>
      </c>
      <c r="G1221" s="2840">
        <v>572586</v>
      </c>
      <c r="H1221" s="2551">
        <v>0</v>
      </c>
      <c r="J1221" s="2551">
        <v>29</v>
      </c>
      <c r="K1221" s="2553" t="s">
        <v>1525</v>
      </c>
      <c r="L1221" s="2551" t="e">
        <f t="shared" si="19"/>
        <v>#N/A</v>
      </c>
      <c r="W1221" s="2979"/>
    </row>
    <row r="1222" spans="1:23" hidden="1">
      <c r="A1222" s="2562">
        <v>4022322</v>
      </c>
      <c r="B1222" s="2562" t="s">
        <v>5533</v>
      </c>
      <c r="C1222" s="2562">
        <v>16</v>
      </c>
      <c r="D1222" s="2562" t="s">
        <v>7867</v>
      </c>
      <c r="E1222" s="2550" t="s">
        <v>7780</v>
      </c>
      <c r="F1222" s="2562">
        <v>28</v>
      </c>
      <c r="G1222" s="2564">
        <v>5464198.7599999998</v>
      </c>
      <c r="H1222" s="2564">
        <v>3377339.34</v>
      </c>
      <c r="J1222" s="2551">
        <v>29</v>
      </c>
      <c r="K1222" s="2553" t="s">
        <v>1525</v>
      </c>
      <c r="L1222" s="2551" t="e">
        <f t="shared" si="19"/>
        <v>#N/A</v>
      </c>
      <c r="W1222" s="2979"/>
    </row>
    <row r="1223" spans="1:23" hidden="1">
      <c r="A1223" s="2562">
        <v>4022323</v>
      </c>
      <c r="B1223" s="2562" t="s">
        <v>5534</v>
      </c>
      <c r="C1223" s="2562">
        <v>16</v>
      </c>
      <c r="D1223" s="2562" t="s">
        <v>7867</v>
      </c>
      <c r="E1223" s="2550" t="s">
        <v>7780</v>
      </c>
      <c r="F1223" s="2562">
        <v>28</v>
      </c>
      <c r="G1223" s="2564">
        <v>34021805.009999998</v>
      </c>
      <c r="H1223" s="2564">
        <v>88606.32</v>
      </c>
      <c r="J1223" s="2551">
        <v>29</v>
      </c>
      <c r="K1223" s="2553" t="s">
        <v>1525</v>
      </c>
      <c r="L1223" s="2551" t="e">
        <f t="shared" si="19"/>
        <v>#N/A</v>
      </c>
      <c r="W1223" s="2979"/>
    </row>
    <row r="1224" spans="1:23" hidden="1">
      <c r="A1224" s="2562">
        <v>4022324</v>
      </c>
      <c r="B1224" s="2562" t="s">
        <v>7869</v>
      </c>
      <c r="C1224" s="2562">
        <v>16</v>
      </c>
      <c r="D1224" s="2562" t="s">
        <v>7867</v>
      </c>
      <c r="E1224" s="2550" t="s">
        <v>7780</v>
      </c>
      <c r="F1224" s="2562">
        <v>28</v>
      </c>
      <c r="G1224" s="2564">
        <v>4388370.22</v>
      </c>
      <c r="H1224" s="2564">
        <v>72283.39</v>
      </c>
      <c r="J1224" s="2551">
        <v>29</v>
      </c>
      <c r="K1224" s="2553" t="s">
        <v>1525</v>
      </c>
      <c r="L1224" s="2551" t="e">
        <f t="shared" si="19"/>
        <v>#N/A</v>
      </c>
      <c r="W1224" s="2979"/>
    </row>
    <row r="1225" spans="1:23" hidden="1">
      <c r="A1225" s="2562">
        <v>4022325</v>
      </c>
      <c r="B1225" s="2562" t="s">
        <v>5536</v>
      </c>
      <c r="C1225" s="2562">
        <v>16</v>
      </c>
      <c r="D1225" s="2562" t="s">
        <v>7867</v>
      </c>
      <c r="E1225" s="2550" t="s">
        <v>7780</v>
      </c>
      <c r="F1225" s="2562">
        <v>28</v>
      </c>
      <c r="G1225" s="2564">
        <v>11699792.26</v>
      </c>
      <c r="H1225" s="2564">
        <v>816831.4</v>
      </c>
      <c r="J1225" s="2551">
        <v>29</v>
      </c>
      <c r="K1225" s="2553" t="s">
        <v>1525</v>
      </c>
      <c r="L1225" s="2551" t="e">
        <f t="shared" si="19"/>
        <v>#N/A</v>
      </c>
      <c r="W1225" s="2979"/>
    </row>
    <row r="1226" spans="1:23" hidden="1">
      <c r="A1226" s="2562">
        <v>4022326</v>
      </c>
      <c r="B1226" s="2562" t="s">
        <v>5537</v>
      </c>
      <c r="C1226" s="2562">
        <v>16</v>
      </c>
      <c r="D1226" s="2562" t="s">
        <v>7867</v>
      </c>
      <c r="E1226" s="2550" t="s">
        <v>7780</v>
      </c>
      <c r="F1226" s="2562">
        <v>28</v>
      </c>
      <c r="G1226" s="2564">
        <v>2098136.9300000002</v>
      </c>
      <c r="H1226" s="2564">
        <v>108016.86</v>
      </c>
      <c r="J1226" s="2551">
        <v>29</v>
      </c>
      <c r="K1226" s="2553" t="s">
        <v>1525</v>
      </c>
      <c r="L1226" s="2551" t="e">
        <f t="shared" si="19"/>
        <v>#N/A</v>
      </c>
      <c r="W1226" s="2979"/>
    </row>
    <row r="1227" spans="1:23" hidden="1">
      <c r="A1227" s="2562">
        <v>4022329</v>
      </c>
      <c r="B1227" s="2562" t="s">
        <v>7870</v>
      </c>
      <c r="C1227" s="2562">
        <v>16</v>
      </c>
      <c r="D1227" s="2562" t="s">
        <v>7867</v>
      </c>
      <c r="E1227" s="2550" t="s">
        <v>7780</v>
      </c>
      <c r="F1227" s="2562">
        <v>28</v>
      </c>
      <c r="G1227" s="2564">
        <v>242015.72</v>
      </c>
      <c r="H1227" s="2564">
        <v>31137.32</v>
      </c>
      <c r="J1227" s="2551">
        <v>29</v>
      </c>
      <c r="K1227" s="2553" t="s">
        <v>1525</v>
      </c>
      <c r="L1227" s="2551" t="e">
        <f t="shared" si="19"/>
        <v>#N/A</v>
      </c>
      <c r="W1227" s="2979"/>
    </row>
    <row r="1228" spans="1:23" hidden="1">
      <c r="A1228" s="2551">
        <v>4022330</v>
      </c>
      <c r="B1228" s="2551" t="s">
        <v>7871</v>
      </c>
      <c r="C1228" s="2551">
        <v>16</v>
      </c>
      <c r="D1228" s="2551" t="s">
        <v>7872</v>
      </c>
      <c r="E1228" s="2550" t="s">
        <v>7780</v>
      </c>
      <c r="F1228" s="2551">
        <v>29</v>
      </c>
      <c r="G1228" s="2559">
        <v>6225390.0599999996</v>
      </c>
      <c r="H1228" s="2559">
        <v>-2238913.1</v>
      </c>
      <c r="J1228" s="2551">
        <v>29</v>
      </c>
      <c r="K1228" s="2553" t="s">
        <v>1525</v>
      </c>
      <c r="L1228" s="2551" t="e">
        <f t="shared" si="19"/>
        <v>#N/A</v>
      </c>
      <c r="W1228" s="2979"/>
    </row>
    <row r="1229" spans="1:23" hidden="1">
      <c r="A1229" s="2551">
        <v>4022402</v>
      </c>
      <c r="B1229" s="2551" t="s">
        <v>7873</v>
      </c>
      <c r="C1229" s="2551">
        <v>16</v>
      </c>
      <c r="D1229" s="2551" t="s">
        <v>7276</v>
      </c>
      <c r="E1229" s="2550" t="s">
        <v>7780</v>
      </c>
      <c r="F1229" s="2551">
        <v>30</v>
      </c>
      <c r="G1229" s="2559">
        <v>17880</v>
      </c>
      <c r="H1229" s="2551">
        <v>0</v>
      </c>
      <c r="J1229" s="2551">
        <v>29</v>
      </c>
      <c r="K1229" s="2553" t="s">
        <v>1525</v>
      </c>
      <c r="L1229" s="2551" t="e">
        <f t="shared" si="19"/>
        <v>#N/A</v>
      </c>
      <c r="W1229" s="2979"/>
    </row>
    <row r="1230" spans="1:23" hidden="1">
      <c r="A1230" s="2551">
        <v>4074130</v>
      </c>
      <c r="B1230" s="2551" t="s">
        <v>5548</v>
      </c>
      <c r="C1230" s="2551">
        <v>16</v>
      </c>
      <c r="D1230" s="2551" t="s">
        <v>7872</v>
      </c>
      <c r="E1230" s="2550" t="s">
        <v>7780</v>
      </c>
      <c r="F1230" s="2551">
        <v>29</v>
      </c>
      <c r="G1230" s="2559">
        <v>9950</v>
      </c>
      <c r="H1230" s="2551">
        <v>0</v>
      </c>
      <c r="J1230" s="2551">
        <v>29</v>
      </c>
      <c r="K1230" s="2553" t="s">
        <v>1525</v>
      </c>
      <c r="L1230" s="2551" t="e">
        <f t="shared" si="19"/>
        <v>#N/A</v>
      </c>
      <c r="W1230" s="2979"/>
    </row>
    <row r="1231" spans="1:23" hidden="1">
      <c r="A1231" s="2551">
        <v>4074131</v>
      </c>
      <c r="B1231" s="2551" t="s">
        <v>5549</v>
      </c>
      <c r="C1231" s="2551">
        <v>16</v>
      </c>
      <c r="D1231" s="2551" t="s">
        <v>7872</v>
      </c>
      <c r="E1231" s="2550" t="s">
        <v>7780</v>
      </c>
      <c r="F1231" s="2551">
        <v>29</v>
      </c>
      <c r="G1231" s="2559">
        <v>1940024.78</v>
      </c>
      <c r="H1231" s="2551">
        <v>0</v>
      </c>
      <c r="J1231" s="2551">
        <v>29</v>
      </c>
      <c r="K1231" s="2553" t="s">
        <v>1525</v>
      </c>
      <c r="L1231" s="2551" t="e">
        <f t="shared" si="19"/>
        <v>#N/A</v>
      </c>
      <c r="W1231" s="2979"/>
    </row>
    <row r="1232" spans="1:23" hidden="1">
      <c r="A1232" s="2551">
        <v>4074134</v>
      </c>
      <c r="B1232" s="2551" t="s">
        <v>5550</v>
      </c>
      <c r="C1232" s="2551">
        <v>16</v>
      </c>
      <c r="D1232" s="2551" t="s">
        <v>7872</v>
      </c>
      <c r="E1232" s="2550" t="s">
        <v>7780</v>
      </c>
      <c r="F1232" s="2551">
        <v>29</v>
      </c>
      <c r="G1232" s="2559">
        <v>33192.83</v>
      </c>
      <c r="H1232" s="2559">
        <v>718267.83</v>
      </c>
      <c r="J1232" s="2551">
        <v>29</v>
      </c>
      <c r="K1232" s="2553" t="s">
        <v>1525</v>
      </c>
      <c r="L1232" s="2551" t="e">
        <f t="shared" si="19"/>
        <v>#N/A</v>
      </c>
      <c r="W1232" s="2979"/>
    </row>
    <row r="1233" spans="1:23" hidden="1">
      <c r="A1233" s="2551">
        <v>4074136</v>
      </c>
      <c r="B1233" s="2551" t="s">
        <v>5612</v>
      </c>
      <c r="C1233" s="2551">
        <v>16</v>
      </c>
      <c r="D1233" s="2551" t="s">
        <v>7872</v>
      </c>
      <c r="E1233" s="2550" t="s">
        <v>7780</v>
      </c>
      <c r="F1233" s="2551">
        <v>29</v>
      </c>
      <c r="G1233" s="2559">
        <v>62947</v>
      </c>
      <c r="H1233" s="2551">
        <v>0</v>
      </c>
      <c r="J1233" s="2551">
        <v>29</v>
      </c>
      <c r="K1233" s="2553" t="s">
        <v>1525</v>
      </c>
      <c r="L1233" s="2551" t="e">
        <f t="shared" si="19"/>
        <v>#N/A</v>
      </c>
      <c r="W1233" s="2979"/>
    </row>
    <row r="1234" spans="1:23" hidden="1">
      <c r="A1234" s="2551">
        <v>4074137</v>
      </c>
      <c r="B1234" s="2551" t="s">
        <v>5613</v>
      </c>
      <c r="C1234" s="2551">
        <v>16</v>
      </c>
      <c r="D1234" s="2551" t="s">
        <v>7872</v>
      </c>
      <c r="E1234" s="2550" t="s">
        <v>7780</v>
      </c>
      <c r="F1234" s="2551">
        <v>29</v>
      </c>
      <c r="G1234" s="2559">
        <v>58649</v>
      </c>
      <c r="H1234" s="2551">
        <v>0</v>
      </c>
      <c r="J1234" s="2551">
        <v>29</v>
      </c>
      <c r="K1234" s="2553" t="s">
        <v>1525</v>
      </c>
      <c r="L1234" s="2551" t="e">
        <f t="shared" si="19"/>
        <v>#N/A</v>
      </c>
      <c r="W1234" s="2979"/>
    </row>
    <row r="1235" spans="1:23" hidden="1">
      <c r="A1235" s="2551">
        <v>4074140</v>
      </c>
      <c r="B1235" s="2551" t="s">
        <v>7874</v>
      </c>
      <c r="C1235" s="2551">
        <v>16</v>
      </c>
      <c r="D1235" s="2551" t="s">
        <v>7872</v>
      </c>
      <c r="E1235" s="2550" t="s">
        <v>7780</v>
      </c>
      <c r="F1235" s="2551">
        <v>29</v>
      </c>
      <c r="G1235" s="2559">
        <v>2750</v>
      </c>
      <c r="H1235" s="2551">
        <v>0</v>
      </c>
      <c r="J1235" s="2551">
        <v>29</v>
      </c>
      <c r="K1235" s="2553" t="s">
        <v>1525</v>
      </c>
      <c r="L1235" s="2551" t="e">
        <f t="shared" si="19"/>
        <v>#N/A</v>
      </c>
      <c r="W1235" s="2979"/>
    </row>
    <row r="1236" spans="1:23" hidden="1">
      <c r="A1236" s="2551">
        <v>4074143</v>
      </c>
      <c r="B1236" s="2551" t="s">
        <v>7875</v>
      </c>
      <c r="C1236" s="2551">
        <v>16</v>
      </c>
      <c r="D1236" s="2551" t="s">
        <v>7872</v>
      </c>
      <c r="E1236" s="2550" t="s">
        <v>7780</v>
      </c>
      <c r="F1236" s="2551">
        <v>29</v>
      </c>
      <c r="G1236" s="2842">
        <v>405</v>
      </c>
      <c r="H1236" s="2551">
        <v>0</v>
      </c>
      <c r="J1236" s="2551">
        <v>29</v>
      </c>
      <c r="K1236" s="2553" t="s">
        <v>1525</v>
      </c>
      <c r="L1236" s="2551" t="e">
        <f t="shared" si="19"/>
        <v>#N/A</v>
      </c>
      <c r="W1236" s="2979"/>
    </row>
    <row r="1237" spans="1:23" hidden="1">
      <c r="A1237" s="2551">
        <v>4074152</v>
      </c>
      <c r="B1237" s="2551" t="s">
        <v>5551</v>
      </c>
      <c r="C1237" s="2551">
        <v>16</v>
      </c>
      <c r="D1237" s="2551" t="s">
        <v>7872</v>
      </c>
      <c r="E1237" s="2550" t="s">
        <v>7780</v>
      </c>
      <c r="F1237" s="2551">
        <v>29</v>
      </c>
      <c r="G1237" s="2559">
        <v>1154402.52</v>
      </c>
      <c r="H1237" s="2559">
        <v>179742</v>
      </c>
      <c r="J1237" s="2551">
        <v>29</v>
      </c>
      <c r="K1237" s="2553" t="s">
        <v>1525</v>
      </c>
      <c r="L1237" s="2551" t="e">
        <f t="shared" si="19"/>
        <v>#N/A</v>
      </c>
      <c r="W1237" s="2979"/>
    </row>
    <row r="1238" spans="1:23" hidden="1">
      <c r="A1238" s="2551">
        <v>4022334</v>
      </c>
      <c r="B1238" s="2551" t="s">
        <v>5541</v>
      </c>
      <c r="C1238" s="2551">
        <v>16</v>
      </c>
      <c r="D1238" s="2551" t="s">
        <v>7872</v>
      </c>
      <c r="E1238" s="2550" t="s">
        <v>7780</v>
      </c>
      <c r="F1238" s="2551">
        <v>29</v>
      </c>
      <c r="G1238" s="2840">
        <v>32564304.609999999</v>
      </c>
      <c r="H1238" s="2559">
        <v>1047449.18</v>
      </c>
      <c r="J1238" s="2551">
        <v>29</v>
      </c>
      <c r="K1238" s="2553" t="s">
        <v>1525</v>
      </c>
      <c r="L1238" s="2551" t="e">
        <f t="shared" si="19"/>
        <v>#N/A</v>
      </c>
      <c r="W1238" s="2979"/>
    </row>
    <row r="1239" spans="1:23" hidden="1">
      <c r="A1239" s="2551">
        <v>4022335</v>
      </c>
      <c r="B1239" s="2551" t="s">
        <v>7876</v>
      </c>
      <c r="C1239" s="2551">
        <v>16</v>
      </c>
      <c r="D1239" s="2551" t="s">
        <v>7872</v>
      </c>
      <c r="E1239" s="2550" t="s">
        <v>7780</v>
      </c>
      <c r="F1239" s="2551">
        <v>29</v>
      </c>
      <c r="G1239" s="2840">
        <v>1677888.31</v>
      </c>
      <c r="H1239" s="2559">
        <v>49685.58</v>
      </c>
      <c r="J1239" s="2551">
        <v>29</v>
      </c>
      <c r="K1239" s="2553" t="s">
        <v>1525</v>
      </c>
      <c r="L1239" s="2551" t="e">
        <f t="shared" si="19"/>
        <v>#N/A</v>
      </c>
      <c r="W1239" s="2979"/>
    </row>
    <row r="1240" spans="1:23" hidden="1">
      <c r="A1240" s="2551">
        <v>4022336</v>
      </c>
      <c r="B1240" s="2551" t="s">
        <v>7877</v>
      </c>
      <c r="C1240" s="2551">
        <v>16</v>
      </c>
      <c r="D1240" s="2551" t="s">
        <v>7872</v>
      </c>
      <c r="E1240" s="2550" t="s">
        <v>7780</v>
      </c>
      <c r="F1240" s="2551">
        <v>29</v>
      </c>
      <c r="G1240" s="2559">
        <v>8065</v>
      </c>
      <c r="H1240" s="2551">
        <v>0</v>
      </c>
      <c r="J1240" s="2551">
        <v>29</v>
      </c>
      <c r="K1240" s="2553" t="s">
        <v>1525</v>
      </c>
      <c r="L1240" s="2551" t="e">
        <f t="shared" si="19"/>
        <v>#N/A</v>
      </c>
      <c r="W1240" s="2979"/>
    </row>
    <row r="1241" spans="1:23" hidden="1">
      <c r="A1241" s="2551">
        <v>4074502</v>
      </c>
      <c r="B1241" s="2551" t="s">
        <v>5554</v>
      </c>
      <c r="C1241" s="2551">
        <v>16</v>
      </c>
      <c r="D1241" s="2551" t="s">
        <v>7872</v>
      </c>
      <c r="E1241" s="2550" t="s">
        <v>7780</v>
      </c>
      <c r="F1241" s="2551">
        <v>29</v>
      </c>
      <c r="G1241" s="2559">
        <v>5190342.0199999996</v>
      </c>
      <c r="H1241" s="2559">
        <v>4690483.78</v>
      </c>
      <c r="J1241" s="2551">
        <v>29</v>
      </c>
      <c r="K1241" s="2553" t="s">
        <v>1525</v>
      </c>
      <c r="L1241" s="2551" t="e">
        <f t="shared" si="19"/>
        <v>#N/A</v>
      </c>
      <c r="W1241" s="2979"/>
    </row>
    <row r="1242" spans="1:23" hidden="1">
      <c r="A1242" s="2551">
        <v>4074601</v>
      </c>
      <c r="B1242" s="2551" t="s">
        <v>5618</v>
      </c>
      <c r="C1242" s="2551">
        <v>16</v>
      </c>
      <c r="D1242" s="2551" t="s">
        <v>7276</v>
      </c>
      <c r="E1242" s="2550" t="s">
        <v>7780</v>
      </c>
      <c r="F1242" s="2551">
        <v>30</v>
      </c>
      <c r="G1242" s="2559">
        <v>505837.34</v>
      </c>
      <c r="H1242" s="2559">
        <v>-2938155.76</v>
      </c>
      <c r="J1242" s="2551">
        <v>29</v>
      </c>
      <c r="K1242" s="2553" t="s">
        <v>1525</v>
      </c>
      <c r="L1242" s="2551" t="e">
        <f t="shared" si="19"/>
        <v>#N/A</v>
      </c>
      <c r="W1242" s="2979"/>
    </row>
    <row r="1243" spans="1:23" hidden="1">
      <c r="A1243" s="2551">
        <v>4022340</v>
      </c>
      <c r="B1243" s="2551" t="s">
        <v>7878</v>
      </c>
      <c r="C1243" s="2551">
        <v>16</v>
      </c>
      <c r="D1243" s="2551" t="s">
        <v>7276</v>
      </c>
      <c r="E1243" s="2550" t="s">
        <v>7780</v>
      </c>
      <c r="F1243" s="2551">
        <v>30</v>
      </c>
      <c r="G1243" s="2559">
        <v>96739.6</v>
      </c>
      <c r="H1243" s="2559">
        <v>6270</v>
      </c>
      <c r="J1243" s="2551">
        <v>29</v>
      </c>
      <c r="K1243" s="2553" t="s">
        <v>1525</v>
      </c>
      <c r="L1243" s="2551" t="e">
        <f t="shared" si="19"/>
        <v>#N/A</v>
      </c>
      <c r="W1243" s="2979"/>
    </row>
    <row r="1244" spans="1:23" hidden="1">
      <c r="A1244" s="2551">
        <v>4022331</v>
      </c>
      <c r="B1244" s="2551" t="s">
        <v>7879</v>
      </c>
      <c r="C1244" s="2551">
        <v>16</v>
      </c>
      <c r="D1244" s="2551" t="s">
        <v>7276</v>
      </c>
      <c r="E1244" s="2550" t="s">
        <v>7780</v>
      </c>
      <c r="F1244" s="2551">
        <v>30</v>
      </c>
      <c r="G1244" s="2559">
        <v>1830313.41</v>
      </c>
      <c r="H1244" s="2551">
        <v>0</v>
      </c>
      <c r="J1244" s="2551">
        <v>29</v>
      </c>
      <c r="K1244" s="2553" t="s">
        <v>1525</v>
      </c>
      <c r="L1244" s="2551" t="e">
        <f t="shared" si="19"/>
        <v>#N/A</v>
      </c>
      <c r="W1244" s="2979"/>
    </row>
    <row r="1245" spans="1:23" hidden="1">
      <c r="A1245" s="2551">
        <v>4022339</v>
      </c>
      <c r="B1245" s="2551" t="s">
        <v>5544</v>
      </c>
      <c r="C1245" s="2551">
        <v>16</v>
      </c>
      <c r="D1245" s="2551" t="s">
        <v>7276</v>
      </c>
      <c r="E1245" s="2550" t="s">
        <v>7780</v>
      </c>
      <c r="F1245" s="2551">
        <v>30</v>
      </c>
      <c r="G1245" s="2559">
        <v>4809970.01</v>
      </c>
      <c r="H1245" s="2559">
        <v>-1938.28</v>
      </c>
      <c r="J1245" s="2551">
        <v>29</v>
      </c>
      <c r="K1245" s="2553" t="s">
        <v>1525</v>
      </c>
      <c r="L1245" s="2551" t="e">
        <f t="shared" si="19"/>
        <v>#N/A</v>
      </c>
      <c r="W1245" s="2979"/>
    </row>
    <row r="1246" spans="1:23" hidden="1">
      <c r="A1246" s="2551">
        <v>4074501</v>
      </c>
      <c r="B1246" s="2551" t="s">
        <v>5617</v>
      </c>
      <c r="C1246" s="2551">
        <v>16</v>
      </c>
      <c r="D1246" s="2551" t="s">
        <v>7872</v>
      </c>
      <c r="E1246" s="2550" t="s">
        <v>7780</v>
      </c>
      <c r="F1246" s="2551">
        <v>29</v>
      </c>
      <c r="G1246" s="2559">
        <v>4390</v>
      </c>
      <c r="H1246" s="2551">
        <v>0</v>
      </c>
      <c r="J1246" s="2551">
        <v>29</v>
      </c>
      <c r="K1246" s="2553" t="s">
        <v>1525</v>
      </c>
      <c r="L1246" s="2551" t="e">
        <f t="shared" si="19"/>
        <v>#N/A</v>
      </c>
      <c r="W1246" s="2979"/>
    </row>
    <row r="1247" spans="1:23" hidden="1">
      <c r="A1247" s="2551">
        <v>4074902</v>
      </c>
      <c r="B1247" s="2551" t="s">
        <v>5555</v>
      </c>
      <c r="C1247" s="2551">
        <v>16</v>
      </c>
      <c r="D1247" s="2551" t="s">
        <v>7872</v>
      </c>
      <c r="E1247" s="2550" t="s">
        <v>7780</v>
      </c>
      <c r="F1247" s="2551">
        <v>29</v>
      </c>
      <c r="G1247" s="2559">
        <v>144156761.34999999</v>
      </c>
      <c r="H1247" s="2559">
        <v>4302377</v>
      </c>
      <c r="J1247" s="2551">
        <v>29</v>
      </c>
      <c r="K1247" s="2553" t="s">
        <v>1525</v>
      </c>
      <c r="L1247" s="2551" t="e">
        <f t="shared" si="19"/>
        <v>#N/A</v>
      </c>
      <c r="W1247" s="2979"/>
    </row>
    <row r="1248" spans="1:23" hidden="1">
      <c r="A1248" s="2551">
        <v>4022333</v>
      </c>
      <c r="B1248" s="2551" t="s">
        <v>7880</v>
      </c>
      <c r="C1248" s="2551">
        <v>16</v>
      </c>
      <c r="D1248" s="2551" t="s">
        <v>7872</v>
      </c>
      <c r="E1248" s="2550" t="s">
        <v>7780</v>
      </c>
      <c r="F1248" s="2551">
        <v>29</v>
      </c>
      <c r="G1248" s="2559">
        <v>683457.17</v>
      </c>
      <c r="H1248" s="2551">
        <v>0</v>
      </c>
      <c r="J1248" s="2551">
        <v>29</v>
      </c>
      <c r="K1248" s="2553" t="s">
        <v>1525</v>
      </c>
      <c r="L1248" s="2551" t="e">
        <f t="shared" si="19"/>
        <v>#N/A</v>
      </c>
      <c r="W1248" s="2979"/>
    </row>
    <row r="1249" spans="1:23" hidden="1">
      <c r="A1249" s="2551">
        <v>4022501</v>
      </c>
      <c r="B1249" s="2551" t="s">
        <v>5546</v>
      </c>
      <c r="C1249" s="2551">
        <v>16</v>
      </c>
      <c r="D1249" s="2551" t="s">
        <v>7276</v>
      </c>
      <c r="E1249" s="2550" t="s">
        <v>7780</v>
      </c>
      <c r="F1249" s="2551">
        <v>30</v>
      </c>
      <c r="G1249" s="2559">
        <v>245611.48</v>
      </c>
      <c r="H1249" s="2559">
        <v>-219670.97</v>
      </c>
      <c r="J1249" s="2551">
        <v>29</v>
      </c>
      <c r="K1249" s="2553" t="s">
        <v>1525</v>
      </c>
      <c r="L1249" s="2551" t="e">
        <f t="shared" si="19"/>
        <v>#N/A</v>
      </c>
      <c r="W1249" s="2979"/>
    </row>
    <row r="1250" spans="1:23" hidden="1">
      <c r="A1250" s="2551">
        <v>4076143</v>
      </c>
      <c r="B1250" s="2842" t="s">
        <v>7881</v>
      </c>
      <c r="C1250" s="2569">
        <v>16</v>
      </c>
      <c r="D1250" s="2569" t="s">
        <v>7819</v>
      </c>
      <c r="E1250" s="2550" t="s">
        <v>7780</v>
      </c>
      <c r="F1250" s="2569">
        <v>37</v>
      </c>
      <c r="G1250" s="2559">
        <v>95515.89</v>
      </c>
      <c r="H1250" s="2551">
        <v>0</v>
      </c>
      <c r="J1250" s="2551">
        <v>29</v>
      </c>
      <c r="K1250" s="2553" t="s">
        <v>1525</v>
      </c>
      <c r="L1250" s="2551" t="e">
        <f t="shared" si="19"/>
        <v>#N/A</v>
      </c>
      <c r="W1250" s="2979"/>
    </row>
    <row r="1251" spans="1:23" hidden="1">
      <c r="A1251" s="2551">
        <v>4077520</v>
      </c>
      <c r="B1251" s="2551" t="s">
        <v>7882</v>
      </c>
      <c r="C1251" s="2551">
        <v>16</v>
      </c>
      <c r="D1251" s="2551" t="s">
        <v>7867</v>
      </c>
      <c r="E1251" s="2550" t="s">
        <v>7780</v>
      </c>
      <c r="F1251" s="2551">
        <v>28</v>
      </c>
      <c r="G1251" s="2551">
        <v>-34.83</v>
      </c>
      <c r="H1251" s="2551">
        <v>0</v>
      </c>
      <c r="J1251" s="2551">
        <v>29</v>
      </c>
      <c r="K1251" s="2553" t="s">
        <v>1525</v>
      </c>
      <c r="L1251" s="2551" t="e">
        <f t="shared" si="19"/>
        <v>#N/A</v>
      </c>
      <c r="W1251" s="2979"/>
    </row>
    <row r="1252" spans="1:23" hidden="1">
      <c r="A1252" s="2551">
        <v>4076120</v>
      </c>
      <c r="B1252" s="2551" t="s">
        <v>5619</v>
      </c>
      <c r="C1252" s="2551">
        <v>16</v>
      </c>
      <c r="D1252" s="2551" t="s">
        <v>7883</v>
      </c>
      <c r="E1252" s="2550" t="s">
        <v>7780</v>
      </c>
      <c r="F1252" s="2551">
        <v>34</v>
      </c>
      <c r="G1252" s="2559">
        <v>3217296</v>
      </c>
      <c r="H1252" s="2551">
        <v>0</v>
      </c>
      <c r="J1252" s="2551">
        <v>29</v>
      </c>
      <c r="K1252" s="2553" t="s">
        <v>1525</v>
      </c>
      <c r="L1252" s="2551" t="e">
        <f t="shared" si="19"/>
        <v>#N/A</v>
      </c>
      <c r="W1252" s="2979"/>
    </row>
    <row r="1253" spans="1:23" hidden="1">
      <c r="A1253" s="2551">
        <v>4076126</v>
      </c>
      <c r="B1253" s="2551" t="s">
        <v>5570</v>
      </c>
      <c r="C1253" s="2551">
        <v>16</v>
      </c>
      <c r="D1253" s="2551" t="s">
        <v>7883</v>
      </c>
      <c r="E1253" s="2550" t="s">
        <v>7780</v>
      </c>
      <c r="F1253" s="2551">
        <v>34</v>
      </c>
      <c r="G1253" s="2559">
        <v>5171763</v>
      </c>
      <c r="H1253" s="2559">
        <v>2360000</v>
      </c>
      <c r="J1253" s="2551">
        <v>29</v>
      </c>
      <c r="K1253" s="2553" t="s">
        <v>1525</v>
      </c>
      <c r="L1253" s="2551" t="e">
        <f t="shared" si="19"/>
        <v>#N/A</v>
      </c>
      <c r="W1253" s="2979"/>
    </row>
    <row r="1254" spans="1:23" hidden="1">
      <c r="A1254" s="2551">
        <v>4076130</v>
      </c>
      <c r="B1254" s="2551" t="s">
        <v>5571</v>
      </c>
      <c r="C1254" s="2551">
        <v>16</v>
      </c>
      <c r="D1254" s="2551" t="s">
        <v>7883</v>
      </c>
      <c r="E1254" s="2550" t="s">
        <v>7780</v>
      </c>
      <c r="F1254" s="2551">
        <v>34</v>
      </c>
      <c r="G1254" s="2559">
        <v>236000</v>
      </c>
      <c r="H1254" s="2559">
        <v>118000</v>
      </c>
      <c r="J1254" s="2551">
        <v>29</v>
      </c>
      <c r="K1254" s="2553" t="s">
        <v>1525</v>
      </c>
      <c r="L1254" s="2551" t="e">
        <f t="shared" si="19"/>
        <v>#N/A</v>
      </c>
      <c r="W1254" s="2979"/>
    </row>
    <row r="1255" spans="1:23" hidden="1">
      <c r="A1255" s="2551">
        <v>4076150</v>
      </c>
      <c r="B1255" s="2551" t="s">
        <v>7884</v>
      </c>
      <c r="C1255" s="2551">
        <v>16</v>
      </c>
      <c r="D1255" s="2551" t="s">
        <v>7883</v>
      </c>
      <c r="E1255" s="2550" t="s">
        <v>7780</v>
      </c>
      <c r="F1255" s="2551">
        <v>34</v>
      </c>
      <c r="G1255" s="2559">
        <v>42774</v>
      </c>
      <c r="H1255" s="2559">
        <v>134095</v>
      </c>
      <c r="J1255" s="2551">
        <v>29</v>
      </c>
      <c r="K1255" s="2553" t="s">
        <v>1525</v>
      </c>
      <c r="L1255" s="2551" t="e">
        <f t="shared" si="19"/>
        <v>#N/A</v>
      </c>
      <c r="W1255" s="2979"/>
    </row>
    <row r="1256" spans="1:23" hidden="1">
      <c r="A1256" s="2551">
        <v>4076156</v>
      </c>
      <c r="B1256" s="2551" t="s">
        <v>5621</v>
      </c>
      <c r="C1256" s="2551">
        <v>16</v>
      </c>
      <c r="D1256" s="2551" t="s">
        <v>7883</v>
      </c>
      <c r="E1256" s="2550" t="s">
        <v>7780</v>
      </c>
      <c r="F1256" s="2551">
        <v>34</v>
      </c>
      <c r="G1256" s="2559">
        <v>162468</v>
      </c>
      <c r="H1256" s="2551">
        <v>0</v>
      </c>
      <c r="J1256" s="2551">
        <v>29</v>
      </c>
      <c r="K1256" s="2553" t="s">
        <v>1525</v>
      </c>
      <c r="L1256" s="2551" t="e">
        <f t="shared" si="19"/>
        <v>#N/A</v>
      </c>
      <c r="W1256" s="2979"/>
    </row>
    <row r="1257" spans="1:23" hidden="1">
      <c r="A1257" s="2551">
        <v>4076123</v>
      </c>
      <c r="B1257" s="2842" t="s">
        <v>5567</v>
      </c>
      <c r="C1257" s="2569">
        <v>16</v>
      </c>
      <c r="D1257" s="2569" t="s">
        <v>7819</v>
      </c>
      <c r="E1257" s="2550" t="s">
        <v>7780</v>
      </c>
      <c r="F1257" s="2569">
        <v>37</v>
      </c>
      <c r="G1257" s="2559">
        <v>81364381.049999997</v>
      </c>
      <c r="H1257" s="2559">
        <v>13418763</v>
      </c>
      <c r="J1257" s="2551">
        <v>29</v>
      </c>
      <c r="K1257" s="2553" t="s">
        <v>1525</v>
      </c>
      <c r="L1257" s="2551" t="e">
        <f t="shared" si="19"/>
        <v>#N/A</v>
      </c>
      <c r="W1257" s="2979"/>
    </row>
    <row r="1258" spans="1:23" hidden="1">
      <c r="A1258" s="2551">
        <v>4076124</v>
      </c>
      <c r="B1258" s="2957" t="s">
        <v>5568</v>
      </c>
      <c r="C1258" s="2569">
        <v>16</v>
      </c>
      <c r="D1258" s="2569" t="s">
        <v>7819</v>
      </c>
      <c r="E1258" s="2550" t="s">
        <v>7780</v>
      </c>
      <c r="F1258" s="2569">
        <v>37</v>
      </c>
      <c r="G1258" s="2551">
        <v>0</v>
      </c>
      <c r="H1258" s="2559">
        <v>846635.4</v>
      </c>
      <c r="J1258" s="2551">
        <v>29</v>
      </c>
      <c r="K1258" s="2553" t="s">
        <v>1525</v>
      </c>
      <c r="L1258" s="2551" t="e">
        <f t="shared" si="19"/>
        <v>#N/A</v>
      </c>
      <c r="W1258" s="2979"/>
    </row>
    <row r="1259" spans="1:23" hidden="1">
      <c r="A1259" s="2551">
        <v>4076125</v>
      </c>
      <c r="B1259" s="2842" t="s">
        <v>3198</v>
      </c>
      <c r="C1259" s="2569">
        <v>16</v>
      </c>
      <c r="D1259" s="2569" t="s">
        <v>7819</v>
      </c>
      <c r="E1259" s="2550" t="s">
        <v>7780</v>
      </c>
      <c r="F1259" s="2569">
        <v>37</v>
      </c>
      <c r="G1259" s="2559">
        <v>2508494</v>
      </c>
      <c r="H1259" s="2559">
        <v>202307</v>
      </c>
      <c r="J1259" s="2551">
        <v>29</v>
      </c>
      <c r="K1259" s="2553" t="s">
        <v>1525</v>
      </c>
      <c r="L1259" s="2551" t="e">
        <f t="shared" si="19"/>
        <v>#N/A</v>
      </c>
      <c r="W1259" s="2979"/>
    </row>
    <row r="1260" spans="1:23" hidden="1">
      <c r="A1260" s="2551">
        <v>4076129</v>
      </c>
      <c r="B1260" s="2842" t="s">
        <v>3199</v>
      </c>
      <c r="C1260" s="2569">
        <v>16</v>
      </c>
      <c r="D1260" s="2569" t="s">
        <v>7819</v>
      </c>
      <c r="E1260" s="2550" t="s">
        <v>7780</v>
      </c>
      <c r="F1260" s="2569">
        <v>37</v>
      </c>
      <c r="G1260" s="2559">
        <v>48804098.890000001</v>
      </c>
      <c r="H1260" s="2559">
        <v>1502540</v>
      </c>
      <c r="J1260" s="2551">
        <v>29</v>
      </c>
      <c r="K1260" s="2553" t="s">
        <v>1525</v>
      </c>
      <c r="L1260" s="2551" t="e">
        <f t="shared" si="19"/>
        <v>#N/A</v>
      </c>
      <c r="W1260" s="2979"/>
    </row>
    <row r="1261" spans="1:23" hidden="1">
      <c r="A1261" s="2551">
        <v>4076139</v>
      </c>
      <c r="B1261" s="2551" t="s">
        <v>5620</v>
      </c>
      <c r="C1261" s="2551">
        <v>16</v>
      </c>
      <c r="D1261" s="2551" t="s">
        <v>7866</v>
      </c>
      <c r="E1261" s="2550" t="s">
        <v>7780</v>
      </c>
      <c r="F1261" s="2551">
        <v>31</v>
      </c>
      <c r="G1261" s="2559">
        <v>179018</v>
      </c>
      <c r="H1261" s="2551">
        <v>0</v>
      </c>
      <c r="J1261" s="2551">
        <v>29</v>
      </c>
      <c r="K1261" s="2553" t="s">
        <v>1525</v>
      </c>
      <c r="L1261" s="2551" t="e">
        <f t="shared" si="19"/>
        <v>#N/A</v>
      </c>
      <c r="W1261" s="2979"/>
    </row>
    <row r="1262" spans="1:23" hidden="1">
      <c r="A1262" s="2551">
        <v>4076140</v>
      </c>
      <c r="B1262" s="2551" t="s">
        <v>7885</v>
      </c>
      <c r="C1262" s="2551">
        <v>16</v>
      </c>
      <c r="D1262" s="2551" t="s">
        <v>7883</v>
      </c>
      <c r="E1262" s="2550" t="s">
        <v>7780</v>
      </c>
      <c r="F1262" s="2551">
        <v>34</v>
      </c>
      <c r="G1262" s="2559">
        <v>4171300</v>
      </c>
      <c r="H1262" s="2551">
        <v>0</v>
      </c>
      <c r="J1262" s="2551">
        <v>29</v>
      </c>
      <c r="K1262" s="2553" t="s">
        <v>1525</v>
      </c>
      <c r="L1262" s="2551" t="e">
        <f t="shared" si="19"/>
        <v>#N/A</v>
      </c>
      <c r="W1262" s="2979"/>
    </row>
    <row r="1263" spans="1:23" hidden="1">
      <c r="A1263" s="2551">
        <v>4076121</v>
      </c>
      <c r="B1263" s="2842" t="s">
        <v>7886</v>
      </c>
      <c r="C1263" s="2569">
        <v>16</v>
      </c>
      <c r="D1263" s="2569" t="s">
        <v>7819</v>
      </c>
      <c r="E1263" s="2550" t="s">
        <v>7780</v>
      </c>
      <c r="F1263" s="2569">
        <v>37</v>
      </c>
      <c r="G1263" s="2840">
        <v>19884</v>
      </c>
      <c r="H1263" s="2559">
        <v>29743</v>
      </c>
      <c r="J1263" s="2551">
        <v>29</v>
      </c>
      <c r="K1263" s="2553" t="s">
        <v>1525</v>
      </c>
      <c r="L1263" s="2551" t="e">
        <f t="shared" si="19"/>
        <v>#N/A</v>
      </c>
      <c r="W1263" s="2979"/>
    </row>
    <row r="1264" spans="1:23" hidden="1">
      <c r="A1264" s="2551">
        <v>4076122</v>
      </c>
      <c r="B1264" s="2842" t="s">
        <v>5566</v>
      </c>
      <c r="C1264" s="2569">
        <v>16</v>
      </c>
      <c r="D1264" s="2569" t="s">
        <v>7819</v>
      </c>
      <c r="E1264" s="2550" t="s">
        <v>7780</v>
      </c>
      <c r="F1264" s="2569">
        <v>37</v>
      </c>
      <c r="G1264" s="2840">
        <v>1541847</v>
      </c>
      <c r="H1264" s="2559">
        <v>19130</v>
      </c>
      <c r="J1264" s="2551">
        <v>29</v>
      </c>
      <c r="K1264" s="2553" t="s">
        <v>1525</v>
      </c>
      <c r="L1264" s="2551" t="e">
        <f t="shared" si="19"/>
        <v>#N/A</v>
      </c>
      <c r="W1264" s="2979"/>
    </row>
    <row r="1265" spans="1:23" hidden="1">
      <c r="A1265" s="2551">
        <v>4076102</v>
      </c>
      <c r="B1265" s="2957" t="s">
        <v>5560</v>
      </c>
      <c r="C1265" s="2569">
        <v>16</v>
      </c>
      <c r="D1265" s="2569" t="s">
        <v>7819</v>
      </c>
      <c r="E1265" s="2550" t="s">
        <v>7780</v>
      </c>
      <c r="F1265" s="2569">
        <v>37</v>
      </c>
      <c r="G1265" s="2559">
        <v>425784</v>
      </c>
      <c r="H1265" s="2559">
        <v>423376</v>
      </c>
      <c r="J1265" s="2551">
        <v>29</v>
      </c>
      <c r="K1265" s="2553" t="s">
        <v>1525</v>
      </c>
      <c r="L1265" s="2551" t="e">
        <f t="shared" si="19"/>
        <v>#N/A</v>
      </c>
      <c r="W1265" s="2979"/>
    </row>
    <row r="1266" spans="1:23" hidden="1">
      <c r="A1266" s="2551">
        <v>4076138</v>
      </c>
      <c r="B1266" s="2551" t="s">
        <v>7887</v>
      </c>
      <c r="C1266" s="2551">
        <v>16</v>
      </c>
      <c r="D1266" s="2551" t="s">
        <v>7866</v>
      </c>
      <c r="E1266" s="2550" t="s">
        <v>7780</v>
      </c>
      <c r="F1266" s="2551">
        <v>31</v>
      </c>
      <c r="G1266" s="2559">
        <v>103654</v>
      </c>
      <c r="H1266" s="2559">
        <v>5034</v>
      </c>
      <c r="J1266" s="2551">
        <v>29</v>
      </c>
      <c r="K1266" s="2553" t="s">
        <v>1525</v>
      </c>
      <c r="L1266" s="2551" t="e">
        <f t="shared" si="19"/>
        <v>#N/A</v>
      </c>
      <c r="W1266" s="2979"/>
    </row>
    <row r="1267" spans="1:23" hidden="1">
      <c r="A1267" s="2551">
        <v>4076159</v>
      </c>
      <c r="B1267" s="2842" t="s">
        <v>1510</v>
      </c>
      <c r="C1267" s="2569">
        <v>16</v>
      </c>
      <c r="D1267" s="2569" t="s">
        <v>7819</v>
      </c>
      <c r="E1267" s="2550" t="s">
        <v>7780</v>
      </c>
      <c r="F1267" s="2569">
        <v>37</v>
      </c>
      <c r="G1267" s="2559">
        <v>455610</v>
      </c>
      <c r="H1267" s="2559">
        <v>5641373.25</v>
      </c>
      <c r="J1267" s="2551">
        <v>29</v>
      </c>
      <c r="K1267" s="2553" t="s">
        <v>1525</v>
      </c>
      <c r="L1267" s="2551" t="e">
        <f t="shared" si="19"/>
        <v>#N/A</v>
      </c>
      <c r="W1267" s="2979"/>
    </row>
    <row r="1268" spans="1:23" hidden="1">
      <c r="A1268" s="2551">
        <v>4076163</v>
      </c>
      <c r="B1268" s="2551" t="s">
        <v>7888</v>
      </c>
      <c r="C1268" s="2551">
        <v>16</v>
      </c>
      <c r="D1268" s="2551" t="s">
        <v>7866</v>
      </c>
      <c r="E1268" s="2550" t="s">
        <v>7780</v>
      </c>
      <c r="F1268" s="2551">
        <v>31</v>
      </c>
      <c r="G1268" s="2559">
        <v>19225363.989999998</v>
      </c>
      <c r="H1268" s="2551">
        <v>0</v>
      </c>
      <c r="J1268" s="2551">
        <v>29</v>
      </c>
      <c r="K1268" s="2553" t="s">
        <v>1525</v>
      </c>
      <c r="L1268" s="2551" t="e">
        <f t="shared" si="19"/>
        <v>#N/A</v>
      </c>
      <c r="W1268" s="2979"/>
    </row>
    <row r="1269" spans="1:23" hidden="1">
      <c r="A1269" s="2551">
        <v>4076154</v>
      </c>
      <c r="B1269" s="2842" t="s">
        <v>5584</v>
      </c>
      <c r="C1269" s="2569">
        <v>16</v>
      </c>
      <c r="D1269" s="2569" t="s">
        <v>7819</v>
      </c>
      <c r="E1269" s="2550" t="s">
        <v>7780</v>
      </c>
      <c r="F1269" s="2569">
        <v>37</v>
      </c>
      <c r="G1269" s="2559">
        <v>239315</v>
      </c>
      <c r="H1269" s="2559">
        <v>288414.24</v>
      </c>
      <c r="J1269" s="2551">
        <v>29</v>
      </c>
      <c r="K1269" s="2553" t="s">
        <v>1525</v>
      </c>
      <c r="L1269" s="2551" t="e">
        <f t="shared" si="19"/>
        <v>#N/A</v>
      </c>
      <c r="W1269" s="2979"/>
    </row>
    <row r="1270" spans="1:23" hidden="1">
      <c r="A1270" s="2551">
        <v>4076155</v>
      </c>
      <c r="B1270" s="2842" t="s">
        <v>5585</v>
      </c>
      <c r="C1270" s="2569">
        <v>16</v>
      </c>
      <c r="D1270" s="2569" t="s">
        <v>7819</v>
      </c>
      <c r="E1270" s="2550" t="s">
        <v>7780</v>
      </c>
      <c r="F1270" s="2569">
        <v>37</v>
      </c>
      <c r="G1270" s="2559">
        <v>7157520.75</v>
      </c>
      <c r="H1270" s="2559">
        <v>1332516</v>
      </c>
      <c r="J1270" s="2551">
        <v>29</v>
      </c>
      <c r="K1270" s="2553" t="s">
        <v>1525</v>
      </c>
      <c r="L1270" s="2551" t="e">
        <f t="shared" si="19"/>
        <v>#N/A</v>
      </c>
      <c r="W1270" s="2979"/>
    </row>
    <row r="1271" spans="1:23" hidden="1">
      <c r="A1271" s="2551">
        <v>4076182</v>
      </c>
      <c r="B1271" s="2957" t="s">
        <v>5624</v>
      </c>
      <c r="C1271" s="2569">
        <v>16</v>
      </c>
      <c r="D1271" s="2569" t="s">
        <v>7819</v>
      </c>
      <c r="E1271" s="2550" t="s">
        <v>7780</v>
      </c>
      <c r="F1271" s="2569">
        <v>37</v>
      </c>
      <c r="G1271" s="2559">
        <v>253195</v>
      </c>
      <c r="H1271" s="2551">
        <v>0</v>
      </c>
      <c r="J1271" s="2551">
        <v>29</v>
      </c>
      <c r="K1271" s="2553" t="s">
        <v>1525</v>
      </c>
      <c r="L1271" s="2551" t="e">
        <f t="shared" si="19"/>
        <v>#N/A</v>
      </c>
      <c r="W1271" s="2979"/>
    </row>
    <row r="1272" spans="1:23" hidden="1">
      <c r="A1272" s="2551">
        <v>4076260</v>
      </c>
      <c r="B1272" s="2842" t="s">
        <v>7889</v>
      </c>
      <c r="C1272" s="2569">
        <v>16</v>
      </c>
      <c r="D1272" s="2569" t="s">
        <v>7819</v>
      </c>
      <c r="E1272" s="2550" t="s">
        <v>7780</v>
      </c>
      <c r="F1272" s="2569">
        <v>37</v>
      </c>
      <c r="G1272" s="2559">
        <v>8300</v>
      </c>
      <c r="H1272" s="2551">
        <v>0</v>
      </c>
      <c r="J1272" s="2551">
        <v>29</v>
      </c>
      <c r="K1272" s="2553" t="s">
        <v>1525</v>
      </c>
      <c r="L1272" s="2551" t="e">
        <f t="shared" si="19"/>
        <v>#N/A</v>
      </c>
      <c r="W1272" s="2979"/>
    </row>
    <row r="1273" spans="1:23" hidden="1">
      <c r="A1273" s="2551">
        <v>4076261</v>
      </c>
      <c r="B1273" s="2842" t="s">
        <v>7890</v>
      </c>
      <c r="C1273" s="2569">
        <v>16</v>
      </c>
      <c r="D1273" s="2569" t="s">
        <v>7819</v>
      </c>
      <c r="E1273" s="2550" t="s">
        <v>7780</v>
      </c>
      <c r="F1273" s="2569">
        <v>37</v>
      </c>
      <c r="G1273" s="2559">
        <v>59290</v>
      </c>
      <c r="H1273" s="2559">
        <v>19128</v>
      </c>
      <c r="J1273" s="2551">
        <v>29</v>
      </c>
      <c r="K1273" s="2553" t="s">
        <v>1525</v>
      </c>
      <c r="L1273" s="2551" t="e">
        <f t="shared" si="19"/>
        <v>#N/A</v>
      </c>
      <c r="W1273" s="2979"/>
    </row>
    <row r="1274" spans="1:23" hidden="1">
      <c r="A1274" s="2551">
        <v>4076221</v>
      </c>
      <c r="B1274" s="2551" t="s">
        <v>3251</v>
      </c>
      <c r="C1274" s="2551">
        <v>16</v>
      </c>
      <c r="D1274" s="2551" t="s">
        <v>7844</v>
      </c>
      <c r="E1274" s="2550" t="s">
        <v>7780</v>
      </c>
      <c r="F1274" s="2551">
        <v>38</v>
      </c>
      <c r="G1274" s="2559">
        <v>4200</v>
      </c>
      <c r="H1274" s="2559">
        <v>23200</v>
      </c>
      <c r="J1274" s="2551">
        <v>29</v>
      </c>
      <c r="K1274" s="2553" t="s">
        <v>1525</v>
      </c>
      <c r="L1274" s="2551" t="e">
        <f t="shared" si="19"/>
        <v>#N/A</v>
      </c>
      <c r="W1274" s="2979"/>
    </row>
    <row r="1275" spans="1:23" hidden="1">
      <c r="A1275" s="2551">
        <v>4076240</v>
      </c>
      <c r="B1275" s="2551" t="s">
        <v>7891</v>
      </c>
      <c r="C1275" s="2551">
        <v>16</v>
      </c>
      <c r="D1275" s="2551" t="s">
        <v>7844</v>
      </c>
      <c r="E1275" s="2550" t="s">
        <v>7780</v>
      </c>
      <c r="F1275" s="2551">
        <v>38</v>
      </c>
      <c r="G1275" s="2559">
        <v>344842</v>
      </c>
      <c r="H1275" s="2559">
        <v>264850</v>
      </c>
      <c r="J1275" s="2551">
        <v>29</v>
      </c>
      <c r="K1275" s="2553" t="s">
        <v>1525</v>
      </c>
      <c r="L1275" s="2551" t="e">
        <f t="shared" si="19"/>
        <v>#N/A</v>
      </c>
      <c r="W1275" s="2979"/>
    </row>
    <row r="1276" spans="1:23" hidden="1">
      <c r="A1276" s="2551">
        <v>4076245</v>
      </c>
      <c r="B1276" s="2551" t="s">
        <v>7892</v>
      </c>
      <c r="C1276" s="2551">
        <v>16</v>
      </c>
      <c r="D1276" s="2551" t="s">
        <v>7844</v>
      </c>
      <c r="E1276" s="2550" t="s">
        <v>7780</v>
      </c>
      <c r="F1276" s="2551">
        <v>38</v>
      </c>
      <c r="G1276" s="2559">
        <v>482169</v>
      </c>
      <c r="H1276" s="2559">
        <v>77250</v>
      </c>
      <c r="J1276" s="2551">
        <v>29</v>
      </c>
      <c r="K1276" s="2553" t="s">
        <v>1525</v>
      </c>
      <c r="L1276" s="2551" t="e">
        <f t="shared" si="19"/>
        <v>#N/A</v>
      </c>
      <c r="W1276" s="2979"/>
    </row>
    <row r="1277" spans="1:23" hidden="1">
      <c r="A1277" s="2551">
        <v>4076249</v>
      </c>
      <c r="B1277" s="2551" t="s">
        <v>7893</v>
      </c>
      <c r="C1277" s="2551">
        <v>16</v>
      </c>
      <c r="D1277" s="2551" t="s">
        <v>7844</v>
      </c>
      <c r="E1277" s="2550" t="s">
        <v>7780</v>
      </c>
      <c r="F1277" s="2551">
        <v>38</v>
      </c>
      <c r="G1277" s="2559">
        <v>252720</v>
      </c>
      <c r="H1277" s="2559">
        <v>99370</v>
      </c>
      <c r="J1277" s="2551">
        <v>29</v>
      </c>
      <c r="K1277" s="2553" t="s">
        <v>1525</v>
      </c>
      <c r="L1277" s="2551" t="e">
        <f t="shared" si="19"/>
        <v>#N/A</v>
      </c>
      <c r="W1277" s="2979"/>
    </row>
    <row r="1278" spans="1:23" hidden="1">
      <c r="A1278" s="2551">
        <v>4076271</v>
      </c>
      <c r="B1278" s="2551" t="s">
        <v>7894</v>
      </c>
      <c r="C1278" s="2551">
        <v>16</v>
      </c>
      <c r="D1278" s="2551" t="s">
        <v>7872</v>
      </c>
      <c r="E1278" s="2550" t="s">
        <v>7780</v>
      </c>
      <c r="F1278" s="2551">
        <v>29</v>
      </c>
      <c r="G1278" s="2559">
        <v>358426</v>
      </c>
      <c r="H1278" s="2551">
        <v>0</v>
      </c>
      <c r="J1278" s="2551">
        <v>29</v>
      </c>
      <c r="K1278" s="2553" t="s">
        <v>1525</v>
      </c>
      <c r="L1278" s="2551" t="e">
        <f t="shared" si="19"/>
        <v>#N/A</v>
      </c>
      <c r="W1278" s="2979"/>
    </row>
    <row r="1279" spans="1:23" hidden="1">
      <c r="A1279" s="2551">
        <v>4076281</v>
      </c>
      <c r="B1279" s="2551" t="s">
        <v>5608</v>
      </c>
      <c r="C1279" s="2551">
        <v>16</v>
      </c>
      <c r="D1279" s="2551" t="s">
        <v>7844</v>
      </c>
      <c r="E1279" s="2550" t="s">
        <v>7780</v>
      </c>
      <c r="F1279" s="2551">
        <v>38</v>
      </c>
      <c r="G1279" s="2559">
        <v>5973</v>
      </c>
      <c r="H1279" s="2551">
        <v>500</v>
      </c>
      <c r="J1279" s="2551">
        <v>29</v>
      </c>
      <c r="K1279" s="2553" t="s">
        <v>1525</v>
      </c>
      <c r="L1279" s="2551" t="e">
        <f t="shared" si="19"/>
        <v>#N/A</v>
      </c>
      <c r="W1279" s="2979"/>
    </row>
    <row r="1280" spans="1:23" hidden="1">
      <c r="A1280" s="2551">
        <v>4076290</v>
      </c>
      <c r="B1280" s="2957" t="s">
        <v>5609</v>
      </c>
      <c r="C1280" s="2569">
        <v>16</v>
      </c>
      <c r="D1280" s="2569" t="s">
        <v>7819</v>
      </c>
      <c r="E1280" s="2550" t="s">
        <v>7780</v>
      </c>
      <c r="F1280" s="2569">
        <v>37</v>
      </c>
      <c r="G1280" s="2559">
        <v>256446</v>
      </c>
      <c r="H1280" s="2559">
        <v>2150</v>
      </c>
      <c r="J1280" s="2551">
        <v>29</v>
      </c>
      <c r="K1280" s="2553" t="s">
        <v>1525</v>
      </c>
      <c r="L1280" s="2551" t="e">
        <f t="shared" si="19"/>
        <v>#N/A</v>
      </c>
      <c r="W1280" s="2979"/>
    </row>
    <row r="1281" spans="1:23" hidden="1">
      <c r="A1281" s="2551">
        <v>4079110</v>
      </c>
      <c r="B1281" s="2957" t="s">
        <v>5625</v>
      </c>
      <c r="C1281" s="2569">
        <v>16</v>
      </c>
      <c r="D1281" s="2569" t="s">
        <v>7819</v>
      </c>
      <c r="E1281" s="2550" t="s">
        <v>7780</v>
      </c>
      <c r="F1281" s="2569">
        <v>37</v>
      </c>
      <c r="G1281" s="2559">
        <v>-50592.51</v>
      </c>
      <c r="H1281" s="2551">
        <v>0</v>
      </c>
      <c r="J1281" s="2551">
        <v>29</v>
      </c>
      <c r="K1281" s="2553" t="s">
        <v>1525</v>
      </c>
      <c r="L1281" s="2551" t="e">
        <f t="shared" si="19"/>
        <v>#N/A</v>
      </c>
      <c r="W1281" s="2979"/>
    </row>
    <row r="1282" spans="1:23" hidden="1">
      <c r="A1282" s="2551">
        <v>4079120</v>
      </c>
      <c r="B1282" s="2957" t="s">
        <v>5610</v>
      </c>
      <c r="C1282" s="2569">
        <v>16</v>
      </c>
      <c r="D1282" s="2569" t="s">
        <v>7819</v>
      </c>
      <c r="E1282" s="2550" t="s">
        <v>7780</v>
      </c>
      <c r="F1282" s="2569">
        <v>37</v>
      </c>
      <c r="G1282" s="2559">
        <v>-39142439.259999998</v>
      </c>
      <c r="H1282" s="2559">
        <v>7802.47</v>
      </c>
      <c r="J1282" s="2551">
        <v>29</v>
      </c>
      <c r="K1282" s="2553" t="s">
        <v>1525</v>
      </c>
      <c r="L1282" s="2551" t="e">
        <f t="shared" si="19"/>
        <v>#N/A</v>
      </c>
      <c r="W1282" s="2979"/>
    </row>
    <row r="1283" spans="1:23" hidden="1">
      <c r="A1283" s="2551">
        <v>4079510</v>
      </c>
      <c r="B1283" s="2957" t="s">
        <v>7895</v>
      </c>
      <c r="C1283" s="2569">
        <v>16</v>
      </c>
      <c r="D1283" s="2569" t="s">
        <v>7819</v>
      </c>
      <c r="E1283" s="2550" t="s">
        <v>7780</v>
      </c>
      <c r="F1283" s="2569">
        <v>37</v>
      </c>
      <c r="G1283" s="2559">
        <v>1689160</v>
      </c>
      <c r="H1283" s="2551">
        <v>0</v>
      </c>
      <c r="J1283" s="2551">
        <v>29</v>
      </c>
      <c r="K1283" s="2553" t="s">
        <v>1525</v>
      </c>
      <c r="L1283" s="2551" t="e">
        <f t="shared" si="19"/>
        <v>#N/A</v>
      </c>
      <c r="N1283" s="2551" t="s">
        <v>7896</v>
      </c>
      <c r="O1283" s="2553"/>
      <c r="W1283" s="2979"/>
    </row>
    <row r="1284" spans="1:23" hidden="1">
      <c r="A1284" s="2551">
        <v>4076158</v>
      </c>
      <c r="B1284" s="2842" t="s">
        <v>5587</v>
      </c>
      <c r="C1284" s="2569">
        <v>16</v>
      </c>
      <c r="D1284" s="2569" t="s">
        <v>7819</v>
      </c>
      <c r="E1284" s="2550" t="s">
        <v>7780</v>
      </c>
      <c r="F1284" s="2569">
        <v>37</v>
      </c>
      <c r="G1284" s="2559">
        <v>39386728.780000001</v>
      </c>
      <c r="H1284" s="2559">
        <v>8117179.3799999999</v>
      </c>
      <c r="J1284" s="2551">
        <v>29</v>
      </c>
      <c r="K1284" s="2553" t="s">
        <v>1525</v>
      </c>
      <c r="L1284" s="2551" t="e">
        <f t="shared" ref="L1284:L1333" si="20">VLOOKUP(A1284,P:P,1,0)</f>
        <v>#N/A</v>
      </c>
      <c r="O1284" s="2553"/>
      <c r="W1284" s="2979"/>
    </row>
    <row r="1285" spans="1:23" hidden="1">
      <c r="A1285" s="2551">
        <v>4076111</v>
      </c>
      <c r="B1285" s="2551" t="s">
        <v>5562</v>
      </c>
      <c r="C1285" s="2551">
        <v>16</v>
      </c>
      <c r="D1285" s="2551" t="s">
        <v>7897</v>
      </c>
      <c r="E1285" s="2550" t="s">
        <v>7780</v>
      </c>
      <c r="F1285" s="2551">
        <v>32</v>
      </c>
      <c r="G1285" s="2559">
        <v>10068572.890000001</v>
      </c>
      <c r="H1285" s="2559">
        <v>1317377.67</v>
      </c>
      <c r="J1285" s="2551">
        <v>29</v>
      </c>
      <c r="K1285" s="2553" t="s">
        <v>1525</v>
      </c>
      <c r="L1285" s="2551" t="e">
        <f t="shared" si="20"/>
        <v>#N/A</v>
      </c>
      <c r="O1285" s="2553"/>
      <c r="W1285" s="2979"/>
    </row>
    <row r="1286" spans="1:23" hidden="1">
      <c r="A1286" s="2551">
        <v>4076112</v>
      </c>
      <c r="B1286" s="2551" t="s">
        <v>7898</v>
      </c>
      <c r="C1286" s="2551">
        <v>16</v>
      </c>
      <c r="D1286" s="2551" t="s">
        <v>7897</v>
      </c>
      <c r="E1286" s="2550" t="s">
        <v>7780</v>
      </c>
      <c r="F1286" s="2551">
        <v>32</v>
      </c>
      <c r="G1286" s="2559">
        <v>4289308</v>
      </c>
      <c r="H1286" s="2559">
        <v>136058</v>
      </c>
      <c r="J1286" s="2551">
        <v>29</v>
      </c>
      <c r="K1286" s="2553" t="s">
        <v>1525</v>
      </c>
      <c r="L1286" s="2551" t="e">
        <f t="shared" si="20"/>
        <v>#N/A</v>
      </c>
      <c r="O1286" s="2553"/>
      <c r="W1286" s="2979"/>
    </row>
    <row r="1287" spans="1:23" hidden="1">
      <c r="A1287" s="2551">
        <v>4076168</v>
      </c>
      <c r="B1287" s="2957" t="s">
        <v>5594</v>
      </c>
      <c r="C1287" s="2569">
        <v>16</v>
      </c>
      <c r="D1287" s="2569" t="s">
        <v>7819</v>
      </c>
      <c r="E1287" s="2550" t="s">
        <v>7780</v>
      </c>
      <c r="F1287" s="2569">
        <v>37</v>
      </c>
      <c r="G1287" s="2559">
        <v>46150</v>
      </c>
      <c r="H1287" s="2559">
        <v>17124</v>
      </c>
      <c r="J1287" s="2551">
        <v>29</v>
      </c>
      <c r="K1287" s="2553" t="s">
        <v>1525</v>
      </c>
      <c r="L1287" s="2551" t="e">
        <f t="shared" si="20"/>
        <v>#N/A</v>
      </c>
      <c r="O1287" s="2553"/>
      <c r="W1287" s="2979"/>
    </row>
    <row r="1288" spans="1:23" hidden="1">
      <c r="A1288" s="2551">
        <v>4076104</v>
      </c>
      <c r="B1288" s="2957" t="s">
        <v>7899</v>
      </c>
      <c r="C1288" s="2569">
        <v>16</v>
      </c>
      <c r="D1288" s="2569" t="s">
        <v>7819</v>
      </c>
      <c r="E1288" s="2550" t="s">
        <v>7780</v>
      </c>
      <c r="F1288" s="2569">
        <v>37</v>
      </c>
      <c r="G1288" s="2559">
        <v>128187</v>
      </c>
      <c r="H1288" s="2551">
        <v>0</v>
      </c>
      <c r="J1288" s="2551">
        <v>29</v>
      </c>
      <c r="K1288" s="2553" t="s">
        <v>1525</v>
      </c>
      <c r="L1288" s="2551" t="e">
        <f t="shared" si="20"/>
        <v>#N/A</v>
      </c>
      <c r="O1288" s="2553"/>
      <c r="W1288" s="2979"/>
    </row>
    <row r="1289" spans="1:23" hidden="1">
      <c r="A1289" s="2551">
        <v>4076109</v>
      </c>
      <c r="B1289" s="2842" t="s">
        <v>7900</v>
      </c>
      <c r="C1289" s="2569">
        <v>16</v>
      </c>
      <c r="D1289" s="2569" t="s">
        <v>7819</v>
      </c>
      <c r="E1289" s="2550" t="s">
        <v>7780</v>
      </c>
      <c r="F1289" s="2569">
        <v>37</v>
      </c>
      <c r="G1289" s="2559">
        <v>35448320.939999998</v>
      </c>
      <c r="H1289" s="2559">
        <v>22950.59</v>
      </c>
      <c r="J1289" s="2551">
        <v>29</v>
      </c>
      <c r="K1289" s="2553" t="s">
        <v>1525</v>
      </c>
      <c r="L1289" s="2551" t="e">
        <f t="shared" si="20"/>
        <v>#N/A</v>
      </c>
      <c r="O1289" s="2553"/>
      <c r="W1289" s="2979"/>
    </row>
    <row r="1290" spans="1:23" hidden="1">
      <c r="A1290" s="2551">
        <v>4076131</v>
      </c>
      <c r="B1290" s="2551" t="s">
        <v>5573</v>
      </c>
      <c r="C1290" s="2551">
        <v>16</v>
      </c>
      <c r="D1290" s="2551" t="s">
        <v>7901</v>
      </c>
      <c r="E1290" s="2550" t="s">
        <v>7780</v>
      </c>
      <c r="F1290" s="2551">
        <v>33</v>
      </c>
      <c r="G1290" s="2559">
        <v>1314924</v>
      </c>
      <c r="H1290" s="2559">
        <v>721480</v>
      </c>
      <c r="J1290" s="2551">
        <v>29</v>
      </c>
      <c r="K1290" s="2553" t="s">
        <v>1525</v>
      </c>
      <c r="L1290" s="2551" t="e">
        <f t="shared" si="20"/>
        <v>#N/A</v>
      </c>
      <c r="O1290" s="2553"/>
      <c r="W1290" s="2979"/>
    </row>
    <row r="1291" spans="1:23" hidden="1">
      <c r="A1291" s="2551">
        <v>4076132</v>
      </c>
      <c r="B1291" s="2551" t="s">
        <v>5574</v>
      </c>
      <c r="C1291" s="2551">
        <v>16</v>
      </c>
      <c r="D1291" s="2551" t="s">
        <v>7901</v>
      </c>
      <c r="E1291" s="2550" t="s">
        <v>7780</v>
      </c>
      <c r="F1291" s="2551">
        <v>33</v>
      </c>
      <c r="G1291" s="2559">
        <v>5815026</v>
      </c>
      <c r="H1291" s="2559">
        <v>1153516</v>
      </c>
      <c r="J1291" s="2551">
        <v>29</v>
      </c>
      <c r="K1291" s="2553" t="s">
        <v>1525</v>
      </c>
      <c r="L1291" s="2551" t="e">
        <f t="shared" si="20"/>
        <v>#N/A</v>
      </c>
      <c r="O1291" s="2553"/>
      <c r="W1291" s="2979"/>
    </row>
    <row r="1292" spans="1:23" hidden="1">
      <c r="A1292" s="2551">
        <v>4076133</v>
      </c>
      <c r="B1292" s="2551" t="s">
        <v>7902</v>
      </c>
      <c r="C1292" s="2551">
        <v>16</v>
      </c>
      <c r="D1292" s="2551" t="s">
        <v>7901</v>
      </c>
      <c r="E1292" s="2550" t="s">
        <v>7780</v>
      </c>
      <c r="F1292" s="2551">
        <v>33</v>
      </c>
      <c r="G1292" s="2559">
        <v>9082919</v>
      </c>
      <c r="H1292" s="2559">
        <v>180465</v>
      </c>
      <c r="J1292" s="2551">
        <v>29</v>
      </c>
      <c r="K1292" s="2553" t="s">
        <v>1525</v>
      </c>
      <c r="L1292" s="2551" t="e">
        <f t="shared" si="20"/>
        <v>#N/A</v>
      </c>
      <c r="O1292" s="2553"/>
      <c r="W1292" s="2979"/>
    </row>
    <row r="1293" spans="1:23" hidden="1">
      <c r="A1293" s="2551">
        <v>4076134</v>
      </c>
      <c r="B1293" s="2551" t="s">
        <v>5576</v>
      </c>
      <c r="C1293" s="2551">
        <v>16</v>
      </c>
      <c r="D1293" s="2551" t="s">
        <v>7901</v>
      </c>
      <c r="E1293" s="2550" t="s">
        <v>7780</v>
      </c>
      <c r="F1293" s="2551">
        <v>33</v>
      </c>
      <c r="G1293" s="2559">
        <v>137665</v>
      </c>
      <c r="H1293" s="2559">
        <v>11100</v>
      </c>
      <c r="J1293" s="2551">
        <v>29</v>
      </c>
      <c r="K1293" s="2553" t="s">
        <v>1525</v>
      </c>
      <c r="L1293" s="2551" t="e">
        <f t="shared" si="20"/>
        <v>#N/A</v>
      </c>
      <c r="O1293" s="2553"/>
      <c r="W1293" s="2979"/>
    </row>
    <row r="1294" spans="1:23" hidden="1">
      <c r="A1294" s="2551">
        <v>4076136</v>
      </c>
      <c r="B1294" s="2551" t="s">
        <v>7903</v>
      </c>
      <c r="C1294" s="2551">
        <v>16</v>
      </c>
      <c r="D1294" s="2551" t="s">
        <v>7901</v>
      </c>
      <c r="E1294" s="2550" t="s">
        <v>7780</v>
      </c>
      <c r="F1294" s="2551">
        <v>33</v>
      </c>
      <c r="G1294" s="2559">
        <v>16754100.869999999</v>
      </c>
      <c r="H1294" s="2559">
        <v>9788296</v>
      </c>
      <c r="J1294" s="2551">
        <v>29</v>
      </c>
      <c r="K1294" s="2553" t="s">
        <v>1525</v>
      </c>
      <c r="L1294" s="2551" t="e">
        <f t="shared" si="20"/>
        <v>#N/A</v>
      </c>
      <c r="O1294" s="2553"/>
      <c r="W1294" s="2979"/>
    </row>
    <row r="1295" spans="1:23" hidden="1">
      <c r="A1295" s="2551">
        <v>4076137</v>
      </c>
      <c r="B1295" s="2551" t="s">
        <v>5578</v>
      </c>
      <c r="C1295" s="2551">
        <v>16</v>
      </c>
      <c r="D1295" s="2551" t="s">
        <v>7901</v>
      </c>
      <c r="E1295" s="2550" t="s">
        <v>7780</v>
      </c>
      <c r="F1295" s="2551">
        <v>33</v>
      </c>
      <c r="G1295" s="2559">
        <v>111238521.37</v>
      </c>
      <c r="H1295" s="2559">
        <v>21314317.920000002</v>
      </c>
      <c r="J1295" s="2551">
        <v>29</v>
      </c>
      <c r="K1295" s="2553" t="s">
        <v>1525</v>
      </c>
      <c r="L1295" s="2551" t="e">
        <f t="shared" si="20"/>
        <v>#N/A</v>
      </c>
      <c r="O1295" s="2553"/>
      <c r="W1295" s="2979"/>
    </row>
    <row r="1296" spans="1:23" hidden="1">
      <c r="A1296" s="2551">
        <v>4076164</v>
      </c>
      <c r="B1296" s="2842" t="s">
        <v>5590</v>
      </c>
      <c r="C1296" s="2569">
        <v>16</v>
      </c>
      <c r="D1296" s="2569" t="s">
        <v>7819</v>
      </c>
      <c r="E1296" s="2550" t="s">
        <v>7780</v>
      </c>
      <c r="F1296" s="2569">
        <v>37</v>
      </c>
      <c r="G1296" s="2551">
        <v>0</v>
      </c>
      <c r="H1296" s="2559">
        <v>243137</v>
      </c>
      <c r="J1296" s="2551">
        <v>29</v>
      </c>
      <c r="K1296" s="2553" t="s">
        <v>1525</v>
      </c>
      <c r="L1296" s="2551" t="e">
        <f t="shared" si="20"/>
        <v>#N/A</v>
      </c>
      <c r="O1296" s="2553"/>
      <c r="W1296" s="2979"/>
    </row>
    <row r="1297" spans="1:23" hidden="1">
      <c r="A1297" s="2551">
        <v>4076165</v>
      </c>
      <c r="B1297" s="2842" t="s">
        <v>5591</v>
      </c>
      <c r="C1297" s="2569">
        <v>16</v>
      </c>
      <c r="D1297" s="2569" t="s">
        <v>7819</v>
      </c>
      <c r="E1297" s="2550" t="s">
        <v>7780</v>
      </c>
      <c r="F1297" s="2569">
        <v>37</v>
      </c>
      <c r="G1297" s="2559">
        <v>7237966.6699999999</v>
      </c>
      <c r="H1297" s="2559">
        <v>778295</v>
      </c>
      <c r="J1297" s="2551">
        <v>29</v>
      </c>
      <c r="K1297" s="2553" t="s">
        <v>1525</v>
      </c>
      <c r="L1297" s="2551" t="e">
        <f t="shared" si="20"/>
        <v>#N/A</v>
      </c>
      <c r="O1297" s="2553"/>
      <c r="W1297" s="2979"/>
    </row>
    <row r="1298" spans="1:23" hidden="1">
      <c r="A1298" s="2551">
        <v>4076166</v>
      </c>
      <c r="B1298" s="2842" t="s">
        <v>5592</v>
      </c>
      <c r="C1298" s="2569">
        <v>16</v>
      </c>
      <c r="D1298" s="2569" t="s">
        <v>7819</v>
      </c>
      <c r="E1298" s="2550" t="s">
        <v>7780</v>
      </c>
      <c r="F1298" s="2569">
        <v>37</v>
      </c>
      <c r="G1298" s="2559">
        <v>739780</v>
      </c>
      <c r="H1298" s="2559">
        <v>323243.65999999997</v>
      </c>
      <c r="J1298" s="2551">
        <v>29</v>
      </c>
      <c r="K1298" s="2553" t="s">
        <v>1525</v>
      </c>
      <c r="L1298" s="2551" t="e">
        <f t="shared" si="20"/>
        <v>#N/A</v>
      </c>
      <c r="O1298" s="2553"/>
      <c r="W1298" s="2979"/>
    </row>
    <row r="1299" spans="1:23" hidden="1">
      <c r="A1299" s="2551">
        <v>4076167</v>
      </c>
      <c r="B1299" s="2842" t="s">
        <v>5593</v>
      </c>
      <c r="C1299" s="2569">
        <v>16</v>
      </c>
      <c r="D1299" s="2569" t="s">
        <v>7819</v>
      </c>
      <c r="E1299" s="2550" t="s">
        <v>7780</v>
      </c>
      <c r="F1299" s="2569">
        <v>37</v>
      </c>
      <c r="G1299" s="2559">
        <v>777958</v>
      </c>
      <c r="H1299" s="2559">
        <v>2248775</v>
      </c>
      <c r="J1299" s="2551">
        <v>29</v>
      </c>
      <c r="K1299" s="2553" t="s">
        <v>1525</v>
      </c>
      <c r="L1299" s="2551" t="e">
        <f t="shared" si="20"/>
        <v>#N/A</v>
      </c>
      <c r="O1299" s="2553"/>
      <c r="W1299" s="2979"/>
    </row>
    <row r="1300" spans="1:23" hidden="1">
      <c r="A1300" s="2551">
        <v>4079410</v>
      </c>
      <c r="B1300" s="2551" t="s">
        <v>7904</v>
      </c>
      <c r="C1300" s="2569">
        <v>16</v>
      </c>
      <c r="D1300" s="2569" t="s">
        <v>7905</v>
      </c>
      <c r="E1300" s="2550" t="s">
        <v>7780</v>
      </c>
      <c r="F1300" s="2569">
        <v>41</v>
      </c>
      <c r="G1300" s="2559">
        <v>165462988.06999999</v>
      </c>
      <c r="H1300" s="2559">
        <v>35330351</v>
      </c>
      <c r="J1300" s="2551">
        <v>29</v>
      </c>
      <c r="K1300" s="2553" t="s">
        <v>1525</v>
      </c>
      <c r="L1300" s="2551" t="e">
        <f t="shared" si="20"/>
        <v>#N/A</v>
      </c>
      <c r="O1300" s="2553" t="s">
        <v>7896</v>
      </c>
      <c r="W1300" s="2979"/>
    </row>
    <row r="1301" spans="1:23" hidden="1">
      <c r="A1301" s="2551">
        <v>4079571</v>
      </c>
      <c r="B1301" s="2957" t="s">
        <v>5627</v>
      </c>
      <c r="C1301" s="2569">
        <v>16</v>
      </c>
      <c r="D1301" s="2569" t="s">
        <v>7819</v>
      </c>
      <c r="E1301" s="2550" t="s">
        <v>7780</v>
      </c>
      <c r="F1301" s="2569">
        <v>37</v>
      </c>
      <c r="G1301" s="2559">
        <v>21418022.25</v>
      </c>
      <c r="H1301" s="2551">
        <v>0</v>
      </c>
      <c r="J1301" s="2551">
        <v>29</v>
      </c>
      <c r="K1301" s="2553" t="s">
        <v>1525</v>
      </c>
      <c r="L1301" s="2551" t="e">
        <f t="shared" si="20"/>
        <v>#N/A</v>
      </c>
      <c r="N1301" s="2551" t="s">
        <v>7702</v>
      </c>
      <c r="O1301" s="2553" t="s">
        <v>7896</v>
      </c>
      <c r="W1301" s="2979"/>
    </row>
    <row r="1302" spans="1:23" hidden="1">
      <c r="A1302" s="2551">
        <v>4076103</v>
      </c>
      <c r="B1302" s="2551" t="s">
        <v>7906</v>
      </c>
      <c r="C1302" s="2551">
        <v>16</v>
      </c>
      <c r="D1302" s="2551" t="s">
        <v>7867</v>
      </c>
      <c r="E1302" s="2550" t="s">
        <v>7780</v>
      </c>
      <c r="F1302" s="2551">
        <v>28</v>
      </c>
      <c r="G1302" s="2559">
        <v>21674</v>
      </c>
      <c r="H1302" s="2551">
        <v>0</v>
      </c>
      <c r="J1302" s="2551">
        <v>29</v>
      </c>
      <c r="K1302" s="2553" t="s">
        <v>1525</v>
      </c>
      <c r="L1302" s="2551" t="e">
        <f t="shared" si="20"/>
        <v>#N/A</v>
      </c>
      <c r="W1302" s="2979"/>
    </row>
    <row r="1303" spans="1:23" hidden="1">
      <c r="A1303" s="2551">
        <v>4076151</v>
      </c>
      <c r="B1303" s="2551" t="s">
        <v>1082</v>
      </c>
      <c r="C1303" s="2551">
        <v>16</v>
      </c>
      <c r="D1303" s="2551" t="s">
        <v>7844</v>
      </c>
      <c r="E1303" s="2550" t="s">
        <v>7780</v>
      </c>
      <c r="F1303" s="2551">
        <v>38</v>
      </c>
      <c r="G1303" s="2559">
        <v>3353755</v>
      </c>
      <c r="H1303" s="2551">
        <v>0</v>
      </c>
      <c r="J1303" s="2551">
        <v>29</v>
      </c>
      <c r="K1303" s="2553" t="s">
        <v>1525</v>
      </c>
      <c r="L1303" s="2551" t="e">
        <f t="shared" si="20"/>
        <v>#N/A</v>
      </c>
      <c r="W1303" s="2979"/>
    </row>
    <row r="1304" spans="1:23" hidden="1">
      <c r="A1304" s="2551">
        <v>4076152</v>
      </c>
      <c r="B1304" s="2842" t="s">
        <v>1083</v>
      </c>
      <c r="C1304" s="2569">
        <v>16</v>
      </c>
      <c r="D1304" s="2569" t="s">
        <v>7819</v>
      </c>
      <c r="E1304" s="2550" t="s">
        <v>7780</v>
      </c>
      <c r="F1304" s="2569">
        <v>37</v>
      </c>
      <c r="G1304" s="2559">
        <v>289867</v>
      </c>
      <c r="H1304" s="2559">
        <v>48583</v>
      </c>
      <c r="J1304" s="2551">
        <v>29</v>
      </c>
      <c r="K1304" s="2553" t="s">
        <v>1525</v>
      </c>
      <c r="L1304" s="2551" t="e">
        <f t="shared" si="20"/>
        <v>#N/A</v>
      </c>
      <c r="W1304" s="2979"/>
    </row>
    <row r="1305" spans="1:23" hidden="1">
      <c r="A1305" s="2551">
        <v>4076153</v>
      </c>
      <c r="B1305" s="2842" t="s">
        <v>1024</v>
      </c>
      <c r="C1305" s="2569">
        <v>16</v>
      </c>
      <c r="D1305" s="2569" t="s">
        <v>7819</v>
      </c>
      <c r="E1305" s="2550" t="s">
        <v>7780</v>
      </c>
      <c r="F1305" s="2569">
        <v>37</v>
      </c>
      <c r="G1305" s="2559">
        <v>8798365.7899999991</v>
      </c>
      <c r="H1305" s="2559">
        <v>891599</v>
      </c>
      <c r="J1305" s="2551">
        <v>29</v>
      </c>
      <c r="K1305" s="2553" t="s">
        <v>1525</v>
      </c>
      <c r="L1305" s="2551" t="e">
        <f t="shared" si="20"/>
        <v>#N/A</v>
      </c>
      <c r="W1305" s="2979"/>
    </row>
    <row r="1306" spans="1:23" hidden="1">
      <c r="A1306" s="2551">
        <v>4076157</v>
      </c>
      <c r="B1306" s="2842" t="s">
        <v>7907</v>
      </c>
      <c r="C1306" s="2569">
        <v>16</v>
      </c>
      <c r="D1306" s="2569" t="s">
        <v>7819</v>
      </c>
      <c r="E1306" s="2550" t="s">
        <v>7780</v>
      </c>
      <c r="F1306" s="2569">
        <v>37</v>
      </c>
      <c r="G1306" s="2559">
        <v>3361838</v>
      </c>
      <c r="H1306" s="2551">
        <v>750</v>
      </c>
      <c r="J1306" s="2551">
        <v>29</v>
      </c>
      <c r="K1306" s="2553" t="s">
        <v>1525</v>
      </c>
      <c r="L1306" s="2551" t="e">
        <f t="shared" si="20"/>
        <v>#N/A</v>
      </c>
      <c r="W1306" s="2979"/>
    </row>
    <row r="1307" spans="1:23" hidden="1">
      <c r="A1307" s="2551">
        <v>4076160</v>
      </c>
      <c r="B1307" s="2957" t="s">
        <v>5588</v>
      </c>
      <c r="C1307" s="2569">
        <v>16</v>
      </c>
      <c r="D1307" s="2569" t="s">
        <v>7819</v>
      </c>
      <c r="E1307" s="2550" t="s">
        <v>7780</v>
      </c>
      <c r="F1307" s="2569">
        <v>37</v>
      </c>
      <c r="G1307" s="2559">
        <v>299687</v>
      </c>
      <c r="H1307" s="2559">
        <v>38520</v>
      </c>
      <c r="J1307" s="2551">
        <v>29</v>
      </c>
      <c r="K1307" s="2553" t="s">
        <v>1525</v>
      </c>
      <c r="L1307" s="2551" t="e">
        <f t="shared" si="20"/>
        <v>#N/A</v>
      </c>
      <c r="W1307" s="2979"/>
    </row>
    <row r="1308" spans="1:23" hidden="1">
      <c r="A1308" s="2551">
        <v>4076162</v>
      </c>
      <c r="B1308" s="2957" t="s">
        <v>7908</v>
      </c>
      <c r="C1308" s="2569">
        <v>16</v>
      </c>
      <c r="D1308" s="2569" t="s">
        <v>7819</v>
      </c>
      <c r="E1308" s="2550" t="s">
        <v>7780</v>
      </c>
      <c r="F1308" s="2569">
        <v>37</v>
      </c>
      <c r="G1308" s="2559">
        <v>189119</v>
      </c>
      <c r="H1308" s="2559">
        <v>48000</v>
      </c>
      <c r="J1308" s="2551">
        <v>29</v>
      </c>
      <c r="K1308" s="2553" t="s">
        <v>1525</v>
      </c>
      <c r="L1308" s="2551" t="e">
        <f t="shared" si="20"/>
        <v>#N/A</v>
      </c>
      <c r="W1308" s="2979"/>
    </row>
    <row r="1309" spans="1:23" hidden="1">
      <c r="A1309" s="2551">
        <v>4076169</v>
      </c>
      <c r="B1309" s="2842" t="s">
        <v>5595</v>
      </c>
      <c r="C1309" s="2551">
        <v>16</v>
      </c>
      <c r="D1309" s="2551" t="s">
        <v>7909</v>
      </c>
      <c r="E1309" s="2550" t="s">
        <v>7780</v>
      </c>
      <c r="F1309" s="2551">
        <v>36</v>
      </c>
      <c r="G1309" s="2559">
        <v>20880505.760000002</v>
      </c>
      <c r="H1309" s="2559">
        <v>5527770.3700000001</v>
      </c>
      <c r="J1309" s="2551">
        <v>29</v>
      </c>
      <c r="K1309" s="2553" t="s">
        <v>1525</v>
      </c>
      <c r="L1309" s="2551" t="e">
        <f t="shared" si="20"/>
        <v>#N/A</v>
      </c>
      <c r="W1309" s="2979"/>
    </row>
    <row r="1310" spans="1:23" hidden="1">
      <c r="A1310" s="2551">
        <v>4076170</v>
      </c>
      <c r="B1310" s="2957" t="s">
        <v>7910</v>
      </c>
      <c r="C1310" s="2569">
        <v>16</v>
      </c>
      <c r="D1310" s="2569" t="s">
        <v>7819</v>
      </c>
      <c r="E1310" s="2550" t="s">
        <v>7780</v>
      </c>
      <c r="F1310" s="2569">
        <v>37</v>
      </c>
      <c r="G1310" s="2559">
        <v>1128055</v>
      </c>
      <c r="H1310" s="2559">
        <v>2342632</v>
      </c>
      <c r="J1310" s="2551">
        <v>29</v>
      </c>
      <c r="K1310" s="2553" t="s">
        <v>1525</v>
      </c>
      <c r="L1310" s="2551" t="e">
        <f t="shared" si="20"/>
        <v>#N/A</v>
      </c>
      <c r="W1310" s="2979"/>
    </row>
    <row r="1311" spans="1:23" hidden="1">
      <c r="A1311" s="2551">
        <v>4076172</v>
      </c>
      <c r="B1311" s="2842" t="s">
        <v>5622</v>
      </c>
      <c r="C1311" s="2551">
        <v>16</v>
      </c>
      <c r="D1311" s="2551" t="s">
        <v>7911</v>
      </c>
      <c r="E1311" s="2550" t="s">
        <v>7780</v>
      </c>
      <c r="F1311" s="2551">
        <v>35</v>
      </c>
      <c r="G1311" s="2836">
        <v>48373261.32</v>
      </c>
      <c r="H1311" s="2551">
        <v>0</v>
      </c>
      <c r="J1311" s="2551">
        <v>29</v>
      </c>
      <c r="K1311" s="2553" t="s">
        <v>1525</v>
      </c>
      <c r="L1311" s="2551" t="e">
        <f t="shared" si="20"/>
        <v>#N/A</v>
      </c>
      <c r="W1311" s="2979"/>
    </row>
    <row r="1312" spans="1:23" hidden="1">
      <c r="A1312" s="2551">
        <v>4076173</v>
      </c>
      <c r="B1312" s="2957" t="s">
        <v>5623</v>
      </c>
      <c r="C1312" s="2569">
        <v>16</v>
      </c>
      <c r="D1312" s="2569" t="s">
        <v>7819</v>
      </c>
      <c r="E1312" s="2550" t="s">
        <v>7780</v>
      </c>
      <c r="F1312" s="2569">
        <v>37</v>
      </c>
      <c r="G1312" s="2559">
        <v>10825803.640000001</v>
      </c>
      <c r="H1312" s="2551">
        <v>0</v>
      </c>
      <c r="J1312" s="2551">
        <v>29</v>
      </c>
      <c r="K1312" s="2553" t="s">
        <v>1525</v>
      </c>
      <c r="L1312" s="2551" t="e">
        <f t="shared" si="20"/>
        <v>#N/A</v>
      </c>
      <c r="W1312" s="2979"/>
    </row>
    <row r="1313" spans="1:23" hidden="1">
      <c r="A1313" s="2551">
        <v>4076174</v>
      </c>
      <c r="B1313" s="2957" t="s">
        <v>7912</v>
      </c>
      <c r="C1313" s="2569">
        <v>16</v>
      </c>
      <c r="D1313" s="2569" t="s">
        <v>7819</v>
      </c>
      <c r="E1313" s="2550" t="s">
        <v>7780</v>
      </c>
      <c r="F1313" s="2569">
        <v>37</v>
      </c>
      <c r="G1313" s="2559">
        <v>44490</v>
      </c>
      <c r="H1313" s="2551">
        <v>0</v>
      </c>
      <c r="J1313" s="2551">
        <v>29</v>
      </c>
      <c r="K1313" s="2553" t="s">
        <v>1525</v>
      </c>
      <c r="L1313" s="2551" t="e">
        <f t="shared" si="20"/>
        <v>#N/A</v>
      </c>
      <c r="W1313" s="2979"/>
    </row>
    <row r="1314" spans="1:23" hidden="1">
      <c r="A1314" s="2551">
        <v>4076175</v>
      </c>
      <c r="B1314" s="2957" t="s">
        <v>5598</v>
      </c>
      <c r="C1314" s="2569">
        <v>16</v>
      </c>
      <c r="D1314" s="2569" t="s">
        <v>7819</v>
      </c>
      <c r="E1314" s="2550" t="s">
        <v>7780</v>
      </c>
      <c r="F1314" s="2569">
        <v>37</v>
      </c>
      <c r="G1314" s="2559">
        <v>20000</v>
      </c>
      <c r="H1314" s="2559">
        <v>31819</v>
      </c>
      <c r="J1314" s="2551">
        <v>29</v>
      </c>
      <c r="K1314" s="2553" t="s">
        <v>1525</v>
      </c>
      <c r="L1314" s="2551" t="e">
        <f t="shared" si="20"/>
        <v>#N/A</v>
      </c>
      <c r="W1314" s="2979"/>
    </row>
    <row r="1315" spans="1:23" hidden="1">
      <c r="A1315" s="2551">
        <v>4076176</v>
      </c>
      <c r="B1315" s="2842" t="s">
        <v>5599</v>
      </c>
      <c r="C1315" s="2569">
        <v>16</v>
      </c>
      <c r="D1315" s="2569" t="s">
        <v>7819</v>
      </c>
      <c r="E1315" s="2550" t="s">
        <v>7780</v>
      </c>
      <c r="F1315" s="2569">
        <v>37</v>
      </c>
      <c r="G1315" s="2559">
        <v>4163908</v>
      </c>
      <c r="H1315" s="2559">
        <v>1739001.67</v>
      </c>
      <c r="J1315" s="2551">
        <v>29</v>
      </c>
      <c r="K1315" s="2553" t="s">
        <v>1525</v>
      </c>
      <c r="L1315" s="2551" t="e">
        <f t="shared" si="20"/>
        <v>#N/A</v>
      </c>
      <c r="W1315" s="2979"/>
    </row>
    <row r="1316" spans="1:23" hidden="1">
      <c r="A1316" s="2551">
        <v>4076177</v>
      </c>
      <c r="B1316" s="2842" t="s">
        <v>7913</v>
      </c>
      <c r="C1316" s="2569">
        <v>16</v>
      </c>
      <c r="D1316" s="2569" t="s">
        <v>7819</v>
      </c>
      <c r="E1316" s="2550" t="s">
        <v>7780</v>
      </c>
      <c r="F1316" s="2569">
        <v>37</v>
      </c>
      <c r="G1316" s="2559">
        <v>42203442</v>
      </c>
      <c r="H1316" s="2559">
        <v>9925413</v>
      </c>
      <c r="J1316" s="2551">
        <v>29</v>
      </c>
      <c r="K1316" s="2553" t="s">
        <v>1525</v>
      </c>
      <c r="L1316" s="2551" t="e">
        <f t="shared" si="20"/>
        <v>#N/A</v>
      </c>
      <c r="W1316" s="2979"/>
    </row>
    <row r="1317" spans="1:23" hidden="1">
      <c r="A1317" s="2551">
        <v>4076178</v>
      </c>
      <c r="B1317" s="2842" t="s">
        <v>3244</v>
      </c>
      <c r="C1317" s="2551">
        <v>16</v>
      </c>
      <c r="D1317" s="2551" t="s">
        <v>7911</v>
      </c>
      <c r="E1317" s="2550" t="s">
        <v>7780</v>
      </c>
      <c r="F1317" s="2551">
        <v>35</v>
      </c>
      <c r="G1317" s="2836">
        <v>226328215.90000001</v>
      </c>
      <c r="H1317" s="2559">
        <v>31584707</v>
      </c>
      <c r="J1317" s="2551">
        <v>29</v>
      </c>
      <c r="K1317" s="2553" t="s">
        <v>1525</v>
      </c>
      <c r="L1317" s="2551" t="e">
        <f t="shared" si="20"/>
        <v>#N/A</v>
      </c>
      <c r="W1317" s="2979"/>
    </row>
    <row r="1318" spans="1:23" hidden="1">
      <c r="A1318" s="2551">
        <v>4076190</v>
      </c>
      <c r="B1318" s="2957" t="s">
        <v>5602</v>
      </c>
      <c r="C1318" s="2569">
        <v>16</v>
      </c>
      <c r="D1318" s="2569" t="s">
        <v>7819</v>
      </c>
      <c r="E1318" s="2550" t="s">
        <v>7780</v>
      </c>
      <c r="F1318" s="2569">
        <v>37</v>
      </c>
      <c r="G1318" s="2559">
        <v>14336368.369999999</v>
      </c>
      <c r="H1318" s="2559">
        <v>1484400.79</v>
      </c>
      <c r="J1318" s="2551">
        <v>29</v>
      </c>
      <c r="K1318" s="2553" t="s">
        <v>1525</v>
      </c>
      <c r="L1318" s="2551" t="e">
        <f t="shared" si="20"/>
        <v>#N/A</v>
      </c>
      <c r="W1318" s="2979"/>
    </row>
    <row r="1319" spans="1:23" hidden="1">
      <c r="A1319" s="2551">
        <v>4047363</v>
      </c>
      <c r="B1319" s="2551" t="s">
        <v>7914</v>
      </c>
      <c r="C1319" s="2551">
        <v>16</v>
      </c>
      <c r="D1319" s="2551" t="s">
        <v>7872</v>
      </c>
      <c r="E1319" s="2550" t="s">
        <v>7780</v>
      </c>
      <c r="F1319" s="2551">
        <v>29</v>
      </c>
      <c r="G1319" s="2559">
        <v>10286547</v>
      </c>
      <c r="H1319" s="2551">
        <v>0</v>
      </c>
      <c r="J1319" s="2551">
        <v>29</v>
      </c>
      <c r="K1319" s="2553" t="s">
        <v>1525</v>
      </c>
      <c r="L1319" s="2551" t="e">
        <f t="shared" si="20"/>
        <v>#N/A</v>
      </c>
      <c r="W1319" s="2979"/>
    </row>
    <row r="1320" spans="1:23" hidden="1">
      <c r="A1320" s="2551">
        <v>4079531</v>
      </c>
      <c r="B1320" s="2551" t="s">
        <v>7915</v>
      </c>
      <c r="C1320" s="2551">
        <v>16</v>
      </c>
      <c r="D1320" s="2551" t="s">
        <v>7844</v>
      </c>
      <c r="E1320" s="2550" t="s">
        <v>7780</v>
      </c>
      <c r="F1320" s="2551">
        <v>38</v>
      </c>
      <c r="G1320" s="2559">
        <v>3220000</v>
      </c>
      <c r="H1320" s="2551">
        <v>0</v>
      </c>
      <c r="J1320" s="2551">
        <v>29</v>
      </c>
      <c r="K1320" s="2553" t="s">
        <v>1525</v>
      </c>
      <c r="L1320" s="2551" t="e">
        <f t="shared" si="20"/>
        <v>#N/A</v>
      </c>
      <c r="W1320" s="2979"/>
    </row>
    <row r="1321" spans="1:23" hidden="1">
      <c r="A1321" s="2551">
        <v>4079710</v>
      </c>
      <c r="B1321" s="2551" t="s">
        <v>7916</v>
      </c>
      <c r="C1321" s="2551">
        <v>18</v>
      </c>
      <c r="D1321" s="2551" t="s">
        <v>7916</v>
      </c>
      <c r="E1321" s="2550" t="s">
        <v>7780</v>
      </c>
      <c r="F1321" s="2551">
        <v>60</v>
      </c>
      <c r="G1321" s="2559">
        <v>97710054</v>
      </c>
      <c r="H1321" s="2551">
        <v>0</v>
      </c>
      <c r="J1321" s="2551">
        <v>29</v>
      </c>
      <c r="K1321" s="2553" t="s">
        <v>1525</v>
      </c>
      <c r="L1321" s="2551" t="e">
        <f t="shared" si="20"/>
        <v>#N/A</v>
      </c>
      <c r="W1321" s="2979"/>
    </row>
    <row r="1322" spans="1:23" hidden="1">
      <c r="A1322" s="2562">
        <v>4083810</v>
      </c>
      <c r="B1322" s="2562" t="s">
        <v>7917</v>
      </c>
      <c r="C1322" s="2562"/>
      <c r="D1322" s="2562" t="s">
        <v>6577</v>
      </c>
      <c r="E1322" s="2550" t="s">
        <v>7215</v>
      </c>
      <c r="F1322" s="2562">
        <v>113</v>
      </c>
      <c r="G1322" s="2570">
        <v>42958606</v>
      </c>
      <c r="H1322" s="2570">
        <v>0</v>
      </c>
      <c r="J1322" s="2551"/>
      <c r="L1322" s="2551" t="e">
        <f t="shared" si="20"/>
        <v>#N/A</v>
      </c>
      <c r="N1322" s="2551" t="s">
        <v>7702</v>
      </c>
      <c r="W1322" s="2979"/>
    </row>
    <row r="1323" spans="1:23" hidden="1">
      <c r="A1323" s="2551">
        <v>4075810</v>
      </c>
      <c r="B1323" s="2551" t="s">
        <v>7918</v>
      </c>
      <c r="C1323" s="2551" t="s">
        <v>7780</v>
      </c>
      <c r="D1323" s="2551" t="s">
        <v>7919</v>
      </c>
      <c r="E1323" s="2550" t="s">
        <v>7780</v>
      </c>
      <c r="F1323" s="2551">
        <v>62</v>
      </c>
      <c r="G1323" s="2552">
        <v>-43510094</v>
      </c>
      <c r="H1323" s="2552">
        <v>41881000</v>
      </c>
      <c r="J1323" s="2551"/>
      <c r="L1323" s="2551" t="e">
        <f t="shared" si="20"/>
        <v>#N/A</v>
      </c>
      <c r="W1323" s="2979"/>
    </row>
    <row r="1324" spans="1:23" hidden="1">
      <c r="A1324" s="2551">
        <v>4075811</v>
      </c>
      <c r="B1324" s="2551" t="s">
        <v>7920</v>
      </c>
      <c r="C1324" s="2551" t="s">
        <v>7780</v>
      </c>
      <c r="D1324" s="2551" t="s">
        <v>7919</v>
      </c>
      <c r="E1324" s="2550" t="s">
        <v>7780</v>
      </c>
      <c r="F1324" s="2551">
        <v>62</v>
      </c>
      <c r="G1324" s="2552">
        <v>122110022</v>
      </c>
      <c r="H1324" s="2552">
        <v>51547350</v>
      </c>
      <c r="J1324" s="2551"/>
      <c r="L1324" s="2551" t="e">
        <f t="shared" si="20"/>
        <v>#N/A</v>
      </c>
      <c r="W1324" s="2979"/>
    </row>
    <row r="1325" spans="1:23" hidden="1">
      <c r="A1325" s="2551">
        <v>4075812</v>
      </c>
      <c r="B1325" s="2551" t="s">
        <v>7921</v>
      </c>
      <c r="C1325" s="2551" t="s">
        <v>7780</v>
      </c>
      <c r="D1325" s="2551" t="s">
        <v>7919</v>
      </c>
      <c r="E1325" s="2550" t="s">
        <v>7780</v>
      </c>
      <c r="F1325" s="2551">
        <v>62</v>
      </c>
      <c r="G1325" s="2552">
        <v>342721110.75</v>
      </c>
      <c r="H1325" s="2552">
        <v>572196314</v>
      </c>
      <c r="J1325" s="2551"/>
      <c r="L1325" s="2551" t="e">
        <f t="shared" si="20"/>
        <v>#N/A</v>
      </c>
      <c r="W1325" s="2979"/>
    </row>
    <row r="1326" spans="1:23" hidden="1">
      <c r="A1326" s="2551">
        <v>5061401</v>
      </c>
      <c r="B1326" s="2551" t="s">
        <v>6538</v>
      </c>
      <c r="C1326" s="2551" t="s">
        <v>7780</v>
      </c>
      <c r="D1326" s="2551" t="s">
        <v>7919</v>
      </c>
      <c r="E1326" s="2550" t="s">
        <v>7780</v>
      </c>
      <c r="F1326" s="2551">
        <v>62</v>
      </c>
      <c r="G1326" s="2551">
        <v>0</v>
      </c>
      <c r="H1326" s="2559">
        <v>184563755</v>
      </c>
      <c r="J1326" s="2551">
        <v>32</v>
      </c>
      <c r="K1326" s="2553" t="s">
        <v>7922</v>
      </c>
      <c r="L1326" s="2551" t="e">
        <f t="shared" si="20"/>
        <v>#N/A</v>
      </c>
      <c r="W1326" s="2979"/>
    </row>
    <row r="1327" spans="1:23" hidden="1">
      <c r="A1327" s="2551">
        <v>5061402</v>
      </c>
      <c r="B1327" s="2551" t="s">
        <v>7923</v>
      </c>
      <c r="C1327" s="2551" t="s">
        <v>7780</v>
      </c>
      <c r="D1327" s="2551" t="s">
        <v>7919</v>
      </c>
      <c r="E1327" s="2550" t="s">
        <v>7780</v>
      </c>
      <c r="F1327" s="2551">
        <v>62</v>
      </c>
      <c r="G1327" s="2552">
        <v>-421321038.75</v>
      </c>
      <c r="H1327" s="2552">
        <v>-665624664</v>
      </c>
      <c r="J1327" s="2551"/>
      <c r="L1327" s="2551" t="e">
        <f t="shared" si="20"/>
        <v>#N/A</v>
      </c>
      <c r="W1327" s="2979"/>
    </row>
    <row r="1328" spans="1:23" hidden="1">
      <c r="A1328" s="2551">
        <v>5061501</v>
      </c>
      <c r="B1328" s="2551" t="s">
        <v>7924</v>
      </c>
      <c r="C1328" s="2551" t="s">
        <v>7780</v>
      </c>
      <c r="D1328" s="2551" t="s">
        <v>7919</v>
      </c>
      <c r="E1328" s="2550" t="s">
        <v>7780</v>
      </c>
      <c r="F1328" s="2551">
        <v>62</v>
      </c>
      <c r="G1328" s="2559">
        <v>-33497167.43</v>
      </c>
      <c r="H1328" s="2551">
        <v>0</v>
      </c>
      <c r="J1328" s="2551">
        <v>32</v>
      </c>
      <c r="K1328" s="2553" t="s">
        <v>7922</v>
      </c>
      <c r="L1328" s="2551" t="e">
        <f t="shared" si="20"/>
        <v>#N/A</v>
      </c>
      <c r="W1328" s="2979"/>
    </row>
    <row r="1329" spans="1:23" hidden="1">
      <c r="A1329" s="2551">
        <v>4081110</v>
      </c>
      <c r="B1329" s="2551" t="s">
        <v>6577</v>
      </c>
      <c r="C1329" s="2551" t="s">
        <v>7780</v>
      </c>
      <c r="D1329" s="2551" t="s">
        <v>6577</v>
      </c>
      <c r="E1329" s="2550" t="s">
        <v>7780</v>
      </c>
      <c r="F1329" s="2551">
        <v>63</v>
      </c>
      <c r="G1329" s="2559">
        <v>180371063</v>
      </c>
      <c r="H1329" s="2551">
        <v>0</v>
      </c>
      <c r="J1329" s="2551">
        <v>30</v>
      </c>
      <c r="K1329" s="2553" t="s">
        <v>7925</v>
      </c>
      <c r="L1329" s="2551" t="e">
        <f t="shared" si="20"/>
        <v>#N/A</v>
      </c>
      <c r="W1329" s="2979"/>
    </row>
    <row r="1330" spans="1:23" hidden="1">
      <c r="A1330" s="2551">
        <v>4081210</v>
      </c>
      <c r="B1330" s="2551" t="s">
        <v>6535</v>
      </c>
      <c r="C1330" s="2551" t="s">
        <v>7780</v>
      </c>
      <c r="D1330" s="2551" t="s">
        <v>6535</v>
      </c>
      <c r="E1330" s="2550" t="s">
        <v>7780</v>
      </c>
      <c r="F1330" s="2551">
        <v>64</v>
      </c>
      <c r="G1330" s="2559">
        <v>25583778.600000001</v>
      </c>
      <c r="H1330" s="2559">
        <v>-91733992</v>
      </c>
      <c r="J1330" s="2551">
        <v>30</v>
      </c>
      <c r="K1330" s="2553" t="s">
        <v>7926</v>
      </c>
      <c r="L1330" s="2551" t="e">
        <f t="shared" si="20"/>
        <v>#N/A</v>
      </c>
      <c r="W1330" s="2979"/>
    </row>
    <row r="1331" spans="1:23" hidden="1">
      <c r="A1331" s="2551">
        <v>8000004</v>
      </c>
      <c r="B1331" s="2551" t="s">
        <v>6569</v>
      </c>
      <c r="C1331" s="2551"/>
      <c r="F1331" s="2551"/>
      <c r="G1331" s="2552">
        <v>-374668323.35000002</v>
      </c>
      <c r="H1331" s="2552">
        <v>-374668323.35000002</v>
      </c>
      <c r="J1331" s="2551"/>
      <c r="L1331" s="2551" t="e">
        <f t="shared" si="20"/>
        <v>#N/A</v>
      </c>
      <c r="W1331" s="2979"/>
    </row>
    <row r="1332" spans="1:23" hidden="1">
      <c r="A1332" s="2551">
        <v>8999952</v>
      </c>
      <c r="B1332" s="2551" t="s">
        <v>6571</v>
      </c>
      <c r="C1332" s="2551"/>
      <c r="F1332" s="2551"/>
      <c r="G1332" s="2552">
        <v>374668323.35000002</v>
      </c>
      <c r="H1332" s="2552">
        <v>374668323.35000002</v>
      </c>
      <c r="J1332" s="2551"/>
      <c r="L1332" s="2551" t="e">
        <f t="shared" si="20"/>
        <v>#N/A</v>
      </c>
      <c r="W1332" s="2979"/>
    </row>
    <row r="1333" spans="1:23" hidden="1">
      <c r="G1333" s="2552">
        <f>25.60224035*10^7</f>
        <v>256022403.5</v>
      </c>
      <c r="H1333" s="2552">
        <f>25.60224035*10^7</f>
        <v>256022403.5</v>
      </c>
      <c r="J1333" s="2551" t="s">
        <v>7652</v>
      </c>
      <c r="K1333" s="2553" t="s">
        <v>6311</v>
      </c>
      <c r="L1333" s="2551" t="e">
        <f t="shared" si="20"/>
        <v>#N/A</v>
      </c>
    </row>
    <row r="1334" spans="1:23" hidden="1">
      <c r="G1334" s="2571">
        <f>-25.60224035*10^7</f>
        <v>-256022403.5</v>
      </c>
      <c r="H1334" s="2552">
        <f>-25.60224035*10^7</f>
        <v>-256022403.5</v>
      </c>
      <c r="J1334" s="2550" t="s">
        <v>7927</v>
      </c>
      <c r="K1334" s="2553" t="s">
        <v>7665</v>
      </c>
    </row>
    <row r="1335" spans="1:23" hidden="1">
      <c r="G1335" s="2552">
        <f>0.10662016*10^7</f>
        <v>1066201.6000000001</v>
      </c>
      <c r="J1335" s="2553" t="s">
        <v>7628</v>
      </c>
      <c r="K1335" s="2553" t="s">
        <v>7629</v>
      </c>
    </row>
    <row r="1336" spans="1:23" hidden="1">
      <c r="A1336" s="1893"/>
      <c r="G1336" s="2571">
        <f>-0.10662016*10^7</f>
        <v>-1066201.6000000001</v>
      </c>
      <c r="J1336" s="2550" t="s">
        <v>7664</v>
      </c>
      <c r="K1336" s="2553" t="s">
        <v>7665</v>
      </c>
    </row>
    <row r="1337" spans="1:23" hidden="1">
      <c r="A1337" s="1893"/>
      <c r="G1337" s="2552">
        <f>2.2384186*10^7</f>
        <v>22384186</v>
      </c>
      <c r="J1337" s="2550" t="s">
        <v>7732</v>
      </c>
      <c r="K1337" s="2553" t="s">
        <v>7733</v>
      </c>
    </row>
    <row r="1338" spans="1:23" hidden="1">
      <c r="A1338" s="1893"/>
      <c r="G1338" s="2571">
        <f>-2.2384186*10^7</f>
        <v>-22384186</v>
      </c>
      <c r="J1338" s="2550" t="s">
        <v>7664</v>
      </c>
      <c r="K1338" s="2553" t="s">
        <v>7665</v>
      </c>
    </row>
    <row r="1339" spans="1:23" hidden="1">
      <c r="A1339" s="1893"/>
      <c r="G1339" s="2552">
        <f>9.393664921*10^7</f>
        <v>93936649.209999993</v>
      </c>
      <c r="J1339" s="2559" t="s">
        <v>7604</v>
      </c>
      <c r="K1339" s="2553" t="s">
        <v>7605</v>
      </c>
    </row>
    <row r="1340" spans="1:23" hidden="1">
      <c r="A1340" s="1893"/>
      <c r="G1340" s="2571">
        <f>-9.393664921*10^7</f>
        <v>-93936649.209999993</v>
      </c>
      <c r="J1340" s="2550" t="s">
        <v>7664</v>
      </c>
      <c r="K1340" s="2553" t="s">
        <v>7665</v>
      </c>
    </row>
    <row r="1341" spans="1:23" hidden="1">
      <c r="A1341" s="1893"/>
      <c r="G1341" s="2552">
        <v>684000000</v>
      </c>
      <c r="J1341" s="2551" t="s">
        <v>7618</v>
      </c>
      <c r="K1341" s="2553" t="s">
        <v>7619</v>
      </c>
    </row>
    <row r="1342" spans="1:23" hidden="1">
      <c r="A1342" s="1893"/>
      <c r="G1342" s="2552">
        <v>-684000000</v>
      </c>
      <c r="J1342" s="2551" t="s">
        <v>7624</v>
      </c>
      <c r="K1342" s="2553" t="s">
        <v>7625</v>
      </c>
    </row>
    <row r="1343" spans="1:23" hidden="1">
      <c r="A1343" s="1893"/>
      <c r="G1343" s="2552">
        <f>46.61*10^7</f>
        <v>466100000</v>
      </c>
      <c r="J1343" s="2551" t="s">
        <v>7668</v>
      </c>
      <c r="K1343" s="2553" t="s">
        <v>6363</v>
      </c>
    </row>
    <row r="1344" spans="1:23" hidden="1">
      <c r="A1344" s="1893"/>
      <c r="G1344" s="2552">
        <f>-46.61*10^7</f>
        <v>-466100000</v>
      </c>
      <c r="J1344" s="2550" t="s">
        <v>7664</v>
      </c>
      <c r="K1344" s="2553" t="s">
        <v>7665</v>
      </c>
    </row>
    <row r="1345" spans="1:11" hidden="1">
      <c r="A1345" s="1893"/>
      <c r="G1345" s="2552">
        <f>1.517*10^7</f>
        <v>15169999.999999998</v>
      </c>
      <c r="J1345" s="2551" t="s">
        <v>7709</v>
      </c>
      <c r="K1345" s="2553" t="s">
        <v>7710</v>
      </c>
    </row>
    <row r="1346" spans="1:11" hidden="1">
      <c r="A1346" s="1893"/>
      <c r="G1346" s="2552">
        <f>37.510055969*10^7</f>
        <v>375100559.69</v>
      </c>
      <c r="J1346" s="2551" t="s">
        <v>7600</v>
      </c>
      <c r="K1346" s="2553" t="s">
        <v>5804</v>
      </c>
    </row>
    <row r="1347" spans="1:11" hidden="1">
      <c r="A1347" s="1893"/>
      <c r="G1347" s="2552">
        <v>-217810000</v>
      </c>
      <c r="J1347" s="2551" t="s">
        <v>7600</v>
      </c>
      <c r="K1347" s="2553" t="s">
        <v>5804</v>
      </c>
    </row>
    <row r="1348" spans="1:11" hidden="1">
      <c r="G1348" s="2552">
        <f>-G1347</f>
        <v>217810000</v>
      </c>
      <c r="J1348" s="2550" t="s">
        <v>7664</v>
      </c>
      <c r="K1348" s="2553" t="s">
        <v>7665</v>
      </c>
    </row>
    <row r="1349" spans="1:11" hidden="1">
      <c r="G1349" s="2571">
        <f>-G1346</f>
        <v>-375100559.69</v>
      </c>
      <c r="J1349" s="2550" t="s">
        <v>7664</v>
      </c>
      <c r="K1349" s="2553" t="s">
        <v>7665</v>
      </c>
    </row>
    <row r="1350" spans="1:11" hidden="1">
      <c r="G1350" s="2552">
        <f>-1.517*10^7</f>
        <v>-15169999.999999998</v>
      </c>
      <c r="J1350" s="2550" t="s">
        <v>7664</v>
      </c>
      <c r="K1350" s="2553" t="s">
        <v>7665</v>
      </c>
    </row>
    <row r="1351" spans="1:11" hidden="1">
      <c r="F1351" s="4">
        <v>136</v>
      </c>
      <c r="H1351" s="2552">
        <v>437652735.29680145</v>
      </c>
      <c r="J1351" t="s">
        <v>7600</v>
      </c>
      <c r="K1351" s="141" t="s">
        <v>5804</v>
      </c>
    </row>
    <row r="1352" spans="1:11" hidden="1">
      <c r="F1352" s="4">
        <v>149</v>
      </c>
      <c r="H1352" s="2552">
        <v>1053747264.7031987</v>
      </c>
      <c r="J1352" t="s">
        <v>7600</v>
      </c>
      <c r="K1352" s="141" t="s">
        <v>5804</v>
      </c>
    </row>
    <row r="1353" spans="1:11" hidden="1">
      <c r="F1353" s="4">
        <v>116</v>
      </c>
      <c r="H1353" s="2552">
        <v>-1491400000</v>
      </c>
      <c r="J1353" s="4">
        <v>9</v>
      </c>
      <c r="K1353" s="141" t="s">
        <v>7313</v>
      </c>
    </row>
    <row r="1354" spans="1:11" hidden="1"/>
    <row r="1355" spans="1:11" hidden="1"/>
    <row r="1356" spans="1:11" hidden="1"/>
    <row r="1357" spans="1:11" hidden="1"/>
    <row r="1358" spans="1:11" hidden="1"/>
    <row r="1359" spans="1:11" hidden="1"/>
    <row r="1360" spans="1:11" hidden="1"/>
    <row r="1361" spans="1:1" hidden="1"/>
    <row r="1362" spans="1:1" hidden="1"/>
    <row r="1363" spans="1:1" hidden="1"/>
    <row r="1364" spans="1:1" hidden="1"/>
    <row r="1365" spans="1:1" hidden="1">
      <c r="A1365" s="1893"/>
    </row>
    <row r="1366" spans="1:1" hidden="1">
      <c r="A1366" s="1893"/>
    </row>
    <row r="1367" spans="1:1" hidden="1">
      <c r="A1367" s="1893"/>
    </row>
    <row r="1368" spans="1:1" hidden="1">
      <c r="A1368" s="1893"/>
    </row>
    <row r="1369" spans="1:1" hidden="1">
      <c r="A1369" s="1893"/>
    </row>
    <row r="1370" spans="1:1" hidden="1">
      <c r="A1370" s="1893"/>
    </row>
    <row r="1371" spans="1:1" hidden="1">
      <c r="A1371" s="1893"/>
    </row>
    <row r="1372" spans="1:1" hidden="1">
      <c r="A1372" s="1893"/>
    </row>
    <row r="1373" spans="1:1" hidden="1">
      <c r="A1373" s="1893"/>
    </row>
    <row r="1374" spans="1:1" hidden="1">
      <c r="A1374" s="1893"/>
    </row>
    <row r="1375" spans="1:1" hidden="1">
      <c r="A1375" s="1893"/>
    </row>
    <row r="1376" spans="1:1" hidden="1">
      <c r="A1376" s="1893"/>
    </row>
  </sheetData>
  <autoFilter ref="A1:W1376" xr:uid="{653CC033-3A73-446E-9728-07A5286D2814}">
    <filterColumn colId="3">
      <filters>
        <filter val="EMPLOYEE COST"/>
        <filter val="Employee Cost charged to capital works"/>
      </filters>
    </filterColumn>
  </autoFilter>
  <conditionalFormatting sqref="A1336:A1337">
    <cfRule type="duplicateValues" dxfId="100" priority="36"/>
  </conditionalFormatting>
  <conditionalFormatting sqref="A1336:A1376">
    <cfRule type="duplicateValues" dxfId="99" priority="35"/>
  </conditionalFormatting>
  <conditionalFormatting sqref="A1336:A1376">
    <cfRule type="duplicateValues" dxfId="98" priority="33"/>
    <cfRule type="duplicateValues" dxfId="97" priority="34"/>
  </conditionalFormatting>
  <conditionalFormatting sqref="A1338:A1340">
    <cfRule type="duplicateValues" dxfId="96" priority="31"/>
  </conditionalFormatting>
  <conditionalFormatting sqref="A1338:A1376">
    <cfRule type="duplicateValues" dxfId="95" priority="32"/>
  </conditionalFormatting>
  <conditionalFormatting sqref="A1341:A1353">
    <cfRule type="duplicateValues" dxfId="94" priority="30"/>
  </conditionalFormatting>
  <conditionalFormatting sqref="A1354:A1364">
    <cfRule type="duplicateValues" dxfId="93" priority="29"/>
  </conditionalFormatting>
  <conditionalFormatting sqref="A1365:A1376">
    <cfRule type="duplicateValues" dxfId="92" priority="28"/>
  </conditionalFormatting>
  <conditionalFormatting sqref="P21:P62">
    <cfRule type="duplicateValues" dxfId="91" priority="26"/>
  </conditionalFormatting>
  <conditionalFormatting sqref="P21:P62">
    <cfRule type="duplicateValues" dxfId="90" priority="27"/>
  </conditionalFormatting>
  <conditionalFormatting sqref="P21:P64">
    <cfRule type="duplicateValues" dxfId="89" priority="25"/>
  </conditionalFormatting>
  <conditionalFormatting sqref="P21:P65">
    <cfRule type="duplicateValues" dxfId="88" priority="23"/>
    <cfRule type="duplicateValues" dxfId="87" priority="24"/>
  </conditionalFormatting>
  <conditionalFormatting sqref="P63:P64">
    <cfRule type="duplicateValues" dxfId="86" priority="22"/>
  </conditionalFormatting>
  <conditionalFormatting sqref="P65">
    <cfRule type="duplicateValues" dxfId="85" priority="20"/>
  </conditionalFormatting>
  <conditionalFormatting sqref="P65">
    <cfRule type="duplicateValues" dxfId="84" priority="21"/>
  </conditionalFormatting>
  <conditionalFormatting sqref="P4:P17">
    <cfRule type="duplicateValues" dxfId="83" priority="18"/>
  </conditionalFormatting>
  <conditionalFormatting sqref="P4:P17">
    <cfRule type="duplicateValues" dxfId="82" priority="19"/>
  </conditionalFormatting>
  <conditionalFormatting sqref="P4:P17">
    <cfRule type="duplicateValues" dxfId="81" priority="17"/>
  </conditionalFormatting>
  <conditionalFormatting sqref="P4:P19">
    <cfRule type="duplicateValues" dxfId="80" priority="15"/>
    <cfRule type="duplicateValues" dxfId="79" priority="16"/>
  </conditionalFormatting>
  <conditionalFormatting sqref="P18">
    <cfRule type="duplicateValues" dxfId="78" priority="13"/>
    <cfRule type="duplicateValues" dxfId="77" priority="14"/>
  </conditionalFormatting>
  <conditionalFormatting sqref="P18">
    <cfRule type="duplicateValues" dxfId="76" priority="11"/>
    <cfRule type="duplicateValues" dxfId="75" priority="12"/>
  </conditionalFormatting>
  <conditionalFormatting sqref="P18">
    <cfRule type="duplicateValues" dxfId="74" priority="10"/>
  </conditionalFormatting>
  <conditionalFormatting sqref="P19">
    <cfRule type="duplicateValues" dxfId="73" priority="9"/>
  </conditionalFormatting>
  <conditionalFormatting sqref="P19">
    <cfRule type="duplicateValues" dxfId="72" priority="7"/>
    <cfRule type="duplicateValues" dxfId="71" priority="8"/>
  </conditionalFormatting>
  <conditionalFormatting sqref="P19">
    <cfRule type="duplicateValues" dxfId="70" priority="6"/>
  </conditionalFormatting>
  <conditionalFormatting sqref="P20">
    <cfRule type="duplicateValues" dxfId="69" priority="4"/>
  </conditionalFormatting>
  <conditionalFormatting sqref="P20">
    <cfRule type="duplicateValues" dxfId="68" priority="5"/>
  </conditionalFormatting>
  <conditionalFormatting sqref="P20">
    <cfRule type="duplicateValues" dxfId="67" priority="3"/>
  </conditionalFormatting>
  <conditionalFormatting sqref="P20">
    <cfRule type="duplicateValues" dxfId="66" priority="1"/>
    <cfRule type="duplicateValues" dxfId="65" priority="2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filterMode="1">
    <tabColor rgb="FF92D050"/>
  </sheetPr>
  <dimension ref="A1:S1482"/>
  <sheetViews>
    <sheetView zoomScale="75" zoomScaleNormal="75" workbookViewId="0">
      <selection activeCell="F35" sqref="F35"/>
    </sheetView>
  </sheetViews>
  <sheetFormatPr defaultRowHeight="12.5"/>
  <cols>
    <col min="1" max="1" width="7.453125" style="4" customWidth="1"/>
    <col min="2" max="2" width="40.453125" bestFit="1" customWidth="1"/>
    <col min="3" max="3" width="25.54296875" customWidth="1"/>
    <col min="4" max="4" width="14.26953125" style="4" customWidth="1"/>
    <col min="5" max="5" width="41.54296875" customWidth="1"/>
    <col min="6" max="6" width="8.7265625" style="232"/>
    <col min="10" max="10" width="11.81640625" style="2998" customWidth="1"/>
    <col min="11" max="12" width="13.81640625" bestFit="1" customWidth="1"/>
    <col min="13" max="14" width="12.7265625" bestFit="1" customWidth="1"/>
    <col min="15" max="16" width="13.81640625" bestFit="1" customWidth="1"/>
    <col min="18" max="19" width="13.81640625" bestFit="1" customWidth="1"/>
  </cols>
  <sheetData>
    <row r="1" spans="1:10" ht="21">
      <c r="A1" s="1889" t="s">
        <v>5526</v>
      </c>
      <c r="B1" s="1889" t="s">
        <v>5527</v>
      </c>
      <c r="C1" s="1889" t="s">
        <v>5528</v>
      </c>
      <c r="D1" s="1890" t="s">
        <v>5529</v>
      </c>
      <c r="E1" s="1890" t="s">
        <v>5530</v>
      </c>
      <c r="F1" s="2991" t="s">
        <v>5531</v>
      </c>
      <c r="J1" s="2997" t="s">
        <v>8306</v>
      </c>
    </row>
    <row r="2" spans="1:10" ht="13">
      <c r="A2" s="2980">
        <v>1</v>
      </c>
      <c r="B2" s="2981" t="s">
        <v>5628</v>
      </c>
      <c r="C2" s="2981" t="s">
        <v>119</v>
      </c>
      <c r="D2" s="2980">
        <v>1010211</v>
      </c>
      <c r="E2" s="2981" t="s">
        <v>2026</v>
      </c>
      <c r="F2" s="2992">
        <v>4.2014353990000002</v>
      </c>
      <c r="J2"/>
    </row>
    <row r="3" spans="1:10" ht="13">
      <c r="A3" s="2980">
        <v>1</v>
      </c>
      <c r="B3" s="2981" t="s">
        <v>5628</v>
      </c>
      <c r="C3" s="2981" t="s">
        <v>119</v>
      </c>
      <c r="D3" s="2980">
        <v>1010233</v>
      </c>
      <c r="E3" s="2981" t="s">
        <v>2030</v>
      </c>
      <c r="F3" s="2992">
        <v>0.42041226900000006</v>
      </c>
      <c r="J3"/>
    </row>
    <row r="4" spans="1:10" ht="13">
      <c r="A4" s="2980">
        <v>1</v>
      </c>
      <c r="B4" s="2981" t="s">
        <v>5628</v>
      </c>
      <c r="C4" s="2981" t="s">
        <v>922</v>
      </c>
      <c r="D4" s="2980">
        <v>1010572</v>
      </c>
      <c r="E4" s="2981" t="s">
        <v>5629</v>
      </c>
      <c r="F4" s="2992">
        <v>0.17681000099999999</v>
      </c>
      <c r="J4"/>
    </row>
    <row r="5" spans="1:10" ht="13">
      <c r="A5" s="2980">
        <v>1</v>
      </c>
      <c r="B5" s="2981" t="s">
        <v>5628</v>
      </c>
      <c r="C5" s="2981" t="s">
        <v>922</v>
      </c>
      <c r="D5" s="2980">
        <v>1010577</v>
      </c>
      <c r="E5" s="2981" t="s">
        <v>5630</v>
      </c>
      <c r="F5" s="2992">
        <v>0.86688879900000004</v>
      </c>
      <c r="J5"/>
    </row>
    <row r="6" spans="1:10" ht="13">
      <c r="A6" s="2980">
        <v>1</v>
      </c>
      <c r="B6" s="2981" t="s">
        <v>5628</v>
      </c>
      <c r="C6" s="2981" t="s">
        <v>5631</v>
      </c>
      <c r="D6" s="2980">
        <v>1010820</v>
      </c>
      <c r="E6" s="2981" t="s">
        <v>5632</v>
      </c>
      <c r="F6" s="2992">
        <v>1.5996793980000001</v>
      </c>
      <c r="J6"/>
    </row>
    <row r="7" spans="1:10" ht="13">
      <c r="A7" s="2980">
        <v>1</v>
      </c>
      <c r="B7" s="2981" t="s">
        <v>5628</v>
      </c>
      <c r="C7" s="2981" t="s">
        <v>922</v>
      </c>
      <c r="D7" s="2980">
        <v>1010990</v>
      </c>
      <c r="E7" s="2981" t="s">
        <v>2117</v>
      </c>
      <c r="F7" s="2992">
        <v>2.8792000000000002E-3</v>
      </c>
      <c r="J7"/>
    </row>
    <row r="8" spans="1:10" ht="13" hidden="1">
      <c r="A8" s="2980">
        <v>2</v>
      </c>
      <c r="B8" s="2981" t="s">
        <v>1020</v>
      </c>
      <c r="C8" s="2981" t="s">
        <v>1020</v>
      </c>
      <c r="D8" s="2980">
        <v>1015201</v>
      </c>
      <c r="E8" s="2981" t="s">
        <v>5633</v>
      </c>
      <c r="F8" s="2992">
        <v>0.99190561300000002</v>
      </c>
      <c r="J8"/>
    </row>
    <row r="9" spans="1:10" ht="13" hidden="1">
      <c r="A9" s="2980">
        <v>2</v>
      </c>
      <c r="B9" s="2981" t="s">
        <v>1020</v>
      </c>
      <c r="C9" s="2981" t="s">
        <v>1020</v>
      </c>
      <c r="D9" s="2980">
        <v>1022602</v>
      </c>
      <c r="E9" s="2981" t="s">
        <v>5634</v>
      </c>
      <c r="F9" s="2992">
        <v>6.2303999999999998E-2</v>
      </c>
      <c r="J9"/>
    </row>
    <row r="10" spans="1:10" ht="13" hidden="1">
      <c r="A10" s="2980">
        <v>2</v>
      </c>
      <c r="B10" s="2981" t="s">
        <v>1020</v>
      </c>
      <c r="C10" s="2981" t="s">
        <v>1020</v>
      </c>
      <c r="D10" s="2980">
        <v>1022603</v>
      </c>
      <c r="E10" s="2981" t="s">
        <v>5635</v>
      </c>
      <c r="F10" s="2992">
        <v>10.24088501</v>
      </c>
      <c r="J10"/>
    </row>
    <row r="11" spans="1:10" ht="13" hidden="1">
      <c r="A11" s="2980">
        <v>2</v>
      </c>
      <c r="B11" s="2981" t="s">
        <v>1020</v>
      </c>
      <c r="C11" s="2981" t="s">
        <v>1020</v>
      </c>
      <c r="D11" s="2980">
        <v>1022604</v>
      </c>
      <c r="E11" s="2981" t="s">
        <v>5636</v>
      </c>
      <c r="F11" s="2992">
        <v>10.470609723999999</v>
      </c>
      <c r="J11"/>
    </row>
    <row r="12" spans="1:10" ht="13" hidden="1">
      <c r="A12" s="2980">
        <v>2</v>
      </c>
      <c r="B12" s="2981" t="s">
        <v>1020</v>
      </c>
      <c r="C12" s="2981" t="s">
        <v>1020</v>
      </c>
      <c r="D12" s="2980">
        <v>1022605</v>
      </c>
      <c r="E12" s="2981" t="s">
        <v>5637</v>
      </c>
      <c r="F12" s="2992">
        <v>31.824590507999996</v>
      </c>
      <c r="J12"/>
    </row>
    <row r="13" spans="1:10" ht="13" hidden="1">
      <c r="A13" s="2980">
        <v>2</v>
      </c>
      <c r="B13" s="2981" t="s">
        <v>1020</v>
      </c>
      <c r="C13" s="2981" t="s">
        <v>1020</v>
      </c>
      <c r="D13" s="2980">
        <v>1022607</v>
      </c>
      <c r="E13" s="2981" t="s">
        <v>5638</v>
      </c>
      <c r="F13" s="2992">
        <v>0.89827115399999991</v>
      </c>
      <c r="J13"/>
    </row>
    <row r="14" spans="1:10" ht="13" hidden="1">
      <c r="A14" s="2980">
        <v>2</v>
      </c>
      <c r="B14" s="2981" t="s">
        <v>1020</v>
      </c>
      <c r="C14" s="2981" t="s">
        <v>1020</v>
      </c>
      <c r="D14" s="2980">
        <v>1022608</v>
      </c>
      <c r="E14" s="2981" t="s">
        <v>5639</v>
      </c>
      <c r="F14" s="2992">
        <v>1.3147107660000001</v>
      </c>
      <c r="J14"/>
    </row>
    <row r="15" spans="1:10" ht="13" hidden="1">
      <c r="A15" s="2980">
        <v>2</v>
      </c>
      <c r="B15" s="2981" t="s">
        <v>1020</v>
      </c>
      <c r="C15" s="2981" t="s">
        <v>1020</v>
      </c>
      <c r="D15" s="2980">
        <v>1022610</v>
      </c>
      <c r="E15" s="2981" t="s">
        <v>5640</v>
      </c>
      <c r="F15" s="2992">
        <v>16.185444287999999</v>
      </c>
      <c r="J15"/>
    </row>
    <row r="16" spans="1:10" ht="13" hidden="1">
      <c r="A16" s="2980">
        <v>2</v>
      </c>
      <c r="B16" s="2981" t="s">
        <v>1020</v>
      </c>
      <c r="C16" s="2981" t="s">
        <v>1020</v>
      </c>
      <c r="D16" s="2980">
        <v>1022615</v>
      </c>
      <c r="E16" s="2981" t="s">
        <v>5641</v>
      </c>
      <c r="F16" s="2992">
        <v>0.10814254500000008</v>
      </c>
      <c r="J16"/>
    </row>
    <row r="17" spans="1:10" ht="13" hidden="1">
      <c r="A17" s="2980">
        <v>2</v>
      </c>
      <c r="B17" s="2981" t="s">
        <v>1020</v>
      </c>
      <c r="C17" s="2981" t="s">
        <v>1020</v>
      </c>
      <c r="D17" s="2980">
        <v>1022616</v>
      </c>
      <c r="E17" s="2981" t="s">
        <v>5642</v>
      </c>
      <c r="F17" s="2992">
        <v>1.5052079999999999E-2</v>
      </c>
      <c r="J17"/>
    </row>
    <row r="18" spans="1:10" ht="13" hidden="1">
      <c r="A18" s="2980">
        <v>2</v>
      </c>
      <c r="B18" s="2981" t="s">
        <v>1020</v>
      </c>
      <c r="C18" s="2981" t="s">
        <v>1020</v>
      </c>
      <c r="D18" s="2980">
        <v>1022619</v>
      </c>
      <c r="E18" s="2981" t="s">
        <v>5643</v>
      </c>
      <c r="F18" s="2992">
        <v>4.1173607099999998</v>
      </c>
      <c r="J18"/>
    </row>
    <row r="19" spans="1:10" ht="13" hidden="1">
      <c r="A19" s="2980">
        <v>9</v>
      </c>
      <c r="B19" s="2981" t="s">
        <v>1000</v>
      </c>
      <c r="C19" s="2981" t="s">
        <v>5644</v>
      </c>
      <c r="D19" s="2980">
        <v>1022622</v>
      </c>
      <c r="E19" s="2981" t="s">
        <v>5645</v>
      </c>
      <c r="F19" s="2992">
        <v>5.8801600000000002E-4</v>
      </c>
      <c r="J19"/>
    </row>
    <row r="20" spans="1:10" ht="13" hidden="1">
      <c r="A20" s="2980">
        <v>9</v>
      </c>
      <c r="B20" s="2981" t="s">
        <v>1000</v>
      </c>
      <c r="C20" s="2981" t="s">
        <v>5644</v>
      </c>
      <c r="D20" s="2980">
        <v>1022623</v>
      </c>
      <c r="E20" s="2981" t="s">
        <v>5646</v>
      </c>
      <c r="F20" s="2992">
        <v>5.9990944860000006</v>
      </c>
      <c r="J20"/>
    </row>
    <row r="21" spans="1:10" ht="13" hidden="1">
      <c r="A21" s="2980">
        <v>9</v>
      </c>
      <c r="B21" s="2981" t="s">
        <v>1000</v>
      </c>
      <c r="C21" s="2981" t="s">
        <v>5644</v>
      </c>
      <c r="D21" s="2980">
        <v>1022624</v>
      </c>
      <c r="E21" s="2981" t="s">
        <v>5647</v>
      </c>
      <c r="F21" s="2992">
        <v>3.729376942</v>
      </c>
      <c r="J21"/>
    </row>
    <row r="22" spans="1:10" ht="13" hidden="1">
      <c r="A22" s="2980">
        <v>9</v>
      </c>
      <c r="B22" s="2981" t="s">
        <v>1000</v>
      </c>
      <c r="C22" s="2981" t="s">
        <v>5644</v>
      </c>
      <c r="D22" s="2980">
        <v>1022625</v>
      </c>
      <c r="E22" s="2981" t="s">
        <v>5648</v>
      </c>
      <c r="F22" s="2992">
        <v>15.994283459063517</v>
      </c>
      <c r="J22"/>
    </row>
    <row r="23" spans="1:10" ht="13" hidden="1">
      <c r="A23" s="2980">
        <v>9</v>
      </c>
      <c r="B23" s="2981" t="s">
        <v>1000</v>
      </c>
      <c r="C23" s="2981" t="s">
        <v>5644</v>
      </c>
      <c r="D23" s="2980">
        <v>1022627</v>
      </c>
      <c r="E23" s="2981" t="s">
        <v>5649</v>
      </c>
      <c r="F23" s="2992">
        <v>1.8699773910000002</v>
      </c>
      <c r="J23"/>
    </row>
    <row r="24" spans="1:10" ht="13" hidden="1">
      <c r="A24" s="2980">
        <v>9</v>
      </c>
      <c r="B24" s="2981" t="s">
        <v>1000</v>
      </c>
      <c r="C24" s="2981" t="s">
        <v>5644</v>
      </c>
      <c r="D24" s="2980">
        <v>1022628</v>
      </c>
      <c r="E24" s="2981" t="s">
        <v>5650</v>
      </c>
      <c r="F24" s="2992">
        <v>2.5821914000000001E-2</v>
      </c>
      <c r="J24"/>
    </row>
    <row r="25" spans="1:10" ht="13" hidden="1">
      <c r="A25" s="2980">
        <v>9</v>
      </c>
      <c r="B25" s="2981" t="s">
        <v>1000</v>
      </c>
      <c r="C25" s="2981" t="s">
        <v>5644</v>
      </c>
      <c r="D25" s="2980">
        <v>1022630</v>
      </c>
      <c r="E25" s="2981" t="s">
        <v>5651</v>
      </c>
      <c r="F25" s="2992">
        <v>10.128094193000001</v>
      </c>
      <c r="J25"/>
    </row>
    <row r="26" spans="1:10" ht="13" hidden="1">
      <c r="A26" s="2980">
        <v>9</v>
      </c>
      <c r="B26" s="2981" t="s">
        <v>1000</v>
      </c>
      <c r="C26" s="2981" t="s">
        <v>5644</v>
      </c>
      <c r="D26" s="2980">
        <v>1022634</v>
      </c>
      <c r="E26" s="2981" t="s">
        <v>5652</v>
      </c>
      <c r="F26" s="2992">
        <v>0.19137052900000001</v>
      </c>
      <c r="J26"/>
    </row>
    <row r="27" spans="1:10" ht="13" hidden="1">
      <c r="A27" s="2980">
        <v>9</v>
      </c>
      <c r="B27" s="2981" t="s">
        <v>1000</v>
      </c>
      <c r="C27" s="2981" t="s">
        <v>5644</v>
      </c>
      <c r="D27" s="2980">
        <v>1022635</v>
      </c>
      <c r="E27" s="2981" t="s">
        <v>5653</v>
      </c>
      <c r="F27" s="2992">
        <v>0.22791997699999988</v>
      </c>
      <c r="J27"/>
    </row>
    <row r="28" spans="1:10" ht="13" hidden="1">
      <c r="A28" s="2980">
        <v>9</v>
      </c>
      <c r="B28" s="2981" t="s">
        <v>1000</v>
      </c>
      <c r="C28" s="2981" t="s">
        <v>5644</v>
      </c>
      <c r="D28" s="2980">
        <v>1022636</v>
      </c>
      <c r="E28" s="2981" t="s">
        <v>5654</v>
      </c>
      <c r="F28" s="2992">
        <v>9.2501520000000004E-2</v>
      </c>
      <c r="J28"/>
    </row>
    <row r="29" spans="1:10" ht="13" hidden="1">
      <c r="A29" s="2980">
        <v>9</v>
      </c>
      <c r="B29" s="2981" t="s">
        <v>1000</v>
      </c>
      <c r="C29" s="2981" t="s">
        <v>5644</v>
      </c>
      <c r="D29" s="2980">
        <v>1022639</v>
      </c>
      <c r="E29" s="2981" t="s">
        <v>5655</v>
      </c>
      <c r="F29" s="2992">
        <v>1.3752912030000002</v>
      </c>
      <c r="J29"/>
    </row>
    <row r="30" spans="1:10" ht="13" hidden="1">
      <c r="A30" s="2980">
        <v>10</v>
      </c>
      <c r="B30" s="2981" t="s">
        <v>5656</v>
      </c>
      <c r="C30" s="2981" t="s">
        <v>5657</v>
      </c>
      <c r="D30" s="2980">
        <v>1023101</v>
      </c>
      <c r="E30" s="2981" t="s">
        <v>5658</v>
      </c>
      <c r="F30" s="2993">
        <v>553.95383835999996</v>
      </c>
      <c r="J30"/>
    </row>
    <row r="31" spans="1:10" ht="13" hidden="1">
      <c r="A31" s="2980">
        <v>10</v>
      </c>
      <c r="B31" s="2981" t="s">
        <v>5656</v>
      </c>
      <c r="C31" s="2981" t="s">
        <v>5657</v>
      </c>
      <c r="D31" s="2980">
        <v>1023102</v>
      </c>
      <c r="E31" s="2981" t="s">
        <v>5659</v>
      </c>
      <c r="F31" s="2994">
        <v>-4.1100387500000002</v>
      </c>
      <c r="J31"/>
    </row>
    <row r="32" spans="1:10" ht="13" hidden="1">
      <c r="A32" s="2980">
        <v>10</v>
      </c>
      <c r="B32" s="2981" t="s">
        <v>5656</v>
      </c>
      <c r="C32" s="2981" t="s">
        <v>5657</v>
      </c>
      <c r="D32" s="2980">
        <v>1023103</v>
      </c>
      <c r="E32" s="2981" t="s">
        <v>5660</v>
      </c>
      <c r="F32" s="2994">
        <v>45.661642112999999</v>
      </c>
      <c r="J32"/>
    </row>
    <row r="33" spans="1:10" ht="13" hidden="1">
      <c r="A33" s="2980">
        <v>10</v>
      </c>
      <c r="B33" s="2981" t="s">
        <v>5656</v>
      </c>
      <c r="C33" s="2981" t="s">
        <v>5657</v>
      </c>
      <c r="D33" s="2980">
        <v>1023106</v>
      </c>
      <c r="E33" s="2981" t="s">
        <v>5661</v>
      </c>
      <c r="F33" s="2994">
        <v>-9.4350848999999681E-2</v>
      </c>
      <c r="J33"/>
    </row>
    <row r="34" spans="1:10" ht="13" hidden="1">
      <c r="A34" s="2980">
        <v>10</v>
      </c>
      <c r="B34" s="2981" t="s">
        <v>5656</v>
      </c>
      <c r="C34" s="2981" t="s">
        <v>5657</v>
      </c>
      <c r="D34" s="2980">
        <v>1023107</v>
      </c>
      <c r="E34" s="2981" t="s">
        <v>5662</v>
      </c>
      <c r="F34" s="2994">
        <v>-7.2308540780000001</v>
      </c>
      <c r="J34"/>
    </row>
    <row r="35" spans="1:10" ht="13" hidden="1">
      <c r="A35" s="2980">
        <v>10</v>
      </c>
      <c r="B35" s="2981" t="s">
        <v>5656</v>
      </c>
      <c r="C35" s="2981" t="s">
        <v>5657</v>
      </c>
      <c r="D35" s="2980">
        <v>1023110</v>
      </c>
      <c r="E35" s="2981" t="s">
        <v>5663</v>
      </c>
      <c r="F35" s="2994">
        <v>-34.284216992000005</v>
      </c>
      <c r="J35"/>
    </row>
    <row r="36" spans="1:10" ht="13" hidden="1">
      <c r="A36" s="2980">
        <v>10</v>
      </c>
      <c r="B36" s="2981" t="s">
        <v>5656</v>
      </c>
      <c r="C36" s="2981" t="s">
        <v>5657</v>
      </c>
      <c r="D36" s="2980">
        <v>1023111</v>
      </c>
      <c r="E36" s="2981" t="s">
        <v>5664</v>
      </c>
      <c r="F36" s="2994">
        <v>7.9928652909999984</v>
      </c>
      <c r="J36"/>
    </row>
    <row r="37" spans="1:10" ht="13" hidden="1">
      <c r="A37" s="2980">
        <v>10</v>
      </c>
      <c r="B37" s="2981" t="s">
        <v>5656</v>
      </c>
      <c r="C37" s="2981" t="s">
        <v>5657</v>
      </c>
      <c r="D37" s="2980">
        <v>1023114</v>
      </c>
      <c r="E37" s="2981" t="s">
        <v>5665</v>
      </c>
      <c r="F37" s="2993">
        <v>-3.5522317130000012</v>
      </c>
      <c r="J37"/>
    </row>
    <row r="38" spans="1:10" ht="13" hidden="1">
      <c r="A38" s="2980">
        <v>10</v>
      </c>
      <c r="B38" s="2981" t="s">
        <v>5656</v>
      </c>
      <c r="C38" s="2981" t="s">
        <v>5657</v>
      </c>
      <c r="D38" s="2980">
        <v>1023115</v>
      </c>
      <c r="E38" s="2981" t="s">
        <v>5666</v>
      </c>
      <c r="F38" s="2993">
        <v>-1.8242383440000003</v>
      </c>
      <c r="J38"/>
    </row>
    <row r="39" spans="1:10" ht="13" hidden="1">
      <c r="A39" s="2980">
        <v>10</v>
      </c>
      <c r="B39" s="2981" t="s">
        <v>5656</v>
      </c>
      <c r="C39" s="2981" t="s">
        <v>5657</v>
      </c>
      <c r="D39" s="2980">
        <v>1023117</v>
      </c>
      <c r="E39" s="2981" t="s">
        <v>5667</v>
      </c>
      <c r="F39" s="2994">
        <v>-9.3460647300000055</v>
      </c>
      <c r="J39"/>
    </row>
    <row r="40" spans="1:10" ht="13" hidden="1">
      <c r="A40" s="2980">
        <v>10</v>
      </c>
      <c r="B40" s="2981" t="s">
        <v>5656</v>
      </c>
      <c r="C40" s="2981" t="s">
        <v>5657</v>
      </c>
      <c r="D40" s="2980">
        <v>1023118</v>
      </c>
      <c r="E40" s="2981" t="s">
        <v>5668</v>
      </c>
      <c r="F40" s="2994">
        <v>13.821226737</v>
      </c>
      <c r="J40"/>
    </row>
    <row r="41" spans="1:10" ht="13" hidden="1">
      <c r="A41" s="2980">
        <v>10</v>
      </c>
      <c r="B41" s="2981" t="s">
        <v>5656</v>
      </c>
      <c r="C41" s="2981" t="s">
        <v>5657</v>
      </c>
      <c r="D41" s="2980">
        <v>1023120</v>
      </c>
      <c r="E41" s="2981" t="s">
        <v>5669</v>
      </c>
      <c r="F41" s="2994">
        <v>2.9141996880000005</v>
      </c>
      <c r="J41"/>
    </row>
    <row r="42" spans="1:10" ht="13" hidden="1">
      <c r="A42" s="2980">
        <v>10</v>
      </c>
      <c r="B42" s="2981" t="s">
        <v>5656</v>
      </c>
      <c r="C42" s="2981" t="s">
        <v>5657</v>
      </c>
      <c r="D42" s="2980">
        <v>1023122</v>
      </c>
      <c r="E42" s="2981" t="s">
        <v>5670</v>
      </c>
      <c r="F42" s="2994">
        <v>-0.87382080000000006</v>
      </c>
      <c r="J42"/>
    </row>
    <row r="43" spans="1:10" ht="13" hidden="1">
      <c r="A43" s="2980">
        <v>10</v>
      </c>
      <c r="B43" s="2981" t="s">
        <v>5656</v>
      </c>
      <c r="C43" s="2981" t="s">
        <v>5657</v>
      </c>
      <c r="D43" s="2980">
        <v>1023124</v>
      </c>
      <c r="E43" s="2981" t="s">
        <v>5671</v>
      </c>
      <c r="F43" s="2994">
        <v>-0.154213657</v>
      </c>
      <c r="J43"/>
    </row>
    <row r="44" spans="1:10" ht="13" hidden="1">
      <c r="A44" s="2980">
        <v>10</v>
      </c>
      <c r="B44" s="2981" t="s">
        <v>5656</v>
      </c>
      <c r="C44" s="2981" t="s">
        <v>5657</v>
      </c>
      <c r="D44" s="2980">
        <v>1023126</v>
      </c>
      <c r="E44" s="2981" t="s">
        <v>5672</v>
      </c>
      <c r="F44" s="2994">
        <v>2.5879244719999983</v>
      </c>
      <c r="J44"/>
    </row>
    <row r="45" spans="1:10" ht="13" hidden="1">
      <c r="A45" s="2980">
        <v>10</v>
      </c>
      <c r="B45" s="2981" t="s">
        <v>5656</v>
      </c>
      <c r="C45" s="2981" t="s">
        <v>5657</v>
      </c>
      <c r="D45" s="2980">
        <v>1023201</v>
      </c>
      <c r="E45" s="2981" t="s">
        <v>5673</v>
      </c>
      <c r="F45" s="2994">
        <v>10.013906663000002</v>
      </c>
      <c r="J45"/>
    </row>
    <row r="46" spans="1:10" ht="13" hidden="1">
      <c r="A46" s="2980">
        <v>10</v>
      </c>
      <c r="B46" s="2981" t="s">
        <v>5656</v>
      </c>
      <c r="C46" s="2981" t="s">
        <v>5657</v>
      </c>
      <c r="D46" s="2980">
        <v>1023202</v>
      </c>
      <c r="E46" s="2981" t="s">
        <v>5674</v>
      </c>
      <c r="F46" s="2994">
        <v>-4.2356375000000002E-2</v>
      </c>
      <c r="J46"/>
    </row>
    <row r="47" spans="1:10" ht="13" hidden="1">
      <c r="A47" s="2980">
        <v>10</v>
      </c>
      <c r="B47" s="2981" t="s">
        <v>5656</v>
      </c>
      <c r="C47" s="2981" t="s">
        <v>5657</v>
      </c>
      <c r="D47" s="2980">
        <v>1023203</v>
      </c>
      <c r="E47" s="2981" t="s">
        <v>5675</v>
      </c>
      <c r="F47" s="2994">
        <v>0.9088334690000005</v>
      </c>
      <c r="J47"/>
    </row>
    <row r="48" spans="1:10" ht="13" hidden="1">
      <c r="A48" s="2980">
        <v>10</v>
      </c>
      <c r="B48" s="2981" t="s">
        <v>5656</v>
      </c>
      <c r="C48" s="2981" t="s">
        <v>5657</v>
      </c>
      <c r="D48" s="2980">
        <v>1023206</v>
      </c>
      <c r="E48" s="2981" t="s">
        <v>5676</v>
      </c>
      <c r="F48" s="2993">
        <v>9.8818980000000035E-3</v>
      </c>
      <c r="J48"/>
    </row>
    <row r="49" spans="1:10" ht="13" hidden="1">
      <c r="A49" s="2980">
        <v>10</v>
      </c>
      <c r="B49" s="2981" t="s">
        <v>5656</v>
      </c>
      <c r="C49" s="2981" t="s">
        <v>5657</v>
      </c>
      <c r="D49" s="2980">
        <v>1023207</v>
      </c>
      <c r="E49" s="2981" t="s">
        <v>5677</v>
      </c>
      <c r="F49" s="2993">
        <v>0.40031584600000009</v>
      </c>
      <c r="J49"/>
    </row>
    <row r="50" spans="1:10" ht="13" hidden="1">
      <c r="A50" s="2980">
        <v>10</v>
      </c>
      <c r="B50" s="2981" t="s">
        <v>5656</v>
      </c>
      <c r="C50" s="2981" t="s">
        <v>5657</v>
      </c>
      <c r="D50" s="2980">
        <v>1023209</v>
      </c>
      <c r="E50" s="2981" t="s">
        <v>5678</v>
      </c>
      <c r="F50" s="2993">
        <v>-9.9080713000000001E-2</v>
      </c>
      <c r="J50"/>
    </row>
    <row r="51" spans="1:10" ht="13" hidden="1">
      <c r="A51" s="2980">
        <v>10</v>
      </c>
      <c r="B51" s="2981" t="s">
        <v>5656</v>
      </c>
      <c r="C51" s="2981" t="s">
        <v>5657</v>
      </c>
      <c r="D51" s="2980">
        <v>1023210</v>
      </c>
      <c r="E51" s="2981" t="s">
        <v>5679</v>
      </c>
      <c r="F51" s="2994">
        <v>-0.32897416599999979</v>
      </c>
      <c r="J51"/>
    </row>
    <row r="52" spans="1:10" ht="13" hidden="1">
      <c r="A52" s="2980">
        <v>10</v>
      </c>
      <c r="B52" s="2981" t="s">
        <v>5656</v>
      </c>
      <c r="C52" s="2981" t="s">
        <v>5657</v>
      </c>
      <c r="D52" s="2980">
        <v>1023212</v>
      </c>
      <c r="E52" s="2981" t="s">
        <v>5680</v>
      </c>
      <c r="F52" s="2994">
        <v>-1.2485184E-2</v>
      </c>
      <c r="J52"/>
    </row>
    <row r="53" spans="1:10" ht="13" hidden="1">
      <c r="A53" s="2980">
        <v>10</v>
      </c>
      <c r="B53" s="2981" t="s">
        <v>5656</v>
      </c>
      <c r="C53" s="2981" t="s">
        <v>5657</v>
      </c>
      <c r="D53" s="2980">
        <v>1023214</v>
      </c>
      <c r="E53" s="2981" t="s">
        <v>5681</v>
      </c>
      <c r="F53" s="2994">
        <v>-0.2795372359999998</v>
      </c>
      <c r="J53"/>
    </row>
    <row r="54" spans="1:10" ht="13" hidden="1">
      <c r="A54" s="2980">
        <v>10</v>
      </c>
      <c r="B54" s="2981" t="s">
        <v>5656</v>
      </c>
      <c r="C54" s="2981" t="s">
        <v>5657</v>
      </c>
      <c r="D54" s="2980">
        <v>1023215</v>
      </c>
      <c r="E54" s="2981" t="s">
        <v>5682</v>
      </c>
      <c r="F54" s="2994">
        <v>7.9825797999999962E-2</v>
      </c>
      <c r="J54"/>
    </row>
    <row r="55" spans="1:10" ht="13" hidden="1">
      <c r="A55" s="2980">
        <v>10</v>
      </c>
      <c r="B55" s="2981" t="s">
        <v>5656</v>
      </c>
      <c r="C55" s="2981" t="s">
        <v>5657</v>
      </c>
      <c r="D55" s="2980">
        <v>1023218</v>
      </c>
      <c r="E55" s="2981" t="s">
        <v>5683</v>
      </c>
      <c r="F55" s="2994">
        <v>0.24656331699999998</v>
      </c>
      <c r="J55"/>
    </row>
    <row r="56" spans="1:10" ht="13" hidden="1">
      <c r="A56" s="2980">
        <v>10</v>
      </c>
      <c r="B56" s="2981" t="s">
        <v>5656</v>
      </c>
      <c r="C56" s="2981" t="s">
        <v>5657</v>
      </c>
      <c r="D56" s="2980">
        <v>1023220</v>
      </c>
      <c r="E56" s="2981" t="s">
        <v>5684</v>
      </c>
      <c r="F56" s="2994">
        <v>0.39294471599999997</v>
      </c>
      <c r="J56"/>
    </row>
    <row r="57" spans="1:10" ht="13" hidden="1">
      <c r="A57" s="2980">
        <v>10</v>
      </c>
      <c r="B57" s="2981" t="s">
        <v>5656</v>
      </c>
      <c r="C57" s="2981" t="s">
        <v>5657</v>
      </c>
      <c r="D57" s="2980">
        <v>1023222</v>
      </c>
      <c r="E57" s="2981" t="s">
        <v>5685</v>
      </c>
      <c r="F57" s="2994">
        <v>1.5659590999999997E-2</v>
      </c>
      <c r="J57"/>
    </row>
    <row r="58" spans="1:10" ht="13" hidden="1">
      <c r="A58" s="2980">
        <v>10</v>
      </c>
      <c r="B58" s="2981" t="s">
        <v>5656</v>
      </c>
      <c r="C58" s="2981" t="s">
        <v>5657</v>
      </c>
      <c r="D58" s="2980">
        <v>1023224</v>
      </c>
      <c r="E58" s="2981" t="s">
        <v>5686</v>
      </c>
      <c r="F58" s="2994">
        <v>-0.111441124</v>
      </c>
      <c r="J58"/>
    </row>
    <row r="59" spans="1:10" ht="13" hidden="1">
      <c r="A59" s="2980">
        <v>10</v>
      </c>
      <c r="B59" s="2981" t="s">
        <v>5656</v>
      </c>
      <c r="C59" s="2981" t="s">
        <v>5657</v>
      </c>
      <c r="D59" s="2980">
        <v>1023226</v>
      </c>
      <c r="E59" s="2981" t="s">
        <v>5687</v>
      </c>
      <c r="F59" s="2994">
        <v>0.14393219400000001</v>
      </c>
      <c r="J59"/>
    </row>
    <row r="60" spans="1:10" ht="13" hidden="1">
      <c r="A60" s="2980">
        <v>10</v>
      </c>
      <c r="B60" s="2981" t="s">
        <v>5656</v>
      </c>
      <c r="C60" s="2981" t="s">
        <v>5657</v>
      </c>
      <c r="D60" s="2980">
        <v>1023501</v>
      </c>
      <c r="E60" s="2981" t="s">
        <v>5688</v>
      </c>
      <c r="F60" s="2994">
        <v>0</v>
      </c>
      <c r="J60"/>
    </row>
    <row r="61" spans="1:10" ht="13" hidden="1">
      <c r="A61" s="2980">
        <v>10</v>
      </c>
      <c r="B61" s="2981" t="s">
        <v>5656</v>
      </c>
      <c r="C61" s="2981" t="s">
        <v>5657</v>
      </c>
      <c r="D61" s="2980">
        <v>1023503</v>
      </c>
      <c r="E61" s="2981" t="s">
        <v>5689</v>
      </c>
      <c r="F61" s="2994">
        <v>0</v>
      </c>
      <c r="J61"/>
    </row>
    <row r="62" spans="1:10" ht="13" hidden="1">
      <c r="A62" s="2980">
        <v>10</v>
      </c>
      <c r="B62" s="2981" t="s">
        <v>5656</v>
      </c>
      <c r="C62" s="2981" t="s">
        <v>5657</v>
      </c>
      <c r="D62" s="2980">
        <v>1023506</v>
      </c>
      <c r="E62" s="2981" t="s">
        <v>5690</v>
      </c>
      <c r="F62" s="2994">
        <v>0</v>
      </c>
      <c r="J62"/>
    </row>
    <row r="63" spans="1:10" ht="13" hidden="1">
      <c r="A63" s="2980">
        <v>10</v>
      </c>
      <c r="B63" s="2981" t="s">
        <v>5656</v>
      </c>
      <c r="C63" s="2981" t="s">
        <v>5657</v>
      </c>
      <c r="D63" s="2980">
        <v>1023507</v>
      </c>
      <c r="E63" s="2981" t="s">
        <v>5691</v>
      </c>
      <c r="F63" s="2994">
        <v>0</v>
      </c>
      <c r="J63"/>
    </row>
    <row r="64" spans="1:10" ht="13" hidden="1">
      <c r="A64" s="2980">
        <v>10</v>
      </c>
      <c r="B64" s="2981" t="s">
        <v>5656</v>
      </c>
      <c r="C64" s="2981" t="s">
        <v>5657</v>
      </c>
      <c r="D64" s="2980">
        <v>1023509</v>
      </c>
      <c r="E64" s="2981" t="s">
        <v>5692</v>
      </c>
      <c r="F64" s="2994">
        <v>0</v>
      </c>
      <c r="J64"/>
    </row>
    <row r="65" spans="1:10" ht="13" hidden="1">
      <c r="A65" s="2980">
        <v>10</v>
      </c>
      <c r="B65" s="2981" t="s">
        <v>5656</v>
      </c>
      <c r="C65" s="2981" t="s">
        <v>5657</v>
      </c>
      <c r="D65" s="2980">
        <v>1023512</v>
      </c>
      <c r="E65" s="2981" t="s">
        <v>5693</v>
      </c>
      <c r="F65" s="2994">
        <v>0</v>
      </c>
      <c r="J65"/>
    </row>
    <row r="66" spans="1:10" ht="13" hidden="1">
      <c r="A66" s="2980">
        <v>10</v>
      </c>
      <c r="B66" s="2981" t="s">
        <v>5656</v>
      </c>
      <c r="C66" s="2981" t="s">
        <v>5657</v>
      </c>
      <c r="D66" s="2980">
        <v>1023515</v>
      </c>
      <c r="E66" s="2981" t="s">
        <v>5694</v>
      </c>
      <c r="F66" s="2994">
        <v>0</v>
      </c>
      <c r="J66"/>
    </row>
    <row r="67" spans="1:10" ht="13" hidden="1">
      <c r="A67" s="2980">
        <v>10</v>
      </c>
      <c r="B67" s="2981" t="s">
        <v>5656</v>
      </c>
      <c r="C67" s="2981" t="s">
        <v>5657</v>
      </c>
      <c r="D67" s="2980">
        <v>1023518</v>
      </c>
      <c r="E67" s="2981" t="s">
        <v>5695</v>
      </c>
      <c r="F67" s="2994">
        <v>0</v>
      </c>
      <c r="J67"/>
    </row>
    <row r="68" spans="1:10" ht="13" hidden="1">
      <c r="A68" s="2980">
        <v>10</v>
      </c>
      <c r="B68" s="2981" t="s">
        <v>5656</v>
      </c>
      <c r="C68" s="2981" t="s">
        <v>5657</v>
      </c>
      <c r="D68" s="2980">
        <v>1023520</v>
      </c>
      <c r="E68" s="2981" t="s">
        <v>5696</v>
      </c>
      <c r="F68" s="2994">
        <v>0</v>
      </c>
      <c r="J68"/>
    </row>
    <row r="69" spans="1:10" ht="13" hidden="1">
      <c r="A69" s="2980">
        <v>10</v>
      </c>
      <c r="B69" s="2981" t="s">
        <v>5656</v>
      </c>
      <c r="C69" s="2981" t="s">
        <v>5657</v>
      </c>
      <c r="D69" s="2980">
        <v>1023524</v>
      </c>
      <c r="E69" s="2981" t="s">
        <v>5697</v>
      </c>
      <c r="F69" s="2994">
        <v>0</v>
      </c>
      <c r="J69"/>
    </row>
    <row r="70" spans="1:10" ht="13" hidden="1">
      <c r="A70" s="2980">
        <v>10</v>
      </c>
      <c r="B70" s="2981" t="s">
        <v>5656</v>
      </c>
      <c r="C70" s="2981" t="s">
        <v>5657</v>
      </c>
      <c r="D70" s="2980">
        <v>1023526</v>
      </c>
      <c r="E70" s="2981" t="s">
        <v>5698</v>
      </c>
      <c r="F70" s="2994">
        <v>0</v>
      </c>
      <c r="J70"/>
    </row>
    <row r="71" spans="1:10" ht="13" hidden="1">
      <c r="A71" s="2980">
        <v>10</v>
      </c>
      <c r="B71" s="2981" t="s">
        <v>5656</v>
      </c>
      <c r="C71" s="2981" t="s">
        <v>5657</v>
      </c>
      <c r="D71" s="2980">
        <v>1023535</v>
      </c>
      <c r="E71" s="2981" t="s">
        <v>5699</v>
      </c>
      <c r="F71" s="2994">
        <v>0</v>
      </c>
      <c r="J71"/>
    </row>
    <row r="72" spans="1:10" ht="13" hidden="1">
      <c r="A72" s="2980">
        <v>10</v>
      </c>
      <c r="B72" s="2981" t="s">
        <v>5656</v>
      </c>
      <c r="C72" s="2981" t="s">
        <v>5657</v>
      </c>
      <c r="D72" s="2980">
        <v>1023537</v>
      </c>
      <c r="E72" s="2981" t="s">
        <v>5700</v>
      </c>
      <c r="F72" s="2994">
        <v>0</v>
      </c>
      <c r="J72"/>
    </row>
    <row r="73" spans="1:10" ht="13" hidden="1">
      <c r="A73" s="2980">
        <v>10</v>
      </c>
      <c r="B73" s="2981" t="s">
        <v>5656</v>
      </c>
      <c r="C73" s="2981" t="s">
        <v>5657</v>
      </c>
      <c r="D73" s="2980">
        <v>1023540</v>
      </c>
      <c r="E73" s="2981" t="s">
        <v>5701</v>
      </c>
      <c r="F73" s="2994">
        <v>0</v>
      </c>
      <c r="J73"/>
    </row>
    <row r="74" spans="1:10" ht="13" hidden="1">
      <c r="A74" s="2980">
        <v>10</v>
      </c>
      <c r="B74" s="2981" t="s">
        <v>5656</v>
      </c>
      <c r="C74" s="2981" t="s">
        <v>5657</v>
      </c>
      <c r="D74" s="2980">
        <v>1023541</v>
      </c>
      <c r="E74" s="2981" t="s">
        <v>5702</v>
      </c>
      <c r="F74" s="2994">
        <v>0</v>
      </c>
      <c r="J74"/>
    </row>
    <row r="75" spans="1:10" ht="13" hidden="1">
      <c r="A75" s="2980">
        <v>10</v>
      </c>
      <c r="B75" s="2981" t="s">
        <v>5656</v>
      </c>
      <c r="C75" s="2981" t="s">
        <v>5657</v>
      </c>
      <c r="D75" s="2980">
        <v>1023543</v>
      </c>
      <c r="E75" s="2981" t="s">
        <v>5703</v>
      </c>
      <c r="F75" s="2994">
        <v>0</v>
      </c>
      <c r="J75"/>
    </row>
    <row r="76" spans="1:10" ht="13" hidden="1">
      <c r="A76" s="2980">
        <v>10</v>
      </c>
      <c r="B76" s="2981" t="s">
        <v>5656</v>
      </c>
      <c r="C76" s="2981" t="s">
        <v>5657</v>
      </c>
      <c r="D76" s="2980">
        <v>1023549</v>
      </c>
      <c r="E76" s="2981" t="s">
        <v>5704</v>
      </c>
      <c r="F76" s="2994">
        <v>0</v>
      </c>
      <c r="J76"/>
    </row>
    <row r="77" spans="1:10" ht="13" hidden="1">
      <c r="A77" s="2980">
        <v>10</v>
      </c>
      <c r="B77" s="2981" t="s">
        <v>5656</v>
      </c>
      <c r="C77" s="2981" t="s">
        <v>5657</v>
      </c>
      <c r="D77" s="2980">
        <v>1023552</v>
      </c>
      <c r="E77" s="2981" t="s">
        <v>5705</v>
      </c>
      <c r="F77" s="2994">
        <v>0</v>
      </c>
      <c r="J77"/>
    </row>
    <row r="78" spans="1:10" ht="13" hidden="1">
      <c r="A78" s="2980">
        <v>10</v>
      </c>
      <c r="B78" s="2981" t="s">
        <v>5656</v>
      </c>
      <c r="C78" s="2981" t="s">
        <v>5657</v>
      </c>
      <c r="D78" s="2980">
        <v>1023560</v>
      </c>
      <c r="E78" s="2981" t="s">
        <v>5706</v>
      </c>
      <c r="F78" s="2994">
        <v>0</v>
      </c>
      <c r="J78"/>
    </row>
    <row r="79" spans="1:10" ht="13" hidden="1">
      <c r="A79" s="2980">
        <v>10</v>
      </c>
      <c r="B79" s="2981" t="s">
        <v>5656</v>
      </c>
      <c r="C79" s="2981" t="s">
        <v>5657</v>
      </c>
      <c r="D79" s="2980">
        <v>1023701</v>
      </c>
      <c r="E79" s="2981" t="s">
        <v>5707</v>
      </c>
      <c r="F79" s="2994">
        <v>2.7051400619999999</v>
      </c>
      <c r="J79"/>
    </row>
    <row r="80" spans="1:10" ht="13" hidden="1">
      <c r="A80" s="2980">
        <v>10</v>
      </c>
      <c r="B80" s="2981" t="s">
        <v>5656</v>
      </c>
      <c r="C80" s="2981" t="s">
        <v>5657</v>
      </c>
      <c r="D80" s="2980">
        <v>1023702</v>
      </c>
      <c r="E80" s="2981" t="s">
        <v>8158</v>
      </c>
      <c r="F80" s="2994">
        <v>0</v>
      </c>
      <c r="J80"/>
    </row>
    <row r="81" spans="1:10" ht="13" hidden="1">
      <c r="A81" s="2980">
        <v>10</v>
      </c>
      <c r="B81" s="2981" t="s">
        <v>5656</v>
      </c>
      <c r="C81" s="2981" t="s">
        <v>5657</v>
      </c>
      <c r="D81" s="2980">
        <v>1023706</v>
      </c>
      <c r="E81" s="2981" t="s">
        <v>5708</v>
      </c>
      <c r="F81" s="2994">
        <v>0</v>
      </c>
      <c r="J81"/>
    </row>
    <row r="82" spans="1:10" ht="13" hidden="1">
      <c r="A82" s="2980">
        <v>10</v>
      </c>
      <c r="B82" s="2981" t="s">
        <v>5656</v>
      </c>
      <c r="C82" s="2981" t="s">
        <v>5657</v>
      </c>
      <c r="D82" s="2980">
        <v>1023707</v>
      </c>
      <c r="E82" s="2981" t="s">
        <v>5709</v>
      </c>
      <c r="F82" s="2994">
        <v>4.2760230000000021E-3</v>
      </c>
      <c r="J82"/>
    </row>
    <row r="83" spans="1:10" ht="13" hidden="1">
      <c r="A83" s="2980">
        <v>10</v>
      </c>
      <c r="B83" s="2981" t="s">
        <v>5656</v>
      </c>
      <c r="C83" s="2981" t="s">
        <v>5657</v>
      </c>
      <c r="D83" s="2980">
        <v>1023719</v>
      </c>
      <c r="E83" s="2981" t="s">
        <v>5710</v>
      </c>
      <c r="F83" s="2994">
        <v>-0.51304164600007063</v>
      </c>
      <c r="J83"/>
    </row>
    <row r="84" spans="1:10" ht="13" hidden="1">
      <c r="A84" s="2980">
        <v>10</v>
      </c>
      <c r="B84" s="2981" t="s">
        <v>5656</v>
      </c>
      <c r="C84" s="2981" t="s">
        <v>5657</v>
      </c>
      <c r="D84" s="2980">
        <v>1023801</v>
      </c>
      <c r="E84" s="2981" t="s">
        <v>5711</v>
      </c>
      <c r="F84" s="2994">
        <v>-61.170917209999999</v>
      </c>
      <c r="J84"/>
    </row>
    <row r="85" spans="1:10" ht="13" hidden="1">
      <c r="A85" s="2980">
        <v>10</v>
      </c>
      <c r="B85" s="2981" t="s">
        <v>5656</v>
      </c>
      <c r="C85" s="2981" t="s">
        <v>5657</v>
      </c>
      <c r="D85" s="2980">
        <v>1023811</v>
      </c>
      <c r="E85" s="2981" t="s">
        <v>5712</v>
      </c>
      <c r="F85" s="2994">
        <v>61.170917199999998</v>
      </c>
      <c r="J85"/>
    </row>
    <row r="86" spans="1:10" ht="13" hidden="1">
      <c r="A86" s="2980">
        <v>11</v>
      </c>
      <c r="B86" s="2981" t="s">
        <v>5656</v>
      </c>
      <c r="C86" s="2981" t="s">
        <v>5713</v>
      </c>
      <c r="D86" s="2980">
        <v>1023917</v>
      </c>
      <c r="E86" s="2981" t="s">
        <v>5714</v>
      </c>
      <c r="F86" s="2994">
        <v>-36.755769206579998</v>
      </c>
      <c r="J86"/>
    </row>
    <row r="87" spans="1:10" ht="13" hidden="1">
      <c r="A87" s="2980">
        <v>13</v>
      </c>
      <c r="B87" s="2981" t="s">
        <v>5715</v>
      </c>
      <c r="C87" s="2981" t="s">
        <v>5716</v>
      </c>
      <c r="D87" s="2980">
        <v>1024110</v>
      </c>
      <c r="E87" s="2981" t="s">
        <v>5717</v>
      </c>
      <c r="F87" s="2994">
        <v>5.2523999999999995E-4</v>
      </c>
      <c r="J87"/>
    </row>
    <row r="88" spans="1:10" ht="13" hidden="1">
      <c r="A88" s="2980">
        <v>13</v>
      </c>
      <c r="B88" s="2981" t="s">
        <v>5715</v>
      </c>
      <c r="C88" s="2981" t="s">
        <v>5716</v>
      </c>
      <c r="D88" s="2980">
        <v>1024111</v>
      </c>
      <c r="E88" s="2981" t="s">
        <v>5718</v>
      </c>
      <c r="F88" s="2994">
        <v>12.996185079999986</v>
      </c>
      <c r="J88"/>
    </row>
    <row r="89" spans="1:10" ht="13" hidden="1">
      <c r="A89" s="2980">
        <v>13</v>
      </c>
      <c r="B89" s="2981" t="s">
        <v>5715</v>
      </c>
      <c r="C89" s="2981" t="s">
        <v>5716</v>
      </c>
      <c r="D89" s="2980">
        <v>1024112</v>
      </c>
      <c r="E89" s="2981" t="s">
        <v>5719</v>
      </c>
      <c r="F89" s="2994">
        <v>3.1379575000000076E-2</v>
      </c>
      <c r="J89"/>
    </row>
    <row r="90" spans="1:10" ht="13" hidden="1">
      <c r="A90" s="2980">
        <v>13</v>
      </c>
      <c r="B90" s="2981" t="s">
        <v>5715</v>
      </c>
      <c r="C90" s="2981" t="s">
        <v>5716</v>
      </c>
      <c r="D90" s="2980">
        <v>1024120</v>
      </c>
      <c r="E90" s="2981" t="s">
        <v>2784</v>
      </c>
      <c r="F90" s="2994">
        <v>4.0483799999999999E-3</v>
      </c>
      <c r="J90"/>
    </row>
    <row r="91" spans="1:10" ht="13" hidden="1">
      <c r="A91" s="2980">
        <v>13</v>
      </c>
      <c r="B91" s="2981" t="s">
        <v>5715</v>
      </c>
      <c r="C91" s="2981" t="s">
        <v>5716</v>
      </c>
      <c r="D91" s="2980">
        <v>1024125</v>
      </c>
      <c r="E91" s="2981" t="s">
        <v>5720</v>
      </c>
      <c r="F91" s="2994">
        <v>4.8575999999999997E-5</v>
      </c>
      <c r="J91"/>
    </row>
    <row r="92" spans="1:10" ht="13" hidden="1">
      <c r="A92" s="2980">
        <v>5</v>
      </c>
      <c r="B92" s="2981" t="s">
        <v>5730</v>
      </c>
      <c r="C92" s="2981" t="s">
        <v>5784</v>
      </c>
      <c r="D92" s="2980">
        <v>1024191</v>
      </c>
      <c r="E92" s="2981" t="s">
        <v>2788</v>
      </c>
      <c r="F92" s="2994">
        <v>1.14812048</v>
      </c>
      <c r="J92"/>
    </row>
    <row r="93" spans="1:10" ht="13" hidden="1">
      <c r="A93" s="2980">
        <v>5</v>
      </c>
      <c r="B93" s="2981" t="s">
        <v>5730</v>
      </c>
      <c r="C93" s="2981" t="s">
        <v>5784</v>
      </c>
      <c r="D93" s="2980">
        <v>1024192</v>
      </c>
      <c r="E93" s="2981" t="s">
        <v>5721</v>
      </c>
      <c r="F93" s="2994">
        <v>-0.20818498400000002</v>
      </c>
      <c r="J93"/>
    </row>
    <row r="94" spans="1:10" ht="13" hidden="1">
      <c r="A94" s="2980">
        <v>5</v>
      </c>
      <c r="B94" s="2981" t="s">
        <v>5730</v>
      </c>
      <c r="C94" s="2981" t="s">
        <v>5784</v>
      </c>
      <c r="D94" s="2980">
        <v>1024193</v>
      </c>
      <c r="E94" s="2981" t="s">
        <v>5722</v>
      </c>
      <c r="F94" s="2994">
        <v>-3.1607961999999996E-2</v>
      </c>
      <c r="J94"/>
    </row>
    <row r="95" spans="1:10" ht="13" hidden="1">
      <c r="A95" s="2980">
        <v>15</v>
      </c>
      <c r="B95" s="2981" t="s">
        <v>5739</v>
      </c>
      <c r="C95" s="2981" t="s">
        <v>5739</v>
      </c>
      <c r="D95" s="2980">
        <v>1024210</v>
      </c>
      <c r="E95" s="2981" t="s">
        <v>5723</v>
      </c>
      <c r="F95" s="2994">
        <v>4.3895854999999998E-2</v>
      </c>
      <c r="J95"/>
    </row>
    <row r="96" spans="1:10" ht="13" hidden="1">
      <c r="A96" s="2980">
        <v>15</v>
      </c>
      <c r="B96" s="2981" t="s">
        <v>5739</v>
      </c>
      <c r="C96" s="2981" t="s">
        <v>5739</v>
      </c>
      <c r="D96" s="2980">
        <v>1024211</v>
      </c>
      <c r="E96" s="2981" t="s">
        <v>8159</v>
      </c>
      <c r="F96" s="2994">
        <v>1E-4</v>
      </c>
      <c r="J96"/>
    </row>
    <row r="97" spans="1:10" ht="13" hidden="1">
      <c r="A97" s="2980">
        <v>15</v>
      </c>
      <c r="B97" s="2981" t="s">
        <v>5739</v>
      </c>
      <c r="C97" s="2981" t="s">
        <v>5739</v>
      </c>
      <c r="D97" s="2980">
        <v>1024220</v>
      </c>
      <c r="E97" s="2981" t="s">
        <v>5724</v>
      </c>
      <c r="F97" s="2994">
        <v>0.67742990300000006</v>
      </c>
      <c r="J97"/>
    </row>
    <row r="98" spans="1:10" ht="13" hidden="1">
      <c r="A98" s="2980">
        <v>15</v>
      </c>
      <c r="B98" s="2981" t="s">
        <v>5739</v>
      </c>
      <c r="C98" s="2981" t="s">
        <v>5739</v>
      </c>
      <c r="D98" s="2980">
        <v>1024230</v>
      </c>
      <c r="E98" s="2981" t="s">
        <v>5725</v>
      </c>
      <c r="F98" s="2994">
        <v>1.83679E-2</v>
      </c>
      <c r="J98"/>
    </row>
    <row r="99" spans="1:10" ht="13" hidden="1">
      <c r="A99" s="2980">
        <v>15</v>
      </c>
      <c r="B99" s="2981" t="s">
        <v>5739</v>
      </c>
      <c r="C99" s="2981" t="s">
        <v>5739</v>
      </c>
      <c r="D99" s="2980">
        <v>1024240</v>
      </c>
      <c r="E99" s="2981" t="s">
        <v>5726</v>
      </c>
      <c r="F99" s="2993">
        <v>6.4999999999999997E-4</v>
      </c>
      <c r="J99"/>
    </row>
    <row r="100" spans="1:10" ht="13" hidden="1">
      <c r="A100" s="2980">
        <v>5</v>
      </c>
      <c r="B100" s="2982" t="s">
        <v>5730</v>
      </c>
      <c r="C100" s="2982" t="s">
        <v>5784</v>
      </c>
      <c r="D100" s="2982">
        <v>1024501</v>
      </c>
      <c r="E100" s="2982" t="s">
        <v>5728</v>
      </c>
      <c r="F100" s="2993">
        <v>-0.24192402200000002</v>
      </c>
      <c r="J100"/>
    </row>
    <row r="101" spans="1:10" ht="13" hidden="1">
      <c r="A101" s="2983">
        <v>5</v>
      </c>
      <c r="B101" s="2982" t="s">
        <v>5730</v>
      </c>
      <c r="C101" s="2982" t="s">
        <v>5784</v>
      </c>
      <c r="D101" s="2982">
        <v>1024601</v>
      </c>
      <c r="E101" s="2982" t="s">
        <v>5729</v>
      </c>
      <c r="F101" s="2993">
        <v>0.37699310000000003</v>
      </c>
      <c r="J101"/>
    </row>
    <row r="102" spans="1:10" ht="13" hidden="1">
      <c r="A102" s="2983">
        <v>4</v>
      </c>
      <c r="B102" s="2982" t="s">
        <v>5730</v>
      </c>
      <c r="C102" s="2982" t="s">
        <v>5731</v>
      </c>
      <c r="D102" s="2982">
        <v>1024701</v>
      </c>
      <c r="E102" s="2982" t="s">
        <v>5732</v>
      </c>
      <c r="F102" s="2993">
        <v>293.11222739999999</v>
      </c>
      <c r="J102"/>
    </row>
    <row r="103" spans="1:10" ht="13" hidden="1">
      <c r="A103" s="2983">
        <v>4</v>
      </c>
      <c r="B103" s="2982" t="s">
        <v>5730</v>
      </c>
      <c r="C103" s="2982" t="s">
        <v>5731</v>
      </c>
      <c r="D103" s="2982">
        <v>1024707</v>
      </c>
      <c r="E103" s="2982" t="s">
        <v>5733</v>
      </c>
      <c r="F103" s="2993">
        <v>73.067409589000007</v>
      </c>
      <c r="J103"/>
    </row>
    <row r="104" spans="1:10" ht="13" hidden="1">
      <c r="A104" s="2983">
        <v>17</v>
      </c>
      <c r="B104" s="2982" t="s">
        <v>5734</v>
      </c>
      <c r="C104" s="2982" t="s">
        <v>5735</v>
      </c>
      <c r="D104" s="2982">
        <v>1025201</v>
      </c>
      <c r="E104" s="2982" t="s">
        <v>5736</v>
      </c>
      <c r="F104" s="2993">
        <v>1E-4</v>
      </c>
      <c r="J104"/>
    </row>
    <row r="105" spans="1:10" ht="13" hidden="1">
      <c r="A105" s="2983">
        <v>17</v>
      </c>
      <c r="B105" s="2982" t="s">
        <v>5734</v>
      </c>
      <c r="C105" s="2982" t="s">
        <v>5735</v>
      </c>
      <c r="D105" s="2982">
        <v>1025501</v>
      </c>
      <c r="E105" s="2982" t="s">
        <v>5737</v>
      </c>
      <c r="F105" s="2993">
        <v>0.35338312</v>
      </c>
      <c r="J105"/>
    </row>
    <row r="106" spans="1:10" ht="13" hidden="1">
      <c r="A106" s="2983">
        <v>17</v>
      </c>
      <c r="B106" s="2982" t="s">
        <v>5734</v>
      </c>
      <c r="C106" s="2982" t="s">
        <v>5735</v>
      </c>
      <c r="D106" s="2982">
        <v>1025571</v>
      </c>
      <c r="E106" s="2982" t="s">
        <v>4967</v>
      </c>
      <c r="F106" s="2993">
        <v>0.44419713399999999</v>
      </c>
      <c r="J106"/>
    </row>
    <row r="107" spans="1:10" ht="13" hidden="1">
      <c r="A107" s="2983">
        <v>15</v>
      </c>
      <c r="B107" s="2982" t="s">
        <v>5739</v>
      </c>
      <c r="C107" s="2982" t="s">
        <v>5739</v>
      </c>
      <c r="D107" s="2982">
        <v>1026501</v>
      </c>
      <c r="E107" s="2982" t="s">
        <v>5740</v>
      </c>
      <c r="F107" s="2993">
        <v>8.5814600000000005E-2</v>
      </c>
      <c r="J107"/>
    </row>
    <row r="108" spans="1:10" ht="13" hidden="1">
      <c r="A108" s="2983">
        <v>17</v>
      </c>
      <c r="B108" s="2982" t="s">
        <v>5738</v>
      </c>
      <c r="C108" s="2982" t="s">
        <v>5739</v>
      </c>
      <c r="D108" s="2982">
        <v>1026502</v>
      </c>
      <c r="E108" s="2982" t="s">
        <v>2831</v>
      </c>
      <c r="F108" s="2993">
        <v>1.2787099999999999E-2</v>
      </c>
      <c r="J108"/>
    </row>
    <row r="109" spans="1:10" ht="13" hidden="1">
      <c r="A109" s="2983">
        <v>17</v>
      </c>
      <c r="B109" s="2982" t="s">
        <v>5738</v>
      </c>
      <c r="C109" s="2982" t="s">
        <v>5739</v>
      </c>
      <c r="D109" s="2982">
        <v>1026503</v>
      </c>
      <c r="E109" s="2982" t="s">
        <v>2832</v>
      </c>
      <c r="F109" s="2993">
        <v>0.156582675</v>
      </c>
      <c r="J109"/>
    </row>
    <row r="110" spans="1:10" ht="13" hidden="1">
      <c r="A110" s="2983">
        <v>17</v>
      </c>
      <c r="B110" s="2982" t="s">
        <v>5738</v>
      </c>
      <c r="C110" s="2982" t="s">
        <v>5739</v>
      </c>
      <c r="D110" s="2982">
        <v>1026504</v>
      </c>
      <c r="E110" s="2982" t="s">
        <v>2833</v>
      </c>
      <c r="F110" s="2993">
        <v>0.41374560000000005</v>
      </c>
      <c r="J110"/>
    </row>
    <row r="111" spans="1:10" ht="13" hidden="1">
      <c r="A111" s="2983">
        <v>17</v>
      </c>
      <c r="B111" s="2982" t="s">
        <v>5738</v>
      </c>
      <c r="C111" s="2982" t="s">
        <v>5739</v>
      </c>
      <c r="D111" s="2982">
        <v>1026508</v>
      </c>
      <c r="E111" s="2982" t="s">
        <v>5741</v>
      </c>
      <c r="F111" s="2993">
        <v>5.2315800000000003E-2</v>
      </c>
      <c r="J111"/>
    </row>
    <row r="112" spans="1:10" ht="13" hidden="1">
      <c r="A112" s="2983">
        <v>17</v>
      </c>
      <c r="B112" s="2982" t="s">
        <v>5738</v>
      </c>
      <c r="C112" s="2982" t="s">
        <v>5739</v>
      </c>
      <c r="D112" s="2982">
        <v>1026509</v>
      </c>
      <c r="E112" s="2982" t="s">
        <v>5742</v>
      </c>
      <c r="F112" s="2993">
        <v>6.8015599999999996E-2</v>
      </c>
      <c r="J112"/>
    </row>
    <row r="113" spans="1:10" ht="13" hidden="1">
      <c r="A113" s="2983">
        <v>17</v>
      </c>
      <c r="B113" s="2982" t="s">
        <v>5738</v>
      </c>
      <c r="C113" s="2982" t="s">
        <v>5739</v>
      </c>
      <c r="D113" s="2982">
        <v>1026601</v>
      </c>
      <c r="E113" s="2982" t="s">
        <v>5743</v>
      </c>
      <c r="F113" s="2993">
        <v>0.81062418000000003</v>
      </c>
      <c r="J113"/>
    </row>
    <row r="114" spans="1:10" ht="13" hidden="1">
      <c r="A114" s="2983">
        <v>17</v>
      </c>
      <c r="B114" s="2982" t="s">
        <v>5738</v>
      </c>
      <c r="C114" s="2982" t="s">
        <v>5739</v>
      </c>
      <c r="D114" s="2982">
        <v>1027101</v>
      </c>
      <c r="E114" s="2982" t="s">
        <v>8160</v>
      </c>
      <c r="F114" s="2993">
        <v>2.7599999999999999E-4</v>
      </c>
      <c r="J114"/>
    </row>
    <row r="115" spans="1:10" ht="13" hidden="1">
      <c r="A115" s="2983">
        <v>17</v>
      </c>
      <c r="B115" s="2982" t="s">
        <v>5738</v>
      </c>
      <c r="C115" s="2982" t="s">
        <v>5739</v>
      </c>
      <c r="D115" s="2982">
        <v>1027104</v>
      </c>
      <c r="E115" s="2982" t="s">
        <v>7284</v>
      </c>
      <c r="F115" s="2993">
        <v>-3.0219999999999997E-4</v>
      </c>
      <c r="J115"/>
    </row>
    <row r="116" spans="1:10" ht="13" hidden="1">
      <c r="A116" s="2983">
        <v>17</v>
      </c>
      <c r="B116" s="2982" t="s">
        <v>5738</v>
      </c>
      <c r="C116" s="2982" t="s">
        <v>5739</v>
      </c>
      <c r="D116" s="2982">
        <v>1027201</v>
      </c>
      <c r="E116" s="2982" t="s">
        <v>5744</v>
      </c>
      <c r="F116" s="2993">
        <v>0.27566740000000001</v>
      </c>
      <c r="J116"/>
    </row>
    <row r="117" spans="1:10" ht="13" hidden="1">
      <c r="A117" s="2983">
        <v>17</v>
      </c>
      <c r="B117" s="2982" t="s">
        <v>5738</v>
      </c>
      <c r="C117" s="2982" t="s">
        <v>5739</v>
      </c>
      <c r="D117" s="2982">
        <v>1027202</v>
      </c>
      <c r="E117" s="2982" t="s">
        <v>5745</v>
      </c>
      <c r="F117" s="2993">
        <v>0.10720655999999999</v>
      </c>
      <c r="J117"/>
    </row>
    <row r="118" spans="1:10" ht="13" hidden="1">
      <c r="A118" s="2983">
        <v>17</v>
      </c>
      <c r="B118" s="2982" t="s">
        <v>5738</v>
      </c>
      <c r="C118" s="2982" t="s">
        <v>5739</v>
      </c>
      <c r="D118" s="2982">
        <v>1027206</v>
      </c>
      <c r="E118" s="2982" t="s">
        <v>2849</v>
      </c>
      <c r="F118" s="2993">
        <v>0.44160348500000002</v>
      </c>
      <c r="J118"/>
    </row>
    <row r="119" spans="1:10" ht="13" hidden="1">
      <c r="A119" s="2983">
        <v>15</v>
      </c>
      <c r="B119" s="2982" t="s">
        <v>5730</v>
      </c>
      <c r="C119" s="2982" t="s">
        <v>3394</v>
      </c>
      <c r="D119" s="2982">
        <v>1027207</v>
      </c>
      <c r="E119" s="2982" t="s">
        <v>5746</v>
      </c>
      <c r="F119" s="2993">
        <v>-5.0000000000000001E-4</v>
      </c>
      <c r="J119"/>
    </row>
    <row r="120" spans="1:10" ht="13" hidden="1">
      <c r="A120" s="2983">
        <v>17</v>
      </c>
      <c r="B120" s="2982" t="s">
        <v>5738</v>
      </c>
      <c r="C120" s="2982" t="s">
        <v>5739</v>
      </c>
      <c r="D120" s="2982">
        <v>1027208</v>
      </c>
      <c r="E120" s="2982" t="s">
        <v>5747</v>
      </c>
      <c r="F120" s="2993">
        <v>0.18490601000000001</v>
      </c>
      <c r="J120"/>
    </row>
    <row r="121" spans="1:10" ht="13" hidden="1">
      <c r="A121" s="2983">
        <v>17</v>
      </c>
      <c r="B121" s="2982" t="s">
        <v>5738</v>
      </c>
      <c r="C121" s="2982" t="s">
        <v>5739</v>
      </c>
      <c r="D121" s="2982">
        <v>1027209</v>
      </c>
      <c r="E121" s="2982" t="s">
        <v>7286</v>
      </c>
      <c r="F121" s="2993">
        <v>-5.4999999999999999E-6</v>
      </c>
      <c r="J121"/>
    </row>
    <row r="122" spans="1:10" ht="13" hidden="1">
      <c r="A122" s="2983">
        <v>17</v>
      </c>
      <c r="B122" s="2982" t="s">
        <v>5738</v>
      </c>
      <c r="C122" s="2982" t="s">
        <v>5739</v>
      </c>
      <c r="D122" s="2982">
        <v>1027210</v>
      </c>
      <c r="E122" s="2982" t="s">
        <v>2853</v>
      </c>
      <c r="F122" s="2993">
        <v>8.4052370000000001E-2</v>
      </c>
      <c r="J122"/>
    </row>
    <row r="123" spans="1:10" ht="13" hidden="1">
      <c r="A123" s="2983">
        <v>17</v>
      </c>
      <c r="B123" s="2982" t="s">
        <v>5738</v>
      </c>
      <c r="C123" s="2982" t="s">
        <v>5739</v>
      </c>
      <c r="D123" s="2982">
        <v>1027211</v>
      </c>
      <c r="E123" s="2982" t="s">
        <v>5748</v>
      </c>
      <c r="F123" s="2993">
        <v>1.2986337999999999</v>
      </c>
      <c r="J123"/>
    </row>
    <row r="124" spans="1:10" ht="13" hidden="1">
      <c r="A124" s="2983">
        <v>17</v>
      </c>
      <c r="B124" s="2982" t="s">
        <v>5738</v>
      </c>
      <c r="C124" s="2982" t="s">
        <v>5739</v>
      </c>
      <c r="D124" s="2982">
        <v>1027212</v>
      </c>
      <c r="E124" s="2982" t="s">
        <v>5749</v>
      </c>
      <c r="F124" s="2993">
        <v>5.7575399999999999E-2</v>
      </c>
      <c r="J124"/>
    </row>
    <row r="125" spans="1:10" ht="13" hidden="1">
      <c r="A125" s="2983">
        <v>17</v>
      </c>
      <c r="B125" s="2982" t="s">
        <v>5738</v>
      </c>
      <c r="C125" s="2982" t="s">
        <v>5739</v>
      </c>
      <c r="D125" s="2982">
        <v>1027213</v>
      </c>
      <c r="E125" s="2982" t="s">
        <v>5750</v>
      </c>
      <c r="F125" s="2993">
        <v>-1.42712E-2</v>
      </c>
      <c r="J125"/>
    </row>
    <row r="126" spans="1:10" ht="13" hidden="1">
      <c r="A126" s="2983">
        <v>15</v>
      </c>
      <c r="B126" s="2982" t="s">
        <v>5730</v>
      </c>
      <c r="C126" s="2982" t="s">
        <v>3394</v>
      </c>
      <c r="D126" s="2982">
        <v>1027310</v>
      </c>
      <c r="E126" s="2982" t="s">
        <v>5751</v>
      </c>
      <c r="F126" s="2993">
        <v>4.4999999999999997E-3</v>
      </c>
      <c r="J126"/>
    </row>
    <row r="127" spans="1:10" ht="13" hidden="1">
      <c r="A127" s="2983">
        <v>15</v>
      </c>
      <c r="B127" s="2982" t="s">
        <v>5730</v>
      </c>
      <c r="C127" s="2982" t="s">
        <v>3394</v>
      </c>
      <c r="D127" s="2982">
        <v>1027360</v>
      </c>
      <c r="E127" s="2982" t="s">
        <v>5752</v>
      </c>
      <c r="F127" s="2993">
        <v>0</v>
      </c>
      <c r="J127"/>
    </row>
    <row r="128" spans="1:10" ht="13" hidden="1">
      <c r="A128" s="2983">
        <v>100</v>
      </c>
      <c r="B128" s="2982" t="s">
        <v>8161</v>
      </c>
      <c r="C128" s="2982"/>
      <c r="D128" s="2982">
        <v>1027420</v>
      </c>
      <c r="E128" s="2982" t="s">
        <v>5753</v>
      </c>
      <c r="F128" s="2993">
        <v>3.62907461</v>
      </c>
      <c r="J128"/>
    </row>
    <row r="129" spans="1:10" ht="13" hidden="1">
      <c r="A129" s="2983">
        <v>100</v>
      </c>
      <c r="B129" s="2982" t="s">
        <v>8161</v>
      </c>
      <c r="C129" s="2982"/>
      <c r="D129" s="2982">
        <v>1027424</v>
      </c>
      <c r="E129" s="2982" t="s">
        <v>5754</v>
      </c>
      <c r="F129" s="2993">
        <v>0.52807396600000001</v>
      </c>
      <c r="J129"/>
    </row>
    <row r="130" spans="1:10" ht="13" hidden="1">
      <c r="A130" s="2983">
        <v>100</v>
      </c>
      <c r="B130" s="2982" t="s">
        <v>8161</v>
      </c>
      <c r="C130" s="2982"/>
      <c r="D130" s="2982">
        <v>1027425</v>
      </c>
      <c r="E130" s="2982" t="s">
        <v>8162</v>
      </c>
      <c r="F130" s="2993">
        <v>2.3118691839999999</v>
      </c>
      <c r="J130"/>
    </row>
    <row r="131" spans="1:10" ht="13" hidden="1">
      <c r="A131" s="2983">
        <v>100</v>
      </c>
      <c r="B131" s="2982" t="s">
        <v>8161</v>
      </c>
      <c r="C131" s="2982"/>
      <c r="D131" s="2982">
        <v>1027426</v>
      </c>
      <c r="E131" s="2982" t="s">
        <v>5755</v>
      </c>
      <c r="F131" s="2993">
        <v>0.2140012</v>
      </c>
      <c r="J131"/>
    </row>
    <row r="132" spans="1:10" ht="13" hidden="1">
      <c r="A132" s="2983">
        <v>100</v>
      </c>
      <c r="B132" s="2982" t="s">
        <v>8161</v>
      </c>
      <c r="C132" s="2982"/>
      <c r="D132" s="2982">
        <v>1027428</v>
      </c>
      <c r="E132" s="2982" t="s">
        <v>4976</v>
      </c>
      <c r="F132" s="2993">
        <v>5.8526000000000003E-3</v>
      </c>
      <c r="J132"/>
    </row>
    <row r="133" spans="1:10" ht="13" hidden="1">
      <c r="A133" s="2983" t="s">
        <v>5756</v>
      </c>
      <c r="B133" s="2982" t="s">
        <v>5757</v>
      </c>
      <c r="C133" s="2982" t="s">
        <v>5758</v>
      </c>
      <c r="D133" s="2982">
        <v>1027501</v>
      </c>
      <c r="E133" s="2982" t="s">
        <v>5759</v>
      </c>
      <c r="F133" s="2993">
        <v>213.62775181299997</v>
      </c>
      <c r="J133"/>
    </row>
    <row r="134" spans="1:10" ht="13" hidden="1">
      <c r="A134" s="2983">
        <v>10</v>
      </c>
      <c r="B134" s="2982" t="s">
        <v>5656</v>
      </c>
      <c r="C134" s="2982" t="s">
        <v>5657</v>
      </c>
      <c r="D134" s="2982">
        <v>1028106</v>
      </c>
      <c r="E134" s="2982" t="s">
        <v>5760</v>
      </c>
      <c r="F134" s="2993">
        <v>4.9908353000000003E-2</v>
      </c>
      <c r="J134"/>
    </row>
    <row r="135" spans="1:10" ht="13" hidden="1">
      <c r="A135" s="2983">
        <v>10</v>
      </c>
      <c r="B135" s="2982" t="s">
        <v>5656</v>
      </c>
      <c r="C135" s="2982" t="s">
        <v>5657</v>
      </c>
      <c r="D135" s="2982">
        <v>1028115</v>
      </c>
      <c r="E135" s="2982" t="s">
        <v>5761</v>
      </c>
      <c r="F135" s="2993">
        <v>-2.3247634E-2</v>
      </c>
      <c r="J135"/>
    </row>
    <row r="136" spans="1:10" ht="13" hidden="1">
      <c r="A136" s="2983">
        <v>10</v>
      </c>
      <c r="B136" s="2982" t="s">
        <v>5656</v>
      </c>
      <c r="C136" s="2982" t="s">
        <v>5657</v>
      </c>
      <c r="D136" s="2982">
        <v>1028116</v>
      </c>
      <c r="E136" s="2982" t="s">
        <v>5762</v>
      </c>
      <c r="F136" s="2993">
        <v>-1.9749940000000007E-3</v>
      </c>
      <c r="J136"/>
    </row>
    <row r="137" spans="1:10" ht="13" hidden="1">
      <c r="A137" s="2983">
        <v>10</v>
      </c>
      <c r="B137" s="2982" t="s">
        <v>5656</v>
      </c>
      <c r="C137" s="2982" t="s">
        <v>5657</v>
      </c>
      <c r="D137" s="2982">
        <v>1028117</v>
      </c>
      <c r="E137" s="2982" t="s">
        <v>5763</v>
      </c>
      <c r="F137" s="2993">
        <v>-3.4884E-3</v>
      </c>
      <c r="J137"/>
    </row>
    <row r="138" spans="1:10" ht="13" hidden="1">
      <c r="A138" s="2983">
        <v>10</v>
      </c>
      <c r="B138" s="2982" t="s">
        <v>5656</v>
      </c>
      <c r="C138" s="2982" t="s">
        <v>5657</v>
      </c>
      <c r="D138" s="2982">
        <v>1028118</v>
      </c>
      <c r="E138" s="2982" t="s">
        <v>5764</v>
      </c>
      <c r="F138" s="2993">
        <v>-1.2928340000000001E-3</v>
      </c>
      <c r="J138"/>
    </row>
    <row r="139" spans="1:10" ht="13" hidden="1">
      <c r="A139" s="2983">
        <v>10</v>
      </c>
      <c r="B139" s="2982" t="s">
        <v>5656</v>
      </c>
      <c r="C139" s="2982" t="s">
        <v>5657</v>
      </c>
      <c r="D139" s="2982">
        <v>1028119</v>
      </c>
      <c r="E139" s="2982" t="s">
        <v>5765</v>
      </c>
      <c r="F139" s="2993">
        <v>0.43560252100000341</v>
      </c>
      <c r="J139"/>
    </row>
    <row r="140" spans="1:10" ht="13" hidden="1">
      <c r="A140" s="2983">
        <v>10</v>
      </c>
      <c r="B140" s="2982" t="s">
        <v>5656</v>
      </c>
      <c r="C140" s="2982" t="s">
        <v>5657</v>
      </c>
      <c r="D140" s="2982">
        <v>1028120</v>
      </c>
      <c r="E140" s="2982" t="s">
        <v>5766</v>
      </c>
      <c r="F140" s="2993">
        <v>4.2054671089999998</v>
      </c>
      <c r="J140"/>
    </row>
    <row r="141" spans="1:10" ht="13" hidden="1">
      <c r="A141" s="2983">
        <v>10</v>
      </c>
      <c r="B141" s="2982" t="s">
        <v>5656</v>
      </c>
      <c r="C141" s="2982" t="s">
        <v>5657</v>
      </c>
      <c r="D141" s="2982">
        <v>1028121</v>
      </c>
      <c r="E141" s="2982" t="s">
        <v>5767</v>
      </c>
      <c r="F141" s="2993">
        <v>-3.2189759000000005E-2</v>
      </c>
      <c r="J141"/>
    </row>
    <row r="142" spans="1:10" ht="13" hidden="1">
      <c r="A142" s="2983">
        <v>10</v>
      </c>
      <c r="B142" s="2982" t="s">
        <v>5656</v>
      </c>
      <c r="C142" s="2982" t="s">
        <v>5657</v>
      </c>
      <c r="D142" s="2982">
        <v>1028122</v>
      </c>
      <c r="E142" s="2982" t="s">
        <v>5768</v>
      </c>
      <c r="F142" s="2993">
        <v>-5.291558E-3</v>
      </c>
      <c r="J142"/>
    </row>
    <row r="143" spans="1:10" ht="13" hidden="1">
      <c r="A143" s="2983">
        <v>10</v>
      </c>
      <c r="B143" s="2982" t="s">
        <v>5656</v>
      </c>
      <c r="C143" s="2982" t="s">
        <v>5657</v>
      </c>
      <c r="D143" s="2982">
        <v>1028123</v>
      </c>
      <c r="E143" s="2982" t="s">
        <v>5769</v>
      </c>
      <c r="F143" s="2993">
        <v>3.803525E-2</v>
      </c>
      <c r="J143"/>
    </row>
    <row r="144" spans="1:10" ht="13" hidden="1">
      <c r="A144" s="2983">
        <v>10</v>
      </c>
      <c r="B144" s="2982" t="s">
        <v>5656</v>
      </c>
      <c r="C144" s="2982" t="s">
        <v>5657</v>
      </c>
      <c r="D144" s="2982">
        <v>1028124</v>
      </c>
      <c r="E144" s="2982" t="s">
        <v>5770</v>
      </c>
      <c r="F144" s="2993">
        <v>-5.2300197999999999E-2</v>
      </c>
      <c r="J144"/>
    </row>
    <row r="145" spans="1:10" ht="13" hidden="1">
      <c r="A145" s="2983">
        <v>10</v>
      </c>
      <c r="B145" s="2982" t="s">
        <v>5656</v>
      </c>
      <c r="C145" s="2982" t="s">
        <v>5657</v>
      </c>
      <c r="D145" s="2982">
        <v>1028125</v>
      </c>
      <c r="E145" s="2982" t="s">
        <v>5771</v>
      </c>
      <c r="F145" s="2993">
        <v>-8.5799265000002123E-2</v>
      </c>
      <c r="J145"/>
    </row>
    <row r="146" spans="1:10" ht="13" hidden="1">
      <c r="A146" s="2983">
        <v>10</v>
      </c>
      <c r="B146" s="2982" t="s">
        <v>5656</v>
      </c>
      <c r="C146" s="2982" t="s">
        <v>5657</v>
      </c>
      <c r="D146" s="2982">
        <v>1028126</v>
      </c>
      <c r="E146" s="2982" t="s">
        <v>5772</v>
      </c>
      <c r="F146" s="2993">
        <v>0.15021246199999963</v>
      </c>
      <c r="J146"/>
    </row>
    <row r="147" spans="1:10" ht="13" hidden="1">
      <c r="A147" s="2983">
        <v>10</v>
      </c>
      <c r="B147" s="2982" t="s">
        <v>5656</v>
      </c>
      <c r="C147" s="2982" t="s">
        <v>5657</v>
      </c>
      <c r="D147" s="2982">
        <v>1028127</v>
      </c>
      <c r="E147" s="2982" t="s">
        <v>5773</v>
      </c>
      <c r="F147" s="2993">
        <v>-7.503616700000007E-2</v>
      </c>
      <c r="J147"/>
    </row>
    <row r="148" spans="1:10" ht="13" hidden="1">
      <c r="A148" s="2983">
        <v>10</v>
      </c>
      <c r="B148" s="2982" t="s">
        <v>5656</v>
      </c>
      <c r="C148" s="2982" t="s">
        <v>5657</v>
      </c>
      <c r="D148" s="2982">
        <v>1028128</v>
      </c>
      <c r="E148" s="2982" t="s">
        <v>5774</v>
      </c>
      <c r="F148" s="2993">
        <v>-0.72704626200000511</v>
      </c>
      <c r="J148"/>
    </row>
    <row r="149" spans="1:10" ht="13" hidden="1">
      <c r="A149" s="2983">
        <v>10</v>
      </c>
      <c r="B149" s="2982" t="s">
        <v>5656</v>
      </c>
      <c r="C149" s="2982" t="s">
        <v>5657</v>
      </c>
      <c r="D149" s="2982">
        <v>1028129</v>
      </c>
      <c r="E149" s="2982" t="s">
        <v>5775</v>
      </c>
      <c r="F149" s="2993">
        <v>-1.5039876999999999</v>
      </c>
      <c r="J149"/>
    </row>
    <row r="150" spans="1:10" ht="13" hidden="1">
      <c r="A150" s="2983">
        <v>10</v>
      </c>
      <c r="B150" s="2982" t="s">
        <v>5656</v>
      </c>
      <c r="C150" s="2982" t="s">
        <v>5657</v>
      </c>
      <c r="D150" s="2982">
        <v>1028130</v>
      </c>
      <c r="E150" s="2982" t="s">
        <v>5776</v>
      </c>
      <c r="F150" s="2993">
        <v>-0.14767224600000006</v>
      </c>
      <c r="J150"/>
    </row>
    <row r="151" spans="1:10" ht="13" hidden="1">
      <c r="A151" s="2983">
        <v>15</v>
      </c>
      <c r="B151" s="2982" t="s">
        <v>5730</v>
      </c>
      <c r="C151" s="2982" t="s">
        <v>3394</v>
      </c>
      <c r="D151" s="2982">
        <v>1028134</v>
      </c>
      <c r="E151" s="2982" t="s">
        <v>8163</v>
      </c>
      <c r="F151" s="2993">
        <v>0.16101766000000001</v>
      </c>
      <c r="J151"/>
    </row>
    <row r="152" spans="1:10" ht="13" hidden="1">
      <c r="A152" s="2983">
        <v>14</v>
      </c>
      <c r="B152" s="2982" t="s">
        <v>5730</v>
      </c>
      <c r="C152" s="2982" t="s">
        <v>5777</v>
      </c>
      <c r="D152" s="2982">
        <v>1028254</v>
      </c>
      <c r="E152" s="2982" t="s">
        <v>5778</v>
      </c>
      <c r="F152" s="2993">
        <v>1.7999999999999999E-6</v>
      </c>
      <c r="J152"/>
    </row>
    <row r="153" spans="1:10" ht="13" hidden="1">
      <c r="A153" s="2983">
        <v>14</v>
      </c>
      <c r="B153" s="2982" t="s">
        <v>5730</v>
      </c>
      <c r="C153" s="2982" t="s">
        <v>5777</v>
      </c>
      <c r="D153" s="2982">
        <v>1028328</v>
      </c>
      <c r="E153" s="2982" t="s">
        <v>5779</v>
      </c>
      <c r="F153" s="2993">
        <v>5.7440405500000011</v>
      </c>
      <c r="J153"/>
    </row>
    <row r="154" spans="1:10" ht="13" hidden="1">
      <c r="A154" s="2983">
        <v>17</v>
      </c>
      <c r="B154" s="2982" t="s">
        <v>5738</v>
      </c>
      <c r="C154" s="2982" t="s">
        <v>5739</v>
      </c>
      <c r="D154" s="2982">
        <v>1028401</v>
      </c>
      <c r="E154" s="2982" t="s">
        <v>5780</v>
      </c>
      <c r="F154" s="2993">
        <v>0.65663476700000012</v>
      </c>
      <c r="J154"/>
    </row>
    <row r="155" spans="1:10" ht="13" hidden="1">
      <c r="A155" s="2983">
        <v>17</v>
      </c>
      <c r="B155" s="2982" t="s">
        <v>5738</v>
      </c>
      <c r="C155" s="2982" t="s">
        <v>5739</v>
      </c>
      <c r="D155" s="2982">
        <v>1028402</v>
      </c>
      <c r="E155" s="2982" t="s">
        <v>5781</v>
      </c>
      <c r="F155" s="2993">
        <v>3.5959999999999998E-3</v>
      </c>
      <c r="J155"/>
    </row>
    <row r="156" spans="1:10" ht="13" hidden="1">
      <c r="A156" s="2983">
        <v>3</v>
      </c>
      <c r="B156" s="2982" t="s">
        <v>5730</v>
      </c>
      <c r="C156" s="2982" t="s">
        <v>5782</v>
      </c>
      <c r="D156" s="2982">
        <v>1028610</v>
      </c>
      <c r="E156" s="2982" t="s">
        <v>5783</v>
      </c>
      <c r="F156" s="2993">
        <v>27.134226799999997</v>
      </c>
      <c r="J156"/>
    </row>
    <row r="157" spans="1:10" ht="13" hidden="1">
      <c r="A157" s="2983">
        <v>5</v>
      </c>
      <c r="B157" s="2982" t="s">
        <v>5730</v>
      </c>
      <c r="C157" s="2982" t="s">
        <v>5784</v>
      </c>
      <c r="D157" s="2982">
        <v>1028802</v>
      </c>
      <c r="E157" s="2982" t="s">
        <v>5785</v>
      </c>
      <c r="F157" s="2993">
        <v>1.548174E-3</v>
      </c>
      <c r="J157"/>
    </row>
    <row r="158" spans="1:10" ht="13" hidden="1">
      <c r="A158" s="2983">
        <v>16</v>
      </c>
      <c r="B158" s="2982" t="s">
        <v>5738</v>
      </c>
      <c r="C158" s="2982" t="s">
        <v>5786</v>
      </c>
      <c r="D158" s="2982">
        <v>1028804</v>
      </c>
      <c r="E158" s="2982" t="s">
        <v>2888</v>
      </c>
      <c r="F158" s="2993">
        <v>4.7585319109999995</v>
      </c>
      <c r="J158"/>
    </row>
    <row r="159" spans="1:10" ht="13" hidden="1">
      <c r="A159" s="2983">
        <v>15</v>
      </c>
      <c r="B159" s="2982" t="s">
        <v>5730</v>
      </c>
      <c r="C159" s="2982" t="s">
        <v>3394</v>
      </c>
      <c r="D159" s="2982">
        <v>1028805</v>
      </c>
      <c r="E159" s="2982" t="s">
        <v>5787</v>
      </c>
      <c r="F159" s="2993">
        <v>3.5919199999999998E-2</v>
      </c>
      <c r="J159"/>
    </row>
    <row r="160" spans="1:10" ht="13" hidden="1">
      <c r="A160" s="2983" t="s">
        <v>5802</v>
      </c>
      <c r="B160" s="2982" t="s">
        <v>5803</v>
      </c>
      <c r="C160" s="2982" t="s">
        <v>5804</v>
      </c>
      <c r="D160" s="2982">
        <v>1028811</v>
      </c>
      <c r="E160" s="2982" t="s">
        <v>5788</v>
      </c>
      <c r="F160" s="2993">
        <v>0.88632272499999998</v>
      </c>
      <c r="J160"/>
    </row>
    <row r="161" spans="1:10" ht="13" hidden="1">
      <c r="A161" s="2983">
        <v>26</v>
      </c>
      <c r="B161" s="2982" t="s">
        <v>5803</v>
      </c>
      <c r="C161" s="2982" t="s">
        <v>5804</v>
      </c>
      <c r="D161" s="2982">
        <v>1028812</v>
      </c>
      <c r="E161" s="2982" t="s">
        <v>5791</v>
      </c>
      <c r="F161" s="2993">
        <v>0</v>
      </c>
      <c r="J161"/>
    </row>
    <row r="162" spans="1:10" ht="13" hidden="1">
      <c r="A162" s="2983">
        <v>31</v>
      </c>
      <c r="B162" s="2982" t="s">
        <v>5792</v>
      </c>
      <c r="C162" s="2982" t="s">
        <v>5793</v>
      </c>
      <c r="D162" s="2982">
        <v>1028813</v>
      </c>
      <c r="E162" s="2982" t="s">
        <v>5794</v>
      </c>
      <c r="F162" s="2993">
        <v>-4.1649244480000043</v>
      </c>
      <c r="J162"/>
    </row>
    <row r="163" spans="1:10" ht="13" hidden="1">
      <c r="A163" s="2983">
        <v>15</v>
      </c>
      <c r="B163" s="2982" t="s">
        <v>5730</v>
      </c>
      <c r="C163" s="2982" t="s">
        <v>3394</v>
      </c>
      <c r="D163" s="2982">
        <v>1028814</v>
      </c>
      <c r="E163" s="2982" t="s">
        <v>5795</v>
      </c>
      <c r="F163" s="2993">
        <v>0</v>
      </c>
      <c r="J163"/>
    </row>
    <row r="164" spans="1:10" ht="13" hidden="1">
      <c r="A164" s="2983">
        <v>5</v>
      </c>
      <c r="B164" s="2982" t="s">
        <v>5730</v>
      </c>
      <c r="C164" s="2982" t="s">
        <v>5784</v>
      </c>
      <c r="D164" s="2982">
        <v>1028826</v>
      </c>
      <c r="E164" s="2982" t="s">
        <v>5796</v>
      </c>
      <c r="F164" s="2993">
        <v>3.9149999999999997E-2</v>
      </c>
      <c r="J164"/>
    </row>
    <row r="165" spans="1:10" ht="13" hidden="1">
      <c r="A165" s="2983">
        <v>5</v>
      </c>
      <c r="B165" s="2982" t="s">
        <v>5730</v>
      </c>
      <c r="C165" s="2982" t="s">
        <v>5784</v>
      </c>
      <c r="D165" s="2982">
        <v>1028828</v>
      </c>
      <c r="E165" s="2982" t="s">
        <v>8164</v>
      </c>
      <c r="F165" s="2993">
        <v>4.1652272420000003</v>
      </c>
      <c r="J165"/>
    </row>
    <row r="166" spans="1:10" ht="13" hidden="1">
      <c r="A166" s="2983">
        <v>5</v>
      </c>
      <c r="B166" s="2982" t="s">
        <v>5730</v>
      </c>
      <c r="C166" s="2982" t="s">
        <v>5784</v>
      </c>
      <c r="D166" s="2982">
        <v>1028829</v>
      </c>
      <c r="E166" s="2982" t="s">
        <v>5797</v>
      </c>
      <c r="F166" s="2993">
        <v>0.21325613700000001</v>
      </c>
      <c r="J166"/>
    </row>
    <row r="167" spans="1:10" ht="13" hidden="1">
      <c r="A167" s="2983">
        <v>15</v>
      </c>
      <c r="B167" s="2982" t="s">
        <v>5730</v>
      </c>
      <c r="C167" s="2982" t="s">
        <v>3394</v>
      </c>
      <c r="D167" s="2982">
        <v>1028833</v>
      </c>
      <c r="E167" s="2982" t="s">
        <v>5798</v>
      </c>
      <c r="F167" s="2993">
        <v>8.0399760000000597E-3</v>
      </c>
      <c r="J167"/>
    </row>
    <row r="168" spans="1:10" ht="13" hidden="1">
      <c r="A168" s="2983">
        <v>15</v>
      </c>
      <c r="B168" s="2982" t="s">
        <v>5730</v>
      </c>
      <c r="C168" s="2982" t="s">
        <v>3394</v>
      </c>
      <c r="D168" s="2982">
        <v>1028834</v>
      </c>
      <c r="E168" s="2982" t="s">
        <v>5799</v>
      </c>
      <c r="F168" s="2993">
        <v>1.7E-8</v>
      </c>
      <c r="J168"/>
    </row>
    <row r="169" spans="1:10" ht="13" hidden="1">
      <c r="A169" s="2983">
        <v>15</v>
      </c>
      <c r="B169" s="2982" t="s">
        <v>5730</v>
      </c>
      <c r="C169" s="2982" t="s">
        <v>3394</v>
      </c>
      <c r="D169" s="2982">
        <v>1028835</v>
      </c>
      <c r="E169" s="2982" t="s">
        <v>5800</v>
      </c>
      <c r="F169" s="2993">
        <v>0</v>
      </c>
      <c r="J169"/>
    </row>
    <row r="170" spans="1:10" ht="13" hidden="1">
      <c r="A170" s="2983">
        <v>15</v>
      </c>
      <c r="B170" s="2982" t="s">
        <v>5730</v>
      </c>
      <c r="C170" s="2982" t="s">
        <v>3394</v>
      </c>
      <c r="D170" s="2982">
        <v>1028836</v>
      </c>
      <c r="E170" s="2982" t="s">
        <v>5801</v>
      </c>
      <c r="F170" s="2993">
        <v>4.1999999999999999E-8</v>
      </c>
      <c r="J170"/>
    </row>
    <row r="171" spans="1:10" ht="13" hidden="1">
      <c r="A171" s="2983" t="s">
        <v>5802</v>
      </c>
      <c r="B171" s="2982" t="s">
        <v>5803</v>
      </c>
      <c r="C171" s="2982" t="s">
        <v>5804</v>
      </c>
      <c r="D171" s="2982">
        <v>1028840</v>
      </c>
      <c r="E171" s="2982" t="s">
        <v>5805</v>
      </c>
      <c r="F171" s="2993">
        <v>7.0823603999999998E-2</v>
      </c>
      <c r="J171"/>
    </row>
    <row r="172" spans="1:10" ht="13" hidden="1">
      <c r="A172" s="2983">
        <v>15</v>
      </c>
      <c r="B172" s="2982" t="s">
        <v>5730</v>
      </c>
      <c r="C172" s="2982" t="s">
        <v>3394</v>
      </c>
      <c r="D172" s="2982">
        <v>1028841</v>
      </c>
      <c r="E172" s="2982" t="s">
        <v>5806</v>
      </c>
      <c r="F172" s="2993">
        <v>4.1999999999999999E-8</v>
      </c>
      <c r="J172"/>
    </row>
    <row r="173" spans="1:10" ht="13" hidden="1">
      <c r="A173" s="2983">
        <v>15</v>
      </c>
      <c r="B173" s="2982" t="s">
        <v>5730</v>
      </c>
      <c r="C173" s="2982" t="s">
        <v>3394</v>
      </c>
      <c r="D173" s="2982">
        <v>1028860</v>
      </c>
      <c r="E173" s="2982" t="s">
        <v>8165</v>
      </c>
      <c r="F173" s="2993">
        <v>0</v>
      </c>
      <c r="J173"/>
    </row>
    <row r="174" spans="1:10" ht="13" hidden="1">
      <c r="A174" s="2983">
        <v>31</v>
      </c>
      <c r="B174" s="2982" t="s">
        <v>5730</v>
      </c>
      <c r="C174" s="2982" t="s">
        <v>5793</v>
      </c>
      <c r="D174" s="2982">
        <v>1028864</v>
      </c>
      <c r="E174" s="2982" t="s">
        <v>5807</v>
      </c>
      <c r="F174" s="2993">
        <v>-12.783434542</v>
      </c>
      <c r="J174"/>
    </row>
    <row r="175" spans="1:10" ht="13" hidden="1">
      <c r="A175" s="2983">
        <v>8</v>
      </c>
      <c r="B175" s="2982" t="s">
        <v>5734</v>
      </c>
      <c r="C175" s="2982" t="s">
        <v>5808</v>
      </c>
      <c r="D175" s="2982">
        <v>1028914</v>
      </c>
      <c r="E175" s="2982" t="s">
        <v>5809</v>
      </c>
      <c r="F175" s="2993">
        <v>1.27329E-2</v>
      </c>
      <c r="J175"/>
    </row>
    <row r="176" spans="1:10" ht="13" hidden="1">
      <c r="A176" s="2983">
        <v>5</v>
      </c>
      <c r="B176" s="2982" t="s">
        <v>5730</v>
      </c>
      <c r="C176" s="2982" t="s">
        <v>5784</v>
      </c>
      <c r="D176" s="2982">
        <v>1028919</v>
      </c>
      <c r="E176" s="2982" t="s">
        <v>2908</v>
      </c>
      <c r="F176" s="2993">
        <v>5.6071975360000001</v>
      </c>
      <c r="J176"/>
    </row>
    <row r="177" spans="1:10" ht="13" hidden="1">
      <c r="A177" s="2983">
        <v>5</v>
      </c>
      <c r="B177" s="2982" t="s">
        <v>5730</v>
      </c>
      <c r="C177" s="2982" t="s">
        <v>5784</v>
      </c>
      <c r="D177" s="2982">
        <v>1028930</v>
      </c>
      <c r="E177" s="2982" t="s">
        <v>5810</v>
      </c>
      <c r="F177" s="2993">
        <v>-3.4499999999999999E-3</v>
      </c>
      <c r="J177"/>
    </row>
    <row r="178" spans="1:10" ht="13" hidden="1">
      <c r="A178" s="2983">
        <v>8</v>
      </c>
      <c r="B178" s="2982" t="s">
        <v>5734</v>
      </c>
      <c r="C178" s="2982" t="s">
        <v>5808</v>
      </c>
      <c r="D178" s="2982">
        <v>1028932</v>
      </c>
      <c r="E178" s="2982" t="s">
        <v>5811</v>
      </c>
      <c r="F178" s="2993">
        <v>7.3569499999999996E-2</v>
      </c>
      <c r="J178"/>
    </row>
    <row r="179" spans="1:10" ht="13" hidden="1">
      <c r="A179" s="2983">
        <v>5</v>
      </c>
      <c r="B179" s="2982" t="s">
        <v>5730</v>
      </c>
      <c r="C179" s="2982" t="s">
        <v>5784</v>
      </c>
      <c r="D179" s="2982">
        <v>1028941</v>
      </c>
      <c r="E179" s="2982" t="s">
        <v>7305</v>
      </c>
      <c r="F179" s="2993">
        <v>2.5000000000000001E-3</v>
      </c>
      <c r="J179"/>
    </row>
    <row r="180" spans="1:10" ht="13" hidden="1">
      <c r="A180" s="2983">
        <v>5</v>
      </c>
      <c r="B180" s="2982" t="s">
        <v>5730</v>
      </c>
      <c r="C180" s="2982" t="s">
        <v>5784</v>
      </c>
      <c r="D180" s="2982">
        <v>1028940</v>
      </c>
      <c r="E180" s="2982" t="s">
        <v>5812</v>
      </c>
      <c r="F180" s="2993">
        <v>6.4844000000000005E-5</v>
      </c>
      <c r="J180"/>
    </row>
    <row r="181" spans="1:10" ht="13">
      <c r="A181" s="2983">
        <v>1</v>
      </c>
      <c r="B181" s="2982" t="s">
        <v>5628</v>
      </c>
      <c r="C181" s="2982" t="s">
        <v>5813</v>
      </c>
      <c r="D181" s="2982">
        <v>1040100</v>
      </c>
      <c r="E181" s="2982" t="s">
        <v>5814</v>
      </c>
      <c r="F181" s="2993">
        <v>-2.9239577920000004</v>
      </c>
      <c r="J181"/>
    </row>
    <row r="182" spans="1:10" ht="13">
      <c r="A182" s="2983">
        <v>1</v>
      </c>
      <c r="B182" s="2982" t="s">
        <v>5628</v>
      </c>
      <c r="C182" s="2982" t="s">
        <v>119</v>
      </c>
      <c r="D182" s="2982">
        <v>1040101</v>
      </c>
      <c r="E182" s="2982" t="s">
        <v>5815</v>
      </c>
      <c r="F182" s="2993">
        <v>-2.6217007809999995</v>
      </c>
      <c r="J182"/>
    </row>
    <row r="183" spans="1:10" ht="13">
      <c r="A183" s="2983">
        <v>1</v>
      </c>
      <c r="B183" s="2982" t="s">
        <v>5628</v>
      </c>
      <c r="C183" s="2982" t="s">
        <v>5813</v>
      </c>
      <c r="D183" s="2982">
        <v>1040104</v>
      </c>
      <c r="E183" s="2982" t="s">
        <v>5816</v>
      </c>
      <c r="F183" s="2993">
        <v>-383.68375298200004</v>
      </c>
      <c r="J183"/>
    </row>
    <row r="184" spans="1:10" ht="13">
      <c r="A184" s="2983">
        <v>1</v>
      </c>
      <c r="B184" s="2982" t="s">
        <v>5628</v>
      </c>
      <c r="C184" s="2982" t="s">
        <v>121</v>
      </c>
      <c r="D184" s="2982">
        <v>1040105</v>
      </c>
      <c r="E184" s="2982" t="s">
        <v>5817</v>
      </c>
      <c r="F184" s="2993">
        <v>-1.4508275890000002</v>
      </c>
      <c r="J184"/>
    </row>
    <row r="185" spans="1:10" ht="13">
      <c r="A185" s="2983">
        <v>1</v>
      </c>
      <c r="B185" s="2982" t="s">
        <v>5628</v>
      </c>
      <c r="C185" s="2982" t="s">
        <v>5631</v>
      </c>
      <c r="D185" s="2982">
        <v>1040106</v>
      </c>
      <c r="E185" s="2982" t="s">
        <v>5818</v>
      </c>
      <c r="F185" s="2993">
        <v>-1.8667303320000002</v>
      </c>
      <c r="J185"/>
    </row>
    <row r="186" spans="1:10" ht="13">
      <c r="A186" s="2983">
        <v>1</v>
      </c>
      <c r="B186" s="2982" t="s">
        <v>5628</v>
      </c>
      <c r="C186" s="2982" t="s">
        <v>922</v>
      </c>
      <c r="D186" s="2982">
        <v>1040107</v>
      </c>
      <c r="E186" s="2982" t="s">
        <v>5819</v>
      </c>
      <c r="F186" s="2993">
        <v>-9.3451960000000278E-3</v>
      </c>
      <c r="J186"/>
    </row>
    <row r="187" spans="1:10" ht="13">
      <c r="A187" s="2983">
        <v>1</v>
      </c>
      <c r="B187" s="2982" t="s">
        <v>5628</v>
      </c>
      <c r="C187" s="2982" t="s">
        <v>922</v>
      </c>
      <c r="D187" s="2982">
        <v>1040109</v>
      </c>
      <c r="E187" s="2982" t="s">
        <v>5820</v>
      </c>
      <c r="F187" s="2993">
        <v>-4.991079289</v>
      </c>
      <c r="J187"/>
    </row>
    <row r="188" spans="1:10" ht="13">
      <c r="A188" s="2983">
        <v>1</v>
      </c>
      <c r="B188" s="2982" t="s">
        <v>5628</v>
      </c>
      <c r="C188" s="2982" t="s">
        <v>119</v>
      </c>
      <c r="D188" s="2982">
        <v>1040208</v>
      </c>
      <c r="E188" s="2982" t="s">
        <v>5821</v>
      </c>
      <c r="F188" s="2993">
        <v>0.22926127400000001</v>
      </c>
      <c r="J188"/>
    </row>
    <row r="189" spans="1:10" ht="13">
      <c r="A189" s="2983">
        <v>1</v>
      </c>
      <c r="B189" s="2982" t="s">
        <v>5628</v>
      </c>
      <c r="C189" s="2982" t="s">
        <v>5813</v>
      </c>
      <c r="D189" s="2982">
        <v>1040541</v>
      </c>
      <c r="E189" s="2982" t="s">
        <v>5822</v>
      </c>
      <c r="F189" s="2993">
        <v>54.779418315000001</v>
      </c>
      <c r="J189"/>
    </row>
    <row r="190" spans="1:10" ht="13">
      <c r="A190" s="2983">
        <v>1</v>
      </c>
      <c r="B190" s="2982" t="s">
        <v>5628</v>
      </c>
      <c r="C190" s="2982" t="s">
        <v>5813</v>
      </c>
      <c r="D190" s="2982">
        <v>1040601</v>
      </c>
      <c r="E190" s="2982" t="s">
        <v>5823</v>
      </c>
      <c r="F190" s="2993">
        <v>1.3354382999999999E-2</v>
      </c>
      <c r="J190"/>
    </row>
    <row r="191" spans="1:10" ht="13">
      <c r="A191" s="2983">
        <v>1</v>
      </c>
      <c r="B191" s="2982" t="s">
        <v>5628</v>
      </c>
      <c r="C191" s="2982" t="s">
        <v>121</v>
      </c>
      <c r="D191" s="2982">
        <v>1040715</v>
      </c>
      <c r="E191" s="2982" t="s">
        <v>5824</v>
      </c>
      <c r="F191" s="2993">
        <v>1.277893876</v>
      </c>
      <c r="J191"/>
    </row>
    <row r="192" spans="1:10" ht="13">
      <c r="A192" s="2983">
        <v>1</v>
      </c>
      <c r="B192" s="2982" t="s">
        <v>5628</v>
      </c>
      <c r="C192" s="2982" t="s">
        <v>5631</v>
      </c>
      <c r="D192" s="2982">
        <v>1040810</v>
      </c>
      <c r="E192" s="2982" t="s">
        <v>5825</v>
      </c>
      <c r="F192" s="2993">
        <v>0.28121070099999995</v>
      </c>
      <c r="J192"/>
    </row>
    <row r="193" spans="1:10" ht="13">
      <c r="A193" s="2983">
        <v>1</v>
      </c>
      <c r="B193" s="2982" t="s">
        <v>5628</v>
      </c>
      <c r="C193" s="2982" t="s">
        <v>922</v>
      </c>
      <c r="D193" s="2982">
        <v>1040901</v>
      </c>
      <c r="E193" s="2982" t="s">
        <v>2107</v>
      </c>
      <c r="F193" s="2993">
        <v>1.229353637</v>
      </c>
      <c r="J193"/>
    </row>
    <row r="194" spans="1:10" ht="13">
      <c r="A194" s="2983">
        <v>1</v>
      </c>
      <c r="B194" s="2982" t="s">
        <v>5628</v>
      </c>
      <c r="C194" s="2982" t="s">
        <v>922</v>
      </c>
      <c r="D194" s="2982">
        <v>1040904</v>
      </c>
      <c r="E194" s="2982" t="s">
        <v>2110</v>
      </c>
      <c r="F194" s="2993">
        <v>4.3500806890000003</v>
      </c>
      <c r="J194"/>
    </row>
    <row r="195" spans="1:10" ht="13" hidden="1">
      <c r="A195" s="2983">
        <v>44</v>
      </c>
      <c r="B195" s="2982" t="s">
        <v>896</v>
      </c>
      <c r="C195" s="2982" t="s">
        <v>5826</v>
      </c>
      <c r="D195" s="2982">
        <v>1162215</v>
      </c>
      <c r="E195" s="2982" t="s">
        <v>5827</v>
      </c>
      <c r="F195" s="2993">
        <v>0</v>
      </c>
      <c r="J195"/>
    </row>
    <row r="196" spans="1:10" ht="13" hidden="1">
      <c r="A196" s="2983">
        <v>41</v>
      </c>
      <c r="B196" s="2982" t="s">
        <v>896</v>
      </c>
      <c r="C196" s="2982" t="s">
        <v>5828</v>
      </c>
      <c r="D196" s="2982">
        <v>1162228</v>
      </c>
      <c r="E196" s="2982" t="s">
        <v>5829</v>
      </c>
      <c r="F196" s="2993">
        <v>-9.7471414830000001</v>
      </c>
      <c r="J196"/>
    </row>
    <row r="197" spans="1:10" ht="13" hidden="1">
      <c r="A197" s="2983">
        <v>41</v>
      </c>
      <c r="B197" s="2982" t="s">
        <v>896</v>
      </c>
      <c r="C197" s="2982" t="s">
        <v>5828</v>
      </c>
      <c r="D197" s="2982">
        <v>1162235</v>
      </c>
      <c r="E197" s="2982" t="s">
        <v>5830</v>
      </c>
      <c r="F197" s="2993">
        <v>6.92744E-2</v>
      </c>
      <c r="J197"/>
    </row>
    <row r="198" spans="1:10" ht="13" hidden="1">
      <c r="A198" s="2983">
        <v>41</v>
      </c>
      <c r="B198" s="2982" t="s">
        <v>896</v>
      </c>
      <c r="C198" s="2982" t="s">
        <v>5828</v>
      </c>
      <c r="D198" s="2982">
        <v>1162236</v>
      </c>
      <c r="E198" s="2982" t="s">
        <v>5831</v>
      </c>
      <c r="F198" s="2993">
        <v>0</v>
      </c>
      <c r="J198"/>
    </row>
    <row r="199" spans="1:10" ht="13" hidden="1">
      <c r="A199" s="2983">
        <v>42</v>
      </c>
      <c r="B199" s="2982" t="s">
        <v>896</v>
      </c>
      <c r="C199" s="2982" t="s">
        <v>5832</v>
      </c>
      <c r="D199" s="2982">
        <v>1162252</v>
      </c>
      <c r="E199" s="2982" t="s">
        <v>5833</v>
      </c>
      <c r="F199" s="2993">
        <v>0</v>
      </c>
      <c r="J199"/>
    </row>
    <row r="200" spans="1:10" ht="13" hidden="1">
      <c r="A200" s="2983">
        <v>40</v>
      </c>
      <c r="B200" s="2982" t="s">
        <v>5834</v>
      </c>
      <c r="C200" s="2982" t="s">
        <v>5835</v>
      </c>
      <c r="D200" s="2982">
        <v>1162340</v>
      </c>
      <c r="E200" s="2982" t="s">
        <v>5836</v>
      </c>
      <c r="F200" s="2993">
        <v>-4.8527493990000004</v>
      </c>
      <c r="J200"/>
    </row>
    <row r="201" spans="1:10" ht="13" hidden="1">
      <c r="A201" s="2983">
        <v>44</v>
      </c>
      <c r="B201" s="2982" t="s">
        <v>896</v>
      </c>
      <c r="C201" s="2982" t="s">
        <v>5826</v>
      </c>
      <c r="D201" s="2982">
        <v>1162901</v>
      </c>
      <c r="E201" s="2982" t="s">
        <v>5837</v>
      </c>
      <c r="F201" s="2993">
        <v>0</v>
      </c>
      <c r="J201"/>
    </row>
    <row r="202" spans="1:10" ht="13" hidden="1">
      <c r="A202" s="2983">
        <v>44</v>
      </c>
      <c r="B202" s="2982" t="s">
        <v>896</v>
      </c>
      <c r="C202" s="2982" t="s">
        <v>5826</v>
      </c>
      <c r="D202" s="2982">
        <v>1162906</v>
      </c>
      <c r="E202" s="2982" t="s">
        <v>5838</v>
      </c>
      <c r="F202" s="2993">
        <v>0</v>
      </c>
      <c r="J202"/>
    </row>
    <row r="203" spans="1:10" ht="13" hidden="1">
      <c r="A203" s="2983">
        <v>44</v>
      </c>
      <c r="B203" s="2982" t="s">
        <v>896</v>
      </c>
      <c r="C203" s="2982" t="s">
        <v>5826</v>
      </c>
      <c r="D203" s="2982">
        <v>1162918</v>
      </c>
      <c r="E203" s="2982" t="s">
        <v>5839</v>
      </c>
      <c r="F203" s="2993">
        <v>-9.1856000000000004E-3</v>
      </c>
      <c r="J203"/>
    </row>
    <row r="204" spans="1:10" ht="13" hidden="1">
      <c r="A204" s="2983">
        <v>44</v>
      </c>
      <c r="B204" s="2982" t="s">
        <v>896</v>
      </c>
      <c r="C204" s="2982" t="s">
        <v>5826</v>
      </c>
      <c r="D204" s="2982">
        <v>1162920</v>
      </c>
      <c r="E204" s="2982" t="s">
        <v>5840</v>
      </c>
      <c r="F204" s="2993">
        <v>0</v>
      </c>
      <c r="J204"/>
    </row>
    <row r="205" spans="1:10" ht="13" hidden="1">
      <c r="A205" s="2983">
        <v>46</v>
      </c>
      <c r="B205" s="2982" t="s">
        <v>5841</v>
      </c>
      <c r="C205" s="2982" t="s">
        <v>5842</v>
      </c>
      <c r="D205" s="2982">
        <v>1162921</v>
      </c>
      <c r="E205" s="2982" t="s">
        <v>5843</v>
      </c>
      <c r="F205" s="2993">
        <v>-4.8416684999999999</v>
      </c>
      <c r="J205"/>
    </row>
    <row r="206" spans="1:10" ht="13" hidden="1">
      <c r="A206" s="2983">
        <v>43</v>
      </c>
      <c r="B206" s="2982" t="s">
        <v>896</v>
      </c>
      <c r="C206" s="2982" t="s">
        <v>5844</v>
      </c>
      <c r="D206" s="2982">
        <v>1162927</v>
      </c>
      <c r="E206" s="2982" t="s">
        <v>5845</v>
      </c>
      <c r="F206" s="2993">
        <v>-5.6129201039999996</v>
      </c>
      <c r="J206"/>
    </row>
    <row r="207" spans="1:10" ht="13" hidden="1">
      <c r="A207" s="2983">
        <v>48</v>
      </c>
      <c r="B207" s="2982" t="s">
        <v>5841</v>
      </c>
      <c r="C207" s="2982" t="s">
        <v>5846</v>
      </c>
      <c r="D207" s="2982">
        <v>1162929</v>
      </c>
      <c r="E207" s="2982" t="s">
        <v>5847</v>
      </c>
      <c r="F207" s="2993">
        <v>-0.60580109999999998</v>
      </c>
      <c r="J207"/>
    </row>
    <row r="208" spans="1:10" ht="13" hidden="1">
      <c r="A208" s="2983">
        <v>48</v>
      </c>
      <c r="B208" s="2982" t="s">
        <v>5841</v>
      </c>
      <c r="C208" s="2982" t="s">
        <v>5846</v>
      </c>
      <c r="D208" s="2982">
        <v>1162930</v>
      </c>
      <c r="E208" s="2982" t="s">
        <v>5848</v>
      </c>
      <c r="F208" s="2993">
        <v>-3.869E-3</v>
      </c>
      <c r="J208"/>
    </row>
    <row r="209" spans="1:10" ht="13" hidden="1">
      <c r="A209" s="2983">
        <v>44</v>
      </c>
      <c r="B209" s="2982" t="s">
        <v>896</v>
      </c>
      <c r="C209" s="2982" t="s">
        <v>5826</v>
      </c>
      <c r="D209" s="2982">
        <v>1162998</v>
      </c>
      <c r="E209" s="2982" t="s">
        <v>4786</v>
      </c>
      <c r="F209" s="2993">
        <v>-0.17609002800000001</v>
      </c>
      <c r="J209"/>
    </row>
    <row r="210" spans="1:10" ht="13" hidden="1">
      <c r="A210" s="2983">
        <v>44</v>
      </c>
      <c r="B210" s="2982" t="s">
        <v>896</v>
      </c>
      <c r="C210" s="2982" t="s">
        <v>5826</v>
      </c>
      <c r="D210" s="2982">
        <v>1162999</v>
      </c>
      <c r="E210" s="2982" t="s">
        <v>5849</v>
      </c>
      <c r="F210" s="2993">
        <v>-0.74039841200000001</v>
      </c>
      <c r="J210"/>
    </row>
    <row r="211" spans="1:10" ht="13" hidden="1">
      <c r="A211" s="2983">
        <v>12</v>
      </c>
      <c r="B211" s="2982" t="s">
        <v>5715</v>
      </c>
      <c r="C211" s="2982" t="s">
        <v>5727</v>
      </c>
      <c r="D211" s="2982">
        <v>1424100</v>
      </c>
      <c r="E211" s="2982" t="s">
        <v>5850</v>
      </c>
      <c r="F211" s="2993">
        <v>1.0256649979999948</v>
      </c>
      <c r="J211"/>
    </row>
    <row r="212" spans="1:10" ht="13" hidden="1">
      <c r="A212" s="2983">
        <v>12</v>
      </c>
      <c r="B212" s="2982" t="s">
        <v>5715</v>
      </c>
      <c r="C212" s="2982" t="s">
        <v>5727</v>
      </c>
      <c r="D212" s="2982">
        <v>1424101</v>
      </c>
      <c r="E212" s="2982" t="s">
        <v>5851</v>
      </c>
      <c r="F212" s="2993">
        <v>1.4490783889999399</v>
      </c>
      <c r="J212"/>
    </row>
    <row r="213" spans="1:10" ht="13" hidden="1">
      <c r="A213" s="2983">
        <v>12</v>
      </c>
      <c r="B213" s="2982" t="s">
        <v>5715</v>
      </c>
      <c r="C213" s="2982" t="s">
        <v>5727</v>
      </c>
      <c r="D213" s="2982">
        <v>1424102</v>
      </c>
      <c r="E213" s="2982" t="s">
        <v>5852</v>
      </c>
      <c r="F213" s="2993">
        <v>2.9227588429999969</v>
      </c>
      <c r="J213"/>
    </row>
    <row r="214" spans="1:10" ht="13" hidden="1">
      <c r="A214" s="2983">
        <v>12</v>
      </c>
      <c r="B214" s="2982" t="s">
        <v>5715</v>
      </c>
      <c r="C214" s="2982" t="s">
        <v>5727</v>
      </c>
      <c r="D214" s="2982">
        <v>1424103</v>
      </c>
      <c r="E214" s="2982" t="s">
        <v>5853</v>
      </c>
      <c r="F214" s="2993">
        <v>2.8459400000000003E-2</v>
      </c>
      <c r="J214"/>
    </row>
    <row r="215" spans="1:10" ht="13" hidden="1">
      <c r="A215" s="2983">
        <v>12</v>
      </c>
      <c r="B215" s="2982" t="s">
        <v>5715</v>
      </c>
      <c r="C215" s="2982" t="s">
        <v>5727</v>
      </c>
      <c r="D215" s="2982">
        <v>1424104</v>
      </c>
      <c r="E215" s="2982" t="s">
        <v>5854</v>
      </c>
      <c r="F215" s="2993">
        <v>35.014165110000008</v>
      </c>
      <c r="J215"/>
    </row>
    <row r="216" spans="1:10" ht="13" hidden="1">
      <c r="A216" s="2983">
        <v>12</v>
      </c>
      <c r="B216" s="2982" t="s">
        <v>5715</v>
      </c>
      <c r="C216" s="2982" t="s">
        <v>5727</v>
      </c>
      <c r="D216" s="2982">
        <v>1424105</v>
      </c>
      <c r="E216" s="2982" t="s">
        <v>5855</v>
      </c>
      <c r="F216" s="2993">
        <v>2.4011965010000007</v>
      </c>
      <c r="J216"/>
    </row>
    <row r="217" spans="1:10" ht="13" hidden="1">
      <c r="A217" s="2983">
        <v>12</v>
      </c>
      <c r="B217" s="2982" t="s">
        <v>5715</v>
      </c>
      <c r="C217" s="2982" t="s">
        <v>5727</v>
      </c>
      <c r="D217" s="2982">
        <v>1424106</v>
      </c>
      <c r="E217" s="2982" t="s">
        <v>5856</v>
      </c>
      <c r="F217" s="2993">
        <v>0.15394672000000001</v>
      </c>
      <c r="J217"/>
    </row>
    <row r="218" spans="1:10" ht="13" hidden="1">
      <c r="A218" s="2983">
        <v>12</v>
      </c>
      <c r="B218" s="2982" t="s">
        <v>5715</v>
      </c>
      <c r="C218" s="2982" t="s">
        <v>5727</v>
      </c>
      <c r="D218" s="2982">
        <v>1424107</v>
      </c>
      <c r="E218" s="2982" t="s">
        <v>5857</v>
      </c>
      <c r="F218" s="2993">
        <v>33.919974824999997</v>
      </c>
      <c r="J218"/>
    </row>
    <row r="219" spans="1:10" ht="13" hidden="1">
      <c r="A219" s="2983">
        <v>12</v>
      </c>
      <c r="B219" s="2982" t="s">
        <v>5715</v>
      </c>
      <c r="C219" s="2982" t="s">
        <v>5727</v>
      </c>
      <c r="D219" s="2982">
        <v>1424108</v>
      </c>
      <c r="E219" s="2982" t="s">
        <v>5858</v>
      </c>
      <c r="F219" s="2993">
        <v>2.8652850000000001</v>
      </c>
      <c r="J219"/>
    </row>
    <row r="220" spans="1:10" ht="13" hidden="1">
      <c r="A220" s="2983">
        <v>12</v>
      </c>
      <c r="B220" s="2982" t="s">
        <v>5715</v>
      </c>
      <c r="C220" s="2982" t="s">
        <v>5727</v>
      </c>
      <c r="D220" s="2982">
        <v>1424109</v>
      </c>
      <c r="E220" s="2982" t="s">
        <v>5859</v>
      </c>
      <c r="F220" s="2993">
        <v>1.0088489999999999</v>
      </c>
      <c r="J220"/>
    </row>
    <row r="221" spans="1:10" ht="13" hidden="1">
      <c r="A221" s="2983">
        <v>12</v>
      </c>
      <c r="B221" s="2982" t="s">
        <v>5715</v>
      </c>
      <c r="C221" s="2982" t="s">
        <v>5727</v>
      </c>
      <c r="D221" s="2982">
        <v>1424110</v>
      </c>
      <c r="E221" s="2982" t="s">
        <v>5860</v>
      </c>
      <c r="F221" s="2993">
        <v>6.6412517090000005</v>
      </c>
      <c r="J221"/>
    </row>
    <row r="222" spans="1:10" ht="13" hidden="1">
      <c r="A222" s="2983">
        <v>12</v>
      </c>
      <c r="B222" s="2982" t="s">
        <v>5715</v>
      </c>
      <c r="C222" s="2982" t="s">
        <v>5727</v>
      </c>
      <c r="D222" s="2982">
        <v>1424111</v>
      </c>
      <c r="E222" s="2982" t="s">
        <v>5861</v>
      </c>
      <c r="F222" s="2993">
        <v>6.8411058499999999</v>
      </c>
      <c r="J222"/>
    </row>
    <row r="223" spans="1:10" ht="13" hidden="1">
      <c r="A223" s="2983" t="s">
        <v>8166</v>
      </c>
      <c r="B223" s="2982" t="s">
        <v>5789</v>
      </c>
      <c r="C223" s="2982" t="s">
        <v>5862</v>
      </c>
      <c r="D223" s="2982">
        <v>1424112</v>
      </c>
      <c r="E223" s="2982" t="s">
        <v>5863</v>
      </c>
      <c r="F223" s="2993">
        <v>0</v>
      </c>
      <c r="J223"/>
    </row>
    <row r="224" spans="1:10" ht="13" hidden="1">
      <c r="A224" s="2983" t="s">
        <v>8166</v>
      </c>
      <c r="B224" s="2982" t="s">
        <v>5789</v>
      </c>
      <c r="C224" s="2982" t="s">
        <v>5862</v>
      </c>
      <c r="D224" s="2984">
        <v>1424113</v>
      </c>
      <c r="E224" s="2982" t="s">
        <v>5864</v>
      </c>
      <c r="F224" s="2993">
        <v>0</v>
      </c>
      <c r="J224"/>
    </row>
    <row r="225" spans="1:10" ht="13" hidden="1">
      <c r="A225" s="2983" t="s">
        <v>8166</v>
      </c>
      <c r="B225" s="2982" t="s">
        <v>5789</v>
      </c>
      <c r="C225" s="2982" t="s">
        <v>5862</v>
      </c>
      <c r="D225" s="2984">
        <v>1424114</v>
      </c>
      <c r="E225" s="2982" t="s">
        <v>5865</v>
      </c>
      <c r="F225" s="2993">
        <v>0</v>
      </c>
      <c r="J225"/>
    </row>
    <row r="226" spans="1:10" ht="13" hidden="1">
      <c r="A226" s="2983">
        <v>12</v>
      </c>
      <c r="B226" s="2982" t="s">
        <v>5715</v>
      </c>
      <c r="C226" s="2982" t="s">
        <v>5727</v>
      </c>
      <c r="D226" s="2984">
        <v>1424115</v>
      </c>
      <c r="E226" s="2982" t="s">
        <v>5866</v>
      </c>
      <c r="F226" s="2993">
        <v>7.1318509459999992</v>
      </c>
      <c r="J226"/>
    </row>
    <row r="227" spans="1:10" ht="13" hidden="1">
      <c r="A227" s="2983">
        <v>12</v>
      </c>
      <c r="B227" s="2982" t="s">
        <v>5715</v>
      </c>
      <c r="C227" s="2982" t="s">
        <v>5727</v>
      </c>
      <c r="D227" s="2984">
        <v>1424116</v>
      </c>
      <c r="E227" s="2982" t="s">
        <v>5867</v>
      </c>
      <c r="F227" s="2993">
        <v>8.4878600000023868E-3</v>
      </c>
      <c r="J227"/>
    </row>
    <row r="228" spans="1:10" ht="13" hidden="1">
      <c r="A228" s="2983">
        <v>12</v>
      </c>
      <c r="B228" s="2982" t="s">
        <v>5715</v>
      </c>
      <c r="C228" s="2982" t="s">
        <v>5727</v>
      </c>
      <c r="D228" s="2984">
        <v>1424119</v>
      </c>
      <c r="E228" s="2982" t="s">
        <v>5868</v>
      </c>
      <c r="F228" s="2993">
        <v>1.2843276000000001</v>
      </c>
      <c r="J228"/>
    </row>
    <row r="229" spans="1:10" ht="13" hidden="1">
      <c r="A229" s="2983">
        <v>12</v>
      </c>
      <c r="B229" s="2982" t="s">
        <v>5715</v>
      </c>
      <c r="C229" s="2982" t="s">
        <v>5727</v>
      </c>
      <c r="D229" s="2984">
        <v>1424120</v>
      </c>
      <c r="E229" s="2982" t="s">
        <v>5869</v>
      </c>
      <c r="F229" s="2993">
        <v>5.940197171999996</v>
      </c>
      <c r="J229"/>
    </row>
    <row r="230" spans="1:10" ht="13" hidden="1">
      <c r="A230" s="2983">
        <v>12</v>
      </c>
      <c r="B230" s="2982" t="s">
        <v>5715</v>
      </c>
      <c r="C230" s="2982" t="s">
        <v>5727</v>
      </c>
      <c r="D230" s="2984">
        <v>1424121</v>
      </c>
      <c r="E230" s="2982" t="s">
        <v>5870</v>
      </c>
      <c r="F230" s="2993">
        <v>5.4586922930000039</v>
      </c>
      <c r="J230"/>
    </row>
    <row r="231" spans="1:10" ht="13" hidden="1">
      <c r="A231" s="2983">
        <v>12</v>
      </c>
      <c r="B231" s="2982" t="s">
        <v>5715</v>
      </c>
      <c r="C231" s="2982" t="s">
        <v>5727</v>
      </c>
      <c r="D231" s="2984">
        <v>1424122</v>
      </c>
      <c r="E231" s="2982" t="s">
        <v>5871</v>
      </c>
      <c r="F231" s="2993">
        <v>0.10323017100000383</v>
      </c>
      <c r="J231"/>
    </row>
    <row r="232" spans="1:10" ht="13" hidden="1">
      <c r="A232" s="2983">
        <v>12</v>
      </c>
      <c r="B232" s="2982" t="s">
        <v>5715</v>
      </c>
      <c r="C232" s="2982" t="s">
        <v>5727</v>
      </c>
      <c r="D232" s="2984">
        <v>1424123</v>
      </c>
      <c r="E232" s="2982" t="s">
        <v>5872</v>
      </c>
      <c r="F232" s="2993">
        <v>9.4727344969999994</v>
      </c>
      <c r="J232"/>
    </row>
    <row r="233" spans="1:10" ht="13" hidden="1">
      <c r="A233" s="2983">
        <v>12</v>
      </c>
      <c r="B233" s="2982" t="s">
        <v>5715</v>
      </c>
      <c r="C233" s="2982" t="s">
        <v>5727</v>
      </c>
      <c r="D233" s="2984">
        <v>1424124</v>
      </c>
      <c r="E233" s="2982" t="s">
        <v>5873</v>
      </c>
      <c r="F233" s="2993">
        <v>20.100853758999996</v>
      </c>
      <c r="J233"/>
    </row>
    <row r="234" spans="1:10" ht="13" hidden="1">
      <c r="A234" s="2983">
        <v>12</v>
      </c>
      <c r="B234" s="2982" t="s">
        <v>5715</v>
      </c>
      <c r="C234" s="2982" t="s">
        <v>5727</v>
      </c>
      <c r="D234" s="2984">
        <v>1424125</v>
      </c>
      <c r="E234" s="2982" t="s">
        <v>5874</v>
      </c>
      <c r="F234" s="2993">
        <v>2.7136342050000017</v>
      </c>
      <c r="J234"/>
    </row>
    <row r="235" spans="1:10" ht="13" hidden="1">
      <c r="A235" s="2983">
        <v>12</v>
      </c>
      <c r="B235" s="2982" t="s">
        <v>5715</v>
      </c>
      <c r="C235" s="2982" t="s">
        <v>5727</v>
      </c>
      <c r="D235" s="2984">
        <v>1424126</v>
      </c>
      <c r="E235" s="2982" t="s">
        <v>5875</v>
      </c>
      <c r="F235" s="2993">
        <v>0.23879942999999992</v>
      </c>
      <c r="J235"/>
    </row>
    <row r="236" spans="1:10" ht="13" hidden="1">
      <c r="A236" s="2983">
        <v>12</v>
      </c>
      <c r="B236" s="2982" t="s">
        <v>5715</v>
      </c>
      <c r="C236" s="2982" t="s">
        <v>5727</v>
      </c>
      <c r="D236" s="2984">
        <v>1424127</v>
      </c>
      <c r="E236" s="2982" t="s">
        <v>5876</v>
      </c>
      <c r="F236" s="2993">
        <v>0.17597137699999427</v>
      </c>
      <c r="J236"/>
    </row>
    <row r="237" spans="1:10" ht="13" hidden="1">
      <c r="A237" s="2983">
        <v>12</v>
      </c>
      <c r="B237" s="2982" t="s">
        <v>5715</v>
      </c>
      <c r="C237" s="2982" t="s">
        <v>5727</v>
      </c>
      <c r="D237" s="2984">
        <v>1424128</v>
      </c>
      <c r="E237" s="2982" t="s">
        <v>5877</v>
      </c>
      <c r="F237" s="2993">
        <v>0.1508899549999998</v>
      </c>
      <c r="J237"/>
    </row>
    <row r="238" spans="1:10" ht="13" hidden="1">
      <c r="A238" s="2983">
        <v>12</v>
      </c>
      <c r="B238" s="2982" t="s">
        <v>5715</v>
      </c>
      <c r="C238" s="2982" t="s">
        <v>5727</v>
      </c>
      <c r="D238" s="2984">
        <v>1424129</v>
      </c>
      <c r="E238" s="2982" t="s">
        <v>5878</v>
      </c>
      <c r="F238" s="2993">
        <v>9.0847610000000002E-3</v>
      </c>
      <c r="J238"/>
    </row>
    <row r="239" spans="1:10" ht="13" hidden="1">
      <c r="A239" s="2983">
        <v>12</v>
      </c>
      <c r="B239" s="2982" t="s">
        <v>5715</v>
      </c>
      <c r="C239" s="2982" t="s">
        <v>5727</v>
      </c>
      <c r="D239" s="2984">
        <v>1424130</v>
      </c>
      <c r="E239" s="2982" t="s">
        <v>5879</v>
      </c>
      <c r="F239" s="2993">
        <v>6.3705610000000003E-3</v>
      </c>
      <c r="J239"/>
    </row>
    <row r="240" spans="1:10" ht="13" hidden="1">
      <c r="A240" s="2983">
        <v>12</v>
      </c>
      <c r="B240" s="2982" t="s">
        <v>5715</v>
      </c>
      <c r="C240" s="2982" t="s">
        <v>5727</v>
      </c>
      <c r="D240" s="2984">
        <v>1424131</v>
      </c>
      <c r="E240" s="2982" t="s">
        <v>5880</v>
      </c>
      <c r="F240" s="2993">
        <v>2.0721099999999999E-2</v>
      </c>
      <c r="J240"/>
    </row>
    <row r="241" spans="1:10" ht="13" hidden="1">
      <c r="A241" s="2983">
        <v>12</v>
      </c>
      <c r="B241" s="2982" t="s">
        <v>5715</v>
      </c>
      <c r="C241" s="2982" t="s">
        <v>5727</v>
      </c>
      <c r="D241" s="2982">
        <v>1424132</v>
      </c>
      <c r="E241" s="2982" t="s">
        <v>5881</v>
      </c>
      <c r="F241" s="2993">
        <v>2.5401E-3</v>
      </c>
      <c r="J241"/>
    </row>
    <row r="242" spans="1:10" ht="13" hidden="1">
      <c r="A242" s="2983">
        <v>12</v>
      </c>
      <c r="B242" s="2982" t="s">
        <v>5715</v>
      </c>
      <c r="C242" s="2982" t="s">
        <v>5727</v>
      </c>
      <c r="D242" s="2982">
        <v>1424133</v>
      </c>
      <c r="E242" s="2982" t="s">
        <v>5882</v>
      </c>
      <c r="F242" s="2993">
        <v>3.586266299999237E-2</v>
      </c>
      <c r="J242"/>
    </row>
    <row r="243" spans="1:10" ht="13" hidden="1">
      <c r="A243" s="2983">
        <v>12</v>
      </c>
      <c r="B243" s="2982" t="s">
        <v>5715</v>
      </c>
      <c r="C243" s="2982" t="s">
        <v>5727</v>
      </c>
      <c r="D243" s="2982">
        <v>1424134</v>
      </c>
      <c r="E243" s="2982" t="s">
        <v>5883</v>
      </c>
      <c r="F243" s="2993">
        <v>0.16055674099999995</v>
      </c>
      <c r="J243"/>
    </row>
    <row r="244" spans="1:10" ht="13" hidden="1">
      <c r="A244" s="2983">
        <v>12</v>
      </c>
      <c r="B244" s="2982" t="s">
        <v>5715</v>
      </c>
      <c r="C244" s="2982" t="s">
        <v>5727</v>
      </c>
      <c r="D244" s="2982">
        <v>1424135</v>
      </c>
      <c r="E244" s="2982" t="s">
        <v>5884</v>
      </c>
      <c r="F244" s="2993">
        <v>0.29643028799999999</v>
      </c>
      <c r="J244"/>
    </row>
    <row r="245" spans="1:10" ht="13" hidden="1">
      <c r="A245" s="2983">
        <v>12</v>
      </c>
      <c r="B245" s="2982" t="s">
        <v>5715</v>
      </c>
      <c r="C245" s="2982" t="s">
        <v>5727</v>
      </c>
      <c r="D245" s="2982">
        <v>1424136</v>
      </c>
      <c r="E245" s="2982" t="s">
        <v>5885</v>
      </c>
      <c r="F245" s="2993">
        <v>0</v>
      </c>
      <c r="J245"/>
    </row>
    <row r="246" spans="1:10" ht="13" hidden="1">
      <c r="A246" s="2983">
        <v>12</v>
      </c>
      <c r="B246" s="2982" t="s">
        <v>5715</v>
      </c>
      <c r="C246" s="2982" t="s">
        <v>5727</v>
      </c>
      <c r="D246" s="2982">
        <v>1424137</v>
      </c>
      <c r="E246" s="2982" t="s">
        <v>5886</v>
      </c>
      <c r="F246" s="2993">
        <v>1.1204470020000001</v>
      </c>
      <c r="J246"/>
    </row>
    <row r="247" spans="1:10" ht="13" hidden="1">
      <c r="A247" s="2983">
        <v>12</v>
      </c>
      <c r="B247" s="2982" t="s">
        <v>5715</v>
      </c>
      <c r="C247" s="2982" t="s">
        <v>5727</v>
      </c>
      <c r="D247" s="2982">
        <v>1424138</v>
      </c>
      <c r="E247" s="2982" t="s">
        <v>5887</v>
      </c>
      <c r="F247" s="2993">
        <v>2.4178069999998809E-2</v>
      </c>
      <c r="J247"/>
    </row>
    <row r="248" spans="1:10" ht="13" hidden="1">
      <c r="A248" s="2983">
        <v>12</v>
      </c>
      <c r="B248" s="2982" t="s">
        <v>5715</v>
      </c>
      <c r="C248" s="2982" t="s">
        <v>5727</v>
      </c>
      <c r="D248" s="2984">
        <v>1424139</v>
      </c>
      <c r="E248" s="2982" t="s">
        <v>5888</v>
      </c>
      <c r="F248" s="2993">
        <v>0.18476100500000001</v>
      </c>
      <c r="J248"/>
    </row>
    <row r="249" spans="1:10" ht="13" hidden="1">
      <c r="A249" s="2983">
        <v>12</v>
      </c>
      <c r="B249" s="2982" t="s">
        <v>5715</v>
      </c>
      <c r="C249" s="2982" t="s">
        <v>5727</v>
      </c>
      <c r="D249" s="2982">
        <v>1424140</v>
      </c>
      <c r="E249" s="2982" t="s">
        <v>5889</v>
      </c>
      <c r="F249" s="2993">
        <v>9.911500000000001E-4</v>
      </c>
      <c r="J249"/>
    </row>
    <row r="250" spans="1:10" ht="13" hidden="1">
      <c r="A250" s="2983">
        <v>12</v>
      </c>
      <c r="B250" s="2985" t="s">
        <v>5715</v>
      </c>
      <c r="C250" s="2985" t="s">
        <v>5727</v>
      </c>
      <c r="D250" s="2982">
        <v>1424141</v>
      </c>
      <c r="E250" s="2982" t="s">
        <v>5890</v>
      </c>
      <c r="F250" s="2993">
        <v>0</v>
      </c>
      <c r="J250"/>
    </row>
    <row r="251" spans="1:10" ht="13" hidden="1">
      <c r="A251" s="2983">
        <v>12</v>
      </c>
      <c r="B251" s="2982" t="s">
        <v>5715</v>
      </c>
      <c r="C251" s="2982" t="s">
        <v>5727</v>
      </c>
      <c r="D251" s="2982">
        <v>1424143</v>
      </c>
      <c r="E251" s="2982" t="s">
        <v>5891</v>
      </c>
      <c r="F251" s="2993">
        <v>0</v>
      </c>
      <c r="J251"/>
    </row>
    <row r="252" spans="1:10" ht="13" hidden="1">
      <c r="A252" s="2983">
        <v>12</v>
      </c>
      <c r="B252" s="2982" t="s">
        <v>5715</v>
      </c>
      <c r="C252" s="2982" t="s">
        <v>5727</v>
      </c>
      <c r="D252" s="2982">
        <v>1424144</v>
      </c>
      <c r="E252" s="2982" t="s">
        <v>5892</v>
      </c>
      <c r="F252" s="2993">
        <v>0</v>
      </c>
      <c r="J252"/>
    </row>
    <row r="253" spans="1:10" ht="13" hidden="1">
      <c r="A253" s="2983">
        <v>12</v>
      </c>
      <c r="B253" s="2982" t="s">
        <v>5715</v>
      </c>
      <c r="C253" s="2982" t="s">
        <v>5727</v>
      </c>
      <c r="D253" s="2982">
        <v>1424146</v>
      </c>
      <c r="E253" s="2982" t="s">
        <v>5893</v>
      </c>
      <c r="F253" s="2993">
        <v>3.1013700000000199E-3</v>
      </c>
      <c r="J253"/>
    </row>
    <row r="254" spans="1:10" ht="13" hidden="1">
      <c r="A254" s="2983">
        <v>12</v>
      </c>
      <c r="B254" s="2982" t="s">
        <v>5715</v>
      </c>
      <c r="C254" s="2982" t="s">
        <v>5727</v>
      </c>
      <c r="D254" s="2982">
        <v>1424147</v>
      </c>
      <c r="E254" s="2982" t="s">
        <v>5894</v>
      </c>
      <c r="F254" s="2993">
        <v>8.4409060000000813E-3</v>
      </c>
      <c r="J254"/>
    </row>
    <row r="255" spans="1:10" ht="13" hidden="1">
      <c r="A255" s="2983">
        <v>12</v>
      </c>
      <c r="B255" s="2982" t="s">
        <v>5715</v>
      </c>
      <c r="C255" s="2982" t="s">
        <v>5727</v>
      </c>
      <c r="D255" s="2982">
        <v>1424148</v>
      </c>
      <c r="E255" s="2982" t="s">
        <v>5895</v>
      </c>
      <c r="F255" s="2993">
        <v>1.926114E-3</v>
      </c>
      <c r="J255"/>
    </row>
    <row r="256" spans="1:10" ht="13" hidden="1">
      <c r="A256" s="2983">
        <v>12</v>
      </c>
      <c r="B256" s="2982" t="s">
        <v>5715</v>
      </c>
      <c r="C256" s="2982" t="s">
        <v>5727</v>
      </c>
      <c r="D256" s="2982">
        <v>1424149</v>
      </c>
      <c r="E256" s="2982" t="s">
        <v>5896</v>
      </c>
      <c r="F256" s="2993">
        <v>0.38047799500000012</v>
      </c>
      <c r="J256"/>
    </row>
    <row r="257" spans="1:10" ht="13" hidden="1">
      <c r="A257" s="2983">
        <v>12</v>
      </c>
      <c r="B257" s="2982" t="s">
        <v>5715</v>
      </c>
      <c r="C257" s="2982" t="s">
        <v>5727</v>
      </c>
      <c r="D257" s="2982">
        <v>1424150</v>
      </c>
      <c r="E257" s="2982" t="s">
        <v>5897</v>
      </c>
      <c r="F257" s="2993">
        <v>0.35867592000000031</v>
      </c>
      <c r="J257"/>
    </row>
    <row r="258" spans="1:10" ht="13" hidden="1">
      <c r="A258" s="2983">
        <v>12</v>
      </c>
      <c r="B258" s="2982" t="s">
        <v>5715</v>
      </c>
      <c r="C258" s="2982" t="s">
        <v>5727</v>
      </c>
      <c r="D258" s="2982">
        <v>1424151</v>
      </c>
      <c r="E258" s="2982" t="s">
        <v>5898</v>
      </c>
      <c r="F258" s="2993">
        <v>5.6000124999988188E-2</v>
      </c>
      <c r="J258"/>
    </row>
    <row r="259" spans="1:10" ht="13" hidden="1">
      <c r="A259" s="2983">
        <v>12</v>
      </c>
      <c r="B259" s="2982" t="s">
        <v>5715</v>
      </c>
      <c r="C259" s="2982" t="s">
        <v>5727</v>
      </c>
      <c r="D259" s="2982">
        <v>1424152</v>
      </c>
      <c r="E259" s="2982" t="s">
        <v>5899</v>
      </c>
      <c r="F259" s="2993">
        <v>9.999999999997615E-4</v>
      </c>
      <c r="J259"/>
    </row>
    <row r="260" spans="1:10" ht="13" hidden="1">
      <c r="A260" s="2983">
        <v>12</v>
      </c>
      <c r="B260" s="2982" t="s">
        <v>5715</v>
      </c>
      <c r="C260" s="2982" t="s">
        <v>5727</v>
      </c>
      <c r="D260" s="2982">
        <v>1424153</v>
      </c>
      <c r="E260" s="2982" t="s">
        <v>5900</v>
      </c>
      <c r="F260" s="2993">
        <v>4.1856000000000006E-4</v>
      </c>
      <c r="J260"/>
    </row>
    <row r="261" spans="1:10" ht="13" hidden="1">
      <c r="A261" s="2983">
        <v>12</v>
      </c>
      <c r="B261" s="2982" t="s">
        <v>5715</v>
      </c>
      <c r="C261" s="2982" t="s">
        <v>5727</v>
      </c>
      <c r="D261" s="2982">
        <v>1424154</v>
      </c>
      <c r="E261" s="2982" t="s">
        <v>5901</v>
      </c>
      <c r="F261" s="2993">
        <v>0.26863544900000003</v>
      </c>
      <c r="J261"/>
    </row>
    <row r="262" spans="1:10" ht="13" hidden="1">
      <c r="A262" s="2983">
        <v>12</v>
      </c>
      <c r="B262" s="2982" t="s">
        <v>5715</v>
      </c>
      <c r="C262" s="2982" t="s">
        <v>5727</v>
      </c>
      <c r="D262" s="2982">
        <v>1424155</v>
      </c>
      <c r="E262" s="2982" t="s">
        <v>5902</v>
      </c>
      <c r="F262" s="2993">
        <v>7.8706000000000002E-3</v>
      </c>
      <c r="J262"/>
    </row>
    <row r="263" spans="1:10" ht="13" hidden="1">
      <c r="A263" s="2983">
        <v>12</v>
      </c>
      <c r="B263" s="2982" t="s">
        <v>5715</v>
      </c>
      <c r="C263" s="2982" t="s">
        <v>5727</v>
      </c>
      <c r="D263" s="2982">
        <v>1424156</v>
      </c>
      <c r="E263" s="2982" t="s">
        <v>5903</v>
      </c>
      <c r="F263" s="2993">
        <v>3.1096000000000001E-3</v>
      </c>
      <c r="J263"/>
    </row>
    <row r="264" spans="1:10" ht="13" hidden="1">
      <c r="A264" s="2983">
        <v>12</v>
      </c>
      <c r="B264" s="2982" t="s">
        <v>5715</v>
      </c>
      <c r="C264" s="2982" t="s">
        <v>5727</v>
      </c>
      <c r="D264" s="2982">
        <v>1424157</v>
      </c>
      <c r="E264" s="2982" t="s">
        <v>5904</v>
      </c>
      <c r="F264" s="2993">
        <v>7.0730553999998558E-2</v>
      </c>
      <c r="J264"/>
    </row>
    <row r="265" spans="1:10" ht="13" hidden="1">
      <c r="A265" s="2983">
        <v>12</v>
      </c>
      <c r="B265" s="2982" t="s">
        <v>5715</v>
      </c>
      <c r="C265" s="2982" t="s">
        <v>5727</v>
      </c>
      <c r="D265" s="2982">
        <v>1424158</v>
      </c>
      <c r="E265" s="2982" t="s">
        <v>5905</v>
      </c>
      <c r="F265" s="2993">
        <v>0.22014512800000002</v>
      </c>
      <c r="J265"/>
    </row>
    <row r="266" spans="1:10" ht="13" hidden="1">
      <c r="A266" s="2983">
        <v>12</v>
      </c>
      <c r="B266" s="2982" t="s">
        <v>5715</v>
      </c>
      <c r="C266" s="2982" t="s">
        <v>5727</v>
      </c>
      <c r="D266" s="2982">
        <v>1424159</v>
      </c>
      <c r="E266" s="2982" t="s">
        <v>5906</v>
      </c>
      <c r="F266" s="2993">
        <v>0.15047994499999962</v>
      </c>
      <c r="J266"/>
    </row>
    <row r="267" spans="1:10" ht="13" hidden="1">
      <c r="A267" s="2983">
        <v>12</v>
      </c>
      <c r="B267" s="2982" t="s">
        <v>5715</v>
      </c>
      <c r="C267" s="2982" t="s">
        <v>5727</v>
      </c>
      <c r="D267" s="2982">
        <v>1424160</v>
      </c>
      <c r="E267" s="2982" t="s">
        <v>5907</v>
      </c>
      <c r="F267" s="2993">
        <v>0</v>
      </c>
      <c r="J267"/>
    </row>
    <row r="268" spans="1:10" ht="13" hidden="1">
      <c r="A268" s="2983">
        <v>12</v>
      </c>
      <c r="B268" s="2982" t="s">
        <v>5715</v>
      </c>
      <c r="C268" s="2982" t="s">
        <v>5727</v>
      </c>
      <c r="D268" s="2982">
        <v>1424161</v>
      </c>
      <c r="E268" s="2982" t="s">
        <v>5908</v>
      </c>
      <c r="F268" s="2993">
        <v>1.4E-3</v>
      </c>
      <c r="J268"/>
    </row>
    <row r="269" spans="1:10" ht="13" hidden="1">
      <c r="A269" s="2983">
        <v>12</v>
      </c>
      <c r="B269" s="2982" t="s">
        <v>5715</v>
      </c>
      <c r="C269" s="2982" t="s">
        <v>5727</v>
      </c>
      <c r="D269" s="2982">
        <v>1424162</v>
      </c>
      <c r="E269" s="2982" t="s">
        <v>5909</v>
      </c>
      <c r="F269" s="2993">
        <v>4.0785999999999999E-3</v>
      </c>
      <c r="J269"/>
    </row>
    <row r="270" spans="1:10" ht="13" hidden="1">
      <c r="A270" s="2983">
        <v>12</v>
      </c>
      <c r="B270" s="2982" t="s">
        <v>5715</v>
      </c>
      <c r="C270" s="2982" t="s">
        <v>5727</v>
      </c>
      <c r="D270" s="2982">
        <v>1424163</v>
      </c>
      <c r="E270" s="2982" t="s">
        <v>5910</v>
      </c>
      <c r="F270" s="2993">
        <v>5.2655911999999999E-2</v>
      </c>
      <c r="J270"/>
    </row>
    <row r="271" spans="1:10" ht="13" hidden="1">
      <c r="A271" s="2983">
        <v>12</v>
      </c>
      <c r="B271" s="2982" t="s">
        <v>5715</v>
      </c>
      <c r="C271" s="2982" t="s">
        <v>5727</v>
      </c>
      <c r="D271" s="2982">
        <v>1424164</v>
      </c>
      <c r="E271" s="2982" t="s">
        <v>5911</v>
      </c>
      <c r="F271" s="2993">
        <v>2.6835993000000238E-2</v>
      </c>
      <c r="J271"/>
    </row>
    <row r="272" spans="1:10" ht="13" hidden="1">
      <c r="A272" s="2983">
        <v>12</v>
      </c>
      <c r="B272" s="2982" t="s">
        <v>5715</v>
      </c>
      <c r="C272" s="2982" t="s">
        <v>5727</v>
      </c>
      <c r="D272" s="2982">
        <v>1424165</v>
      </c>
      <c r="E272" s="2982" t="s">
        <v>5912</v>
      </c>
      <c r="F272" s="2993">
        <v>0.27082763100000007</v>
      </c>
      <c r="J272"/>
    </row>
    <row r="273" spans="1:10" ht="13" hidden="1">
      <c r="A273" s="2983">
        <v>12</v>
      </c>
      <c r="B273" s="2982" t="s">
        <v>5715</v>
      </c>
      <c r="C273" s="2982" t="s">
        <v>5727</v>
      </c>
      <c r="D273" s="2982">
        <v>1424167</v>
      </c>
      <c r="E273" s="2982" t="s">
        <v>5913</v>
      </c>
      <c r="F273" s="2993">
        <v>2.8910000000000003E-5</v>
      </c>
      <c r="J273"/>
    </row>
    <row r="274" spans="1:10" ht="13" hidden="1">
      <c r="A274" s="2983">
        <v>12</v>
      </c>
      <c r="B274" s="2982" t="s">
        <v>5715</v>
      </c>
      <c r="C274" s="2982" t="s">
        <v>5727</v>
      </c>
      <c r="D274" s="2982">
        <v>1424169</v>
      </c>
      <c r="E274" s="2982" t="s">
        <v>5914</v>
      </c>
      <c r="F274" s="2993">
        <v>0.21737329999999999</v>
      </c>
      <c r="J274"/>
    </row>
    <row r="275" spans="1:10" ht="13" hidden="1">
      <c r="A275" s="2983">
        <v>12</v>
      </c>
      <c r="B275" s="2982" t="s">
        <v>5715</v>
      </c>
      <c r="C275" s="2982" t="s">
        <v>5727</v>
      </c>
      <c r="D275" s="2982">
        <v>1424170</v>
      </c>
      <c r="E275" s="2982" t="s">
        <v>5915</v>
      </c>
      <c r="F275" s="2993">
        <v>1.1393E-3</v>
      </c>
      <c r="J275"/>
    </row>
    <row r="276" spans="1:10" ht="13" hidden="1">
      <c r="A276" s="2983">
        <v>12</v>
      </c>
      <c r="B276" s="2982" t="s">
        <v>5715</v>
      </c>
      <c r="C276" s="2982" t="s">
        <v>5727</v>
      </c>
      <c r="D276" s="2982">
        <v>1424171</v>
      </c>
      <c r="E276" s="2982" t="s">
        <v>5916</v>
      </c>
      <c r="F276" s="2993">
        <v>0.17123574000000014</v>
      </c>
      <c r="J276"/>
    </row>
    <row r="277" spans="1:10" ht="13" hidden="1">
      <c r="A277" s="2983">
        <v>12</v>
      </c>
      <c r="B277" s="2982" t="s">
        <v>5715</v>
      </c>
      <c r="C277" s="2982" t="s">
        <v>5727</v>
      </c>
      <c r="D277" s="2982">
        <v>1424172</v>
      </c>
      <c r="E277" s="2982" t="s">
        <v>5917</v>
      </c>
      <c r="F277" s="2993">
        <v>2.8603910000002675E-3</v>
      </c>
      <c r="J277"/>
    </row>
    <row r="278" spans="1:10" ht="13" hidden="1">
      <c r="A278" s="2983">
        <v>12</v>
      </c>
      <c r="B278" s="2982" t="s">
        <v>5715</v>
      </c>
      <c r="C278" s="2982" t="s">
        <v>5727</v>
      </c>
      <c r="D278" s="2982">
        <v>1424173</v>
      </c>
      <c r="E278" s="2982" t="s">
        <v>5918</v>
      </c>
      <c r="F278" s="2993">
        <v>0</v>
      </c>
      <c r="J278"/>
    </row>
    <row r="279" spans="1:10" ht="13" hidden="1">
      <c r="A279" s="2983">
        <v>12</v>
      </c>
      <c r="B279" s="2982" t="s">
        <v>5715</v>
      </c>
      <c r="C279" s="2982" t="s">
        <v>5727</v>
      </c>
      <c r="D279" s="2982">
        <v>1424174</v>
      </c>
      <c r="E279" s="2982" t="s">
        <v>5919</v>
      </c>
      <c r="F279" s="2993">
        <v>7.5929870000015515E-3</v>
      </c>
      <c r="J279"/>
    </row>
    <row r="280" spans="1:10" ht="13" hidden="1">
      <c r="A280" s="2983">
        <v>12</v>
      </c>
      <c r="B280" s="2982" t="s">
        <v>5715</v>
      </c>
      <c r="C280" s="2982" t="s">
        <v>5727</v>
      </c>
      <c r="D280" s="2982">
        <v>1424175</v>
      </c>
      <c r="E280" s="2982" t="s">
        <v>5920</v>
      </c>
      <c r="F280" s="2993">
        <v>4.5723900000000002E-4</v>
      </c>
      <c r="J280"/>
    </row>
    <row r="281" spans="1:10" ht="13" hidden="1">
      <c r="A281" s="2983">
        <v>12</v>
      </c>
      <c r="B281" s="2982" t="s">
        <v>5715</v>
      </c>
      <c r="C281" s="2982" t="s">
        <v>5727</v>
      </c>
      <c r="D281" s="2982">
        <v>1424176</v>
      </c>
      <c r="E281" s="2982" t="s">
        <v>5921</v>
      </c>
      <c r="F281" s="2993">
        <v>9.2725750000000814E-3</v>
      </c>
      <c r="J281"/>
    </row>
    <row r="282" spans="1:10" ht="13" hidden="1">
      <c r="A282" s="2983">
        <v>12</v>
      </c>
      <c r="B282" s="2982" t="s">
        <v>5715</v>
      </c>
      <c r="C282" s="2982" t="s">
        <v>5727</v>
      </c>
      <c r="D282" s="2982">
        <v>1424177</v>
      </c>
      <c r="E282" s="2982" t="s">
        <v>5922</v>
      </c>
      <c r="F282" s="2993">
        <v>5.4831613999999904E-2</v>
      </c>
      <c r="J282"/>
    </row>
    <row r="283" spans="1:10" ht="13" hidden="1">
      <c r="A283" s="2983">
        <v>12</v>
      </c>
      <c r="B283" s="2982" t="s">
        <v>5715</v>
      </c>
      <c r="C283" s="2982" t="s">
        <v>5727</v>
      </c>
      <c r="D283" s="2982">
        <v>1424178</v>
      </c>
      <c r="E283" s="2982" t="s">
        <v>5923</v>
      </c>
      <c r="F283" s="2993">
        <v>9.0835849999999999E-3</v>
      </c>
      <c r="J283"/>
    </row>
    <row r="284" spans="1:10" ht="13" hidden="1">
      <c r="A284" s="2983">
        <v>12</v>
      </c>
      <c r="B284" s="2982" t="s">
        <v>5715</v>
      </c>
      <c r="C284" s="2982" t="s">
        <v>5727</v>
      </c>
      <c r="D284" s="2982">
        <v>1424180</v>
      </c>
      <c r="E284" s="2982" t="s">
        <v>5924</v>
      </c>
      <c r="F284" s="2993">
        <v>1E-3</v>
      </c>
      <c r="J284"/>
    </row>
    <row r="285" spans="1:10" ht="13" hidden="1">
      <c r="A285" s="2983">
        <v>12</v>
      </c>
      <c r="B285" s="2982" t="s">
        <v>5715</v>
      </c>
      <c r="C285" s="2982" t="s">
        <v>5727</v>
      </c>
      <c r="D285" s="2982">
        <v>1424181</v>
      </c>
      <c r="E285" s="2982" t="s">
        <v>5925</v>
      </c>
      <c r="F285" s="2993">
        <v>6.2998599999999991E-4</v>
      </c>
      <c r="J285"/>
    </row>
    <row r="286" spans="1:10" ht="13" hidden="1">
      <c r="A286" s="2983">
        <v>12</v>
      </c>
      <c r="B286" s="2982" t="s">
        <v>5715</v>
      </c>
      <c r="C286" s="2982" t="s">
        <v>5727</v>
      </c>
      <c r="D286" s="2982">
        <v>1424182</v>
      </c>
      <c r="E286" s="2982" t="s">
        <v>5926</v>
      </c>
      <c r="F286" s="2993">
        <v>1.2292235000001312E-2</v>
      </c>
      <c r="J286"/>
    </row>
    <row r="287" spans="1:10" ht="13" hidden="1">
      <c r="A287" s="2983">
        <v>12</v>
      </c>
      <c r="B287" s="2982" t="s">
        <v>5715</v>
      </c>
      <c r="C287" s="2982" t="s">
        <v>5727</v>
      </c>
      <c r="D287" s="2982">
        <v>1424183</v>
      </c>
      <c r="E287" s="2982" t="s">
        <v>5927</v>
      </c>
      <c r="F287" s="2993">
        <v>1.0752100000000001E-3</v>
      </c>
      <c r="J287"/>
    </row>
    <row r="288" spans="1:10" ht="13" hidden="1">
      <c r="A288" s="2983">
        <v>12</v>
      </c>
      <c r="B288" s="2982" t="s">
        <v>5715</v>
      </c>
      <c r="C288" s="2982" t="s">
        <v>5727</v>
      </c>
      <c r="D288" s="2982">
        <v>1424184</v>
      </c>
      <c r="E288" s="2982" t="s">
        <v>5928</v>
      </c>
      <c r="F288" s="2993">
        <v>6.5022237000000149E-2</v>
      </c>
      <c r="J288"/>
    </row>
    <row r="289" spans="1:10" ht="13" hidden="1">
      <c r="A289" s="2983">
        <v>12</v>
      </c>
      <c r="B289" s="2982" t="s">
        <v>5715</v>
      </c>
      <c r="C289" s="2982" t="s">
        <v>5727</v>
      </c>
      <c r="D289" s="2982">
        <v>1424185</v>
      </c>
      <c r="E289" s="2982" t="s">
        <v>5929</v>
      </c>
      <c r="F289" s="2993">
        <v>0.22676726399999969</v>
      </c>
      <c r="J289"/>
    </row>
    <row r="290" spans="1:10" ht="13" hidden="1">
      <c r="A290" s="2983">
        <v>12</v>
      </c>
      <c r="B290" s="2982" t="s">
        <v>5715</v>
      </c>
      <c r="C290" s="2982" t="s">
        <v>5727</v>
      </c>
      <c r="D290" s="2982">
        <v>1424186</v>
      </c>
      <c r="E290" s="2982" t="s">
        <v>5930</v>
      </c>
      <c r="F290" s="2993">
        <v>3.4744839999999995E-3</v>
      </c>
      <c r="J290"/>
    </row>
    <row r="291" spans="1:10" ht="13" hidden="1">
      <c r="A291" s="2983">
        <v>12</v>
      </c>
      <c r="B291" s="2982" t="s">
        <v>5715</v>
      </c>
      <c r="C291" s="2982" t="s">
        <v>5727</v>
      </c>
      <c r="D291" s="2982">
        <v>1424187</v>
      </c>
      <c r="E291" s="2982" t="s">
        <v>5931</v>
      </c>
      <c r="F291" s="2993">
        <v>1.0713280000000001E-3</v>
      </c>
      <c r="J291"/>
    </row>
    <row r="292" spans="1:10" ht="13" hidden="1">
      <c r="A292" s="2983">
        <v>12</v>
      </c>
      <c r="B292" s="2982" t="s">
        <v>5715</v>
      </c>
      <c r="C292" s="2982" t="s">
        <v>5727</v>
      </c>
      <c r="D292" s="2982">
        <v>1424188</v>
      </c>
      <c r="E292" s="2982" t="s">
        <v>5932</v>
      </c>
      <c r="F292" s="2993">
        <v>4.9359220000000006E-3</v>
      </c>
      <c r="J292"/>
    </row>
    <row r="293" spans="1:10" ht="13" hidden="1">
      <c r="A293" s="2983">
        <v>12</v>
      </c>
      <c r="B293" s="2982" t="s">
        <v>5715</v>
      </c>
      <c r="C293" s="2982" t="s">
        <v>5727</v>
      </c>
      <c r="D293" s="2982">
        <v>1424189</v>
      </c>
      <c r="E293" s="2982" t="s">
        <v>5933</v>
      </c>
      <c r="F293" s="2993">
        <v>1.0255080000000001E-3</v>
      </c>
      <c r="J293"/>
    </row>
    <row r="294" spans="1:10" ht="13" hidden="1">
      <c r="A294" s="2983">
        <v>12</v>
      </c>
      <c r="B294" s="2982" t="s">
        <v>5715</v>
      </c>
      <c r="C294" s="2982" t="s">
        <v>5727</v>
      </c>
      <c r="D294" s="2982">
        <v>1424190</v>
      </c>
      <c r="E294" s="2982" t="s">
        <v>5934</v>
      </c>
      <c r="F294" s="2993">
        <v>0.22206819099999428</v>
      </c>
      <c r="J294"/>
    </row>
    <row r="295" spans="1:10" ht="13" hidden="1">
      <c r="A295" s="2983">
        <v>12</v>
      </c>
      <c r="B295" s="2982" t="s">
        <v>5715</v>
      </c>
      <c r="C295" s="2982" t="s">
        <v>5727</v>
      </c>
      <c r="D295" s="2982">
        <v>1424191</v>
      </c>
      <c r="E295" s="2982" t="s">
        <v>5935</v>
      </c>
      <c r="F295" s="2993">
        <v>5.6086210999999997E-2</v>
      </c>
      <c r="J295"/>
    </row>
    <row r="296" spans="1:10" ht="13" hidden="1">
      <c r="A296" s="2983">
        <v>12</v>
      </c>
      <c r="B296" s="2982" t="s">
        <v>5715</v>
      </c>
      <c r="C296" s="2982" t="s">
        <v>5727</v>
      </c>
      <c r="D296" s="2982">
        <v>1424192</v>
      </c>
      <c r="E296" s="2982" t="s">
        <v>5936</v>
      </c>
      <c r="F296" s="2993">
        <v>8.7609999999999999E-4</v>
      </c>
      <c r="J296"/>
    </row>
    <row r="297" spans="1:10" ht="13" hidden="1">
      <c r="A297" s="2983">
        <v>12</v>
      </c>
      <c r="B297" s="2982" t="s">
        <v>5715</v>
      </c>
      <c r="C297" s="2982" t="s">
        <v>5727</v>
      </c>
      <c r="D297" s="2982">
        <v>1424193</v>
      </c>
      <c r="E297" s="2982" t="s">
        <v>5937</v>
      </c>
      <c r="F297" s="2993">
        <v>2.4930999999999998E-4</v>
      </c>
      <c r="J297"/>
    </row>
    <row r="298" spans="1:10" ht="13" hidden="1">
      <c r="A298" s="2983">
        <v>12</v>
      </c>
      <c r="B298" s="2982" t="s">
        <v>5715</v>
      </c>
      <c r="C298" s="2982" t="s">
        <v>5727</v>
      </c>
      <c r="D298" s="2982">
        <v>1424194</v>
      </c>
      <c r="E298" s="2982" t="s">
        <v>5938</v>
      </c>
      <c r="F298" s="2993">
        <v>3.9761699999999924E-3</v>
      </c>
      <c r="J298"/>
    </row>
    <row r="299" spans="1:10" ht="13" hidden="1">
      <c r="A299" s="2983">
        <v>12</v>
      </c>
      <c r="B299" s="2982" t="s">
        <v>5715</v>
      </c>
      <c r="C299" s="2982" t="s">
        <v>5727</v>
      </c>
      <c r="D299" s="2982">
        <v>1424195</v>
      </c>
      <c r="E299" s="2982" t="s">
        <v>5939</v>
      </c>
      <c r="F299" s="2993">
        <v>0.20938904</v>
      </c>
      <c r="J299"/>
    </row>
    <row r="300" spans="1:10" ht="13" hidden="1">
      <c r="A300" s="2983">
        <v>12</v>
      </c>
      <c r="B300" s="2982" t="s">
        <v>5715</v>
      </c>
      <c r="C300" s="2982" t="s">
        <v>5727</v>
      </c>
      <c r="D300" s="2982">
        <v>1424196</v>
      </c>
      <c r="E300" s="2982" t="s">
        <v>5940</v>
      </c>
      <c r="F300" s="2993">
        <v>2.1562424E-2</v>
      </c>
      <c r="J300"/>
    </row>
    <row r="301" spans="1:10" ht="13" hidden="1">
      <c r="A301" s="2983">
        <v>12</v>
      </c>
      <c r="B301" s="2982" t="s">
        <v>5715</v>
      </c>
      <c r="C301" s="2982" t="s">
        <v>5727</v>
      </c>
      <c r="D301" s="2982">
        <v>1424197</v>
      </c>
      <c r="E301" s="2982" t="s">
        <v>5941</v>
      </c>
      <c r="F301" s="2993">
        <v>0.11962829999999999</v>
      </c>
      <c r="J301"/>
    </row>
    <row r="302" spans="1:10" ht="13" hidden="1">
      <c r="A302" s="2983">
        <v>12</v>
      </c>
      <c r="B302" s="2982" t="s">
        <v>5715</v>
      </c>
      <c r="C302" s="2982" t="s">
        <v>5727</v>
      </c>
      <c r="D302" s="2982">
        <v>1424198</v>
      </c>
      <c r="E302" s="2982" t="s">
        <v>5942</v>
      </c>
      <c r="F302" s="2993">
        <v>0.19086148999999997</v>
      </c>
      <c r="J302"/>
    </row>
    <row r="303" spans="1:10" ht="13" hidden="1">
      <c r="A303" s="2983">
        <v>12</v>
      </c>
      <c r="B303" s="2982" t="s">
        <v>5715</v>
      </c>
      <c r="C303" s="2982" t="s">
        <v>5727</v>
      </c>
      <c r="D303" s="2982">
        <v>1424199</v>
      </c>
      <c r="E303" s="2982" t="s">
        <v>5943</v>
      </c>
      <c r="F303" s="2993">
        <v>1.3196350000000001E-2</v>
      </c>
      <c r="J303"/>
    </row>
    <row r="304" spans="1:10" ht="13" hidden="1">
      <c r="A304" s="2983">
        <v>12</v>
      </c>
      <c r="B304" s="2982" t="s">
        <v>5715</v>
      </c>
      <c r="C304" s="2982" t="s">
        <v>5727</v>
      </c>
      <c r="D304" s="2982">
        <v>1424200</v>
      </c>
      <c r="E304" s="2982" t="s">
        <v>5944</v>
      </c>
      <c r="F304" s="2993">
        <v>0</v>
      </c>
      <c r="J304"/>
    </row>
    <row r="305" spans="1:10" ht="13" hidden="1">
      <c r="A305" s="2983">
        <v>12</v>
      </c>
      <c r="B305" s="2982" t="s">
        <v>5715</v>
      </c>
      <c r="C305" s="2982" t="s">
        <v>5727</v>
      </c>
      <c r="D305" s="2982">
        <v>1424201</v>
      </c>
      <c r="E305" s="2982" t="s">
        <v>5945</v>
      </c>
      <c r="F305" s="2993">
        <v>0</v>
      </c>
      <c r="J305"/>
    </row>
    <row r="306" spans="1:10" ht="13" hidden="1">
      <c r="A306" s="2983">
        <v>12</v>
      </c>
      <c r="B306" s="2982" t="s">
        <v>5715</v>
      </c>
      <c r="C306" s="2982" t="s">
        <v>5727</v>
      </c>
      <c r="D306" s="2982">
        <v>1424202</v>
      </c>
      <c r="E306" s="2982" t="s">
        <v>5946</v>
      </c>
      <c r="F306" s="2993">
        <v>0</v>
      </c>
      <c r="J306"/>
    </row>
    <row r="307" spans="1:10" ht="13" hidden="1">
      <c r="A307" s="2983">
        <v>12</v>
      </c>
      <c r="B307" s="2982" t="s">
        <v>5715</v>
      </c>
      <c r="C307" s="2982" t="s">
        <v>5727</v>
      </c>
      <c r="D307" s="2982">
        <v>1424204</v>
      </c>
      <c r="E307" s="2982" t="s">
        <v>5947</v>
      </c>
      <c r="F307" s="2993">
        <v>0</v>
      </c>
      <c r="J307"/>
    </row>
    <row r="308" spans="1:10" ht="13" hidden="1">
      <c r="A308" s="2983">
        <v>12</v>
      </c>
      <c r="B308" s="2982" t="s">
        <v>5715</v>
      </c>
      <c r="C308" s="2982" t="s">
        <v>5727</v>
      </c>
      <c r="D308" s="2982">
        <v>1424205</v>
      </c>
      <c r="E308" s="2982" t="s">
        <v>5948</v>
      </c>
      <c r="F308" s="2993">
        <v>0</v>
      </c>
      <c r="J308"/>
    </row>
    <row r="309" spans="1:10" ht="13" hidden="1">
      <c r="A309" s="2983">
        <v>12</v>
      </c>
      <c r="B309" s="2982" t="s">
        <v>5715</v>
      </c>
      <c r="C309" s="2982" t="s">
        <v>5727</v>
      </c>
      <c r="D309" s="2982">
        <v>1424206</v>
      </c>
      <c r="E309" s="2982" t="s">
        <v>8167</v>
      </c>
      <c r="F309" s="2993">
        <v>0</v>
      </c>
      <c r="J309"/>
    </row>
    <row r="310" spans="1:10" ht="13" hidden="1">
      <c r="A310" s="2983">
        <v>12</v>
      </c>
      <c r="B310" s="2982" t="s">
        <v>5715</v>
      </c>
      <c r="C310" s="2982" t="s">
        <v>5727</v>
      </c>
      <c r="D310" s="2982">
        <v>1424207</v>
      </c>
      <c r="E310" s="2982" t="s">
        <v>5949</v>
      </c>
      <c r="F310" s="2993">
        <v>0</v>
      </c>
      <c r="J310"/>
    </row>
    <row r="311" spans="1:10" ht="13" hidden="1">
      <c r="A311" s="2983">
        <v>12</v>
      </c>
      <c r="B311" s="2982" t="s">
        <v>5715</v>
      </c>
      <c r="C311" s="2982" t="s">
        <v>5727</v>
      </c>
      <c r="D311" s="2982">
        <v>1424208</v>
      </c>
      <c r="E311" s="2982" t="s">
        <v>5950</v>
      </c>
      <c r="F311" s="2993">
        <v>0</v>
      </c>
      <c r="J311"/>
    </row>
    <row r="312" spans="1:10" ht="13" hidden="1">
      <c r="A312" s="2983">
        <v>12</v>
      </c>
      <c r="B312" s="2982" t="s">
        <v>5715</v>
      </c>
      <c r="C312" s="2982" t="s">
        <v>5727</v>
      </c>
      <c r="D312" s="2982">
        <v>1424210</v>
      </c>
      <c r="E312" s="2982" t="s">
        <v>5951</v>
      </c>
      <c r="F312" s="2993">
        <v>0</v>
      </c>
      <c r="J312"/>
    </row>
    <row r="313" spans="1:10" ht="13" hidden="1">
      <c r="A313" s="2983">
        <v>12</v>
      </c>
      <c r="B313" s="2982" t="s">
        <v>5715</v>
      </c>
      <c r="C313" s="2982" t="s">
        <v>5727</v>
      </c>
      <c r="D313" s="2982">
        <v>1424211</v>
      </c>
      <c r="E313" s="2982" t="s">
        <v>5952</v>
      </c>
      <c r="F313" s="2993">
        <v>0</v>
      </c>
      <c r="J313"/>
    </row>
    <row r="314" spans="1:10" ht="13" hidden="1">
      <c r="A314" s="2983" t="s">
        <v>8166</v>
      </c>
      <c r="B314" s="2982" t="s">
        <v>5789</v>
      </c>
      <c r="C314" s="2982" t="s">
        <v>5862</v>
      </c>
      <c r="D314" s="2982">
        <v>1424212</v>
      </c>
      <c r="E314" s="2982" t="s">
        <v>5953</v>
      </c>
      <c r="F314" s="2993">
        <v>0</v>
      </c>
      <c r="J314"/>
    </row>
    <row r="315" spans="1:10" ht="13" hidden="1">
      <c r="A315" s="2983" t="s">
        <v>8166</v>
      </c>
      <c r="B315" s="2982" t="s">
        <v>5789</v>
      </c>
      <c r="C315" s="2982" t="s">
        <v>5862</v>
      </c>
      <c r="D315" s="2982">
        <v>1424213</v>
      </c>
      <c r="E315" s="2982" t="s">
        <v>5954</v>
      </c>
      <c r="F315" s="2993">
        <v>0</v>
      </c>
      <c r="J315"/>
    </row>
    <row r="316" spans="1:10" ht="13" hidden="1">
      <c r="A316" s="2983" t="s">
        <v>8166</v>
      </c>
      <c r="B316" s="2982" t="s">
        <v>5789</v>
      </c>
      <c r="C316" s="2982" t="s">
        <v>5862</v>
      </c>
      <c r="D316" s="2982">
        <v>1424214</v>
      </c>
      <c r="E316" s="2982" t="s">
        <v>5955</v>
      </c>
      <c r="F316" s="2993">
        <v>0</v>
      </c>
      <c r="J316"/>
    </row>
    <row r="317" spans="1:10" ht="13" hidden="1">
      <c r="A317" s="2983">
        <v>12</v>
      </c>
      <c r="B317" s="2982" t="s">
        <v>5715</v>
      </c>
      <c r="C317" s="2982" t="s">
        <v>5727</v>
      </c>
      <c r="D317" s="2982">
        <v>1424216</v>
      </c>
      <c r="E317" s="2982" t="s">
        <v>5956</v>
      </c>
      <c r="F317" s="2993">
        <v>0</v>
      </c>
      <c r="J317"/>
    </row>
    <row r="318" spans="1:10" ht="13" hidden="1">
      <c r="A318" s="2983">
        <v>12</v>
      </c>
      <c r="B318" s="2982" t="s">
        <v>5715</v>
      </c>
      <c r="C318" s="2982" t="s">
        <v>5727</v>
      </c>
      <c r="D318" s="2982">
        <v>1424219</v>
      </c>
      <c r="E318" s="2982" t="s">
        <v>5957</v>
      </c>
      <c r="F318" s="2993">
        <v>0</v>
      </c>
      <c r="J318"/>
    </row>
    <row r="319" spans="1:10" ht="13" hidden="1">
      <c r="A319" s="2983">
        <v>12</v>
      </c>
      <c r="B319" s="2982" t="s">
        <v>5715</v>
      </c>
      <c r="C319" s="2982" t="s">
        <v>5727</v>
      </c>
      <c r="D319" s="2982">
        <v>1424220</v>
      </c>
      <c r="E319" s="2982" t="s">
        <v>5958</v>
      </c>
      <c r="F319" s="2993">
        <v>0</v>
      </c>
      <c r="J319"/>
    </row>
    <row r="320" spans="1:10" ht="13" hidden="1">
      <c r="A320" s="2983">
        <v>12</v>
      </c>
      <c r="B320" s="2982" t="s">
        <v>5715</v>
      </c>
      <c r="C320" s="2982" t="s">
        <v>5727</v>
      </c>
      <c r="D320" s="2982">
        <v>1424221</v>
      </c>
      <c r="E320" s="2982" t="s">
        <v>5959</v>
      </c>
      <c r="F320" s="2993">
        <v>0</v>
      </c>
      <c r="J320"/>
    </row>
    <row r="321" spans="1:10" ht="13" hidden="1">
      <c r="A321" s="2983">
        <v>12</v>
      </c>
      <c r="B321" s="2982" t="s">
        <v>5715</v>
      </c>
      <c r="C321" s="2982" t="s">
        <v>5727</v>
      </c>
      <c r="D321" s="2982">
        <v>1424222</v>
      </c>
      <c r="E321" s="2982" t="s">
        <v>5960</v>
      </c>
      <c r="F321" s="2993">
        <v>0</v>
      </c>
      <c r="J321"/>
    </row>
    <row r="322" spans="1:10" ht="13" hidden="1">
      <c r="A322" s="2983">
        <v>12</v>
      </c>
      <c r="B322" s="2982" t="s">
        <v>5715</v>
      </c>
      <c r="C322" s="2982" t="s">
        <v>5727</v>
      </c>
      <c r="D322" s="2982">
        <v>1424223</v>
      </c>
      <c r="E322" s="2982" t="s">
        <v>5961</v>
      </c>
      <c r="F322" s="2993">
        <v>0</v>
      </c>
      <c r="J322"/>
    </row>
    <row r="323" spans="1:10" ht="13" hidden="1">
      <c r="A323" s="2983">
        <v>12</v>
      </c>
      <c r="B323" s="2982" t="s">
        <v>5715</v>
      </c>
      <c r="C323" s="2982" t="s">
        <v>5727</v>
      </c>
      <c r="D323" s="2982">
        <v>1424224</v>
      </c>
      <c r="E323" s="2982" t="s">
        <v>5962</v>
      </c>
      <c r="F323" s="2993">
        <v>0</v>
      </c>
      <c r="J323"/>
    </row>
    <row r="324" spans="1:10" ht="13" hidden="1">
      <c r="A324" s="2983">
        <v>12</v>
      </c>
      <c r="B324" s="2982" t="s">
        <v>5715</v>
      </c>
      <c r="C324" s="2982" t="s">
        <v>5727</v>
      </c>
      <c r="D324" s="2982">
        <v>1424225</v>
      </c>
      <c r="E324" s="2982" t="s">
        <v>5963</v>
      </c>
      <c r="F324" s="2993">
        <v>0</v>
      </c>
      <c r="J324"/>
    </row>
    <row r="325" spans="1:10" ht="13" hidden="1">
      <c r="A325" s="2983">
        <v>12</v>
      </c>
      <c r="B325" s="2982" t="s">
        <v>5715</v>
      </c>
      <c r="C325" s="2982" t="s">
        <v>5727</v>
      </c>
      <c r="D325" s="2982">
        <v>1424226</v>
      </c>
      <c r="E325" s="2982" t="s">
        <v>5964</v>
      </c>
      <c r="F325" s="2993">
        <v>0.23866599999999993</v>
      </c>
      <c r="J325"/>
    </row>
    <row r="326" spans="1:10" ht="13" hidden="1">
      <c r="A326" s="2983">
        <v>12</v>
      </c>
      <c r="B326" s="2982" t="s">
        <v>5715</v>
      </c>
      <c r="C326" s="2982" t="s">
        <v>5727</v>
      </c>
      <c r="D326" s="2982">
        <v>1424227</v>
      </c>
      <c r="E326" s="2982" t="s">
        <v>5965</v>
      </c>
      <c r="F326" s="2993">
        <v>30.760560351000038</v>
      </c>
      <c r="J326"/>
    </row>
    <row r="327" spans="1:10" ht="13" hidden="1">
      <c r="A327" s="2983">
        <v>12</v>
      </c>
      <c r="B327" s="2982" t="s">
        <v>5715</v>
      </c>
      <c r="C327" s="2982" t="s">
        <v>5727</v>
      </c>
      <c r="D327" s="2982">
        <v>1424228</v>
      </c>
      <c r="E327" s="2982" t="s">
        <v>5966</v>
      </c>
      <c r="F327" s="2993">
        <v>1.1174827220000003</v>
      </c>
      <c r="J327"/>
    </row>
    <row r="328" spans="1:10" ht="13" hidden="1">
      <c r="A328" s="2983">
        <v>12</v>
      </c>
      <c r="B328" s="2982" t="s">
        <v>5715</v>
      </c>
      <c r="C328" s="2982" t="s">
        <v>5727</v>
      </c>
      <c r="D328" s="2982">
        <v>1424230</v>
      </c>
      <c r="E328" s="2982" t="s">
        <v>8168</v>
      </c>
      <c r="F328" s="2993">
        <v>0</v>
      </c>
      <c r="J328"/>
    </row>
    <row r="329" spans="1:10" ht="13" hidden="1">
      <c r="A329" s="2983">
        <v>12</v>
      </c>
      <c r="B329" s="2982" t="s">
        <v>5715</v>
      </c>
      <c r="C329" s="2982" t="s">
        <v>5727</v>
      </c>
      <c r="D329" s="2982">
        <v>1424261</v>
      </c>
      <c r="E329" s="2982" t="s">
        <v>8169</v>
      </c>
      <c r="F329" s="2993">
        <v>0</v>
      </c>
      <c r="J329"/>
    </row>
    <row r="330" spans="1:10" ht="13" hidden="1">
      <c r="A330" s="2983">
        <v>12</v>
      </c>
      <c r="B330" s="2982" t="s">
        <v>5715</v>
      </c>
      <c r="C330" s="2982" t="s">
        <v>5727</v>
      </c>
      <c r="D330" s="2982">
        <v>1424311</v>
      </c>
      <c r="E330" s="2982" t="s">
        <v>8170</v>
      </c>
      <c r="F330" s="2993">
        <v>0</v>
      </c>
      <c r="J330"/>
    </row>
    <row r="331" spans="1:10" ht="13" hidden="1">
      <c r="A331" s="2983">
        <v>12</v>
      </c>
      <c r="B331" s="2982" t="s">
        <v>5715</v>
      </c>
      <c r="C331" s="2982" t="s">
        <v>5727</v>
      </c>
      <c r="D331" s="2982">
        <v>1424555</v>
      </c>
      <c r="E331" s="2982" t="s">
        <v>7501</v>
      </c>
      <c r="F331" s="2993">
        <v>0</v>
      </c>
      <c r="J331"/>
    </row>
    <row r="332" spans="1:10" ht="13" hidden="1">
      <c r="A332" s="2983">
        <v>12</v>
      </c>
      <c r="B332" s="2982" t="s">
        <v>5715</v>
      </c>
      <c r="C332" s="2982" t="s">
        <v>5727</v>
      </c>
      <c r="D332" s="2982">
        <v>1424684</v>
      </c>
      <c r="E332" s="2982" t="s">
        <v>8171</v>
      </c>
      <c r="F332" s="2993">
        <v>-2.0350299999999997E-3</v>
      </c>
      <c r="J332"/>
    </row>
    <row r="333" spans="1:10" ht="13" hidden="1">
      <c r="A333" s="2983">
        <v>12</v>
      </c>
      <c r="B333" s="2982" t="s">
        <v>5715</v>
      </c>
      <c r="C333" s="2982" t="s">
        <v>5727</v>
      </c>
      <c r="D333" s="2982">
        <v>1424685</v>
      </c>
      <c r="E333" s="2982" t="s">
        <v>8172</v>
      </c>
      <c r="F333" s="2993">
        <v>-5.3553740000000004E-3</v>
      </c>
      <c r="J333"/>
    </row>
    <row r="334" spans="1:10" ht="13" hidden="1">
      <c r="A334" s="2983">
        <v>12</v>
      </c>
      <c r="B334" s="2982" t="s">
        <v>5715</v>
      </c>
      <c r="C334" s="2982" t="s">
        <v>5727</v>
      </c>
      <c r="D334" s="2982">
        <v>1424231</v>
      </c>
      <c r="E334" s="2982" t="s">
        <v>5967</v>
      </c>
      <c r="F334" s="2993">
        <v>2.831E-4</v>
      </c>
      <c r="J334"/>
    </row>
    <row r="335" spans="1:10" ht="13" hidden="1">
      <c r="A335" s="2983">
        <v>12</v>
      </c>
      <c r="B335" s="2982" t="s">
        <v>5715</v>
      </c>
      <c r="C335" s="2982" t="s">
        <v>5727</v>
      </c>
      <c r="D335" s="2982">
        <v>1424233</v>
      </c>
      <c r="E335" s="2982" t="s">
        <v>5968</v>
      </c>
      <c r="F335" s="2993">
        <v>1.0570999999998776E-2</v>
      </c>
      <c r="J335"/>
    </row>
    <row r="336" spans="1:10" ht="13" hidden="1">
      <c r="A336" s="2983">
        <v>12</v>
      </c>
      <c r="B336" s="2982" t="s">
        <v>5715</v>
      </c>
      <c r="C336" s="2982" t="s">
        <v>5727</v>
      </c>
      <c r="D336" s="2982">
        <v>1424234</v>
      </c>
      <c r="E336" s="2982" t="s">
        <v>5969</v>
      </c>
      <c r="F336" s="2993">
        <v>0</v>
      </c>
      <c r="J336"/>
    </row>
    <row r="337" spans="1:10" ht="13" hidden="1">
      <c r="A337" s="2983">
        <v>12</v>
      </c>
      <c r="B337" s="2982" t="s">
        <v>5715</v>
      </c>
      <c r="C337" s="2982" t="s">
        <v>5727</v>
      </c>
      <c r="D337" s="2982">
        <v>1424235</v>
      </c>
      <c r="E337" s="2982" t="s">
        <v>5970</v>
      </c>
      <c r="F337" s="2993">
        <v>2.2204460492503131E-16</v>
      </c>
      <c r="J337"/>
    </row>
    <row r="338" spans="1:10" ht="13" hidden="1">
      <c r="A338" s="2983">
        <v>12</v>
      </c>
      <c r="B338" s="2982" t="s">
        <v>5715</v>
      </c>
      <c r="C338" s="2982" t="s">
        <v>5727</v>
      </c>
      <c r="D338" s="2982">
        <v>1424237</v>
      </c>
      <c r="E338" s="2982" t="s">
        <v>5971</v>
      </c>
      <c r="F338" s="2993">
        <v>0</v>
      </c>
      <c r="J338"/>
    </row>
    <row r="339" spans="1:10" ht="13" hidden="1">
      <c r="A339" s="2983">
        <v>12</v>
      </c>
      <c r="B339" s="2982" t="s">
        <v>5715</v>
      </c>
      <c r="C339" s="2982" t="s">
        <v>5727</v>
      </c>
      <c r="D339" s="2982">
        <v>1424238</v>
      </c>
      <c r="E339" s="2982" t="s">
        <v>5972</v>
      </c>
      <c r="F339" s="2993">
        <v>0.16559849999999998</v>
      </c>
      <c r="J339"/>
    </row>
    <row r="340" spans="1:10" ht="13" hidden="1">
      <c r="A340" s="2983">
        <v>12</v>
      </c>
      <c r="B340" s="2982" t="s">
        <v>5715</v>
      </c>
      <c r="C340" s="2982" t="s">
        <v>5727</v>
      </c>
      <c r="D340" s="2982">
        <v>1424239</v>
      </c>
      <c r="E340" s="2982" t="s">
        <v>5973</v>
      </c>
      <c r="F340" s="2993">
        <v>0</v>
      </c>
      <c r="J340"/>
    </row>
    <row r="341" spans="1:10" ht="13" hidden="1">
      <c r="A341" s="2983">
        <v>12</v>
      </c>
      <c r="B341" s="2982" t="s">
        <v>5715</v>
      </c>
      <c r="C341" s="2982" t="s">
        <v>5727</v>
      </c>
      <c r="D341" s="2982">
        <v>1424246</v>
      </c>
      <c r="E341" s="2982" t="s">
        <v>5974</v>
      </c>
      <c r="F341" s="2993">
        <v>0</v>
      </c>
      <c r="J341"/>
    </row>
    <row r="342" spans="1:10" ht="13" hidden="1">
      <c r="A342" s="2983">
        <v>12</v>
      </c>
      <c r="B342" s="2982" t="s">
        <v>5715</v>
      </c>
      <c r="C342" s="2982" t="s">
        <v>5727</v>
      </c>
      <c r="D342" s="2982">
        <v>1424247</v>
      </c>
      <c r="E342" s="2982" t="s">
        <v>5975</v>
      </c>
      <c r="F342" s="2993">
        <v>0</v>
      </c>
      <c r="J342"/>
    </row>
    <row r="343" spans="1:10" ht="13" hidden="1">
      <c r="A343" s="2983">
        <v>12</v>
      </c>
      <c r="B343" s="2982" t="s">
        <v>5715</v>
      </c>
      <c r="C343" s="2982" t="s">
        <v>5727</v>
      </c>
      <c r="D343" s="2982">
        <v>1424249</v>
      </c>
      <c r="E343" s="2982" t="s">
        <v>5976</v>
      </c>
      <c r="F343" s="2993">
        <v>0.38749500000000037</v>
      </c>
      <c r="J343"/>
    </row>
    <row r="344" spans="1:10" ht="13" hidden="1">
      <c r="A344" s="2983">
        <v>12</v>
      </c>
      <c r="B344" s="2982" t="s">
        <v>5715</v>
      </c>
      <c r="C344" s="2982" t="s">
        <v>5727</v>
      </c>
      <c r="D344" s="2982">
        <v>1424250</v>
      </c>
      <c r="E344" s="2982" t="s">
        <v>5977</v>
      </c>
      <c r="F344" s="2993">
        <v>2.5090746369999994</v>
      </c>
      <c r="J344"/>
    </row>
    <row r="345" spans="1:10" ht="13" hidden="1">
      <c r="A345" s="2983">
        <v>12</v>
      </c>
      <c r="B345" s="2982" t="s">
        <v>5715</v>
      </c>
      <c r="C345" s="2982" t="s">
        <v>5727</v>
      </c>
      <c r="D345" s="2982">
        <v>1424251</v>
      </c>
      <c r="E345" s="2982" t="s">
        <v>5978</v>
      </c>
      <c r="F345" s="2993">
        <v>62.962312641000011</v>
      </c>
      <c r="J345"/>
    </row>
    <row r="346" spans="1:10" ht="13" hidden="1">
      <c r="A346" s="2983">
        <v>12</v>
      </c>
      <c r="B346" s="2982" t="s">
        <v>5715</v>
      </c>
      <c r="C346" s="2982" t="s">
        <v>5727</v>
      </c>
      <c r="D346" s="2982">
        <v>1424252</v>
      </c>
      <c r="E346" s="2982" t="s">
        <v>5979</v>
      </c>
      <c r="F346" s="2993">
        <v>0</v>
      </c>
      <c r="J346"/>
    </row>
    <row r="347" spans="1:10" ht="13" hidden="1">
      <c r="A347" s="2983">
        <v>12</v>
      </c>
      <c r="B347" s="2982" t="s">
        <v>5715</v>
      </c>
      <c r="C347" s="2982" t="s">
        <v>5727</v>
      </c>
      <c r="D347" s="2982">
        <v>1424254</v>
      </c>
      <c r="E347" s="2982" t="s">
        <v>5980</v>
      </c>
      <c r="F347" s="2993">
        <v>5.2687000000000003E-3</v>
      </c>
      <c r="J347"/>
    </row>
    <row r="348" spans="1:10" ht="13" hidden="1">
      <c r="A348" s="2983">
        <v>12</v>
      </c>
      <c r="B348" s="2982" t="s">
        <v>5715</v>
      </c>
      <c r="C348" s="2982" t="s">
        <v>5727</v>
      </c>
      <c r="D348" s="2982">
        <v>1424257</v>
      </c>
      <c r="E348" s="2982" t="s">
        <v>5981</v>
      </c>
      <c r="F348" s="2993">
        <v>0</v>
      </c>
      <c r="J348"/>
    </row>
    <row r="349" spans="1:10" ht="13" hidden="1">
      <c r="A349" s="2983">
        <v>12</v>
      </c>
      <c r="B349" s="2982" t="s">
        <v>5715</v>
      </c>
      <c r="C349" s="2982" t="s">
        <v>5727</v>
      </c>
      <c r="D349" s="2982">
        <v>1424258</v>
      </c>
      <c r="E349" s="2982" t="s">
        <v>5982</v>
      </c>
      <c r="F349" s="2993">
        <v>0</v>
      </c>
      <c r="J349"/>
    </row>
    <row r="350" spans="1:10" ht="13" hidden="1">
      <c r="A350" s="2983">
        <v>12</v>
      </c>
      <c r="B350" s="2982" t="s">
        <v>5715</v>
      </c>
      <c r="C350" s="2982" t="s">
        <v>5727</v>
      </c>
      <c r="D350" s="2982">
        <v>1424259</v>
      </c>
      <c r="E350" s="2982" t="s">
        <v>5983</v>
      </c>
      <c r="F350" s="2993">
        <v>4.3705000000000549E-3</v>
      </c>
      <c r="J350"/>
    </row>
    <row r="351" spans="1:10" ht="13" hidden="1">
      <c r="A351" s="2983">
        <v>12</v>
      </c>
      <c r="B351" s="2982" t="s">
        <v>5715</v>
      </c>
      <c r="C351" s="2982" t="s">
        <v>5727</v>
      </c>
      <c r="D351" s="2982">
        <v>1424263</v>
      </c>
      <c r="E351" s="2982" t="s">
        <v>5984</v>
      </c>
      <c r="F351" s="2993">
        <v>0.15381109999999998</v>
      </c>
      <c r="J351"/>
    </row>
    <row r="352" spans="1:10" ht="13" hidden="1">
      <c r="A352" s="2983">
        <v>12</v>
      </c>
      <c r="B352" s="2982" t="s">
        <v>5715</v>
      </c>
      <c r="C352" s="2982" t="s">
        <v>5727</v>
      </c>
      <c r="D352" s="2982">
        <v>1424264</v>
      </c>
      <c r="E352" s="2982" t="s">
        <v>5985</v>
      </c>
      <c r="F352" s="2993">
        <v>5.1659192239999996</v>
      </c>
      <c r="J352"/>
    </row>
    <row r="353" spans="1:10" ht="13" hidden="1">
      <c r="A353" s="2983">
        <v>12</v>
      </c>
      <c r="B353" s="2982" t="s">
        <v>5715</v>
      </c>
      <c r="C353" s="2982" t="s">
        <v>5727</v>
      </c>
      <c r="D353" s="2982">
        <v>1424265</v>
      </c>
      <c r="E353" s="2982" t="s">
        <v>5986</v>
      </c>
      <c r="F353" s="2993">
        <v>0.38439979999999974</v>
      </c>
      <c r="J353"/>
    </row>
    <row r="354" spans="1:10" ht="13" hidden="1">
      <c r="A354" s="2983">
        <v>12</v>
      </c>
      <c r="B354" s="2982" t="s">
        <v>5715</v>
      </c>
      <c r="C354" s="2982" t="s">
        <v>5727</v>
      </c>
      <c r="D354" s="2982">
        <v>1424269</v>
      </c>
      <c r="E354" s="2982" t="s">
        <v>5987</v>
      </c>
      <c r="F354" s="2993">
        <v>0.61929869999999998</v>
      </c>
      <c r="J354"/>
    </row>
    <row r="355" spans="1:10" ht="13" hidden="1">
      <c r="A355" s="2983">
        <v>12</v>
      </c>
      <c r="B355" s="2982" t="s">
        <v>5715</v>
      </c>
      <c r="C355" s="2982" t="s">
        <v>5727</v>
      </c>
      <c r="D355" s="2982">
        <v>1424271</v>
      </c>
      <c r="E355" s="2982" t="s">
        <v>5988</v>
      </c>
      <c r="F355" s="2993">
        <v>0</v>
      </c>
      <c r="J355"/>
    </row>
    <row r="356" spans="1:10" ht="13" hidden="1">
      <c r="A356" s="2983">
        <v>12</v>
      </c>
      <c r="B356" s="2982" t="s">
        <v>5715</v>
      </c>
      <c r="C356" s="2982" t="s">
        <v>5727</v>
      </c>
      <c r="D356" s="2982">
        <v>1424272</v>
      </c>
      <c r="E356" s="2982" t="s">
        <v>5989</v>
      </c>
      <c r="F356" s="2993">
        <v>-4.4408920985006262E-16</v>
      </c>
      <c r="J356"/>
    </row>
    <row r="357" spans="1:10" ht="13" hidden="1">
      <c r="A357" s="2983">
        <v>12</v>
      </c>
      <c r="B357" s="2982" t="s">
        <v>5715</v>
      </c>
      <c r="C357" s="2982" t="s">
        <v>5727</v>
      </c>
      <c r="D357" s="2982">
        <v>1424274</v>
      </c>
      <c r="E357" s="2982" t="s">
        <v>5990</v>
      </c>
      <c r="F357" s="2993">
        <v>1.2379361999999965</v>
      </c>
      <c r="J357"/>
    </row>
    <row r="358" spans="1:10" ht="13" hidden="1">
      <c r="A358" s="2983">
        <v>12</v>
      </c>
      <c r="B358" s="2982" t="s">
        <v>5715</v>
      </c>
      <c r="C358" s="2982" t="s">
        <v>5727</v>
      </c>
      <c r="D358" s="2982">
        <v>1424275</v>
      </c>
      <c r="E358" s="2982" t="s">
        <v>5991</v>
      </c>
      <c r="F358" s="2993">
        <v>0.51</v>
      </c>
      <c r="J358"/>
    </row>
    <row r="359" spans="1:10" ht="13" hidden="1">
      <c r="A359" s="2983">
        <v>12</v>
      </c>
      <c r="B359" s="2982" t="s">
        <v>5715</v>
      </c>
      <c r="C359" s="2982" t="s">
        <v>5727</v>
      </c>
      <c r="D359" s="2982">
        <v>1424276</v>
      </c>
      <c r="E359" s="2982" t="s">
        <v>5992</v>
      </c>
      <c r="F359" s="2993">
        <v>0.35973309999999992</v>
      </c>
      <c r="J359"/>
    </row>
    <row r="360" spans="1:10" ht="13" hidden="1">
      <c r="A360" s="2983">
        <v>12</v>
      </c>
      <c r="B360" s="2982" t="s">
        <v>5715</v>
      </c>
      <c r="C360" s="2982" t="s">
        <v>5727</v>
      </c>
      <c r="D360" s="2982">
        <v>1424277</v>
      </c>
      <c r="E360" s="2982" t="s">
        <v>5993</v>
      </c>
      <c r="F360" s="2993">
        <v>0.21870820000000002</v>
      </c>
      <c r="J360"/>
    </row>
    <row r="361" spans="1:10" ht="13" hidden="1">
      <c r="A361" s="2983">
        <v>12</v>
      </c>
      <c r="B361" s="2982" t="s">
        <v>5715</v>
      </c>
      <c r="C361" s="2982" t="s">
        <v>5727</v>
      </c>
      <c r="D361" s="2982">
        <v>1424279</v>
      </c>
      <c r="E361" s="2982" t="s">
        <v>5994</v>
      </c>
      <c r="F361" s="2993">
        <v>5.0939999999999996E-3</v>
      </c>
      <c r="J361"/>
    </row>
    <row r="362" spans="1:10" ht="13" hidden="1">
      <c r="A362" s="2983">
        <v>12</v>
      </c>
      <c r="B362" s="2982" t="s">
        <v>5715</v>
      </c>
      <c r="C362" s="2982" t="s">
        <v>5727</v>
      </c>
      <c r="D362" s="2982">
        <v>1424282</v>
      </c>
      <c r="E362" s="2982" t="s">
        <v>5995</v>
      </c>
      <c r="F362" s="2993">
        <v>1.281199999998428E-3</v>
      </c>
      <c r="J362"/>
    </row>
    <row r="363" spans="1:10" ht="13" hidden="1">
      <c r="A363" s="2983">
        <v>12</v>
      </c>
      <c r="B363" s="2982" t="s">
        <v>5715</v>
      </c>
      <c r="C363" s="2982" t="s">
        <v>5727</v>
      </c>
      <c r="D363" s="2982">
        <v>1424283</v>
      </c>
      <c r="E363" s="2982" t="s">
        <v>5996</v>
      </c>
      <c r="F363" s="2993">
        <v>0.39996213899999999</v>
      </c>
      <c r="J363"/>
    </row>
    <row r="364" spans="1:10" ht="13" hidden="1">
      <c r="A364" s="2983">
        <v>12</v>
      </c>
      <c r="B364" s="2982" t="s">
        <v>5715</v>
      </c>
      <c r="C364" s="2982" t="s">
        <v>5727</v>
      </c>
      <c r="D364" s="2982">
        <v>1424284</v>
      </c>
      <c r="E364" s="2982" t="s">
        <v>5997</v>
      </c>
      <c r="F364" s="2993">
        <v>0</v>
      </c>
      <c r="J364"/>
    </row>
    <row r="365" spans="1:10" ht="13" hidden="1">
      <c r="A365" s="2983">
        <v>12</v>
      </c>
      <c r="B365" s="2982" t="s">
        <v>5715</v>
      </c>
      <c r="C365" s="2982" t="s">
        <v>5727</v>
      </c>
      <c r="D365" s="2982">
        <v>1424285</v>
      </c>
      <c r="E365" s="2982" t="s">
        <v>5998</v>
      </c>
      <c r="F365" s="2993">
        <v>2.2204460492503131E-16</v>
      </c>
      <c r="J365"/>
    </row>
    <row r="366" spans="1:10" ht="13" hidden="1">
      <c r="A366" s="2983">
        <v>12</v>
      </c>
      <c r="B366" s="2982" t="s">
        <v>5715</v>
      </c>
      <c r="C366" s="2982" t="s">
        <v>5727</v>
      </c>
      <c r="D366" s="2982">
        <v>1424286</v>
      </c>
      <c r="E366" s="2982" t="s">
        <v>5999</v>
      </c>
      <c r="F366" s="2993">
        <v>1.0664159999999999E-3</v>
      </c>
      <c r="J366"/>
    </row>
    <row r="367" spans="1:10" ht="13" hidden="1">
      <c r="A367" s="2983">
        <v>12</v>
      </c>
      <c r="B367" s="2982" t="s">
        <v>5715</v>
      </c>
      <c r="C367" s="2982" t="s">
        <v>5727</v>
      </c>
      <c r="D367" s="2982">
        <v>1424287</v>
      </c>
      <c r="E367" s="2982" t="s">
        <v>6000</v>
      </c>
      <c r="F367" s="2993">
        <v>1.0223719999999999E-3</v>
      </c>
      <c r="J367"/>
    </row>
    <row r="368" spans="1:10" ht="13" hidden="1">
      <c r="A368" s="2983">
        <v>12</v>
      </c>
      <c r="B368" s="2982" t="s">
        <v>5715</v>
      </c>
      <c r="C368" s="2982" t="s">
        <v>5727</v>
      </c>
      <c r="D368" s="2982">
        <v>1424290</v>
      </c>
      <c r="E368" s="2982" t="s">
        <v>6001</v>
      </c>
      <c r="F368" s="2993">
        <v>6.149870000000135E-2</v>
      </c>
      <c r="J368"/>
    </row>
    <row r="369" spans="1:10" ht="13" hidden="1">
      <c r="A369" s="2983">
        <v>12</v>
      </c>
      <c r="B369" s="2982" t="s">
        <v>5715</v>
      </c>
      <c r="C369" s="2982" t="s">
        <v>5727</v>
      </c>
      <c r="D369" s="2982">
        <v>1424291</v>
      </c>
      <c r="E369" s="2982" t="s">
        <v>6002</v>
      </c>
      <c r="F369" s="2993">
        <v>1.5215200000000095E-2</v>
      </c>
      <c r="J369"/>
    </row>
    <row r="370" spans="1:10" ht="13" hidden="1">
      <c r="A370" s="2983">
        <v>12</v>
      </c>
      <c r="B370" s="2982" t="s">
        <v>5715</v>
      </c>
      <c r="C370" s="2982" t="s">
        <v>5727</v>
      </c>
      <c r="D370" s="2982">
        <v>1424293</v>
      </c>
      <c r="E370" s="2982" t="s">
        <v>6003</v>
      </c>
      <c r="F370" s="2993">
        <v>3.3989999999999998E-5</v>
      </c>
      <c r="J370"/>
    </row>
    <row r="371" spans="1:10" ht="13" hidden="1">
      <c r="A371" s="2983">
        <v>12</v>
      </c>
      <c r="B371" s="2982" t="s">
        <v>5715</v>
      </c>
      <c r="C371" s="2982" t="s">
        <v>5727</v>
      </c>
      <c r="D371" s="2982">
        <v>1424295</v>
      </c>
      <c r="E371" s="2982" t="s">
        <v>6004</v>
      </c>
      <c r="F371" s="2993">
        <v>0</v>
      </c>
      <c r="J371"/>
    </row>
    <row r="372" spans="1:10" ht="13" hidden="1">
      <c r="A372" s="2983">
        <v>12</v>
      </c>
      <c r="B372" s="2982" t="s">
        <v>5715</v>
      </c>
      <c r="C372" s="2982" t="s">
        <v>5727</v>
      </c>
      <c r="D372" s="2982">
        <v>1424296</v>
      </c>
      <c r="E372" s="2982" t="s">
        <v>6005</v>
      </c>
      <c r="F372" s="2993">
        <v>1.0435334000000001</v>
      </c>
      <c r="J372"/>
    </row>
    <row r="373" spans="1:10" ht="13" hidden="1">
      <c r="A373" s="2983">
        <v>12</v>
      </c>
      <c r="B373" s="2982" t="s">
        <v>5715</v>
      </c>
      <c r="C373" s="2982" t="s">
        <v>5727</v>
      </c>
      <c r="D373" s="2982">
        <v>1424297</v>
      </c>
      <c r="E373" s="2982" t="s">
        <v>6006</v>
      </c>
      <c r="F373" s="2993">
        <v>0.12926879999999974</v>
      </c>
      <c r="J373"/>
    </row>
    <row r="374" spans="1:10" ht="13" hidden="1">
      <c r="A374" s="2983">
        <v>12</v>
      </c>
      <c r="B374" s="2982" t="s">
        <v>5715</v>
      </c>
      <c r="C374" s="2982" t="s">
        <v>5727</v>
      </c>
      <c r="D374" s="2982">
        <v>1424298</v>
      </c>
      <c r="E374" s="2982" t="s">
        <v>6007</v>
      </c>
      <c r="F374" s="2993">
        <v>0.24528210000000006</v>
      </c>
      <c r="J374"/>
    </row>
    <row r="375" spans="1:10" ht="13" hidden="1">
      <c r="A375" s="2983">
        <v>12</v>
      </c>
      <c r="B375" s="2982" t="s">
        <v>5715</v>
      </c>
      <c r="C375" s="2982" t="s">
        <v>5727</v>
      </c>
      <c r="D375" s="2982">
        <v>1424300</v>
      </c>
      <c r="E375" s="2982" t="s">
        <v>6008</v>
      </c>
      <c r="F375" s="2993">
        <v>0</v>
      </c>
      <c r="J375"/>
    </row>
    <row r="376" spans="1:10" ht="13" hidden="1">
      <c r="A376" s="2983">
        <v>12</v>
      </c>
      <c r="B376" s="2982" t="s">
        <v>5715</v>
      </c>
      <c r="C376" s="2982" t="s">
        <v>5727</v>
      </c>
      <c r="D376" s="2982">
        <v>1424301</v>
      </c>
      <c r="E376" s="2982" t="s">
        <v>6009</v>
      </c>
      <c r="F376" s="2993">
        <v>0</v>
      </c>
      <c r="J376"/>
    </row>
    <row r="377" spans="1:10" ht="13" hidden="1">
      <c r="A377" s="2983">
        <v>12</v>
      </c>
      <c r="B377" s="2982" t="s">
        <v>5715</v>
      </c>
      <c r="C377" s="2982" t="s">
        <v>5727</v>
      </c>
      <c r="D377" s="2982">
        <v>1424302</v>
      </c>
      <c r="E377" s="2982" t="s">
        <v>6010</v>
      </c>
      <c r="F377" s="2993">
        <v>0</v>
      </c>
      <c r="J377"/>
    </row>
    <row r="378" spans="1:10" ht="13" hidden="1">
      <c r="A378" s="2983">
        <v>12</v>
      </c>
      <c r="B378" s="2982" t="s">
        <v>5715</v>
      </c>
      <c r="C378" s="2982" t="s">
        <v>5727</v>
      </c>
      <c r="D378" s="2982">
        <v>1424304</v>
      </c>
      <c r="E378" s="2982" t="s">
        <v>6011</v>
      </c>
      <c r="F378" s="2993">
        <v>0</v>
      </c>
      <c r="J378"/>
    </row>
    <row r="379" spans="1:10" ht="13" hidden="1">
      <c r="A379" s="2983">
        <v>12</v>
      </c>
      <c r="B379" s="2982" t="s">
        <v>5715</v>
      </c>
      <c r="C379" s="2982" t="s">
        <v>5727</v>
      </c>
      <c r="D379" s="2982">
        <v>1424305</v>
      </c>
      <c r="E379" s="2982" t="s">
        <v>6012</v>
      </c>
      <c r="F379" s="2993">
        <v>0</v>
      </c>
      <c r="J379"/>
    </row>
    <row r="380" spans="1:10" ht="13" hidden="1">
      <c r="A380" s="2983">
        <v>12</v>
      </c>
      <c r="B380" s="2982" t="s">
        <v>5715</v>
      </c>
      <c r="C380" s="2982" t="s">
        <v>5727</v>
      </c>
      <c r="D380" s="2982">
        <v>1424308</v>
      </c>
      <c r="E380" s="2982" t="s">
        <v>6013</v>
      </c>
      <c r="F380" s="2993">
        <v>0</v>
      </c>
      <c r="J380"/>
    </row>
    <row r="381" spans="1:10" ht="13" hidden="1">
      <c r="A381" s="2983">
        <v>12</v>
      </c>
      <c r="B381" s="2982" t="s">
        <v>5715</v>
      </c>
      <c r="C381" s="2982" t="s">
        <v>5727</v>
      </c>
      <c r="D381" s="2982">
        <v>1424310</v>
      </c>
      <c r="E381" s="2982" t="s">
        <v>6014</v>
      </c>
      <c r="F381" s="2993">
        <v>0</v>
      </c>
      <c r="J381"/>
    </row>
    <row r="382" spans="1:10" ht="13" hidden="1">
      <c r="A382" s="2983" t="s">
        <v>8166</v>
      </c>
      <c r="B382" s="2982" t="s">
        <v>5789</v>
      </c>
      <c r="C382" s="2982" t="s">
        <v>5862</v>
      </c>
      <c r="D382" s="2982">
        <v>1424312</v>
      </c>
      <c r="E382" s="2982" t="s">
        <v>6015</v>
      </c>
      <c r="F382" s="2993">
        <v>0</v>
      </c>
      <c r="J382"/>
    </row>
    <row r="383" spans="1:10" ht="13" hidden="1">
      <c r="A383" s="2983" t="s">
        <v>8166</v>
      </c>
      <c r="B383" s="2982" t="s">
        <v>5789</v>
      </c>
      <c r="C383" s="2982" t="s">
        <v>5862</v>
      </c>
      <c r="D383" s="2982">
        <v>1424313</v>
      </c>
      <c r="E383" s="2982" t="s">
        <v>6016</v>
      </c>
      <c r="F383" s="2993">
        <v>0</v>
      </c>
      <c r="J383"/>
    </row>
    <row r="384" spans="1:10" ht="13" hidden="1">
      <c r="A384" s="2983" t="s">
        <v>8166</v>
      </c>
      <c r="B384" s="2982" t="s">
        <v>5789</v>
      </c>
      <c r="C384" s="2982" t="s">
        <v>5862</v>
      </c>
      <c r="D384" s="2982">
        <v>1424314</v>
      </c>
      <c r="E384" s="2982" t="s">
        <v>6017</v>
      </c>
      <c r="F384" s="2993">
        <v>0</v>
      </c>
      <c r="J384"/>
    </row>
    <row r="385" spans="1:10" ht="13" hidden="1">
      <c r="A385" s="2983">
        <v>12</v>
      </c>
      <c r="B385" s="2982" t="s">
        <v>5715</v>
      </c>
      <c r="C385" s="2982" t="s">
        <v>5727</v>
      </c>
      <c r="D385" s="2982">
        <v>1424316</v>
      </c>
      <c r="E385" s="2982" t="s">
        <v>6018</v>
      </c>
      <c r="F385" s="2993">
        <v>0</v>
      </c>
      <c r="J385"/>
    </row>
    <row r="386" spans="1:10" ht="13" hidden="1">
      <c r="A386" s="2983">
        <v>12</v>
      </c>
      <c r="B386" s="2982" t="s">
        <v>5715</v>
      </c>
      <c r="C386" s="2982" t="s">
        <v>5727</v>
      </c>
      <c r="D386" s="2982">
        <v>1424319</v>
      </c>
      <c r="E386" s="2982" t="s">
        <v>6019</v>
      </c>
      <c r="F386" s="2993">
        <v>0</v>
      </c>
      <c r="J386"/>
    </row>
    <row r="387" spans="1:10" ht="13" hidden="1">
      <c r="A387" s="2983">
        <v>12</v>
      </c>
      <c r="B387" s="2982" t="s">
        <v>5715</v>
      </c>
      <c r="C387" s="2982" t="s">
        <v>5727</v>
      </c>
      <c r="D387" s="2982">
        <v>1424320</v>
      </c>
      <c r="E387" s="2982" t="s">
        <v>6020</v>
      </c>
      <c r="F387" s="2993">
        <v>0</v>
      </c>
      <c r="J387"/>
    </row>
    <row r="388" spans="1:10" ht="13" hidden="1">
      <c r="A388" s="2983">
        <v>12</v>
      </c>
      <c r="B388" s="2982" t="s">
        <v>5715</v>
      </c>
      <c r="C388" s="2982" t="s">
        <v>5727</v>
      </c>
      <c r="D388" s="2982">
        <v>1424321</v>
      </c>
      <c r="E388" s="2982" t="s">
        <v>6021</v>
      </c>
      <c r="F388" s="2993">
        <v>0</v>
      </c>
      <c r="J388"/>
    </row>
    <row r="389" spans="1:10" ht="13" hidden="1">
      <c r="A389" s="2983">
        <v>12</v>
      </c>
      <c r="B389" s="2982" t="s">
        <v>5715</v>
      </c>
      <c r="C389" s="2982" t="s">
        <v>5727</v>
      </c>
      <c r="D389" s="2982">
        <v>1424322</v>
      </c>
      <c r="E389" s="2982" t="s">
        <v>6022</v>
      </c>
      <c r="F389" s="2993">
        <v>0</v>
      </c>
      <c r="J389"/>
    </row>
    <row r="390" spans="1:10" ht="13" hidden="1">
      <c r="A390" s="2983">
        <v>12</v>
      </c>
      <c r="B390" s="2982" t="s">
        <v>5715</v>
      </c>
      <c r="C390" s="2982" t="s">
        <v>5727</v>
      </c>
      <c r="D390" s="2982">
        <v>1424323</v>
      </c>
      <c r="E390" s="2982" t="s">
        <v>6023</v>
      </c>
      <c r="F390" s="2993">
        <v>0</v>
      </c>
      <c r="J390"/>
    </row>
    <row r="391" spans="1:10" ht="13" hidden="1">
      <c r="A391" s="2983">
        <v>12</v>
      </c>
      <c r="B391" s="2982" t="s">
        <v>5715</v>
      </c>
      <c r="C391" s="2982" t="s">
        <v>5727</v>
      </c>
      <c r="D391" s="2982">
        <v>1424324</v>
      </c>
      <c r="E391" s="2982" t="s">
        <v>6024</v>
      </c>
      <c r="F391" s="2993">
        <v>0</v>
      </c>
      <c r="J391"/>
    </row>
    <row r="392" spans="1:10" ht="13" hidden="1">
      <c r="A392" s="2983">
        <v>12</v>
      </c>
      <c r="B392" s="2982" t="s">
        <v>5715</v>
      </c>
      <c r="C392" s="2982" t="s">
        <v>5727</v>
      </c>
      <c r="D392" s="2982">
        <v>1424325</v>
      </c>
      <c r="E392" s="2982" t="s">
        <v>6025</v>
      </c>
      <c r="F392" s="2993">
        <v>0</v>
      </c>
      <c r="J392"/>
    </row>
    <row r="393" spans="1:10" ht="13" hidden="1">
      <c r="A393" s="2983">
        <v>12</v>
      </c>
      <c r="B393" s="2982" t="s">
        <v>5715</v>
      </c>
      <c r="C393" s="2982" t="s">
        <v>5727</v>
      </c>
      <c r="D393" s="2982">
        <v>1424326</v>
      </c>
      <c r="E393" s="2982" t="s">
        <v>6026</v>
      </c>
      <c r="F393" s="2993">
        <v>-0.28549919999999984</v>
      </c>
      <c r="J393"/>
    </row>
    <row r="394" spans="1:10" ht="13" hidden="1">
      <c r="A394" s="2983">
        <v>12</v>
      </c>
      <c r="B394" s="2982" t="s">
        <v>5715</v>
      </c>
      <c r="C394" s="2982" t="s">
        <v>5727</v>
      </c>
      <c r="D394" s="2982">
        <v>1424327</v>
      </c>
      <c r="E394" s="2982" t="s">
        <v>6027</v>
      </c>
      <c r="F394" s="2993">
        <v>-30.845596732000033</v>
      </c>
      <c r="J394"/>
    </row>
    <row r="395" spans="1:10" ht="13" hidden="1">
      <c r="A395" s="2983">
        <v>12</v>
      </c>
      <c r="B395" s="2982" t="s">
        <v>5715</v>
      </c>
      <c r="C395" s="2982" t="s">
        <v>5727</v>
      </c>
      <c r="D395" s="2982">
        <v>1424328</v>
      </c>
      <c r="E395" s="2982" t="s">
        <v>6028</v>
      </c>
      <c r="F395" s="2993">
        <v>-0.75497084399999981</v>
      </c>
      <c r="J395"/>
    </row>
    <row r="396" spans="1:10" ht="13" hidden="1">
      <c r="A396" s="2983">
        <v>12</v>
      </c>
      <c r="B396" s="2982" t="s">
        <v>5715</v>
      </c>
      <c r="C396" s="2982" t="s">
        <v>5727</v>
      </c>
      <c r="D396" s="2982">
        <v>1424329</v>
      </c>
      <c r="E396" s="2982" t="s">
        <v>6029</v>
      </c>
      <c r="F396" s="2993">
        <v>-1.6326960999999997E-2</v>
      </c>
      <c r="J396"/>
    </row>
    <row r="397" spans="1:10" ht="13" hidden="1">
      <c r="A397" s="2983">
        <v>12</v>
      </c>
      <c r="B397" s="2982" t="s">
        <v>5715</v>
      </c>
      <c r="C397" s="2982" t="s">
        <v>5727</v>
      </c>
      <c r="D397" s="2982">
        <v>1424332</v>
      </c>
      <c r="E397" s="2982" t="s">
        <v>6030</v>
      </c>
      <c r="F397" s="2993">
        <v>-2.5401E-3</v>
      </c>
      <c r="J397"/>
    </row>
    <row r="398" spans="1:10" ht="13" hidden="1">
      <c r="A398" s="2983">
        <v>12</v>
      </c>
      <c r="B398" s="2982" t="s">
        <v>5715</v>
      </c>
      <c r="C398" s="2982" t="s">
        <v>5727</v>
      </c>
      <c r="D398" s="2982">
        <v>1424333</v>
      </c>
      <c r="E398" s="2982" t="s">
        <v>6031</v>
      </c>
      <c r="F398" s="2993">
        <v>0</v>
      </c>
      <c r="J398"/>
    </row>
    <row r="399" spans="1:10" ht="13" hidden="1">
      <c r="A399" s="2983">
        <v>12</v>
      </c>
      <c r="B399" s="2982" t="s">
        <v>5715</v>
      </c>
      <c r="C399" s="2982" t="s">
        <v>5727</v>
      </c>
      <c r="D399" s="2982">
        <v>1424334</v>
      </c>
      <c r="E399" s="2982" t="s">
        <v>6032</v>
      </c>
      <c r="F399" s="2993">
        <v>-8.8960000000004591E-4</v>
      </c>
      <c r="J399"/>
    </row>
    <row r="400" spans="1:10" ht="13" hidden="1">
      <c r="A400" s="2983">
        <v>12</v>
      </c>
      <c r="B400" s="2982" t="s">
        <v>5715</v>
      </c>
      <c r="C400" s="2982" t="s">
        <v>5727</v>
      </c>
      <c r="D400" s="2982">
        <v>1424335</v>
      </c>
      <c r="E400" s="2982" t="s">
        <v>6033</v>
      </c>
      <c r="F400" s="2993">
        <v>0</v>
      </c>
      <c r="J400"/>
    </row>
    <row r="401" spans="1:10" ht="13" hidden="1">
      <c r="A401" s="2983">
        <v>12</v>
      </c>
      <c r="B401" s="2982" t="s">
        <v>5715</v>
      </c>
      <c r="C401" s="2982" t="s">
        <v>5727</v>
      </c>
      <c r="D401" s="2982">
        <v>1424336</v>
      </c>
      <c r="E401" s="2982" t="s">
        <v>6034</v>
      </c>
      <c r="F401" s="2993">
        <v>4.6569871440041433E-18</v>
      </c>
      <c r="J401"/>
    </row>
    <row r="402" spans="1:10" ht="13" hidden="1">
      <c r="A402" s="2983">
        <v>12</v>
      </c>
      <c r="B402" s="2982" t="s">
        <v>5715</v>
      </c>
      <c r="C402" s="2982" t="s">
        <v>5727</v>
      </c>
      <c r="D402" s="2982">
        <v>1424337</v>
      </c>
      <c r="E402" s="2982" t="s">
        <v>6035</v>
      </c>
      <c r="F402" s="2993">
        <v>8.5700000000000001E-4</v>
      </c>
      <c r="J402"/>
    </row>
    <row r="403" spans="1:10" ht="13" hidden="1">
      <c r="A403" s="2983">
        <v>12</v>
      </c>
      <c r="B403" s="2982" t="s">
        <v>5715</v>
      </c>
      <c r="C403" s="2982" t="s">
        <v>5727</v>
      </c>
      <c r="D403" s="2982">
        <v>1424338</v>
      </c>
      <c r="E403" s="2982" t="s">
        <v>6036</v>
      </c>
      <c r="F403" s="2993">
        <v>0</v>
      </c>
      <c r="J403"/>
    </row>
    <row r="404" spans="1:10" ht="13" hidden="1">
      <c r="A404" s="2983">
        <v>12</v>
      </c>
      <c r="B404" s="2982" t="s">
        <v>5715</v>
      </c>
      <c r="C404" s="2982" t="s">
        <v>5727</v>
      </c>
      <c r="D404" s="2982">
        <v>1424339</v>
      </c>
      <c r="E404" s="2982" t="s">
        <v>6037</v>
      </c>
      <c r="F404" s="2993">
        <v>0</v>
      </c>
      <c r="J404"/>
    </row>
    <row r="405" spans="1:10" ht="13" hidden="1">
      <c r="A405" s="2983">
        <v>12</v>
      </c>
      <c r="B405" s="2982" t="s">
        <v>5715</v>
      </c>
      <c r="C405" s="2982" t="s">
        <v>5727</v>
      </c>
      <c r="D405" s="2982">
        <v>1424340</v>
      </c>
      <c r="E405" s="2982" t="s">
        <v>6038</v>
      </c>
      <c r="F405" s="2993">
        <v>-9.911500000000001E-4</v>
      </c>
      <c r="J405"/>
    </row>
    <row r="406" spans="1:10" ht="13" hidden="1">
      <c r="A406" s="2983">
        <v>12</v>
      </c>
      <c r="B406" s="2982" t="s">
        <v>5715</v>
      </c>
      <c r="C406" s="2982" t="s">
        <v>5727</v>
      </c>
      <c r="D406" s="2982">
        <v>1424341</v>
      </c>
      <c r="E406" s="2982" t="s">
        <v>6039</v>
      </c>
      <c r="F406" s="2993">
        <v>0</v>
      </c>
      <c r="J406"/>
    </row>
    <row r="407" spans="1:10" ht="13" hidden="1">
      <c r="A407" s="2983">
        <v>12</v>
      </c>
      <c r="B407" s="2982" t="s">
        <v>5715</v>
      </c>
      <c r="C407" s="2982" t="s">
        <v>5727</v>
      </c>
      <c r="D407" s="2982">
        <v>1424344</v>
      </c>
      <c r="E407" s="2982" t="s">
        <v>6040</v>
      </c>
      <c r="F407" s="2993">
        <v>0</v>
      </c>
      <c r="J407"/>
    </row>
    <row r="408" spans="1:10" ht="13" hidden="1">
      <c r="A408" s="2983">
        <v>12</v>
      </c>
      <c r="B408" s="2982" t="s">
        <v>5715</v>
      </c>
      <c r="C408" s="2982" t="s">
        <v>5727</v>
      </c>
      <c r="D408" s="2982">
        <v>1424346</v>
      </c>
      <c r="E408" s="2982" t="s">
        <v>6041</v>
      </c>
      <c r="F408" s="2993">
        <v>0</v>
      </c>
      <c r="J408"/>
    </row>
    <row r="409" spans="1:10" ht="13" hidden="1">
      <c r="A409" s="2983">
        <v>12</v>
      </c>
      <c r="B409" s="2982" t="s">
        <v>5715</v>
      </c>
      <c r="C409" s="2982" t="s">
        <v>5727</v>
      </c>
      <c r="D409" s="2982">
        <v>1424347</v>
      </c>
      <c r="E409" s="2982" t="s">
        <v>6042</v>
      </c>
      <c r="F409" s="2993">
        <v>0</v>
      </c>
      <c r="J409"/>
    </row>
    <row r="410" spans="1:10" ht="13" hidden="1">
      <c r="A410" s="2983">
        <v>12</v>
      </c>
      <c r="B410" s="2982" t="s">
        <v>5715</v>
      </c>
      <c r="C410" s="2982" t="s">
        <v>5727</v>
      </c>
      <c r="D410" s="2982">
        <v>1424348</v>
      </c>
      <c r="E410" s="2982" t="s">
        <v>6043</v>
      </c>
      <c r="F410" s="2993">
        <v>-1.926114E-3</v>
      </c>
      <c r="J410"/>
    </row>
    <row r="411" spans="1:10" ht="13" hidden="1">
      <c r="A411" s="2983">
        <v>12</v>
      </c>
      <c r="B411" s="2982" t="s">
        <v>5715</v>
      </c>
      <c r="C411" s="2982" t="s">
        <v>5727</v>
      </c>
      <c r="D411" s="2982">
        <v>1424349</v>
      </c>
      <c r="E411" s="2982" t="s">
        <v>6044</v>
      </c>
      <c r="F411" s="2993">
        <v>-0.33769420000000006</v>
      </c>
      <c r="J411"/>
    </row>
    <row r="412" spans="1:10" ht="13" hidden="1">
      <c r="A412" s="2983">
        <v>12</v>
      </c>
      <c r="B412" s="2982" t="s">
        <v>5715</v>
      </c>
      <c r="C412" s="2982" t="s">
        <v>5727</v>
      </c>
      <c r="D412" s="2982">
        <v>1424350</v>
      </c>
      <c r="E412" s="2982" t="s">
        <v>6045</v>
      </c>
      <c r="F412" s="2993">
        <v>-2.6433362000000002</v>
      </c>
      <c r="J412"/>
    </row>
    <row r="413" spans="1:10" ht="13" hidden="1">
      <c r="A413" s="2983">
        <v>12</v>
      </c>
      <c r="B413" s="2982" t="s">
        <v>5715</v>
      </c>
      <c r="C413" s="2982" t="s">
        <v>5727</v>
      </c>
      <c r="D413" s="2982">
        <v>1424351</v>
      </c>
      <c r="E413" s="2982" t="s">
        <v>6046</v>
      </c>
      <c r="F413" s="2993">
        <v>-62.96258069999999</v>
      </c>
      <c r="J413"/>
    </row>
    <row r="414" spans="1:10" ht="13" hidden="1">
      <c r="A414" s="2983">
        <v>12</v>
      </c>
      <c r="B414" s="2982" t="s">
        <v>5715</v>
      </c>
      <c r="C414" s="2982" t="s">
        <v>5727</v>
      </c>
      <c r="D414" s="2982">
        <v>1424352</v>
      </c>
      <c r="E414" s="2982" t="s">
        <v>6047</v>
      </c>
      <c r="F414" s="2993">
        <v>-1.0000000000012221E-3</v>
      </c>
      <c r="J414"/>
    </row>
    <row r="415" spans="1:10" ht="13" hidden="1">
      <c r="A415" s="2983">
        <v>12</v>
      </c>
      <c r="B415" s="2982" t="s">
        <v>5715</v>
      </c>
      <c r="C415" s="2982" t="s">
        <v>5727</v>
      </c>
      <c r="D415" s="2982">
        <v>1424357</v>
      </c>
      <c r="E415" s="2982" t="s">
        <v>6048</v>
      </c>
      <c r="F415" s="2993">
        <v>8.8817841970012523E-16</v>
      </c>
      <c r="J415"/>
    </row>
    <row r="416" spans="1:10" ht="13" hidden="1">
      <c r="A416" s="2983">
        <v>12</v>
      </c>
      <c r="B416" s="2982" t="s">
        <v>5715</v>
      </c>
      <c r="C416" s="2982" t="s">
        <v>5727</v>
      </c>
      <c r="D416" s="2982">
        <v>1424358</v>
      </c>
      <c r="E416" s="2982" t="s">
        <v>6049</v>
      </c>
      <c r="F416" s="2993">
        <v>0</v>
      </c>
      <c r="J416"/>
    </row>
    <row r="417" spans="1:10" ht="13" hidden="1">
      <c r="A417" s="2983">
        <v>12</v>
      </c>
      <c r="B417" s="2982" t="s">
        <v>5715</v>
      </c>
      <c r="C417" s="2982" t="s">
        <v>5727</v>
      </c>
      <c r="D417" s="2982">
        <v>1424359</v>
      </c>
      <c r="E417" s="2982" t="s">
        <v>6050</v>
      </c>
      <c r="F417" s="2993">
        <v>0</v>
      </c>
      <c r="J417"/>
    </row>
    <row r="418" spans="1:10" ht="13" hidden="1">
      <c r="A418" s="2983">
        <v>12</v>
      </c>
      <c r="B418" s="2982" t="s">
        <v>5715</v>
      </c>
      <c r="C418" s="2982" t="s">
        <v>5727</v>
      </c>
      <c r="D418" s="2982">
        <v>1424363</v>
      </c>
      <c r="E418" s="2982" t="s">
        <v>6051</v>
      </c>
      <c r="F418" s="2993">
        <v>-0.15564059999999991</v>
      </c>
      <c r="J418"/>
    </row>
    <row r="419" spans="1:10" ht="13" hidden="1">
      <c r="A419" s="2983">
        <v>12</v>
      </c>
      <c r="B419" s="2982" t="s">
        <v>5715</v>
      </c>
      <c r="C419" s="2982" t="s">
        <v>5727</v>
      </c>
      <c r="D419" s="2982">
        <v>1424364</v>
      </c>
      <c r="E419" s="2982" t="s">
        <v>6052</v>
      </c>
      <c r="F419" s="2993">
        <v>-5.0683848329999996</v>
      </c>
      <c r="J419"/>
    </row>
    <row r="420" spans="1:10" ht="13" hidden="1">
      <c r="A420" s="2983">
        <v>12</v>
      </c>
      <c r="B420" s="2982" t="s">
        <v>5715</v>
      </c>
      <c r="C420" s="2982" t="s">
        <v>5727</v>
      </c>
      <c r="D420" s="2982">
        <v>1424365</v>
      </c>
      <c r="E420" s="2982" t="s">
        <v>6053</v>
      </c>
      <c r="F420" s="2993">
        <v>-0.36090622900000024</v>
      </c>
      <c r="J420"/>
    </row>
    <row r="421" spans="1:10" ht="13" hidden="1">
      <c r="A421" s="2983">
        <v>12</v>
      </c>
      <c r="B421" s="2982" t="s">
        <v>5715</v>
      </c>
      <c r="C421" s="2982" t="s">
        <v>5727</v>
      </c>
      <c r="D421" s="2982">
        <v>1424367</v>
      </c>
      <c r="E421" s="2982" t="s">
        <v>6054</v>
      </c>
      <c r="F421" s="2993">
        <v>-2.8910000000000003E-5</v>
      </c>
      <c r="J421"/>
    </row>
    <row r="422" spans="1:10" ht="13" hidden="1">
      <c r="A422" s="2983">
        <v>12</v>
      </c>
      <c r="B422" s="2982" t="s">
        <v>5715</v>
      </c>
      <c r="C422" s="2982" t="s">
        <v>5727</v>
      </c>
      <c r="D422" s="2982">
        <v>1424371</v>
      </c>
      <c r="E422" s="2982" t="s">
        <v>6055</v>
      </c>
      <c r="F422" s="2993">
        <v>0</v>
      </c>
      <c r="J422"/>
    </row>
    <row r="423" spans="1:10" ht="13" hidden="1">
      <c r="A423" s="2983">
        <v>12</v>
      </c>
      <c r="B423" s="2982" t="s">
        <v>5715</v>
      </c>
      <c r="C423" s="2982" t="s">
        <v>5727</v>
      </c>
      <c r="D423" s="2982">
        <v>1424372</v>
      </c>
      <c r="E423" s="2982" t="s">
        <v>6056</v>
      </c>
      <c r="F423" s="2993">
        <v>0</v>
      </c>
      <c r="J423"/>
    </row>
    <row r="424" spans="1:10" ht="13" hidden="1">
      <c r="A424" s="2983">
        <v>12</v>
      </c>
      <c r="B424" s="2982" t="s">
        <v>5715</v>
      </c>
      <c r="C424" s="2982" t="s">
        <v>5727</v>
      </c>
      <c r="D424" s="2982">
        <v>1424374</v>
      </c>
      <c r="E424" s="2982" t="s">
        <v>6057</v>
      </c>
      <c r="F424" s="2993">
        <v>-1.2404303920000004</v>
      </c>
      <c r="J424"/>
    </row>
    <row r="425" spans="1:10" ht="13" hidden="1">
      <c r="A425" s="2983">
        <v>12</v>
      </c>
      <c r="B425" s="2982" t="s">
        <v>5715</v>
      </c>
      <c r="C425" s="2982" t="s">
        <v>5727</v>
      </c>
      <c r="D425" s="2982">
        <v>1424375</v>
      </c>
      <c r="E425" s="2982" t="s">
        <v>6058</v>
      </c>
      <c r="F425" s="2993">
        <v>-0.51045723899999995</v>
      </c>
      <c r="J425"/>
    </row>
    <row r="426" spans="1:10" ht="13" hidden="1">
      <c r="A426" s="2983">
        <v>12</v>
      </c>
      <c r="B426" s="2982" t="s">
        <v>5715</v>
      </c>
      <c r="C426" s="2982" t="s">
        <v>5727</v>
      </c>
      <c r="D426" s="2982">
        <v>1424376</v>
      </c>
      <c r="E426" s="2982" t="s">
        <v>6059</v>
      </c>
      <c r="F426" s="2993">
        <v>-0.35805569999999998</v>
      </c>
      <c r="J426"/>
    </row>
    <row r="427" spans="1:10" ht="13" hidden="1">
      <c r="A427" s="2983">
        <v>12</v>
      </c>
      <c r="B427" s="2982" t="s">
        <v>5715</v>
      </c>
      <c r="C427" s="2982" t="s">
        <v>5727</v>
      </c>
      <c r="D427" s="2982">
        <v>1424377</v>
      </c>
      <c r="E427" s="2982" t="s">
        <v>6060</v>
      </c>
      <c r="F427" s="2993">
        <v>-0.18552389999999985</v>
      </c>
      <c r="J427"/>
    </row>
    <row r="428" spans="1:10" ht="13" hidden="1">
      <c r="A428" s="2983">
        <v>12</v>
      </c>
      <c r="B428" s="2982" t="s">
        <v>5715</v>
      </c>
      <c r="C428" s="2982" t="s">
        <v>5727</v>
      </c>
      <c r="D428" s="2982">
        <v>1424382</v>
      </c>
      <c r="E428" s="2982" t="s">
        <v>6061</v>
      </c>
      <c r="F428" s="2993">
        <v>-8.8817841970012523E-16</v>
      </c>
      <c r="J428"/>
    </row>
    <row r="429" spans="1:10" ht="13" hidden="1">
      <c r="A429" s="2983">
        <v>12</v>
      </c>
      <c r="B429" s="2982" t="s">
        <v>5715</v>
      </c>
      <c r="C429" s="2982" t="s">
        <v>5727</v>
      </c>
      <c r="D429" s="2982">
        <v>1424383</v>
      </c>
      <c r="E429" s="2982" t="s">
        <v>6062</v>
      </c>
      <c r="F429" s="2993">
        <v>-0.40103734900000004</v>
      </c>
      <c r="J429"/>
    </row>
    <row r="430" spans="1:10" ht="13" hidden="1">
      <c r="A430" s="2983">
        <v>12</v>
      </c>
      <c r="B430" s="2982" t="s">
        <v>5715</v>
      </c>
      <c r="C430" s="2982" t="s">
        <v>5727</v>
      </c>
      <c r="D430" s="2982">
        <v>1424384</v>
      </c>
      <c r="E430" s="2982" t="s">
        <v>6063</v>
      </c>
      <c r="F430" s="2993">
        <v>0</v>
      </c>
      <c r="J430"/>
    </row>
    <row r="431" spans="1:10" ht="13" hidden="1">
      <c r="A431" s="2983">
        <v>12</v>
      </c>
      <c r="B431" s="2982" t="s">
        <v>5715</v>
      </c>
      <c r="C431" s="2982" t="s">
        <v>5727</v>
      </c>
      <c r="D431" s="2982">
        <v>1424385</v>
      </c>
      <c r="E431" s="2982" t="s">
        <v>6064</v>
      </c>
      <c r="F431" s="2993">
        <v>2.2204460492503131E-16</v>
      </c>
      <c r="J431"/>
    </row>
    <row r="432" spans="1:10" ht="13" hidden="1">
      <c r="A432" s="2983">
        <v>12</v>
      </c>
      <c r="B432" s="2982" t="s">
        <v>5715</v>
      </c>
      <c r="C432" s="2982" t="s">
        <v>5727</v>
      </c>
      <c r="D432" s="2982">
        <v>1424390</v>
      </c>
      <c r="E432" s="2982" t="s">
        <v>6065</v>
      </c>
      <c r="F432" s="2993">
        <v>-7.1054273576010019E-15</v>
      </c>
      <c r="J432"/>
    </row>
    <row r="433" spans="1:10" ht="13" hidden="1">
      <c r="A433" s="2983">
        <v>12</v>
      </c>
      <c r="B433" s="2982" t="s">
        <v>5715</v>
      </c>
      <c r="C433" s="2982" t="s">
        <v>5727</v>
      </c>
      <c r="D433" s="2982">
        <v>1424391</v>
      </c>
      <c r="E433" s="2982" t="s">
        <v>6066</v>
      </c>
      <c r="F433" s="2993">
        <v>-1.5215199999999651E-2</v>
      </c>
      <c r="J433"/>
    </row>
    <row r="434" spans="1:10" ht="13" hidden="1">
      <c r="A434" s="2983">
        <v>12</v>
      </c>
      <c r="B434" s="2982" t="s">
        <v>5715</v>
      </c>
      <c r="C434" s="2982" t="s">
        <v>5727</v>
      </c>
      <c r="D434" s="2982">
        <v>1424392</v>
      </c>
      <c r="E434" s="2982" t="s">
        <v>6067</v>
      </c>
      <c r="F434" s="2993">
        <v>-2.3811000000000001E-3</v>
      </c>
      <c r="J434"/>
    </row>
    <row r="435" spans="1:10" ht="13" hidden="1">
      <c r="A435" s="2983">
        <v>12</v>
      </c>
      <c r="B435" s="2982" t="s">
        <v>5715</v>
      </c>
      <c r="C435" s="2982" t="s">
        <v>5727</v>
      </c>
      <c r="D435" s="2982">
        <v>1424395</v>
      </c>
      <c r="E435" s="2982" t="s">
        <v>6068</v>
      </c>
      <c r="F435" s="2993">
        <v>-6.3213999999995885E-3</v>
      </c>
      <c r="J435"/>
    </row>
    <row r="436" spans="1:10" ht="13" hidden="1">
      <c r="A436" s="2983">
        <v>12</v>
      </c>
      <c r="B436" s="2982" t="s">
        <v>5715</v>
      </c>
      <c r="C436" s="2982" t="s">
        <v>5727</v>
      </c>
      <c r="D436" s="2982">
        <v>1424396</v>
      </c>
      <c r="E436" s="2982" t="s">
        <v>6069</v>
      </c>
      <c r="F436" s="2993">
        <v>-1.0650958239999999</v>
      </c>
      <c r="J436"/>
    </row>
    <row r="437" spans="1:10" ht="13" hidden="1">
      <c r="A437" s="2983">
        <v>12</v>
      </c>
      <c r="B437" s="2982" t="s">
        <v>5715</v>
      </c>
      <c r="C437" s="2982" t="s">
        <v>5727</v>
      </c>
      <c r="D437" s="2982">
        <v>1424397</v>
      </c>
      <c r="E437" s="2982" t="s">
        <v>6070</v>
      </c>
      <c r="F437" s="2993">
        <v>-4.6343600000000151E-2</v>
      </c>
      <c r="J437"/>
    </row>
    <row r="438" spans="1:10" ht="13" hidden="1">
      <c r="A438" s="2983">
        <v>12</v>
      </c>
      <c r="B438" s="2982" t="s">
        <v>5715</v>
      </c>
      <c r="C438" s="2982" t="s">
        <v>5727</v>
      </c>
      <c r="D438" s="2982">
        <v>1424398</v>
      </c>
      <c r="E438" s="2982" t="s">
        <v>6071</v>
      </c>
      <c r="F438" s="2993">
        <v>-0.30019230100000016</v>
      </c>
      <c r="J438"/>
    </row>
    <row r="439" spans="1:10" ht="13" hidden="1">
      <c r="A439" s="2983">
        <v>12</v>
      </c>
      <c r="B439" s="2982" t="s">
        <v>5715</v>
      </c>
      <c r="C439" s="2982" t="s">
        <v>5727</v>
      </c>
      <c r="D439" s="2982">
        <v>1424400</v>
      </c>
      <c r="E439" s="2982" t="s">
        <v>6072</v>
      </c>
      <c r="F439" s="2993">
        <v>3.5906279999999998E-3</v>
      </c>
      <c r="J439"/>
    </row>
    <row r="440" spans="1:10" ht="13" hidden="1">
      <c r="A440" s="2983">
        <v>12</v>
      </c>
      <c r="B440" s="2982" t="s">
        <v>5715</v>
      </c>
      <c r="C440" s="2982" t="s">
        <v>5727</v>
      </c>
      <c r="D440" s="2982">
        <v>1424401</v>
      </c>
      <c r="E440" s="2982" t="s">
        <v>6073</v>
      </c>
      <c r="F440" s="2993">
        <v>1.0466779999999997E-3</v>
      </c>
      <c r="J440"/>
    </row>
    <row r="441" spans="1:10" ht="13" hidden="1">
      <c r="A441" s="2983">
        <v>12</v>
      </c>
      <c r="B441" s="2982" t="s">
        <v>5715</v>
      </c>
      <c r="C441" s="2982" t="s">
        <v>5727</v>
      </c>
      <c r="D441" s="2982">
        <v>1424402</v>
      </c>
      <c r="E441" s="2982" t="s">
        <v>6074</v>
      </c>
      <c r="F441" s="2993">
        <v>1.0736319999999999E-3</v>
      </c>
      <c r="J441"/>
    </row>
    <row r="442" spans="1:10" ht="13" hidden="1">
      <c r="A442" s="2983">
        <v>12</v>
      </c>
      <c r="B442" s="2982" t="s">
        <v>5715</v>
      </c>
      <c r="C442" s="2982" t="s">
        <v>5727</v>
      </c>
      <c r="D442" s="2982">
        <v>1424403</v>
      </c>
      <c r="E442" s="2982" t="s">
        <v>6075</v>
      </c>
      <c r="F442" s="2993">
        <v>2.2412362000000477E-2</v>
      </c>
      <c r="J442"/>
    </row>
    <row r="443" spans="1:10" ht="13" hidden="1">
      <c r="A443" s="2983">
        <v>12</v>
      </c>
      <c r="B443" s="2982" t="s">
        <v>5715</v>
      </c>
      <c r="C443" s="2982" t="s">
        <v>5727</v>
      </c>
      <c r="D443" s="2982">
        <v>1424404</v>
      </c>
      <c r="E443" s="2982" t="s">
        <v>6076</v>
      </c>
      <c r="F443" s="2993">
        <v>0.26766269200000026</v>
      </c>
      <c r="J443"/>
    </row>
    <row r="444" spans="1:10" ht="13" hidden="1">
      <c r="A444" s="2983">
        <v>12</v>
      </c>
      <c r="B444" s="2982" t="s">
        <v>5715</v>
      </c>
      <c r="C444" s="2982" t="s">
        <v>5727</v>
      </c>
      <c r="D444" s="2982">
        <v>1424405</v>
      </c>
      <c r="E444" s="2982" t="s">
        <v>6077</v>
      </c>
      <c r="F444" s="2993">
        <v>3.3398760000000003E-3</v>
      </c>
      <c r="J444"/>
    </row>
    <row r="445" spans="1:10" ht="13" hidden="1">
      <c r="A445" s="2983">
        <v>12</v>
      </c>
      <c r="B445" s="2982" t="s">
        <v>5715</v>
      </c>
      <c r="C445" s="2982" t="s">
        <v>5727</v>
      </c>
      <c r="D445" s="2982">
        <v>1424407</v>
      </c>
      <c r="E445" s="2982" t="s">
        <v>6078</v>
      </c>
      <c r="F445" s="2993">
        <v>2.5544705000000112E-2</v>
      </c>
      <c r="J445"/>
    </row>
    <row r="446" spans="1:10" ht="13" hidden="1">
      <c r="A446" s="2983">
        <v>12</v>
      </c>
      <c r="B446" s="2982" t="s">
        <v>5715</v>
      </c>
      <c r="C446" s="2982" t="s">
        <v>5727</v>
      </c>
      <c r="D446" s="2982">
        <v>1424408</v>
      </c>
      <c r="E446" s="2982" t="s">
        <v>6079</v>
      </c>
      <c r="F446" s="2993">
        <v>9.7067780000001186E-2</v>
      </c>
      <c r="J446"/>
    </row>
    <row r="447" spans="1:10" ht="13" hidden="1">
      <c r="A447" s="2983">
        <v>12</v>
      </c>
      <c r="B447" s="2982" t="s">
        <v>5715</v>
      </c>
      <c r="C447" s="2982" t="s">
        <v>5727</v>
      </c>
      <c r="D447" s="2982">
        <v>1424409</v>
      </c>
      <c r="E447" s="2982" t="s">
        <v>6080</v>
      </c>
      <c r="F447" s="2993">
        <v>0</v>
      </c>
      <c r="J447"/>
    </row>
    <row r="448" spans="1:10" ht="13" hidden="1">
      <c r="A448" s="2983">
        <v>12</v>
      </c>
      <c r="B448" s="2982" t="s">
        <v>5715</v>
      </c>
      <c r="C448" s="2982" t="s">
        <v>5727</v>
      </c>
      <c r="D448" s="2982">
        <v>1424410</v>
      </c>
      <c r="E448" s="2982" t="s">
        <v>6081</v>
      </c>
      <c r="F448" s="2993">
        <v>1E-3</v>
      </c>
      <c r="J448"/>
    </row>
    <row r="449" spans="1:10" ht="13" hidden="1">
      <c r="A449" s="2983">
        <v>12</v>
      </c>
      <c r="B449" s="2982" t="s">
        <v>5715</v>
      </c>
      <c r="C449" s="2982" t="s">
        <v>5727</v>
      </c>
      <c r="D449" s="2982">
        <v>1424411</v>
      </c>
      <c r="E449" s="2982" t="s">
        <v>6082</v>
      </c>
      <c r="F449" s="2993">
        <v>0.23609432900000499</v>
      </c>
      <c r="J449"/>
    </row>
    <row r="450" spans="1:10" ht="13" hidden="1">
      <c r="A450" s="2983">
        <v>12</v>
      </c>
      <c r="B450" s="2982" t="s">
        <v>5715</v>
      </c>
      <c r="C450" s="2982" t="s">
        <v>5727</v>
      </c>
      <c r="D450" s="2982">
        <v>1424412</v>
      </c>
      <c r="E450" s="2982" t="s">
        <v>6083</v>
      </c>
      <c r="F450" s="2993">
        <v>0.56356688099999974</v>
      </c>
      <c r="J450"/>
    </row>
    <row r="451" spans="1:10" ht="13" hidden="1">
      <c r="A451" s="2983">
        <v>12</v>
      </c>
      <c r="B451" s="2982" t="s">
        <v>5715</v>
      </c>
      <c r="C451" s="2982" t="s">
        <v>5727</v>
      </c>
      <c r="D451" s="2982">
        <v>1424413</v>
      </c>
      <c r="E451" s="2982" t="s">
        <v>6084</v>
      </c>
      <c r="F451" s="2993">
        <v>3.42746E-4</v>
      </c>
      <c r="J451"/>
    </row>
    <row r="452" spans="1:10" ht="13" hidden="1">
      <c r="A452" s="2983">
        <v>12</v>
      </c>
      <c r="B452" s="2982" t="s">
        <v>5715</v>
      </c>
      <c r="C452" s="2982" t="s">
        <v>5727</v>
      </c>
      <c r="D452" s="2982">
        <v>1424414</v>
      </c>
      <c r="E452" s="2982" t="s">
        <v>6085</v>
      </c>
      <c r="F452" s="2993">
        <v>3.2491212000000352E-2</v>
      </c>
      <c r="J452"/>
    </row>
    <row r="453" spans="1:10" ht="13" hidden="1">
      <c r="A453" s="2983">
        <v>12</v>
      </c>
      <c r="B453" s="2982" t="s">
        <v>5715</v>
      </c>
      <c r="C453" s="2982" t="s">
        <v>5727</v>
      </c>
      <c r="D453" s="2982">
        <v>1424415</v>
      </c>
      <c r="E453" s="2982" t="s">
        <v>6086</v>
      </c>
      <c r="F453" s="2993">
        <v>7.95465050000006E-2</v>
      </c>
      <c r="J453"/>
    </row>
    <row r="454" spans="1:10" ht="13" hidden="1">
      <c r="A454" s="2983">
        <v>12</v>
      </c>
      <c r="B454" s="2982" t="s">
        <v>5715</v>
      </c>
      <c r="C454" s="2982" t="s">
        <v>5727</v>
      </c>
      <c r="D454" s="2982">
        <v>1424416</v>
      </c>
      <c r="E454" s="2982" t="s">
        <v>6087</v>
      </c>
      <c r="F454" s="2993">
        <v>-2.2334564753201391E-17</v>
      </c>
      <c r="J454"/>
    </row>
    <row r="455" spans="1:10" ht="13" hidden="1">
      <c r="A455" s="2983">
        <v>12</v>
      </c>
      <c r="B455" s="2982" t="s">
        <v>5715</v>
      </c>
      <c r="C455" s="2982" t="s">
        <v>5727</v>
      </c>
      <c r="D455" s="2982">
        <v>1424417</v>
      </c>
      <c r="E455" s="2982" t="s">
        <v>6088</v>
      </c>
      <c r="F455" s="2993">
        <v>0.76851362400000056</v>
      </c>
      <c r="J455"/>
    </row>
    <row r="456" spans="1:10" ht="13" hidden="1">
      <c r="A456" s="2983">
        <v>12</v>
      </c>
      <c r="B456" s="2982" t="s">
        <v>5715</v>
      </c>
      <c r="C456" s="2982" t="s">
        <v>5727</v>
      </c>
      <c r="D456" s="2982">
        <v>1424418</v>
      </c>
      <c r="E456" s="2982" t="s">
        <v>6089</v>
      </c>
      <c r="F456" s="2993">
        <v>0</v>
      </c>
      <c r="J456"/>
    </row>
    <row r="457" spans="1:10" ht="13" hidden="1">
      <c r="A457" s="2983">
        <v>12</v>
      </c>
      <c r="B457" s="2982" t="s">
        <v>5715</v>
      </c>
      <c r="C457" s="2982" t="s">
        <v>5727</v>
      </c>
      <c r="D457" s="2982">
        <v>1424419</v>
      </c>
      <c r="E457" s="2982" t="s">
        <v>6090</v>
      </c>
      <c r="F457" s="2993">
        <v>4.8032999999999999E-3</v>
      </c>
      <c r="J457"/>
    </row>
    <row r="458" spans="1:10" ht="13" hidden="1">
      <c r="A458" s="2983">
        <v>12</v>
      </c>
      <c r="B458" s="2982" t="s">
        <v>5715</v>
      </c>
      <c r="C458" s="2982" t="s">
        <v>5727</v>
      </c>
      <c r="D458" s="2982">
        <v>1424420</v>
      </c>
      <c r="E458" s="2982" t="s">
        <v>6091</v>
      </c>
      <c r="F458" s="2993">
        <v>0.14562912300000005</v>
      </c>
      <c r="J458"/>
    </row>
    <row r="459" spans="1:10" ht="13" hidden="1">
      <c r="A459" s="2983">
        <v>12</v>
      </c>
      <c r="B459" s="2982" t="s">
        <v>5715</v>
      </c>
      <c r="C459" s="2982" t="s">
        <v>5727</v>
      </c>
      <c r="D459" s="2982">
        <v>1424421</v>
      </c>
      <c r="E459" s="2982" t="s">
        <v>6092</v>
      </c>
      <c r="F459" s="2993">
        <v>0.2962342049999997</v>
      </c>
      <c r="J459"/>
    </row>
    <row r="460" spans="1:10" ht="13" hidden="1">
      <c r="A460" s="2983">
        <v>12</v>
      </c>
      <c r="B460" s="2982" t="s">
        <v>5715</v>
      </c>
      <c r="C460" s="2982" t="s">
        <v>5727</v>
      </c>
      <c r="D460" s="2982">
        <v>1424422</v>
      </c>
      <c r="E460" s="2982" t="s">
        <v>6093</v>
      </c>
      <c r="F460" s="2993">
        <v>1.0793877E-2</v>
      </c>
      <c r="J460"/>
    </row>
    <row r="461" spans="1:10" ht="13" hidden="1">
      <c r="A461" s="2983">
        <v>12</v>
      </c>
      <c r="B461" s="2982" t="s">
        <v>5715</v>
      </c>
      <c r="C461" s="2982" t="s">
        <v>5727</v>
      </c>
      <c r="D461" s="2982">
        <v>1424423</v>
      </c>
      <c r="E461" s="2982" t="s">
        <v>6094</v>
      </c>
      <c r="F461" s="2993">
        <v>0.46687245199999805</v>
      </c>
      <c r="J461"/>
    </row>
    <row r="462" spans="1:10" ht="13" hidden="1">
      <c r="A462" s="2983">
        <v>12</v>
      </c>
      <c r="B462" s="2982" t="s">
        <v>5715</v>
      </c>
      <c r="C462" s="2982" t="s">
        <v>5727</v>
      </c>
      <c r="D462" s="2982">
        <v>1424424</v>
      </c>
      <c r="E462" s="2982" t="s">
        <v>6095</v>
      </c>
      <c r="F462" s="2993">
        <v>0.18786405099999998</v>
      </c>
      <c r="J462"/>
    </row>
    <row r="463" spans="1:10" ht="13" hidden="1">
      <c r="A463" s="2983">
        <v>12</v>
      </c>
      <c r="B463" s="2982" t="s">
        <v>5715</v>
      </c>
      <c r="C463" s="2982" t="s">
        <v>5727</v>
      </c>
      <c r="D463" s="2982">
        <v>1424425</v>
      </c>
      <c r="E463" s="2982" t="s">
        <v>6096</v>
      </c>
      <c r="F463" s="2993">
        <v>0.31418097999999994</v>
      </c>
      <c r="J463"/>
    </row>
    <row r="464" spans="1:10" ht="13" hidden="1">
      <c r="A464" s="2983">
        <v>12</v>
      </c>
      <c r="B464" s="2982" t="s">
        <v>5715</v>
      </c>
      <c r="C464" s="2982" t="s">
        <v>5727</v>
      </c>
      <c r="D464" s="2982">
        <v>1424426</v>
      </c>
      <c r="E464" s="2982" t="s">
        <v>6097</v>
      </c>
      <c r="F464" s="2993">
        <v>0.62496897899999992</v>
      </c>
      <c r="J464"/>
    </row>
    <row r="465" spans="1:10" ht="13" hidden="1">
      <c r="A465" s="2983">
        <v>12</v>
      </c>
      <c r="B465" s="2982" t="s">
        <v>5715</v>
      </c>
      <c r="C465" s="2982" t="s">
        <v>5727</v>
      </c>
      <c r="D465" s="2982">
        <v>1424427</v>
      </c>
      <c r="E465" s="2982" t="s">
        <v>6098</v>
      </c>
      <c r="F465" s="2993">
        <v>1.5075061999999521E-2</v>
      </c>
      <c r="J465"/>
    </row>
    <row r="466" spans="1:10" ht="13" hidden="1">
      <c r="A466" s="2983">
        <v>12</v>
      </c>
      <c r="B466" s="2982" t="s">
        <v>5715</v>
      </c>
      <c r="C466" s="2982" t="s">
        <v>5727</v>
      </c>
      <c r="D466" s="2982">
        <v>1424428</v>
      </c>
      <c r="E466" s="2982" t="s">
        <v>6099</v>
      </c>
      <c r="F466" s="2993">
        <v>0.109729915</v>
      </c>
      <c r="J466"/>
    </row>
    <row r="467" spans="1:10" ht="13" hidden="1">
      <c r="A467" s="2983">
        <v>12</v>
      </c>
      <c r="B467" s="2982" t="s">
        <v>5715</v>
      </c>
      <c r="C467" s="2982" t="s">
        <v>5727</v>
      </c>
      <c r="D467" s="2982">
        <v>1424429</v>
      </c>
      <c r="E467" s="2982" t="s">
        <v>6100</v>
      </c>
      <c r="F467" s="2993">
        <v>2.2944800000000001E-2</v>
      </c>
      <c r="J467"/>
    </row>
    <row r="468" spans="1:10" ht="13" hidden="1">
      <c r="A468" s="2983">
        <v>12</v>
      </c>
      <c r="B468" s="2982" t="s">
        <v>5715</v>
      </c>
      <c r="C468" s="2982" t="s">
        <v>5727</v>
      </c>
      <c r="D468" s="2982">
        <v>1424430</v>
      </c>
      <c r="E468" s="2982" t="s">
        <v>6101</v>
      </c>
      <c r="F468" s="2993">
        <v>0.10522390699999988</v>
      </c>
      <c r="J468"/>
    </row>
    <row r="469" spans="1:10" ht="13" hidden="1">
      <c r="A469" s="2983">
        <v>12</v>
      </c>
      <c r="B469" s="2982" t="s">
        <v>5715</v>
      </c>
      <c r="C469" s="2982" t="s">
        <v>5727</v>
      </c>
      <c r="D469" s="2982">
        <v>1424433</v>
      </c>
      <c r="E469" s="2982" t="s">
        <v>6102</v>
      </c>
      <c r="F469" s="2993">
        <v>4.1935866720000021</v>
      </c>
      <c r="J469"/>
    </row>
    <row r="470" spans="1:10" ht="13" hidden="1">
      <c r="A470" s="2983">
        <v>12</v>
      </c>
      <c r="B470" s="2982" t="s">
        <v>5715</v>
      </c>
      <c r="C470" s="2982" t="s">
        <v>5727</v>
      </c>
      <c r="D470" s="2982">
        <v>1424434</v>
      </c>
      <c r="E470" s="2982" t="s">
        <v>6103</v>
      </c>
      <c r="F470" s="2993">
        <v>2.003715E-2</v>
      </c>
      <c r="J470"/>
    </row>
    <row r="471" spans="1:10" ht="13" hidden="1">
      <c r="A471" s="2983">
        <v>12</v>
      </c>
      <c r="B471" s="2982" t="s">
        <v>5715</v>
      </c>
      <c r="C471" s="2982" t="s">
        <v>5727</v>
      </c>
      <c r="D471" s="2982">
        <v>1424435</v>
      </c>
      <c r="E471" s="2982" t="s">
        <v>6104</v>
      </c>
      <c r="F471" s="2993">
        <v>0.14153006500000062</v>
      </c>
      <c r="J471"/>
    </row>
    <row r="472" spans="1:10" ht="13" hidden="1">
      <c r="A472" s="2983">
        <v>12</v>
      </c>
      <c r="B472" s="2982" t="s">
        <v>5715</v>
      </c>
      <c r="C472" s="2982" t="s">
        <v>5727</v>
      </c>
      <c r="D472" s="2982">
        <v>1424436</v>
      </c>
      <c r="E472" s="2982" t="s">
        <v>6105</v>
      </c>
      <c r="F472" s="2993">
        <v>0.99410414600000019</v>
      </c>
      <c r="J472"/>
    </row>
    <row r="473" spans="1:10" ht="13" hidden="1">
      <c r="A473" s="2983">
        <v>12</v>
      </c>
      <c r="B473" s="2982" t="s">
        <v>5715</v>
      </c>
      <c r="C473" s="2982" t="s">
        <v>5727</v>
      </c>
      <c r="D473" s="2982">
        <v>1424437</v>
      </c>
      <c r="E473" s="2982" t="s">
        <v>6106</v>
      </c>
      <c r="F473" s="2993">
        <v>1.3243957000000001E-2</v>
      </c>
      <c r="J473"/>
    </row>
    <row r="474" spans="1:10" ht="13" hidden="1">
      <c r="A474" s="2983">
        <v>12</v>
      </c>
      <c r="B474" s="2982" t="s">
        <v>5715</v>
      </c>
      <c r="C474" s="2982" t="s">
        <v>5727</v>
      </c>
      <c r="D474" s="2982">
        <v>1424438</v>
      </c>
      <c r="E474" s="2982" t="s">
        <v>6107</v>
      </c>
      <c r="F474" s="2993">
        <v>2.92672E-2</v>
      </c>
      <c r="J474"/>
    </row>
    <row r="475" spans="1:10" ht="13" hidden="1">
      <c r="A475" s="2983">
        <v>12</v>
      </c>
      <c r="B475" s="2982" t="s">
        <v>5715</v>
      </c>
      <c r="C475" s="2982" t="s">
        <v>5727</v>
      </c>
      <c r="D475" s="2982">
        <v>1424440</v>
      </c>
      <c r="E475" s="2982" t="s">
        <v>6108</v>
      </c>
      <c r="F475" s="2993">
        <v>0.56735103799999997</v>
      </c>
      <c r="J475"/>
    </row>
    <row r="476" spans="1:10" ht="13" hidden="1">
      <c r="A476" s="2983">
        <v>12</v>
      </c>
      <c r="B476" s="2982" t="s">
        <v>5715</v>
      </c>
      <c r="C476" s="2982" t="s">
        <v>5727</v>
      </c>
      <c r="D476" s="2982">
        <v>1424441</v>
      </c>
      <c r="E476" s="2982" t="s">
        <v>6109</v>
      </c>
      <c r="F476" s="2993">
        <v>0.19230830799999996</v>
      </c>
      <c r="J476"/>
    </row>
    <row r="477" spans="1:10" ht="13" hidden="1">
      <c r="A477" s="2983">
        <v>12</v>
      </c>
      <c r="B477" s="2982" t="s">
        <v>5715</v>
      </c>
      <c r="C477" s="2982" t="s">
        <v>5727</v>
      </c>
      <c r="D477" s="2982">
        <v>1424442</v>
      </c>
      <c r="E477" s="2982" t="s">
        <v>6110</v>
      </c>
      <c r="F477" s="2993">
        <v>1.3189899999999999E-2</v>
      </c>
      <c r="J477"/>
    </row>
    <row r="478" spans="1:10" ht="13" hidden="1">
      <c r="A478" s="2983">
        <v>12</v>
      </c>
      <c r="B478" s="2982" t="s">
        <v>5715</v>
      </c>
      <c r="C478" s="2982" t="s">
        <v>5727</v>
      </c>
      <c r="D478" s="2982">
        <v>1424443</v>
      </c>
      <c r="E478" s="2982" t="s">
        <v>6111</v>
      </c>
      <c r="F478" s="2993">
        <v>0.52101932299999998</v>
      </c>
      <c r="J478"/>
    </row>
    <row r="479" spans="1:10" ht="13" hidden="1">
      <c r="A479" s="2983">
        <v>12</v>
      </c>
      <c r="B479" s="2982" t="s">
        <v>5715</v>
      </c>
      <c r="C479" s="2982" t="s">
        <v>5727</v>
      </c>
      <c r="D479" s="2982">
        <v>1424444</v>
      </c>
      <c r="E479" s="2982" t="s">
        <v>6112</v>
      </c>
      <c r="F479" s="2993">
        <v>0.36505433599999992</v>
      </c>
      <c r="J479"/>
    </row>
    <row r="480" spans="1:10" ht="13" hidden="1">
      <c r="A480" s="2983">
        <v>12</v>
      </c>
      <c r="B480" s="2982" t="s">
        <v>5715</v>
      </c>
      <c r="C480" s="2982" t="s">
        <v>5727</v>
      </c>
      <c r="D480" s="2982">
        <v>1424445</v>
      </c>
      <c r="E480" s="2982" t="s">
        <v>6113</v>
      </c>
      <c r="F480" s="2993">
        <v>0.44760357500000031</v>
      </c>
      <c r="J480"/>
    </row>
    <row r="481" spans="1:10" ht="13" hidden="1">
      <c r="A481" s="2983">
        <v>12</v>
      </c>
      <c r="B481" s="2982" t="s">
        <v>5715</v>
      </c>
      <c r="C481" s="2982" t="s">
        <v>5727</v>
      </c>
      <c r="D481" s="2982">
        <v>1424446</v>
      </c>
      <c r="E481" s="2982" t="s">
        <v>6114</v>
      </c>
      <c r="F481" s="2993">
        <v>4.6015895000000001E-2</v>
      </c>
      <c r="J481"/>
    </row>
    <row r="482" spans="1:10" ht="13" hidden="1">
      <c r="A482" s="2983">
        <v>12</v>
      </c>
      <c r="B482" s="2982" t="s">
        <v>5715</v>
      </c>
      <c r="C482" s="2982" t="s">
        <v>5727</v>
      </c>
      <c r="D482" s="2982">
        <v>1424447</v>
      </c>
      <c r="E482" s="2982" t="s">
        <v>6115</v>
      </c>
      <c r="F482" s="2993">
        <v>2.8316587000000001E-2</v>
      </c>
      <c r="J482"/>
    </row>
    <row r="483" spans="1:10" ht="13" hidden="1">
      <c r="A483" s="2983">
        <v>12</v>
      </c>
      <c r="B483" s="2982" t="s">
        <v>5715</v>
      </c>
      <c r="C483" s="2982" t="s">
        <v>5727</v>
      </c>
      <c r="D483" s="2982">
        <v>1424449</v>
      </c>
      <c r="E483" s="2982" t="s">
        <v>6116</v>
      </c>
      <c r="F483" s="2993">
        <v>0</v>
      </c>
      <c r="J483"/>
    </row>
    <row r="484" spans="1:10" ht="13" hidden="1">
      <c r="A484" s="2983">
        <v>12</v>
      </c>
      <c r="B484" s="2982" t="s">
        <v>5715</v>
      </c>
      <c r="C484" s="2982" t="s">
        <v>5727</v>
      </c>
      <c r="D484" s="2982">
        <v>1424450</v>
      </c>
      <c r="E484" s="2982" t="s">
        <v>6117</v>
      </c>
      <c r="F484" s="2993">
        <v>1.6131900000000001E-2</v>
      </c>
      <c r="J484"/>
    </row>
    <row r="485" spans="1:10" ht="13" hidden="1">
      <c r="A485" s="2983">
        <v>12</v>
      </c>
      <c r="B485" s="2982" t="s">
        <v>5715</v>
      </c>
      <c r="C485" s="2982" t="s">
        <v>5727</v>
      </c>
      <c r="D485" s="2982">
        <v>1424451</v>
      </c>
      <c r="E485" s="2982" t="s">
        <v>6118</v>
      </c>
      <c r="F485" s="2993">
        <v>0.33095398500000045</v>
      </c>
      <c r="J485"/>
    </row>
    <row r="486" spans="1:10" ht="13" hidden="1">
      <c r="A486" s="2983">
        <v>12</v>
      </c>
      <c r="B486" s="2982" t="s">
        <v>5715</v>
      </c>
      <c r="C486" s="2982" t="s">
        <v>5727</v>
      </c>
      <c r="D486" s="2982">
        <v>1424452</v>
      </c>
      <c r="E486" s="2982" t="s">
        <v>6119</v>
      </c>
      <c r="F486" s="2993">
        <v>0.45765651700000015</v>
      </c>
      <c r="J486"/>
    </row>
    <row r="487" spans="1:10" ht="13" hidden="1">
      <c r="A487" s="2983">
        <v>12</v>
      </c>
      <c r="B487" s="2982" t="s">
        <v>5715</v>
      </c>
      <c r="C487" s="2982" t="s">
        <v>5727</v>
      </c>
      <c r="D487" s="2982">
        <v>1424453</v>
      </c>
      <c r="E487" s="2982" t="s">
        <v>6120</v>
      </c>
      <c r="F487" s="2993">
        <v>0.14407446400000204</v>
      </c>
      <c r="J487"/>
    </row>
    <row r="488" spans="1:10" ht="13" hidden="1">
      <c r="A488" s="2983">
        <v>12</v>
      </c>
      <c r="B488" s="2982" t="s">
        <v>5715</v>
      </c>
      <c r="C488" s="2982" t="s">
        <v>5727</v>
      </c>
      <c r="D488" s="2982">
        <v>1424454</v>
      </c>
      <c r="E488" s="2982" t="s">
        <v>6121</v>
      </c>
      <c r="F488" s="2993">
        <v>1E-3</v>
      </c>
      <c r="J488"/>
    </row>
    <row r="489" spans="1:10" ht="13" hidden="1">
      <c r="A489" s="2983">
        <v>12</v>
      </c>
      <c r="B489" s="2982" t="s">
        <v>5715</v>
      </c>
      <c r="C489" s="2982" t="s">
        <v>5727</v>
      </c>
      <c r="D489" s="2982">
        <v>1424455</v>
      </c>
      <c r="E489" s="2982" t="s">
        <v>6122</v>
      </c>
      <c r="F489" s="2993">
        <v>0</v>
      </c>
      <c r="J489"/>
    </row>
    <row r="490" spans="1:10" ht="13" hidden="1">
      <c r="A490" s="2983">
        <v>12</v>
      </c>
      <c r="B490" s="2982" t="s">
        <v>5715</v>
      </c>
      <c r="C490" s="2982" t="s">
        <v>5727</v>
      </c>
      <c r="D490" s="2982">
        <v>1424456</v>
      </c>
      <c r="E490" s="2982" t="s">
        <v>6123</v>
      </c>
      <c r="F490" s="2993">
        <v>0.86402106400000001</v>
      </c>
      <c r="J490"/>
    </row>
    <row r="491" spans="1:10" ht="13" hidden="1">
      <c r="A491" s="2983">
        <v>12</v>
      </c>
      <c r="B491" s="2982" t="s">
        <v>5715</v>
      </c>
      <c r="C491" s="2982" t="s">
        <v>5727</v>
      </c>
      <c r="D491" s="2982">
        <v>1424457</v>
      </c>
      <c r="E491" s="2982" t="s">
        <v>6124</v>
      </c>
      <c r="F491" s="2993">
        <v>0.6351711110000029</v>
      </c>
      <c r="J491"/>
    </row>
    <row r="492" spans="1:10" ht="13" hidden="1">
      <c r="A492" s="2983">
        <v>12</v>
      </c>
      <c r="B492" s="2982" t="s">
        <v>5715</v>
      </c>
      <c r="C492" s="2982" t="s">
        <v>5727</v>
      </c>
      <c r="D492" s="2982">
        <v>1424458</v>
      </c>
      <c r="E492" s="2982" t="s">
        <v>6125</v>
      </c>
      <c r="F492" s="2993">
        <v>0</v>
      </c>
      <c r="J492"/>
    </row>
    <row r="493" spans="1:10" ht="13" hidden="1">
      <c r="A493" s="2983">
        <v>12</v>
      </c>
      <c r="B493" s="2982" t="s">
        <v>5715</v>
      </c>
      <c r="C493" s="2982" t="s">
        <v>5727</v>
      </c>
      <c r="D493" s="2982">
        <v>1424459</v>
      </c>
      <c r="E493" s="2982" t="s">
        <v>6126</v>
      </c>
      <c r="F493" s="2993">
        <v>3.8731644000000287E-2</v>
      </c>
      <c r="J493"/>
    </row>
    <row r="494" spans="1:10" ht="13" hidden="1">
      <c r="A494" s="2983">
        <v>12</v>
      </c>
      <c r="B494" s="2982" t="s">
        <v>5715</v>
      </c>
      <c r="C494" s="2982" t="s">
        <v>5727</v>
      </c>
      <c r="D494" s="2982">
        <v>1424460</v>
      </c>
      <c r="E494" s="2982" t="s">
        <v>6127</v>
      </c>
      <c r="F494" s="2993">
        <v>7.6327832942979512E-17</v>
      </c>
      <c r="J494"/>
    </row>
    <row r="495" spans="1:10" ht="13" hidden="1">
      <c r="A495" s="2983">
        <v>12</v>
      </c>
      <c r="B495" s="2982" t="s">
        <v>5715</v>
      </c>
      <c r="C495" s="2982" t="s">
        <v>5727</v>
      </c>
      <c r="D495" s="2982">
        <v>1424461</v>
      </c>
      <c r="E495" s="2982" t="s">
        <v>6128</v>
      </c>
      <c r="F495" s="2993">
        <v>1.72035E-2</v>
      </c>
      <c r="J495"/>
    </row>
    <row r="496" spans="1:10" ht="13" hidden="1">
      <c r="A496" s="2983">
        <v>12</v>
      </c>
      <c r="B496" s="2982" t="s">
        <v>5715</v>
      </c>
      <c r="C496" s="2982" t="s">
        <v>5727</v>
      </c>
      <c r="D496" s="2982">
        <v>1424462</v>
      </c>
      <c r="E496" s="2982" t="s">
        <v>6129</v>
      </c>
      <c r="F496" s="2993">
        <v>5.3160710000000003E-3</v>
      </c>
      <c r="J496"/>
    </row>
    <row r="497" spans="1:10" ht="13" hidden="1">
      <c r="A497" s="2983">
        <v>12</v>
      </c>
      <c r="B497" s="2982" t="s">
        <v>5715</v>
      </c>
      <c r="C497" s="2982" t="s">
        <v>5727</v>
      </c>
      <c r="D497" s="2982">
        <v>1424463</v>
      </c>
      <c r="E497" s="2982" t="s">
        <v>6130</v>
      </c>
      <c r="F497" s="2993">
        <v>0.32073771400000339</v>
      </c>
      <c r="J497"/>
    </row>
    <row r="498" spans="1:10" ht="13" hidden="1">
      <c r="A498" s="2983">
        <v>12</v>
      </c>
      <c r="B498" s="2982" t="s">
        <v>5715</v>
      </c>
      <c r="C498" s="2982" t="s">
        <v>5727</v>
      </c>
      <c r="D498" s="2982">
        <v>1424464</v>
      </c>
      <c r="E498" s="2982" t="s">
        <v>6131</v>
      </c>
      <c r="F498" s="2993">
        <v>0.44505875099999992</v>
      </c>
      <c r="J498"/>
    </row>
    <row r="499" spans="1:10" ht="13" hidden="1">
      <c r="A499" s="2983">
        <v>12</v>
      </c>
      <c r="B499" s="2982" t="s">
        <v>5715</v>
      </c>
      <c r="C499" s="2982" t="s">
        <v>5727</v>
      </c>
      <c r="D499" s="2982">
        <v>1424465</v>
      </c>
      <c r="E499" s="2982" t="s">
        <v>6132</v>
      </c>
      <c r="F499" s="2993">
        <v>0.67119055399999961</v>
      </c>
      <c r="J499"/>
    </row>
    <row r="500" spans="1:10" ht="13" hidden="1">
      <c r="A500" s="2983">
        <v>12</v>
      </c>
      <c r="B500" s="2982" t="s">
        <v>5715</v>
      </c>
      <c r="C500" s="2982" t="s">
        <v>5727</v>
      </c>
      <c r="D500" s="2982">
        <v>1424466</v>
      </c>
      <c r="E500" s="2982" t="s">
        <v>6133</v>
      </c>
      <c r="F500" s="2993">
        <v>3.4521200000000002E-2</v>
      </c>
      <c r="J500"/>
    </row>
    <row r="501" spans="1:10" ht="13" hidden="1">
      <c r="A501" s="2983">
        <v>12</v>
      </c>
      <c r="B501" s="2982" t="s">
        <v>5715</v>
      </c>
      <c r="C501" s="2982" t="s">
        <v>5727</v>
      </c>
      <c r="D501" s="2982">
        <v>1424468</v>
      </c>
      <c r="E501" s="2982" t="s">
        <v>6134</v>
      </c>
      <c r="F501" s="2993">
        <v>0</v>
      </c>
      <c r="J501"/>
    </row>
    <row r="502" spans="1:10" ht="13" hidden="1">
      <c r="A502" s="2983">
        <v>12</v>
      </c>
      <c r="B502" s="2982" t="s">
        <v>5715</v>
      </c>
      <c r="C502" s="2982" t="s">
        <v>5727</v>
      </c>
      <c r="D502" s="2982">
        <v>1424469</v>
      </c>
      <c r="E502" s="2982" t="s">
        <v>6135</v>
      </c>
      <c r="F502" s="2993">
        <v>0.34383597099999996</v>
      </c>
      <c r="J502"/>
    </row>
    <row r="503" spans="1:10" ht="13" hidden="1">
      <c r="A503" s="2983">
        <v>12</v>
      </c>
      <c r="B503" s="2982" t="s">
        <v>5715</v>
      </c>
      <c r="C503" s="2982" t="s">
        <v>5727</v>
      </c>
      <c r="D503" s="2982">
        <v>1424470</v>
      </c>
      <c r="E503" s="2982" t="s">
        <v>6136</v>
      </c>
      <c r="F503" s="2993">
        <v>0.26024172299999998</v>
      </c>
      <c r="J503"/>
    </row>
    <row r="504" spans="1:10" ht="13" hidden="1">
      <c r="A504" s="2983">
        <v>12</v>
      </c>
      <c r="B504" s="2982" t="s">
        <v>5715</v>
      </c>
      <c r="C504" s="2982" t="s">
        <v>5727</v>
      </c>
      <c r="D504" s="2982">
        <v>1424471</v>
      </c>
      <c r="E504" s="2982" t="s">
        <v>6137</v>
      </c>
      <c r="F504" s="2993">
        <v>2.0781096269999999</v>
      </c>
      <c r="J504"/>
    </row>
    <row r="505" spans="1:10" ht="13" hidden="1">
      <c r="A505" s="2983">
        <v>12</v>
      </c>
      <c r="B505" s="2982" t="s">
        <v>5715</v>
      </c>
      <c r="C505" s="2982" t="s">
        <v>5727</v>
      </c>
      <c r="D505" s="2982">
        <v>1424472</v>
      </c>
      <c r="E505" s="2982" t="s">
        <v>6138</v>
      </c>
      <c r="F505" s="2993">
        <v>5.2283594000000003E-2</v>
      </c>
      <c r="J505"/>
    </row>
    <row r="506" spans="1:10" ht="13" hidden="1">
      <c r="A506" s="2983">
        <v>12</v>
      </c>
      <c r="B506" s="2982" t="s">
        <v>5715</v>
      </c>
      <c r="C506" s="2982" t="s">
        <v>5727</v>
      </c>
      <c r="D506" s="2982">
        <v>1424473</v>
      </c>
      <c r="E506" s="2982" t="s">
        <v>6139</v>
      </c>
      <c r="F506" s="2993">
        <v>0.14114267699999999</v>
      </c>
      <c r="J506"/>
    </row>
    <row r="507" spans="1:10" ht="13" hidden="1">
      <c r="A507" s="2983">
        <v>12</v>
      </c>
      <c r="B507" s="2982" t="s">
        <v>5715</v>
      </c>
      <c r="C507" s="2982" t="s">
        <v>5727</v>
      </c>
      <c r="D507" s="2982">
        <v>1424474</v>
      </c>
      <c r="E507" s="2982" t="s">
        <v>6140</v>
      </c>
      <c r="F507" s="2993">
        <v>6.3647630000000011E-2</v>
      </c>
      <c r="J507"/>
    </row>
    <row r="508" spans="1:10" ht="13" hidden="1">
      <c r="A508" s="2983">
        <v>12</v>
      </c>
      <c r="B508" s="2982" t="s">
        <v>5715</v>
      </c>
      <c r="C508" s="2982" t="s">
        <v>5727</v>
      </c>
      <c r="D508" s="2982">
        <v>1424475</v>
      </c>
      <c r="E508" s="2982" t="s">
        <v>6141</v>
      </c>
      <c r="F508" s="2993">
        <v>2.5744000000000001E-3</v>
      </c>
      <c r="J508"/>
    </row>
    <row r="509" spans="1:10" ht="13" hidden="1">
      <c r="A509" s="2983">
        <v>12</v>
      </c>
      <c r="B509" s="2982" t="s">
        <v>5715</v>
      </c>
      <c r="C509" s="2982" t="s">
        <v>5727</v>
      </c>
      <c r="D509" s="2982">
        <v>1424476</v>
      </c>
      <c r="E509" s="2982" t="s">
        <v>6142</v>
      </c>
      <c r="F509" s="2993">
        <v>1.0158094999999999E-2</v>
      </c>
      <c r="J509"/>
    </row>
    <row r="510" spans="1:10" ht="13" hidden="1">
      <c r="A510" s="2983">
        <v>12</v>
      </c>
      <c r="B510" s="2982" t="s">
        <v>5715</v>
      </c>
      <c r="C510" s="2982" t="s">
        <v>5727</v>
      </c>
      <c r="D510" s="2982">
        <v>1424478</v>
      </c>
      <c r="E510" s="2982" t="s">
        <v>6143</v>
      </c>
      <c r="F510" s="2993">
        <v>8.6807999999999989E-3</v>
      </c>
      <c r="J510"/>
    </row>
    <row r="511" spans="1:10" ht="13" hidden="1">
      <c r="A511" s="2983">
        <v>12</v>
      </c>
      <c r="B511" s="2982" t="s">
        <v>5715</v>
      </c>
      <c r="C511" s="2982" t="s">
        <v>5727</v>
      </c>
      <c r="D511" s="2982">
        <v>1424479</v>
      </c>
      <c r="E511" s="2982" t="s">
        <v>6144</v>
      </c>
      <c r="F511" s="2993">
        <v>0</v>
      </c>
      <c r="J511"/>
    </row>
    <row r="512" spans="1:10" ht="13" hidden="1">
      <c r="A512" s="2983">
        <v>12</v>
      </c>
      <c r="B512" s="2982" t="s">
        <v>5715</v>
      </c>
      <c r="C512" s="2982" t="s">
        <v>5727</v>
      </c>
      <c r="D512" s="2982">
        <v>1424480</v>
      </c>
      <c r="E512" s="2982" t="s">
        <v>6145</v>
      </c>
      <c r="F512" s="2993">
        <v>0</v>
      </c>
      <c r="J512"/>
    </row>
    <row r="513" spans="1:10" ht="13" hidden="1">
      <c r="A513" s="2983">
        <v>12</v>
      </c>
      <c r="B513" s="2982" t="s">
        <v>5715</v>
      </c>
      <c r="C513" s="2982" t="s">
        <v>5727</v>
      </c>
      <c r="D513" s="2982">
        <v>1424481</v>
      </c>
      <c r="E513" s="2982" t="s">
        <v>6146</v>
      </c>
      <c r="F513" s="2993">
        <v>0</v>
      </c>
      <c r="J513"/>
    </row>
    <row r="514" spans="1:10" ht="13" hidden="1">
      <c r="A514" s="2983">
        <v>12</v>
      </c>
      <c r="B514" s="2982" t="s">
        <v>5715</v>
      </c>
      <c r="C514" s="2982" t="s">
        <v>5727</v>
      </c>
      <c r="D514" s="2982">
        <v>1424482</v>
      </c>
      <c r="E514" s="2982" t="s">
        <v>6147</v>
      </c>
      <c r="F514" s="2993">
        <v>1.117975E-2</v>
      </c>
      <c r="J514"/>
    </row>
    <row r="515" spans="1:10" ht="13" hidden="1">
      <c r="A515" s="2983">
        <v>12</v>
      </c>
      <c r="B515" s="2982" t="s">
        <v>5715</v>
      </c>
      <c r="C515" s="2982" t="s">
        <v>5727</v>
      </c>
      <c r="D515" s="2982">
        <v>1424483</v>
      </c>
      <c r="E515" s="2982" t="s">
        <v>6148</v>
      </c>
      <c r="F515" s="2993">
        <v>0</v>
      </c>
      <c r="J515"/>
    </row>
    <row r="516" spans="1:10" ht="13" hidden="1">
      <c r="A516" s="2983">
        <v>12</v>
      </c>
      <c r="B516" s="2982" t="s">
        <v>5715</v>
      </c>
      <c r="C516" s="2982" t="s">
        <v>5727</v>
      </c>
      <c r="D516" s="2982">
        <v>1424484</v>
      </c>
      <c r="E516" s="2982" t="s">
        <v>6149</v>
      </c>
      <c r="F516" s="2993">
        <v>2.0350299999999997E-3</v>
      </c>
      <c r="J516"/>
    </row>
    <row r="517" spans="1:10" ht="13" hidden="1">
      <c r="A517" s="2983">
        <v>12</v>
      </c>
      <c r="B517" s="2982" t="s">
        <v>5715</v>
      </c>
      <c r="C517" s="2982" t="s">
        <v>5727</v>
      </c>
      <c r="D517" s="2982">
        <v>1424485</v>
      </c>
      <c r="E517" s="2982" t="s">
        <v>6150</v>
      </c>
      <c r="F517" s="2993">
        <v>5.3553739999999996E-3</v>
      </c>
      <c r="J517"/>
    </row>
    <row r="518" spans="1:10" ht="13" hidden="1">
      <c r="A518" s="2983">
        <v>12</v>
      </c>
      <c r="B518" s="2982" t="s">
        <v>5715</v>
      </c>
      <c r="C518" s="2982" t="s">
        <v>5727</v>
      </c>
      <c r="D518" s="2982">
        <v>1424486</v>
      </c>
      <c r="E518" s="2982" t="s">
        <v>6151</v>
      </c>
      <c r="F518" s="2993">
        <v>0</v>
      </c>
      <c r="J518"/>
    </row>
    <row r="519" spans="1:10" ht="13" hidden="1">
      <c r="A519" s="2983">
        <v>12</v>
      </c>
      <c r="B519" s="2982" t="s">
        <v>5715</v>
      </c>
      <c r="C519" s="2982" t="s">
        <v>5727</v>
      </c>
      <c r="D519" s="2982">
        <v>1424501</v>
      </c>
      <c r="E519" s="2982" t="s">
        <v>6152</v>
      </c>
      <c r="F519" s="2993">
        <v>0</v>
      </c>
      <c r="J519"/>
    </row>
    <row r="520" spans="1:10" ht="13" hidden="1">
      <c r="A520" s="2983">
        <v>12</v>
      </c>
      <c r="B520" s="2982" t="s">
        <v>5715</v>
      </c>
      <c r="C520" s="2982" t="s">
        <v>5727</v>
      </c>
      <c r="D520" s="2982">
        <v>1424502</v>
      </c>
      <c r="E520" s="2982" t="s">
        <v>6153</v>
      </c>
      <c r="F520" s="2993">
        <v>0.91994069999999994</v>
      </c>
      <c r="J520"/>
    </row>
    <row r="521" spans="1:10" ht="13" hidden="1">
      <c r="A521" s="2983">
        <v>12</v>
      </c>
      <c r="B521" s="2982" t="s">
        <v>5715</v>
      </c>
      <c r="C521" s="2982" t="s">
        <v>5727</v>
      </c>
      <c r="D521" s="2982">
        <v>1424503</v>
      </c>
      <c r="E521" s="2982" t="s">
        <v>6154</v>
      </c>
      <c r="F521" s="2993">
        <v>-3.5527136788005009E-15</v>
      </c>
      <c r="J521"/>
    </row>
    <row r="522" spans="1:10" ht="13" hidden="1">
      <c r="A522" s="2983">
        <v>12</v>
      </c>
      <c r="B522" s="2982" t="s">
        <v>5715</v>
      </c>
      <c r="C522" s="2982" t="s">
        <v>5727</v>
      </c>
      <c r="D522" s="2982">
        <v>1424504</v>
      </c>
      <c r="E522" s="2982" t="s">
        <v>6155</v>
      </c>
      <c r="F522" s="2993">
        <v>0</v>
      </c>
      <c r="J522"/>
    </row>
    <row r="523" spans="1:10" ht="13" hidden="1">
      <c r="A523" s="2983">
        <v>12</v>
      </c>
      <c r="B523" s="2982" t="s">
        <v>5715</v>
      </c>
      <c r="C523" s="2982" t="s">
        <v>5727</v>
      </c>
      <c r="D523" s="2982">
        <v>1424505</v>
      </c>
      <c r="E523" s="2982" t="s">
        <v>6156</v>
      </c>
      <c r="F523" s="2993">
        <v>8.25E-5</v>
      </c>
      <c r="J523"/>
    </row>
    <row r="524" spans="1:10" ht="13" hidden="1">
      <c r="A524" s="2983">
        <v>12</v>
      </c>
      <c r="B524" s="2982" t="s">
        <v>5715</v>
      </c>
      <c r="C524" s="2982" t="s">
        <v>5727</v>
      </c>
      <c r="D524" s="2982">
        <v>1424507</v>
      </c>
      <c r="E524" s="2982" t="s">
        <v>6157</v>
      </c>
      <c r="F524" s="2993">
        <v>-4.4408920985006262E-16</v>
      </c>
      <c r="J524"/>
    </row>
    <row r="525" spans="1:10" ht="13" hidden="1">
      <c r="A525" s="2983">
        <v>12</v>
      </c>
      <c r="B525" s="2982" t="s">
        <v>5715</v>
      </c>
      <c r="C525" s="2982" t="s">
        <v>5727</v>
      </c>
      <c r="D525" s="2982">
        <v>1424508</v>
      </c>
      <c r="E525" s="2982" t="s">
        <v>6158</v>
      </c>
      <c r="F525" s="2993">
        <v>0</v>
      </c>
      <c r="J525"/>
    </row>
    <row r="526" spans="1:10" ht="13" hidden="1">
      <c r="A526" s="2983">
        <v>12</v>
      </c>
      <c r="B526" s="2982" t="s">
        <v>5715</v>
      </c>
      <c r="C526" s="2982" t="s">
        <v>5727</v>
      </c>
      <c r="D526" s="2982">
        <v>1424511</v>
      </c>
      <c r="E526" s="2982" t="s">
        <v>6159</v>
      </c>
      <c r="F526" s="2993">
        <v>3.4402999999976203E-3</v>
      </c>
      <c r="J526"/>
    </row>
    <row r="527" spans="1:10" ht="13" hidden="1">
      <c r="A527" s="2983">
        <v>12</v>
      </c>
      <c r="B527" s="2982" t="s">
        <v>5715</v>
      </c>
      <c r="C527" s="2982" t="s">
        <v>5727</v>
      </c>
      <c r="D527" s="2982">
        <v>1424512</v>
      </c>
      <c r="E527" s="2982" t="s">
        <v>6160</v>
      </c>
      <c r="F527" s="2993">
        <v>8.8817841970012523E-16</v>
      </c>
      <c r="J527"/>
    </row>
    <row r="528" spans="1:10" ht="13" hidden="1">
      <c r="A528" s="2983">
        <v>12</v>
      </c>
      <c r="B528" s="2982" t="s">
        <v>5715</v>
      </c>
      <c r="C528" s="2982" t="s">
        <v>5727</v>
      </c>
      <c r="D528" s="2982">
        <v>1424513</v>
      </c>
      <c r="E528" s="2982" t="s">
        <v>6161</v>
      </c>
      <c r="F528" s="2993">
        <v>0.4894693</v>
      </c>
      <c r="J528"/>
    </row>
    <row r="529" spans="1:10" ht="13" hidden="1">
      <c r="A529" s="2983">
        <v>12</v>
      </c>
      <c r="B529" s="2982" t="s">
        <v>5715</v>
      </c>
      <c r="C529" s="2982" t="s">
        <v>5727</v>
      </c>
      <c r="D529" s="2982">
        <v>1424514</v>
      </c>
      <c r="E529" s="2982" t="s">
        <v>6162</v>
      </c>
      <c r="F529" s="2993">
        <v>1.9627999999975998E-3</v>
      </c>
      <c r="J529"/>
    </row>
    <row r="530" spans="1:10" ht="13" hidden="1">
      <c r="A530" s="2983">
        <v>12</v>
      </c>
      <c r="B530" s="2982" t="s">
        <v>5715</v>
      </c>
      <c r="C530" s="2982" t="s">
        <v>5727</v>
      </c>
      <c r="D530" s="2982">
        <v>1424515</v>
      </c>
      <c r="E530" s="2982" t="s">
        <v>6163</v>
      </c>
      <c r="F530" s="2993">
        <v>1.2588999999993966E-3</v>
      </c>
      <c r="J530"/>
    </row>
    <row r="531" spans="1:10" ht="13" hidden="1">
      <c r="A531" s="2983">
        <v>12</v>
      </c>
      <c r="B531" s="2982" t="s">
        <v>5715</v>
      </c>
      <c r="C531" s="2982" t="s">
        <v>5727</v>
      </c>
      <c r="D531" s="2982">
        <v>1424516</v>
      </c>
      <c r="E531" s="2982" t="s">
        <v>6164</v>
      </c>
      <c r="F531" s="2993">
        <v>0</v>
      </c>
      <c r="J531"/>
    </row>
    <row r="532" spans="1:10" ht="13" hidden="1">
      <c r="A532" s="2983">
        <v>12</v>
      </c>
      <c r="B532" s="2982" t="s">
        <v>5715</v>
      </c>
      <c r="C532" s="2982" t="s">
        <v>5727</v>
      </c>
      <c r="D532" s="2982">
        <v>1424517</v>
      </c>
      <c r="E532" s="2982" t="s">
        <v>6165</v>
      </c>
      <c r="F532" s="2993">
        <v>0</v>
      </c>
      <c r="J532"/>
    </row>
    <row r="533" spans="1:10" ht="13" hidden="1">
      <c r="A533" s="2983">
        <v>12</v>
      </c>
      <c r="B533" s="2982" t="s">
        <v>5715</v>
      </c>
      <c r="C533" s="2982" t="s">
        <v>5727</v>
      </c>
      <c r="D533" s="2982">
        <v>1424520</v>
      </c>
      <c r="E533" s="2982" t="s">
        <v>6166</v>
      </c>
      <c r="F533" s="2993">
        <v>0</v>
      </c>
      <c r="J533"/>
    </row>
    <row r="534" spans="1:10" ht="13" hidden="1">
      <c r="A534" s="2983">
        <v>12</v>
      </c>
      <c r="B534" s="2982" t="s">
        <v>5715</v>
      </c>
      <c r="C534" s="2982" t="s">
        <v>5727</v>
      </c>
      <c r="D534" s="2982">
        <v>1424521</v>
      </c>
      <c r="E534" s="2982" t="s">
        <v>6167</v>
      </c>
      <c r="F534" s="2993">
        <v>0</v>
      </c>
      <c r="J534"/>
    </row>
    <row r="535" spans="1:10" ht="13" hidden="1">
      <c r="A535" s="2983">
        <v>12</v>
      </c>
      <c r="B535" s="2982" t="s">
        <v>5715</v>
      </c>
      <c r="C535" s="2982" t="s">
        <v>5727</v>
      </c>
      <c r="D535" s="2982">
        <v>1424523</v>
      </c>
      <c r="E535" s="2982" t="s">
        <v>6168</v>
      </c>
      <c r="F535" s="2993">
        <v>7.4575000000002944E-2</v>
      </c>
      <c r="J535"/>
    </row>
    <row r="536" spans="1:10" ht="13" hidden="1">
      <c r="A536" s="2983">
        <v>12</v>
      </c>
      <c r="B536" s="2982" t="s">
        <v>5715</v>
      </c>
      <c r="C536" s="2982" t="s">
        <v>5727</v>
      </c>
      <c r="D536" s="2982">
        <v>1424524</v>
      </c>
      <c r="E536" s="2982" t="s">
        <v>6169</v>
      </c>
      <c r="F536" s="2993">
        <v>4.4679999999999165E-3</v>
      </c>
      <c r="J536"/>
    </row>
    <row r="537" spans="1:10" ht="13" hidden="1">
      <c r="A537" s="2983">
        <v>12</v>
      </c>
      <c r="B537" s="2982" t="s">
        <v>5715</v>
      </c>
      <c r="C537" s="2982" t="s">
        <v>5727</v>
      </c>
      <c r="D537" s="2982">
        <v>1424525</v>
      </c>
      <c r="E537" s="2982" t="s">
        <v>6170</v>
      </c>
      <c r="F537" s="2993">
        <v>0</v>
      </c>
      <c r="J537"/>
    </row>
    <row r="538" spans="1:10" ht="13" hidden="1">
      <c r="A538" s="2983">
        <v>12</v>
      </c>
      <c r="B538" s="2982" t="s">
        <v>5715</v>
      </c>
      <c r="C538" s="2982" t="s">
        <v>5727</v>
      </c>
      <c r="D538" s="2982">
        <v>1424526</v>
      </c>
      <c r="E538" s="2982" t="s">
        <v>6171</v>
      </c>
      <c r="F538" s="2993">
        <v>0</v>
      </c>
      <c r="J538"/>
    </row>
    <row r="539" spans="1:10" ht="13" hidden="1">
      <c r="A539" s="2983">
        <v>12</v>
      </c>
      <c r="B539" s="2982" t="s">
        <v>5715</v>
      </c>
      <c r="C539" s="2982" t="s">
        <v>5727</v>
      </c>
      <c r="D539" s="2982">
        <v>1424527</v>
      </c>
      <c r="E539" s="2982" t="s">
        <v>6172</v>
      </c>
      <c r="F539" s="2993">
        <v>4.0672000000014918E-3</v>
      </c>
      <c r="J539"/>
    </row>
    <row r="540" spans="1:10" ht="13" hidden="1">
      <c r="A540" s="2983">
        <v>12</v>
      </c>
      <c r="B540" s="2982" t="s">
        <v>5715</v>
      </c>
      <c r="C540" s="2982" t="s">
        <v>5727</v>
      </c>
      <c r="D540" s="2982">
        <v>1424529</v>
      </c>
      <c r="E540" s="2982" t="s">
        <v>6173</v>
      </c>
      <c r="F540" s="2993">
        <v>3.8440000000000002E-4</v>
      </c>
      <c r="J540"/>
    </row>
    <row r="541" spans="1:10" ht="13" hidden="1">
      <c r="A541" s="2983">
        <v>12</v>
      </c>
      <c r="B541" s="2982" t="s">
        <v>5715</v>
      </c>
      <c r="C541" s="2982" t="s">
        <v>5727</v>
      </c>
      <c r="D541" s="2982">
        <v>1424530</v>
      </c>
      <c r="E541" s="2982" t="s">
        <v>6174</v>
      </c>
      <c r="F541" s="2993">
        <v>0</v>
      </c>
      <c r="J541"/>
    </row>
    <row r="542" spans="1:10" ht="13" hidden="1">
      <c r="A542" s="2983">
        <v>12</v>
      </c>
      <c r="B542" s="2982" t="s">
        <v>5715</v>
      </c>
      <c r="C542" s="2982" t="s">
        <v>5727</v>
      </c>
      <c r="D542" s="2982">
        <v>1424533</v>
      </c>
      <c r="E542" s="2982" t="s">
        <v>6175</v>
      </c>
      <c r="F542" s="2993">
        <v>10.974246590999996</v>
      </c>
      <c r="J542"/>
    </row>
    <row r="543" spans="1:10" ht="13" hidden="1">
      <c r="A543" s="2983">
        <v>12</v>
      </c>
      <c r="B543" s="2982" t="s">
        <v>5715</v>
      </c>
      <c r="C543" s="2982" t="s">
        <v>5727</v>
      </c>
      <c r="D543" s="2982">
        <v>1424535</v>
      </c>
      <c r="E543" s="2982" t="s">
        <v>6176</v>
      </c>
      <c r="F543" s="2993">
        <v>1.5087199999999967E-2</v>
      </c>
      <c r="J543"/>
    </row>
    <row r="544" spans="1:10" ht="13" hidden="1">
      <c r="A544" s="2983">
        <v>12</v>
      </c>
      <c r="B544" s="2982" t="s">
        <v>5715</v>
      </c>
      <c r="C544" s="2982" t="s">
        <v>5727</v>
      </c>
      <c r="D544" s="2982">
        <v>1424536</v>
      </c>
      <c r="E544" s="2982" t="s">
        <v>6177</v>
      </c>
      <c r="F544" s="2993">
        <v>0.38502059999999982</v>
      </c>
      <c r="J544"/>
    </row>
    <row r="545" spans="1:10" ht="13" hidden="1">
      <c r="A545" s="2983">
        <v>12</v>
      </c>
      <c r="B545" s="2982" t="s">
        <v>5715</v>
      </c>
      <c r="C545" s="2982" t="s">
        <v>5727</v>
      </c>
      <c r="D545" s="2982">
        <v>1424537</v>
      </c>
      <c r="E545" s="2982" t="s">
        <v>6178</v>
      </c>
      <c r="F545" s="2993">
        <v>3.2959999999999999E-4</v>
      </c>
      <c r="J545"/>
    </row>
    <row r="546" spans="1:10" ht="13" hidden="1">
      <c r="A546" s="2983">
        <v>12</v>
      </c>
      <c r="B546" s="2982" t="s">
        <v>5715</v>
      </c>
      <c r="C546" s="2982" t="s">
        <v>5727</v>
      </c>
      <c r="D546" s="2982">
        <v>1424540</v>
      </c>
      <c r="E546" s="2982" t="s">
        <v>6179</v>
      </c>
      <c r="F546" s="2993">
        <v>0.48463150000000077</v>
      </c>
      <c r="J546"/>
    </row>
    <row r="547" spans="1:10" ht="13" hidden="1">
      <c r="A547" s="2983">
        <v>12</v>
      </c>
      <c r="B547" s="2982" t="s">
        <v>5715</v>
      </c>
      <c r="C547" s="2982" t="s">
        <v>5727</v>
      </c>
      <c r="D547" s="2982">
        <v>1424541</v>
      </c>
      <c r="E547" s="2982" t="s">
        <v>6180</v>
      </c>
      <c r="F547" s="2993">
        <v>9.8493999999997861E-3</v>
      </c>
      <c r="J547"/>
    </row>
    <row r="548" spans="1:10" ht="13" hidden="1">
      <c r="A548" s="2983">
        <v>12</v>
      </c>
      <c r="B548" s="2982" t="s">
        <v>5715</v>
      </c>
      <c r="C548" s="2982" t="s">
        <v>5727</v>
      </c>
      <c r="D548" s="2982">
        <v>1424544</v>
      </c>
      <c r="E548" s="2982" t="s">
        <v>6181</v>
      </c>
      <c r="F548" s="2993">
        <v>0</v>
      </c>
      <c r="J548"/>
    </row>
    <row r="549" spans="1:10" ht="13" hidden="1">
      <c r="A549" s="2983">
        <v>12</v>
      </c>
      <c r="B549" s="2982" t="s">
        <v>5715</v>
      </c>
      <c r="C549" s="2982" t="s">
        <v>5727</v>
      </c>
      <c r="D549" s="2982">
        <v>1424545</v>
      </c>
      <c r="E549" s="2982" t="s">
        <v>6182</v>
      </c>
      <c r="F549" s="2993">
        <v>0</v>
      </c>
      <c r="J549"/>
    </row>
    <row r="550" spans="1:10" ht="13" hidden="1">
      <c r="A550" s="2983">
        <v>12</v>
      </c>
      <c r="B550" s="2982" t="s">
        <v>5715</v>
      </c>
      <c r="C550" s="2982" t="s">
        <v>5727</v>
      </c>
      <c r="D550" s="2982">
        <v>1424547</v>
      </c>
      <c r="E550" s="2982" t="s">
        <v>6183</v>
      </c>
      <c r="F550" s="2993">
        <v>0</v>
      </c>
      <c r="J550"/>
    </row>
    <row r="551" spans="1:10" ht="13" hidden="1">
      <c r="A551" s="2983">
        <v>12</v>
      </c>
      <c r="B551" s="2982" t="s">
        <v>5715</v>
      </c>
      <c r="C551" s="2982" t="s">
        <v>5727</v>
      </c>
      <c r="D551" s="2982">
        <v>1424549</v>
      </c>
      <c r="E551" s="2982" t="s">
        <v>6184</v>
      </c>
      <c r="F551" s="2993">
        <v>0</v>
      </c>
      <c r="J551"/>
    </row>
    <row r="552" spans="1:10" ht="13" hidden="1">
      <c r="A552" s="2983">
        <v>12</v>
      </c>
      <c r="B552" s="2982" t="s">
        <v>5715</v>
      </c>
      <c r="C552" s="2982" t="s">
        <v>5727</v>
      </c>
      <c r="D552" s="2982">
        <v>1424551</v>
      </c>
      <c r="E552" s="2982" t="s">
        <v>6185</v>
      </c>
      <c r="F552" s="2993">
        <v>1.4300000000000423E-3</v>
      </c>
      <c r="J552"/>
    </row>
    <row r="553" spans="1:10" ht="13" hidden="1">
      <c r="A553" s="2983">
        <v>12</v>
      </c>
      <c r="B553" s="2982" t="s">
        <v>5715</v>
      </c>
      <c r="C553" s="2982" t="s">
        <v>5727</v>
      </c>
      <c r="D553" s="2982">
        <v>1424552</v>
      </c>
      <c r="E553" s="2982" t="s">
        <v>6186</v>
      </c>
      <c r="F553" s="2993">
        <v>5.5335999999999941E-2</v>
      </c>
      <c r="J553"/>
    </row>
    <row r="554" spans="1:10" ht="13" hidden="1">
      <c r="A554" s="2983">
        <v>12</v>
      </c>
      <c r="B554" s="2982" t="s">
        <v>5715</v>
      </c>
      <c r="C554" s="2982" t="s">
        <v>5727</v>
      </c>
      <c r="D554" s="2982">
        <v>1424553</v>
      </c>
      <c r="E554" s="2982" t="s">
        <v>6187</v>
      </c>
      <c r="F554" s="2993">
        <v>8.8817841970012523E-16</v>
      </c>
      <c r="J554"/>
    </row>
    <row r="555" spans="1:10" ht="13" hidden="1">
      <c r="A555" s="2983">
        <v>12</v>
      </c>
      <c r="B555" s="2982" t="s">
        <v>5715</v>
      </c>
      <c r="C555" s="2982" t="s">
        <v>5727</v>
      </c>
      <c r="D555" s="2982">
        <v>1424556</v>
      </c>
      <c r="E555" s="2982" t="s">
        <v>6188</v>
      </c>
      <c r="F555" s="2993">
        <v>0</v>
      </c>
      <c r="J555"/>
    </row>
    <row r="556" spans="1:10" ht="13" hidden="1">
      <c r="A556" s="2983">
        <v>12</v>
      </c>
      <c r="B556" s="2982" t="s">
        <v>5715</v>
      </c>
      <c r="C556" s="2982" t="s">
        <v>5727</v>
      </c>
      <c r="D556" s="2982">
        <v>1424557</v>
      </c>
      <c r="E556" s="2982" t="s">
        <v>6189</v>
      </c>
      <c r="F556" s="2993">
        <v>0</v>
      </c>
      <c r="J556"/>
    </row>
    <row r="557" spans="1:10" ht="13" hidden="1">
      <c r="A557" s="2983">
        <v>12</v>
      </c>
      <c r="B557" s="2982" t="s">
        <v>5715</v>
      </c>
      <c r="C557" s="2982" t="s">
        <v>5727</v>
      </c>
      <c r="D557" s="2982">
        <v>1424559</v>
      </c>
      <c r="E557" s="2982" t="s">
        <v>6190</v>
      </c>
      <c r="F557" s="2993">
        <v>-8.8817841970012523E-16</v>
      </c>
      <c r="J557"/>
    </row>
    <row r="558" spans="1:10" ht="13" hidden="1">
      <c r="A558" s="2983">
        <v>12</v>
      </c>
      <c r="B558" s="2982" t="s">
        <v>5715</v>
      </c>
      <c r="C558" s="2982" t="s">
        <v>5727</v>
      </c>
      <c r="D558" s="2982">
        <v>1424562</v>
      </c>
      <c r="E558" s="2982" t="s">
        <v>6191</v>
      </c>
      <c r="F558" s="2993">
        <v>1.3530000000000001E-4</v>
      </c>
      <c r="J558"/>
    </row>
    <row r="559" spans="1:10" ht="13" hidden="1">
      <c r="A559" s="2983">
        <v>12</v>
      </c>
      <c r="B559" s="2982" t="s">
        <v>5715</v>
      </c>
      <c r="C559" s="2982" t="s">
        <v>5727</v>
      </c>
      <c r="D559" s="2982">
        <v>1424563</v>
      </c>
      <c r="E559" s="2982" t="s">
        <v>6192</v>
      </c>
      <c r="F559" s="2993">
        <v>0.15767669999999967</v>
      </c>
      <c r="J559"/>
    </row>
    <row r="560" spans="1:10" ht="13" hidden="1">
      <c r="A560" s="2983">
        <v>12</v>
      </c>
      <c r="B560" s="2982" t="s">
        <v>5715</v>
      </c>
      <c r="C560" s="2982" t="s">
        <v>5727</v>
      </c>
      <c r="D560" s="2982">
        <v>1424564</v>
      </c>
      <c r="E560" s="2982" t="s">
        <v>6193</v>
      </c>
      <c r="F560" s="2993">
        <v>5.5511151231257827E-17</v>
      </c>
      <c r="J560"/>
    </row>
    <row r="561" spans="1:10" ht="13" hidden="1">
      <c r="A561" s="2983">
        <v>12</v>
      </c>
      <c r="B561" s="2982" t="s">
        <v>5715</v>
      </c>
      <c r="C561" s="2982" t="s">
        <v>5727</v>
      </c>
      <c r="D561" s="2982">
        <v>1424565</v>
      </c>
      <c r="E561" s="2982" t="s">
        <v>6194</v>
      </c>
      <c r="F561" s="2993">
        <v>0</v>
      </c>
      <c r="J561"/>
    </row>
    <row r="562" spans="1:10" ht="13" hidden="1">
      <c r="A562" s="2983">
        <v>12</v>
      </c>
      <c r="B562" s="2982" t="s">
        <v>5715</v>
      </c>
      <c r="C562" s="2982" t="s">
        <v>5727</v>
      </c>
      <c r="D562" s="2982">
        <v>1424566</v>
      </c>
      <c r="E562" s="2982" t="s">
        <v>6195</v>
      </c>
      <c r="F562" s="2993">
        <v>8.9249999999999996E-4</v>
      </c>
      <c r="J562"/>
    </row>
    <row r="563" spans="1:10" ht="13" hidden="1">
      <c r="A563" s="2983">
        <v>12</v>
      </c>
      <c r="B563" s="2982" t="s">
        <v>5715</v>
      </c>
      <c r="C563" s="2982" t="s">
        <v>5727</v>
      </c>
      <c r="D563" s="2982">
        <v>1424569</v>
      </c>
      <c r="E563" s="2982" t="s">
        <v>6196</v>
      </c>
      <c r="F563" s="2993">
        <v>0</v>
      </c>
      <c r="J563"/>
    </row>
    <row r="564" spans="1:10" ht="13" hidden="1">
      <c r="A564" s="2983">
        <v>12</v>
      </c>
      <c r="B564" s="2982" t="s">
        <v>5715</v>
      </c>
      <c r="C564" s="2982" t="s">
        <v>5727</v>
      </c>
      <c r="D564" s="2982">
        <v>1424570</v>
      </c>
      <c r="E564" s="2982" t="s">
        <v>6197</v>
      </c>
      <c r="F564" s="2993">
        <v>0</v>
      </c>
      <c r="J564"/>
    </row>
    <row r="565" spans="1:10" ht="13" hidden="1">
      <c r="A565" s="2983">
        <v>12</v>
      </c>
      <c r="B565" s="2982" t="s">
        <v>5715</v>
      </c>
      <c r="C565" s="2982" t="s">
        <v>5727</v>
      </c>
      <c r="D565" s="2982">
        <v>1424571</v>
      </c>
      <c r="E565" s="2982" t="s">
        <v>6198</v>
      </c>
      <c r="F565" s="2993">
        <v>0</v>
      </c>
      <c r="J565"/>
    </row>
    <row r="566" spans="1:10" ht="13" hidden="1">
      <c r="A566" s="2983">
        <v>12</v>
      </c>
      <c r="B566" s="2982" t="s">
        <v>5715</v>
      </c>
      <c r="C566" s="2982" t="s">
        <v>5727</v>
      </c>
      <c r="D566" s="2982">
        <v>1424573</v>
      </c>
      <c r="E566" s="2982" t="s">
        <v>6199</v>
      </c>
      <c r="F566" s="2993">
        <v>20.884683200000001</v>
      </c>
      <c r="J566"/>
    </row>
    <row r="567" spans="1:10" ht="13" hidden="1">
      <c r="A567" s="2983">
        <v>12</v>
      </c>
      <c r="B567" s="2982" t="s">
        <v>5715</v>
      </c>
      <c r="C567" s="2982" t="s">
        <v>5727</v>
      </c>
      <c r="D567" s="2982">
        <v>1424574</v>
      </c>
      <c r="E567" s="2982" t="s">
        <v>6200</v>
      </c>
      <c r="F567" s="2993">
        <v>0.3907293</v>
      </c>
      <c r="J567"/>
    </row>
    <row r="568" spans="1:10" ht="13" hidden="1">
      <c r="A568" s="2983">
        <v>12</v>
      </c>
      <c r="B568" s="2982" t="s">
        <v>5715</v>
      </c>
      <c r="C568" s="2982" t="s">
        <v>5727</v>
      </c>
      <c r="D568" s="2982">
        <v>1424576</v>
      </c>
      <c r="E568" s="2982" t="s">
        <v>6201</v>
      </c>
      <c r="F568" s="2993">
        <v>7.5486079000000004</v>
      </c>
      <c r="J568"/>
    </row>
    <row r="569" spans="1:10" ht="13" hidden="1">
      <c r="A569" s="2983">
        <v>12</v>
      </c>
      <c r="B569" s="2982" t="s">
        <v>5715</v>
      </c>
      <c r="C569" s="2982" t="s">
        <v>5727</v>
      </c>
      <c r="D569" s="2982">
        <v>1424578</v>
      </c>
      <c r="E569" s="2982" t="s">
        <v>6202</v>
      </c>
      <c r="F569" s="2993">
        <v>0</v>
      </c>
      <c r="J569"/>
    </row>
    <row r="570" spans="1:10" ht="13" hidden="1">
      <c r="A570" s="2983">
        <v>12</v>
      </c>
      <c r="B570" s="2982" t="s">
        <v>5715</v>
      </c>
      <c r="C570" s="2982" t="s">
        <v>5727</v>
      </c>
      <c r="D570" s="2982">
        <v>1424583</v>
      </c>
      <c r="E570" s="2982" t="s">
        <v>6203</v>
      </c>
      <c r="F570" s="2993">
        <v>0</v>
      </c>
      <c r="J570"/>
    </row>
    <row r="571" spans="1:10" ht="13" hidden="1">
      <c r="A571" s="2983">
        <v>12</v>
      </c>
      <c r="B571" s="2982" t="s">
        <v>5715</v>
      </c>
      <c r="C571" s="2982" t="s">
        <v>5727</v>
      </c>
      <c r="D571" s="2982">
        <v>1424587</v>
      </c>
      <c r="E571" s="2982" t="s">
        <v>6204</v>
      </c>
      <c r="F571" s="2993">
        <v>0</v>
      </c>
      <c r="J571"/>
    </row>
    <row r="572" spans="1:10" ht="13" hidden="1">
      <c r="A572" s="2983">
        <v>12</v>
      </c>
      <c r="B572" s="2982" t="s">
        <v>5715</v>
      </c>
      <c r="C572" s="2982" t="s">
        <v>5727</v>
      </c>
      <c r="D572" s="2982">
        <v>1424588</v>
      </c>
      <c r="E572" s="2982" t="s">
        <v>6205</v>
      </c>
      <c r="F572" s="2993">
        <v>130.52607850000001</v>
      </c>
      <c r="J572"/>
    </row>
    <row r="573" spans="1:10" ht="13" hidden="1">
      <c r="A573" s="2983">
        <v>12</v>
      </c>
      <c r="B573" s="2982" t="s">
        <v>5715</v>
      </c>
      <c r="C573" s="2982" t="s">
        <v>5727</v>
      </c>
      <c r="D573" s="2982">
        <v>1424591</v>
      </c>
      <c r="E573" s="2982" t="s">
        <v>6206</v>
      </c>
      <c r="F573" s="2993">
        <v>2.6000000000000001E-6</v>
      </c>
      <c r="J573"/>
    </row>
    <row r="574" spans="1:10" ht="13" hidden="1">
      <c r="A574" s="2983">
        <v>12</v>
      </c>
      <c r="B574" s="2982" t="s">
        <v>5715</v>
      </c>
      <c r="C574" s="2982" t="s">
        <v>5727</v>
      </c>
      <c r="D574" s="2982">
        <v>1424593</v>
      </c>
      <c r="E574" s="2982"/>
      <c r="F574" s="2993">
        <v>2.1026506E-2</v>
      </c>
      <c r="J574"/>
    </row>
    <row r="575" spans="1:10" ht="13" hidden="1">
      <c r="A575" s="2983">
        <v>12</v>
      </c>
      <c r="B575" s="2982" t="s">
        <v>5715</v>
      </c>
      <c r="C575" s="2982" t="s">
        <v>5727</v>
      </c>
      <c r="D575" s="2982">
        <v>1424597</v>
      </c>
      <c r="E575" s="2982"/>
      <c r="F575" s="2993">
        <v>3.140519E-3</v>
      </c>
      <c r="J575"/>
    </row>
    <row r="576" spans="1:10" ht="13" hidden="1">
      <c r="A576" s="2983">
        <v>12</v>
      </c>
      <c r="B576" s="2982" t="s">
        <v>5715</v>
      </c>
      <c r="C576" s="2982" t="s">
        <v>5727</v>
      </c>
      <c r="D576" s="2982">
        <v>1424595</v>
      </c>
      <c r="E576" s="2982"/>
      <c r="F576" s="2993">
        <v>1.9869000000000002E-3</v>
      </c>
      <c r="J576"/>
    </row>
    <row r="577" spans="1:10" ht="13" hidden="1">
      <c r="A577" s="2983">
        <v>12</v>
      </c>
      <c r="B577" s="2982" t="s">
        <v>5715</v>
      </c>
      <c r="C577" s="2982" t="s">
        <v>5727</v>
      </c>
      <c r="D577" s="2982">
        <v>1424596</v>
      </c>
      <c r="E577" s="2982"/>
      <c r="F577" s="2993">
        <v>9.7819615999999998E-2</v>
      </c>
      <c r="J577"/>
    </row>
    <row r="578" spans="1:10" ht="13" hidden="1">
      <c r="A578" s="2983">
        <v>12</v>
      </c>
      <c r="B578" s="2982" t="s">
        <v>5715</v>
      </c>
      <c r="C578" s="2982" t="s">
        <v>5727</v>
      </c>
      <c r="D578" s="2982">
        <v>1424594</v>
      </c>
      <c r="E578" s="2982"/>
      <c r="F578" s="2993">
        <v>1.9098700000000001E-3</v>
      </c>
      <c r="J578"/>
    </row>
    <row r="579" spans="1:10" ht="13" hidden="1">
      <c r="A579" s="2983">
        <v>12</v>
      </c>
      <c r="B579" s="2982" t="s">
        <v>5715</v>
      </c>
      <c r="C579" s="2982" t="s">
        <v>5727</v>
      </c>
      <c r="D579" s="2982">
        <v>1424601</v>
      </c>
      <c r="E579" s="2982" t="s">
        <v>6207</v>
      </c>
      <c r="F579" s="2993">
        <v>-1.0466780000000001E-3</v>
      </c>
      <c r="J579"/>
    </row>
    <row r="580" spans="1:10" ht="13" hidden="1">
      <c r="A580" s="2983">
        <v>12</v>
      </c>
      <c r="B580" s="2982" t="s">
        <v>5715</v>
      </c>
      <c r="C580" s="2982" t="s">
        <v>5727</v>
      </c>
      <c r="D580" s="2982">
        <v>1424602</v>
      </c>
      <c r="E580" s="2982" t="s">
        <v>6208</v>
      </c>
      <c r="F580" s="2993">
        <v>-0.92101433200000005</v>
      </c>
      <c r="J580"/>
    </row>
    <row r="581" spans="1:10" ht="13" hidden="1">
      <c r="A581" s="2983">
        <v>12</v>
      </c>
      <c r="B581" s="2982" t="s">
        <v>5715</v>
      </c>
      <c r="C581" s="2982" t="s">
        <v>5727</v>
      </c>
      <c r="D581" s="2982">
        <v>1424603</v>
      </c>
      <c r="E581" s="2982" t="s">
        <v>6209</v>
      </c>
      <c r="F581" s="2993">
        <v>3.5527136788005009E-15</v>
      </c>
      <c r="J581"/>
    </row>
    <row r="582" spans="1:10" ht="13" hidden="1">
      <c r="A582" s="2983">
        <v>12</v>
      </c>
      <c r="B582" s="2982" t="s">
        <v>5715</v>
      </c>
      <c r="C582" s="2982" t="s">
        <v>5727</v>
      </c>
      <c r="D582" s="2982">
        <v>1424604</v>
      </c>
      <c r="E582" s="2982" t="s">
        <v>6210</v>
      </c>
      <c r="F582" s="2993">
        <v>-3.00000000000189E-4</v>
      </c>
      <c r="J582"/>
    </row>
    <row r="583" spans="1:10" ht="13" hidden="1">
      <c r="A583" s="2983">
        <v>12</v>
      </c>
      <c r="B583" s="2982" t="s">
        <v>5715</v>
      </c>
      <c r="C583" s="2982" t="s">
        <v>5727</v>
      </c>
      <c r="D583" s="2982">
        <v>1424607</v>
      </c>
      <c r="E583" s="2982" t="s">
        <v>6211</v>
      </c>
      <c r="F583" s="2993">
        <v>0</v>
      </c>
      <c r="J583"/>
    </row>
    <row r="584" spans="1:10" ht="13" hidden="1">
      <c r="A584" s="2983">
        <v>12</v>
      </c>
      <c r="B584" s="2982" t="s">
        <v>5715</v>
      </c>
      <c r="C584" s="2982" t="s">
        <v>5727</v>
      </c>
      <c r="D584" s="2982">
        <v>1424608</v>
      </c>
      <c r="E584" s="2982" t="s">
        <v>6212</v>
      </c>
      <c r="F584" s="2993">
        <v>-2.0017000000009944E-3</v>
      </c>
      <c r="J584"/>
    </row>
    <row r="585" spans="1:10" ht="13" hidden="1">
      <c r="A585" s="2983">
        <v>12</v>
      </c>
      <c r="B585" s="2982" t="s">
        <v>5715</v>
      </c>
      <c r="C585" s="2982" t="s">
        <v>5727</v>
      </c>
      <c r="D585" s="2982">
        <v>1424611</v>
      </c>
      <c r="E585" s="2982" t="s">
        <v>6213</v>
      </c>
      <c r="F585" s="2993">
        <v>0</v>
      </c>
      <c r="J585"/>
    </row>
    <row r="586" spans="1:10" ht="13" hidden="1">
      <c r="A586" s="2983">
        <v>12</v>
      </c>
      <c r="B586" s="2982" t="s">
        <v>5715</v>
      </c>
      <c r="C586" s="2982" t="s">
        <v>5727</v>
      </c>
      <c r="D586" s="2982">
        <v>1424612</v>
      </c>
      <c r="E586" s="2982" t="s">
        <v>6214</v>
      </c>
      <c r="F586" s="2993">
        <v>0</v>
      </c>
      <c r="J586"/>
    </row>
    <row r="587" spans="1:10" ht="13" hidden="1">
      <c r="A587" s="2983">
        <v>12</v>
      </c>
      <c r="B587" s="2982" t="s">
        <v>5715</v>
      </c>
      <c r="C587" s="2982" t="s">
        <v>5727</v>
      </c>
      <c r="D587" s="2982">
        <v>1424613</v>
      </c>
      <c r="E587" s="2982" t="s">
        <v>6215</v>
      </c>
      <c r="F587" s="2993">
        <v>-0.489812046</v>
      </c>
      <c r="J587"/>
    </row>
    <row r="588" spans="1:10" ht="13" hidden="1">
      <c r="A588" s="2983">
        <v>12</v>
      </c>
      <c r="B588" s="2982" t="s">
        <v>5715</v>
      </c>
      <c r="C588" s="2982" t="s">
        <v>5727</v>
      </c>
      <c r="D588" s="2982">
        <v>1424614</v>
      </c>
      <c r="E588" s="2982" t="s">
        <v>6216</v>
      </c>
      <c r="F588" s="2993">
        <v>0</v>
      </c>
      <c r="J588"/>
    </row>
    <row r="589" spans="1:10" ht="13" hidden="1">
      <c r="A589" s="2983">
        <v>12</v>
      </c>
      <c r="B589" s="2982" t="s">
        <v>5715</v>
      </c>
      <c r="C589" s="2982" t="s">
        <v>5727</v>
      </c>
      <c r="D589" s="2982">
        <v>1424615</v>
      </c>
      <c r="E589" s="2982" t="s">
        <v>6217</v>
      </c>
      <c r="F589" s="2993">
        <v>0</v>
      </c>
      <c r="J589"/>
    </row>
    <row r="590" spans="1:10" ht="13" hidden="1">
      <c r="A590" s="2983">
        <v>12</v>
      </c>
      <c r="B590" s="2982" t="s">
        <v>5715</v>
      </c>
      <c r="C590" s="2982" t="s">
        <v>5727</v>
      </c>
      <c r="D590" s="2982">
        <v>1424616</v>
      </c>
      <c r="E590" s="2982" t="s">
        <v>6218</v>
      </c>
      <c r="F590" s="2993">
        <v>0</v>
      </c>
      <c r="J590"/>
    </row>
    <row r="591" spans="1:10" ht="13" hidden="1">
      <c r="A591" s="2983">
        <v>12</v>
      </c>
      <c r="B591" s="2982" t="s">
        <v>5715</v>
      </c>
      <c r="C591" s="2982" t="s">
        <v>5727</v>
      </c>
      <c r="D591" s="2982">
        <v>1424617</v>
      </c>
      <c r="E591" s="2982" t="s">
        <v>6219</v>
      </c>
      <c r="F591" s="2993">
        <v>0</v>
      </c>
      <c r="J591"/>
    </row>
    <row r="592" spans="1:10" ht="13" hidden="1">
      <c r="A592" s="2983">
        <v>12</v>
      </c>
      <c r="B592" s="2982" t="s">
        <v>5715</v>
      </c>
      <c r="C592" s="2982" t="s">
        <v>5727</v>
      </c>
      <c r="D592" s="2982">
        <v>1424620</v>
      </c>
      <c r="E592" s="2982" t="s">
        <v>6220</v>
      </c>
      <c r="F592" s="2993">
        <v>0</v>
      </c>
      <c r="J592"/>
    </row>
    <row r="593" spans="1:10" ht="13" hidden="1">
      <c r="A593" s="2983">
        <v>12</v>
      </c>
      <c r="B593" s="2982" t="s">
        <v>5715</v>
      </c>
      <c r="C593" s="2982" t="s">
        <v>5727</v>
      </c>
      <c r="D593" s="2982">
        <v>1424621</v>
      </c>
      <c r="E593" s="2982" t="s">
        <v>6221</v>
      </c>
      <c r="F593" s="2993">
        <v>0</v>
      </c>
      <c r="J593"/>
    </row>
    <row r="594" spans="1:10" ht="13" hidden="1">
      <c r="A594" s="2983">
        <v>12</v>
      </c>
      <c r="B594" s="2982" t="s">
        <v>5715</v>
      </c>
      <c r="C594" s="2982" t="s">
        <v>5727</v>
      </c>
      <c r="D594" s="2982">
        <v>1424623</v>
      </c>
      <c r="E594" s="2982" t="s">
        <v>6222</v>
      </c>
      <c r="F594" s="2993">
        <v>0</v>
      </c>
      <c r="J594"/>
    </row>
    <row r="595" spans="1:10" ht="13" hidden="1">
      <c r="A595" s="2983">
        <v>12</v>
      </c>
      <c r="B595" s="2982" t="s">
        <v>5715</v>
      </c>
      <c r="C595" s="2982" t="s">
        <v>5727</v>
      </c>
      <c r="D595" s="2982">
        <v>1424624</v>
      </c>
      <c r="E595" s="2982" t="s">
        <v>6223</v>
      </c>
      <c r="F595" s="2993">
        <v>0</v>
      </c>
      <c r="J595"/>
    </row>
    <row r="596" spans="1:10" ht="13" hidden="1">
      <c r="A596" s="2983">
        <v>12</v>
      </c>
      <c r="B596" s="2982" t="s">
        <v>5715</v>
      </c>
      <c r="C596" s="2982" t="s">
        <v>5727</v>
      </c>
      <c r="D596" s="2982">
        <v>1424625</v>
      </c>
      <c r="E596" s="2982" t="s">
        <v>6224</v>
      </c>
      <c r="F596" s="2993">
        <v>0</v>
      </c>
      <c r="J596"/>
    </row>
    <row r="597" spans="1:10" ht="13" hidden="1">
      <c r="A597" s="2983">
        <v>12</v>
      </c>
      <c r="B597" s="2982" t="s">
        <v>5715</v>
      </c>
      <c r="C597" s="2982" t="s">
        <v>5727</v>
      </c>
      <c r="D597" s="2982">
        <v>1424626</v>
      </c>
      <c r="E597" s="2982" t="s">
        <v>6225</v>
      </c>
      <c r="F597" s="2993">
        <v>-5.8099999999505769E-5</v>
      </c>
      <c r="J597"/>
    </row>
    <row r="598" spans="1:10" ht="13" hidden="1">
      <c r="A598" s="2983">
        <v>12</v>
      </c>
      <c r="B598" s="2982" t="s">
        <v>5715</v>
      </c>
      <c r="C598" s="2982" t="s">
        <v>5727</v>
      </c>
      <c r="D598" s="2982">
        <v>1424627</v>
      </c>
      <c r="E598" s="2982" t="s">
        <v>6226</v>
      </c>
      <c r="F598" s="2993">
        <v>0</v>
      </c>
      <c r="J598"/>
    </row>
    <row r="599" spans="1:10" ht="13" hidden="1">
      <c r="A599" s="2983">
        <v>12</v>
      </c>
      <c r="B599" s="2982" t="s">
        <v>5715</v>
      </c>
      <c r="C599" s="2982" t="s">
        <v>5727</v>
      </c>
      <c r="D599" s="2982">
        <v>1424628</v>
      </c>
      <c r="E599" s="2982" t="s">
        <v>6227</v>
      </c>
      <c r="F599" s="2993">
        <v>-0.109729915</v>
      </c>
      <c r="J599"/>
    </row>
    <row r="600" spans="1:10" ht="13" hidden="1">
      <c r="A600" s="2983">
        <v>12</v>
      </c>
      <c r="B600" s="2982" t="s">
        <v>5715</v>
      </c>
      <c r="C600" s="2982" t="s">
        <v>5727</v>
      </c>
      <c r="D600" s="2982">
        <v>1424629</v>
      </c>
      <c r="E600" s="2982" t="s">
        <v>6228</v>
      </c>
      <c r="F600" s="2993">
        <v>-2.3329200000000001E-2</v>
      </c>
      <c r="J600"/>
    </row>
    <row r="601" spans="1:10" ht="13" hidden="1">
      <c r="A601" s="2983">
        <v>12</v>
      </c>
      <c r="B601" s="2982" t="s">
        <v>5715</v>
      </c>
      <c r="C601" s="2982" t="s">
        <v>5727</v>
      </c>
      <c r="D601" s="2982">
        <v>1424630</v>
      </c>
      <c r="E601" s="2982" t="s">
        <v>6229</v>
      </c>
      <c r="F601" s="2993">
        <v>0</v>
      </c>
      <c r="J601"/>
    </row>
    <row r="602" spans="1:10" ht="13" hidden="1">
      <c r="A602" s="2983">
        <v>12</v>
      </c>
      <c r="B602" s="2982" t="s">
        <v>5715</v>
      </c>
      <c r="C602" s="2982" t="s">
        <v>5727</v>
      </c>
      <c r="D602" s="2982">
        <v>1424633</v>
      </c>
      <c r="E602" s="2982" t="s">
        <v>6230</v>
      </c>
      <c r="F602" s="2993">
        <v>-15.165540751000002</v>
      </c>
      <c r="J602"/>
    </row>
    <row r="603" spans="1:10" ht="13" hidden="1">
      <c r="A603" s="2983">
        <v>12</v>
      </c>
      <c r="B603" s="2982" t="s">
        <v>5715</v>
      </c>
      <c r="C603" s="2982" t="s">
        <v>5727</v>
      </c>
      <c r="D603" s="2982">
        <v>1424634</v>
      </c>
      <c r="E603" s="2982" t="s">
        <v>6231</v>
      </c>
      <c r="F603" s="2993">
        <v>-1.6686903150000001</v>
      </c>
      <c r="J603"/>
    </row>
    <row r="604" spans="1:10" ht="13" hidden="1">
      <c r="A604" s="2983">
        <v>12</v>
      </c>
      <c r="B604" s="2982" t="s">
        <v>5715</v>
      </c>
      <c r="C604" s="2982" t="s">
        <v>5727</v>
      </c>
      <c r="D604" s="2982">
        <v>1424635</v>
      </c>
      <c r="E604" s="2982" t="s">
        <v>6232</v>
      </c>
      <c r="F604" s="2993">
        <v>0</v>
      </c>
      <c r="J604"/>
    </row>
    <row r="605" spans="1:10" ht="13" hidden="1">
      <c r="A605" s="2983">
        <v>12</v>
      </c>
      <c r="B605" s="2982" t="s">
        <v>5715</v>
      </c>
      <c r="C605" s="2982" t="s">
        <v>5727</v>
      </c>
      <c r="D605" s="2982">
        <v>1424636</v>
      </c>
      <c r="E605" s="2982" t="s">
        <v>6233</v>
      </c>
      <c r="F605" s="2993">
        <v>-0.94689117000000023</v>
      </c>
      <c r="J605"/>
    </row>
    <row r="606" spans="1:10" ht="13" hidden="1">
      <c r="A606" s="2983">
        <v>12</v>
      </c>
      <c r="B606" s="2982" t="s">
        <v>5715</v>
      </c>
      <c r="C606" s="2982" t="s">
        <v>5727</v>
      </c>
      <c r="D606" s="2982">
        <v>1424640</v>
      </c>
      <c r="E606" s="2982" t="s">
        <v>6234</v>
      </c>
      <c r="F606" s="2993">
        <v>-1.3215999999971473E-4</v>
      </c>
      <c r="J606"/>
    </row>
    <row r="607" spans="1:10" ht="13" hidden="1">
      <c r="A607" s="2983">
        <v>12</v>
      </c>
      <c r="B607" s="2982" t="s">
        <v>5715</v>
      </c>
      <c r="C607" s="2982" t="s">
        <v>5727</v>
      </c>
      <c r="D607" s="2982">
        <v>1424641</v>
      </c>
      <c r="E607" s="2982" t="s">
        <v>6235</v>
      </c>
      <c r="F607" s="2993">
        <v>-1.7700000003451066E-6</v>
      </c>
      <c r="J607"/>
    </row>
    <row r="608" spans="1:10" ht="13" hidden="1">
      <c r="A608" s="2983">
        <v>12</v>
      </c>
      <c r="B608" s="2982" t="s">
        <v>5715</v>
      </c>
      <c r="C608" s="2982" t="s">
        <v>5727</v>
      </c>
      <c r="D608" s="2982">
        <v>1424642</v>
      </c>
      <c r="E608" s="2982" t="s">
        <v>6236</v>
      </c>
      <c r="F608" s="2993">
        <v>-1.32018E-2</v>
      </c>
      <c r="J608"/>
    </row>
    <row r="609" spans="1:10" ht="13" hidden="1">
      <c r="A609" s="2983">
        <v>12</v>
      </c>
      <c r="B609" s="2982" t="s">
        <v>5715</v>
      </c>
      <c r="C609" s="2982" t="s">
        <v>5727</v>
      </c>
      <c r="D609" s="2982">
        <v>1424643</v>
      </c>
      <c r="E609" s="2982" t="s">
        <v>6237</v>
      </c>
      <c r="F609" s="2993">
        <v>-5.2923000000038023E-5</v>
      </c>
      <c r="J609"/>
    </row>
    <row r="610" spans="1:10" ht="13" hidden="1">
      <c r="A610" s="2983">
        <v>12</v>
      </c>
      <c r="B610" s="2982" t="s">
        <v>5715</v>
      </c>
      <c r="C610" s="2982" t="s">
        <v>5727</v>
      </c>
      <c r="D610" s="2982">
        <v>1424644</v>
      </c>
      <c r="E610" s="2982" t="s">
        <v>6238</v>
      </c>
      <c r="F610" s="2993">
        <v>0</v>
      </c>
      <c r="J610"/>
    </row>
    <row r="611" spans="1:10" ht="13" hidden="1">
      <c r="A611" s="2983">
        <v>12</v>
      </c>
      <c r="B611" s="2982" t="s">
        <v>5715</v>
      </c>
      <c r="C611" s="2982" t="s">
        <v>5727</v>
      </c>
      <c r="D611" s="2982">
        <v>1424645</v>
      </c>
      <c r="E611" s="2982" t="s">
        <v>6239</v>
      </c>
      <c r="F611" s="2993">
        <v>0</v>
      </c>
      <c r="J611"/>
    </row>
    <row r="612" spans="1:10" ht="13" hidden="1">
      <c r="A612" s="2983">
        <v>12</v>
      </c>
      <c r="B612" s="2982" t="s">
        <v>5715</v>
      </c>
      <c r="C612" s="2982" t="s">
        <v>5727</v>
      </c>
      <c r="D612" s="2982">
        <v>1424647</v>
      </c>
      <c r="E612" s="2982" t="s">
        <v>6240</v>
      </c>
      <c r="F612" s="2993">
        <v>1.4210854715202004E-14</v>
      </c>
      <c r="J612"/>
    </row>
    <row r="613" spans="1:10" ht="13" hidden="1">
      <c r="A613" s="2983">
        <v>12</v>
      </c>
      <c r="B613" s="2982" t="s">
        <v>5715</v>
      </c>
      <c r="C613" s="2982" t="s">
        <v>5727</v>
      </c>
      <c r="D613" s="2982">
        <v>1424651</v>
      </c>
      <c r="E613" s="2982" t="s">
        <v>6241</v>
      </c>
      <c r="F613" s="2993">
        <v>-2.2204460492503131E-16</v>
      </c>
      <c r="J613"/>
    </row>
    <row r="614" spans="1:10" ht="13" hidden="1">
      <c r="A614" s="2983">
        <v>12</v>
      </c>
      <c r="B614" s="2982" t="s">
        <v>5715</v>
      </c>
      <c r="C614" s="2982" t="s">
        <v>5727</v>
      </c>
      <c r="D614" s="2982">
        <v>1424652</v>
      </c>
      <c r="E614" s="2982" t="s">
        <v>6242</v>
      </c>
      <c r="F614" s="2993">
        <v>-1.3804100000000208E-2</v>
      </c>
      <c r="J614"/>
    </row>
    <row r="615" spans="1:10" ht="13" hidden="1">
      <c r="A615" s="2983">
        <v>12</v>
      </c>
      <c r="B615" s="2982" t="s">
        <v>5715</v>
      </c>
      <c r="C615" s="2982" t="s">
        <v>5727</v>
      </c>
      <c r="D615" s="2982">
        <v>1424653</v>
      </c>
      <c r="E615" s="2982" t="s">
        <v>6243</v>
      </c>
      <c r="F615" s="2993">
        <v>1.7763568394002505E-15</v>
      </c>
      <c r="J615"/>
    </row>
    <row r="616" spans="1:10" ht="13" hidden="1">
      <c r="A616" s="2983">
        <v>12</v>
      </c>
      <c r="B616" s="2982" t="s">
        <v>5715</v>
      </c>
      <c r="C616" s="2982" t="s">
        <v>5727</v>
      </c>
      <c r="D616" s="2982">
        <v>1424656</v>
      </c>
      <c r="E616" s="2982" t="s">
        <v>6244</v>
      </c>
      <c r="F616" s="2993">
        <v>-0.10774240000000002</v>
      </c>
      <c r="J616"/>
    </row>
    <row r="617" spans="1:10" ht="13" hidden="1">
      <c r="A617" s="2983">
        <v>12</v>
      </c>
      <c r="B617" s="2982" t="s">
        <v>5715</v>
      </c>
      <c r="C617" s="2982" t="s">
        <v>5727</v>
      </c>
      <c r="D617" s="2982">
        <v>1424657</v>
      </c>
      <c r="E617" s="2982" t="s">
        <v>6245</v>
      </c>
      <c r="F617" s="2993">
        <v>0</v>
      </c>
      <c r="J617"/>
    </row>
    <row r="618" spans="1:10" ht="13" hidden="1">
      <c r="A618" s="2983">
        <v>12</v>
      </c>
      <c r="B618" s="2982" t="s">
        <v>5715</v>
      </c>
      <c r="C618" s="2982" t="s">
        <v>5727</v>
      </c>
      <c r="D618" s="2982">
        <v>1424659</v>
      </c>
      <c r="E618" s="2982" t="s">
        <v>6246</v>
      </c>
      <c r="F618" s="2993">
        <v>4.4408920985006262E-16</v>
      </c>
      <c r="J618"/>
    </row>
    <row r="619" spans="1:10" ht="13" hidden="1">
      <c r="A619" s="2983">
        <v>12</v>
      </c>
      <c r="B619" s="2982" t="s">
        <v>5715</v>
      </c>
      <c r="C619" s="2982" t="s">
        <v>5727</v>
      </c>
      <c r="D619" s="2982">
        <v>1424663</v>
      </c>
      <c r="E619" s="2982" t="s">
        <v>6247</v>
      </c>
      <c r="F619" s="2993">
        <v>3.5527136788005009E-15</v>
      </c>
      <c r="J619"/>
    </row>
    <row r="620" spans="1:10" ht="13" hidden="1">
      <c r="A620" s="2983">
        <v>12</v>
      </c>
      <c r="B620" s="2982" t="s">
        <v>5715</v>
      </c>
      <c r="C620" s="2982" t="s">
        <v>5727</v>
      </c>
      <c r="D620" s="2982">
        <v>1424664</v>
      </c>
      <c r="E620" s="2982" t="s">
        <v>6248</v>
      </c>
      <c r="F620" s="2993">
        <v>2.7755575615628914E-17</v>
      </c>
      <c r="J620"/>
    </row>
    <row r="621" spans="1:10" ht="13" hidden="1">
      <c r="A621" s="2983">
        <v>12</v>
      </c>
      <c r="B621" s="2982" t="s">
        <v>5715</v>
      </c>
      <c r="C621" s="2982" t="s">
        <v>5727</v>
      </c>
      <c r="D621" s="2982">
        <v>1424665</v>
      </c>
      <c r="E621" s="2982" t="s">
        <v>6249</v>
      </c>
      <c r="F621" s="2993">
        <v>2.2204460492503131E-16</v>
      </c>
      <c r="J621"/>
    </row>
    <row r="622" spans="1:10" ht="13" hidden="1">
      <c r="A622" s="2983">
        <v>12</v>
      </c>
      <c r="B622" s="2982" t="s">
        <v>5715</v>
      </c>
      <c r="C622" s="2982" t="s">
        <v>5727</v>
      </c>
      <c r="D622" s="2982">
        <v>1424669</v>
      </c>
      <c r="E622" s="2982" t="s">
        <v>6250</v>
      </c>
      <c r="F622" s="2993">
        <v>0</v>
      </c>
      <c r="J622"/>
    </row>
    <row r="623" spans="1:10" ht="13" hidden="1">
      <c r="A623" s="2983">
        <v>12</v>
      </c>
      <c r="B623" s="2982" t="s">
        <v>5715</v>
      </c>
      <c r="C623" s="2982" t="s">
        <v>5727</v>
      </c>
      <c r="D623" s="2982">
        <v>1424670</v>
      </c>
      <c r="E623" s="2982" t="s">
        <v>6251</v>
      </c>
      <c r="F623" s="2993">
        <v>-1.4896937849950831E-16</v>
      </c>
      <c r="J623"/>
    </row>
    <row r="624" spans="1:10" ht="13" hidden="1">
      <c r="A624" s="2983">
        <v>12</v>
      </c>
      <c r="B624" s="2982" t="s">
        <v>5715</v>
      </c>
      <c r="C624" s="2982" t="s">
        <v>5727</v>
      </c>
      <c r="D624" s="2982">
        <v>1424671</v>
      </c>
      <c r="E624" s="2982" t="s">
        <v>6252</v>
      </c>
      <c r="F624" s="2993">
        <v>0</v>
      </c>
      <c r="J624"/>
    </row>
    <row r="625" spans="1:10" ht="13" hidden="1">
      <c r="A625" s="2983">
        <v>12</v>
      </c>
      <c r="B625" s="2982" t="s">
        <v>5715</v>
      </c>
      <c r="C625" s="2982" t="s">
        <v>5727</v>
      </c>
      <c r="D625" s="2982">
        <v>1424673</v>
      </c>
      <c r="E625" s="2982" t="s">
        <v>6253</v>
      </c>
      <c r="F625" s="2993">
        <v>-20.951090408999999</v>
      </c>
      <c r="J625"/>
    </row>
    <row r="626" spans="1:10" ht="13" hidden="1">
      <c r="A626" s="2983">
        <v>12</v>
      </c>
      <c r="B626" s="2982" t="s">
        <v>5715</v>
      </c>
      <c r="C626" s="2982" t="s">
        <v>5727</v>
      </c>
      <c r="D626" s="2982">
        <v>1424674</v>
      </c>
      <c r="E626" s="2982" t="s">
        <v>6254</v>
      </c>
      <c r="F626" s="2993">
        <v>-0.45437693000000001</v>
      </c>
      <c r="J626"/>
    </row>
    <row r="627" spans="1:10" ht="13" hidden="1">
      <c r="A627" s="2983">
        <v>12</v>
      </c>
      <c r="B627" s="2982" t="s">
        <v>5715</v>
      </c>
      <c r="C627" s="2982" t="s">
        <v>5727</v>
      </c>
      <c r="D627" s="2982">
        <v>1424676</v>
      </c>
      <c r="E627" s="2982" t="s">
        <v>6255</v>
      </c>
      <c r="F627" s="2993">
        <v>-7.5587659949999999</v>
      </c>
      <c r="J627"/>
    </row>
    <row r="628" spans="1:10" ht="13" hidden="1">
      <c r="A628" s="2983">
        <v>12</v>
      </c>
      <c r="B628" s="2982" t="s">
        <v>5715</v>
      </c>
      <c r="C628" s="2982" t="s">
        <v>5727</v>
      </c>
      <c r="D628" s="2982">
        <v>1424681</v>
      </c>
      <c r="E628" s="2982" t="s">
        <v>6256</v>
      </c>
      <c r="F628" s="2993">
        <v>0</v>
      </c>
      <c r="J628"/>
    </row>
    <row r="629" spans="1:10" ht="13" hidden="1">
      <c r="A629" s="2983">
        <v>12</v>
      </c>
      <c r="B629" s="2982" t="s">
        <v>5715</v>
      </c>
      <c r="C629" s="2982" t="s">
        <v>5727</v>
      </c>
      <c r="D629" s="2982">
        <v>1424682</v>
      </c>
      <c r="E629" s="2982" t="s">
        <v>6257</v>
      </c>
      <c r="F629" s="2993">
        <v>-1.1179750000000044E-2</v>
      </c>
      <c r="J629"/>
    </row>
    <row r="630" spans="1:10" ht="13" hidden="1">
      <c r="A630" s="2983">
        <v>12</v>
      </c>
      <c r="B630" s="2982" t="s">
        <v>5715</v>
      </c>
      <c r="C630" s="2982" t="s">
        <v>5727</v>
      </c>
      <c r="D630" s="2982">
        <v>1424687</v>
      </c>
      <c r="E630" s="2982" t="s">
        <v>6258</v>
      </c>
      <c r="F630" s="2993">
        <v>0</v>
      </c>
      <c r="J630"/>
    </row>
    <row r="631" spans="1:10" ht="13" hidden="1">
      <c r="A631" s="2983">
        <v>12</v>
      </c>
      <c r="B631" s="2982" t="s">
        <v>5715</v>
      </c>
      <c r="C631" s="2982" t="s">
        <v>5727</v>
      </c>
      <c r="D631" s="2982">
        <v>1424688</v>
      </c>
      <c r="E631" s="2982" t="s">
        <v>6259</v>
      </c>
      <c r="F631" s="2993">
        <v>-134.58946354900002</v>
      </c>
      <c r="J631"/>
    </row>
    <row r="632" spans="1:10" ht="13" hidden="1">
      <c r="A632" s="2983" t="s">
        <v>5802</v>
      </c>
      <c r="B632" s="2982" t="s">
        <v>5803</v>
      </c>
      <c r="C632" s="2982" t="s">
        <v>5804</v>
      </c>
      <c r="D632" s="2982">
        <v>2041114</v>
      </c>
      <c r="E632" s="2982" t="s">
        <v>6260</v>
      </c>
      <c r="F632" s="2993">
        <v>-111.975112857</v>
      </c>
      <c r="J632"/>
    </row>
    <row r="633" spans="1:10" ht="13" hidden="1">
      <c r="A633" s="2983" t="s">
        <v>5802</v>
      </c>
      <c r="B633" s="2982" t="s">
        <v>5803</v>
      </c>
      <c r="C633" s="2982" t="s">
        <v>5804</v>
      </c>
      <c r="D633" s="2982">
        <v>2041115</v>
      </c>
      <c r="E633" s="2982" t="s">
        <v>6261</v>
      </c>
      <c r="F633" s="2993">
        <v>-13.673636295000007</v>
      </c>
      <c r="J633"/>
    </row>
    <row r="634" spans="1:10" ht="13" hidden="1">
      <c r="A634" s="2983" t="s">
        <v>5802</v>
      </c>
      <c r="B634" s="2982" t="s">
        <v>5803</v>
      </c>
      <c r="C634" s="2982" t="s">
        <v>5804</v>
      </c>
      <c r="D634" s="2982">
        <v>2041116</v>
      </c>
      <c r="E634" s="2982" t="s">
        <v>6262</v>
      </c>
      <c r="F634" s="2993">
        <v>0</v>
      </c>
      <c r="J634"/>
    </row>
    <row r="635" spans="1:10" ht="13" hidden="1">
      <c r="A635" s="2983">
        <v>118</v>
      </c>
      <c r="B635" s="2982" t="s">
        <v>5792</v>
      </c>
      <c r="C635" s="2982" t="s">
        <v>5793</v>
      </c>
      <c r="D635" s="2982">
        <v>2042101</v>
      </c>
      <c r="E635" s="2982" t="s">
        <v>6263</v>
      </c>
      <c r="F635" s="2993">
        <v>-21.330049272</v>
      </c>
      <c r="J635"/>
    </row>
    <row r="636" spans="1:10" ht="13" hidden="1">
      <c r="A636" s="2983" t="s">
        <v>5802</v>
      </c>
      <c r="B636" s="2982" t="s">
        <v>5803</v>
      </c>
      <c r="C636" s="2982" t="s">
        <v>8173</v>
      </c>
      <c r="D636" s="2982">
        <v>2042103</v>
      </c>
      <c r="E636" s="2982" t="s">
        <v>6264</v>
      </c>
      <c r="F636" s="2993">
        <v>-2.4581973079999999</v>
      </c>
      <c r="J636"/>
    </row>
    <row r="637" spans="1:10" ht="13" hidden="1">
      <c r="A637" s="2983" t="s">
        <v>5802</v>
      </c>
      <c r="B637" s="2982" t="s">
        <v>5803</v>
      </c>
      <c r="C637" s="2982" t="s">
        <v>8173</v>
      </c>
      <c r="D637" s="2982">
        <v>2042104</v>
      </c>
      <c r="E637" s="2982" t="s">
        <v>6265</v>
      </c>
      <c r="F637" s="2993">
        <v>-2.4601990309999997</v>
      </c>
      <c r="J637"/>
    </row>
    <row r="638" spans="1:10" ht="13" hidden="1">
      <c r="A638" s="2983" t="s">
        <v>6350</v>
      </c>
      <c r="B638" s="2982" t="s">
        <v>5792</v>
      </c>
      <c r="C638" s="2982" t="s">
        <v>5793</v>
      </c>
      <c r="D638" s="2982">
        <v>2042105</v>
      </c>
      <c r="E638" s="2982" t="s">
        <v>6266</v>
      </c>
      <c r="F638" s="2993">
        <v>-99.89784399700001</v>
      </c>
      <c r="J638"/>
    </row>
    <row r="639" spans="1:10" ht="13" hidden="1">
      <c r="A639" s="2983" t="s">
        <v>6350</v>
      </c>
      <c r="B639" s="2982" t="s">
        <v>5792</v>
      </c>
      <c r="C639" s="2982" t="s">
        <v>5793</v>
      </c>
      <c r="D639" s="2982">
        <v>2042201</v>
      </c>
      <c r="E639" s="2982" t="s">
        <v>6267</v>
      </c>
      <c r="F639" s="2993">
        <v>83.581186930000001</v>
      </c>
      <c r="J639"/>
    </row>
    <row r="640" spans="1:10" ht="13" hidden="1">
      <c r="A640" s="2983" t="s">
        <v>5802</v>
      </c>
      <c r="B640" s="2982" t="s">
        <v>5803</v>
      </c>
      <c r="C640" s="2982" t="s">
        <v>8173</v>
      </c>
      <c r="D640" s="2982">
        <v>2042203</v>
      </c>
      <c r="E640" s="2982" t="s">
        <v>6268</v>
      </c>
      <c r="F640" s="2993">
        <v>-1.4807823050000002</v>
      </c>
      <c r="J640"/>
    </row>
    <row r="641" spans="1:10" ht="13" hidden="1">
      <c r="A641" s="2983" t="s">
        <v>5802</v>
      </c>
      <c r="B641" s="2982" t="s">
        <v>5803</v>
      </c>
      <c r="C641" s="2982" t="s">
        <v>8173</v>
      </c>
      <c r="D641" s="2982">
        <v>2042214</v>
      </c>
      <c r="E641" s="2982" t="s">
        <v>6269</v>
      </c>
      <c r="F641" s="2993">
        <v>8.9367999999999982E-3</v>
      </c>
      <c r="J641"/>
    </row>
    <row r="642" spans="1:10" ht="13" hidden="1">
      <c r="A642" s="2983">
        <v>118</v>
      </c>
      <c r="B642" s="2982" t="s">
        <v>5792</v>
      </c>
      <c r="C642" s="2982" t="s">
        <v>5793</v>
      </c>
      <c r="D642" s="2982">
        <v>2042401</v>
      </c>
      <c r="E642" s="2982" t="s">
        <v>6270</v>
      </c>
      <c r="F642" s="2993">
        <v>0.56212347000000007</v>
      </c>
      <c r="J642"/>
    </row>
    <row r="643" spans="1:10" ht="13" hidden="1">
      <c r="A643" s="2983">
        <v>118</v>
      </c>
      <c r="B643" s="2982" t="s">
        <v>5792</v>
      </c>
      <c r="C643" s="2982" t="s">
        <v>5793</v>
      </c>
      <c r="D643" s="2982">
        <v>2042501</v>
      </c>
      <c r="E643" s="2982" t="s">
        <v>6271</v>
      </c>
      <c r="F643" s="2993">
        <v>-6.0621352000000002</v>
      </c>
      <c r="J643"/>
    </row>
    <row r="644" spans="1:10" ht="13" hidden="1">
      <c r="A644" s="2983">
        <v>118</v>
      </c>
      <c r="B644" s="2982" t="s">
        <v>5792</v>
      </c>
      <c r="C644" s="2982" t="s">
        <v>5793</v>
      </c>
      <c r="D644" s="2982">
        <v>2042502</v>
      </c>
      <c r="E644" s="2982" t="s">
        <v>6272</v>
      </c>
      <c r="F644" s="2993">
        <v>6.7494859999999999E-3</v>
      </c>
      <c r="J644"/>
    </row>
    <row r="645" spans="1:10" ht="13" hidden="1">
      <c r="A645" s="2983" t="s">
        <v>5802</v>
      </c>
      <c r="B645" s="2982" t="s">
        <v>5803</v>
      </c>
      <c r="C645" s="2982" t="s">
        <v>8173</v>
      </c>
      <c r="D645" s="2982">
        <v>2042601</v>
      </c>
      <c r="E645" s="2982" t="s">
        <v>6273</v>
      </c>
      <c r="F645" s="2993">
        <v>-18.886666482999981</v>
      </c>
      <c r="J645"/>
    </row>
    <row r="646" spans="1:10" ht="13" hidden="1">
      <c r="A646" s="2983" t="s">
        <v>5802</v>
      </c>
      <c r="B646" s="2982" t="s">
        <v>5803</v>
      </c>
      <c r="C646" s="2982" t="s">
        <v>5804</v>
      </c>
      <c r="D646" s="2982">
        <v>2043110</v>
      </c>
      <c r="E646" s="2982" t="s">
        <v>6274</v>
      </c>
      <c r="F646" s="2993">
        <v>-1.6342482</v>
      </c>
      <c r="J646"/>
    </row>
    <row r="647" spans="1:10" ht="13" hidden="1">
      <c r="A647" s="2983" t="s">
        <v>5802</v>
      </c>
      <c r="B647" s="2982" t="s">
        <v>5803</v>
      </c>
      <c r="C647" s="2982" t="s">
        <v>8173</v>
      </c>
      <c r="D647" s="2982">
        <v>2043117</v>
      </c>
      <c r="E647" s="2982" t="s">
        <v>6275</v>
      </c>
      <c r="F647" s="2993">
        <v>-2.7395724909999997</v>
      </c>
      <c r="J647"/>
    </row>
    <row r="648" spans="1:10" ht="13" hidden="1">
      <c r="A648" s="2983" t="s">
        <v>5802</v>
      </c>
      <c r="B648" s="2982" t="s">
        <v>5803</v>
      </c>
      <c r="C648" s="2982" t="s">
        <v>8173</v>
      </c>
      <c r="D648" s="2982">
        <v>2043118</v>
      </c>
      <c r="E648" s="2982" t="s">
        <v>6276</v>
      </c>
      <c r="F648" s="2993">
        <v>-5.9224123999999996E-2</v>
      </c>
      <c r="J648"/>
    </row>
    <row r="649" spans="1:10" ht="13" hidden="1">
      <c r="A649" s="2983" t="s">
        <v>5802</v>
      </c>
      <c r="B649" s="2982" t="s">
        <v>5803</v>
      </c>
      <c r="C649" s="2982" t="s">
        <v>8173</v>
      </c>
      <c r="D649" s="2982">
        <v>2043122</v>
      </c>
      <c r="E649" s="2982" t="s">
        <v>6277</v>
      </c>
      <c r="F649" s="2993">
        <v>-1.40175E-2</v>
      </c>
      <c r="J649"/>
    </row>
    <row r="650" spans="1:10" ht="13" hidden="1">
      <c r="A650" s="2983" t="s">
        <v>5802</v>
      </c>
      <c r="B650" s="2982" t="s">
        <v>5803</v>
      </c>
      <c r="C650" s="2982" t="s">
        <v>5804</v>
      </c>
      <c r="D650" s="2982">
        <v>2043210</v>
      </c>
      <c r="E650" s="2982" t="s">
        <v>6278</v>
      </c>
      <c r="F650" s="2993">
        <v>-3.5887663999999999</v>
      </c>
      <c r="J650"/>
    </row>
    <row r="651" spans="1:10" ht="13" hidden="1">
      <c r="A651" s="2983" t="s">
        <v>5802</v>
      </c>
      <c r="B651" s="2982" t="s">
        <v>5803</v>
      </c>
      <c r="C651" s="2982" t="s">
        <v>5804</v>
      </c>
      <c r="D651" s="2982">
        <v>2043212</v>
      </c>
      <c r="E651" s="2982" t="s">
        <v>6279</v>
      </c>
      <c r="F651" s="2993">
        <v>-0.2420456</v>
      </c>
      <c r="J651"/>
    </row>
    <row r="652" spans="1:10" ht="13" hidden="1">
      <c r="A652" s="2983" t="s">
        <v>5802</v>
      </c>
      <c r="B652" s="2982" t="s">
        <v>5803</v>
      </c>
      <c r="C652" s="2982" t="s">
        <v>5804</v>
      </c>
      <c r="D652" s="2982">
        <v>2043213</v>
      </c>
      <c r="E652" s="2982" t="s">
        <v>6280</v>
      </c>
      <c r="F652" s="2993">
        <v>-5.7127000000000002E-3</v>
      </c>
      <c r="J652"/>
    </row>
    <row r="653" spans="1:10" ht="13" hidden="1">
      <c r="A653" s="2983" t="s">
        <v>5802</v>
      </c>
      <c r="B653" s="2982" t="s">
        <v>5803</v>
      </c>
      <c r="C653" s="2982" t="s">
        <v>5804</v>
      </c>
      <c r="D653" s="2982">
        <v>2043215</v>
      </c>
      <c r="E653" s="2982" t="s">
        <v>6281</v>
      </c>
      <c r="F653" s="2993">
        <v>3.2000000000000002E-3</v>
      </c>
      <c r="J653"/>
    </row>
    <row r="654" spans="1:10" ht="13" hidden="1">
      <c r="A654" s="2983" t="s">
        <v>5802</v>
      </c>
      <c r="B654" s="2982" t="s">
        <v>5803</v>
      </c>
      <c r="C654" s="2982" t="s">
        <v>8173</v>
      </c>
      <c r="D654" s="2982">
        <v>2043217</v>
      </c>
      <c r="E654" s="2982" t="s">
        <v>6282</v>
      </c>
      <c r="F654" s="2993">
        <v>-0.12909564800000001</v>
      </c>
      <c r="J654"/>
    </row>
    <row r="655" spans="1:10" ht="13" hidden="1">
      <c r="A655" s="2983" t="s">
        <v>5802</v>
      </c>
      <c r="B655" s="2982" t="s">
        <v>5803</v>
      </c>
      <c r="C655" s="2982" t="s">
        <v>8173</v>
      </c>
      <c r="D655" s="2982">
        <v>2043218</v>
      </c>
      <c r="E655" s="2982" t="s">
        <v>6283</v>
      </c>
      <c r="F655" s="2993">
        <v>1.476299493</v>
      </c>
      <c r="J655"/>
    </row>
    <row r="656" spans="1:10" ht="13" hidden="1">
      <c r="A656" s="2983" t="s">
        <v>5802</v>
      </c>
      <c r="B656" s="2982" t="s">
        <v>5803</v>
      </c>
      <c r="C656" s="2982" t="s">
        <v>8173</v>
      </c>
      <c r="D656" s="2982">
        <v>2043219</v>
      </c>
      <c r="E656" s="2982" t="s">
        <v>6284</v>
      </c>
      <c r="F656" s="2993">
        <v>-7.473E-4</v>
      </c>
      <c r="J656"/>
    </row>
    <row r="657" spans="1:10" ht="13" hidden="1">
      <c r="A657" s="2983" t="s">
        <v>5802</v>
      </c>
      <c r="B657" s="2982" t="s">
        <v>5803</v>
      </c>
      <c r="C657" s="2982" t="s">
        <v>8173</v>
      </c>
      <c r="D657" s="2982">
        <v>2043220</v>
      </c>
      <c r="E657" s="2982" t="s">
        <v>6285</v>
      </c>
      <c r="F657" s="2993">
        <v>-9.6089000000000001E-3</v>
      </c>
      <c r="J657"/>
    </row>
    <row r="658" spans="1:10" ht="13" hidden="1">
      <c r="A658" s="2983" t="s">
        <v>5802</v>
      </c>
      <c r="B658" s="2982" t="s">
        <v>5803</v>
      </c>
      <c r="C658" s="2982" t="s">
        <v>5804</v>
      </c>
      <c r="D658" s="2982">
        <v>2043310</v>
      </c>
      <c r="E658" s="2982" t="s">
        <v>6286</v>
      </c>
      <c r="F658" s="2993">
        <v>-0.135209569</v>
      </c>
      <c r="J658"/>
    </row>
    <row r="659" spans="1:10" ht="13" hidden="1">
      <c r="A659" s="2983" t="s">
        <v>5802</v>
      </c>
      <c r="B659" s="2982" t="s">
        <v>5803</v>
      </c>
      <c r="C659" s="2982" t="s">
        <v>5804</v>
      </c>
      <c r="D659" s="2982">
        <v>2043410</v>
      </c>
      <c r="E659" s="2982" t="s">
        <v>6287</v>
      </c>
      <c r="F659" s="2993">
        <v>-3.7973999999999998E-3</v>
      </c>
      <c r="J659"/>
    </row>
    <row r="660" spans="1:10" ht="13" hidden="1">
      <c r="A660" s="2983" t="s">
        <v>5802</v>
      </c>
      <c r="B660" s="2982" t="s">
        <v>5803</v>
      </c>
      <c r="C660" s="2982" t="s">
        <v>8173</v>
      </c>
      <c r="D660" s="2982">
        <v>2043510</v>
      </c>
      <c r="E660" s="2982" t="s">
        <v>6288</v>
      </c>
      <c r="F660" s="2993">
        <v>-27.96002823900001</v>
      </c>
      <c r="J660"/>
    </row>
    <row r="661" spans="1:10" ht="13" hidden="1">
      <c r="A661" s="2983" t="s">
        <v>5802</v>
      </c>
      <c r="B661" s="2982" t="s">
        <v>5803</v>
      </c>
      <c r="C661" s="2982" t="s">
        <v>5804</v>
      </c>
      <c r="D661" s="2982">
        <v>2043511</v>
      </c>
      <c r="E661" s="2982" t="s">
        <v>6289</v>
      </c>
      <c r="F661" s="2993">
        <v>-5.1217499999999999E-2</v>
      </c>
      <c r="J661"/>
    </row>
    <row r="662" spans="1:10" ht="13" hidden="1">
      <c r="A662" s="2983" t="s">
        <v>6290</v>
      </c>
      <c r="B662" s="2982" t="s">
        <v>5803</v>
      </c>
      <c r="C662" s="2982" t="s">
        <v>6291</v>
      </c>
      <c r="D662" s="2982">
        <v>2043610</v>
      </c>
      <c r="E662" s="2982" t="s">
        <v>6292</v>
      </c>
      <c r="F662" s="2993">
        <v>-9.1226982950000028</v>
      </c>
      <c r="J662"/>
    </row>
    <row r="663" spans="1:10" ht="13" hidden="1">
      <c r="A663" s="2983" t="s">
        <v>6293</v>
      </c>
      <c r="B663" s="2982" t="s">
        <v>6294</v>
      </c>
      <c r="C663" s="2982" t="s">
        <v>6295</v>
      </c>
      <c r="D663" s="2982">
        <v>2044110</v>
      </c>
      <c r="E663" s="2982" t="s">
        <v>6296</v>
      </c>
      <c r="F663" s="2993">
        <v>-45.783398783000003</v>
      </c>
      <c r="J663"/>
    </row>
    <row r="664" spans="1:10" ht="13" hidden="1">
      <c r="A664" s="2983" t="s">
        <v>6293</v>
      </c>
      <c r="B664" s="2982" t="s">
        <v>6294</v>
      </c>
      <c r="C664" s="2982" t="s">
        <v>6295</v>
      </c>
      <c r="D664" s="2982">
        <v>2044115</v>
      </c>
      <c r="E664" s="2982" t="s">
        <v>6297</v>
      </c>
      <c r="F664" s="2993">
        <v>-210.821997044</v>
      </c>
      <c r="J664"/>
    </row>
    <row r="665" spans="1:10" ht="13" hidden="1">
      <c r="A665" s="2983">
        <v>31</v>
      </c>
      <c r="B665" s="2982" t="s">
        <v>6294</v>
      </c>
      <c r="C665" s="2982" t="s">
        <v>6295</v>
      </c>
      <c r="D665" s="2982">
        <v>2044120</v>
      </c>
      <c r="E665" s="2982" t="s">
        <v>6300</v>
      </c>
      <c r="F665" s="2993">
        <v>1.5927024000000001</v>
      </c>
      <c r="J665"/>
    </row>
    <row r="666" spans="1:10" ht="13" hidden="1">
      <c r="A666" s="2983" t="s">
        <v>6293</v>
      </c>
      <c r="B666" s="2982" t="s">
        <v>6294</v>
      </c>
      <c r="C666" s="2982" t="s">
        <v>6295</v>
      </c>
      <c r="D666" s="2982">
        <v>2044125</v>
      </c>
      <c r="E666" s="2982" t="s">
        <v>6301</v>
      </c>
      <c r="F666" s="2993">
        <v>-20.643567699999998</v>
      </c>
      <c r="J666"/>
    </row>
    <row r="667" spans="1:10" ht="13" hidden="1">
      <c r="A667" s="2983" t="s">
        <v>6293</v>
      </c>
      <c r="B667" s="2982" t="s">
        <v>6294</v>
      </c>
      <c r="C667" s="2982" t="s">
        <v>6295</v>
      </c>
      <c r="D667" s="2982">
        <v>2044126</v>
      </c>
      <c r="E667" s="2982" t="s">
        <v>6302</v>
      </c>
      <c r="F667" s="2993">
        <v>-7.1470470820000003</v>
      </c>
      <c r="J667"/>
    </row>
    <row r="668" spans="1:10" ht="13" hidden="1">
      <c r="A668" s="2983" t="s">
        <v>6293</v>
      </c>
      <c r="B668" s="2982" t="s">
        <v>6294</v>
      </c>
      <c r="C668" s="2982" t="s">
        <v>6295</v>
      </c>
      <c r="D668" s="2982">
        <v>2044127</v>
      </c>
      <c r="E668" s="2982" t="s">
        <v>6303</v>
      </c>
      <c r="F668" s="2993">
        <v>-3.7619785110000001</v>
      </c>
      <c r="J668"/>
    </row>
    <row r="669" spans="1:10" ht="13" hidden="1">
      <c r="A669" s="2983" t="s">
        <v>6293</v>
      </c>
      <c r="B669" s="2982" t="s">
        <v>6294</v>
      </c>
      <c r="C669" s="2982" t="s">
        <v>6295</v>
      </c>
      <c r="D669" s="2982">
        <v>2044128</v>
      </c>
      <c r="E669" s="2982" t="s">
        <v>6304</v>
      </c>
      <c r="F669" s="2993">
        <v>-1.7342407419999999</v>
      </c>
      <c r="J669"/>
    </row>
    <row r="670" spans="1:10" ht="13" hidden="1">
      <c r="A670" s="2983">
        <v>28</v>
      </c>
      <c r="B670" s="2982" t="s">
        <v>6294</v>
      </c>
      <c r="C670" s="2982" t="s">
        <v>6295</v>
      </c>
      <c r="D670" s="2982">
        <v>2044130</v>
      </c>
      <c r="E670" s="2982" t="s">
        <v>1926</v>
      </c>
      <c r="F670" s="2993">
        <v>-0.88339500299999996</v>
      </c>
      <c r="J670"/>
    </row>
    <row r="671" spans="1:10" ht="13" hidden="1">
      <c r="A671" s="2983">
        <v>28</v>
      </c>
      <c r="B671" s="2982" t="s">
        <v>6294</v>
      </c>
      <c r="C671" s="2982" t="s">
        <v>6295</v>
      </c>
      <c r="D671" s="2982">
        <v>2044135</v>
      </c>
      <c r="E671" s="2982" t="s">
        <v>6305</v>
      </c>
      <c r="F671" s="2993">
        <v>-32.350132160000001</v>
      </c>
      <c r="J671"/>
    </row>
    <row r="672" spans="1:10" ht="13" hidden="1">
      <c r="A672" s="2983">
        <v>28</v>
      </c>
      <c r="B672" s="2982" t="s">
        <v>5792</v>
      </c>
      <c r="C672" s="2982" t="s">
        <v>6311</v>
      </c>
      <c r="D672" s="2982">
        <v>2044137</v>
      </c>
      <c r="E672" s="2982" t="s">
        <v>6306</v>
      </c>
      <c r="F672" s="2993">
        <v>-1.1506473150000005</v>
      </c>
      <c r="J672"/>
    </row>
    <row r="673" spans="1:10" ht="13" hidden="1">
      <c r="A673" s="2983">
        <v>28</v>
      </c>
      <c r="B673" s="2982" t="s">
        <v>5792</v>
      </c>
      <c r="C673" s="2982" t="s">
        <v>6311</v>
      </c>
      <c r="D673" s="2982">
        <v>2044138</v>
      </c>
      <c r="E673" s="2982" t="s">
        <v>6307</v>
      </c>
      <c r="F673" s="2993">
        <v>-0.19755958500000048</v>
      </c>
      <c r="J673"/>
    </row>
    <row r="674" spans="1:10" ht="13" hidden="1">
      <c r="A674" s="2983">
        <v>10</v>
      </c>
      <c r="B674" s="2982" t="s">
        <v>5656</v>
      </c>
      <c r="C674" s="2982" t="s">
        <v>5657</v>
      </c>
      <c r="D674" s="2982">
        <v>2044146</v>
      </c>
      <c r="E674" s="2982" t="s">
        <v>6308</v>
      </c>
      <c r="F674" s="2993">
        <v>-0.12710189999999999</v>
      </c>
      <c r="J674"/>
    </row>
    <row r="675" spans="1:10" ht="13" hidden="1">
      <c r="A675" s="2983" t="s">
        <v>6309</v>
      </c>
      <c r="B675" s="2982" t="s">
        <v>6294</v>
      </c>
      <c r="C675" s="2982" t="s">
        <v>6295</v>
      </c>
      <c r="D675" s="2982">
        <v>2044150</v>
      </c>
      <c r="E675" s="2982" t="s">
        <v>6310</v>
      </c>
      <c r="F675" s="2993">
        <v>-1.530393983</v>
      </c>
      <c r="J675"/>
    </row>
    <row r="676" spans="1:10" ht="13" hidden="1">
      <c r="A676" s="2983">
        <v>28</v>
      </c>
      <c r="B676" s="2982" t="s">
        <v>5792</v>
      </c>
      <c r="C676" s="2982" t="s">
        <v>6311</v>
      </c>
      <c r="D676" s="2982">
        <v>2044210</v>
      </c>
      <c r="E676" s="2982" t="s">
        <v>6312</v>
      </c>
      <c r="F676" s="2993">
        <v>-1.7369999999999999E-4</v>
      </c>
      <c r="J676"/>
    </row>
    <row r="677" spans="1:10" ht="13" hidden="1">
      <c r="A677" s="2983">
        <v>31</v>
      </c>
      <c r="B677" s="2982" t="s">
        <v>5792</v>
      </c>
      <c r="C677" s="2982" t="s">
        <v>5793</v>
      </c>
      <c r="D677" s="2982">
        <v>2044230</v>
      </c>
      <c r="E677" s="2982" t="s">
        <v>6313</v>
      </c>
      <c r="F677" s="2993">
        <v>-6.5167379999999994E-3</v>
      </c>
      <c r="J677"/>
    </row>
    <row r="678" spans="1:10" ht="13" hidden="1">
      <c r="A678" s="2983">
        <v>28</v>
      </c>
      <c r="B678" s="2982" t="s">
        <v>5792</v>
      </c>
      <c r="C678" s="2982" t="s">
        <v>6311</v>
      </c>
      <c r="D678" s="2982">
        <v>2044310</v>
      </c>
      <c r="E678" s="2982" t="s">
        <v>6314</v>
      </c>
      <c r="F678" s="2993">
        <v>-4.6433672460000155</v>
      </c>
      <c r="J678"/>
    </row>
    <row r="679" spans="1:10" ht="13" hidden="1">
      <c r="A679" s="2983">
        <v>28</v>
      </c>
      <c r="B679" s="2982" t="s">
        <v>5792</v>
      </c>
      <c r="C679" s="2982" t="s">
        <v>6311</v>
      </c>
      <c r="D679" s="2982">
        <v>2044320</v>
      </c>
      <c r="E679" s="2982" t="s">
        <v>6315</v>
      </c>
      <c r="F679" s="2993">
        <v>0</v>
      </c>
      <c r="J679"/>
    </row>
    <row r="680" spans="1:10" ht="13" hidden="1">
      <c r="A680" s="2983">
        <v>31</v>
      </c>
      <c r="B680" s="2982" t="s">
        <v>5792</v>
      </c>
      <c r="C680" s="2982" t="s">
        <v>6311</v>
      </c>
      <c r="D680" s="2982">
        <v>2044330</v>
      </c>
      <c r="E680" s="2982" t="s">
        <v>1938</v>
      </c>
      <c r="F680" s="2993">
        <v>-0.10153491899999999</v>
      </c>
      <c r="J680"/>
    </row>
    <row r="681" spans="1:10" ht="13" hidden="1">
      <c r="A681" s="2983">
        <v>31</v>
      </c>
      <c r="B681" s="2982" t="s">
        <v>5792</v>
      </c>
      <c r="C681" s="2982" t="s">
        <v>6311</v>
      </c>
      <c r="D681" s="2982">
        <v>2044340</v>
      </c>
      <c r="E681" s="2982" t="s">
        <v>6316</v>
      </c>
      <c r="F681" s="2993">
        <v>-0.56517379000000001</v>
      </c>
      <c r="J681"/>
    </row>
    <row r="682" spans="1:10" ht="13" hidden="1">
      <c r="A682" s="2983">
        <v>28</v>
      </c>
      <c r="B682" s="2982" t="s">
        <v>5792</v>
      </c>
      <c r="C682" s="2982" t="s">
        <v>6311</v>
      </c>
      <c r="D682" s="2982">
        <v>2044350</v>
      </c>
      <c r="E682" s="2982" t="s">
        <v>6317</v>
      </c>
      <c r="F682" s="2993">
        <v>-0.31070788799999999</v>
      </c>
      <c r="J682"/>
    </row>
    <row r="683" spans="1:10" ht="13" hidden="1">
      <c r="A683" s="2983">
        <v>28</v>
      </c>
      <c r="B683" s="2982" t="s">
        <v>5792</v>
      </c>
      <c r="C683" s="2982" t="s">
        <v>6311</v>
      </c>
      <c r="D683" s="2982">
        <v>2044407</v>
      </c>
      <c r="E683" s="2982" t="s">
        <v>6318</v>
      </c>
      <c r="F683" s="2993">
        <v>-3.1429996999999994E-2</v>
      </c>
      <c r="J683"/>
    </row>
    <row r="684" spans="1:10" ht="13" hidden="1">
      <c r="A684" s="2983">
        <v>28</v>
      </c>
      <c r="B684" s="2982" t="s">
        <v>5792</v>
      </c>
      <c r="C684" s="2982" t="s">
        <v>6311</v>
      </c>
      <c r="D684" s="2982">
        <v>2044408</v>
      </c>
      <c r="E684" s="2982" t="s">
        <v>6319</v>
      </c>
      <c r="F684" s="2993">
        <v>-4.2460000000000002E-4</v>
      </c>
      <c r="J684"/>
    </row>
    <row r="685" spans="1:10" ht="13" hidden="1">
      <c r="A685" s="2983">
        <v>28</v>
      </c>
      <c r="B685" s="2982" t="s">
        <v>5792</v>
      </c>
      <c r="C685" s="2982" t="s">
        <v>6311</v>
      </c>
      <c r="D685" s="2982">
        <v>2044431</v>
      </c>
      <c r="E685" s="2982" t="s">
        <v>6320</v>
      </c>
      <c r="F685" s="2993">
        <v>-8.2667599999999997E-3</v>
      </c>
      <c r="J685"/>
    </row>
    <row r="686" spans="1:10" ht="13" hidden="1">
      <c r="A686" s="2983">
        <v>28</v>
      </c>
      <c r="B686" s="2982" t="s">
        <v>5792</v>
      </c>
      <c r="C686" s="2982" t="s">
        <v>6311</v>
      </c>
      <c r="D686" s="2982">
        <v>2044445</v>
      </c>
      <c r="E686" s="2982" t="s">
        <v>6321</v>
      </c>
      <c r="F686" s="2993">
        <v>-9.3343995999999999E-2</v>
      </c>
      <c r="J686"/>
    </row>
    <row r="687" spans="1:10" ht="13" hidden="1">
      <c r="A687" s="2983">
        <v>32</v>
      </c>
      <c r="B687" s="2982" t="s">
        <v>6298</v>
      </c>
      <c r="C687" s="2982" t="s">
        <v>6299</v>
      </c>
      <c r="D687" s="2982">
        <v>2044451</v>
      </c>
      <c r="E687" s="2982" t="s">
        <v>6322</v>
      </c>
      <c r="F687" s="2993">
        <v>5.0000000000000001E-3</v>
      </c>
      <c r="J687"/>
    </row>
    <row r="688" spans="1:10" ht="13" hidden="1">
      <c r="A688" s="2983">
        <v>28</v>
      </c>
      <c r="B688" s="2982" t="s">
        <v>5792</v>
      </c>
      <c r="C688" s="2982" t="s">
        <v>6311</v>
      </c>
      <c r="D688" s="2982">
        <v>2044460</v>
      </c>
      <c r="E688" s="2982" t="s">
        <v>6323</v>
      </c>
      <c r="F688" s="2993">
        <v>2.2203299999999999E-2</v>
      </c>
      <c r="J688"/>
    </row>
    <row r="689" spans="1:10" ht="13" hidden="1">
      <c r="A689" s="2983">
        <v>32</v>
      </c>
      <c r="B689" s="2982" t="s">
        <v>6298</v>
      </c>
      <c r="C689" s="2982" t="s">
        <v>6299</v>
      </c>
      <c r="D689" s="2982">
        <v>2044461</v>
      </c>
      <c r="E689" s="2982" t="s">
        <v>6324</v>
      </c>
      <c r="F689" s="2993">
        <v>-5.3564999999999988E-2</v>
      </c>
      <c r="J689"/>
    </row>
    <row r="690" spans="1:10" ht="13" hidden="1">
      <c r="A690" s="2983">
        <v>28</v>
      </c>
      <c r="B690" s="2982" t="s">
        <v>5792</v>
      </c>
      <c r="C690" s="2982" t="s">
        <v>6311</v>
      </c>
      <c r="D690" s="2982">
        <v>2044462</v>
      </c>
      <c r="E690" s="2982" t="s">
        <v>6325</v>
      </c>
      <c r="F690" s="2993">
        <v>0</v>
      </c>
      <c r="J690"/>
    </row>
    <row r="691" spans="1:10" ht="13" hidden="1">
      <c r="A691" s="2983">
        <v>28</v>
      </c>
      <c r="B691" s="2982" t="s">
        <v>5792</v>
      </c>
      <c r="C691" s="2982" t="s">
        <v>6311</v>
      </c>
      <c r="D691" s="2982">
        <v>2044465</v>
      </c>
      <c r="E691" s="2982" t="s">
        <v>6326</v>
      </c>
      <c r="F691" s="2993">
        <v>-0.12379847000000044</v>
      </c>
      <c r="J691"/>
    </row>
    <row r="692" spans="1:10" ht="13" hidden="1">
      <c r="A692" s="2983">
        <v>32</v>
      </c>
      <c r="B692" s="2982" t="s">
        <v>6298</v>
      </c>
      <c r="C692" s="2982" t="s">
        <v>6299</v>
      </c>
      <c r="D692" s="2982">
        <v>2044468</v>
      </c>
      <c r="E692" s="2982" t="s">
        <v>6327</v>
      </c>
      <c r="F692" s="2993">
        <v>-1.2234129570000001</v>
      </c>
      <c r="J692"/>
    </row>
    <row r="693" spans="1:10" ht="13" hidden="1">
      <c r="A693" s="2983">
        <v>31</v>
      </c>
      <c r="B693" s="2982" t="s">
        <v>6294</v>
      </c>
      <c r="C693" s="2982" t="s">
        <v>6295</v>
      </c>
      <c r="D693" s="2982">
        <v>2044471</v>
      </c>
      <c r="E693" s="2982" t="s">
        <v>6328</v>
      </c>
      <c r="F693" s="2993">
        <v>-0.47635578200000028</v>
      </c>
      <c r="J693"/>
    </row>
    <row r="694" spans="1:10" ht="13" hidden="1">
      <c r="A694" s="2983">
        <v>21</v>
      </c>
      <c r="B694" s="2982" t="s">
        <v>5792</v>
      </c>
      <c r="C694" s="2982" t="s">
        <v>6329</v>
      </c>
      <c r="D694" s="2982">
        <v>2046101</v>
      </c>
      <c r="E694" s="2982" t="s">
        <v>6330</v>
      </c>
      <c r="F694" s="2993">
        <v>-0.21254883599999999</v>
      </c>
      <c r="J694"/>
    </row>
    <row r="695" spans="1:10" ht="13" hidden="1">
      <c r="A695" s="2983">
        <v>21</v>
      </c>
      <c r="B695" s="2982" t="s">
        <v>5792</v>
      </c>
      <c r="C695" s="2982" t="s">
        <v>6329</v>
      </c>
      <c r="D695" s="2982">
        <v>2046102</v>
      </c>
      <c r="E695" s="2982" t="s">
        <v>6331</v>
      </c>
      <c r="F695" s="2993">
        <v>-1.04919E-2</v>
      </c>
      <c r="J695"/>
    </row>
    <row r="696" spans="1:10" ht="13" hidden="1">
      <c r="A696" s="2983">
        <v>21</v>
      </c>
      <c r="B696" s="2982" t="s">
        <v>5792</v>
      </c>
      <c r="C696" s="2982" t="s">
        <v>6329</v>
      </c>
      <c r="D696" s="2982">
        <v>2046103</v>
      </c>
      <c r="E696" s="2982" t="s">
        <v>6332</v>
      </c>
      <c r="F696" s="2993">
        <v>-0.775742457</v>
      </c>
      <c r="J696"/>
    </row>
    <row r="697" spans="1:10" ht="13" hidden="1">
      <c r="A697" s="2983">
        <v>21</v>
      </c>
      <c r="B697" s="2982" t="s">
        <v>5792</v>
      </c>
      <c r="C697" s="2982" t="s">
        <v>6329</v>
      </c>
      <c r="D697" s="2982">
        <v>2046104</v>
      </c>
      <c r="E697" s="2982" t="s">
        <v>6333</v>
      </c>
      <c r="F697" s="2993">
        <v>-6.4748000000000002E-3</v>
      </c>
      <c r="J697"/>
    </row>
    <row r="698" spans="1:10" ht="13" hidden="1">
      <c r="A698" s="2983">
        <v>22</v>
      </c>
      <c r="B698" s="2982" t="s">
        <v>5792</v>
      </c>
      <c r="C698" s="2982" t="s">
        <v>6334</v>
      </c>
      <c r="D698" s="2982">
        <v>2046105</v>
      </c>
      <c r="E698" s="2982" t="s">
        <v>6335</v>
      </c>
      <c r="F698" s="2993">
        <v>-0.70404759800000005</v>
      </c>
      <c r="J698"/>
    </row>
    <row r="699" spans="1:10" ht="13" hidden="1">
      <c r="A699" s="2983">
        <v>22</v>
      </c>
      <c r="B699" s="2982" t="s">
        <v>5792</v>
      </c>
      <c r="C699" s="2982" t="s">
        <v>6334</v>
      </c>
      <c r="D699" s="2982">
        <v>2046106</v>
      </c>
      <c r="E699" s="2982" t="s">
        <v>1844</v>
      </c>
      <c r="F699" s="2993">
        <v>-0.72817430000000005</v>
      </c>
      <c r="J699"/>
    </row>
    <row r="700" spans="1:10" ht="13" hidden="1">
      <c r="A700" s="2983">
        <v>22</v>
      </c>
      <c r="B700" s="2982" t="s">
        <v>5792</v>
      </c>
      <c r="C700" s="2982" t="s">
        <v>6334</v>
      </c>
      <c r="D700" s="2982">
        <v>2046107</v>
      </c>
      <c r="E700" s="2982" t="s">
        <v>6336</v>
      </c>
      <c r="F700" s="2993">
        <v>-2.2094736629999998</v>
      </c>
      <c r="J700"/>
    </row>
    <row r="701" spans="1:10" ht="13" hidden="1">
      <c r="A701" s="2983">
        <v>21</v>
      </c>
      <c r="B701" s="2982" t="s">
        <v>5792</v>
      </c>
      <c r="C701" s="2982" t="s">
        <v>6329</v>
      </c>
      <c r="D701" s="2982">
        <v>2046108</v>
      </c>
      <c r="E701" s="2982" t="s">
        <v>4993</v>
      </c>
      <c r="F701" s="2993">
        <v>-8.0361771999999998E-2</v>
      </c>
      <c r="J701"/>
    </row>
    <row r="702" spans="1:10" ht="13" hidden="1">
      <c r="A702" s="2983">
        <v>21</v>
      </c>
      <c r="B702" s="2982" t="s">
        <v>5792</v>
      </c>
      <c r="C702" s="2982" t="s">
        <v>6329</v>
      </c>
      <c r="D702" s="2982">
        <v>2046121</v>
      </c>
      <c r="E702" s="2982" t="s">
        <v>6337</v>
      </c>
      <c r="F702" s="2993">
        <v>-0.112570685</v>
      </c>
      <c r="J702"/>
    </row>
    <row r="703" spans="1:10" ht="13" hidden="1">
      <c r="A703" s="2983">
        <v>21</v>
      </c>
      <c r="B703" s="2982" t="s">
        <v>5792</v>
      </c>
      <c r="C703" s="2982" t="s">
        <v>6329</v>
      </c>
      <c r="D703" s="2982">
        <v>2046122</v>
      </c>
      <c r="E703" s="2982" t="s">
        <v>6338</v>
      </c>
      <c r="F703" s="2993">
        <v>-5.6057875250000002</v>
      </c>
      <c r="J703"/>
    </row>
    <row r="704" spans="1:10" ht="13" hidden="1">
      <c r="A704" s="2983">
        <v>21</v>
      </c>
      <c r="B704" s="2982" t="s">
        <v>5792</v>
      </c>
      <c r="C704" s="2982" t="s">
        <v>6329</v>
      </c>
      <c r="D704" s="2982">
        <v>2046123</v>
      </c>
      <c r="E704" s="2982" t="s">
        <v>6339</v>
      </c>
      <c r="F704" s="2993">
        <v>-1.0211420929999999</v>
      </c>
      <c r="J704"/>
    </row>
    <row r="705" spans="1:10" ht="13" hidden="1">
      <c r="A705" s="2983">
        <v>22</v>
      </c>
      <c r="B705" s="2982" t="s">
        <v>5792</v>
      </c>
      <c r="C705" s="2982" t="s">
        <v>6334</v>
      </c>
      <c r="D705" s="2982">
        <v>2046125</v>
      </c>
      <c r="E705" s="2982" t="s">
        <v>6340</v>
      </c>
      <c r="F705" s="2993">
        <v>-0.37380750000000001</v>
      </c>
      <c r="J705"/>
    </row>
    <row r="706" spans="1:10" ht="13" hidden="1">
      <c r="A706" s="2983">
        <v>22</v>
      </c>
      <c r="B706" s="2982" t="s">
        <v>5792</v>
      </c>
      <c r="C706" s="2982" t="s">
        <v>6334</v>
      </c>
      <c r="D706" s="2982">
        <v>2046126</v>
      </c>
      <c r="E706" s="2982" t="s">
        <v>6341</v>
      </c>
      <c r="F706" s="2993">
        <v>-1.7488753749999999</v>
      </c>
      <c r="J706"/>
    </row>
    <row r="707" spans="1:10" ht="13" hidden="1">
      <c r="A707" s="2983">
        <v>22</v>
      </c>
      <c r="B707" s="2982" t="s">
        <v>5792</v>
      </c>
      <c r="C707" s="2982" t="s">
        <v>6334</v>
      </c>
      <c r="D707" s="2982">
        <v>2046128</v>
      </c>
      <c r="E707" s="2982" t="s">
        <v>6342</v>
      </c>
      <c r="F707" s="2993">
        <v>-37.957171895999998</v>
      </c>
      <c r="J707"/>
    </row>
    <row r="708" spans="1:10" ht="13" hidden="1">
      <c r="A708" s="2983">
        <v>22</v>
      </c>
      <c r="B708" s="2982" t="s">
        <v>5792</v>
      </c>
      <c r="C708" s="2982" t="s">
        <v>6334</v>
      </c>
      <c r="D708" s="2982">
        <v>2046129</v>
      </c>
      <c r="E708" s="2982" t="s">
        <v>8174</v>
      </c>
      <c r="F708" s="2993">
        <v>-3.0294459229999999</v>
      </c>
      <c r="J708"/>
    </row>
    <row r="709" spans="1:10" ht="13" hidden="1">
      <c r="A709" s="2983">
        <v>32</v>
      </c>
      <c r="B709" s="2982" t="s">
        <v>6298</v>
      </c>
      <c r="C709" s="2982" t="s">
        <v>6299</v>
      </c>
      <c r="D709" s="2982">
        <v>2046201</v>
      </c>
      <c r="E709" s="2982" t="s">
        <v>6343</v>
      </c>
      <c r="F709" s="2995">
        <v>3.4593599999999764E-4</v>
      </c>
      <c r="J709"/>
    </row>
    <row r="710" spans="1:10" ht="13" hidden="1">
      <c r="A710" s="2983">
        <v>32</v>
      </c>
      <c r="B710" s="2982" t="s">
        <v>6298</v>
      </c>
      <c r="C710" s="2982" t="s">
        <v>6299</v>
      </c>
      <c r="D710" s="2982">
        <v>2046202</v>
      </c>
      <c r="E710" s="2982" t="s">
        <v>6344</v>
      </c>
      <c r="F710" s="2993">
        <v>-0.39625463599999999</v>
      </c>
      <c r="J710"/>
    </row>
    <row r="711" spans="1:10" ht="13" hidden="1">
      <c r="A711" s="2983">
        <v>32</v>
      </c>
      <c r="B711" s="2982" t="s">
        <v>6298</v>
      </c>
      <c r="C711" s="2982" t="s">
        <v>6299</v>
      </c>
      <c r="D711" s="2982">
        <v>2046203</v>
      </c>
      <c r="E711" s="2982" t="s">
        <v>6345</v>
      </c>
      <c r="F711" s="2993">
        <v>0.37426323299999997</v>
      </c>
      <c r="J711"/>
    </row>
    <row r="712" spans="1:10" ht="13" hidden="1">
      <c r="A712" s="2983">
        <v>32</v>
      </c>
      <c r="B712" s="2982" t="s">
        <v>6298</v>
      </c>
      <c r="C712" s="2982" t="s">
        <v>6299</v>
      </c>
      <c r="D712" s="2982">
        <v>2046301</v>
      </c>
      <c r="E712" s="2982" t="s">
        <v>6346</v>
      </c>
      <c r="F712" s="2993">
        <v>-8.535226711</v>
      </c>
      <c r="J712"/>
    </row>
    <row r="713" spans="1:10" ht="13" hidden="1">
      <c r="A713" s="2983">
        <v>32</v>
      </c>
      <c r="B713" s="2982" t="s">
        <v>6298</v>
      </c>
      <c r="C713" s="2982" t="s">
        <v>6299</v>
      </c>
      <c r="D713" s="2982">
        <v>2046302</v>
      </c>
      <c r="E713" s="2982" t="s">
        <v>6347</v>
      </c>
      <c r="F713" s="2995">
        <v>-130.564536468</v>
      </c>
      <c r="J713"/>
    </row>
    <row r="714" spans="1:10" ht="13" hidden="1">
      <c r="A714" s="2983">
        <v>32</v>
      </c>
      <c r="B714" s="2982" t="s">
        <v>6298</v>
      </c>
      <c r="C714" s="2982" t="s">
        <v>6299</v>
      </c>
      <c r="D714" s="2982">
        <v>2046303</v>
      </c>
      <c r="E714" s="2982" t="s">
        <v>6348</v>
      </c>
      <c r="F714" s="2993">
        <v>125.38263755099999</v>
      </c>
      <c r="J714"/>
    </row>
    <row r="715" spans="1:10" ht="13" hidden="1">
      <c r="A715" s="2983">
        <v>32</v>
      </c>
      <c r="B715" s="2982" t="s">
        <v>6298</v>
      </c>
      <c r="C715" s="2982" t="s">
        <v>6299</v>
      </c>
      <c r="D715" s="2982">
        <v>2046350</v>
      </c>
      <c r="E715" s="2982" t="s">
        <v>6349</v>
      </c>
      <c r="F715" s="2993">
        <v>-0.26137749999999998</v>
      </c>
      <c r="J715"/>
    </row>
    <row r="716" spans="1:10" ht="13" hidden="1">
      <c r="A716" s="2983" t="s">
        <v>6350</v>
      </c>
      <c r="B716" s="2982" t="s">
        <v>5803</v>
      </c>
      <c r="C716" s="2982" t="s">
        <v>5804</v>
      </c>
      <c r="D716" s="2982">
        <v>2046410</v>
      </c>
      <c r="E716" s="2982" t="s">
        <v>6351</v>
      </c>
      <c r="F716" s="2993">
        <v>-0.322461779</v>
      </c>
      <c r="J716"/>
    </row>
    <row r="717" spans="1:10" ht="13" hidden="1">
      <c r="A717" s="2983" t="s">
        <v>5802</v>
      </c>
      <c r="B717" s="2982" t="s">
        <v>5803</v>
      </c>
      <c r="C717" s="2982" t="s">
        <v>5804</v>
      </c>
      <c r="D717" s="2982">
        <v>2046411</v>
      </c>
      <c r="E717" s="2982" t="s">
        <v>6352</v>
      </c>
      <c r="F717" s="2993">
        <v>0</v>
      </c>
      <c r="J717"/>
    </row>
    <row r="718" spans="1:10" ht="13" hidden="1">
      <c r="A718" s="2983">
        <v>31</v>
      </c>
      <c r="B718" s="2982" t="s">
        <v>5792</v>
      </c>
      <c r="C718" s="2982" t="s">
        <v>5793</v>
      </c>
      <c r="D718" s="2982">
        <v>2046412</v>
      </c>
      <c r="E718" s="2982" t="s">
        <v>1854</v>
      </c>
      <c r="F718" s="2993">
        <v>-1.640567152</v>
      </c>
      <c r="J718"/>
    </row>
    <row r="719" spans="1:10" ht="13" hidden="1">
      <c r="A719" s="2983">
        <v>31</v>
      </c>
      <c r="B719" s="2982" t="s">
        <v>5792</v>
      </c>
      <c r="C719" s="2982" t="s">
        <v>5793</v>
      </c>
      <c r="D719" s="2982">
        <v>2046414</v>
      </c>
      <c r="E719" s="2982" t="s">
        <v>1856</v>
      </c>
      <c r="F719" s="2993">
        <v>-0.162522525</v>
      </c>
      <c r="J719"/>
    </row>
    <row r="720" spans="1:10" ht="13" hidden="1">
      <c r="A720" s="2983">
        <v>31</v>
      </c>
      <c r="B720" s="2982" t="s">
        <v>5792</v>
      </c>
      <c r="C720" s="2984" t="s">
        <v>5793</v>
      </c>
      <c r="D720" s="2982">
        <v>2046415</v>
      </c>
      <c r="E720" s="2982" t="s">
        <v>7746</v>
      </c>
      <c r="F720" s="2993">
        <v>-7.3380990000000007E-3</v>
      </c>
      <c r="J720"/>
    </row>
    <row r="721" spans="1:10" ht="13" hidden="1">
      <c r="A721" s="2983">
        <v>31</v>
      </c>
      <c r="B721" s="2982" t="s">
        <v>5792</v>
      </c>
      <c r="C721" s="2982" t="s">
        <v>5793</v>
      </c>
      <c r="D721" s="2982">
        <v>2046417</v>
      </c>
      <c r="E721" s="2982" t="s">
        <v>7747</v>
      </c>
      <c r="F721" s="2993">
        <v>-1.3310812710000002</v>
      </c>
      <c r="J721"/>
    </row>
    <row r="722" spans="1:10" ht="13" hidden="1">
      <c r="A722" s="2983">
        <v>31</v>
      </c>
      <c r="B722" s="2982" t="s">
        <v>5792</v>
      </c>
      <c r="C722" s="2982" t="s">
        <v>5793</v>
      </c>
      <c r="D722" s="2982">
        <v>2046418</v>
      </c>
      <c r="E722" s="2982" t="s">
        <v>7748</v>
      </c>
      <c r="F722" s="2993">
        <v>-0.37217160099999996</v>
      </c>
      <c r="J722"/>
    </row>
    <row r="723" spans="1:10" ht="13" hidden="1">
      <c r="A723" s="2983">
        <v>31</v>
      </c>
      <c r="B723" s="2982" t="s">
        <v>5792</v>
      </c>
      <c r="C723" s="2982" t="s">
        <v>5793</v>
      </c>
      <c r="D723" s="2982">
        <v>2046419</v>
      </c>
      <c r="E723" s="2982" t="s">
        <v>8175</v>
      </c>
      <c r="F723" s="2993">
        <v>-9.4394500000000006E-2</v>
      </c>
      <c r="J723"/>
    </row>
    <row r="724" spans="1:10" ht="13" hidden="1">
      <c r="A724" s="2983" t="s">
        <v>6350</v>
      </c>
      <c r="B724" s="2982" t="s">
        <v>5803</v>
      </c>
      <c r="C724" s="2984" t="s">
        <v>5804</v>
      </c>
      <c r="D724" s="2982">
        <v>2046430</v>
      </c>
      <c r="E724" s="2982" t="s">
        <v>1861</v>
      </c>
      <c r="F724" s="2993">
        <v>-66.844354400000014</v>
      </c>
      <c r="J724"/>
    </row>
    <row r="725" spans="1:10" ht="13" hidden="1">
      <c r="A725" s="2983">
        <v>31</v>
      </c>
      <c r="B725" s="2982" t="s">
        <v>5792</v>
      </c>
      <c r="C725" s="2984" t="s">
        <v>5793</v>
      </c>
      <c r="D725" s="2982">
        <v>2046431</v>
      </c>
      <c r="E725" s="2982" t="s">
        <v>6353</v>
      </c>
      <c r="F725" s="2993">
        <v>-3.989254361</v>
      </c>
      <c r="J725"/>
    </row>
    <row r="726" spans="1:10" ht="13" hidden="1">
      <c r="A726" s="2983">
        <v>31</v>
      </c>
      <c r="B726" s="2982" t="s">
        <v>5792</v>
      </c>
      <c r="C726" s="2984" t="s">
        <v>5793</v>
      </c>
      <c r="D726" s="2982">
        <v>2046436</v>
      </c>
      <c r="E726" s="2982" t="s">
        <v>6354</v>
      </c>
      <c r="F726" s="2993">
        <v>0</v>
      </c>
      <c r="J726"/>
    </row>
    <row r="727" spans="1:10" ht="13" hidden="1">
      <c r="A727" s="2983">
        <v>31</v>
      </c>
      <c r="B727" s="2982" t="s">
        <v>5792</v>
      </c>
      <c r="C727" s="2984" t="s">
        <v>5793</v>
      </c>
      <c r="D727" s="2982">
        <v>2046501</v>
      </c>
      <c r="E727" s="2982" t="s">
        <v>6355</v>
      </c>
      <c r="F727" s="2993">
        <v>-12.205734775000002</v>
      </c>
      <c r="J727"/>
    </row>
    <row r="728" spans="1:10" ht="13" hidden="1">
      <c r="A728" s="2983">
        <v>31</v>
      </c>
      <c r="B728" s="2982" t="s">
        <v>5792</v>
      </c>
      <c r="C728" s="2982" t="s">
        <v>5793</v>
      </c>
      <c r="D728" s="2982">
        <v>2046551</v>
      </c>
      <c r="E728" s="2982" t="s">
        <v>6356</v>
      </c>
      <c r="F728" s="2993">
        <v>0.53389830000000005</v>
      </c>
      <c r="J728"/>
    </row>
    <row r="729" spans="1:10" ht="13" hidden="1">
      <c r="A729" s="2983">
        <v>30</v>
      </c>
      <c r="B729" s="2982" t="s">
        <v>5792</v>
      </c>
      <c r="C729" s="2982" t="s">
        <v>6357</v>
      </c>
      <c r="D729" s="2982">
        <v>2046916</v>
      </c>
      <c r="E729" s="2982" t="s">
        <v>6358</v>
      </c>
      <c r="F729" s="2993">
        <v>-2.154522E-2</v>
      </c>
      <c r="J729"/>
    </row>
    <row r="730" spans="1:10" ht="13" hidden="1">
      <c r="A730" s="2983">
        <v>30</v>
      </c>
      <c r="B730" s="2982" t="s">
        <v>5792</v>
      </c>
      <c r="C730" s="2982" t="s">
        <v>6357</v>
      </c>
      <c r="D730" s="2982">
        <v>2046921</v>
      </c>
      <c r="E730" s="2982" t="s">
        <v>6359</v>
      </c>
      <c r="F730" s="2993">
        <v>-0.12137643999999999</v>
      </c>
      <c r="J730"/>
    </row>
    <row r="731" spans="1:10" ht="13" hidden="1">
      <c r="A731" s="2983">
        <v>30</v>
      </c>
      <c r="B731" s="2982" t="s">
        <v>5792</v>
      </c>
      <c r="C731" s="2982" t="s">
        <v>6357</v>
      </c>
      <c r="D731" s="2982">
        <v>2057150</v>
      </c>
      <c r="E731" s="2982" t="s">
        <v>7626</v>
      </c>
      <c r="F731" s="2993">
        <v>-4.5963999999999996E-3</v>
      </c>
      <c r="J731"/>
    </row>
    <row r="732" spans="1:10" ht="13" hidden="1">
      <c r="A732" s="2983">
        <v>32</v>
      </c>
      <c r="B732" s="2982" t="s">
        <v>6298</v>
      </c>
      <c r="C732" s="2984" t="s">
        <v>6299</v>
      </c>
      <c r="D732" s="2982">
        <v>2046938</v>
      </c>
      <c r="E732" s="2982" t="s">
        <v>2001</v>
      </c>
      <c r="F732" s="2993">
        <v>-2.2214289000000002E-2</v>
      </c>
      <c r="J732"/>
    </row>
    <row r="733" spans="1:10" ht="13" hidden="1">
      <c r="A733" s="2983">
        <v>32</v>
      </c>
      <c r="B733" s="2982" t="s">
        <v>6298</v>
      </c>
      <c r="C733" s="2984" t="s">
        <v>6299</v>
      </c>
      <c r="D733" s="2982">
        <v>2046940</v>
      </c>
      <c r="E733" s="2982" t="s">
        <v>2003</v>
      </c>
      <c r="F733" s="2993">
        <v>-0.22313450000000001</v>
      </c>
      <c r="J733"/>
    </row>
    <row r="734" spans="1:10" ht="13" hidden="1">
      <c r="A734" s="2983">
        <v>10</v>
      </c>
      <c r="B734" s="2982" t="s">
        <v>5656</v>
      </c>
      <c r="C734" s="2984" t="s">
        <v>5657</v>
      </c>
      <c r="D734" s="2982">
        <v>2046941</v>
      </c>
      <c r="E734" s="2982" t="s">
        <v>6360</v>
      </c>
      <c r="F734" s="2993">
        <v>-8.0884057519999999</v>
      </c>
      <c r="J734"/>
    </row>
    <row r="735" spans="1:10" ht="13" hidden="1">
      <c r="A735" s="2983">
        <v>32</v>
      </c>
      <c r="B735" s="2982" t="s">
        <v>6298</v>
      </c>
      <c r="C735" s="2984" t="s">
        <v>6299</v>
      </c>
      <c r="D735" s="2982">
        <v>2046948</v>
      </c>
      <c r="E735" s="2982" t="s">
        <v>6361</v>
      </c>
      <c r="F735" s="2993">
        <v>-9.0988919999999991E-3</v>
      </c>
      <c r="J735"/>
    </row>
    <row r="736" spans="1:10" ht="13" hidden="1">
      <c r="A736" s="2983">
        <v>23</v>
      </c>
      <c r="B736" s="2982" t="s">
        <v>6362</v>
      </c>
      <c r="C736" s="2984" t="s">
        <v>6363</v>
      </c>
      <c r="D736" s="2982">
        <v>2047110</v>
      </c>
      <c r="E736" s="2982" t="s">
        <v>6364</v>
      </c>
      <c r="F736" s="2993">
        <v>-0.55026112699999996</v>
      </c>
      <c r="J736"/>
    </row>
    <row r="737" spans="1:10" ht="13" hidden="1">
      <c r="A737" s="2983">
        <v>23</v>
      </c>
      <c r="B737" s="2982" t="s">
        <v>6362</v>
      </c>
      <c r="C737" s="2982" t="s">
        <v>6363</v>
      </c>
      <c r="D737" s="2984">
        <v>2047111</v>
      </c>
      <c r="E737" s="2982" t="s">
        <v>6365</v>
      </c>
      <c r="F737" s="2993">
        <v>-3.4581370740000001</v>
      </c>
      <c r="J737"/>
    </row>
    <row r="738" spans="1:10" ht="13" hidden="1">
      <c r="A738" s="2983">
        <v>23</v>
      </c>
      <c r="B738" s="2982" t="s">
        <v>6362</v>
      </c>
      <c r="C738" s="2982" t="s">
        <v>6363</v>
      </c>
      <c r="D738" s="2984">
        <v>2047115</v>
      </c>
      <c r="E738" s="2982" t="s">
        <v>6366</v>
      </c>
      <c r="F738" s="2993">
        <v>-10.517174163</v>
      </c>
      <c r="J738"/>
    </row>
    <row r="739" spans="1:10" ht="13" hidden="1">
      <c r="A739" s="2983">
        <v>23</v>
      </c>
      <c r="B739" s="2982" t="s">
        <v>6362</v>
      </c>
      <c r="C739" s="2982" t="s">
        <v>6363</v>
      </c>
      <c r="D739" s="2982">
        <v>2047116</v>
      </c>
      <c r="E739" s="2982" t="s">
        <v>6367</v>
      </c>
      <c r="F739" s="2993">
        <v>5.6290981000000002</v>
      </c>
      <c r="J739"/>
    </row>
    <row r="740" spans="1:10" ht="13" hidden="1">
      <c r="A740" s="2983">
        <v>23</v>
      </c>
      <c r="B740" s="2982" t="s">
        <v>6362</v>
      </c>
      <c r="C740" s="2982" t="s">
        <v>6363</v>
      </c>
      <c r="D740" s="2984">
        <v>2047120</v>
      </c>
      <c r="E740" s="2982" t="s">
        <v>6368</v>
      </c>
      <c r="F740" s="2993">
        <v>-0.35788457900000004</v>
      </c>
      <c r="J740"/>
    </row>
    <row r="741" spans="1:10" ht="13" hidden="1">
      <c r="A741" s="2983">
        <v>23</v>
      </c>
      <c r="B741" s="2982" t="s">
        <v>6362</v>
      </c>
      <c r="C741" s="2982" t="s">
        <v>6363</v>
      </c>
      <c r="D741" s="2984">
        <v>2047121</v>
      </c>
      <c r="E741" s="2982" t="s">
        <v>6369</v>
      </c>
      <c r="F741" s="2993">
        <v>0.77924165000000001</v>
      </c>
      <c r="J741"/>
    </row>
    <row r="742" spans="1:10" ht="13" hidden="1">
      <c r="A742" s="2983">
        <v>23</v>
      </c>
      <c r="B742" s="2982" t="s">
        <v>6362</v>
      </c>
      <c r="C742" s="2982" t="s">
        <v>6363</v>
      </c>
      <c r="D742" s="2984">
        <v>2047130</v>
      </c>
      <c r="E742" s="2982" t="s">
        <v>6370</v>
      </c>
      <c r="F742" s="2993">
        <v>0</v>
      </c>
      <c r="J742"/>
    </row>
    <row r="743" spans="1:10" ht="13" hidden="1">
      <c r="A743" s="2983">
        <v>23</v>
      </c>
      <c r="B743" s="2982" t="s">
        <v>6362</v>
      </c>
      <c r="C743" s="2982" t="s">
        <v>6363</v>
      </c>
      <c r="D743" s="2984">
        <v>2047131</v>
      </c>
      <c r="E743" s="2982" t="s">
        <v>6371</v>
      </c>
      <c r="F743" s="2993">
        <v>1.562782774</v>
      </c>
      <c r="J743"/>
    </row>
    <row r="744" spans="1:10" ht="13" hidden="1">
      <c r="A744" s="2983">
        <v>23</v>
      </c>
      <c r="B744" s="2982" t="s">
        <v>6362</v>
      </c>
      <c r="C744" s="2982" t="s">
        <v>6363</v>
      </c>
      <c r="D744" s="2984">
        <v>2047140</v>
      </c>
      <c r="E744" s="2982" t="s">
        <v>6372</v>
      </c>
      <c r="F744" s="2993">
        <v>-3.137868128</v>
      </c>
      <c r="J744"/>
    </row>
    <row r="745" spans="1:10" ht="13" hidden="1">
      <c r="A745" s="2983">
        <v>23</v>
      </c>
      <c r="B745" s="2982" t="s">
        <v>6362</v>
      </c>
      <c r="C745" s="2982" t="s">
        <v>6363</v>
      </c>
      <c r="D745" s="2984">
        <v>2047141</v>
      </c>
      <c r="E745" s="2982" t="s">
        <v>6373</v>
      </c>
      <c r="F745" s="2993">
        <v>0.32663097599999996</v>
      </c>
      <c r="J745"/>
    </row>
    <row r="746" spans="1:10" ht="13" hidden="1">
      <c r="A746" s="2983">
        <v>23</v>
      </c>
      <c r="B746" s="2982" t="s">
        <v>6362</v>
      </c>
      <c r="C746" s="2982" t="s">
        <v>6363</v>
      </c>
      <c r="D746" s="2982">
        <v>2047150</v>
      </c>
      <c r="E746" s="2982" t="s">
        <v>6374</v>
      </c>
      <c r="F746" s="2993">
        <v>-54.407389754</v>
      </c>
      <c r="J746"/>
    </row>
    <row r="747" spans="1:10" ht="13" hidden="1">
      <c r="A747" s="2983">
        <v>23</v>
      </c>
      <c r="B747" s="2982" t="s">
        <v>6362</v>
      </c>
      <c r="C747" s="2984" t="s">
        <v>6363</v>
      </c>
      <c r="D747" s="2982">
        <v>2047151</v>
      </c>
      <c r="E747" s="2982" t="s">
        <v>6375</v>
      </c>
      <c r="F747" s="2993">
        <v>11.212757985</v>
      </c>
      <c r="J747"/>
    </row>
    <row r="748" spans="1:10" ht="13" hidden="1">
      <c r="A748" s="2983">
        <v>23</v>
      </c>
      <c r="B748" s="2982" t="s">
        <v>6362</v>
      </c>
      <c r="C748" s="2982" t="s">
        <v>6363</v>
      </c>
      <c r="D748" s="2982">
        <v>2047160</v>
      </c>
      <c r="E748" s="2982" t="s">
        <v>6376</v>
      </c>
      <c r="F748" s="2993">
        <v>-15.344482028999998</v>
      </c>
      <c r="J748"/>
    </row>
    <row r="749" spans="1:10" ht="13" hidden="1">
      <c r="A749" s="2983">
        <v>23</v>
      </c>
      <c r="B749" s="2982" t="s">
        <v>6362</v>
      </c>
      <c r="C749" s="2982" t="s">
        <v>6363</v>
      </c>
      <c r="D749" s="2984">
        <v>2047161</v>
      </c>
      <c r="E749" s="2982" t="s">
        <v>6377</v>
      </c>
      <c r="F749" s="2993">
        <v>13.501936088999999</v>
      </c>
      <c r="J749"/>
    </row>
    <row r="750" spans="1:10" ht="13" hidden="1">
      <c r="A750" s="2983">
        <v>23</v>
      </c>
      <c r="B750" s="2982" t="s">
        <v>6362</v>
      </c>
      <c r="C750" s="2982" t="s">
        <v>6363</v>
      </c>
      <c r="D750" s="2982">
        <v>2047170</v>
      </c>
      <c r="E750" s="2982" t="s">
        <v>6378</v>
      </c>
      <c r="F750" s="2993">
        <v>-15.353390299999999</v>
      </c>
      <c r="J750"/>
    </row>
    <row r="751" spans="1:10" ht="13" hidden="1">
      <c r="A751" s="2983">
        <v>23</v>
      </c>
      <c r="B751" s="2982" t="s">
        <v>6362</v>
      </c>
      <c r="C751" s="2982" t="s">
        <v>6363</v>
      </c>
      <c r="D751" s="2982">
        <v>2047171</v>
      </c>
      <c r="E751" s="2982" t="s">
        <v>6379</v>
      </c>
      <c r="F751" s="2993">
        <v>2.8050181210000003</v>
      </c>
      <c r="J751"/>
    </row>
    <row r="752" spans="1:10" ht="13" hidden="1">
      <c r="A752" s="2983">
        <v>116</v>
      </c>
      <c r="B752" s="2982" t="s">
        <v>6362</v>
      </c>
      <c r="C752" s="2982" t="s">
        <v>6363</v>
      </c>
      <c r="D752" s="2982">
        <v>2047175</v>
      </c>
      <c r="E752" s="2982" t="s">
        <v>6380</v>
      </c>
      <c r="F752" s="2993">
        <v>-63.837160637000004</v>
      </c>
      <c r="J752"/>
    </row>
    <row r="753" spans="1:10" ht="13" hidden="1">
      <c r="A753" s="2983">
        <v>116</v>
      </c>
      <c r="B753" s="2982" t="s">
        <v>6362</v>
      </c>
      <c r="C753" s="2982" t="s">
        <v>6363</v>
      </c>
      <c r="D753" s="2982">
        <v>2047176</v>
      </c>
      <c r="E753" s="2982" t="s">
        <v>6381</v>
      </c>
      <c r="F753" s="2993">
        <v>10.164098556999999</v>
      </c>
      <c r="J753"/>
    </row>
    <row r="754" spans="1:10" ht="13" hidden="1">
      <c r="A754" s="2983">
        <v>23</v>
      </c>
      <c r="B754" s="2982" t="s">
        <v>6362</v>
      </c>
      <c r="C754" s="2982" t="s">
        <v>6363</v>
      </c>
      <c r="D754" s="2982">
        <v>2047180</v>
      </c>
      <c r="E754" s="2982" t="s">
        <v>6382</v>
      </c>
      <c r="F754" s="2993">
        <v>-21.488223399999999</v>
      </c>
      <c r="J754"/>
    </row>
    <row r="755" spans="1:10" ht="13" hidden="1">
      <c r="A755" s="2983">
        <v>23</v>
      </c>
      <c r="B755" s="2982" t="s">
        <v>6362</v>
      </c>
      <c r="C755" s="2982" t="s">
        <v>6363</v>
      </c>
      <c r="D755" s="2982">
        <v>2047181</v>
      </c>
      <c r="E755" s="2982" t="s">
        <v>6383</v>
      </c>
      <c r="F755" s="2993">
        <v>13.794848575</v>
      </c>
      <c r="J755"/>
    </row>
    <row r="756" spans="1:10" ht="13" hidden="1">
      <c r="A756" s="2983">
        <v>23</v>
      </c>
      <c r="B756" s="2982" t="s">
        <v>6362</v>
      </c>
      <c r="C756" s="2982" t="s">
        <v>6363</v>
      </c>
      <c r="D756" s="2982">
        <v>2047185</v>
      </c>
      <c r="E756" s="2982" t="s">
        <v>6384</v>
      </c>
      <c r="F756" s="2993">
        <v>-0.15192710000000001</v>
      </c>
      <c r="J756"/>
    </row>
    <row r="757" spans="1:10" ht="13" hidden="1">
      <c r="A757" s="2983">
        <v>23</v>
      </c>
      <c r="B757" s="2982" t="s">
        <v>6362</v>
      </c>
      <c r="C757" s="2982" t="s">
        <v>6363</v>
      </c>
      <c r="D757" s="2982">
        <v>2047186</v>
      </c>
      <c r="E757" s="2982" t="s">
        <v>6385</v>
      </c>
      <c r="F757" s="2993">
        <v>0.1125024</v>
      </c>
      <c r="J757"/>
    </row>
    <row r="758" spans="1:10" ht="13" hidden="1">
      <c r="A758" s="2983">
        <v>23</v>
      </c>
      <c r="B758" s="2982" t="s">
        <v>6362</v>
      </c>
      <c r="C758" s="2982" t="s">
        <v>6363</v>
      </c>
      <c r="D758" s="2982">
        <v>2047190</v>
      </c>
      <c r="E758" s="2982" t="s">
        <v>6386</v>
      </c>
      <c r="F758" s="2993">
        <v>-9.0684500000000001E-2</v>
      </c>
      <c r="J758"/>
    </row>
    <row r="759" spans="1:10" ht="13" hidden="1">
      <c r="A759" s="2983">
        <v>23</v>
      </c>
      <c r="B759" s="2982" t="s">
        <v>6362</v>
      </c>
      <c r="C759" s="2982" t="s">
        <v>6363</v>
      </c>
      <c r="D759" s="2982">
        <v>2047191</v>
      </c>
      <c r="E759" s="2982" t="s">
        <v>6387</v>
      </c>
      <c r="F759" s="2993">
        <v>1.2516929000000001</v>
      </c>
      <c r="J759"/>
    </row>
    <row r="760" spans="1:10" ht="13" hidden="1">
      <c r="A760" s="2983">
        <v>23</v>
      </c>
      <c r="B760" s="2982" t="s">
        <v>6362</v>
      </c>
      <c r="C760" s="2982" t="s">
        <v>6363</v>
      </c>
      <c r="D760" s="2982">
        <v>2047301</v>
      </c>
      <c r="E760" s="2982" t="s">
        <v>6388</v>
      </c>
      <c r="F760" s="2993">
        <v>-61.300319214000005</v>
      </c>
      <c r="J760"/>
    </row>
    <row r="761" spans="1:10" ht="13" hidden="1">
      <c r="A761" s="2983">
        <v>23</v>
      </c>
      <c r="B761" s="2982" t="s">
        <v>6362</v>
      </c>
      <c r="C761" s="2982" t="s">
        <v>6363</v>
      </c>
      <c r="D761" s="2982">
        <v>2047302</v>
      </c>
      <c r="E761" s="2982" t="s">
        <v>6389</v>
      </c>
      <c r="F761" s="2993">
        <v>19.128528875000001</v>
      </c>
      <c r="J761"/>
    </row>
    <row r="762" spans="1:10" ht="13" hidden="1">
      <c r="A762" s="2983">
        <v>23</v>
      </c>
      <c r="B762" s="2982" t="s">
        <v>6362</v>
      </c>
      <c r="C762" s="2982" t="s">
        <v>6363</v>
      </c>
      <c r="D762" s="2982">
        <v>2047311</v>
      </c>
      <c r="E762" s="2982" t="s">
        <v>6390</v>
      </c>
      <c r="F762" s="2993">
        <v>-11.004031585</v>
      </c>
      <c r="J762"/>
    </row>
    <row r="763" spans="1:10" ht="13" hidden="1">
      <c r="A763" s="2983">
        <v>23</v>
      </c>
      <c r="B763" s="2982" t="s">
        <v>6362</v>
      </c>
      <c r="C763" s="2982" t="s">
        <v>6363</v>
      </c>
      <c r="D763" s="2982">
        <v>2047312</v>
      </c>
      <c r="E763" s="2982" t="s">
        <v>6391</v>
      </c>
      <c r="F763" s="2993">
        <v>8.3673286659999988</v>
      </c>
      <c r="J763"/>
    </row>
    <row r="764" spans="1:10" ht="13" hidden="1">
      <c r="A764" s="2983">
        <v>23</v>
      </c>
      <c r="B764" s="2982" t="s">
        <v>6362</v>
      </c>
      <c r="C764" s="2982" t="s">
        <v>6363</v>
      </c>
      <c r="D764" s="2982">
        <v>2047321</v>
      </c>
      <c r="E764" s="2982" t="s">
        <v>6392</v>
      </c>
      <c r="F764" s="2993">
        <v>-0.61466258299999998</v>
      </c>
      <c r="J764"/>
    </row>
    <row r="765" spans="1:10" ht="13" hidden="1">
      <c r="A765" s="2983">
        <v>23</v>
      </c>
      <c r="B765" s="2982" t="s">
        <v>6362</v>
      </c>
      <c r="C765" s="2982" t="s">
        <v>6363</v>
      </c>
      <c r="D765" s="2982">
        <v>2047322</v>
      </c>
      <c r="E765" s="2982" t="s">
        <v>8176</v>
      </c>
      <c r="F765" s="2993">
        <v>8.1796999999999995E-2</v>
      </c>
      <c r="J765"/>
    </row>
    <row r="766" spans="1:10" ht="13" hidden="1">
      <c r="A766" s="2983">
        <v>23</v>
      </c>
      <c r="B766" s="2982" t="s">
        <v>6362</v>
      </c>
      <c r="C766" s="2982" t="s">
        <v>6363</v>
      </c>
      <c r="D766" s="2982">
        <v>2047341</v>
      </c>
      <c r="E766" s="2982" t="s">
        <v>8177</v>
      </c>
      <c r="F766" s="2993">
        <v>-2.9</v>
      </c>
      <c r="J766"/>
    </row>
    <row r="767" spans="1:10" ht="13" hidden="1">
      <c r="A767" s="2983">
        <v>23</v>
      </c>
      <c r="B767" s="2982" t="s">
        <v>6362</v>
      </c>
      <c r="C767" s="2984" t="s">
        <v>6363</v>
      </c>
      <c r="D767" s="2982">
        <v>2047363</v>
      </c>
      <c r="E767" s="2982" t="s">
        <v>8178</v>
      </c>
      <c r="F767" s="2993">
        <v>-1.0496030749999998</v>
      </c>
      <c r="J767"/>
    </row>
    <row r="768" spans="1:10" ht="13" hidden="1">
      <c r="A768" s="2983">
        <v>23</v>
      </c>
      <c r="B768" s="2982" t="s">
        <v>6362</v>
      </c>
      <c r="C768" s="2982" t="s">
        <v>6363</v>
      </c>
      <c r="D768" s="2982">
        <v>2047331</v>
      </c>
      <c r="E768" s="2982" t="s">
        <v>6393</v>
      </c>
      <c r="F768" s="2993">
        <v>-82.318877403000002</v>
      </c>
      <c r="J768"/>
    </row>
    <row r="769" spans="1:10" ht="13" hidden="1">
      <c r="A769" s="2983">
        <v>23</v>
      </c>
      <c r="B769" s="2982" t="s">
        <v>6362</v>
      </c>
      <c r="C769" s="2982" t="s">
        <v>6363</v>
      </c>
      <c r="D769" s="2982">
        <v>2047332</v>
      </c>
      <c r="E769" s="2982" t="s">
        <v>6394</v>
      </c>
      <c r="F769" s="2993">
        <v>17.943915979</v>
      </c>
      <c r="J769"/>
    </row>
    <row r="770" spans="1:10" ht="13" hidden="1">
      <c r="A770" s="2983">
        <v>23</v>
      </c>
      <c r="B770" s="2982" t="s">
        <v>6362</v>
      </c>
      <c r="C770" s="2982" t="s">
        <v>6363</v>
      </c>
      <c r="D770" s="2982">
        <v>2047690</v>
      </c>
      <c r="E770" s="2982" t="s">
        <v>6395</v>
      </c>
      <c r="F770" s="2993">
        <v>-3.4608336989999997</v>
      </c>
      <c r="J770"/>
    </row>
    <row r="771" spans="1:10" ht="13" hidden="1">
      <c r="A771" s="2983">
        <v>29</v>
      </c>
      <c r="B771" s="2982" t="s">
        <v>5792</v>
      </c>
      <c r="C771" s="2982" t="s">
        <v>1156</v>
      </c>
      <c r="D771" s="2982">
        <v>2048101</v>
      </c>
      <c r="E771" s="2982" t="s">
        <v>6396</v>
      </c>
      <c r="F771" s="2993">
        <v>-125.51269190500001</v>
      </c>
      <c r="J771"/>
    </row>
    <row r="772" spans="1:10" ht="13" hidden="1">
      <c r="A772" s="2983">
        <v>29</v>
      </c>
      <c r="B772" s="2982" t="s">
        <v>5792</v>
      </c>
      <c r="C772" s="2982" t="s">
        <v>1156</v>
      </c>
      <c r="D772" s="2982">
        <v>2048102</v>
      </c>
      <c r="E772" s="2982" t="s">
        <v>6397</v>
      </c>
      <c r="F772" s="2993">
        <v>-7.6737776580000006</v>
      </c>
      <c r="J772"/>
    </row>
    <row r="773" spans="1:10" ht="13" hidden="1">
      <c r="A773" s="2983">
        <v>29</v>
      </c>
      <c r="B773" s="2982" t="s">
        <v>5792</v>
      </c>
      <c r="C773" s="2982" t="s">
        <v>1156</v>
      </c>
      <c r="D773" s="2982">
        <v>2048103</v>
      </c>
      <c r="E773" s="2982" t="s">
        <v>6398</v>
      </c>
      <c r="F773" s="2993">
        <v>-36.92262556</v>
      </c>
      <c r="J773"/>
    </row>
    <row r="774" spans="1:10" ht="13" hidden="1">
      <c r="A774" s="2983">
        <v>29</v>
      </c>
      <c r="B774" s="2982" t="s">
        <v>5792</v>
      </c>
      <c r="C774" s="2982" t="s">
        <v>1156</v>
      </c>
      <c r="D774" s="2982">
        <v>2048106</v>
      </c>
      <c r="E774" s="2982" t="s">
        <v>6399</v>
      </c>
      <c r="F774" s="2993">
        <v>-18.819933719999998</v>
      </c>
      <c r="J774"/>
    </row>
    <row r="775" spans="1:10" ht="13" hidden="1">
      <c r="A775" s="2983">
        <v>29</v>
      </c>
      <c r="B775" s="2982" t="s">
        <v>5792</v>
      </c>
      <c r="C775" s="2982" t="s">
        <v>1156</v>
      </c>
      <c r="D775" s="2982">
        <v>2048107</v>
      </c>
      <c r="E775" s="2982" t="s">
        <v>6400</v>
      </c>
      <c r="F775" s="2993">
        <v>-12.216801349000001</v>
      </c>
      <c r="J775"/>
    </row>
    <row r="776" spans="1:10" ht="13" hidden="1">
      <c r="A776" s="2983">
        <v>29</v>
      </c>
      <c r="B776" s="2982" t="s">
        <v>5792</v>
      </c>
      <c r="C776" s="2982" t="s">
        <v>1156</v>
      </c>
      <c r="D776" s="2982">
        <v>2048109</v>
      </c>
      <c r="E776" s="2982" t="s">
        <v>6401</v>
      </c>
      <c r="F776" s="2993">
        <v>-41.591465342999996</v>
      </c>
      <c r="J776"/>
    </row>
    <row r="777" spans="1:10" ht="13" hidden="1">
      <c r="A777" s="2983">
        <v>29</v>
      </c>
      <c r="B777" s="2982" t="s">
        <v>5792</v>
      </c>
      <c r="C777" s="2982" t="s">
        <v>1156</v>
      </c>
      <c r="D777" s="2982">
        <v>2048113</v>
      </c>
      <c r="E777" s="2982" t="s">
        <v>6402</v>
      </c>
      <c r="F777" s="2993">
        <v>-2.4004569999999998</v>
      </c>
      <c r="J777"/>
    </row>
    <row r="778" spans="1:10" ht="13" hidden="1">
      <c r="A778" s="2983">
        <v>29</v>
      </c>
      <c r="B778" s="2982" t="s">
        <v>5792</v>
      </c>
      <c r="C778" s="2982" t="s">
        <v>1156</v>
      </c>
      <c r="D778" s="2982">
        <v>2048114</v>
      </c>
      <c r="E778" s="2982" t="s">
        <v>6403</v>
      </c>
      <c r="F778" s="2993">
        <v>-15.496472069999999</v>
      </c>
      <c r="J778"/>
    </row>
    <row r="779" spans="1:10" ht="13" hidden="1">
      <c r="A779" s="2983">
        <v>29</v>
      </c>
      <c r="B779" s="2982" t="s">
        <v>5792</v>
      </c>
      <c r="C779" s="2982" t="s">
        <v>1156</v>
      </c>
      <c r="D779" s="2982">
        <v>2048115</v>
      </c>
      <c r="E779" s="2982" t="s">
        <v>6404</v>
      </c>
      <c r="F779" s="2993">
        <v>-1.1074284399999998</v>
      </c>
      <c r="J779"/>
    </row>
    <row r="780" spans="1:10" ht="13" hidden="1">
      <c r="A780" s="2983">
        <v>29</v>
      </c>
      <c r="B780" s="2982" t="s">
        <v>5792</v>
      </c>
      <c r="C780" s="2982" t="s">
        <v>1156</v>
      </c>
      <c r="D780" s="2982">
        <v>2048116</v>
      </c>
      <c r="E780" s="2982" t="s">
        <v>6405</v>
      </c>
      <c r="F780" s="2993">
        <v>-16.903540799999998</v>
      </c>
      <c r="J780"/>
    </row>
    <row r="781" spans="1:10" ht="13" hidden="1">
      <c r="A781" s="2983">
        <v>29</v>
      </c>
      <c r="B781" s="2982" t="s">
        <v>5792</v>
      </c>
      <c r="C781" s="2982" t="s">
        <v>1156</v>
      </c>
      <c r="D781" s="2982">
        <v>2048117</v>
      </c>
      <c r="E781" s="2982" t="s">
        <v>6406</v>
      </c>
      <c r="F781" s="2993">
        <v>-21.919839627999998</v>
      </c>
      <c r="J781"/>
    </row>
    <row r="782" spans="1:10" ht="13" hidden="1">
      <c r="A782" s="2983">
        <v>29</v>
      </c>
      <c r="B782" s="2982" t="s">
        <v>5792</v>
      </c>
      <c r="C782" s="2982" t="s">
        <v>1156</v>
      </c>
      <c r="D782" s="2982">
        <v>2048118</v>
      </c>
      <c r="E782" s="2982" t="s">
        <v>6407</v>
      </c>
      <c r="F782" s="2993">
        <v>-4.4196660239999996</v>
      </c>
      <c r="J782"/>
    </row>
    <row r="783" spans="1:10" ht="13" hidden="1">
      <c r="A783" s="2983">
        <v>29</v>
      </c>
      <c r="B783" s="2982" t="s">
        <v>5792</v>
      </c>
      <c r="C783" s="2982" t="s">
        <v>1156</v>
      </c>
      <c r="D783" s="2982">
        <v>2048120</v>
      </c>
      <c r="E783" s="2982" t="s">
        <v>6408</v>
      </c>
      <c r="F783" s="2993">
        <v>-5.482616653</v>
      </c>
      <c r="J783"/>
    </row>
    <row r="784" spans="1:10" ht="13" hidden="1">
      <c r="A784" s="2983">
        <v>29</v>
      </c>
      <c r="B784" s="2982" t="s">
        <v>5792</v>
      </c>
      <c r="C784" s="2982" t="s">
        <v>1156</v>
      </c>
      <c r="D784" s="2982">
        <v>2048122</v>
      </c>
      <c r="E784" s="2982" t="s">
        <v>6409</v>
      </c>
      <c r="F784" s="2993">
        <v>-0.24718613099999998</v>
      </c>
      <c r="J784"/>
    </row>
    <row r="785" spans="1:10" ht="13" hidden="1">
      <c r="A785" s="2983">
        <v>29</v>
      </c>
      <c r="B785" s="2982" t="s">
        <v>5792</v>
      </c>
      <c r="C785" s="2982" t="s">
        <v>1156</v>
      </c>
      <c r="D785" s="2982">
        <v>2048124</v>
      </c>
      <c r="E785" s="2982" t="s">
        <v>6410</v>
      </c>
      <c r="F785" s="2993">
        <v>-8.2569186000000003E-2</v>
      </c>
      <c r="J785"/>
    </row>
    <row r="786" spans="1:10" ht="13" hidden="1">
      <c r="A786" s="2983">
        <v>29</v>
      </c>
      <c r="B786" s="2982" t="s">
        <v>5792</v>
      </c>
      <c r="C786" s="2982" t="s">
        <v>1156</v>
      </c>
      <c r="D786" s="2982">
        <v>2048126</v>
      </c>
      <c r="E786" s="2982" t="s">
        <v>6411</v>
      </c>
      <c r="F786" s="2993">
        <v>-6.1180908829999998</v>
      </c>
      <c r="J786"/>
    </row>
    <row r="787" spans="1:10" ht="13" hidden="1">
      <c r="A787" s="2983">
        <v>29</v>
      </c>
      <c r="B787" s="2982" t="s">
        <v>5792</v>
      </c>
      <c r="C787" s="2982" t="s">
        <v>1156</v>
      </c>
      <c r="D787" s="2982">
        <v>2048131</v>
      </c>
      <c r="E787" s="2982" t="s">
        <v>6412</v>
      </c>
      <c r="F787" s="2993">
        <v>0</v>
      </c>
      <c r="J787"/>
    </row>
    <row r="788" spans="1:10" ht="13" hidden="1">
      <c r="A788" s="2983">
        <v>29</v>
      </c>
      <c r="B788" s="2982" t="s">
        <v>5792</v>
      </c>
      <c r="C788" s="2982" t="s">
        <v>1156</v>
      </c>
      <c r="D788" s="2982">
        <v>2048201</v>
      </c>
      <c r="E788" s="2982" t="s">
        <v>6413</v>
      </c>
      <c r="F788" s="2993">
        <v>-1.8437705980000001</v>
      </c>
      <c r="J788"/>
    </row>
    <row r="789" spans="1:10" ht="13" hidden="1">
      <c r="A789" s="2983" t="s">
        <v>8166</v>
      </c>
      <c r="B789" s="2982" t="s">
        <v>5789</v>
      </c>
      <c r="C789" s="2984" t="s">
        <v>5862</v>
      </c>
      <c r="D789" s="2982">
        <v>2050107</v>
      </c>
      <c r="E789" s="2982" t="s">
        <v>6414</v>
      </c>
      <c r="F789" s="2993">
        <v>0</v>
      </c>
      <c r="J789"/>
    </row>
    <row r="790" spans="1:10" ht="13" hidden="1">
      <c r="A790" s="2983">
        <v>33</v>
      </c>
      <c r="B790" s="2982" t="s">
        <v>6298</v>
      </c>
      <c r="C790" s="2982" t="s">
        <v>116</v>
      </c>
      <c r="D790" s="2982">
        <v>2051224</v>
      </c>
      <c r="E790" s="2982" t="s">
        <v>6415</v>
      </c>
      <c r="F790" s="2995">
        <v>-3.4424999999999998E-3</v>
      </c>
      <c r="J790"/>
    </row>
    <row r="791" spans="1:10" ht="13" hidden="1">
      <c r="A791" s="2983">
        <v>33</v>
      </c>
      <c r="B791" s="2982" t="s">
        <v>6298</v>
      </c>
      <c r="C791" s="2984" t="s">
        <v>116</v>
      </c>
      <c r="D791" s="2982">
        <v>2051227</v>
      </c>
      <c r="E791" s="2982" t="s">
        <v>6416</v>
      </c>
      <c r="F791" s="2993">
        <v>1.474514954580286E-16</v>
      </c>
      <c r="J791"/>
    </row>
    <row r="792" spans="1:10" ht="13" hidden="1">
      <c r="A792" s="2983">
        <v>33</v>
      </c>
      <c r="B792" s="2982" t="s">
        <v>6298</v>
      </c>
      <c r="C792" s="2982" t="s">
        <v>116</v>
      </c>
      <c r="D792" s="2982">
        <v>2051230</v>
      </c>
      <c r="E792" s="2982" t="s">
        <v>8179</v>
      </c>
      <c r="F792" s="2993">
        <v>-0.53482881699999996</v>
      </c>
      <c r="J792"/>
    </row>
    <row r="793" spans="1:10" ht="13" hidden="1">
      <c r="A793" s="2983">
        <v>33</v>
      </c>
      <c r="B793" s="2982" t="s">
        <v>6298</v>
      </c>
      <c r="C793" s="2982" t="s">
        <v>116</v>
      </c>
      <c r="D793" s="2982">
        <v>2051232</v>
      </c>
      <c r="E793" s="2982" t="s">
        <v>8180</v>
      </c>
      <c r="F793" s="2993">
        <v>3.9298270000001356E-3</v>
      </c>
      <c r="J793"/>
    </row>
    <row r="794" spans="1:10" ht="13" hidden="1">
      <c r="A794" s="2983">
        <v>33</v>
      </c>
      <c r="B794" s="2982" t="s">
        <v>6298</v>
      </c>
      <c r="C794" s="2982" t="s">
        <v>116</v>
      </c>
      <c r="D794" s="2982">
        <v>2051229</v>
      </c>
      <c r="E794" s="2982" t="s">
        <v>6417</v>
      </c>
      <c r="F794" s="2993">
        <v>0</v>
      </c>
      <c r="J794"/>
    </row>
    <row r="795" spans="1:10" ht="13" hidden="1">
      <c r="A795" s="2983">
        <v>19</v>
      </c>
      <c r="B795" s="2982" t="s">
        <v>6418</v>
      </c>
      <c r="C795" s="2982" t="s">
        <v>6419</v>
      </c>
      <c r="D795" s="2982">
        <v>2052102</v>
      </c>
      <c r="E795" s="2982" t="s">
        <v>49</v>
      </c>
      <c r="F795" s="2993">
        <v>-247.94</v>
      </c>
      <c r="J795"/>
    </row>
    <row r="796" spans="1:10" ht="13" hidden="1">
      <c r="A796" s="2983" t="s">
        <v>8181</v>
      </c>
      <c r="B796" s="2982" t="s">
        <v>5789</v>
      </c>
      <c r="C796" s="2982" t="s">
        <v>5862</v>
      </c>
      <c r="D796" s="2982">
        <v>2053305</v>
      </c>
      <c r="E796" s="2982" t="s">
        <v>6420</v>
      </c>
      <c r="F796" s="2993">
        <v>-60.576329571000002</v>
      </c>
      <c r="J796"/>
    </row>
    <row r="797" spans="1:10" ht="13" hidden="1">
      <c r="A797" s="2983" t="s">
        <v>8166</v>
      </c>
      <c r="B797" s="2982" t="s">
        <v>5789</v>
      </c>
      <c r="C797" s="2982" t="s">
        <v>5862</v>
      </c>
      <c r="D797" s="2982">
        <v>2053306</v>
      </c>
      <c r="E797" s="2982" t="s">
        <v>6421</v>
      </c>
      <c r="F797" s="2993">
        <v>-30.294546794999999</v>
      </c>
      <c r="J797"/>
    </row>
    <row r="798" spans="1:10" ht="13" hidden="1">
      <c r="A798" s="2983">
        <v>26</v>
      </c>
      <c r="B798" s="2982" t="s">
        <v>5789</v>
      </c>
      <c r="C798" s="2982" t="s">
        <v>5790</v>
      </c>
      <c r="D798" s="2982">
        <v>2053703</v>
      </c>
      <c r="E798" s="2982" t="s">
        <v>6422</v>
      </c>
      <c r="F798" s="2993">
        <v>0</v>
      </c>
      <c r="J798"/>
    </row>
    <row r="799" spans="1:10" ht="13" hidden="1">
      <c r="A799" s="2983" t="s">
        <v>8166</v>
      </c>
      <c r="B799" s="2982" t="s">
        <v>5789</v>
      </c>
      <c r="C799" s="2982" t="s">
        <v>5862</v>
      </c>
      <c r="D799" s="2982">
        <v>2053308</v>
      </c>
      <c r="E799" s="2982" t="s">
        <v>8182</v>
      </c>
      <c r="F799" s="2993">
        <v>-130</v>
      </c>
      <c r="J799"/>
    </row>
    <row r="800" spans="1:10" ht="13" hidden="1">
      <c r="A800" s="2983" t="s">
        <v>8183</v>
      </c>
      <c r="B800" s="2982" t="s">
        <v>5789</v>
      </c>
      <c r="C800" s="2982" t="s">
        <v>5862</v>
      </c>
      <c r="D800" s="2982">
        <v>2053310</v>
      </c>
      <c r="E800" s="2982" t="s">
        <v>7639</v>
      </c>
      <c r="F800" s="2993">
        <v>-82.40585072799999</v>
      </c>
      <c r="J800"/>
    </row>
    <row r="801" spans="1:10" ht="13" hidden="1">
      <c r="A801" s="2983">
        <v>26</v>
      </c>
      <c r="B801" s="2982" t="s">
        <v>5789</v>
      </c>
      <c r="C801" s="2982" t="s">
        <v>5790</v>
      </c>
      <c r="D801" s="2982">
        <v>2053704</v>
      </c>
      <c r="E801" s="2982" t="s">
        <v>6423</v>
      </c>
      <c r="F801" s="2993">
        <v>0</v>
      </c>
      <c r="J801"/>
    </row>
    <row r="802" spans="1:10" ht="13" hidden="1">
      <c r="A802" s="2983" t="s">
        <v>8184</v>
      </c>
      <c r="B802" s="2982" t="s">
        <v>5789</v>
      </c>
      <c r="C802" s="2982" t="s">
        <v>5862</v>
      </c>
      <c r="D802" s="2982">
        <v>2053705</v>
      </c>
      <c r="E802" s="2982" t="s">
        <v>6424</v>
      </c>
      <c r="F802" s="2993">
        <v>-9.5491800000000002E-2</v>
      </c>
      <c r="J802"/>
    </row>
    <row r="803" spans="1:10" ht="13" hidden="1">
      <c r="A803" s="2983">
        <v>24</v>
      </c>
      <c r="B803" s="2982" t="s">
        <v>6362</v>
      </c>
      <c r="C803" s="2982" t="s">
        <v>6425</v>
      </c>
      <c r="D803" s="2982">
        <v>2055110</v>
      </c>
      <c r="E803" s="2982" t="s">
        <v>6426</v>
      </c>
      <c r="F803" s="2993">
        <v>-211.45244094900002</v>
      </c>
      <c r="J803"/>
    </row>
    <row r="804" spans="1:10" ht="13" hidden="1">
      <c r="A804" s="2983">
        <v>101</v>
      </c>
      <c r="B804" s="2982" t="s">
        <v>6362</v>
      </c>
      <c r="C804" s="2982" t="s">
        <v>6425</v>
      </c>
      <c r="D804" s="2982">
        <v>2055210</v>
      </c>
      <c r="E804" s="2982" t="s">
        <v>6425</v>
      </c>
      <c r="F804" s="2993">
        <v>2.6803065000000001E-2</v>
      </c>
      <c r="J804"/>
    </row>
    <row r="805" spans="1:10" ht="13" hidden="1">
      <c r="A805" s="2983">
        <v>101</v>
      </c>
      <c r="B805" s="2982" t="s">
        <v>6362</v>
      </c>
      <c r="C805" s="2982" t="s">
        <v>6425</v>
      </c>
      <c r="D805" s="2982">
        <v>2055320</v>
      </c>
      <c r="E805" s="2982" t="s">
        <v>6427</v>
      </c>
      <c r="F805" s="2993">
        <v>-92.953294768999996</v>
      </c>
      <c r="J805"/>
    </row>
    <row r="806" spans="1:10" ht="13" hidden="1">
      <c r="A806" s="2983">
        <v>101</v>
      </c>
      <c r="B806" s="2982" t="s">
        <v>6362</v>
      </c>
      <c r="C806" s="2982" t="s">
        <v>6425</v>
      </c>
      <c r="D806" s="2982">
        <v>2055360</v>
      </c>
      <c r="E806" s="2982" t="s">
        <v>6428</v>
      </c>
      <c r="F806" s="2993">
        <v>-1.7122921</v>
      </c>
      <c r="J806"/>
    </row>
    <row r="807" spans="1:10" ht="13" hidden="1">
      <c r="A807" s="2983">
        <v>116</v>
      </c>
      <c r="B807" s="2982" t="s">
        <v>6362</v>
      </c>
      <c r="C807" s="2982" t="s">
        <v>6425</v>
      </c>
      <c r="D807" s="2982">
        <v>2056210</v>
      </c>
      <c r="E807" s="2982" t="s">
        <v>6429</v>
      </c>
      <c r="F807" s="2993">
        <v>4.5849329000000001</v>
      </c>
      <c r="J807"/>
    </row>
    <row r="808" spans="1:10" ht="13" hidden="1">
      <c r="A808" s="2983">
        <v>20</v>
      </c>
      <c r="B808" s="2982" t="s">
        <v>6430</v>
      </c>
      <c r="C808" s="2982" t="s">
        <v>6431</v>
      </c>
      <c r="D808" s="2982">
        <v>2058110</v>
      </c>
      <c r="E808" s="2982" t="s">
        <v>6432</v>
      </c>
      <c r="F808" s="2993">
        <v>-91.439444499000004</v>
      </c>
      <c r="J808"/>
    </row>
    <row r="809" spans="1:10" ht="13" hidden="1">
      <c r="A809" s="2983">
        <v>36</v>
      </c>
      <c r="B809" s="2982" t="s">
        <v>6433</v>
      </c>
      <c r="C809" s="2982" t="s">
        <v>6434</v>
      </c>
      <c r="D809" s="2982">
        <v>3061201</v>
      </c>
      <c r="E809" s="2982" t="s">
        <v>6435</v>
      </c>
      <c r="F809" s="2993">
        <v>-360.31016360000001</v>
      </c>
      <c r="J809"/>
    </row>
    <row r="810" spans="1:10" ht="13" hidden="1">
      <c r="A810" s="2983">
        <v>36</v>
      </c>
      <c r="B810" s="2982" t="s">
        <v>6433</v>
      </c>
      <c r="C810" s="2982" t="s">
        <v>6434</v>
      </c>
      <c r="D810" s="2982">
        <v>3061202</v>
      </c>
      <c r="E810" s="2982" t="s">
        <v>6436</v>
      </c>
      <c r="F810" s="2993">
        <v>-35.485086982999995</v>
      </c>
      <c r="J810"/>
    </row>
    <row r="811" spans="1:10" ht="13" hidden="1">
      <c r="A811" s="2983">
        <v>36</v>
      </c>
      <c r="B811" s="2982" t="s">
        <v>6433</v>
      </c>
      <c r="C811" s="2982" t="s">
        <v>6434</v>
      </c>
      <c r="D811" s="2982">
        <v>3061203</v>
      </c>
      <c r="E811" s="2982" t="s">
        <v>6437</v>
      </c>
      <c r="F811" s="2993">
        <v>0</v>
      </c>
      <c r="J811"/>
    </row>
    <row r="812" spans="1:10" ht="13" hidden="1">
      <c r="A812" s="2983">
        <v>36</v>
      </c>
      <c r="B812" s="2982" t="s">
        <v>6433</v>
      </c>
      <c r="C812" s="2982" t="s">
        <v>6434</v>
      </c>
      <c r="D812" s="2982">
        <v>3061205</v>
      </c>
      <c r="E812" s="2982" t="s">
        <v>6438</v>
      </c>
      <c r="F812" s="2993">
        <v>-2.0424783180000001</v>
      </c>
      <c r="J812"/>
    </row>
    <row r="813" spans="1:10" ht="13" hidden="1">
      <c r="A813" s="2983">
        <v>36</v>
      </c>
      <c r="B813" s="2982" t="s">
        <v>6433</v>
      </c>
      <c r="C813" s="2982" t="s">
        <v>6434</v>
      </c>
      <c r="D813" s="2982">
        <v>3061206</v>
      </c>
      <c r="E813" s="2982" t="s">
        <v>6439</v>
      </c>
      <c r="F813" s="2993">
        <v>-5.9757057999999995E-2</v>
      </c>
      <c r="J813"/>
    </row>
    <row r="814" spans="1:10" ht="13" hidden="1">
      <c r="A814" s="2983">
        <v>36</v>
      </c>
      <c r="B814" s="2982" t="s">
        <v>6433</v>
      </c>
      <c r="C814" s="2982" t="s">
        <v>6434</v>
      </c>
      <c r="D814" s="2982">
        <v>3061208</v>
      </c>
      <c r="E814" s="2982" t="s">
        <v>6440</v>
      </c>
      <c r="F814" s="2993">
        <v>-117.60588290700002</v>
      </c>
      <c r="J814"/>
    </row>
    <row r="815" spans="1:10" ht="13" hidden="1">
      <c r="A815" s="2983">
        <v>36</v>
      </c>
      <c r="B815" s="2982" t="s">
        <v>6433</v>
      </c>
      <c r="C815" s="2982" t="s">
        <v>6434</v>
      </c>
      <c r="D815" s="2982">
        <v>3061209</v>
      </c>
      <c r="E815" s="2982" t="s">
        <v>6441</v>
      </c>
      <c r="F815" s="2993">
        <v>-4.5853600299999995</v>
      </c>
      <c r="J815"/>
    </row>
    <row r="816" spans="1:10" ht="13" hidden="1">
      <c r="A816" s="2983">
        <v>36</v>
      </c>
      <c r="B816" s="2982" t="s">
        <v>6433</v>
      </c>
      <c r="C816" s="2982" t="s">
        <v>6434</v>
      </c>
      <c r="D816" s="2982">
        <v>3061217</v>
      </c>
      <c r="E816" s="2982" t="s">
        <v>6442</v>
      </c>
      <c r="F816" s="2993">
        <v>-3.606977278</v>
      </c>
      <c r="J816"/>
    </row>
    <row r="817" spans="1:10" ht="13" hidden="1">
      <c r="A817" s="2983">
        <v>36</v>
      </c>
      <c r="B817" s="2982" t="s">
        <v>6433</v>
      </c>
      <c r="C817" s="2982" t="s">
        <v>6434</v>
      </c>
      <c r="D817" s="2982">
        <v>3061218</v>
      </c>
      <c r="E817" s="2982" t="s">
        <v>6443</v>
      </c>
      <c r="F817" s="2993">
        <v>-0.56787660900000003</v>
      </c>
      <c r="J817"/>
    </row>
    <row r="818" spans="1:10" ht="13" hidden="1">
      <c r="A818" s="2983">
        <v>36</v>
      </c>
      <c r="B818" s="2982" t="s">
        <v>6433</v>
      </c>
      <c r="C818" s="2982" t="s">
        <v>6434</v>
      </c>
      <c r="D818" s="2982">
        <v>3061220</v>
      </c>
      <c r="E818" s="2982" t="s">
        <v>6444</v>
      </c>
      <c r="F818" s="2993">
        <v>-8.2163827610000002</v>
      </c>
      <c r="J818"/>
    </row>
    <row r="819" spans="1:10" ht="13" hidden="1">
      <c r="A819" s="2983">
        <v>36</v>
      </c>
      <c r="B819" s="2982" t="s">
        <v>6433</v>
      </c>
      <c r="C819" s="2982" t="s">
        <v>6434</v>
      </c>
      <c r="D819" s="2982">
        <v>3061221</v>
      </c>
      <c r="E819" s="2982" t="s">
        <v>6445</v>
      </c>
      <c r="F819" s="2993">
        <v>-1.7791853690000001</v>
      </c>
      <c r="J819"/>
    </row>
    <row r="820" spans="1:10" ht="13" hidden="1">
      <c r="A820" s="2983">
        <v>36</v>
      </c>
      <c r="B820" s="2982" t="s">
        <v>6433</v>
      </c>
      <c r="C820" s="2982" t="s">
        <v>6434</v>
      </c>
      <c r="D820" s="2982">
        <v>3061229</v>
      </c>
      <c r="E820" s="2982" t="s">
        <v>6446</v>
      </c>
      <c r="F820" s="2993">
        <v>-70.102100120000003</v>
      </c>
      <c r="J820"/>
    </row>
    <row r="821" spans="1:10" ht="13" hidden="1">
      <c r="A821" s="2983">
        <v>36</v>
      </c>
      <c r="B821" s="2982" t="s">
        <v>6433</v>
      </c>
      <c r="C821" s="2982" t="s">
        <v>6434</v>
      </c>
      <c r="D821" s="2982">
        <v>3061230</v>
      </c>
      <c r="E821" s="2982" t="s">
        <v>6447</v>
      </c>
      <c r="F821" s="2993">
        <v>-14.100551266</v>
      </c>
      <c r="J821"/>
    </row>
    <row r="822" spans="1:10" ht="13" hidden="1">
      <c r="A822" s="2983">
        <v>36</v>
      </c>
      <c r="B822" s="2982" t="s">
        <v>6433</v>
      </c>
      <c r="C822" s="2982" t="s">
        <v>6434</v>
      </c>
      <c r="D822" s="2982">
        <v>3061241</v>
      </c>
      <c r="E822" s="2982" t="s">
        <v>6448</v>
      </c>
      <c r="F822" s="2993">
        <v>-41.139520542</v>
      </c>
      <c r="J822"/>
    </row>
    <row r="823" spans="1:10" ht="13" hidden="1">
      <c r="A823" s="2983">
        <v>36</v>
      </c>
      <c r="B823" s="2982" t="s">
        <v>6433</v>
      </c>
      <c r="C823" s="2982" t="s">
        <v>6434</v>
      </c>
      <c r="D823" s="2982">
        <v>3061242</v>
      </c>
      <c r="E823" s="2982" t="s">
        <v>6449</v>
      </c>
      <c r="F823" s="2993">
        <v>-3.5028100000000002</v>
      </c>
      <c r="J823"/>
    </row>
    <row r="824" spans="1:10" ht="13" hidden="1">
      <c r="A824" s="2983">
        <v>36</v>
      </c>
      <c r="B824" s="2982" t="s">
        <v>6433</v>
      </c>
      <c r="C824" s="2982" t="s">
        <v>6434</v>
      </c>
      <c r="D824" s="2982">
        <v>3061244</v>
      </c>
      <c r="E824" s="2982" t="s">
        <v>6450</v>
      </c>
      <c r="F824" s="2993">
        <v>-10.354883262000001</v>
      </c>
      <c r="J824"/>
    </row>
    <row r="825" spans="1:10" ht="13" hidden="1">
      <c r="A825" s="2983">
        <v>36</v>
      </c>
      <c r="B825" s="2982" t="s">
        <v>6433</v>
      </c>
      <c r="C825" s="2982" t="s">
        <v>6434</v>
      </c>
      <c r="D825" s="2982">
        <v>3061245</v>
      </c>
      <c r="E825" s="2982" t="s">
        <v>6451</v>
      </c>
      <c r="F825" s="2993">
        <v>-0.145621942</v>
      </c>
      <c r="J825"/>
    </row>
    <row r="826" spans="1:10" ht="13" hidden="1">
      <c r="A826" s="2983">
        <v>36</v>
      </c>
      <c r="B826" s="2982" t="s">
        <v>6433</v>
      </c>
      <c r="C826" s="2982" t="s">
        <v>6434</v>
      </c>
      <c r="D826" s="2982">
        <v>3061250</v>
      </c>
      <c r="E826" s="2982" t="s">
        <v>6452</v>
      </c>
      <c r="F826" s="2993">
        <v>-83.977969275000007</v>
      </c>
      <c r="J826"/>
    </row>
    <row r="827" spans="1:10" ht="13" hidden="1">
      <c r="A827" s="2983">
        <v>36</v>
      </c>
      <c r="B827" s="2982" t="s">
        <v>6433</v>
      </c>
      <c r="C827" s="2982" t="s">
        <v>6434</v>
      </c>
      <c r="D827" s="2982">
        <v>3061251</v>
      </c>
      <c r="E827" s="2982" t="s">
        <v>6453</v>
      </c>
      <c r="F827" s="2993">
        <v>-19.455185</v>
      </c>
      <c r="J827"/>
    </row>
    <row r="828" spans="1:10" ht="13" hidden="1">
      <c r="A828" s="2983">
        <v>36</v>
      </c>
      <c r="B828" s="2982" t="s">
        <v>6433</v>
      </c>
      <c r="C828" s="2982" t="s">
        <v>6434</v>
      </c>
      <c r="D828" s="2982">
        <v>3061253</v>
      </c>
      <c r="E828" s="2982" t="s">
        <v>6454</v>
      </c>
      <c r="F828" s="2993">
        <v>-7.8397490080000001</v>
      </c>
      <c r="J828"/>
    </row>
    <row r="829" spans="1:10" ht="13" hidden="1">
      <c r="A829" s="2983">
        <v>36</v>
      </c>
      <c r="B829" s="2982" t="s">
        <v>6433</v>
      </c>
      <c r="C829" s="2982" t="s">
        <v>6434</v>
      </c>
      <c r="D829" s="2982">
        <v>3061254</v>
      </c>
      <c r="E829" s="2982" t="s">
        <v>6455</v>
      </c>
      <c r="F829" s="2993">
        <v>-0.84061029900000006</v>
      </c>
      <c r="J829"/>
    </row>
    <row r="830" spans="1:10" ht="13" hidden="1">
      <c r="A830" s="2983">
        <v>36</v>
      </c>
      <c r="B830" s="2982" t="s">
        <v>6433</v>
      </c>
      <c r="C830" s="2982" t="s">
        <v>6434</v>
      </c>
      <c r="D830" s="2982">
        <v>3061259</v>
      </c>
      <c r="E830" s="2982" t="s">
        <v>6456</v>
      </c>
      <c r="F830" s="2993">
        <v>-20.896659001000003</v>
      </c>
      <c r="J830"/>
    </row>
    <row r="831" spans="1:10" ht="13" hidden="1">
      <c r="A831" s="2983">
        <v>36</v>
      </c>
      <c r="B831" s="2982" t="s">
        <v>6433</v>
      </c>
      <c r="C831" s="2982" t="s">
        <v>6434</v>
      </c>
      <c r="D831" s="2982">
        <v>3061260</v>
      </c>
      <c r="E831" s="2982" t="s">
        <v>6457</v>
      </c>
      <c r="F831" s="2993">
        <v>-1.1816415499999999</v>
      </c>
      <c r="J831"/>
    </row>
    <row r="832" spans="1:10" ht="13" hidden="1">
      <c r="A832" s="2983">
        <v>36</v>
      </c>
      <c r="B832" s="2982" t="s">
        <v>6433</v>
      </c>
      <c r="C832" s="2982" t="s">
        <v>6434</v>
      </c>
      <c r="D832" s="2982">
        <v>3061262</v>
      </c>
      <c r="E832" s="2982" t="s">
        <v>6458</v>
      </c>
      <c r="F832" s="2993">
        <v>-9.217594171</v>
      </c>
      <c r="J832"/>
    </row>
    <row r="833" spans="1:10" ht="13" hidden="1">
      <c r="A833" s="2983">
        <v>36</v>
      </c>
      <c r="B833" s="2982" t="s">
        <v>6433</v>
      </c>
      <c r="C833" s="2982" t="s">
        <v>6434</v>
      </c>
      <c r="D833" s="2982">
        <v>3061263</v>
      </c>
      <c r="E833" s="2982" t="s">
        <v>6459</v>
      </c>
      <c r="F833" s="2993">
        <v>-1.335650888</v>
      </c>
      <c r="J833"/>
    </row>
    <row r="834" spans="1:10" ht="13" hidden="1">
      <c r="A834" s="2983">
        <v>36</v>
      </c>
      <c r="B834" s="2982" t="s">
        <v>6433</v>
      </c>
      <c r="C834" s="2982" t="s">
        <v>6434</v>
      </c>
      <c r="D834" s="2982">
        <v>3061265</v>
      </c>
      <c r="E834" s="2982" t="s">
        <v>6460</v>
      </c>
      <c r="F834" s="2993">
        <v>-0.46856922899999998</v>
      </c>
      <c r="J834"/>
    </row>
    <row r="835" spans="1:10" ht="13" hidden="1">
      <c r="A835" s="2983">
        <v>36</v>
      </c>
      <c r="B835" s="2982" t="s">
        <v>6433</v>
      </c>
      <c r="C835" s="2982" t="s">
        <v>6434</v>
      </c>
      <c r="D835" s="2982">
        <v>3061266</v>
      </c>
      <c r="E835" s="2982" t="s">
        <v>6461</v>
      </c>
      <c r="F835" s="2993">
        <v>-3.1005534000000001E-2</v>
      </c>
      <c r="J835"/>
    </row>
    <row r="836" spans="1:10" ht="13" hidden="1">
      <c r="A836" s="2983">
        <v>36</v>
      </c>
      <c r="B836" s="2982" t="s">
        <v>6433</v>
      </c>
      <c r="C836" s="2982" t="s">
        <v>6434</v>
      </c>
      <c r="D836" s="2982">
        <v>3061269</v>
      </c>
      <c r="E836" s="2982" t="s">
        <v>6462</v>
      </c>
      <c r="F836" s="2993">
        <v>-0.359735625</v>
      </c>
      <c r="J836"/>
    </row>
    <row r="837" spans="1:10" ht="13" hidden="1">
      <c r="A837" s="2983">
        <v>36</v>
      </c>
      <c r="B837" s="2982" t="s">
        <v>6433</v>
      </c>
      <c r="C837" s="2982" t="s">
        <v>6434</v>
      </c>
      <c r="D837" s="2982">
        <v>3061271</v>
      </c>
      <c r="E837" s="2982" t="s">
        <v>6463</v>
      </c>
      <c r="F837" s="2993">
        <v>-0.16021448400000002</v>
      </c>
      <c r="J837"/>
    </row>
    <row r="838" spans="1:10" ht="13" hidden="1">
      <c r="A838" s="2983">
        <v>36</v>
      </c>
      <c r="B838" s="2982" t="s">
        <v>6433</v>
      </c>
      <c r="C838" s="2982" t="s">
        <v>6434</v>
      </c>
      <c r="D838" s="2982">
        <v>3061272</v>
      </c>
      <c r="E838" s="2982" t="s">
        <v>6464</v>
      </c>
      <c r="F838" s="2993">
        <v>-1.8781998000000001E-2</v>
      </c>
      <c r="J838"/>
    </row>
    <row r="839" spans="1:10" ht="13" hidden="1">
      <c r="A839" s="2983">
        <v>36</v>
      </c>
      <c r="B839" s="2982" t="s">
        <v>6433</v>
      </c>
      <c r="C839" s="2982" t="s">
        <v>6434</v>
      </c>
      <c r="D839" s="2982">
        <v>3061275</v>
      </c>
      <c r="E839" s="2982" t="s">
        <v>6465</v>
      </c>
      <c r="F839" s="2993">
        <v>-5.1129190000000005E-2</v>
      </c>
      <c r="J839"/>
    </row>
    <row r="840" spans="1:10" ht="13" hidden="1">
      <c r="A840" s="2983">
        <v>36</v>
      </c>
      <c r="B840" s="2982" t="s">
        <v>6433</v>
      </c>
      <c r="C840" s="2982" t="s">
        <v>6434</v>
      </c>
      <c r="D840" s="2982">
        <v>3061277</v>
      </c>
      <c r="E840" s="2982" t="s">
        <v>6466</v>
      </c>
      <c r="F840" s="2993">
        <v>-15.688932653000004</v>
      </c>
      <c r="J840"/>
    </row>
    <row r="841" spans="1:10" ht="13" hidden="1">
      <c r="A841" s="2983">
        <v>36</v>
      </c>
      <c r="B841" s="2982" t="s">
        <v>6433</v>
      </c>
      <c r="C841" s="2982" t="s">
        <v>6434</v>
      </c>
      <c r="D841" s="2982">
        <v>3061278</v>
      </c>
      <c r="E841" s="2982" t="s">
        <v>6467</v>
      </c>
      <c r="F841" s="2993">
        <v>-1.015083677</v>
      </c>
      <c r="J841"/>
    </row>
    <row r="842" spans="1:10" ht="13" hidden="1">
      <c r="A842" s="2983">
        <v>36</v>
      </c>
      <c r="B842" s="2982" t="s">
        <v>6433</v>
      </c>
      <c r="C842" s="2982" t="s">
        <v>6434</v>
      </c>
      <c r="D842" s="2982">
        <v>3061400</v>
      </c>
      <c r="E842" s="2982" t="s">
        <v>7796</v>
      </c>
      <c r="F842" s="2993">
        <v>1.5357221000000001</v>
      </c>
      <c r="J842"/>
    </row>
    <row r="843" spans="1:10" ht="13" hidden="1">
      <c r="A843" s="2983">
        <v>39</v>
      </c>
      <c r="B843" s="2982" t="s">
        <v>5834</v>
      </c>
      <c r="C843" s="2982" t="s">
        <v>6468</v>
      </c>
      <c r="D843" s="2982">
        <v>3061610</v>
      </c>
      <c r="E843" s="2982" t="s">
        <v>3003</v>
      </c>
      <c r="F843" s="2993">
        <v>-9.3450482599999987</v>
      </c>
      <c r="J843"/>
    </row>
    <row r="844" spans="1:10" ht="13" hidden="1">
      <c r="A844" s="2983">
        <v>42</v>
      </c>
      <c r="B844" s="2982" t="s">
        <v>896</v>
      </c>
      <c r="C844" s="2982" t="s">
        <v>5832</v>
      </c>
      <c r="D844" s="2982">
        <v>3062250</v>
      </c>
      <c r="E844" s="2982" t="s">
        <v>6469</v>
      </c>
      <c r="F844" s="2993">
        <v>-5.3679029930000004</v>
      </c>
      <c r="J844"/>
    </row>
    <row r="845" spans="1:10" ht="13" hidden="1">
      <c r="A845" s="2983">
        <v>40</v>
      </c>
      <c r="B845" s="2982" t="s">
        <v>5834</v>
      </c>
      <c r="C845" s="2982" t="s">
        <v>5835</v>
      </c>
      <c r="D845" s="2982">
        <v>3062251</v>
      </c>
      <c r="E845" s="2982" t="s">
        <v>6470</v>
      </c>
      <c r="F845" s="2993">
        <v>0</v>
      </c>
      <c r="J845"/>
    </row>
    <row r="846" spans="1:10" ht="13" hidden="1">
      <c r="A846" s="2983">
        <v>44</v>
      </c>
      <c r="B846" s="2982" t="s">
        <v>896</v>
      </c>
      <c r="C846" s="2982" t="s">
        <v>5826</v>
      </c>
      <c r="D846" s="2982">
        <v>3062252</v>
      </c>
      <c r="E846" s="2982" t="s">
        <v>6471</v>
      </c>
      <c r="F846" s="2993">
        <v>0</v>
      </c>
      <c r="J846"/>
    </row>
    <row r="847" spans="1:10" ht="13" hidden="1">
      <c r="A847" s="2983">
        <v>2</v>
      </c>
      <c r="B847" s="2982" t="s">
        <v>1020</v>
      </c>
      <c r="C847" s="2982" t="s">
        <v>1020</v>
      </c>
      <c r="D847" s="2982">
        <v>4022301</v>
      </c>
      <c r="E847" s="2982" t="s">
        <v>6472</v>
      </c>
      <c r="F847" s="2993">
        <v>0</v>
      </c>
      <c r="J847"/>
    </row>
    <row r="848" spans="1:10" ht="13" hidden="1">
      <c r="A848" s="2983">
        <v>2</v>
      </c>
      <c r="B848" s="2982" t="s">
        <v>1020</v>
      </c>
      <c r="C848" s="2982" t="s">
        <v>1020</v>
      </c>
      <c r="D848" s="2982">
        <v>4022302</v>
      </c>
      <c r="E848" s="2982" t="s">
        <v>6473</v>
      </c>
      <c r="F848" s="2993">
        <v>0</v>
      </c>
      <c r="J848"/>
    </row>
    <row r="849" spans="1:11" ht="13" hidden="1">
      <c r="A849" s="2983">
        <v>2</v>
      </c>
      <c r="B849" s="2982" t="s">
        <v>1020</v>
      </c>
      <c r="C849" s="2982" t="s">
        <v>1020</v>
      </c>
      <c r="D849" s="2982">
        <v>4022303</v>
      </c>
      <c r="E849" s="2982" t="s">
        <v>6474</v>
      </c>
      <c r="F849" s="2993">
        <v>0</v>
      </c>
      <c r="J849"/>
    </row>
    <row r="850" spans="1:11" ht="13" hidden="1">
      <c r="A850" s="2983">
        <v>2</v>
      </c>
      <c r="B850" s="2982" t="s">
        <v>1020</v>
      </c>
      <c r="C850" s="2982" t="s">
        <v>1020</v>
      </c>
      <c r="D850" s="2982">
        <v>4022306</v>
      </c>
      <c r="E850" s="2982" t="s">
        <v>6475</v>
      </c>
      <c r="F850" s="2993">
        <v>0</v>
      </c>
      <c r="J850"/>
    </row>
    <row r="851" spans="1:11" ht="13" hidden="1">
      <c r="A851" s="2983">
        <v>2</v>
      </c>
      <c r="B851" s="2982" t="s">
        <v>1020</v>
      </c>
      <c r="C851" s="2982" t="s">
        <v>1020</v>
      </c>
      <c r="D851" s="2982">
        <v>4022310</v>
      </c>
      <c r="E851" s="2982" t="s">
        <v>6476</v>
      </c>
      <c r="F851" s="2993">
        <v>0</v>
      </c>
      <c r="J851"/>
    </row>
    <row r="852" spans="1:11" ht="13" hidden="1">
      <c r="A852" s="2983">
        <v>2</v>
      </c>
      <c r="B852" s="2982" t="s">
        <v>1020</v>
      </c>
      <c r="C852" s="2982" t="s">
        <v>1020</v>
      </c>
      <c r="D852" s="2982">
        <v>4022311</v>
      </c>
      <c r="E852" s="2982" t="s">
        <v>7273</v>
      </c>
      <c r="F852" s="2993">
        <v>0</v>
      </c>
      <c r="J852"/>
    </row>
    <row r="853" spans="1:11" ht="13" hidden="1">
      <c r="A853" s="2983">
        <v>2</v>
      </c>
      <c r="B853" s="2982" t="s">
        <v>1020</v>
      </c>
      <c r="C853" s="2982" t="s">
        <v>1020</v>
      </c>
      <c r="D853" s="2982">
        <v>4022314</v>
      </c>
      <c r="E853" s="2982" t="s">
        <v>6477</v>
      </c>
      <c r="F853" s="2993">
        <v>0</v>
      </c>
      <c r="J853"/>
    </row>
    <row r="854" spans="1:11" ht="13" hidden="1">
      <c r="A854" s="2983">
        <v>2</v>
      </c>
      <c r="B854" s="2982" t="s">
        <v>1020</v>
      </c>
      <c r="C854" s="2982" t="s">
        <v>1020</v>
      </c>
      <c r="D854" s="2982">
        <v>4022315</v>
      </c>
      <c r="E854" s="2982" t="s">
        <v>6478</v>
      </c>
      <c r="F854" s="2993">
        <v>0</v>
      </c>
      <c r="J854"/>
    </row>
    <row r="855" spans="1:11" ht="13" hidden="1">
      <c r="A855" s="2983">
        <v>57</v>
      </c>
      <c r="B855" s="2982" t="s">
        <v>1525</v>
      </c>
      <c r="C855" s="2982" t="s">
        <v>5532</v>
      </c>
      <c r="D855" s="2982">
        <v>4022322</v>
      </c>
      <c r="E855" s="2982" t="s">
        <v>5533</v>
      </c>
      <c r="F855" s="2993">
        <v>0.14300303199999995</v>
      </c>
      <c r="J855">
        <v>1</v>
      </c>
    </row>
    <row r="856" spans="1:11" ht="13" hidden="1">
      <c r="A856" s="2983">
        <v>57</v>
      </c>
      <c r="B856" s="2982" t="s">
        <v>1525</v>
      </c>
      <c r="C856" s="2982" t="s">
        <v>5532</v>
      </c>
      <c r="D856" s="2982">
        <v>4022323</v>
      </c>
      <c r="E856" s="2982" t="s">
        <v>5534</v>
      </c>
      <c r="F856" s="2993">
        <v>2.6273298829999998</v>
      </c>
      <c r="J856">
        <v>1</v>
      </c>
    </row>
    <row r="857" spans="1:11" ht="13" hidden="1">
      <c r="A857" s="2983">
        <v>57</v>
      </c>
      <c r="B857" s="2982" t="s">
        <v>1525</v>
      </c>
      <c r="C857" s="2982" t="s">
        <v>5532</v>
      </c>
      <c r="D857" s="2982">
        <v>4022324</v>
      </c>
      <c r="E857" s="2982" t="s">
        <v>5535</v>
      </c>
      <c r="F857" s="2993">
        <v>0.35292348500000004</v>
      </c>
      <c r="J857">
        <v>1</v>
      </c>
    </row>
    <row r="858" spans="1:11" ht="13" hidden="1">
      <c r="A858" s="2983">
        <v>57</v>
      </c>
      <c r="B858" s="2982" t="s">
        <v>1525</v>
      </c>
      <c r="C858" s="2982" t="s">
        <v>5532</v>
      </c>
      <c r="D858" s="2982">
        <v>4022325</v>
      </c>
      <c r="E858" s="2982" t="s">
        <v>5536</v>
      </c>
      <c r="F858" s="2993">
        <v>1.4062437049999998</v>
      </c>
      <c r="J858">
        <v>1</v>
      </c>
    </row>
    <row r="859" spans="1:11" ht="13" hidden="1">
      <c r="A859" s="2983">
        <v>57</v>
      </c>
      <c r="B859" s="2982" t="s">
        <v>1525</v>
      </c>
      <c r="C859" s="2982" t="s">
        <v>5532</v>
      </c>
      <c r="D859" s="2982">
        <v>4022326</v>
      </c>
      <c r="E859" s="2982" t="s">
        <v>5537</v>
      </c>
      <c r="F859" s="2993">
        <v>0.41414694099999999</v>
      </c>
      <c r="J859">
        <v>1</v>
      </c>
    </row>
    <row r="860" spans="1:11" ht="13" hidden="1">
      <c r="A860" s="2983">
        <v>57</v>
      </c>
      <c r="B860" s="2982" t="s">
        <v>1525</v>
      </c>
      <c r="C860" s="2982" t="s">
        <v>5532</v>
      </c>
      <c r="D860" s="2982">
        <v>4022329</v>
      </c>
      <c r="E860" s="2982" t="s">
        <v>5538</v>
      </c>
      <c r="F860" s="2993">
        <v>0.47749974100000003</v>
      </c>
      <c r="J860">
        <v>1</v>
      </c>
    </row>
    <row r="861" spans="1:11" ht="13" hidden="1">
      <c r="A861" s="2983">
        <v>58</v>
      </c>
      <c r="B861" s="2982" t="s">
        <v>1525</v>
      </c>
      <c r="C861" s="2982" t="s">
        <v>5539</v>
      </c>
      <c r="D861" s="2982">
        <v>4022330</v>
      </c>
      <c r="E861" s="2982" t="s">
        <v>5540</v>
      </c>
      <c r="F861" s="2993">
        <v>0.62976689799999985</v>
      </c>
      <c r="J861" s="4">
        <v>7</v>
      </c>
      <c r="K861" s="608" t="s">
        <v>6960</v>
      </c>
    </row>
    <row r="862" spans="1:11" ht="13" hidden="1">
      <c r="A862" s="2983">
        <v>58</v>
      </c>
      <c r="B862" s="2982" t="s">
        <v>1525</v>
      </c>
      <c r="C862" s="2982" t="s">
        <v>5539</v>
      </c>
      <c r="D862" s="2982">
        <v>4022332</v>
      </c>
      <c r="E862" s="2982" t="s">
        <v>8185</v>
      </c>
      <c r="F862" s="2993">
        <v>0</v>
      </c>
      <c r="J862" s="4">
        <v>7</v>
      </c>
      <c r="K862" s="608" t="s">
        <v>6960</v>
      </c>
    </row>
    <row r="863" spans="1:11" ht="13" hidden="1">
      <c r="A863" s="2983">
        <v>58</v>
      </c>
      <c r="B863" s="2982" t="s">
        <v>1525</v>
      </c>
      <c r="C863" s="2982" t="s">
        <v>5539</v>
      </c>
      <c r="D863" s="2982">
        <v>4022334</v>
      </c>
      <c r="E863" s="2982" t="s">
        <v>5541</v>
      </c>
      <c r="F863" s="2993">
        <v>6.5821807119364841</v>
      </c>
      <c r="J863" s="4">
        <v>3</v>
      </c>
      <c r="K863" s="608" t="s">
        <v>6960</v>
      </c>
    </row>
    <row r="864" spans="1:11" ht="13" hidden="1">
      <c r="A864" s="2983">
        <v>58</v>
      </c>
      <c r="B864" s="2982" t="s">
        <v>1525</v>
      </c>
      <c r="C864" s="2982" t="s">
        <v>5539</v>
      </c>
      <c r="D864" s="2982">
        <v>4022335</v>
      </c>
      <c r="E864" s="2982" t="s">
        <v>5542</v>
      </c>
      <c r="F864" s="2993">
        <v>0.18870288700000001</v>
      </c>
      <c r="J864" s="4">
        <v>3</v>
      </c>
      <c r="K864" s="608" t="s">
        <v>6960</v>
      </c>
    </row>
    <row r="865" spans="1:11" ht="13" hidden="1">
      <c r="A865" s="2983">
        <v>59</v>
      </c>
      <c r="B865" s="2982" t="s">
        <v>1525</v>
      </c>
      <c r="C865" s="2982" t="s">
        <v>5543</v>
      </c>
      <c r="D865" s="2982">
        <v>4022339</v>
      </c>
      <c r="E865" s="2982" t="s">
        <v>5544</v>
      </c>
      <c r="F865" s="2993">
        <v>0.11737117200000002</v>
      </c>
      <c r="J865">
        <v>7</v>
      </c>
      <c r="K865" s="608" t="s">
        <v>6960</v>
      </c>
    </row>
    <row r="866" spans="1:11" ht="13" hidden="1">
      <c r="A866" s="2983">
        <v>59</v>
      </c>
      <c r="B866" s="2982" t="s">
        <v>1525</v>
      </c>
      <c r="C866" s="2982" t="s">
        <v>5543</v>
      </c>
      <c r="D866" s="2982">
        <v>4022340</v>
      </c>
      <c r="E866" s="2982" t="s">
        <v>5545</v>
      </c>
      <c r="F866" s="2993">
        <v>0.55499818999999984</v>
      </c>
      <c r="J866">
        <v>7</v>
      </c>
      <c r="K866" s="608" t="s">
        <v>6960</v>
      </c>
    </row>
    <row r="867" spans="1:11" ht="13" hidden="1">
      <c r="A867" s="2983">
        <v>59</v>
      </c>
      <c r="B867" s="2982" t="s">
        <v>1525</v>
      </c>
      <c r="C867" s="2982" t="s">
        <v>5543</v>
      </c>
      <c r="D867" s="2982">
        <v>4022501</v>
      </c>
      <c r="E867" s="2982" t="s">
        <v>5546</v>
      </c>
      <c r="F867" s="2993">
        <v>0.29103547400000018</v>
      </c>
      <c r="J867">
        <v>7</v>
      </c>
      <c r="K867" s="608" t="s">
        <v>6960</v>
      </c>
    </row>
    <row r="868" spans="1:11" ht="13" hidden="1">
      <c r="A868" s="2983">
        <v>59</v>
      </c>
      <c r="B868" s="2982" t="s">
        <v>1525</v>
      </c>
      <c r="C868" s="2982" t="s">
        <v>5543</v>
      </c>
      <c r="D868" s="2982">
        <v>4047100</v>
      </c>
      <c r="E868" s="2982" t="s">
        <v>5547</v>
      </c>
      <c r="F868" s="2993">
        <v>0</v>
      </c>
      <c r="J868">
        <v>7</v>
      </c>
      <c r="K868" s="608" t="s">
        <v>6960</v>
      </c>
    </row>
    <row r="869" spans="1:11" ht="13" hidden="1">
      <c r="A869" s="2983">
        <v>47</v>
      </c>
      <c r="B869" s="2982" t="s">
        <v>5841</v>
      </c>
      <c r="C869" s="2982" t="s">
        <v>3727</v>
      </c>
      <c r="D869" s="2982">
        <v>4070108</v>
      </c>
      <c r="E869" s="2982" t="s">
        <v>6479</v>
      </c>
      <c r="F869" s="2993">
        <v>0.39348</v>
      </c>
      <c r="J869"/>
    </row>
    <row r="870" spans="1:11" ht="13" hidden="1">
      <c r="A870" s="2983">
        <v>47</v>
      </c>
      <c r="B870" s="2982" t="s">
        <v>5841</v>
      </c>
      <c r="C870" s="2982" t="s">
        <v>3727</v>
      </c>
      <c r="D870" s="2982">
        <v>4070143</v>
      </c>
      <c r="E870" s="2982" t="s">
        <v>6480</v>
      </c>
      <c r="F870" s="2993">
        <v>62.746704700000002</v>
      </c>
      <c r="J870"/>
    </row>
    <row r="871" spans="1:11" ht="13" hidden="1">
      <c r="A871" s="2983">
        <v>45</v>
      </c>
      <c r="B871" s="2982" t="s">
        <v>5841</v>
      </c>
      <c r="C871" s="2982" t="s">
        <v>413</v>
      </c>
      <c r="D871" s="2982">
        <v>4070144</v>
      </c>
      <c r="E871" s="2982" t="s">
        <v>6481</v>
      </c>
      <c r="F871" s="2993">
        <v>514.03711320000002</v>
      </c>
      <c r="J871"/>
    </row>
    <row r="872" spans="1:11" ht="13" hidden="1">
      <c r="A872" s="2983">
        <v>58</v>
      </c>
      <c r="B872" s="2982" t="s">
        <v>1525</v>
      </c>
      <c r="C872" s="2982" t="s">
        <v>5539</v>
      </c>
      <c r="D872" s="2982">
        <v>4047363</v>
      </c>
      <c r="E872" s="2982" t="s">
        <v>8186</v>
      </c>
      <c r="F872" s="2993">
        <v>0.58950440000000004</v>
      </c>
      <c r="J872" s="4">
        <v>7</v>
      </c>
      <c r="K872" s="608" t="s">
        <v>6960</v>
      </c>
    </row>
    <row r="873" spans="1:11" ht="13" hidden="1">
      <c r="A873" s="2983">
        <v>58</v>
      </c>
      <c r="B873" s="2982" t="s">
        <v>1525</v>
      </c>
      <c r="C873" s="2982" t="s">
        <v>5539</v>
      </c>
      <c r="D873" s="2982">
        <v>4074140</v>
      </c>
      <c r="E873" s="2982" t="s">
        <v>8187</v>
      </c>
      <c r="F873" s="2993">
        <v>9.2263999999999992E-3</v>
      </c>
      <c r="J873" s="4">
        <v>7</v>
      </c>
      <c r="K873" s="608" t="s">
        <v>6960</v>
      </c>
    </row>
    <row r="874" spans="1:11" ht="13" hidden="1">
      <c r="A874" s="2983">
        <v>58</v>
      </c>
      <c r="B874" s="2982" t="s">
        <v>1525</v>
      </c>
      <c r="C874" s="2982" t="s">
        <v>5539</v>
      </c>
      <c r="D874" s="2982">
        <v>4074130</v>
      </c>
      <c r="E874" s="2982" t="s">
        <v>5548</v>
      </c>
      <c r="F874" s="2993">
        <v>0.70077619999999996</v>
      </c>
      <c r="J874" s="4">
        <v>6</v>
      </c>
      <c r="K874" s="608" t="s">
        <v>6960</v>
      </c>
    </row>
    <row r="875" spans="1:11" ht="13" hidden="1">
      <c r="A875" s="2983">
        <v>58</v>
      </c>
      <c r="B875" s="2982" t="s">
        <v>1525</v>
      </c>
      <c r="C875" s="2982" t="s">
        <v>5539</v>
      </c>
      <c r="D875" s="2982">
        <v>4074131</v>
      </c>
      <c r="E875" s="2982" t="s">
        <v>5549</v>
      </c>
      <c r="F875" s="2993">
        <v>1.4057440620000001</v>
      </c>
      <c r="J875" s="4">
        <v>6</v>
      </c>
      <c r="K875" s="608" t="s">
        <v>6960</v>
      </c>
    </row>
    <row r="876" spans="1:11" ht="13" hidden="1">
      <c r="A876" s="2983">
        <v>58</v>
      </c>
      <c r="B876" s="2982" t="s">
        <v>1525</v>
      </c>
      <c r="C876" s="2982" t="s">
        <v>5539</v>
      </c>
      <c r="D876" s="2982">
        <v>4074134</v>
      </c>
      <c r="E876" s="2982" t="s">
        <v>5550</v>
      </c>
      <c r="F876" s="2993">
        <v>1.3722934989999995</v>
      </c>
      <c r="J876" s="4">
        <v>7</v>
      </c>
      <c r="K876" s="608" t="s">
        <v>6960</v>
      </c>
    </row>
    <row r="877" spans="1:11" ht="13" hidden="1">
      <c r="A877" s="2983">
        <v>58</v>
      </c>
      <c r="B877" s="2982" t="s">
        <v>1525</v>
      </c>
      <c r="C877" s="2982" t="s">
        <v>5539</v>
      </c>
      <c r="D877" s="2982">
        <v>4074152</v>
      </c>
      <c r="E877" s="2982" t="s">
        <v>5551</v>
      </c>
      <c r="F877" s="2993">
        <v>9.9562999999999995E-3</v>
      </c>
      <c r="J877" s="4">
        <v>7</v>
      </c>
      <c r="K877" s="608" t="s">
        <v>6960</v>
      </c>
    </row>
    <row r="878" spans="1:11" ht="13" hidden="1">
      <c r="A878" s="2983">
        <v>57</v>
      </c>
      <c r="B878" s="2982" t="s">
        <v>1525</v>
      </c>
      <c r="C878" s="2982" t="s">
        <v>5532</v>
      </c>
      <c r="D878" s="2982">
        <v>4074216</v>
      </c>
      <c r="E878" s="2982" t="s">
        <v>5552</v>
      </c>
      <c r="F878" s="2993">
        <v>5.3999999999999998E-5</v>
      </c>
      <c r="J878">
        <v>1</v>
      </c>
    </row>
    <row r="879" spans="1:11" ht="13" hidden="1">
      <c r="A879" s="2983">
        <v>57</v>
      </c>
      <c r="B879" s="2982" t="s">
        <v>1525</v>
      </c>
      <c r="C879" s="2982" t="s">
        <v>5532</v>
      </c>
      <c r="D879" s="2982">
        <v>4074228</v>
      </c>
      <c r="E879" s="2982" t="s">
        <v>5553</v>
      </c>
      <c r="F879" s="2993">
        <v>0</v>
      </c>
      <c r="J879">
        <v>1</v>
      </c>
    </row>
    <row r="880" spans="1:11" ht="13" hidden="1">
      <c r="A880" s="2983">
        <v>58</v>
      </c>
      <c r="B880" s="2982" t="s">
        <v>1525</v>
      </c>
      <c r="C880" s="2982" t="s">
        <v>5539</v>
      </c>
      <c r="D880" s="2982">
        <v>4074502</v>
      </c>
      <c r="E880" s="2982" t="s">
        <v>5554</v>
      </c>
      <c r="F880" s="2993">
        <v>1.7178343219999999</v>
      </c>
      <c r="J880" s="4">
        <v>7</v>
      </c>
      <c r="K880" s="608" t="s">
        <v>6960</v>
      </c>
    </row>
    <row r="881" spans="1:11" ht="13" hidden="1">
      <c r="A881" s="2983">
        <v>58</v>
      </c>
      <c r="B881" s="2982" t="s">
        <v>1525</v>
      </c>
      <c r="C881" s="2982" t="s">
        <v>5539</v>
      </c>
      <c r="D881" s="2982">
        <v>4074902</v>
      </c>
      <c r="E881" s="2982" t="s">
        <v>5555</v>
      </c>
      <c r="F881" s="2993">
        <v>11.747026171000002</v>
      </c>
      <c r="J881" s="4">
        <v>3</v>
      </c>
      <c r="K881" s="608" t="s">
        <v>6960</v>
      </c>
    </row>
    <row r="882" spans="1:11" ht="13" hidden="1">
      <c r="A882" s="2983">
        <v>49</v>
      </c>
      <c r="B882" s="2982" t="s">
        <v>6482</v>
      </c>
      <c r="C882" s="2982" t="s">
        <v>6483</v>
      </c>
      <c r="D882" s="2982">
        <v>4075104</v>
      </c>
      <c r="E882" s="2982" t="s">
        <v>6484</v>
      </c>
      <c r="F882" s="2993">
        <v>47.003109253000005</v>
      </c>
      <c r="J882"/>
    </row>
    <row r="883" spans="1:11" ht="13" hidden="1">
      <c r="A883" s="2983">
        <v>49</v>
      </c>
      <c r="B883" s="2982" t="s">
        <v>6482</v>
      </c>
      <c r="C883" s="2982" t="s">
        <v>6483</v>
      </c>
      <c r="D883" s="2982">
        <v>4075304</v>
      </c>
      <c r="E883" s="2982" t="s">
        <v>6485</v>
      </c>
      <c r="F883" s="2993">
        <v>16.676927622000001</v>
      </c>
      <c r="J883"/>
    </row>
    <row r="884" spans="1:11" ht="13" hidden="1">
      <c r="A884" s="2983">
        <v>49</v>
      </c>
      <c r="B884" s="2982" t="s">
        <v>6482</v>
      </c>
      <c r="C884" s="2982" t="s">
        <v>6483</v>
      </c>
      <c r="D884" s="2982">
        <v>4075305</v>
      </c>
      <c r="E884" s="2982" t="s">
        <v>6486</v>
      </c>
      <c r="F884" s="2993">
        <v>8.5088457870000003</v>
      </c>
      <c r="J884"/>
    </row>
    <row r="885" spans="1:11" ht="13" hidden="1">
      <c r="A885" s="2983">
        <v>49</v>
      </c>
      <c r="B885" s="2982" t="s">
        <v>6482</v>
      </c>
      <c r="C885" s="2982" t="s">
        <v>6483</v>
      </c>
      <c r="D885" s="2982">
        <v>4075404</v>
      </c>
      <c r="E885" s="2982" t="s">
        <v>6487</v>
      </c>
      <c r="F885" s="2993">
        <v>1.5267E-3</v>
      </c>
      <c r="J885"/>
    </row>
    <row r="886" spans="1:11" ht="13" hidden="1">
      <c r="A886" s="2983">
        <v>49</v>
      </c>
      <c r="B886" s="2982" t="s">
        <v>6482</v>
      </c>
      <c r="C886" s="2982" t="s">
        <v>6483</v>
      </c>
      <c r="D886" s="2982">
        <v>4075502</v>
      </c>
      <c r="E886" s="2982" t="s">
        <v>6488</v>
      </c>
      <c r="F886" s="2993">
        <v>0.3201252</v>
      </c>
      <c r="J886"/>
    </row>
    <row r="887" spans="1:11" ht="13" hidden="1">
      <c r="A887" s="2983">
        <v>60</v>
      </c>
      <c r="B887" s="2982" t="s">
        <v>1525</v>
      </c>
      <c r="C887" s="2982" t="s">
        <v>5556</v>
      </c>
      <c r="D887" s="2982">
        <v>4075503</v>
      </c>
      <c r="E887" s="2982" t="s">
        <v>5557</v>
      </c>
      <c r="F887" s="2993">
        <v>111.750118722</v>
      </c>
      <c r="J887"/>
    </row>
    <row r="888" spans="1:11" ht="13" hidden="1">
      <c r="A888" s="2983">
        <v>49</v>
      </c>
      <c r="B888" s="2982" t="s">
        <v>6482</v>
      </c>
      <c r="C888" s="2982" t="s">
        <v>6483</v>
      </c>
      <c r="D888" s="2982">
        <v>4075504</v>
      </c>
      <c r="E888" s="2982" t="s">
        <v>6489</v>
      </c>
      <c r="F888" s="2993">
        <v>8.0000000000000004E-4</v>
      </c>
      <c r="J888"/>
    </row>
    <row r="889" spans="1:11" ht="13" hidden="1">
      <c r="A889" s="2983">
        <v>49</v>
      </c>
      <c r="B889" s="2982" t="s">
        <v>6482</v>
      </c>
      <c r="C889" s="2982" t="s">
        <v>6483</v>
      </c>
      <c r="D889" s="2982">
        <v>4075505</v>
      </c>
      <c r="E889" s="2982" t="s">
        <v>6490</v>
      </c>
      <c r="F889" s="2993">
        <v>0.111075908</v>
      </c>
      <c r="J889"/>
    </row>
    <row r="890" spans="1:11" ht="13" hidden="1">
      <c r="A890" s="2983">
        <v>49</v>
      </c>
      <c r="B890" s="2982" t="s">
        <v>6482</v>
      </c>
      <c r="C890" s="2982" t="s">
        <v>6483</v>
      </c>
      <c r="D890" s="2982">
        <v>4075403</v>
      </c>
      <c r="E890" s="2982" t="s">
        <v>8188</v>
      </c>
      <c r="F890" s="2993">
        <v>0</v>
      </c>
      <c r="J890"/>
    </row>
    <row r="891" spans="1:11" ht="13" hidden="1">
      <c r="A891" s="2983">
        <v>51</v>
      </c>
      <c r="B891" s="2982" t="s">
        <v>6482</v>
      </c>
      <c r="C891" s="2982" t="s">
        <v>546</v>
      </c>
      <c r="D891" s="2982">
        <v>4075619</v>
      </c>
      <c r="E891" s="2982" t="s">
        <v>8189</v>
      </c>
      <c r="F891" s="2993">
        <v>0.16320000000000001</v>
      </c>
      <c r="J891"/>
    </row>
    <row r="892" spans="1:11" ht="13" hidden="1">
      <c r="A892" s="2983">
        <v>51</v>
      </c>
      <c r="B892" s="2982" t="s">
        <v>6482</v>
      </c>
      <c r="C892" s="2982" t="s">
        <v>546</v>
      </c>
      <c r="D892" s="2982">
        <v>4075680</v>
      </c>
      <c r="E892" s="2982" t="s">
        <v>7832</v>
      </c>
      <c r="F892" s="2993">
        <v>0</v>
      </c>
      <c r="J892"/>
    </row>
    <row r="893" spans="1:11" ht="13" hidden="1">
      <c r="A893" s="2983">
        <v>51</v>
      </c>
      <c r="B893" s="2982" t="s">
        <v>6482</v>
      </c>
      <c r="C893" s="2982" t="s">
        <v>546</v>
      </c>
      <c r="D893" s="2982">
        <v>4075684</v>
      </c>
      <c r="E893" s="2982" t="s">
        <v>7839</v>
      </c>
      <c r="F893" s="2993">
        <v>0.70225741899999994</v>
      </c>
      <c r="J893"/>
    </row>
    <row r="894" spans="1:11" ht="13" hidden="1">
      <c r="A894" s="2983">
        <v>51</v>
      </c>
      <c r="B894" s="2982" t="s">
        <v>6482</v>
      </c>
      <c r="C894" s="2982" t="s">
        <v>546</v>
      </c>
      <c r="D894" s="2982">
        <v>4075706</v>
      </c>
      <c r="E894" s="2982" t="s">
        <v>7842</v>
      </c>
      <c r="F894" s="2993">
        <v>0.1112259</v>
      </c>
      <c r="J894"/>
    </row>
    <row r="895" spans="1:11" ht="13" hidden="1">
      <c r="A895" s="2983">
        <v>51</v>
      </c>
      <c r="B895" s="2982" t="s">
        <v>6482</v>
      </c>
      <c r="C895" s="2982" t="s">
        <v>546</v>
      </c>
      <c r="D895" s="2982">
        <v>4075717</v>
      </c>
      <c r="E895" s="2982" t="s">
        <v>5490</v>
      </c>
      <c r="F895" s="2993">
        <v>2.0000000000000001E-4</v>
      </c>
      <c r="J895"/>
    </row>
    <row r="896" spans="1:11" ht="13" hidden="1">
      <c r="A896" s="2983">
        <v>49</v>
      </c>
      <c r="B896" s="2982" t="s">
        <v>6482</v>
      </c>
      <c r="C896" s="2982" t="s">
        <v>6483</v>
      </c>
      <c r="D896" s="2982">
        <v>4075610</v>
      </c>
      <c r="E896" s="2982" t="s">
        <v>6491</v>
      </c>
      <c r="F896" s="2993">
        <v>20.000940799999999</v>
      </c>
      <c r="J896"/>
    </row>
    <row r="897" spans="1:10" ht="13" hidden="1">
      <c r="A897" s="2983">
        <v>51</v>
      </c>
      <c r="B897" s="2982" t="s">
        <v>6482</v>
      </c>
      <c r="C897" s="2982" t="s">
        <v>546</v>
      </c>
      <c r="D897" s="2982">
        <v>4075611</v>
      </c>
      <c r="E897" s="2982" t="s">
        <v>6492</v>
      </c>
      <c r="F897" s="2993">
        <v>0.43121340000000002</v>
      </c>
      <c r="J897"/>
    </row>
    <row r="898" spans="1:10" ht="13" hidden="1">
      <c r="A898" s="2983">
        <v>49</v>
      </c>
      <c r="B898" s="2982" t="s">
        <v>6482</v>
      </c>
      <c r="C898" s="2982" t="s">
        <v>6483</v>
      </c>
      <c r="D898" s="2982">
        <v>4075614</v>
      </c>
      <c r="E898" s="2982" t="s">
        <v>6493</v>
      </c>
      <c r="F898" s="2993">
        <v>0.63307000000000002</v>
      </c>
      <c r="J898"/>
    </row>
    <row r="899" spans="1:10" ht="13" hidden="1">
      <c r="A899" s="2983">
        <v>52</v>
      </c>
      <c r="B899" s="2982" t="s">
        <v>6482</v>
      </c>
      <c r="C899" s="2982" t="s">
        <v>6494</v>
      </c>
      <c r="D899" s="2982">
        <v>4075617</v>
      </c>
      <c r="E899" s="2982" t="s">
        <v>6495</v>
      </c>
      <c r="F899" s="2993">
        <v>0.497828092</v>
      </c>
      <c r="J899"/>
    </row>
    <row r="900" spans="1:10" ht="13" hidden="1">
      <c r="A900" s="2983">
        <v>49</v>
      </c>
      <c r="B900" s="2982" t="s">
        <v>6482</v>
      </c>
      <c r="C900" s="2982" t="s">
        <v>6483</v>
      </c>
      <c r="D900" s="2982">
        <v>4075618</v>
      </c>
      <c r="E900" s="2982" t="s">
        <v>580</v>
      </c>
      <c r="F900" s="2993">
        <v>7.6E-3</v>
      </c>
      <c r="J900"/>
    </row>
    <row r="901" spans="1:10" ht="13" hidden="1">
      <c r="A901" s="2983">
        <v>49</v>
      </c>
      <c r="B901" s="2982" t="s">
        <v>6482</v>
      </c>
      <c r="C901" s="2982" t="s">
        <v>6483</v>
      </c>
      <c r="D901" s="2982">
        <v>4075675</v>
      </c>
      <c r="E901" s="2982" t="s">
        <v>6496</v>
      </c>
      <c r="F901" s="2993">
        <v>10.029280053999999</v>
      </c>
      <c r="J901"/>
    </row>
    <row r="902" spans="1:10" ht="13" hidden="1">
      <c r="A902" s="2983">
        <v>50</v>
      </c>
      <c r="B902" s="2982" t="s">
        <v>6482</v>
      </c>
      <c r="C902" s="2982" t="s">
        <v>1726</v>
      </c>
      <c r="D902" s="2982">
        <v>4075677</v>
      </c>
      <c r="E902" s="2982" t="s">
        <v>6497</v>
      </c>
      <c r="F902" s="2993">
        <v>0.39129658300000003</v>
      </c>
      <c r="J902"/>
    </row>
    <row r="903" spans="1:10" ht="13" hidden="1">
      <c r="A903" s="2983">
        <v>49</v>
      </c>
      <c r="B903" s="2982" t="s">
        <v>6482</v>
      </c>
      <c r="C903" s="2982" t="s">
        <v>6483</v>
      </c>
      <c r="D903" s="2982">
        <v>4075679</v>
      </c>
      <c r="E903" s="2982" t="s">
        <v>6498</v>
      </c>
      <c r="F903" s="2993">
        <v>4.0478419999999994E-3</v>
      </c>
      <c r="J903"/>
    </row>
    <row r="904" spans="1:10" ht="13" hidden="1">
      <c r="A904" s="2983">
        <v>51</v>
      </c>
      <c r="B904" s="2982" t="s">
        <v>6482</v>
      </c>
      <c r="C904" s="2982" t="s">
        <v>546</v>
      </c>
      <c r="D904" s="2982">
        <v>4075690</v>
      </c>
      <c r="E904" s="2982" t="s">
        <v>6499</v>
      </c>
      <c r="F904" s="2993">
        <v>11.707900562999999</v>
      </c>
      <c r="J904"/>
    </row>
    <row r="905" spans="1:10" ht="13" hidden="1">
      <c r="A905" s="2983">
        <v>50</v>
      </c>
      <c r="B905" s="2982" t="s">
        <v>6482</v>
      </c>
      <c r="C905" s="2982" t="s">
        <v>1726</v>
      </c>
      <c r="D905" s="2982">
        <v>4075702</v>
      </c>
      <c r="E905" s="2982" t="s">
        <v>6500</v>
      </c>
      <c r="F905" s="2993">
        <v>2.5807999999999998E-3</v>
      </c>
      <c r="J905"/>
    </row>
    <row r="906" spans="1:10" ht="13" hidden="1">
      <c r="A906" s="2983">
        <v>51</v>
      </c>
      <c r="B906" s="2982" t="s">
        <v>6482</v>
      </c>
      <c r="C906" s="2982" t="s">
        <v>546</v>
      </c>
      <c r="D906" s="2982">
        <v>4075707</v>
      </c>
      <c r="E906" s="2982" t="s">
        <v>6501</v>
      </c>
      <c r="F906" s="2993">
        <v>4.0013000000000002E-3</v>
      </c>
      <c r="J906"/>
    </row>
    <row r="907" spans="1:10" ht="13" hidden="1">
      <c r="A907" s="2983">
        <v>51</v>
      </c>
      <c r="B907" s="2982" t="s">
        <v>6482</v>
      </c>
      <c r="C907" s="2982" t="s">
        <v>546</v>
      </c>
      <c r="D907" s="2982">
        <v>4075708</v>
      </c>
      <c r="E907" s="2982" t="s">
        <v>3133</v>
      </c>
      <c r="F907" s="2993">
        <v>0</v>
      </c>
      <c r="J907"/>
    </row>
    <row r="908" spans="1:10" ht="13" hidden="1">
      <c r="A908" s="2983">
        <v>49</v>
      </c>
      <c r="B908" s="2982" t="s">
        <v>6482</v>
      </c>
      <c r="C908" s="2982" t="s">
        <v>6483</v>
      </c>
      <c r="D908" s="2982">
        <v>4075711</v>
      </c>
      <c r="E908" s="2982" t="s">
        <v>6502</v>
      </c>
      <c r="F908" s="2993">
        <v>0.12550752500000001</v>
      </c>
      <c r="J908"/>
    </row>
    <row r="909" spans="1:10" ht="13" hidden="1">
      <c r="A909" s="2983">
        <v>51</v>
      </c>
      <c r="B909" s="2982" t="s">
        <v>6482</v>
      </c>
      <c r="C909" s="2982" t="s">
        <v>546</v>
      </c>
      <c r="D909" s="2982">
        <v>4075790</v>
      </c>
      <c r="E909" s="2982" t="s">
        <v>6503</v>
      </c>
      <c r="F909" s="2993">
        <v>0.77501180000000003</v>
      </c>
      <c r="J909"/>
    </row>
    <row r="910" spans="1:10" ht="13" hidden="1">
      <c r="A910" s="2983">
        <v>50</v>
      </c>
      <c r="B910" s="2982" t="s">
        <v>6482</v>
      </c>
      <c r="C910" s="2982" t="s">
        <v>1726</v>
      </c>
      <c r="D910" s="2982">
        <v>4075801</v>
      </c>
      <c r="E910" s="2982" t="s">
        <v>6504</v>
      </c>
      <c r="F910" s="2993">
        <v>4.0139879560000002</v>
      </c>
      <c r="J910"/>
    </row>
    <row r="911" spans="1:10" ht="13" hidden="1">
      <c r="A911" s="2983">
        <v>50</v>
      </c>
      <c r="B911" s="2982" t="s">
        <v>6482</v>
      </c>
      <c r="C911" s="2982" t="s">
        <v>1726</v>
      </c>
      <c r="D911" s="2982">
        <v>4075805</v>
      </c>
      <c r="E911" s="2982" t="s">
        <v>6505</v>
      </c>
      <c r="F911" s="2993">
        <v>0.16813041700000003</v>
      </c>
      <c r="J911"/>
    </row>
    <row r="912" spans="1:10" ht="13" hidden="1">
      <c r="A912" s="2983">
        <v>50</v>
      </c>
      <c r="B912" s="2982" t="s">
        <v>6482</v>
      </c>
      <c r="C912" s="2982" t="s">
        <v>1726</v>
      </c>
      <c r="D912" s="2982">
        <v>4075806</v>
      </c>
      <c r="E912" s="2982" t="s">
        <v>6506</v>
      </c>
      <c r="F912" s="2993">
        <v>11.718807025</v>
      </c>
      <c r="J912"/>
    </row>
    <row r="913" spans="1:19" ht="13" hidden="1">
      <c r="A913" s="2983">
        <v>50</v>
      </c>
      <c r="B913" s="2982" t="s">
        <v>6482</v>
      </c>
      <c r="C913" s="2982" t="s">
        <v>1726</v>
      </c>
      <c r="D913" s="2982">
        <v>4075807</v>
      </c>
      <c r="E913" s="2982" t="s">
        <v>6507</v>
      </c>
      <c r="F913" s="2993">
        <v>14.752996524</v>
      </c>
      <c r="J913"/>
    </row>
    <row r="914" spans="1:19" ht="13" hidden="1">
      <c r="A914" s="2983">
        <v>50</v>
      </c>
      <c r="B914" s="2982" t="s">
        <v>6482</v>
      </c>
      <c r="C914" s="2982" t="s">
        <v>6483</v>
      </c>
      <c r="D914" s="2982">
        <v>4075890</v>
      </c>
      <c r="E914" s="2982" t="s">
        <v>6508</v>
      </c>
      <c r="F914" s="2993">
        <v>10.918675433000001</v>
      </c>
      <c r="J914"/>
    </row>
    <row r="915" spans="1:19" ht="13" hidden="1">
      <c r="A915" s="2983">
        <v>56</v>
      </c>
      <c r="B915" s="2982" t="s">
        <v>1525</v>
      </c>
      <c r="C915" s="2982" t="s">
        <v>5558</v>
      </c>
      <c r="D915" s="3002">
        <v>4076101</v>
      </c>
      <c r="E915" s="2982" t="s">
        <v>5559</v>
      </c>
      <c r="F915" s="2993">
        <v>1.8450266</v>
      </c>
      <c r="G915" s="3003" t="s">
        <v>1355</v>
      </c>
      <c r="J915" s="1999"/>
      <c r="K915" s="232"/>
      <c r="L915" s="232"/>
      <c r="M915" s="232"/>
      <c r="N915" s="232"/>
      <c r="O915" s="232"/>
      <c r="P915" s="232"/>
      <c r="R915" s="232"/>
      <c r="S915" s="232"/>
    </row>
    <row r="916" spans="1:19" ht="13" hidden="1">
      <c r="A916" s="2983">
        <v>72</v>
      </c>
      <c r="B916" s="2982" t="s">
        <v>1525</v>
      </c>
      <c r="C916" s="2982" t="s">
        <v>5560</v>
      </c>
      <c r="D916" s="2982">
        <v>4076102</v>
      </c>
      <c r="E916" s="2982" t="s">
        <v>5560</v>
      </c>
      <c r="F916" s="2993">
        <v>2.5000000000000001E-4</v>
      </c>
      <c r="G916" s="3003" t="s">
        <v>1355</v>
      </c>
      <c r="J916" s="1998"/>
      <c r="K916" s="232"/>
      <c r="L916" s="232"/>
      <c r="M916" s="232"/>
      <c r="N916" s="232"/>
      <c r="O916" s="232"/>
      <c r="P916" s="232"/>
      <c r="R916" s="232"/>
      <c r="S916" s="232"/>
    </row>
    <row r="917" spans="1:19" ht="13" hidden="1">
      <c r="A917" s="2983">
        <v>71</v>
      </c>
      <c r="B917" s="2982" t="s">
        <v>1525</v>
      </c>
      <c r="C917" s="2982" t="s">
        <v>117</v>
      </c>
      <c r="D917" s="3002">
        <v>4076109</v>
      </c>
      <c r="E917" s="2982" t="s">
        <v>3139</v>
      </c>
      <c r="F917" s="2993">
        <v>0.59231009999999995</v>
      </c>
      <c r="G917" s="3003" t="s">
        <v>1355</v>
      </c>
      <c r="J917" s="1998"/>
      <c r="K917" s="232"/>
      <c r="L917" s="232"/>
      <c r="M917" s="232"/>
      <c r="N917" s="232"/>
      <c r="O917" s="232"/>
      <c r="P917" s="232"/>
      <c r="R917" s="232"/>
      <c r="S917" s="232"/>
    </row>
    <row r="918" spans="1:19" ht="13" hidden="1">
      <c r="A918" s="2983">
        <v>68</v>
      </c>
      <c r="B918" s="2982" t="s">
        <v>1525</v>
      </c>
      <c r="C918" s="2982" t="s">
        <v>5561</v>
      </c>
      <c r="D918" s="3002">
        <v>4076111</v>
      </c>
      <c r="E918" s="2982" t="s">
        <v>5562</v>
      </c>
      <c r="F918" s="2993">
        <v>1.138928602</v>
      </c>
      <c r="G918" s="3003" t="s">
        <v>1355</v>
      </c>
      <c r="J918" s="1998"/>
      <c r="K918" s="232"/>
      <c r="L918" s="232"/>
      <c r="M918" s="232"/>
      <c r="N918" s="232"/>
      <c r="O918" s="232"/>
      <c r="P918" s="232"/>
      <c r="R918" s="232"/>
      <c r="S918" s="232"/>
    </row>
    <row r="919" spans="1:19" ht="13" hidden="1">
      <c r="A919" s="2983">
        <v>68</v>
      </c>
      <c r="B919" s="2982" t="s">
        <v>1525</v>
      </c>
      <c r="C919" s="2982" t="s">
        <v>5561</v>
      </c>
      <c r="D919" s="3002">
        <v>4076112</v>
      </c>
      <c r="E919" s="2982" t="s">
        <v>5563</v>
      </c>
      <c r="F919" s="2993">
        <v>5.9694869999999997E-2</v>
      </c>
      <c r="G919" s="3003" t="s">
        <v>1355</v>
      </c>
      <c r="J919" s="1998"/>
      <c r="K919" s="232"/>
      <c r="L919" s="232"/>
      <c r="M919" s="232"/>
      <c r="N919" s="232"/>
      <c r="O919" s="232"/>
      <c r="P919" s="232"/>
      <c r="R919" s="232"/>
      <c r="S919" s="232"/>
    </row>
    <row r="920" spans="1:19" ht="13" hidden="1">
      <c r="A920" s="2983">
        <v>63</v>
      </c>
      <c r="B920" s="2982" t="s">
        <v>1525</v>
      </c>
      <c r="C920" s="2982" t="s">
        <v>5564</v>
      </c>
      <c r="D920" s="3002">
        <v>4076121</v>
      </c>
      <c r="E920" s="2982" t="s">
        <v>5565</v>
      </c>
      <c r="F920" s="2993">
        <v>5.0000000000000002E-5</v>
      </c>
      <c r="G920" s="3003" t="s">
        <v>1355</v>
      </c>
      <c r="J920" s="1998"/>
      <c r="K920" s="232"/>
      <c r="L920" s="232"/>
      <c r="M920" s="232"/>
      <c r="N920" s="232"/>
      <c r="O920" s="232"/>
      <c r="P920" s="232"/>
      <c r="R920" s="232"/>
      <c r="S920" s="232"/>
    </row>
    <row r="921" spans="1:19" ht="13" hidden="1">
      <c r="A921" s="2983">
        <v>63</v>
      </c>
      <c r="B921" s="2982" t="s">
        <v>1525</v>
      </c>
      <c r="C921" s="2982" t="s">
        <v>5564</v>
      </c>
      <c r="D921" s="3002">
        <v>4076122</v>
      </c>
      <c r="E921" s="2982" t="s">
        <v>5566</v>
      </c>
      <c r="F921" s="2996">
        <v>7.4806859999999961E-2</v>
      </c>
      <c r="G921" s="3003" t="s">
        <v>1355</v>
      </c>
      <c r="J921" s="1998"/>
      <c r="K921" s="232"/>
      <c r="L921" s="232"/>
      <c r="M921" s="232"/>
      <c r="N921" s="232"/>
      <c r="O921" s="232"/>
      <c r="P921" s="232"/>
      <c r="R921" s="232"/>
      <c r="S921" s="232"/>
    </row>
    <row r="922" spans="1:19" ht="13" hidden="1">
      <c r="A922" s="2983">
        <v>63</v>
      </c>
      <c r="B922" s="2982" t="s">
        <v>1525</v>
      </c>
      <c r="C922" s="2982" t="s">
        <v>5564</v>
      </c>
      <c r="D922" s="3002">
        <v>4076123</v>
      </c>
      <c r="E922" s="2982" t="s">
        <v>5567</v>
      </c>
      <c r="F922" s="2993">
        <v>0.73095518500000001</v>
      </c>
      <c r="G922" s="3003" t="s">
        <v>1355</v>
      </c>
      <c r="J922" s="1998"/>
      <c r="K922" s="411">
        <v>12200464.240699999</v>
      </c>
      <c r="L922" s="411">
        <v>12200464.240699999</v>
      </c>
      <c r="M922" s="411">
        <v>8719415.7599560544</v>
      </c>
      <c r="N922" s="411">
        <v>8719415.7599560544</v>
      </c>
      <c r="O922" s="411">
        <v>11812808</v>
      </c>
      <c r="P922" s="411">
        <v>11812808.000025177</v>
      </c>
      <c r="R922" s="411">
        <f>SUBTOTAL(9,R915:R921)</f>
        <v>0</v>
      </c>
      <c r="S922" s="411">
        <f>SUBTOTAL(9,S915:S921)</f>
        <v>0</v>
      </c>
    </row>
    <row r="923" spans="1:19" ht="13" hidden="1">
      <c r="A923" s="2983">
        <v>63</v>
      </c>
      <c r="B923" s="2982" t="s">
        <v>1525</v>
      </c>
      <c r="C923" s="2982" t="s">
        <v>5564</v>
      </c>
      <c r="D923" s="3002">
        <v>4076124</v>
      </c>
      <c r="E923" s="2982" t="s">
        <v>5568</v>
      </c>
      <c r="F923" s="2993">
        <v>1.7306700000000001E-2</v>
      </c>
      <c r="G923" s="3003" t="s">
        <v>1355</v>
      </c>
      <c r="J923"/>
      <c r="L923">
        <v>0</v>
      </c>
      <c r="N923">
        <v>0</v>
      </c>
      <c r="P923">
        <v>-2.5177374482154846E-5</v>
      </c>
    </row>
    <row r="924" spans="1:19" ht="13" hidden="1">
      <c r="A924" s="2983">
        <v>63</v>
      </c>
      <c r="B924" s="2982" t="s">
        <v>1525</v>
      </c>
      <c r="C924" s="2982" t="s">
        <v>5564</v>
      </c>
      <c r="D924" s="3002">
        <v>4076125</v>
      </c>
      <c r="E924" s="2982" t="s">
        <v>3198</v>
      </c>
      <c r="F924" s="2993">
        <v>0</v>
      </c>
      <c r="G924" s="3003" t="s">
        <v>1355</v>
      </c>
      <c r="J924" s="1998"/>
    </row>
    <row r="925" spans="1:19" ht="13" hidden="1">
      <c r="A925" s="2983">
        <v>64</v>
      </c>
      <c r="B925" s="2982" t="s">
        <v>1525</v>
      </c>
      <c r="C925" s="2982" t="s">
        <v>5569</v>
      </c>
      <c r="D925" s="3002">
        <v>4076126</v>
      </c>
      <c r="E925" s="2982" t="s">
        <v>5570</v>
      </c>
      <c r="F925" s="2996">
        <v>0.32591599999999998</v>
      </c>
      <c r="G925" s="3003" t="s">
        <v>1355</v>
      </c>
      <c r="J925"/>
    </row>
    <row r="926" spans="1:19" ht="13" hidden="1">
      <c r="A926" s="2983">
        <v>63</v>
      </c>
      <c r="B926" s="2982" t="s">
        <v>1525</v>
      </c>
      <c r="C926" s="2982" t="s">
        <v>5564</v>
      </c>
      <c r="D926" s="3002">
        <v>4076129</v>
      </c>
      <c r="E926" s="2982" t="s">
        <v>3199</v>
      </c>
      <c r="F926" s="2993">
        <v>3.1070796999999999</v>
      </c>
      <c r="G926" s="3003" t="s">
        <v>1355</v>
      </c>
      <c r="J926" s="1998"/>
    </row>
    <row r="927" spans="1:19" ht="13" hidden="1">
      <c r="A927" s="2983">
        <v>64</v>
      </c>
      <c r="B927" s="2982" t="s">
        <v>1525</v>
      </c>
      <c r="C927" s="2982" t="s">
        <v>5569</v>
      </c>
      <c r="D927" s="3002">
        <v>4076130</v>
      </c>
      <c r="E927" s="2982" t="s">
        <v>5571</v>
      </c>
      <c r="F927" s="2993">
        <v>0</v>
      </c>
      <c r="G927" s="3003" t="s">
        <v>1355</v>
      </c>
      <c r="J927" s="1998"/>
    </row>
    <row r="928" spans="1:19" ht="13" hidden="1">
      <c r="A928" s="2983">
        <v>70</v>
      </c>
      <c r="B928" s="2982" t="s">
        <v>1525</v>
      </c>
      <c r="C928" s="2982" t="s">
        <v>5572</v>
      </c>
      <c r="D928" s="3002">
        <v>4076131</v>
      </c>
      <c r="E928" s="2982" t="s">
        <v>5573</v>
      </c>
      <c r="F928" s="2996">
        <v>3.4000000000000002E-4</v>
      </c>
      <c r="G928" s="3003" t="s">
        <v>1355</v>
      </c>
      <c r="J928"/>
    </row>
    <row r="929" spans="1:10" ht="13" hidden="1">
      <c r="A929" s="2983">
        <v>61</v>
      </c>
      <c r="B929" s="2982" t="s">
        <v>1525</v>
      </c>
      <c r="C929" s="2982" t="s">
        <v>5574</v>
      </c>
      <c r="D929" s="3002">
        <v>4076132</v>
      </c>
      <c r="E929" s="2982" t="s">
        <v>5574</v>
      </c>
      <c r="F929" s="2993">
        <v>0.29633860000000001</v>
      </c>
      <c r="G929" s="3003" t="s">
        <v>1355</v>
      </c>
      <c r="J929" s="1998"/>
    </row>
    <row r="930" spans="1:10" ht="13" hidden="1">
      <c r="A930" s="2983">
        <v>61</v>
      </c>
      <c r="B930" s="2982" t="s">
        <v>1525</v>
      </c>
      <c r="C930" s="2982" t="s">
        <v>5574</v>
      </c>
      <c r="D930" s="3002">
        <v>4076133</v>
      </c>
      <c r="E930" s="2982" t="s">
        <v>5575</v>
      </c>
      <c r="F930" s="2996">
        <v>0.97107969999999999</v>
      </c>
      <c r="G930" s="3003" t="s">
        <v>1355</v>
      </c>
      <c r="J930"/>
    </row>
    <row r="931" spans="1:10" ht="13" hidden="1">
      <c r="A931" s="2983">
        <v>61</v>
      </c>
      <c r="B931" s="2982" t="s">
        <v>1525</v>
      </c>
      <c r="C931" s="2982" t="s">
        <v>5574</v>
      </c>
      <c r="D931" s="3002">
        <v>4076134</v>
      </c>
      <c r="E931" s="2982" t="s">
        <v>5576</v>
      </c>
      <c r="F931" s="2993">
        <v>2.9209000000000001E-3</v>
      </c>
      <c r="G931" s="3003" t="s">
        <v>1355</v>
      </c>
      <c r="J931"/>
    </row>
    <row r="932" spans="1:10" ht="13" hidden="1">
      <c r="A932" s="2983">
        <v>61</v>
      </c>
      <c r="B932" s="2982" t="s">
        <v>1525</v>
      </c>
      <c r="C932" s="2982" t="s">
        <v>5574</v>
      </c>
      <c r="D932" s="3002">
        <v>4076136</v>
      </c>
      <c r="E932" s="2982" t="s">
        <v>5577</v>
      </c>
      <c r="F932" s="2993">
        <v>2.6023151000000002</v>
      </c>
      <c r="G932" s="3003" t="s">
        <v>1355</v>
      </c>
      <c r="J932"/>
    </row>
    <row r="933" spans="1:10" ht="13" hidden="1">
      <c r="A933" s="2983">
        <v>61</v>
      </c>
      <c r="B933" s="2982" t="s">
        <v>1525</v>
      </c>
      <c r="C933" s="2982" t="s">
        <v>5574</v>
      </c>
      <c r="D933" s="3002">
        <v>4076137</v>
      </c>
      <c r="E933" s="2982" t="s">
        <v>5578</v>
      </c>
      <c r="F933" s="2993">
        <v>9.740450688000001</v>
      </c>
      <c r="G933" s="3003" t="s">
        <v>1355</v>
      </c>
      <c r="J933"/>
    </row>
    <row r="934" spans="1:10" ht="13" hidden="1">
      <c r="A934" s="2983">
        <v>61</v>
      </c>
      <c r="B934" s="2982" t="s">
        <v>1525</v>
      </c>
      <c r="C934" s="2982" t="s">
        <v>5574</v>
      </c>
      <c r="D934" s="3002">
        <v>4076138</v>
      </c>
      <c r="E934" s="2982" t="s">
        <v>5579</v>
      </c>
      <c r="F934" s="2996">
        <v>4.0020000000000003E-3</v>
      </c>
      <c r="G934" s="3003" t="s">
        <v>1355</v>
      </c>
      <c r="J934" s="1998"/>
    </row>
    <row r="935" spans="1:10" ht="13" hidden="1">
      <c r="A935" s="2983">
        <v>72</v>
      </c>
      <c r="B935" s="2982" t="s">
        <v>1525</v>
      </c>
      <c r="C935" s="2982" t="s">
        <v>5580</v>
      </c>
      <c r="D935" s="3002">
        <v>4076140</v>
      </c>
      <c r="E935" s="2982" t="s">
        <v>5581</v>
      </c>
      <c r="F935" s="2993">
        <v>0.22420000000000001</v>
      </c>
      <c r="G935" s="3003" t="s">
        <v>1355</v>
      </c>
      <c r="J935"/>
    </row>
    <row r="936" spans="1:10" ht="13" hidden="1">
      <c r="A936" s="2983">
        <v>70</v>
      </c>
      <c r="B936" s="2982" t="s">
        <v>1525</v>
      </c>
      <c r="C936" s="2982" t="s">
        <v>5572</v>
      </c>
      <c r="D936" s="2982">
        <v>4076142</v>
      </c>
      <c r="E936" s="2982" t="s">
        <v>4789</v>
      </c>
      <c r="F936" s="2993">
        <v>1.6545391199999999</v>
      </c>
      <c r="G936" s="3003" t="s">
        <v>1355</v>
      </c>
      <c r="J936"/>
    </row>
    <row r="937" spans="1:10" ht="13" hidden="1">
      <c r="A937" s="2983">
        <v>64</v>
      </c>
      <c r="B937" s="2982" t="s">
        <v>1525</v>
      </c>
      <c r="C937" s="2982" t="s">
        <v>5569</v>
      </c>
      <c r="D937" s="3002">
        <v>4076150</v>
      </c>
      <c r="E937" s="2982" t="s">
        <v>5582</v>
      </c>
      <c r="F937" s="2993">
        <v>1.60392E-2</v>
      </c>
      <c r="G937" s="3003" t="s">
        <v>1355</v>
      </c>
      <c r="J937"/>
    </row>
    <row r="938" spans="1:10" ht="13" hidden="1">
      <c r="A938" s="2983">
        <v>72</v>
      </c>
      <c r="B938" s="2982" t="s">
        <v>1525</v>
      </c>
      <c r="C938" s="2982" t="s">
        <v>5580</v>
      </c>
      <c r="D938" s="2982">
        <v>4076151</v>
      </c>
      <c r="E938" s="2982" t="s">
        <v>1082</v>
      </c>
      <c r="F938" s="2993">
        <v>3.3301799999999999E-2</v>
      </c>
      <c r="G938" s="3003" t="s">
        <v>1355</v>
      </c>
      <c r="J938"/>
    </row>
    <row r="939" spans="1:10" ht="13" hidden="1">
      <c r="A939" s="2983">
        <v>115</v>
      </c>
      <c r="B939" s="2982" t="s">
        <v>1525</v>
      </c>
      <c r="C939" s="2982" t="s">
        <v>1024</v>
      </c>
      <c r="D939" s="3002">
        <v>4076152</v>
      </c>
      <c r="E939" s="2982" t="s">
        <v>1083</v>
      </c>
      <c r="F939" s="2996">
        <v>8.7035476000000001E-2</v>
      </c>
      <c r="G939" s="3003" t="s">
        <v>1355</v>
      </c>
      <c r="J939"/>
    </row>
    <row r="940" spans="1:10" ht="13" hidden="1">
      <c r="A940" s="2983">
        <v>115</v>
      </c>
      <c r="B940" s="2982" t="s">
        <v>1525</v>
      </c>
      <c r="C940" s="2982" t="s">
        <v>1024</v>
      </c>
      <c r="D940" s="3002">
        <v>4076153</v>
      </c>
      <c r="E940" s="2982" t="s">
        <v>1024</v>
      </c>
      <c r="F940" s="2993">
        <v>1.2075238660000001</v>
      </c>
      <c r="G940" s="3003" t="s">
        <v>1355</v>
      </c>
      <c r="J940" s="1998"/>
    </row>
    <row r="941" spans="1:10" ht="13" hidden="1">
      <c r="A941" s="2983">
        <v>67</v>
      </c>
      <c r="B941" s="2982" t="s">
        <v>1525</v>
      </c>
      <c r="C941" s="2982" t="s">
        <v>5583</v>
      </c>
      <c r="D941" s="3002">
        <v>4076154</v>
      </c>
      <c r="E941" s="2982" t="s">
        <v>5584</v>
      </c>
      <c r="F941" s="2993">
        <v>1.9220000000000001E-3</v>
      </c>
      <c r="G941" s="3003" t="s">
        <v>1355</v>
      </c>
      <c r="J941"/>
    </row>
    <row r="942" spans="1:10" ht="13" hidden="1">
      <c r="A942" s="2983">
        <v>67</v>
      </c>
      <c r="B942" s="2982" t="s">
        <v>1525</v>
      </c>
      <c r="C942" s="2982" t="s">
        <v>5583</v>
      </c>
      <c r="D942" s="3002">
        <v>4076155</v>
      </c>
      <c r="E942" s="2982" t="s">
        <v>5585</v>
      </c>
      <c r="F942" s="2993">
        <v>0.40988679999999994</v>
      </c>
      <c r="G942" s="3003" t="s">
        <v>1355</v>
      </c>
      <c r="J942"/>
    </row>
    <row r="943" spans="1:10" ht="13" hidden="1">
      <c r="A943" s="2983">
        <v>104</v>
      </c>
      <c r="B943" s="2982" t="s">
        <v>1525</v>
      </c>
      <c r="C943" s="2982" t="s">
        <v>3229</v>
      </c>
      <c r="D943" s="3002">
        <v>4076157</v>
      </c>
      <c r="E943" s="2982" t="s">
        <v>8190</v>
      </c>
      <c r="F943" s="2993">
        <v>0.1161162</v>
      </c>
      <c r="G943" s="3003" t="s">
        <v>1355</v>
      </c>
      <c r="J943"/>
    </row>
    <row r="944" spans="1:10" ht="13" hidden="1">
      <c r="A944" s="2983">
        <v>72</v>
      </c>
      <c r="B944" s="2982" t="s">
        <v>1525</v>
      </c>
      <c r="C944" s="2982" t="s">
        <v>5586</v>
      </c>
      <c r="D944" s="3002">
        <v>4076158</v>
      </c>
      <c r="E944" s="2982" t="s">
        <v>5587</v>
      </c>
      <c r="F944" s="2993">
        <v>2.1531615579999999</v>
      </c>
      <c r="G944" s="3003" t="s">
        <v>1355</v>
      </c>
      <c r="J944"/>
    </row>
    <row r="945" spans="1:10" ht="13" hidden="1">
      <c r="A945" s="2983">
        <v>72</v>
      </c>
      <c r="B945" s="2982" t="s">
        <v>1525</v>
      </c>
      <c r="C945" s="2982" t="s">
        <v>5580</v>
      </c>
      <c r="D945" s="3002">
        <v>4076159</v>
      </c>
      <c r="E945" s="2982" t="s">
        <v>1510</v>
      </c>
      <c r="F945" s="2993">
        <v>2.5600603E-2</v>
      </c>
      <c r="G945" s="3003" t="s">
        <v>1355</v>
      </c>
      <c r="J945"/>
    </row>
    <row r="946" spans="1:10" ht="13" hidden="1">
      <c r="A946" s="2983">
        <v>72</v>
      </c>
      <c r="B946" s="2982" t="s">
        <v>1525</v>
      </c>
      <c r="C946" s="2982" t="s">
        <v>5580</v>
      </c>
      <c r="D946" s="2982">
        <v>4076160</v>
      </c>
      <c r="E946" s="2982" t="s">
        <v>5588</v>
      </c>
      <c r="F946" s="2993">
        <v>1.8786199999999999E-2</v>
      </c>
      <c r="G946" s="3003" t="s">
        <v>1355</v>
      </c>
      <c r="J946"/>
    </row>
    <row r="947" spans="1:10" ht="13" hidden="1">
      <c r="A947" s="2983">
        <v>72</v>
      </c>
      <c r="B947" s="2982" t="s">
        <v>1525</v>
      </c>
      <c r="C947" s="2982" t="s">
        <v>5580</v>
      </c>
      <c r="D947" s="3002">
        <v>4076161</v>
      </c>
      <c r="E947" s="2982" t="s">
        <v>645</v>
      </c>
      <c r="F947" s="2993">
        <v>0.6924072</v>
      </c>
      <c r="G947" s="3003" t="s">
        <v>1355</v>
      </c>
      <c r="J947"/>
    </row>
    <row r="948" spans="1:10" ht="13" hidden="1">
      <c r="A948" s="2983">
        <v>72</v>
      </c>
      <c r="B948" s="2982" t="s">
        <v>1525</v>
      </c>
      <c r="C948" s="2982" t="s">
        <v>5580</v>
      </c>
      <c r="D948" s="2982">
        <v>4076162</v>
      </c>
      <c r="E948" s="2982" t="s">
        <v>1095</v>
      </c>
      <c r="F948" s="2993">
        <v>3.12435E-2</v>
      </c>
      <c r="G948" s="3003" t="s">
        <v>1355</v>
      </c>
      <c r="J948"/>
    </row>
    <row r="949" spans="1:10" ht="13" hidden="1">
      <c r="A949" s="2983">
        <v>114</v>
      </c>
      <c r="B949" s="2982" t="s">
        <v>1525</v>
      </c>
      <c r="C949" s="2982" t="s">
        <v>5580</v>
      </c>
      <c r="D949" s="3002">
        <v>4076163</v>
      </c>
      <c r="E949" s="2982" t="s">
        <v>5589</v>
      </c>
      <c r="F949" s="2993">
        <v>0.96840230000000005</v>
      </c>
      <c r="G949" s="3003" t="s">
        <v>1355</v>
      </c>
      <c r="J949"/>
    </row>
    <row r="950" spans="1:10" ht="13" hidden="1">
      <c r="A950" s="2983">
        <v>72</v>
      </c>
      <c r="B950" s="2982" t="s">
        <v>1525</v>
      </c>
      <c r="C950" s="2982" t="s">
        <v>5580</v>
      </c>
      <c r="D950" s="2982">
        <v>4076164</v>
      </c>
      <c r="E950" s="2982" t="s">
        <v>5590</v>
      </c>
      <c r="F950" s="2993">
        <v>0</v>
      </c>
      <c r="G950" s="3003" t="s">
        <v>1355</v>
      </c>
      <c r="J950"/>
    </row>
    <row r="951" spans="1:10" ht="13" hidden="1">
      <c r="A951" s="2983">
        <v>72</v>
      </c>
      <c r="B951" s="2982" t="s">
        <v>1525</v>
      </c>
      <c r="C951" s="2982" t="s">
        <v>5580</v>
      </c>
      <c r="D951" s="3002">
        <v>4076165</v>
      </c>
      <c r="E951" s="2982" t="s">
        <v>5591</v>
      </c>
      <c r="F951" s="2993">
        <v>9.6854999999999997E-2</v>
      </c>
      <c r="G951" s="3003" t="s">
        <v>1355</v>
      </c>
      <c r="J951"/>
    </row>
    <row r="952" spans="1:10" ht="13" hidden="1">
      <c r="A952" s="2983">
        <v>72</v>
      </c>
      <c r="B952" s="2982" t="s">
        <v>1525</v>
      </c>
      <c r="C952" s="2982" t="s">
        <v>5580</v>
      </c>
      <c r="D952" s="3002">
        <v>4076166</v>
      </c>
      <c r="E952" s="2982" t="s">
        <v>5592</v>
      </c>
      <c r="F952" s="2993">
        <v>4.0231999999999997E-2</v>
      </c>
      <c r="G952" s="3003" t="s">
        <v>1355</v>
      </c>
      <c r="J952"/>
    </row>
    <row r="953" spans="1:10" ht="13" hidden="1">
      <c r="A953" s="2983">
        <v>72</v>
      </c>
      <c r="B953" s="2982" t="s">
        <v>1525</v>
      </c>
      <c r="C953" s="2982" t="s">
        <v>5580</v>
      </c>
      <c r="D953" s="3002">
        <v>4076167</v>
      </c>
      <c r="E953" s="2982" t="s">
        <v>5593</v>
      </c>
      <c r="F953" s="2993">
        <v>5.4832400000000003E-2</v>
      </c>
      <c r="G953" s="3003" t="s">
        <v>1355</v>
      </c>
      <c r="J953"/>
    </row>
    <row r="954" spans="1:10" ht="13" hidden="1">
      <c r="A954" s="2983">
        <v>72</v>
      </c>
      <c r="B954" s="2982" t="s">
        <v>1525</v>
      </c>
      <c r="C954" s="2982" t="s">
        <v>5580</v>
      </c>
      <c r="D954" s="2982">
        <v>4076168</v>
      </c>
      <c r="E954" s="2982" t="s">
        <v>5594</v>
      </c>
      <c r="F954" s="2993">
        <v>0</v>
      </c>
      <c r="G954" s="3003" t="s">
        <v>1355</v>
      </c>
      <c r="J954"/>
    </row>
    <row r="955" spans="1:10" ht="13" hidden="1">
      <c r="A955" s="2983">
        <v>72</v>
      </c>
      <c r="B955" s="2982" t="s">
        <v>1525</v>
      </c>
      <c r="C955" s="2982" t="s">
        <v>5580</v>
      </c>
      <c r="D955" s="3002">
        <v>4076169</v>
      </c>
      <c r="E955" s="2982" t="s">
        <v>5595</v>
      </c>
      <c r="F955" s="2993">
        <v>1.8722842469999998</v>
      </c>
      <c r="G955" s="3003" t="s">
        <v>1355</v>
      </c>
      <c r="J955"/>
    </row>
    <row r="956" spans="1:10" ht="13" hidden="1">
      <c r="A956" s="2983">
        <v>62</v>
      </c>
      <c r="B956" s="2982" t="s">
        <v>1525</v>
      </c>
      <c r="C956" s="2982" t="s">
        <v>5596</v>
      </c>
      <c r="D956" s="2982">
        <v>4076170</v>
      </c>
      <c r="E956" s="2982" t="s">
        <v>5597</v>
      </c>
      <c r="F956" s="2993">
        <v>0</v>
      </c>
      <c r="G956" s="3003" t="s">
        <v>1355</v>
      </c>
      <c r="J956"/>
    </row>
    <row r="957" spans="1:10" ht="13" hidden="1">
      <c r="A957" s="2983">
        <v>72</v>
      </c>
      <c r="B957" s="2982" t="s">
        <v>1525</v>
      </c>
      <c r="C957" s="2982" t="s">
        <v>5580</v>
      </c>
      <c r="D957" s="2982">
        <v>4076175</v>
      </c>
      <c r="E957" s="2982" t="s">
        <v>5598</v>
      </c>
      <c r="F957" s="2993">
        <v>4.0409800000000003E-2</v>
      </c>
      <c r="G957" s="3003" t="s">
        <v>1355</v>
      </c>
      <c r="J957"/>
    </row>
    <row r="958" spans="1:10" ht="13" hidden="1">
      <c r="A958" s="2983">
        <v>72</v>
      </c>
      <c r="B958" s="2982" t="s">
        <v>1525</v>
      </c>
      <c r="C958" s="2982" t="s">
        <v>5580</v>
      </c>
      <c r="D958" s="3002">
        <v>4076176</v>
      </c>
      <c r="E958" s="2982" t="s">
        <v>5599</v>
      </c>
      <c r="F958" s="2993">
        <v>8.5667800000000002E-2</v>
      </c>
      <c r="G958" s="3003" t="s">
        <v>1355</v>
      </c>
      <c r="J958"/>
    </row>
    <row r="959" spans="1:10" ht="13" hidden="1">
      <c r="A959" s="2983">
        <v>62</v>
      </c>
      <c r="B959" s="2982" t="s">
        <v>1525</v>
      </c>
      <c r="C959" s="2982" t="s">
        <v>5596</v>
      </c>
      <c r="D959" s="3002">
        <v>4076177</v>
      </c>
      <c r="E959" s="2982" t="s">
        <v>5600</v>
      </c>
      <c r="F959" s="2993">
        <v>0.49140679999999998</v>
      </c>
      <c r="G959" s="3003" t="s">
        <v>1355</v>
      </c>
      <c r="J959"/>
    </row>
    <row r="960" spans="1:10" ht="13" hidden="1">
      <c r="A960" s="2983">
        <v>62</v>
      </c>
      <c r="B960" s="2982" t="s">
        <v>1525</v>
      </c>
      <c r="C960" s="2982" t="s">
        <v>5601</v>
      </c>
      <c r="D960" s="3002">
        <v>4076178</v>
      </c>
      <c r="E960" s="2982" t="s">
        <v>3244</v>
      </c>
      <c r="F960" s="2993">
        <v>16.231167175</v>
      </c>
      <c r="G960" s="3003" t="s">
        <v>1355</v>
      </c>
      <c r="J960"/>
    </row>
    <row r="961" spans="1:10" ht="13" hidden="1">
      <c r="A961" s="2983">
        <v>72</v>
      </c>
      <c r="B961" s="2982" t="s">
        <v>1525</v>
      </c>
      <c r="C961" s="2982" t="s">
        <v>5580</v>
      </c>
      <c r="D961" s="2982">
        <v>4076190</v>
      </c>
      <c r="E961" s="2982" t="s">
        <v>5602</v>
      </c>
      <c r="F961" s="2993">
        <v>1.1626615530187383</v>
      </c>
      <c r="G961" s="3003" t="s">
        <v>1355</v>
      </c>
      <c r="J961"/>
    </row>
    <row r="962" spans="1:10" ht="13" hidden="1">
      <c r="A962" s="2983">
        <v>72</v>
      </c>
      <c r="B962" s="2982" t="s">
        <v>1525</v>
      </c>
      <c r="C962" s="2982" t="s">
        <v>5580</v>
      </c>
      <c r="D962" s="2982">
        <v>4076221</v>
      </c>
      <c r="E962" s="2982" t="s">
        <v>3251</v>
      </c>
      <c r="F962" s="2993">
        <v>6.2570000000000004E-3</v>
      </c>
      <c r="G962" s="3003" t="s">
        <v>1355</v>
      </c>
      <c r="J962"/>
    </row>
    <row r="963" spans="1:10" ht="13" hidden="1">
      <c r="A963" s="2983">
        <v>72</v>
      </c>
      <c r="B963" s="2982" t="s">
        <v>1525</v>
      </c>
      <c r="C963" s="2982" t="s">
        <v>5580</v>
      </c>
      <c r="D963" s="2982">
        <v>4076240</v>
      </c>
      <c r="E963" s="2982" t="s">
        <v>5603</v>
      </c>
      <c r="F963" s="2993">
        <v>0</v>
      </c>
      <c r="G963" s="3003" t="s">
        <v>1355</v>
      </c>
      <c r="J963"/>
    </row>
    <row r="964" spans="1:10" ht="13" hidden="1">
      <c r="A964" s="2983">
        <v>72</v>
      </c>
      <c r="B964" s="2982" t="s">
        <v>1525</v>
      </c>
      <c r="C964" s="2982" t="s">
        <v>5580</v>
      </c>
      <c r="D964" s="2982">
        <v>4076245</v>
      </c>
      <c r="E964" s="2982" t="s">
        <v>5604</v>
      </c>
      <c r="F964" s="2993">
        <v>2.3E-3</v>
      </c>
      <c r="G964" s="3003" t="s">
        <v>1355</v>
      </c>
      <c r="J964"/>
    </row>
    <row r="965" spans="1:10" ht="13" hidden="1">
      <c r="A965" s="2983">
        <v>72</v>
      </c>
      <c r="B965" s="2982" t="s">
        <v>1525</v>
      </c>
      <c r="C965" s="2982" t="s">
        <v>5580</v>
      </c>
      <c r="D965" s="2982">
        <v>4076249</v>
      </c>
      <c r="E965" s="2982" t="s">
        <v>5605</v>
      </c>
      <c r="F965" s="2993">
        <v>-0.1154608</v>
      </c>
      <c r="G965" s="3003" t="s">
        <v>1355</v>
      </c>
      <c r="J965"/>
    </row>
    <row r="966" spans="1:10" ht="13" hidden="1">
      <c r="A966" s="2983">
        <v>67</v>
      </c>
      <c r="B966" s="2982" t="s">
        <v>1525</v>
      </c>
      <c r="C966" s="2982" t="s">
        <v>5583</v>
      </c>
      <c r="D966" s="3002">
        <v>4076260</v>
      </c>
      <c r="E966" s="2982" t="s">
        <v>5606</v>
      </c>
      <c r="F966" s="2993">
        <v>0</v>
      </c>
      <c r="G966" s="3003" t="s">
        <v>1355</v>
      </c>
      <c r="J966"/>
    </row>
    <row r="967" spans="1:10" ht="13" hidden="1">
      <c r="A967" s="2983">
        <v>67</v>
      </c>
      <c r="B967" s="2982" t="s">
        <v>1525</v>
      </c>
      <c r="C967" s="2982" t="s">
        <v>5583</v>
      </c>
      <c r="D967" s="3002">
        <v>4076261</v>
      </c>
      <c r="E967" s="2982" t="s">
        <v>5607</v>
      </c>
      <c r="F967" s="2993">
        <v>0</v>
      </c>
      <c r="G967" s="3003" t="s">
        <v>1355</v>
      </c>
      <c r="J967"/>
    </row>
    <row r="968" spans="1:10" ht="13" hidden="1">
      <c r="A968" s="2983">
        <v>72</v>
      </c>
      <c r="B968" s="2982" t="s">
        <v>1525</v>
      </c>
      <c r="C968" s="2982" t="s">
        <v>5580</v>
      </c>
      <c r="D968" s="2982">
        <v>4076281</v>
      </c>
      <c r="E968" s="2982" t="s">
        <v>5608</v>
      </c>
      <c r="F968" s="2993">
        <v>2.97E-5</v>
      </c>
      <c r="G968" s="3003" t="s">
        <v>1355</v>
      </c>
      <c r="J968"/>
    </row>
    <row r="969" spans="1:10" ht="13" hidden="1">
      <c r="A969" s="2983">
        <v>72</v>
      </c>
      <c r="B969" s="2982" t="s">
        <v>1525</v>
      </c>
      <c r="C969" s="2982" t="s">
        <v>5580</v>
      </c>
      <c r="D969" s="2982">
        <v>4076290</v>
      </c>
      <c r="E969" s="2982" t="s">
        <v>5609</v>
      </c>
      <c r="F969" s="2993">
        <v>2.5750999999999999E-3</v>
      </c>
      <c r="G969" s="3003" t="s">
        <v>1355</v>
      </c>
      <c r="J969"/>
    </row>
    <row r="970" spans="1:10" ht="13" hidden="1">
      <c r="A970" s="2983">
        <v>77</v>
      </c>
      <c r="B970" s="2982" t="s">
        <v>6509</v>
      </c>
      <c r="C970" s="2982" t="s">
        <v>6509</v>
      </c>
      <c r="D970" s="2982">
        <v>4077120</v>
      </c>
      <c r="E970" s="2982" t="s">
        <v>6510</v>
      </c>
      <c r="F970" s="2993">
        <v>0.304443466</v>
      </c>
      <c r="J970"/>
    </row>
    <row r="971" spans="1:10" ht="13" hidden="1">
      <c r="A971" s="2983">
        <v>77</v>
      </c>
      <c r="B971" s="2982" t="s">
        <v>6509</v>
      </c>
      <c r="C971" s="2982" t="s">
        <v>6509</v>
      </c>
      <c r="D971" s="2982">
        <v>4077150</v>
      </c>
      <c r="E971" s="2982" t="s">
        <v>6511</v>
      </c>
      <c r="F971" s="2993">
        <v>18.484477171000002</v>
      </c>
      <c r="J971"/>
    </row>
    <row r="972" spans="1:10" ht="13" hidden="1">
      <c r="A972" s="2983">
        <v>77</v>
      </c>
      <c r="B972" s="2982" t="s">
        <v>6509</v>
      </c>
      <c r="C972" s="2982" t="s">
        <v>6509</v>
      </c>
      <c r="D972" s="2982">
        <v>4077170</v>
      </c>
      <c r="E972" s="2982" t="s">
        <v>6512</v>
      </c>
      <c r="F972" s="2993">
        <v>0.12002950999999999</v>
      </c>
      <c r="J972"/>
    </row>
    <row r="973" spans="1:10" ht="13" hidden="1">
      <c r="A973" s="2983">
        <v>77</v>
      </c>
      <c r="B973" s="2982" t="s">
        <v>6509</v>
      </c>
      <c r="C973" s="2982" t="s">
        <v>6509</v>
      </c>
      <c r="D973" s="2982">
        <v>4077180</v>
      </c>
      <c r="E973" s="2982" t="s">
        <v>6513</v>
      </c>
      <c r="F973" s="2993">
        <v>0.201531601</v>
      </c>
      <c r="J973"/>
    </row>
    <row r="974" spans="1:10" ht="13" hidden="1">
      <c r="A974" s="2983">
        <v>77</v>
      </c>
      <c r="B974" s="2982" t="s">
        <v>6509</v>
      </c>
      <c r="C974" s="2982" t="s">
        <v>6509</v>
      </c>
      <c r="D974" s="2982">
        <v>4077190</v>
      </c>
      <c r="E974" s="2982" t="s">
        <v>6514</v>
      </c>
      <c r="F974" s="2993">
        <v>0.27054512200000003</v>
      </c>
      <c r="J974"/>
    </row>
    <row r="975" spans="1:10" ht="13" hidden="1">
      <c r="A975" s="2983">
        <v>53</v>
      </c>
      <c r="B975" s="2982" t="s">
        <v>6515</v>
      </c>
      <c r="C975" s="2982" t="s">
        <v>6516</v>
      </c>
      <c r="D975" s="2982">
        <v>4078523</v>
      </c>
      <c r="E975" s="2982" t="s">
        <v>6517</v>
      </c>
      <c r="F975" s="2993">
        <v>0</v>
      </c>
      <c r="J975"/>
    </row>
    <row r="976" spans="1:10" ht="13" hidden="1">
      <c r="A976" s="2983">
        <v>54</v>
      </c>
      <c r="B976" s="2982" t="s">
        <v>6515</v>
      </c>
      <c r="C976" s="2982" t="s">
        <v>6518</v>
      </c>
      <c r="D976" s="2982">
        <v>4078610</v>
      </c>
      <c r="E976" s="2982" t="s">
        <v>6519</v>
      </c>
      <c r="F976" s="2993">
        <v>4.639077812</v>
      </c>
      <c r="J976"/>
    </row>
    <row r="977" spans="1:10" ht="13" hidden="1">
      <c r="A977" s="2983">
        <v>53</v>
      </c>
      <c r="B977" s="2982" t="s">
        <v>6515</v>
      </c>
      <c r="C977" s="2982" t="s">
        <v>6516</v>
      </c>
      <c r="D977" s="2982">
        <v>4078701</v>
      </c>
      <c r="E977" s="2982" t="s">
        <v>6520</v>
      </c>
      <c r="F977" s="2993">
        <v>1.6706188350000002</v>
      </c>
      <c r="J977"/>
    </row>
    <row r="978" spans="1:10" ht="13" hidden="1">
      <c r="A978" s="2983">
        <v>53</v>
      </c>
      <c r="B978" s="2982" t="s">
        <v>6515</v>
      </c>
      <c r="C978" s="2982" t="s">
        <v>6516</v>
      </c>
      <c r="D978" s="2982">
        <v>4078710</v>
      </c>
      <c r="E978" s="2982" t="s">
        <v>6521</v>
      </c>
      <c r="F978" s="2993">
        <v>0</v>
      </c>
      <c r="J978"/>
    </row>
    <row r="979" spans="1:10" ht="13" hidden="1">
      <c r="A979" s="2983">
        <v>53</v>
      </c>
      <c r="B979" s="2982" t="s">
        <v>6515</v>
      </c>
      <c r="C979" s="2982" t="s">
        <v>6516</v>
      </c>
      <c r="D979" s="2982">
        <v>4078711</v>
      </c>
      <c r="E979" s="2982" t="s">
        <v>6522</v>
      </c>
      <c r="F979" s="2993">
        <v>2.856537646</v>
      </c>
      <c r="J979"/>
    </row>
    <row r="980" spans="1:10" ht="13" hidden="1">
      <c r="A980" s="2983">
        <v>53</v>
      </c>
      <c r="B980" s="2982" t="s">
        <v>6515</v>
      </c>
      <c r="C980" s="2982" t="s">
        <v>6516</v>
      </c>
      <c r="D980" s="2982">
        <v>4078719</v>
      </c>
      <c r="E980" s="2982" t="s">
        <v>6523</v>
      </c>
      <c r="F980" s="2993">
        <v>0</v>
      </c>
      <c r="J980"/>
    </row>
    <row r="981" spans="1:10" ht="13" hidden="1">
      <c r="A981" s="2983">
        <v>38</v>
      </c>
      <c r="B981" s="2982" t="s">
        <v>6433</v>
      </c>
      <c r="C981" s="2982" t="s">
        <v>6524</v>
      </c>
      <c r="D981" s="2982">
        <v>4078821</v>
      </c>
      <c r="E981" s="2982" t="s">
        <v>6525</v>
      </c>
      <c r="F981" s="2993">
        <v>11.273797023</v>
      </c>
      <c r="J981"/>
    </row>
    <row r="982" spans="1:10" ht="13" hidden="1">
      <c r="A982" s="2983">
        <v>38</v>
      </c>
      <c r="B982" s="2982" t="s">
        <v>6433</v>
      </c>
      <c r="C982" s="2982" t="s">
        <v>6524</v>
      </c>
      <c r="D982" s="2982">
        <v>4078822</v>
      </c>
      <c r="E982" s="2982" t="s">
        <v>6526</v>
      </c>
      <c r="F982" s="2993">
        <v>0</v>
      </c>
      <c r="J982"/>
    </row>
    <row r="983" spans="1:10" ht="13" hidden="1">
      <c r="A983" s="2983">
        <v>38</v>
      </c>
      <c r="B983" s="2982" t="s">
        <v>6433</v>
      </c>
      <c r="C983" s="2982" t="s">
        <v>6524</v>
      </c>
      <c r="D983" s="2982">
        <v>4078823</v>
      </c>
      <c r="E983" s="2982" t="s">
        <v>6527</v>
      </c>
      <c r="F983" s="2993">
        <v>0</v>
      </c>
      <c r="J983"/>
    </row>
    <row r="984" spans="1:10" ht="13" hidden="1">
      <c r="A984" s="2983">
        <v>55</v>
      </c>
      <c r="B984" s="2982" t="s">
        <v>6515</v>
      </c>
      <c r="C984" s="2982" t="s">
        <v>6528</v>
      </c>
      <c r="D984" s="2982">
        <v>4078881</v>
      </c>
      <c r="E984" s="2982" t="s">
        <v>6529</v>
      </c>
      <c r="F984" s="2993">
        <v>7.2806960000000006E-3</v>
      </c>
      <c r="J984"/>
    </row>
    <row r="985" spans="1:10" ht="13" hidden="1">
      <c r="A985" s="2983">
        <v>55</v>
      </c>
      <c r="B985" s="2982" t="s">
        <v>6515</v>
      </c>
      <c r="C985" s="2982" t="s">
        <v>6528</v>
      </c>
      <c r="D985" s="2982">
        <v>4078882</v>
      </c>
      <c r="E985" s="2982" t="s">
        <v>6530</v>
      </c>
      <c r="F985" s="2993">
        <v>1.280235E-3</v>
      </c>
      <c r="J985"/>
    </row>
    <row r="986" spans="1:10" ht="13" hidden="1">
      <c r="A986" s="2983">
        <v>55</v>
      </c>
      <c r="B986" s="2982" t="s">
        <v>6515</v>
      </c>
      <c r="C986" s="2984" t="s">
        <v>6528</v>
      </c>
      <c r="D986" s="2982">
        <v>4078883</v>
      </c>
      <c r="E986" s="2982" t="s">
        <v>6531</v>
      </c>
      <c r="F986" s="2993">
        <v>7.3901380000000001E-3</v>
      </c>
      <c r="J986"/>
    </row>
    <row r="987" spans="1:10" ht="13" hidden="1">
      <c r="A987" s="2983">
        <v>55</v>
      </c>
      <c r="B987" s="2982" t="s">
        <v>6515</v>
      </c>
      <c r="C987" s="2982" t="s">
        <v>6528</v>
      </c>
      <c r="D987" s="2982">
        <v>4078884</v>
      </c>
      <c r="E987" s="2982" t="s">
        <v>6532</v>
      </c>
      <c r="F987" s="2993">
        <v>5.88139E-4</v>
      </c>
      <c r="J987"/>
    </row>
    <row r="988" spans="1:10" ht="13" hidden="1">
      <c r="A988" s="2983">
        <v>55</v>
      </c>
      <c r="B988" s="2982" t="s">
        <v>6515</v>
      </c>
      <c r="C988" s="2984" t="s">
        <v>6528</v>
      </c>
      <c r="D988" s="2982">
        <v>4078885</v>
      </c>
      <c r="E988" s="2982" t="s">
        <v>6533</v>
      </c>
      <c r="F988" s="2993">
        <v>0.24188977200000003</v>
      </c>
      <c r="J988"/>
    </row>
    <row r="989" spans="1:10" ht="13" hidden="1">
      <c r="A989" s="2983">
        <v>55</v>
      </c>
      <c r="B989" s="2982" t="s">
        <v>6515</v>
      </c>
      <c r="C989" s="2982" t="s">
        <v>6528</v>
      </c>
      <c r="D989" s="2982">
        <v>4078886</v>
      </c>
      <c r="E989" s="2982"/>
      <c r="F989" s="2993">
        <v>0.15674122099999999</v>
      </c>
      <c r="J989"/>
    </row>
    <row r="990" spans="1:10" ht="13" hidden="1">
      <c r="A990" s="2983">
        <v>55</v>
      </c>
      <c r="B990" s="2982" t="s">
        <v>6515</v>
      </c>
      <c r="C990" s="2982" t="s">
        <v>6528</v>
      </c>
      <c r="D990" s="2982">
        <v>4078887</v>
      </c>
      <c r="E990" s="2982" t="s">
        <v>6534</v>
      </c>
      <c r="F990" s="2993">
        <v>7.1856343000000003E-2</v>
      </c>
      <c r="J990"/>
    </row>
    <row r="991" spans="1:10" ht="13" hidden="1">
      <c r="A991" s="2983">
        <v>72</v>
      </c>
      <c r="B991" s="2982" t="s">
        <v>1525</v>
      </c>
      <c r="C991" s="2982" t="s">
        <v>5580</v>
      </c>
      <c r="D991" s="2982">
        <v>4079120</v>
      </c>
      <c r="E991" s="2982" t="s">
        <v>5610</v>
      </c>
      <c r="F991" s="2993">
        <v>5.3196212999999999E-2</v>
      </c>
      <c r="J991"/>
    </row>
    <row r="992" spans="1:10" ht="13" hidden="1">
      <c r="A992" s="2983">
        <v>66</v>
      </c>
      <c r="B992" s="2982" t="s">
        <v>1525</v>
      </c>
      <c r="C992" s="2982" t="s">
        <v>1736</v>
      </c>
      <c r="D992" s="2982">
        <v>4079410</v>
      </c>
      <c r="E992" s="2982" t="s">
        <v>5611</v>
      </c>
      <c r="F992" s="2993">
        <v>16.67643529958</v>
      </c>
      <c r="J992"/>
    </row>
    <row r="993" spans="1:10" ht="13" hidden="1">
      <c r="A993" s="2983">
        <v>76</v>
      </c>
      <c r="B993" s="2982" t="s">
        <v>6535</v>
      </c>
      <c r="C993" s="2982" t="s">
        <v>6535</v>
      </c>
      <c r="D993" s="2982">
        <v>4081210</v>
      </c>
      <c r="E993" s="2982" t="s">
        <v>6535</v>
      </c>
      <c r="F993" s="2993">
        <v>-9.9167770342672341</v>
      </c>
      <c r="J993"/>
    </row>
    <row r="994" spans="1:10" ht="13" hidden="1">
      <c r="A994" s="2983">
        <v>78</v>
      </c>
      <c r="B994" s="2982" t="s">
        <v>6536</v>
      </c>
      <c r="C994" s="2982" t="s">
        <v>6537</v>
      </c>
      <c r="D994" s="2982">
        <v>5061401</v>
      </c>
      <c r="E994" s="2982" t="s">
        <v>6538</v>
      </c>
      <c r="F994" s="2993">
        <v>0</v>
      </c>
      <c r="J994"/>
    </row>
    <row r="995" spans="1:10" ht="13" hidden="1">
      <c r="A995" s="2983">
        <v>74</v>
      </c>
      <c r="B995" s="2982" t="s">
        <v>6539</v>
      </c>
      <c r="C995" s="2982" t="s">
        <v>6540</v>
      </c>
      <c r="D995" s="2986">
        <v>5061402</v>
      </c>
      <c r="E995" s="2982" t="s">
        <v>6541</v>
      </c>
      <c r="F995" s="2993">
        <v>-30.356388887221435</v>
      </c>
      <c r="J995"/>
    </row>
    <row r="996" spans="1:10" ht="13" hidden="1">
      <c r="A996" s="2983">
        <v>40</v>
      </c>
      <c r="B996" s="2982" t="s">
        <v>5834</v>
      </c>
      <c r="C996" s="2982" t="s">
        <v>5835</v>
      </c>
      <c r="D996" s="2986">
        <v>5061720</v>
      </c>
      <c r="E996" s="2982" t="s">
        <v>6542</v>
      </c>
      <c r="F996" s="2993">
        <v>0</v>
      </c>
      <c r="J996"/>
    </row>
    <row r="997" spans="1:10" ht="13" hidden="1">
      <c r="A997" s="2983">
        <v>40</v>
      </c>
      <c r="B997" s="2982" t="s">
        <v>5834</v>
      </c>
      <c r="C997" s="2982" t="s">
        <v>5835</v>
      </c>
      <c r="D997" s="2986">
        <v>5061902</v>
      </c>
      <c r="E997" s="2982" t="s">
        <v>6543</v>
      </c>
      <c r="F997" s="2993">
        <v>0</v>
      </c>
      <c r="J997"/>
    </row>
    <row r="998" spans="1:10" ht="13" hidden="1">
      <c r="A998" s="2983">
        <v>40</v>
      </c>
      <c r="B998" s="2982" t="s">
        <v>5834</v>
      </c>
      <c r="C998" s="2982" t="s">
        <v>5835</v>
      </c>
      <c r="D998" s="2986">
        <v>5061903</v>
      </c>
      <c r="E998" s="2982" t="s">
        <v>6544</v>
      </c>
      <c r="F998" s="2993">
        <v>-0.14492738300000002</v>
      </c>
      <c r="J998"/>
    </row>
    <row r="999" spans="1:10" ht="13" hidden="1">
      <c r="A999" s="2983">
        <v>40</v>
      </c>
      <c r="B999" s="2982" t="s">
        <v>5834</v>
      </c>
      <c r="C999" s="2982" t="s">
        <v>5835</v>
      </c>
      <c r="D999" s="2986">
        <v>5061904</v>
      </c>
      <c r="E999" s="2982" t="s">
        <v>6545</v>
      </c>
      <c r="F999" s="2993">
        <v>-0.1744291</v>
      </c>
      <c r="J999"/>
    </row>
    <row r="1000" spans="1:10" ht="13" hidden="1">
      <c r="A1000" s="2983">
        <v>40</v>
      </c>
      <c r="B1000" s="2982" t="s">
        <v>5834</v>
      </c>
      <c r="C1000" s="2982" t="s">
        <v>5835</v>
      </c>
      <c r="D1000" s="2982">
        <v>5061906</v>
      </c>
      <c r="E1000" s="2982" t="s">
        <v>6546</v>
      </c>
      <c r="F1000" s="2993">
        <v>-4.7631823679999989</v>
      </c>
      <c r="J1000"/>
    </row>
    <row r="1001" spans="1:10" ht="13" hidden="1">
      <c r="A1001" s="2983">
        <v>44</v>
      </c>
      <c r="B1001" s="2982" t="s">
        <v>896</v>
      </c>
      <c r="C1001" s="2982" t="s">
        <v>5826</v>
      </c>
      <c r="D1001" s="2982">
        <v>5061908</v>
      </c>
      <c r="E1001" s="2982" t="s">
        <v>6547</v>
      </c>
      <c r="F1001" s="2993">
        <v>-4.6569137960000004</v>
      </c>
      <c r="J1001"/>
    </row>
    <row r="1002" spans="1:10" ht="13" hidden="1">
      <c r="A1002" s="2983">
        <v>40</v>
      </c>
      <c r="B1002" s="2982" t="s">
        <v>5834</v>
      </c>
      <c r="C1002" s="2982" t="s">
        <v>5835</v>
      </c>
      <c r="D1002" s="2982">
        <v>5061990</v>
      </c>
      <c r="E1002" s="2982" t="s">
        <v>6548</v>
      </c>
      <c r="F1002" s="2993">
        <v>-0.55389675700000007</v>
      </c>
      <c r="J1002"/>
    </row>
    <row r="1003" spans="1:10" ht="13" hidden="1">
      <c r="A1003" s="2983">
        <v>44</v>
      </c>
      <c r="B1003" s="2982" t="s">
        <v>896</v>
      </c>
      <c r="C1003" s="2982" t="s">
        <v>5826</v>
      </c>
      <c r="D1003" s="2982">
        <v>5062369</v>
      </c>
      <c r="E1003" s="2982" t="s">
        <v>6549</v>
      </c>
      <c r="F1003" s="2993">
        <v>0</v>
      </c>
      <c r="J1003"/>
    </row>
    <row r="1004" spans="1:10" ht="13" hidden="1">
      <c r="A1004" s="2983">
        <v>32</v>
      </c>
      <c r="B1004" s="2982" t="s">
        <v>6298</v>
      </c>
      <c r="C1004" s="2982" t="s">
        <v>6299</v>
      </c>
      <c r="D1004" s="2982">
        <v>7000004</v>
      </c>
      <c r="E1004" s="2982" t="s">
        <v>6550</v>
      </c>
      <c r="F1004" s="2993">
        <v>-0.3237730220000008</v>
      </c>
      <c r="J1004"/>
    </row>
    <row r="1005" spans="1:10" ht="13" hidden="1">
      <c r="A1005" s="2983">
        <v>32</v>
      </c>
      <c r="B1005" s="2982" t="s">
        <v>6298</v>
      </c>
      <c r="C1005" s="2982" t="s">
        <v>6299</v>
      </c>
      <c r="D1005" s="2982">
        <v>7000005</v>
      </c>
      <c r="E1005" s="2982" t="s">
        <v>6551</v>
      </c>
      <c r="F1005" s="2993">
        <v>-0.27130098600000041</v>
      </c>
      <c r="J1005"/>
    </row>
    <row r="1006" spans="1:10" ht="13" hidden="1">
      <c r="A1006" s="2983">
        <v>32</v>
      </c>
      <c r="B1006" s="2982" t="s">
        <v>6298</v>
      </c>
      <c r="C1006" s="2982" t="s">
        <v>6299</v>
      </c>
      <c r="D1006" s="2982">
        <v>7000006</v>
      </c>
      <c r="E1006" s="2982" t="s">
        <v>6552</v>
      </c>
      <c r="F1006" s="2993">
        <v>-0.17099381400000013</v>
      </c>
      <c r="J1006"/>
    </row>
    <row r="1007" spans="1:10" ht="13" hidden="1">
      <c r="A1007" s="2983">
        <v>32</v>
      </c>
      <c r="B1007" s="2982" t="s">
        <v>6298</v>
      </c>
      <c r="C1007" s="2982" t="s">
        <v>6299</v>
      </c>
      <c r="D1007" s="2982">
        <v>7000010</v>
      </c>
      <c r="E1007" s="2982" t="s">
        <v>6553</v>
      </c>
      <c r="F1007" s="2993">
        <v>-1.5718918520000014</v>
      </c>
      <c r="J1007"/>
    </row>
    <row r="1008" spans="1:10" ht="13" hidden="1">
      <c r="A1008" s="2983">
        <v>32</v>
      </c>
      <c r="B1008" s="2982" t="s">
        <v>6298</v>
      </c>
      <c r="C1008" s="2982" t="s">
        <v>6299</v>
      </c>
      <c r="D1008" s="2982">
        <v>7000011</v>
      </c>
      <c r="E1008" s="2982" t="s">
        <v>6554</v>
      </c>
      <c r="F1008" s="2993">
        <v>-0.162282174</v>
      </c>
      <c r="J1008"/>
    </row>
    <row r="1009" spans="1:10" ht="13" hidden="1">
      <c r="A1009" s="2983">
        <v>32</v>
      </c>
      <c r="B1009" s="2982" t="s">
        <v>6298</v>
      </c>
      <c r="C1009" s="2982" t="s">
        <v>6299</v>
      </c>
      <c r="D1009" s="2982">
        <v>7000012</v>
      </c>
      <c r="E1009" s="2982" t="s">
        <v>6555</v>
      </c>
      <c r="F1009" s="2993">
        <v>0</v>
      </c>
      <c r="J1009"/>
    </row>
    <row r="1010" spans="1:10" ht="13" hidden="1">
      <c r="A1010" s="2983">
        <v>32</v>
      </c>
      <c r="B1010" s="2982" t="s">
        <v>6298</v>
      </c>
      <c r="C1010" s="2982" t="s">
        <v>6299</v>
      </c>
      <c r="D1010" s="2982">
        <v>7000014</v>
      </c>
      <c r="E1010" s="2982" t="s">
        <v>6556</v>
      </c>
      <c r="F1010" s="2993">
        <v>-8.9732499999999993E-2</v>
      </c>
      <c r="J1010"/>
    </row>
    <row r="1011" spans="1:10" ht="13" hidden="1">
      <c r="A1011" s="2983">
        <v>32</v>
      </c>
      <c r="B1011" s="2982" t="s">
        <v>6298</v>
      </c>
      <c r="C1011" s="2982" t="s">
        <v>6299</v>
      </c>
      <c r="D1011" s="2982">
        <v>7000015</v>
      </c>
      <c r="E1011" s="2982" t="s">
        <v>6557</v>
      </c>
      <c r="F1011" s="2993">
        <v>-0.21359980000000001</v>
      </c>
      <c r="J1011"/>
    </row>
    <row r="1012" spans="1:10" ht="13" hidden="1">
      <c r="A1012" s="2983">
        <v>32</v>
      </c>
      <c r="B1012" s="2982" t="s">
        <v>6298</v>
      </c>
      <c r="C1012" s="2982" t="s">
        <v>6299</v>
      </c>
      <c r="D1012" s="2982">
        <v>7000022</v>
      </c>
      <c r="E1012" s="2982" t="s">
        <v>6558</v>
      </c>
      <c r="F1012" s="2993">
        <v>-0.2043753420000001</v>
      </c>
      <c r="J1012"/>
    </row>
    <row r="1013" spans="1:10" ht="13" hidden="1">
      <c r="A1013" s="2983">
        <v>32</v>
      </c>
      <c r="B1013" s="2982" t="s">
        <v>6298</v>
      </c>
      <c r="C1013" s="2982" t="s">
        <v>6299</v>
      </c>
      <c r="D1013" s="2982">
        <v>7000023</v>
      </c>
      <c r="E1013" s="2982" t="s">
        <v>6559</v>
      </c>
      <c r="F1013" s="2993">
        <v>-0.193291614</v>
      </c>
      <c r="J1013"/>
    </row>
    <row r="1014" spans="1:10" ht="13" hidden="1">
      <c r="A1014" s="2983">
        <v>32</v>
      </c>
      <c r="B1014" s="2982" t="s">
        <v>6298</v>
      </c>
      <c r="C1014" s="2982" t="s">
        <v>6299</v>
      </c>
      <c r="D1014" s="2982">
        <v>7000025</v>
      </c>
      <c r="E1014" s="2982" t="s">
        <v>6560</v>
      </c>
      <c r="F1014" s="2993">
        <v>-6.02947E-2</v>
      </c>
      <c r="J1014"/>
    </row>
    <row r="1015" spans="1:10" ht="13" hidden="1">
      <c r="A1015" s="2983">
        <v>32</v>
      </c>
      <c r="B1015" s="2982" t="s">
        <v>6298</v>
      </c>
      <c r="C1015" s="2982" t="s">
        <v>6299</v>
      </c>
      <c r="D1015" s="2982">
        <v>7000026</v>
      </c>
      <c r="E1015" s="2982" t="s">
        <v>6561</v>
      </c>
      <c r="F1015" s="2993">
        <v>-6.02947E-2</v>
      </c>
      <c r="J1015"/>
    </row>
    <row r="1016" spans="1:10" ht="13" hidden="1">
      <c r="A1016" s="2983">
        <v>32</v>
      </c>
      <c r="B1016" s="2982" t="s">
        <v>6298</v>
      </c>
      <c r="C1016" s="2982" t="s">
        <v>6299</v>
      </c>
      <c r="D1016" s="2982">
        <v>7000034</v>
      </c>
      <c r="E1016" s="2982" t="s">
        <v>7762</v>
      </c>
      <c r="F1016" s="2993">
        <v>0</v>
      </c>
      <c r="J1016"/>
    </row>
    <row r="1017" spans="1:10" ht="13" hidden="1">
      <c r="A1017" s="2983">
        <v>32</v>
      </c>
      <c r="B1017" s="2982" t="s">
        <v>6298</v>
      </c>
      <c r="C1017" s="2982" t="s">
        <v>6299</v>
      </c>
      <c r="D1017" s="2982">
        <v>7000035</v>
      </c>
      <c r="E1017" s="2982" t="s">
        <v>7763</v>
      </c>
      <c r="F1017" s="2993">
        <v>0</v>
      </c>
      <c r="J1017"/>
    </row>
    <row r="1018" spans="1:10" ht="13" hidden="1">
      <c r="A1018" s="2983" t="s">
        <v>6562</v>
      </c>
      <c r="B1018" s="2982" t="s">
        <v>6563</v>
      </c>
      <c r="C1018" s="2982" t="s">
        <v>6564</v>
      </c>
      <c r="D1018" s="2982">
        <v>7000031</v>
      </c>
      <c r="E1018" s="2982" t="s">
        <v>6565</v>
      </c>
      <c r="F1018" s="2993">
        <v>53.381572354778569</v>
      </c>
      <c r="J1018"/>
    </row>
    <row r="1019" spans="1:10" ht="13" hidden="1">
      <c r="A1019" s="2983">
        <v>32</v>
      </c>
      <c r="B1019" s="2982" t="s">
        <v>6298</v>
      </c>
      <c r="C1019" s="2982" t="s">
        <v>6299</v>
      </c>
      <c r="D1019" s="2982">
        <v>7000033</v>
      </c>
      <c r="E1019" s="2982" t="s">
        <v>6566</v>
      </c>
      <c r="F1019" s="2993">
        <v>-0.1188941</v>
      </c>
      <c r="J1019"/>
    </row>
    <row r="1020" spans="1:10" ht="13" hidden="1">
      <c r="A1020" s="2983" t="s">
        <v>5802</v>
      </c>
      <c r="B1020" s="2982" t="s">
        <v>5803</v>
      </c>
      <c r="C1020" s="2982" t="s">
        <v>5804</v>
      </c>
      <c r="D1020" s="2982">
        <v>8000001</v>
      </c>
      <c r="E1020" s="2982" t="s">
        <v>6567</v>
      </c>
      <c r="F1020" s="2993">
        <v>-5.7167112399999773</v>
      </c>
      <c r="J1020"/>
    </row>
    <row r="1021" spans="1:10" ht="13" hidden="1">
      <c r="A1021" s="2983">
        <v>72</v>
      </c>
      <c r="B1021" s="2982" t="s">
        <v>6568</v>
      </c>
      <c r="C1021" s="2982" t="s">
        <v>6568</v>
      </c>
      <c r="D1021" s="2982">
        <v>8000004</v>
      </c>
      <c r="E1021" s="2982" t="s">
        <v>6569</v>
      </c>
      <c r="F1021" s="2993">
        <v>-5.6531620000000006E-3</v>
      </c>
      <c r="J1021"/>
    </row>
    <row r="1022" spans="1:10" ht="13" hidden="1">
      <c r="A1022" s="2983" t="s">
        <v>5802</v>
      </c>
      <c r="B1022" s="2982" t="s">
        <v>5803</v>
      </c>
      <c r="C1022" s="2982" t="s">
        <v>5804</v>
      </c>
      <c r="D1022" s="2982">
        <v>8076210</v>
      </c>
      <c r="E1022" s="2982" t="s">
        <v>6570</v>
      </c>
      <c r="F1022" s="2993">
        <v>0</v>
      </c>
      <c r="J1022"/>
    </row>
    <row r="1023" spans="1:10" ht="13" hidden="1">
      <c r="A1023" s="2983">
        <v>72</v>
      </c>
      <c r="B1023" s="2982" t="s">
        <v>6568</v>
      </c>
      <c r="C1023" s="2982" t="s">
        <v>6568</v>
      </c>
      <c r="D1023" s="2982">
        <v>8999952</v>
      </c>
      <c r="E1023" s="2982" t="s">
        <v>6571</v>
      </c>
      <c r="F1023" s="2993">
        <v>0</v>
      </c>
      <c r="J1023"/>
    </row>
    <row r="1024" spans="1:10" ht="13" hidden="1">
      <c r="A1024" s="2983" t="s">
        <v>6572</v>
      </c>
      <c r="B1024" s="2982" t="s">
        <v>5757</v>
      </c>
      <c r="C1024" s="2982" t="s">
        <v>6573</v>
      </c>
      <c r="D1024" s="2982">
        <v>2046801</v>
      </c>
      <c r="E1024" s="2982" t="s">
        <v>6574</v>
      </c>
      <c r="F1024" s="2993">
        <v>-3.6508482</v>
      </c>
      <c r="J1024"/>
    </row>
    <row r="1025" spans="1:10" ht="13" hidden="1">
      <c r="A1025" s="2983">
        <v>75</v>
      </c>
      <c r="B1025" s="2982" t="s">
        <v>6575</v>
      </c>
      <c r="C1025" s="2982" t="s">
        <v>6576</v>
      </c>
      <c r="D1025" s="2982">
        <v>4081110</v>
      </c>
      <c r="E1025" s="2982" t="s">
        <v>6577</v>
      </c>
      <c r="F1025" s="2993">
        <v>15.123809890837512</v>
      </c>
      <c r="J1025"/>
    </row>
    <row r="1026" spans="1:10" ht="13" hidden="1">
      <c r="A1026" s="2983">
        <v>78</v>
      </c>
      <c r="B1026" s="2982" t="s">
        <v>6536</v>
      </c>
      <c r="C1026" s="2982" t="s">
        <v>6537</v>
      </c>
      <c r="D1026" s="2982">
        <v>5061501</v>
      </c>
      <c r="E1026" s="2982" t="s">
        <v>6578</v>
      </c>
      <c r="F1026" s="2993">
        <v>-86.042603207778541</v>
      </c>
      <c r="J1026"/>
    </row>
    <row r="1027" spans="1:10" ht="13" hidden="1">
      <c r="A1027" s="2983">
        <v>35</v>
      </c>
      <c r="B1027" s="2982" t="s">
        <v>6579</v>
      </c>
      <c r="C1027" s="2982" t="s">
        <v>6579</v>
      </c>
      <c r="D1027" s="2982">
        <v>7000017</v>
      </c>
      <c r="E1027" s="2982" t="s">
        <v>6580</v>
      </c>
      <c r="F1027" s="2993">
        <v>-34.730328883388857</v>
      </c>
      <c r="J1027"/>
    </row>
    <row r="1028" spans="1:10" ht="13" hidden="1">
      <c r="A1028" s="2983" t="s">
        <v>6581</v>
      </c>
      <c r="B1028" s="2982" t="s">
        <v>6563</v>
      </c>
      <c r="C1028" s="2982" t="s">
        <v>6582</v>
      </c>
      <c r="D1028" s="2982">
        <v>7000018</v>
      </c>
      <c r="E1028" s="2982" t="s">
        <v>6583</v>
      </c>
      <c r="F1028" s="2993">
        <v>9.916776990267234</v>
      </c>
      <c r="J1028"/>
    </row>
    <row r="1029" spans="1:10" ht="13" hidden="1">
      <c r="A1029" s="2983" t="s">
        <v>8191</v>
      </c>
      <c r="B1029" s="2982" t="s">
        <v>5656</v>
      </c>
      <c r="C1029" s="2982" t="s">
        <v>6584</v>
      </c>
      <c r="D1029" s="2982">
        <v>1023401</v>
      </c>
      <c r="E1029" s="2982" t="s">
        <v>6584</v>
      </c>
      <c r="F1029" s="2993">
        <v>119.5742951</v>
      </c>
      <c r="J1029"/>
    </row>
    <row r="1030" spans="1:10" ht="13" hidden="1">
      <c r="A1030" s="2983">
        <v>50</v>
      </c>
      <c r="B1030" s="2982" t="s">
        <v>6482</v>
      </c>
      <c r="C1030" s="2982" t="s">
        <v>1726</v>
      </c>
      <c r="D1030" s="2982">
        <v>4080100</v>
      </c>
      <c r="E1030" s="2982" t="s">
        <v>6585</v>
      </c>
      <c r="F1030" s="2993">
        <v>48.165397599999999</v>
      </c>
      <c r="J1030"/>
    </row>
    <row r="1031" spans="1:10" ht="13" hidden="1">
      <c r="A1031" s="2983">
        <v>73</v>
      </c>
      <c r="B1031" s="2982" t="s">
        <v>6539</v>
      </c>
      <c r="C1031" s="2982" t="s">
        <v>6540</v>
      </c>
      <c r="D1031" s="2982">
        <v>4075810</v>
      </c>
      <c r="E1031" s="2982" t="s">
        <v>6586</v>
      </c>
      <c r="F1031" s="2993">
        <v>-0.72347247067055986</v>
      </c>
      <c r="J1031"/>
    </row>
    <row r="1032" spans="1:10" ht="13" hidden="1">
      <c r="A1032" s="2983">
        <v>73</v>
      </c>
      <c r="B1032" s="2982" t="s">
        <v>6539</v>
      </c>
      <c r="C1032" s="2982" t="s">
        <v>6540</v>
      </c>
      <c r="D1032" s="2982" t="s">
        <v>8150</v>
      </c>
      <c r="E1032" s="2982" t="s">
        <v>6310</v>
      </c>
      <c r="F1032" s="2993">
        <v>0</v>
      </c>
      <c r="J1032"/>
    </row>
    <row r="1033" spans="1:10" ht="13" hidden="1">
      <c r="A1033" s="2983">
        <v>73</v>
      </c>
      <c r="B1033" s="2982" t="s">
        <v>6539</v>
      </c>
      <c r="C1033" s="2982" t="s">
        <v>6540</v>
      </c>
      <c r="D1033" s="2982">
        <v>4075811</v>
      </c>
      <c r="E1033" s="2982" t="s">
        <v>6587</v>
      </c>
      <c r="F1033" s="2993">
        <v>6.75158015117856</v>
      </c>
      <c r="J1033"/>
    </row>
    <row r="1034" spans="1:10" ht="13" hidden="1">
      <c r="A1034" s="2983">
        <v>73</v>
      </c>
      <c r="B1034" s="2982" t="s">
        <v>6539</v>
      </c>
      <c r="C1034" s="2982" t="s">
        <v>6540</v>
      </c>
      <c r="D1034" s="2982">
        <v>4075812</v>
      </c>
      <c r="E1034" s="2982" t="s">
        <v>6588</v>
      </c>
      <c r="F1034" s="2993">
        <v>24.328281206713434</v>
      </c>
      <c r="J1034"/>
    </row>
    <row r="1035" spans="1:10" ht="13" hidden="1">
      <c r="A1035" s="2983" t="s">
        <v>6589</v>
      </c>
      <c r="B1035" s="2982" t="s">
        <v>5715</v>
      </c>
      <c r="C1035" s="2982" t="s">
        <v>6590</v>
      </c>
      <c r="D1035" s="2982" t="s">
        <v>6591</v>
      </c>
      <c r="E1035" s="2982" t="s">
        <v>6592</v>
      </c>
      <c r="F1035" s="2993">
        <v>0</v>
      </c>
      <c r="J1035"/>
    </row>
    <row r="1036" spans="1:10" ht="13" hidden="1">
      <c r="A1036" s="2983">
        <v>33</v>
      </c>
      <c r="B1036" s="2982" t="s">
        <v>6298</v>
      </c>
      <c r="C1036" s="2982" t="s">
        <v>116</v>
      </c>
      <c r="D1036" s="2982" t="s">
        <v>6593</v>
      </c>
      <c r="E1036" s="2982" t="s">
        <v>6594</v>
      </c>
      <c r="F1036" s="2993">
        <v>0</v>
      </c>
      <c r="J1036"/>
    </row>
    <row r="1037" spans="1:10" ht="13" hidden="1">
      <c r="A1037" s="2983" t="s">
        <v>6309</v>
      </c>
      <c r="B1037" s="2982" t="s">
        <v>6294</v>
      </c>
      <c r="C1037" s="2982" t="s">
        <v>6295</v>
      </c>
      <c r="D1037" s="2982" t="s">
        <v>6595</v>
      </c>
      <c r="E1037" s="2982" t="s">
        <v>6596</v>
      </c>
      <c r="F1037" s="2993">
        <v>0</v>
      </c>
      <c r="J1037"/>
    </row>
    <row r="1038" spans="1:10" ht="13" hidden="1">
      <c r="A1038" s="2983" t="s">
        <v>6597</v>
      </c>
      <c r="B1038" s="2982" t="s">
        <v>6294</v>
      </c>
      <c r="C1038" s="2982" t="s">
        <v>6295</v>
      </c>
      <c r="D1038" s="2982" t="s">
        <v>8151</v>
      </c>
      <c r="E1038" s="2982" t="s">
        <v>6296</v>
      </c>
      <c r="F1038" s="2993">
        <v>0</v>
      </c>
      <c r="J1038"/>
    </row>
    <row r="1039" spans="1:10" ht="13" hidden="1">
      <c r="A1039" s="2983" t="s">
        <v>6309</v>
      </c>
      <c r="B1039" s="2982" t="s">
        <v>6294</v>
      </c>
      <c r="C1039" s="2982" t="s">
        <v>6295</v>
      </c>
      <c r="D1039" s="2982" t="s">
        <v>8152</v>
      </c>
      <c r="E1039" s="2982" t="s">
        <v>6310</v>
      </c>
      <c r="F1039" s="2993">
        <v>0</v>
      </c>
      <c r="J1039"/>
    </row>
    <row r="1040" spans="1:10" ht="13" hidden="1">
      <c r="A1040" s="2983" t="s">
        <v>6597</v>
      </c>
      <c r="B1040" s="2982" t="s">
        <v>6294</v>
      </c>
      <c r="C1040" s="2982" t="s">
        <v>6295</v>
      </c>
      <c r="D1040" s="2982" t="s">
        <v>8153</v>
      </c>
      <c r="E1040" s="2982" t="s">
        <v>6302</v>
      </c>
      <c r="F1040" s="2993">
        <v>0</v>
      </c>
      <c r="J1040"/>
    </row>
    <row r="1041" spans="1:10" ht="13" hidden="1">
      <c r="A1041" s="2983" t="s">
        <v>6600</v>
      </c>
      <c r="B1041" s="2982" t="s">
        <v>6294</v>
      </c>
      <c r="C1041" s="2982" t="s">
        <v>6295</v>
      </c>
      <c r="D1041" s="2982" t="s">
        <v>8154</v>
      </c>
      <c r="E1041" s="2982" t="s">
        <v>6305</v>
      </c>
      <c r="F1041" s="2993">
        <v>0</v>
      </c>
      <c r="J1041"/>
    </row>
    <row r="1042" spans="1:10" ht="13" hidden="1">
      <c r="A1042" s="2983" t="s">
        <v>6293</v>
      </c>
      <c r="B1042" s="2982" t="s">
        <v>6294</v>
      </c>
      <c r="C1042" s="2982" t="s">
        <v>6295</v>
      </c>
      <c r="D1042" s="2982" t="s">
        <v>8155</v>
      </c>
      <c r="E1042" s="2982" t="s">
        <v>6297</v>
      </c>
      <c r="F1042" s="2993">
        <v>0</v>
      </c>
      <c r="J1042"/>
    </row>
    <row r="1043" spans="1:10" ht="13" hidden="1">
      <c r="A1043" s="2983" t="s">
        <v>6597</v>
      </c>
      <c r="B1043" s="2982" t="s">
        <v>6294</v>
      </c>
      <c r="C1043" s="2982" t="s">
        <v>6295</v>
      </c>
      <c r="D1043" s="2982" t="s">
        <v>8156</v>
      </c>
      <c r="E1043" s="2982" t="s">
        <v>6297</v>
      </c>
      <c r="F1043" s="2993">
        <v>0</v>
      </c>
      <c r="J1043"/>
    </row>
    <row r="1044" spans="1:10" ht="13" hidden="1">
      <c r="A1044" s="2983" t="s">
        <v>6597</v>
      </c>
      <c r="B1044" s="2982" t="s">
        <v>6294</v>
      </c>
      <c r="C1044" s="2982" t="s">
        <v>6295</v>
      </c>
      <c r="D1044" s="2982" t="s">
        <v>8157</v>
      </c>
      <c r="E1044" s="2982" t="s">
        <v>6670</v>
      </c>
      <c r="F1044" s="2993">
        <v>0</v>
      </c>
      <c r="J1044"/>
    </row>
    <row r="1045" spans="1:10" ht="13" hidden="1">
      <c r="A1045" s="2983" t="s">
        <v>6597</v>
      </c>
      <c r="B1045" s="2982" t="s">
        <v>6294</v>
      </c>
      <c r="C1045" s="2982" t="s">
        <v>6295</v>
      </c>
      <c r="D1045" s="2982" t="s">
        <v>6598</v>
      </c>
      <c r="E1045" s="2982" t="s">
        <v>6599</v>
      </c>
      <c r="F1045" s="2993">
        <v>0</v>
      </c>
      <c r="J1045"/>
    </row>
    <row r="1046" spans="1:10" ht="13" hidden="1">
      <c r="A1046" s="2983" t="s">
        <v>6600</v>
      </c>
      <c r="B1046" s="2982" t="s">
        <v>6294</v>
      </c>
      <c r="C1046" s="2982" t="s">
        <v>6295</v>
      </c>
      <c r="D1046" s="2982" t="s">
        <v>6601</v>
      </c>
      <c r="E1046" s="2982" t="s">
        <v>6602</v>
      </c>
      <c r="F1046" s="2993">
        <v>0</v>
      </c>
      <c r="J1046"/>
    </row>
    <row r="1047" spans="1:10" ht="13">
      <c r="A1047" s="2983">
        <v>1</v>
      </c>
      <c r="B1047" s="2982" t="s">
        <v>5628</v>
      </c>
      <c r="C1047" s="2982" t="s">
        <v>5631</v>
      </c>
      <c r="D1047" s="2982">
        <v>1010850</v>
      </c>
      <c r="E1047" s="2982" t="s">
        <v>6603</v>
      </c>
      <c r="F1047" s="2993">
        <v>5.0000000000000002E-5</v>
      </c>
      <c r="J1047"/>
    </row>
    <row r="1048" spans="1:10" ht="13">
      <c r="A1048" s="2983">
        <v>1</v>
      </c>
      <c r="B1048" s="2982" t="s">
        <v>5628</v>
      </c>
      <c r="C1048" s="2982" t="s">
        <v>5631</v>
      </c>
      <c r="D1048" s="2982">
        <v>1010860</v>
      </c>
      <c r="E1048" s="2982" t="s">
        <v>6604</v>
      </c>
      <c r="F1048" s="2993">
        <v>2.0660000000000001E-3</v>
      </c>
      <c r="J1048"/>
    </row>
    <row r="1049" spans="1:10" ht="13" hidden="1">
      <c r="A1049" s="2983">
        <v>2</v>
      </c>
      <c r="B1049" s="2982" t="s">
        <v>1020</v>
      </c>
      <c r="C1049" s="2982" t="s">
        <v>1020</v>
      </c>
      <c r="D1049" s="2982">
        <v>1014380</v>
      </c>
      <c r="E1049" s="2982" t="s">
        <v>7270</v>
      </c>
      <c r="F1049" s="2993">
        <v>58.492177261999998</v>
      </c>
      <c r="J1049"/>
    </row>
    <row r="1050" spans="1:10" ht="13" hidden="1">
      <c r="A1050" s="2983">
        <v>2</v>
      </c>
      <c r="B1050" s="2982" t="s">
        <v>1020</v>
      </c>
      <c r="C1050" s="2982" t="s">
        <v>1020</v>
      </c>
      <c r="D1050" s="2982">
        <v>1014381</v>
      </c>
      <c r="E1050" s="2982" t="s">
        <v>6605</v>
      </c>
      <c r="F1050" s="2993">
        <v>0.85944323200000006</v>
      </c>
      <c r="J1050"/>
    </row>
    <row r="1051" spans="1:10" ht="13" hidden="1">
      <c r="A1051" s="2983">
        <v>12</v>
      </c>
      <c r="B1051" s="2982" t="s">
        <v>5715</v>
      </c>
      <c r="C1051" s="2982" t="s">
        <v>5727</v>
      </c>
      <c r="D1051" s="2982">
        <v>1020291</v>
      </c>
      <c r="E1051" s="2982" t="s">
        <v>6606</v>
      </c>
      <c r="F1051" s="2993">
        <v>1E-3</v>
      </c>
      <c r="J1051"/>
    </row>
    <row r="1052" spans="1:10" ht="13" hidden="1">
      <c r="A1052" s="2983">
        <v>2</v>
      </c>
      <c r="B1052" s="2982" t="s">
        <v>1020</v>
      </c>
      <c r="C1052" s="2982" t="s">
        <v>1020</v>
      </c>
      <c r="D1052" s="2982">
        <v>1022613</v>
      </c>
      <c r="E1052" s="2982" t="s">
        <v>6607</v>
      </c>
      <c r="F1052" s="2993">
        <v>4.752752836</v>
      </c>
      <c r="J1052"/>
    </row>
    <row r="1053" spans="1:10" ht="13" hidden="1">
      <c r="A1053" s="2983">
        <v>2</v>
      </c>
      <c r="B1053" s="2982" t="s">
        <v>1020</v>
      </c>
      <c r="C1053" s="2982" t="s">
        <v>1020</v>
      </c>
      <c r="D1053" s="2982">
        <v>1022614</v>
      </c>
      <c r="E1053" s="2982" t="s">
        <v>6608</v>
      </c>
      <c r="F1053" s="2993">
        <v>0</v>
      </c>
      <c r="J1053"/>
    </row>
    <row r="1054" spans="1:10" ht="13" hidden="1">
      <c r="A1054" s="2983">
        <v>10</v>
      </c>
      <c r="B1054" s="2982" t="s">
        <v>5656</v>
      </c>
      <c r="C1054" s="2982" t="s">
        <v>5657</v>
      </c>
      <c r="D1054" s="2982">
        <v>1023104</v>
      </c>
      <c r="E1054" s="2982" t="s">
        <v>6609</v>
      </c>
      <c r="F1054" s="2993">
        <v>5.5332259510000004</v>
      </c>
      <c r="J1054"/>
    </row>
    <row r="1055" spans="1:10" ht="13" hidden="1">
      <c r="A1055" s="2983">
        <v>10</v>
      </c>
      <c r="B1055" s="2982" t="s">
        <v>5656</v>
      </c>
      <c r="C1055" s="2982" t="s">
        <v>5657</v>
      </c>
      <c r="D1055" s="2982">
        <v>1023108</v>
      </c>
      <c r="E1055" s="2982" t="s">
        <v>6610</v>
      </c>
      <c r="F1055" s="2993">
        <v>5.9396784810000005</v>
      </c>
      <c r="J1055"/>
    </row>
    <row r="1056" spans="1:10" ht="13" hidden="1">
      <c r="A1056" s="2983">
        <v>10</v>
      </c>
      <c r="B1056" s="2982" t="s">
        <v>5656</v>
      </c>
      <c r="C1056" s="2982" t="s">
        <v>5657</v>
      </c>
      <c r="D1056" s="2982">
        <v>1023109</v>
      </c>
      <c r="E1056" s="2982" t="s">
        <v>6611</v>
      </c>
      <c r="F1056" s="2993">
        <v>-2.8035849999999991E-3</v>
      </c>
      <c r="J1056"/>
    </row>
    <row r="1057" spans="1:10" ht="13" hidden="1">
      <c r="A1057" s="2983">
        <v>10</v>
      </c>
      <c r="B1057" s="2982" t="s">
        <v>5656</v>
      </c>
      <c r="C1057" s="2982" t="s">
        <v>5657</v>
      </c>
      <c r="D1057" s="2982">
        <v>1023119</v>
      </c>
      <c r="E1057" s="2982" t="s">
        <v>6612</v>
      </c>
      <c r="F1057" s="2993">
        <v>0.10331913999999999</v>
      </c>
      <c r="J1057"/>
    </row>
    <row r="1058" spans="1:10" ht="13" hidden="1">
      <c r="A1058" s="2983">
        <v>10</v>
      </c>
      <c r="B1058" s="2982" t="s">
        <v>5656</v>
      </c>
      <c r="C1058" s="2982" t="s">
        <v>5657</v>
      </c>
      <c r="D1058" s="2982">
        <v>1023121</v>
      </c>
      <c r="E1058" s="2982" t="s">
        <v>6613</v>
      </c>
      <c r="F1058" s="2993">
        <v>3.9653477510000004</v>
      </c>
      <c r="J1058"/>
    </row>
    <row r="1059" spans="1:10" ht="13" hidden="1">
      <c r="A1059" s="2983">
        <v>10</v>
      </c>
      <c r="B1059" s="2982" t="s">
        <v>5656</v>
      </c>
      <c r="C1059" s="2982" t="s">
        <v>5657</v>
      </c>
      <c r="D1059" s="2982">
        <v>1023123</v>
      </c>
      <c r="E1059" s="2982" t="s">
        <v>6614</v>
      </c>
      <c r="F1059" s="2993">
        <v>0.5607131409999998</v>
      </c>
      <c r="J1059"/>
    </row>
    <row r="1060" spans="1:10" ht="13" hidden="1">
      <c r="A1060" s="2983">
        <v>10</v>
      </c>
      <c r="B1060" s="2982" t="s">
        <v>5656</v>
      </c>
      <c r="C1060" s="2982" t="s">
        <v>5657</v>
      </c>
      <c r="D1060" s="2982">
        <v>1023125</v>
      </c>
      <c r="E1060" s="2982" t="s">
        <v>6615</v>
      </c>
      <c r="F1060" s="2993">
        <v>0.19208618500000002</v>
      </c>
      <c r="J1060"/>
    </row>
    <row r="1061" spans="1:10" ht="13" hidden="1">
      <c r="A1061" s="2983">
        <v>10</v>
      </c>
      <c r="B1061" s="2982" t="s">
        <v>5656</v>
      </c>
      <c r="C1061" s="2982" t="s">
        <v>5657</v>
      </c>
      <c r="D1061" s="2982">
        <v>1023127</v>
      </c>
      <c r="E1061" s="2982" t="s">
        <v>6616</v>
      </c>
      <c r="F1061" s="2993">
        <v>3.8698385709999998</v>
      </c>
      <c r="J1061"/>
    </row>
    <row r="1062" spans="1:10" ht="13" hidden="1">
      <c r="A1062" s="2983">
        <v>10</v>
      </c>
      <c r="B1062" s="2982" t="s">
        <v>5656</v>
      </c>
      <c r="C1062" s="2982" t="s">
        <v>5657</v>
      </c>
      <c r="D1062" s="2982">
        <v>1023131</v>
      </c>
      <c r="E1062" s="2982" t="s">
        <v>6617</v>
      </c>
      <c r="F1062" s="2993">
        <v>-6.4226369999999672E-2</v>
      </c>
      <c r="J1062"/>
    </row>
    <row r="1063" spans="1:10" ht="13" hidden="1">
      <c r="A1063" s="2983">
        <v>10</v>
      </c>
      <c r="B1063" s="2982" t="s">
        <v>5656</v>
      </c>
      <c r="C1063" s="2982" t="s">
        <v>5657</v>
      </c>
      <c r="D1063" s="2982">
        <v>1023204</v>
      </c>
      <c r="E1063" s="2982" t="s">
        <v>6618</v>
      </c>
      <c r="F1063" s="2993">
        <v>-3.1758113999999983E-2</v>
      </c>
      <c r="J1063"/>
    </row>
    <row r="1064" spans="1:10" ht="13" hidden="1">
      <c r="A1064" s="2983">
        <v>10</v>
      </c>
      <c r="B1064" s="2982" t="s">
        <v>5656</v>
      </c>
      <c r="C1064" s="2982" t="s">
        <v>5657</v>
      </c>
      <c r="D1064" s="2982">
        <v>1023208</v>
      </c>
      <c r="E1064" s="2982" t="s">
        <v>6619</v>
      </c>
      <c r="F1064" s="2993">
        <v>-0.23161179299999998</v>
      </c>
      <c r="J1064"/>
    </row>
    <row r="1065" spans="1:10" ht="13" hidden="1">
      <c r="A1065" s="2983">
        <v>10</v>
      </c>
      <c r="B1065" s="2982" t="s">
        <v>5656</v>
      </c>
      <c r="C1065" s="2982" t="s">
        <v>5657</v>
      </c>
      <c r="D1065" s="2982">
        <v>1023211</v>
      </c>
      <c r="E1065" s="2982" t="s">
        <v>6620</v>
      </c>
      <c r="F1065" s="2993">
        <v>0.31799998299999976</v>
      </c>
      <c r="J1065"/>
    </row>
    <row r="1066" spans="1:10" ht="13" hidden="1">
      <c r="A1066" s="2983">
        <v>10</v>
      </c>
      <c r="B1066" s="2982" t="s">
        <v>5656</v>
      </c>
      <c r="C1066" s="2982" t="s">
        <v>5657</v>
      </c>
      <c r="D1066" s="2982">
        <v>1023219</v>
      </c>
      <c r="E1066" s="2982" t="s">
        <v>6621</v>
      </c>
      <c r="F1066" s="2993">
        <v>1.0173999999999998E-4</v>
      </c>
      <c r="J1066"/>
    </row>
    <row r="1067" spans="1:10" ht="13" hidden="1">
      <c r="A1067" s="2983">
        <v>10</v>
      </c>
      <c r="B1067" s="2982" t="s">
        <v>5656</v>
      </c>
      <c r="C1067" s="2982" t="s">
        <v>5657</v>
      </c>
      <c r="D1067" s="2982">
        <v>1023221</v>
      </c>
      <c r="E1067" s="2982" t="s">
        <v>6622</v>
      </c>
      <c r="F1067" s="2993">
        <v>0</v>
      </c>
      <c r="J1067"/>
    </row>
    <row r="1068" spans="1:10" ht="13" hidden="1">
      <c r="A1068" s="2983">
        <v>10</v>
      </c>
      <c r="B1068" s="2982" t="s">
        <v>5656</v>
      </c>
      <c r="C1068" s="2982" t="s">
        <v>5657</v>
      </c>
      <c r="D1068" s="2982">
        <v>1023223</v>
      </c>
      <c r="E1068" s="2982" t="s">
        <v>6623</v>
      </c>
      <c r="F1068" s="2993">
        <v>-2.9037747999999981E-2</v>
      </c>
      <c r="J1068"/>
    </row>
    <row r="1069" spans="1:10" ht="13" hidden="1">
      <c r="A1069" s="2983">
        <v>10</v>
      </c>
      <c r="B1069" s="2982" t="s">
        <v>5656</v>
      </c>
      <c r="C1069" s="2982" t="s">
        <v>5657</v>
      </c>
      <c r="D1069" s="2982">
        <v>1023225</v>
      </c>
      <c r="E1069" s="2982" t="s">
        <v>6624</v>
      </c>
      <c r="F1069" s="2993">
        <v>3.4956809999999987E-3</v>
      </c>
      <c r="J1069"/>
    </row>
    <row r="1070" spans="1:10" ht="13" hidden="1">
      <c r="A1070" s="2983">
        <v>10</v>
      </c>
      <c r="B1070" s="2982" t="s">
        <v>5656</v>
      </c>
      <c r="C1070" s="2982" t="s">
        <v>5657</v>
      </c>
      <c r="D1070" s="2982">
        <v>1023227</v>
      </c>
      <c r="E1070" s="2982" t="s">
        <v>6625</v>
      </c>
      <c r="F1070" s="2993">
        <v>-1.2441738999999985E-2</v>
      </c>
      <c r="J1070"/>
    </row>
    <row r="1071" spans="1:10" ht="13" hidden="1">
      <c r="A1071" s="2983">
        <v>10</v>
      </c>
      <c r="B1071" s="2982" t="s">
        <v>5656</v>
      </c>
      <c r="C1071" s="2982" t="s">
        <v>5657</v>
      </c>
      <c r="D1071" s="2982">
        <v>1023231</v>
      </c>
      <c r="E1071" s="2982" t="s">
        <v>6626</v>
      </c>
      <c r="F1071" s="2993">
        <v>1.1501639999999992E-2</v>
      </c>
      <c r="J1071"/>
    </row>
    <row r="1072" spans="1:10" ht="13" hidden="1">
      <c r="A1072" s="2983">
        <v>12</v>
      </c>
      <c r="B1072" s="2982" t="s">
        <v>5715</v>
      </c>
      <c r="C1072" s="2982" t="s">
        <v>5727</v>
      </c>
      <c r="D1072" s="2982">
        <v>1024703</v>
      </c>
      <c r="E1072" s="2982" t="s">
        <v>6627</v>
      </c>
      <c r="F1072" s="2993">
        <v>0</v>
      </c>
      <c r="J1072"/>
    </row>
    <row r="1073" spans="1:10" ht="13" hidden="1">
      <c r="A1073" s="2983">
        <v>17</v>
      </c>
      <c r="B1073" s="2982" t="s">
        <v>5734</v>
      </c>
      <c r="C1073" s="2982" t="s">
        <v>5735</v>
      </c>
      <c r="D1073" s="2982">
        <v>1025701</v>
      </c>
      <c r="E1073" s="2982" t="s">
        <v>6628</v>
      </c>
      <c r="F1073" s="2993">
        <v>6.2034603940000004</v>
      </c>
      <c r="J1073"/>
    </row>
    <row r="1074" spans="1:10" ht="13" hidden="1">
      <c r="A1074" s="2983">
        <v>17</v>
      </c>
      <c r="B1074" s="2982" t="s">
        <v>5738</v>
      </c>
      <c r="C1074" s="2982" t="s">
        <v>5739</v>
      </c>
      <c r="D1074" s="2982">
        <v>1027203</v>
      </c>
      <c r="E1074" s="2982" t="s">
        <v>2847</v>
      </c>
      <c r="F1074" s="2993">
        <v>3.4195700000000002E-2</v>
      </c>
      <c r="J1074"/>
    </row>
    <row r="1075" spans="1:10" ht="13" hidden="1">
      <c r="A1075" s="2983">
        <v>15</v>
      </c>
      <c r="B1075" s="2982" t="s">
        <v>5730</v>
      </c>
      <c r="C1075" s="2982" t="s">
        <v>3394</v>
      </c>
      <c r="D1075" s="2982">
        <v>1028102</v>
      </c>
      <c r="E1075" s="2982" t="s">
        <v>6629</v>
      </c>
      <c r="F1075" s="2993">
        <v>0</v>
      </c>
      <c r="J1075"/>
    </row>
    <row r="1076" spans="1:10" ht="13" hidden="1">
      <c r="A1076" s="2983">
        <v>15</v>
      </c>
      <c r="B1076" s="2982" t="s">
        <v>5730</v>
      </c>
      <c r="C1076" s="2982" t="s">
        <v>3394</v>
      </c>
      <c r="D1076" s="2982">
        <v>1028801</v>
      </c>
      <c r="E1076" s="2982" t="s">
        <v>6630</v>
      </c>
      <c r="F1076" s="2993">
        <v>-1.9072E-3</v>
      </c>
      <c r="J1076"/>
    </row>
    <row r="1077" spans="1:10" ht="13" hidden="1">
      <c r="A1077" s="2983">
        <v>44</v>
      </c>
      <c r="B1077" s="2982" t="s">
        <v>896</v>
      </c>
      <c r="C1077" s="2982" t="s">
        <v>5826</v>
      </c>
      <c r="D1077" s="2982">
        <v>1162270</v>
      </c>
      <c r="E1077" s="2982" t="s">
        <v>6631</v>
      </c>
      <c r="F1077" s="2993">
        <v>-1.07E-4</v>
      </c>
      <c r="J1077"/>
    </row>
    <row r="1078" spans="1:10" ht="13" hidden="1">
      <c r="A1078" s="2983">
        <v>12</v>
      </c>
      <c r="B1078" s="2982" t="s">
        <v>5715</v>
      </c>
      <c r="C1078" s="2982" t="s">
        <v>5727</v>
      </c>
      <c r="D1078" s="2982">
        <v>1424203</v>
      </c>
      <c r="E1078" s="2982" t="s">
        <v>6632</v>
      </c>
      <c r="F1078" s="2993">
        <v>0</v>
      </c>
      <c r="J1078"/>
    </row>
    <row r="1079" spans="1:10" ht="13" hidden="1">
      <c r="A1079" s="2983">
        <v>12</v>
      </c>
      <c r="B1079" s="2982" t="s">
        <v>5715</v>
      </c>
      <c r="C1079" s="2982" t="s">
        <v>5727</v>
      </c>
      <c r="D1079" s="2982">
        <v>1424209</v>
      </c>
      <c r="E1079" s="2982" t="s">
        <v>6633</v>
      </c>
      <c r="F1079" s="2993">
        <v>0</v>
      </c>
      <c r="J1079"/>
    </row>
    <row r="1080" spans="1:10" ht="13" hidden="1">
      <c r="A1080" s="2983">
        <v>12</v>
      </c>
      <c r="B1080" s="2982" t="s">
        <v>5715</v>
      </c>
      <c r="C1080" s="2982" t="s">
        <v>5727</v>
      </c>
      <c r="D1080" s="2982">
        <v>1424215</v>
      </c>
      <c r="E1080" s="2982" t="s">
        <v>6634</v>
      </c>
      <c r="F1080" s="2993">
        <v>0</v>
      </c>
      <c r="J1080"/>
    </row>
    <row r="1081" spans="1:10" ht="13" hidden="1">
      <c r="A1081" s="2983">
        <v>12</v>
      </c>
      <c r="B1081" s="2982" t="s">
        <v>5715</v>
      </c>
      <c r="C1081" s="2982" t="s">
        <v>5727</v>
      </c>
      <c r="D1081" s="2982">
        <v>1424260</v>
      </c>
      <c r="E1081" s="2982" t="s">
        <v>6635</v>
      </c>
      <c r="F1081" s="2993">
        <v>0</v>
      </c>
      <c r="J1081"/>
    </row>
    <row r="1082" spans="1:10" ht="13" hidden="1">
      <c r="A1082" s="2983">
        <v>12</v>
      </c>
      <c r="B1082" s="2982" t="s">
        <v>5715</v>
      </c>
      <c r="C1082" s="2982" t="s">
        <v>5727</v>
      </c>
      <c r="D1082" s="2982">
        <v>1424288</v>
      </c>
      <c r="E1082" s="2982" t="s">
        <v>6636</v>
      </c>
      <c r="F1082" s="2993">
        <v>1.0318000000000271E-3</v>
      </c>
      <c r="J1082"/>
    </row>
    <row r="1083" spans="1:10" ht="13" hidden="1">
      <c r="A1083" s="2983">
        <v>12</v>
      </c>
      <c r="B1083" s="2982" t="s">
        <v>5715</v>
      </c>
      <c r="C1083" s="2982" t="s">
        <v>5727</v>
      </c>
      <c r="D1083" s="2982">
        <v>1424292</v>
      </c>
      <c r="E1083" s="2982" t="s">
        <v>6637</v>
      </c>
      <c r="F1083" s="2993">
        <v>1.505E-3</v>
      </c>
      <c r="J1083"/>
    </row>
    <row r="1084" spans="1:10" ht="13" hidden="1">
      <c r="A1084" s="2983">
        <v>12</v>
      </c>
      <c r="B1084" s="2982" t="s">
        <v>5715</v>
      </c>
      <c r="C1084" s="2982" t="s">
        <v>5727</v>
      </c>
      <c r="D1084" s="2982">
        <v>1424294</v>
      </c>
      <c r="E1084" s="2982" t="s">
        <v>6638</v>
      </c>
      <c r="F1084" s="2993">
        <v>1.4511400000000008E-2</v>
      </c>
      <c r="J1084"/>
    </row>
    <row r="1085" spans="1:10" ht="13" hidden="1">
      <c r="A1085" s="2983">
        <v>12</v>
      </c>
      <c r="B1085" s="2982" t="s">
        <v>5715</v>
      </c>
      <c r="C1085" s="2982" t="s">
        <v>5727</v>
      </c>
      <c r="D1085" s="2982">
        <v>1424307</v>
      </c>
      <c r="E1085" s="2982" t="s">
        <v>6639</v>
      </c>
      <c r="F1085" s="2993">
        <v>0</v>
      </c>
      <c r="J1085"/>
    </row>
    <row r="1086" spans="1:10" ht="13" hidden="1">
      <c r="A1086" s="2983">
        <v>12</v>
      </c>
      <c r="B1086" s="2982" t="s">
        <v>5715</v>
      </c>
      <c r="C1086" s="2982" t="s">
        <v>5727</v>
      </c>
      <c r="D1086" s="2982">
        <v>1424330</v>
      </c>
      <c r="E1086" s="2982" t="s">
        <v>6640</v>
      </c>
      <c r="F1086" s="2993">
        <v>-6.3705610000000003E-3</v>
      </c>
      <c r="J1086"/>
    </row>
    <row r="1087" spans="1:10" ht="13" hidden="1">
      <c r="A1087" s="2983">
        <v>12</v>
      </c>
      <c r="B1087" s="2982" t="s">
        <v>5715</v>
      </c>
      <c r="C1087" s="2982" t="s">
        <v>5727</v>
      </c>
      <c r="D1087" s="2982">
        <v>1424331</v>
      </c>
      <c r="E1087" s="2982" t="s">
        <v>6641</v>
      </c>
      <c r="F1087" s="2993">
        <v>-2.1004200000000001E-2</v>
      </c>
      <c r="J1087"/>
    </row>
    <row r="1088" spans="1:10" ht="13" hidden="1">
      <c r="A1088" s="2983">
        <v>12</v>
      </c>
      <c r="B1088" s="2982" t="s">
        <v>5715</v>
      </c>
      <c r="C1088" s="2982" t="s">
        <v>5727</v>
      </c>
      <c r="D1088" s="2982">
        <v>1424343</v>
      </c>
      <c r="E1088" s="2982" t="s">
        <v>6642</v>
      </c>
      <c r="F1088" s="2993">
        <v>0</v>
      </c>
      <c r="J1088"/>
    </row>
    <row r="1089" spans="1:10" ht="13" hidden="1">
      <c r="A1089" s="2983">
        <v>12</v>
      </c>
      <c r="B1089" s="2982" t="s">
        <v>5715</v>
      </c>
      <c r="C1089" s="2982" t="s">
        <v>5727</v>
      </c>
      <c r="D1089" s="2982">
        <v>1424360</v>
      </c>
      <c r="E1089" s="2982" t="s">
        <v>6643</v>
      </c>
      <c r="F1089" s="2993">
        <v>4.3664548430959182E-19</v>
      </c>
      <c r="J1089"/>
    </row>
    <row r="1090" spans="1:10" ht="13" hidden="1">
      <c r="A1090" s="2983">
        <v>12</v>
      </c>
      <c r="B1090" s="2982" t="s">
        <v>5715</v>
      </c>
      <c r="C1090" s="2982" t="s">
        <v>5727</v>
      </c>
      <c r="D1090" s="2982">
        <v>1424361</v>
      </c>
      <c r="E1090" s="2982" t="s">
        <v>6644</v>
      </c>
      <c r="F1090" s="2993">
        <v>-1.4E-3</v>
      </c>
      <c r="J1090"/>
    </row>
    <row r="1091" spans="1:10" ht="13" hidden="1">
      <c r="A1091" s="2983">
        <v>12</v>
      </c>
      <c r="B1091" s="2982" t="s">
        <v>5715</v>
      </c>
      <c r="C1091" s="2982" t="s">
        <v>5727</v>
      </c>
      <c r="D1091" s="2982">
        <v>1424362</v>
      </c>
      <c r="E1091" s="2982" t="s">
        <v>6645</v>
      </c>
      <c r="F1091" s="2993">
        <v>-4.0785999999999999E-3</v>
      </c>
      <c r="J1091"/>
    </row>
    <row r="1092" spans="1:10" ht="13" hidden="1">
      <c r="A1092" s="2983">
        <v>12</v>
      </c>
      <c r="B1092" s="2982" t="s">
        <v>5715</v>
      </c>
      <c r="C1092" s="2982" t="s">
        <v>5727</v>
      </c>
      <c r="D1092" s="2982">
        <v>1424369</v>
      </c>
      <c r="E1092" s="2982" t="s">
        <v>6646</v>
      </c>
      <c r="F1092" s="2993">
        <v>-0.83667199999999997</v>
      </c>
      <c r="J1092"/>
    </row>
    <row r="1093" spans="1:10" ht="13" hidden="1">
      <c r="A1093" s="2983">
        <v>12</v>
      </c>
      <c r="B1093" s="2982" t="s">
        <v>5715</v>
      </c>
      <c r="C1093" s="2982" t="s">
        <v>5727</v>
      </c>
      <c r="D1093" s="2982">
        <v>1424386</v>
      </c>
      <c r="E1093" s="2982" t="s">
        <v>6647</v>
      </c>
      <c r="F1093" s="2993">
        <v>-4.5408999999999996E-3</v>
      </c>
      <c r="J1093"/>
    </row>
    <row r="1094" spans="1:10" ht="13" hidden="1">
      <c r="A1094" s="2983">
        <v>12</v>
      </c>
      <c r="B1094" s="2982" t="s">
        <v>5715</v>
      </c>
      <c r="C1094" s="2982" t="s">
        <v>5727</v>
      </c>
      <c r="D1094" s="2982">
        <v>1424387</v>
      </c>
      <c r="E1094" s="2982" t="s">
        <v>6648</v>
      </c>
      <c r="F1094" s="2993">
        <v>-2.0937E-3</v>
      </c>
      <c r="J1094"/>
    </row>
    <row r="1095" spans="1:10" ht="13" hidden="1">
      <c r="A1095" s="2983">
        <v>12</v>
      </c>
      <c r="B1095" s="2982" t="s">
        <v>5715</v>
      </c>
      <c r="C1095" s="2982" t="s">
        <v>5727</v>
      </c>
      <c r="D1095" s="2982">
        <v>1424388</v>
      </c>
      <c r="E1095" s="2982" t="s">
        <v>6649</v>
      </c>
      <c r="F1095" s="2993">
        <v>-5.9677219999999531E-3</v>
      </c>
      <c r="J1095"/>
    </row>
    <row r="1096" spans="1:10" ht="13" hidden="1">
      <c r="A1096" s="2983">
        <v>12</v>
      </c>
      <c r="B1096" s="2982" t="s">
        <v>5715</v>
      </c>
      <c r="C1096" s="2982" t="s">
        <v>5727</v>
      </c>
      <c r="D1096" s="2982">
        <v>1424389</v>
      </c>
      <c r="E1096" s="2982" t="s">
        <v>6650</v>
      </c>
      <c r="F1096" s="2993">
        <v>-2.036908E-3</v>
      </c>
      <c r="J1096"/>
    </row>
    <row r="1097" spans="1:10" ht="13" hidden="1">
      <c r="A1097" s="2983">
        <v>12</v>
      </c>
      <c r="B1097" s="2982" t="s">
        <v>5715</v>
      </c>
      <c r="C1097" s="2982" t="s">
        <v>5727</v>
      </c>
      <c r="D1097" s="2982">
        <v>1424394</v>
      </c>
      <c r="E1097" s="2982" t="s">
        <v>6651</v>
      </c>
      <c r="F1097" s="2993">
        <v>-1.8487570000000064E-2</v>
      </c>
      <c r="J1097"/>
    </row>
    <row r="1098" spans="1:10" ht="13" hidden="1">
      <c r="A1098" s="2983">
        <v>12</v>
      </c>
      <c r="B1098" s="2982" t="s">
        <v>5715</v>
      </c>
      <c r="C1098" s="2982" t="s">
        <v>5727</v>
      </c>
      <c r="D1098" s="2982">
        <v>1424509</v>
      </c>
      <c r="E1098" s="2982" t="s">
        <v>6652</v>
      </c>
      <c r="F1098" s="2993">
        <v>0</v>
      </c>
      <c r="J1098"/>
    </row>
    <row r="1099" spans="1:10" ht="13" hidden="1">
      <c r="A1099" s="2983">
        <v>12</v>
      </c>
      <c r="B1099" s="2982" t="s">
        <v>5715</v>
      </c>
      <c r="C1099" s="2982" t="s">
        <v>5727</v>
      </c>
      <c r="D1099" s="2982">
        <v>1424522</v>
      </c>
      <c r="E1099" s="2982" t="s">
        <v>6653</v>
      </c>
      <c r="F1099" s="2993">
        <v>1.198E-4</v>
      </c>
      <c r="J1099"/>
    </row>
    <row r="1100" spans="1:10" ht="13" hidden="1">
      <c r="A1100" s="2983">
        <v>12</v>
      </c>
      <c r="B1100" s="2982" t="s">
        <v>5715</v>
      </c>
      <c r="C1100" s="2982" t="s">
        <v>5727</v>
      </c>
      <c r="D1100" s="2982">
        <v>1424534</v>
      </c>
      <c r="E1100" s="2982" t="s">
        <v>6654</v>
      </c>
      <c r="F1100" s="2993">
        <v>1.648653165</v>
      </c>
      <c r="J1100"/>
    </row>
    <row r="1101" spans="1:10" ht="13" hidden="1">
      <c r="A1101" s="2983">
        <v>12</v>
      </c>
      <c r="B1101" s="2982" t="s">
        <v>5715</v>
      </c>
      <c r="C1101" s="2982" t="s">
        <v>5727</v>
      </c>
      <c r="D1101" s="2982">
        <v>1424538</v>
      </c>
      <c r="E1101" s="2982" t="s">
        <v>6655</v>
      </c>
      <c r="F1101" s="2993">
        <v>0</v>
      </c>
      <c r="J1101"/>
    </row>
    <row r="1102" spans="1:10" ht="13" hidden="1">
      <c r="A1102" s="2983">
        <v>12</v>
      </c>
      <c r="B1102" s="2982" t="s">
        <v>5715</v>
      </c>
      <c r="C1102" s="2982" t="s">
        <v>5727</v>
      </c>
      <c r="D1102" s="2982">
        <v>1424560</v>
      </c>
      <c r="E1102" s="2982" t="s">
        <v>6656</v>
      </c>
      <c r="F1102" s="2993">
        <v>0</v>
      </c>
      <c r="J1102"/>
    </row>
    <row r="1103" spans="1:10" ht="13" hidden="1">
      <c r="A1103" s="2983">
        <v>12</v>
      </c>
      <c r="B1103" s="2982" t="s">
        <v>5715</v>
      </c>
      <c r="C1103" s="2982" t="s">
        <v>5727</v>
      </c>
      <c r="D1103" s="2982">
        <v>1424582</v>
      </c>
      <c r="E1103" s="2982" t="s">
        <v>6657</v>
      </c>
      <c r="F1103" s="2993">
        <v>0</v>
      </c>
      <c r="J1103"/>
    </row>
    <row r="1104" spans="1:10" ht="13" hidden="1">
      <c r="A1104" s="2983">
        <v>12</v>
      </c>
      <c r="B1104" s="2982" t="s">
        <v>5715</v>
      </c>
      <c r="C1104" s="2982" t="s">
        <v>5727</v>
      </c>
      <c r="D1104" s="2982">
        <v>1424590</v>
      </c>
      <c r="E1104" s="2982" t="s">
        <v>6658</v>
      </c>
      <c r="F1104" s="2993">
        <v>6.1E-6</v>
      </c>
      <c r="J1104"/>
    </row>
    <row r="1105" spans="1:10" ht="13" hidden="1">
      <c r="A1105" s="2983">
        <v>12</v>
      </c>
      <c r="B1105" s="2982" t="s">
        <v>5715</v>
      </c>
      <c r="C1105" s="2982" t="s">
        <v>5727</v>
      </c>
      <c r="D1105" s="2982">
        <v>1424600</v>
      </c>
      <c r="E1105" s="2982" t="s">
        <v>6659</v>
      </c>
      <c r="F1105" s="2993">
        <v>-3.5906279999999998E-3</v>
      </c>
      <c r="J1105"/>
    </row>
    <row r="1106" spans="1:10" ht="13" hidden="1">
      <c r="A1106" s="2983">
        <v>12</v>
      </c>
      <c r="B1106" s="2982" t="s">
        <v>5715</v>
      </c>
      <c r="C1106" s="2982" t="s">
        <v>5727</v>
      </c>
      <c r="D1106" s="2982">
        <v>1424609</v>
      </c>
      <c r="E1106" s="2982" t="s">
        <v>6660</v>
      </c>
      <c r="F1106" s="2993">
        <v>0</v>
      </c>
      <c r="J1106" s="1998"/>
    </row>
    <row r="1107" spans="1:10" ht="13" hidden="1">
      <c r="A1107" s="2983">
        <v>12</v>
      </c>
      <c r="B1107" s="2982" t="s">
        <v>5715</v>
      </c>
      <c r="C1107" s="2982" t="s">
        <v>5727</v>
      </c>
      <c r="D1107" s="2982">
        <v>1424610</v>
      </c>
      <c r="E1107" s="2982" t="s">
        <v>6661</v>
      </c>
      <c r="F1107" s="2993">
        <v>-1E-3</v>
      </c>
      <c r="J1107" s="1998"/>
    </row>
    <row r="1108" spans="1:10" ht="13" hidden="1">
      <c r="A1108" s="2983">
        <v>12</v>
      </c>
      <c r="B1108" s="2982" t="s">
        <v>5715</v>
      </c>
      <c r="C1108" s="2982" t="s">
        <v>5727</v>
      </c>
      <c r="D1108" s="2982">
        <v>1424619</v>
      </c>
      <c r="E1108" s="2982" t="s">
        <v>6662</v>
      </c>
      <c r="F1108" s="2993">
        <v>-4.8032999999999999E-3</v>
      </c>
      <c r="J1108" s="1998"/>
    </row>
    <row r="1109" spans="1:10" ht="13" hidden="1">
      <c r="A1109" s="2983">
        <v>12</v>
      </c>
      <c r="B1109" s="2982" t="s">
        <v>5715</v>
      </c>
      <c r="C1109" s="2982" t="s">
        <v>5727</v>
      </c>
      <c r="D1109" s="2982">
        <v>1424622</v>
      </c>
      <c r="E1109" s="2982" t="s">
        <v>6663</v>
      </c>
      <c r="F1109" s="2993">
        <v>-1.0913677E-2</v>
      </c>
      <c r="J1109" s="1998"/>
    </row>
    <row r="1110" spans="1:10" ht="13" hidden="1">
      <c r="A1110" s="2983">
        <v>12</v>
      </c>
      <c r="B1110" s="2982" t="s">
        <v>5715</v>
      </c>
      <c r="C1110" s="2982" t="s">
        <v>5727</v>
      </c>
      <c r="D1110" s="2982">
        <v>1424649</v>
      </c>
      <c r="E1110" s="2982" t="s">
        <v>6664</v>
      </c>
      <c r="F1110" s="2993">
        <v>0</v>
      </c>
      <c r="J1110" s="1998"/>
    </row>
    <row r="1111" spans="1:10" ht="13" hidden="1">
      <c r="A1111" s="2983">
        <v>12</v>
      </c>
      <c r="B1111" s="2982" t="s">
        <v>5715</v>
      </c>
      <c r="C1111" s="2982" t="s">
        <v>5727</v>
      </c>
      <c r="D1111" s="2982">
        <v>1424655</v>
      </c>
      <c r="E1111" s="2982" t="s">
        <v>6665</v>
      </c>
      <c r="F1111" s="2993">
        <v>0</v>
      </c>
      <c r="J1111" s="1998"/>
    </row>
    <row r="1112" spans="1:10" ht="13" hidden="1">
      <c r="A1112" s="2983">
        <v>12</v>
      </c>
      <c r="B1112" s="2982" t="s">
        <v>5715</v>
      </c>
      <c r="C1112" s="2982" t="s">
        <v>5727</v>
      </c>
      <c r="D1112" s="2982">
        <v>1424690</v>
      </c>
      <c r="E1112" s="2982" t="s">
        <v>6666</v>
      </c>
      <c r="F1112" s="2993">
        <v>-4.9822099999999997E-4</v>
      </c>
      <c r="J1112" s="1998"/>
    </row>
    <row r="1113" spans="1:10" ht="13" hidden="1">
      <c r="A1113" s="2983">
        <v>12</v>
      </c>
      <c r="B1113" s="2982" t="s">
        <v>5715</v>
      </c>
      <c r="C1113" s="2982" t="s">
        <v>5727</v>
      </c>
      <c r="D1113" s="2982">
        <v>1424262</v>
      </c>
      <c r="E1113" s="2982"/>
      <c r="F1113" s="2993">
        <v>0</v>
      </c>
      <c r="J1113" s="1998"/>
    </row>
    <row r="1114" spans="1:10" ht="13" hidden="1">
      <c r="A1114" s="2983">
        <v>12</v>
      </c>
      <c r="B1114" s="2982" t="s">
        <v>5715</v>
      </c>
      <c r="C1114" s="2982" t="s">
        <v>5727</v>
      </c>
      <c r="D1114" s="2982">
        <v>1424467</v>
      </c>
      <c r="E1114" s="2982" t="s">
        <v>7466</v>
      </c>
      <c r="F1114" s="2993">
        <v>8.5099999999999995E-5</v>
      </c>
      <c r="J1114" s="1998"/>
    </row>
    <row r="1115" spans="1:10" ht="13" hidden="1">
      <c r="A1115" s="2983">
        <v>12</v>
      </c>
      <c r="B1115" s="2982" t="s">
        <v>5715</v>
      </c>
      <c r="C1115" s="2982" t="s">
        <v>5727</v>
      </c>
      <c r="D1115" s="2982">
        <v>1424490</v>
      </c>
      <c r="E1115" s="2982" t="s">
        <v>7470</v>
      </c>
      <c r="F1115" s="2993">
        <v>4.507E-4</v>
      </c>
      <c r="J1115" s="1998"/>
    </row>
    <row r="1116" spans="1:10" ht="13" hidden="1">
      <c r="A1116" s="2983">
        <v>12</v>
      </c>
      <c r="B1116" s="2982" t="s">
        <v>5715</v>
      </c>
      <c r="C1116" s="2982" t="s">
        <v>5727</v>
      </c>
      <c r="D1116" s="2982">
        <v>1424491</v>
      </c>
      <c r="E1116" s="2982" t="s">
        <v>8192</v>
      </c>
      <c r="F1116" s="2993">
        <v>7.4324000000000002E-5</v>
      </c>
      <c r="J1116" s="1998"/>
    </row>
    <row r="1117" spans="1:10" ht="13" hidden="1">
      <c r="A1117" s="2983">
        <v>12</v>
      </c>
      <c r="B1117" s="2982" t="s">
        <v>5715</v>
      </c>
      <c r="C1117" s="2982" t="s">
        <v>5727</v>
      </c>
      <c r="D1117" s="2982">
        <v>1424605</v>
      </c>
      <c r="E1117" s="2982"/>
      <c r="F1117" s="2993">
        <v>-3.4223760000000004E-3</v>
      </c>
      <c r="J1117" s="1998"/>
    </row>
    <row r="1118" spans="1:10" ht="13" hidden="1">
      <c r="A1118" s="2983">
        <v>15</v>
      </c>
      <c r="B1118" s="2982" t="s">
        <v>5730</v>
      </c>
      <c r="C1118" s="2982" t="s">
        <v>6311</v>
      </c>
      <c r="D1118" s="2982">
        <v>2041010</v>
      </c>
      <c r="E1118" s="2982" t="s">
        <v>6667</v>
      </c>
      <c r="F1118" s="2993">
        <v>6.4034778179999998</v>
      </c>
      <c r="J1118" s="1998"/>
    </row>
    <row r="1119" spans="1:10" ht="13" hidden="1">
      <c r="A1119" s="2983" t="s">
        <v>5802</v>
      </c>
      <c r="B1119" s="2982" t="s">
        <v>5803</v>
      </c>
      <c r="C1119" s="2982" t="s">
        <v>8173</v>
      </c>
      <c r="D1119" s="2982">
        <v>2042102</v>
      </c>
      <c r="E1119" s="2982" t="s">
        <v>6668</v>
      </c>
      <c r="F1119" s="2993">
        <v>-0.13099879999999997</v>
      </c>
      <c r="J1119" s="1998"/>
    </row>
    <row r="1120" spans="1:10" ht="13" hidden="1">
      <c r="A1120" s="2983" t="s">
        <v>5802</v>
      </c>
      <c r="B1120" s="2982" t="s">
        <v>5803</v>
      </c>
      <c r="C1120" s="2982" t="s">
        <v>5804</v>
      </c>
      <c r="D1120" s="2982">
        <v>2042701</v>
      </c>
      <c r="E1120" s="2982" t="s">
        <v>6669</v>
      </c>
      <c r="F1120" s="2993">
        <v>0</v>
      </c>
      <c r="J1120" s="1998"/>
    </row>
    <row r="1121" spans="1:10" ht="13" hidden="1">
      <c r="A1121" s="2983">
        <v>28</v>
      </c>
      <c r="B1121" s="2982" t="s">
        <v>5792</v>
      </c>
      <c r="C1121" s="2982" t="s">
        <v>6311</v>
      </c>
      <c r="D1121" s="2982">
        <v>2044140</v>
      </c>
      <c r="E1121" s="2982" t="s">
        <v>6670</v>
      </c>
      <c r="F1121" s="2993">
        <v>-9.2263970329999996</v>
      </c>
      <c r="J1121" s="1998"/>
    </row>
    <row r="1122" spans="1:10" ht="13" hidden="1">
      <c r="A1122" s="2983">
        <v>28</v>
      </c>
      <c r="B1122" s="2982" t="s">
        <v>5792</v>
      </c>
      <c r="C1122" s="2982" t="s">
        <v>6311</v>
      </c>
      <c r="D1122" s="2982">
        <v>2044409</v>
      </c>
      <c r="E1122" s="2982" t="s">
        <v>6671</v>
      </c>
      <c r="F1122" s="2993">
        <v>-2.7338999999999999E-2</v>
      </c>
      <c r="J1122" s="1998"/>
    </row>
    <row r="1123" spans="1:10" ht="13" hidden="1">
      <c r="A1123" s="2983">
        <v>32</v>
      </c>
      <c r="B1123" s="2982" t="s">
        <v>6298</v>
      </c>
      <c r="C1123" s="2982" t="s">
        <v>6299</v>
      </c>
      <c r="D1123" s="2982">
        <v>2044412</v>
      </c>
      <c r="E1123" s="2982" t="s">
        <v>6672</v>
      </c>
      <c r="F1123" s="2993">
        <v>-6.9794000000000002E-3</v>
      </c>
      <c r="J1123" s="1998"/>
    </row>
    <row r="1124" spans="1:10" ht="13" hidden="1">
      <c r="A1124" s="2983" t="s">
        <v>6293</v>
      </c>
      <c r="B1124" s="2982" t="s">
        <v>6294</v>
      </c>
      <c r="C1124" s="2982" t="s">
        <v>6295</v>
      </c>
      <c r="D1124" s="2982">
        <v>2044413</v>
      </c>
      <c r="E1124" s="2982" t="s">
        <v>6673</v>
      </c>
      <c r="F1124" s="2993">
        <v>-4.2696399999999995E-2</v>
      </c>
      <c r="J1124"/>
    </row>
    <row r="1125" spans="1:10" ht="13" hidden="1">
      <c r="A1125" s="2983">
        <v>32</v>
      </c>
      <c r="B1125" s="2982" t="s">
        <v>6298</v>
      </c>
      <c r="C1125" s="2982" t="s">
        <v>6299</v>
      </c>
      <c r="D1125" s="2982">
        <v>2044414</v>
      </c>
      <c r="E1125" s="2982" t="s">
        <v>6674</v>
      </c>
      <c r="F1125" s="2993">
        <v>-9.9999999999999995E-8</v>
      </c>
      <c r="J1125"/>
    </row>
    <row r="1126" spans="1:10" ht="13" hidden="1">
      <c r="A1126" s="2983">
        <v>33</v>
      </c>
      <c r="B1126" s="2982" t="s">
        <v>6298</v>
      </c>
      <c r="C1126" s="2982" t="s">
        <v>116</v>
      </c>
      <c r="D1126" s="2982">
        <v>2044415</v>
      </c>
      <c r="E1126" s="2982" t="s">
        <v>6675</v>
      </c>
      <c r="F1126" s="2993">
        <v>-0.88700551800000005</v>
      </c>
      <c r="J1126"/>
    </row>
    <row r="1127" spans="1:10" ht="13" hidden="1">
      <c r="A1127" s="2983">
        <v>33</v>
      </c>
      <c r="B1127" s="2982" t="s">
        <v>6298</v>
      </c>
      <c r="C1127" s="2982" t="s">
        <v>116</v>
      </c>
      <c r="D1127" s="2982">
        <v>2044490</v>
      </c>
      <c r="E1127" s="2982" t="s">
        <v>7711</v>
      </c>
      <c r="F1127" s="2993">
        <v>-2.6059999999999999E-4</v>
      </c>
      <c r="J1127"/>
    </row>
    <row r="1128" spans="1:10" ht="13" hidden="1">
      <c r="A1128" s="2983">
        <v>32</v>
      </c>
      <c r="B1128" s="2982" t="s">
        <v>6298</v>
      </c>
      <c r="C1128" s="2982" t="s">
        <v>6299</v>
      </c>
      <c r="D1128" s="2982">
        <v>2044470</v>
      </c>
      <c r="E1128" s="2982" t="s">
        <v>6676</v>
      </c>
      <c r="F1128" s="2993">
        <v>-0.59057319399999986</v>
      </c>
      <c r="J1128"/>
    </row>
    <row r="1129" spans="1:10" ht="13" hidden="1">
      <c r="A1129" s="2983">
        <v>32</v>
      </c>
      <c r="B1129" s="2982" t="s">
        <v>6298</v>
      </c>
      <c r="C1129" s="2982" t="s">
        <v>6299</v>
      </c>
      <c r="D1129" s="2982">
        <v>2046552</v>
      </c>
      <c r="E1129" s="2982" t="s">
        <v>3449</v>
      </c>
      <c r="F1129" s="2993">
        <v>1.6260000000000002E-4</v>
      </c>
      <c r="J1129"/>
    </row>
    <row r="1130" spans="1:10" ht="13" hidden="1">
      <c r="A1130" s="2983">
        <v>101</v>
      </c>
      <c r="B1130" s="2982" t="s">
        <v>6362</v>
      </c>
      <c r="C1130" s="2982" t="s">
        <v>6425</v>
      </c>
      <c r="D1130" s="2982">
        <v>2047361</v>
      </c>
      <c r="E1130" s="2982" t="s">
        <v>6677</v>
      </c>
      <c r="F1130" s="2993">
        <v>-6.9348999999999999E-3</v>
      </c>
      <c r="J1130"/>
    </row>
    <row r="1131" spans="1:10" ht="13" hidden="1">
      <c r="A1131" s="2983">
        <v>29</v>
      </c>
      <c r="B1131" s="2982" t="s">
        <v>5792</v>
      </c>
      <c r="C1131" s="2982" t="s">
        <v>1156</v>
      </c>
      <c r="D1131" s="2982">
        <v>2048104</v>
      </c>
      <c r="E1131" s="2982" t="s">
        <v>6678</v>
      </c>
      <c r="F1131" s="2993">
        <v>-0.54255273900000001</v>
      </c>
      <c r="J1131"/>
    </row>
    <row r="1132" spans="1:10" ht="13" hidden="1">
      <c r="A1132" s="2983">
        <v>29</v>
      </c>
      <c r="B1132" s="2982" t="s">
        <v>5792</v>
      </c>
      <c r="C1132" s="2982" t="s">
        <v>1156</v>
      </c>
      <c r="D1132" s="2982">
        <v>2048108</v>
      </c>
      <c r="E1132" s="2982" t="s">
        <v>6679</v>
      </c>
      <c r="F1132" s="2993">
        <v>0.85912811500000008</v>
      </c>
      <c r="J1132"/>
    </row>
    <row r="1133" spans="1:10" ht="13" hidden="1">
      <c r="A1133" s="2983">
        <v>29</v>
      </c>
      <c r="B1133" s="2982" t="s">
        <v>5792</v>
      </c>
      <c r="C1133" s="2982" t="s">
        <v>1156</v>
      </c>
      <c r="D1133" s="2982">
        <v>2048110</v>
      </c>
      <c r="E1133" s="2982" t="s">
        <v>6680</v>
      </c>
      <c r="F1133" s="2993">
        <v>-2.851129754</v>
      </c>
      <c r="J1133"/>
    </row>
    <row r="1134" spans="1:10" ht="13" hidden="1">
      <c r="A1134" s="2983">
        <v>29</v>
      </c>
      <c r="B1134" s="2982" t="s">
        <v>5792</v>
      </c>
      <c r="C1134" s="2982" t="s">
        <v>1156</v>
      </c>
      <c r="D1134" s="2982">
        <v>2048111</v>
      </c>
      <c r="E1134" s="2982" t="s">
        <v>6681</v>
      </c>
      <c r="F1134" s="2993">
        <v>-7.7223999999999999E-3</v>
      </c>
      <c r="J1134"/>
    </row>
    <row r="1135" spans="1:10" ht="13" hidden="1">
      <c r="A1135" s="2983">
        <v>29</v>
      </c>
      <c r="B1135" s="2982" t="s">
        <v>5792</v>
      </c>
      <c r="C1135" s="2982" t="s">
        <v>1156</v>
      </c>
      <c r="D1135" s="2982">
        <v>2048119</v>
      </c>
      <c r="E1135" s="2982" t="s">
        <v>6682</v>
      </c>
      <c r="F1135" s="2993">
        <v>-2.0705090000000002E-2</v>
      </c>
      <c r="J1135"/>
    </row>
    <row r="1136" spans="1:10" ht="13" hidden="1">
      <c r="A1136" s="2983">
        <v>29</v>
      </c>
      <c r="B1136" s="2982" t="s">
        <v>5792</v>
      </c>
      <c r="C1136" s="2982" t="s">
        <v>1156</v>
      </c>
      <c r="D1136" s="2982">
        <v>2048121</v>
      </c>
      <c r="E1136" s="2982" t="s">
        <v>8193</v>
      </c>
      <c r="F1136" s="2993">
        <v>-1.8662188</v>
      </c>
      <c r="J1136"/>
    </row>
    <row r="1137" spans="1:10" ht="13" hidden="1">
      <c r="A1137" s="2983">
        <v>29</v>
      </c>
      <c r="B1137" s="2982" t="s">
        <v>5792</v>
      </c>
      <c r="C1137" s="2982" t="s">
        <v>1156</v>
      </c>
      <c r="D1137" s="2982">
        <v>2048127</v>
      </c>
      <c r="E1137" s="2982" t="s">
        <v>8194</v>
      </c>
      <c r="F1137" s="2993">
        <v>-0.17903162099999997</v>
      </c>
      <c r="J1137"/>
    </row>
    <row r="1138" spans="1:10" ht="13" hidden="1">
      <c r="A1138" s="2983">
        <v>29</v>
      </c>
      <c r="B1138" s="2982" t="s">
        <v>5792</v>
      </c>
      <c r="C1138" s="2982" t="s">
        <v>1156</v>
      </c>
      <c r="D1138" s="2982">
        <v>2048123</v>
      </c>
      <c r="E1138" s="2982" t="s">
        <v>6683</v>
      </c>
      <c r="F1138" s="2993">
        <v>-3.4427920000000001E-3</v>
      </c>
      <c r="J1138"/>
    </row>
    <row r="1139" spans="1:10" ht="13" hidden="1">
      <c r="A1139" s="2983">
        <v>36</v>
      </c>
      <c r="B1139" s="2982" t="s">
        <v>6433</v>
      </c>
      <c r="C1139" s="2982" t="s">
        <v>6434</v>
      </c>
      <c r="D1139" s="2982">
        <v>3061211</v>
      </c>
      <c r="E1139" s="2982" t="s">
        <v>6684</v>
      </c>
      <c r="F1139" s="2993">
        <v>-18.896029841000001</v>
      </c>
      <c r="J1139"/>
    </row>
    <row r="1140" spans="1:10" ht="13" hidden="1">
      <c r="A1140" s="2983">
        <v>36</v>
      </c>
      <c r="B1140" s="2982" t="s">
        <v>6433</v>
      </c>
      <c r="C1140" s="2982" t="s">
        <v>6434</v>
      </c>
      <c r="D1140" s="2982">
        <v>3061212</v>
      </c>
      <c r="E1140" s="2982" t="s">
        <v>6685</v>
      </c>
      <c r="F1140" s="2993">
        <v>-4.5412903990000002</v>
      </c>
      <c r="J1140"/>
    </row>
    <row r="1141" spans="1:10" ht="13" hidden="1">
      <c r="A1141" s="2983">
        <v>36</v>
      </c>
      <c r="B1141" s="2982" t="s">
        <v>6433</v>
      </c>
      <c r="C1141" s="2982" t="s">
        <v>6434</v>
      </c>
      <c r="D1141" s="2982">
        <v>3061223</v>
      </c>
      <c r="E1141" s="2982" t="s">
        <v>6686</v>
      </c>
      <c r="F1141" s="2993">
        <v>-15.605192282999999</v>
      </c>
      <c r="J1141"/>
    </row>
    <row r="1142" spans="1:10" ht="13" hidden="1">
      <c r="A1142" s="2983">
        <v>36</v>
      </c>
      <c r="B1142" s="2982" t="s">
        <v>6433</v>
      </c>
      <c r="C1142" s="2982" t="s">
        <v>6434</v>
      </c>
      <c r="D1142" s="2982">
        <v>3061224</v>
      </c>
      <c r="E1142" s="2982" t="s">
        <v>6687</v>
      </c>
      <c r="F1142" s="2993">
        <v>-4.5698913010000002</v>
      </c>
      <c r="J1142"/>
    </row>
    <row r="1143" spans="1:10" ht="13" hidden="1">
      <c r="A1143" s="2983">
        <v>36</v>
      </c>
      <c r="B1143" s="2982" t="s">
        <v>6433</v>
      </c>
      <c r="C1143" s="2982" t="s">
        <v>6434</v>
      </c>
      <c r="D1143" s="2982">
        <v>3061226</v>
      </c>
      <c r="E1143" s="2982" t="s">
        <v>6688</v>
      </c>
      <c r="F1143" s="2993">
        <v>-3.0000000000000001E-6</v>
      </c>
      <c r="J1143"/>
    </row>
    <row r="1144" spans="1:10" ht="13" hidden="1">
      <c r="A1144" s="2983">
        <v>36</v>
      </c>
      <c r="B1144" s="2982" t="s">
        <v>6433</v>
      </c>
      <c r="C1144" s="2982" t="s">
        <v>6434</v>
      </c>
      <c r="D1144" s="2982">
        <v>3061227</v>
      </c>
      <c r="E1144" s="2982" t="s">
        <v>6689</v>
      </c>
      <c r="F1144" s="2993">
        <v>-1.8656E-3</v>
      </c>
      <c r="J1144"/>
    </row>
    <row r="1145" spans="1:10" ht="13" hidden="1">
      <c r="A1145" s="2983">
        <v>36</v>
      </c>
      <c r="B1145" s="2982" t="s">
        <v>6433</v>
      </c>
      <c r="C1145" s="2982" t="s">
        <v>6434</v>
      </c>
      <c r="D1145" s="2982">
        <v>3061232</v>
      </c>
      <c r="E1145" s="2982" t="s">
        <v>6690</v>
      </c>
      <c r="F1145" s="2993">
        <v>-63.119753586000002</v>
      </c>
      <c r="J1145"/>
    </row>
    <row r="1146" spans="1:10" ht="13" hidden="1">
      <c r="A1146" s="2983">
        <v>36</v>
      </c>
      <c r="B1146" s="2982" t="s">
        <v>6433</v>
      </c>
      <c r="C1146" s="2982" t="s">
        <v>6434</v>
      </c>
      <c r="D1146" s="2982">
        <v>3061233</v>
      </c>
      <c r="E1146" s="2982" t="s">
        <v>6691</v>
      </c>
      <c r="F1146" s="2993">
        <v>-6.4892250000000002</v>
      </c>
      <c r="J1146"/>
    </row>
    <row r="1147" spans="1:10" ht="13" hidden="1">
      <c r="A1147" s="2983">
        <v>36</v>
      </c>
      <c r="B1147" s="2982" t="s">
        <v>6433</v>
      </c>
      <c r="C1147" s="2982" t="s">
        <v>6434</v>
      </c>
      <c r="D1147" s="2982">
        <v>3061256</v>
      </c>
      <c r="E1147" s="2982" t="s">
        <v>6692</v>
      </c>
      <c r="F1147" s="2993">
        <v>-0.14343654100000003</v>
      </c>
      <c r="J1147"/>
    </row>
    <row r="1148" spans="1:10" ht="13" hidden="1">
      <c r="A1148" s="2983">
        <v>36</v>
      </c>
      <c r="B1148" s="2982" t="s">
        <v>6433</v>
      </c>
      <c r="C1148" s="2982" t="s">
        <v>6434</v>
      </c>
      <c r="D1148" s="2982">
        <v>3061257</v>
      </c>
      <c r="E1148" s="2982" t="s">
        <v>6693</v>
      </c>
      <c r="F1148" s="2993">
        <v>-0.14283858999999999</v>
      </c>
      <c r="J1148"/>
    </row>
    <row r="1149" spans="1:10" ht="13" hidden="1">
      <c r="A1149" s="2983">
        <v>36</v>
      </c>
      <c r="B1149" s="2982" t="s">
        <v>6433</v>
      </c>
      <c r="C1149" s="2982" t="s">
        <v>6434</v>
      </c>
      <c r="D1149" s="2982">
        <v>3061268</v>
      </c>
      <c r="E1149" s="2982" t="s">
        <v>6694</v>
      </c>
      <c r="F1149" s="2993">
        <v>-2.4536917749999998</v>
      </c>
      <c r="J1149"/>
    </row>
    <row r="1150" spans="1:10" ht="13" hidden="1">
      <c r="A1150" s="2983">
        <v>36</v>
      </c>
      <c r="B1150" s="2982" t="s">
        <v>6433</v>
      </c>
      <c r="C1150" s="2982" t="s">
        <v>6434</v>
      </c>
      <c r="D1150" s="2982">
        <v>3061274</v>
      </c>
      <c r="E1150" s="2982" t="s">
        <v>6695</v>
      </c>
      <c r="F1150" s="2993">
        <v>-0.476921445</v>
      </c>
      <c r="J1150"/>
    </row>
    <row r="1151" spans="1:10" ht="13" hidden="1">
      <c r="A1151" s="2983">
        <v>36</v>
      </c>
      <c r="B1151" s="2982" t="s">
        <v>6433</v>
      </c>
      <c r="C1151" s="2982" t="s">
        <v>6434</v>
      </c>
      <c r="D1151" s="2982">
        <v>3061280</v>
      </c>
      <c r="E1151" s="2982" t="s">
        <v>6696</v>
      </c>
      <c r="F1151" s="2993">
        <v>-9.5124555789999992</v>
      </c>
      <c r="J1151"/>
    </row>
    <row r="1152" spans="1:10" ht="13" hidden="1">
      <c r="A1152" s="2983">
        <v>36</v>
      </c>
      <c r="B1152" s="2982" t="s">
        <v>6433</v>
      </c>
      <c r="C1152" s="2982" t="s">
        <v>6434</v>
      </c>
      <c r="D1152" s="2982">
        <v>3061281</v>
      </c>
      <c r="E1152" s="2982" t="s">
        <v>6697</v>
      </c>
      <c r="F1152" s="2993">
        <v>-2.6886987950000001</v>
      </c>
      <c r="J1152"/>
    </row>
    <row r="1153" spans="1:11" ht="13" hidden="1">
      <c r="A1153" s="2983">
        <v>36</v>
      </c>
      <c r="B1153" s="2982" t="s">
        <v>6433</v>
      </c>
      <c r="C1153" s="2982" t="s">
        <v>6434</v>
      </c>
      <c r="D1153" s="2982">
        <v>3061292</v>
      </c>
      <c r="E1153" s="2982" t="s">
        <v>6698</v>
      </c>
      <c r="F1153" s="2993">
        <v>-4.3948086960000001</v>
      </c>
      <c r="J1153"/>
    </row>
    <row r="1154" spans="1:11" ht="13" hidden="1">
      <c r="A1154" s="2983">
        <v>2</v>
      </c>
      <c r="B1154" s="2982" t="s">
        <v>1020</v>
      </c>
      <c r="C1154" s="2982" t="s">
        <v>1020</v>
      </c>
      <c r="D1154" s="2982">
        <v>4022320</v>
      </c>
      <c r="E1154" s="2982" t="s">
        <v>6699</v>
      </c>
      <c r="F1154" s="2993">
        <v>-9.9000000000523863E-8</v>
      </c>
      <c r="J1154"/>
    </row>
    <row r="1155" spans="1:11" ht="13" hidden="1">
      <c r="A1155" s="2983">
        <v>2</v>
      </c>
      <c r="B1155" s="2982" t="s">
        <v>1020</v>
      </c>
      <c r="C1155" s="2982" t="s">
        <v>1020</v>
      </c>
      <c r="D1155" s="2982">
        <v>4022615</v>
      </c>
      <c r="E1155" s="2982" t="s">
        <v>6700</v>
      </c>
      <c r="F1155" s="2993">
        <v>0</v>
      </c>
      <c r="J1155"/>
    </row>
    <row r="1156" spans="1:11" ht="13" hidden="1">
      <c r="A1156" s="2983">
        <v>58</v>
      </c>
      <c r="B1156" s="2982" t="s">
        <v>1525</v>
      </c>
      <c r="C1156" s="2982" t="s">
        <v>5539</v>
      </c>
      <c r="D1156" s="2982">
        <v>4074136</v>
      </c>
      <c r="E1156" s="2982" t="s">
        <v>5612</v>
      </c>
      <c r="F1156" s="2993">
        <v>0.17890369</v>
      </c>
      <c r="J1156" s="4">
        <v>7</v>
      </c>
      <c r="K1156" s="608" t="s">
        <v>6960</v>
      </c>
    </row>
    <row r="1157" spans="1:11" ht="13" hidden="1">
      <c r="A1157" s="2983">
        <v>58</v>
      </c>
      <c r="B1157" s="2982" t="s">
        <v>1525</v>
      </c>
      <c r="C1157" s="2982" t="s">
        <v>5539</v>
      </c>
      <c r="D1157" s="2982">
        <v>4074137</v>
      </c>
      <c r="E1157" s="2982" t="s">
        <v>5613</v>
      </c>
      <c r="F1157" s="2993">
        <v>0.14427860000000001</v>
      </c>
      <c r="J1157" s="4">
        <v>7</v>
      </c>
      <c r="K1157" s="608" t="s">
        <v>6960</v>
      </c>
    </row>
    <row r="1158" spans="1:11" ht="13" hidden="1">
      <c r="A1158" s="2983">
        <v>58</v>
      </c>
      <c r="B1158" s="2982" t="s">
        <v>1525</v>
      </c>
      <c r="C1158" s="2982" t="s">
        <v>5539</v>
      </c>
      <c r="D1158" s="2982">
        <v>4074143</v>
      </c>
      <c r="E1158" s="2982" t="s">
        <v>5614</v>
      </c>
      <c r="F1158" s="2993">
        <v>0</v>
      </c>
      <c r="J1158" s="4">
        <v>7</v>
      </c>
      <c r="K1158" s="608" t="s">
        <v>6960</v>
      </c>
    </row>
    <row r="1159" spans="1:11" ht="13" hidden="1">
      <c r="A1159" s="2983">
        <v>57</v>
      </c>
      <c r="B1159" s="2982" t="s">
        <v>1525</v>
      </c>
      <c r="C1159" s="2982" t="s">
        <v>5532</v>
      </c>
      <c r="D1159" s="2982">
        <v>4074210</v>
      </c>
      <c r="E1159" s="2982" t="s">
        <v>5615</v>
      </c>
      <c r="F1159" s="2993">
        <v>0</v>
      </c>
      <c r="J1159">
        <v>1</v>
      </c>
    </row>
    <row r="1160" spans="1:11" ht="13" hidden="1">
      <c r="A1160" s="2983">
        <v>57</v>
      </c>
      <c r="B1160" s="2982" t="s">
        <v>1525</v>
      </c>
      <c r="C1160" s="2982" t="s">
        <v>5532</v>
      </c>
      <c r="D1160" s="2987">
        <v>4074310</v>
      </c>
      <c r="E1160" s="2982" t="s">
        <v>5616</v>
      </c>
      <c r="F1160" s="2993">
        <v>4.0499999999999998E-4</v>
      </c>
      <c r="J1160">
        <v>1</v>
      </c>
    </row>
    <row r="1161" spans="1:11" ht="13" hidden="1">
      <c r="A1161" s="2983">
        <v>58</v>
      </c>
      <c r="B1161" s="2982" t="s">
        <v>1525</v>
      </c>
      <c r="C1161" s="2982" t="s">
        <v>5539</v>
      </c>
      <c r="D1161" s="2987">
        <v>4074501</v>
      </c>
      <c r="E1161" s="2982" t="s">
        <v>5617</v>
      </c>
      <c r="F1161" s="2995">
        <v>1.7162968000000001E-2</v>
      </c>
      <c r="J1161" s="4">
        <v>7</v>
      </c>
      <c r="K1161" s="608" t="s">
        <v>6960</v>
      </c>
    </row>
    <row r="1162" spans="1:11" ht="13" hidden="1">
      <c r="A1162" s="2983">
        <v>59</v>
      </c>
      <c r="B1162" s="2982" t="s">
        <v>1525</v>
      </c>
      <c r="C1162" s="2982" t="s">
        <v>5543</v>
      </c>
      <c r="D1162" s="2982">
        <v>4074601</v>
      </c>
      <c r="E1162" s="2982" t="s">
        <v>5618</v>
      </c>
      <c r="F1162" s="2993">
        <v>3.225E-3</v>
      </c>
      <c r="J1162">
        <v>7</v>
      </c>
      <c r="K1162" s="608" t="s">
        <v>6960</v>
      </c>
    </row>
    <row r="1163" spans="1:11" ht="13" hidden="1">
      <c r="A1163" s="2983">
        <v>2</v>
      </c>
      <c r="B1163" s="2982" t="s">
        <v>1020</v>
      </c>
      <c r="C1163" s="2982" t="s">
        <v>1020</v>
      </c>
      <c r="D1163" s="2982">
        <v>4074901</v>
      </c>
      <c r="E1163" s="2982" t="s">
        <v>6701</v>
      </c>
      <c r="F1163" s="2993">
        <v>5.4341071999999997</v>
      </c>
      <c r="J1163"/>
    </row>
    <row r="1164" spans="1:11" ht="13" hidden="1">
      <c r="A1164" s="2983">
        <v>49</v>
      </c>
      <c r="B1164" s="2982" t="s">
        <v>6482</v>
      </c>
      <c r="C1164" s="2982" t="s">
        <v>6483</v>
      </c>
      <c r="D1164" s="2982">
        <v>4075306</v>
      </c>
      <c r="E1164" s="2982" t="s">
        <v>6702</v>
      </c>
      <c r="F1164" s="2993">
        <v>2.3901476320000001</v>
      </c>
      <c r="J1164"/>
    </row>
    <row r="1165" spans="1:11" ht="13" hidden="1">
      <c r="A1165" s="2983">
        <v>49</v>
      </c>
      <c r="B1165" s="2982" t="s">
        <v>6482</v>
      </c>
      <c r="C1165" s="2982" t="s">
        <v>6483</v>
      </c>
      <c r="D1165" s="2982">
        <v>4075391</v>
      </c>
      <c r="E1165" s="2982" t="s">
        <v>6703</v>
      </c>
      <c r="F1165" s="2993">
        <v>1.5150000000000001E-3</v>
      </c>
      <c r="J1165"/>
    </row>
    <row r="1166" spans="1:11" ht="13" hidden="1">
      <c r="A1166" s="2983">
        <v>49</v>
      </c>
      <c r="B1166" s="2982" t="s">
        <v>6482</v>
      </c>
      <c r="C1166" s="2982" t="s">
        <v>6483</v>
      </c>
      <c r="D1166" s="2982">
        <v>4075392</v>
      </c>
      <c r="E1166" s="2982" t="s">
        <v>6704</v>
      </c>
      <c r="F1166" s="2993">
        <v>8.3783E-3</v>
      </c>
      <c r="J1166"/>
    </row>
    <row r="1167" spans="1:11" ht="13" hidden="1">
      <c r="A1167" s="2983">
        <v>49</v>
      </c>
      <c r="B1167" s="2982" t="s">
        <v>6482</v>
      </c>
      <c r="C1167" s="2982" t="s">
        <v>6483</v>
      </c>
      <c r="D1167" s="2982">
        <v>4075393</v>
      </c>
      <c r="E1167" s="2982" t="s">
        <v>6705</v>
      </c>
      <c r="F1167" s="2993">
        <v>8.4969100000000006E-2</v>
      </c>
      <c r="J1167"/>
    </row>
    <row r="1168" spans="1:11" ht="13" hidden="1">
      <c r="A1168" s="2983">
        <v>49</v>
      </c>
      <c r="B1168" s="2982" t="s">
        <v>6482</v>
      </c>
      <c r="C1168" s="2982" t="s">
        <v>6483</v>
      </c>
      <c r="D1168" s="2982">
        <v>4075394</v>
      </c>
      <c r="E1168" s="2982" t="s">
        <v>6706</v>
      </c>
      <c r="F1168" s="2993">
        <v>0</v>
      </c>
      <c r="J1168"/>
    </row>
    <row r="1169" spans="1:10" ht="13" hidden="1">
      <c r="A1169" s="2983">
        <v>49</v>
      </c>
      <c r="B1169" s="2982" t="s">
        <v>6482</v>
      </c>
      <c r="C1169" s="2982" t="s">
        <v>6483</v>
      </c>
      <c r="D1169" s="2982">
        <v>4075395</v>
      </c>
      <c r="E1169" s="2982" t="s">
        <v>6707</v>
      </c>
      <c r="F1169" s="2993">
        <v>5.7752398530000004</v>
      </c>
      <c r="J1169"/>
    </row>
    <row r="1170" spans="1:10" ht="13" hidden="1">
      <c r="A1170" s="2983">
        <v>49</v>
      </c>
      <c r="B1170" s="2982" t="s">
        <v>6482</v>
      </c>
      <c r="C1170" s="2982" t="s">
        <v>6483</v>
      </c>
      <c r="D1170" s="2986">
        <v>4075396</v>
      </c>
      <c r="E1170" s="2982" t="s">
        <v>6708</v>
      </c>
      <c r="F1170" s="2993">
        <v>1.12164E-2</v>
      </c>
      <c r="J1170"/>
    </row>
    <row r="1171" spans="1:10" ht="13" hidden="1">
      <c r="A1171" s="2983">
        <v>49</v>
      </c>
      <c r="B1171" s="2982" t="s">
        <v>6482</v>
      </c>
      <c r="C1171" s="2982" t="s">
        <v>6483</v>
      </c>
      <c r="D1171" s="2982">
        <v>4075397</v>
      </c>
      <c r="E1171" s="2982" t="s">
        <v>6709</v>
      </c>
      <c r="F1171" s="2993">
        <v>0.189434767</v>
      </c>
      <c r="J1171"/>
    </row>
    <row r="1172" spans="1:10" ht="13" hidden="1">
      <c r="A1172" s="2983">
        <v>49</v>
      </c>
      <c r="B1172" s="2982" t="s">
        <v>6482</v>
      </c>
      <c r="C1172" s="2982" t="s">
        <v>6483</v>
      </c>
      <c r="D1172" s="2982">
        <v>4075398</v>
      </c>
      <c r="E1172" s="2982" t="s">
        <v>6710</v>
      </c>
      <c r="F1172" s="2993">
        <v>1.3259045519999999</v>
      </c>
      <c r="J1172"/>
    </row>
    <row r="1173" spans="1:10" ht="13" hidden="1">
      <c r="A1173" s="2983">
        <v>49</v>
      </c>
      <c r="B1173" s="2982" t="s">
        <v>6482</v>
      </c>
      <c r="C1173" s="2982" t="s">
        <v>6483</v>
      </c>
      <c r="D1173" s="2982">
        <v>4075399</v>
      </c>
      <c r="E1173" s="2982" t="s">
        <v>6711</v>
      </c>
      <c r="F1173" s="2993">
        <v>0.15845435399999999</v>
      </c>
      <c r="J1173"/>
    </row>
    <row r="1174" spans="1:10" ht="13" hidden="1">
      <c r="A1174" s="2983">
        <v>49</v>
      </c>
      <c r="B1174" s="2982" t="s">
        <v>6482</v>
      </c>
      <c r="C1174" s="2982" t="s">
        <v>6483</v>
      </c>
      <c r="D1174" s="2982">
        <v>4075400</v>
      </c>
      <c r="E1174" s="2982" t="s">
        <v>6712</v>
      </c>
      <c r="F1174" s="2993">
        <v>0.119475178</v>
      </c>
      <c r="J1174"/>
    </row>
    <row r="1175" spans="1:10" ht="13" hidden="1">
      <c r="A1175" s="2983">
        <v>49</v>
      </c>
      <c r="B1175" s="2982" t="s">
        <v>6482</v>
      </c>
      <c r="C1175" s="2982" t="s">
        <v>6483</v>
      </c>
      <c r="D1175" s="2982">
        <v>4075401</v>
      </c>
      <c r="E1175" s="2982" t="s">
        <v>6713</v>
      </c>
      <c r="F1175" s="2993">
        <v>0</v>
      </c>
      <c r="J1175"/>
    </row>
    <row r="1176" spans="1:10" ht="13" hidden="1">
      <c r="A1176" s="2983">
        <v>49</v>
      </c>
      <c r="B1176" s="2982" t="s">
        <v>6482</v>
      </c>
      <c r="C1176" s="2982" t="s">
        <v>6483</v>
      </c>
      <c r="D1176" s="2982">
        <v>4075402</v>
      </c>
      <c r="E1176" s="2982" t="s">
        <v>6714</v>
      </c>
      <c r="F1176" s="2993">
        <v>8.7620000000000007E-3</v>
      </c>
      <c r="J1176"/>
    </row>
    <row r="1177" spans="1:10" ht="13" hidden="1">
      <c r="A1177" s="2983">
        <v>49</v>
      </c>
      <c r="B1177" s="2982" t="s">
        <v>6482</v>
      </c>
      <c r="C1177" s="2982" t="s">
        <v>6483</v>
      </c>
      <c r="D1177" s="2982">
        <v>4075501</v>
      </c>
      <c r="E1177" s="2982" t="s">
        <v>6715</v>
      </c>
      <c r="F1177" s="2993">
        <v>0.47338039999999998</v>
      </c>
      <c r="J1177"/>
    </row>
    <row r="1178" spans="1:10" ht="13" hidden="1">
      <c r="A1178" s="2983">
        <v>49</v>
      </c>
      <c r="B1178" s="2982" t="s">
        <v>6482</v>
      </c>
      <c r="C1178" s="2982" t="s">
        <v>6483</v>
      </c>
      <c r="D1178" s="2982">
        <v>4075612</v>
      </c>
      <c r="E1178" s="2982" t="s">
        <v>573</v>
      </c>
      <c r="F1178" s="2993">
        <v>1.883367E-2</v>
      </c>
      <c r="J1178"/>
    </row>
    <row r="1179" spans="1:10" ht="13" hidden="1">
      <c r="A1179" s="2983">
        <v>49</v>
      </c>
      <c r="B1179" s="2982" t="s">
        <v>6482</v>
      </c>
      <c r="C1179" s="2982" t="s">
        <v>6483</v>
      </c>
      <c r="D1179" s="2982">
        <v>4075676</v>
      </c>
      <c r="E1179" s="2982" t="s">
        <v>6716</v>
      </c>
      <c r="F1179" s="2993">
        <v>0.49563574400000004</v>
      </c>
      <c r="J1179"/>
    </row>
    <row r="1180" spans="1:10" ht="13" hidden="1">
      <c r="A1180" s="2983">
        <v>49</v>
      </c>
      <c r="B1180" s="2982" t="s">
        <v>6482</v>
      </c>
      <c r="C1180" s="2982" t="s">
        <v>6483</v>
      </c>
      <c r="D1180" s="2982">
        <v>4075678</v>
      </c>
      <c r="E1180" s="2982" t="s">
        <v>6717</v>
      </c>
      <c r="F1180" s="2993">
        <v>0.80225896800000007</v>
      </c>
      <c r="J1180"/>
    </row>
    <row r="1181" spans="1:10" ht="13" hidden="1">
      <c r="A1181" s="2983">
        <v>49</v>
      </c>
      <c r="B1181" s="2982" t="s">
        <v>6482</v>
      </c>
      <c r="C1181" s="2982" t="s">
        <v>6483</v>
      </c>
      <c r="D1181" s="2982">
        <v>4075682</v>
      </c>
      <c r="E1181" s="2982" t="s">
        <v>6718</v>
      </c>
      <c r="F1181" s="2993">
        <v>2.1950247770000009</v>
      </c>
      <c r="J1181"/>
    </row>
    <row r="1182" spans="1:10" ht="13" hidden="1">
      <c r="A1182" s="2983">
        <v>50</v>
      </c>
      <c r="B1182" s="2982" t="s">
        <v>6482</v>
      </c>
      <c r="C1182" s="2982" t="s">
        <v>1726</v>
      </c>
      <c r="D1182" s="2982">
        <v>4075683</v>
      </c>
      <c r="E1182" s="2982" t="s">
        <v>6719</v>
      </c>
      <c r="F1182" s="2993">
        <v>1.2375366000000001</v>
      </c>
      <c r="J1182"/>
    </row>
    <row r="1183" spans="1:10" ht="13" hidden="1">
      <c r="A1183" s="2983">
        <v>50</v>
      </c>
      <c r="B1183" s="2982" t="s">
        <v>6482</v>
      </c>
      <c r="C1183" s="2982" t="s">
        <v>1726</v>
      </c>
      <c r="D1183" s="2982">
        <v>4075686</v>
      </c>
      <c r="E1183" s="2982" t="s">
        <v>6720</v>
      </c>
      <c r="F1183" s="2993">
        <v>0.1911861</v>
      </c>
      <c r="J1183"/>
    </row>
    <row r="1184" spans="1:10" ht="13" hidden="1">
      <c r="A1184" s="2983">
        <v>50</v>
      </c>
      <c r="B1184" s="2982" t="s">
        <v>6482</v>
      </c>
      <c r="C1184" s="2982" t="s">
        <v>1726</v>
      </c>
      <c r="D1184" s="2982">
        <v>4075687</v>
      </c>
      <c r="E1184" s="2982" t="s">
        <v>6721</v>
      </c>
      <c r="F1184" s="2993">
        <v>1.5839900000000001E-2</v>
      </c>
      <c r="J1184"/>
    </row>
    <row r="1185" spans="1:10" ht="13" hidden="1">
      <c r="A1185" s="2983">
        <v>51</v>
      </c>
      <c r="B1185" s="2982" t="s">
        <v>6482</v>
      </c>
      <c r="C1185" s="2982" t="s">
        <v>546</v>
      </c>
      <c r="D1185" s="2982">
        <v>4075703</v>
      </c>
      <c r="E1185" s="2982" t="s">
        <v>6722</v>
      </c>
      <c r="F1185" s="2993">
        <v>8.4399550000000004E-2</v>
      </c>
      <c r="J1185"/>
    </row>
    <row r="1186" spans="1:10" ht="13" hidden="1">
      <c r="A1186" s="2983">
        <v>51</v>
      </c>
      <c r="B1186" s="2982" t="s">
        <v>6482</v>
      </c>
      <c r="C1186" s="2982" t="s">
        <v>546</v>
      </c>
      <c r="D1186" s="2982">
        <v>4075709</v>
      </c>
      <c r="E1186" s="2982" t="s">
        <v>6723</v>
      </c>
      <c r="F1186" s="2993">
        <v>0.78152976500000004</v>
      </c>
      <c r="J1186"/>
    </row>
    <row r="1187" spans="1:10" ht="13" hidden="1">
      <c r="A1187" s="2983">
        <v>50</v>
      </c>
      <c r="B1187" s="2982" t="s">
        <v>6482</v>
      </c>
      <c r="C1187" s="2982" t="s">
        <v>546</v>
      </c>
      <c r="D1187" s="2982">
        <v>4075714</v>
      </c>
      <c r="E1187" s="2982" t="s">
        <v>6724</v>
      </c>
      <c r="F1187" s="2993">
        <v>8.8134789999999991E-2</v>
      </c>
      <c r="J1187"/>
    </row>
    <row r="1188" spans="1:10" ht="13" hidden="1">
      <c r="A1188" s="2983">
        <v>50</v>
      </c>
      <c r="B1188" s="2982" t="s">
        <v>6482</v>
      </c>
      <c r="C1188" s="2982" t="s">
        <v>1726</v>
      </c>
      <c r="D1188" s="2982">
        <v>4075803</v>
      </c>
      <c r="E1188" s="2982" t="s">
        <v>6725</v>
      </c>
      <c r="F1188" s="2993">
        <v>4.2700000000000001E-5</v>
      </c>
      <c r="J1188"/>
    </row>
    <row r="1189" spans="1:10" ht="13" hidden="1">
      <c r="A1189" s="2983">
        <v>72</v>
      </c>
      <c r="B1189" s="2982" t="s">
        <v>1525</v>
      </c>
      <c r="C1189" s="2982" t="s">
        <v>5580</v>
      </c>
      <c r="D1189" s="3002">
        <v>4076104</v>
      </c>
      <c r="E1189" s="2982" t="s">
        <v>7899</v>
      </c>
      <c r="F1189" s="2993">
        <v>0</v>
      </c>
      <c r="G1189" s="3003" t="s">
        <v>1355</v>
      </c>
      <c r="J1189"/>
    </row>
    <row r="1190" spans="1:10" ht="13" hidden="1">
      <c r="A1190" s="2983">
        <v>72</v>
      </c>
      <c r="B1190" s="2982" t="s">
        <v>1525</v>
      </c>
      <c r="C1190" s="2982" t="s">
        <v>5580</v>
      </c>
      <c r="D1190" s="3002">
        <v>4076143</v>
      </c>
      <c r="E1190" s="2982" t="s">
        <v>7881</v>
      </c>
      <c r="F1190" s="2994">
        <v>0</v>
      </c>
      <c r="G1190" s="3003" t="s">
        <v>1355</v>
      </c>
      <c r="J1190"/>
    </row>
    <row r="1191" spans="1:10" ht="13" hidden="1">
      <c r="A1191" s="2983">
        <v>72</v>
      </c>
      <c r="B1191" s="2982" t="s">
        <v>1525</v>
      </c>
      <c r="C1191" s="2982" t="s">
        <v>5580</v>
      </c>
      <c r="D1191" s="2982">
        <v>4076174</v>
      </c>
      <c r="E1191" s="2982" t="s">
        <v>7912</v>
      </c>
      <c r="F1191" s="2993">
        <v>1.3973899999999999E-2</v>
      </c>
      <c r="G1191" s="3003" t="s">
        <v>1355</v>
      </c>
      <c r="J1191"/>
    </row>
    <row r="1192" spans="1:10" ht="13" hidden="1">
      <c r="A1192" s="2983">
        <v>72</v>
      </c>
      <c r="B1192" s="2982" t="s">
        <v>1525</v>
      </c>
      <c r="C1192" s="2982" t="s">
        <v>5580</v>
      </c>
      <c r="D1192" s="3002">
        <v>4076120</v>
      </c>
      <c r="E1192" s="2982" t="s">
        <v>5619</v>
      </c>
      <c r="F1192" s="2993">
        <v>0.19648840000000001</v>
      </c>
      <c r="G1192" s="3003" t="s">
        <v>1355</v>
      </c>
      <c r="J1192"/>
    </row>
    <row r="1193" spans="1:10" ht="13" hidden="1">
      <c r="A1193" s="2983">
        <v>72</v>
      </c>
      <c r="B1193" s="2982" t="s">
        <v>1525</v>
      </c>
      <c r="C1193" s="2982" t="s">
        <v>5580</v>
      </c>
      <c r="D1193" s="3002">
        <v>4076139</v>
      </c>
      <c r="E1193" s="2982" t="s">
        <v>5620</v>
      </c>
      <c r="F1193" s="2993">
        <v>0</v>
      </c>
      <c r="G1193" s="3003" t="s">
        <v>1355</v>
      </c>
      <c r="J1193"/>
    </row>
    <row r="1194" spans="1:10" ht="13" hidden="1">
      <c r="A1194" s="2983">
        <v>72</v>
      </c>
      <c r="B1194" s="2982" t="s">
        <v>1525</v>
      </c>
      <c r="C1194" s="2982" t="s">
        <v>5580</v>
      </c>
      <c r="D1194" s="3002">
        <v>4076156</v>
      </c>
      <c r="E1194" s="2982" t="s">
        <v>5621</v>
      </c>
      <c r="F1194" s="2993">
        <v>3.0193500000000002E-2</v>
      </c>
      <c r="G1194" s="3003" t="s">
        <v>1355</v>
      </c>
      <c r="J1194"/>
    </row>
    <row r="1195" spans="1:10" ht="13" hidden="1">
      <c r="A1195" s="2983">
        <v>62</v>
      </c>
      <c r="B1195" s="2982" t="s">
        <v>1525</v>
      </c>
      <c r="C1195" s="2982" t="s">
        <v>5622</v>
      </c>
      <c r="D1195" s="3002">
        <v>4076172</v>
      </c>
      <c r="E1195" s="2982" t="s">
        <v>5622</v>
      </c>
      <c r="F1195" s="2993">
        <v>4.653196233000001</v>
      </c>
      <c r="G1195" s="3003" t="s">
        <v>1355</v>
      </c>
      <c r="J1195"/>
    </row>
    <row r="1196" spans="1:10" ht="13" hidden="1">
      <c r="A1196" s="2983">
        <v>72</v>
      </c>
      <c r="B1196" s="2982" t="s">
        <v>1525</v>
      </c>
      <c r="C1196" s="2982" t="s">
        <v>5580</v>
      </c>
      <c r="D1196" s="2982">
        <v>4076173</v>
      </c>
      <c r="E1196" s="2982" t="s">
        <v>5623</v>
      </c>
      <c r="F1196" s="2993">
        <v>0.37070786999999999</v>
      </c>
      <c r="G1196" s="3003" t="s">
        <v>1355</v>
      </c>
      <c r="J1196"/>
    </row>
    <row r="1197" spans="1:10" ht="13" hidden="1">
      <c r="A1197" s="2983">
        <v>72</v>
      </c>
      <c r="B1197" s="2982" t="s">
        <v>1525</v>
      </c>
      <c r="C1197" s="2982" t="s">
        <v>5580</v>
      </c>
      <c r="D1197" s="2982">
        <v>4076182</v>
      </c>
      <c r="E1197" s="2982" t="s">
        <v>5624</v>
      </c>
      <c r="F1197" s="2993">
        <v>1.1781E-2</v>
      </c>
      <c r="G1197" s="3003" t="s">
        <v>1355</v>
      </c>
      <c r="J1197"/>
    </row>
    <row r="1198" spans="1:10" ht="13" hidden="1">
      <c r="A1198" s="2983">
        <v>40</v>
      </c>
      <c r="B1198" s="2982" t="s">
        <v>5834</v>
      </c>
      <c r="C1198" s="2982" t="s">
        <v>5835</v>
      </c>
      <c r="D1198" s="2982">
        <v>4077418</v>
      </c>
      <c r="E1198" s="2982" t="s">
        <v>6726</v>
      </c>
      <c r="F1198" s="2993">
        <v>0</v>
      </c>
      <c r="J1198"/>
    </row>
    <row r="1199" spans="1:10" ht="13" hidden="1">
      <c r="A1199" s="2983">
        <v>40</v>
      </c>
      <c r="B1199" s="2982" t="s">
        <v>5834</v>
      </c>
      <c r="C1199" s="2982" t="s">
        <v>5835</v>
      </c>
      <c r="D1199" s="2982">
        <v>4077410</v>
      </c>
      <c r="E1199" s="2982" t="s">
        <v>7812</v>
      </c>
      <c r="F1199" s="2993">
        <v>0</v>
      </c>
      <c r="J1199"/>
    </row>
    <row r="1200" spans="1:10" ht="13" hidden="1">
      <c r="A1200" s="2983">
        <v>40</v>
      </c>
      <c r="B1200" s="2982" t="s">
        <v>5834</v>
      </c>
      <c r="C1200" s="2982" t="s">
        <v>5835</v>
      </c>
      <c r="D1200" s="2982">
        <v>4077470</v>
      </c>
      <c r="E1200" s="2982" t="s">
        <v>7813</v>
      </c>
      <c r="F1200" s="2993">
        <v>0</v>
      </c>
      <c r="J1200"/>
    </row>
    <row r="1201" spans="1:10" ht="13" hidden="1">
      <c r="A1201" s="2983">
        <v>40</v>
      </c>
      <c r="B1201" s="2982" t="s">
        <v>5834</v>
      </c>
      <c r="C1201" s="2982" t="s">
        <v>5835</v>
      </c>
      <c r="D1201" s="2982">
        <v>4077451</v>
      </c>
      <c r="E1201" s="2982" t="s">
        <v>6727</v>
      </c>
      <c r="F1201" s="2993">
        <v>0</v>
      </c>
      <c r="J1201"/>
    </row>
    <row r="1202" spans="1:10" ht="13" hidden="1">
      <c r="A1202" s="2983">
        <v>72</v>
      </c>
      <c r="B1202" s="2982" t="s">
        <v>1525</v>
      </c>
      <c r="C1202" s="2982" t="s">
        <v>5580</v>
      </c>
      <c r="D1202" s="2982">
        <v>4079110</v>
      </c>
      <c r="E1202" s="2982" t="s">
        <v>5625</v>
      </c>
      <c r="F1202" s="2993">
        <v>9.9979499999999538E-4</v>
      </c>
      <c r="J1202"/>
    </row>
    <row r="1203" spans="1:10" ht="13" hidden="1">
      <c r="A1203" s="2983">
        <v>72</v>
      </c>
      <c r="B1203" s="2982" t="s">
        <v>1525</v>
      </c>
      <c r="C1203" s="2982" t="s">
        <v>5580</v>
      </c>
      <c r="D1203" s="2982">
        <v>4079531</v>
      </c>
      <c r="E1203" s="2982" t="s">
        <v>5626</v>
      </c>
      <c r="F1203" s="2993">
        <v>0.53640900000000002</v>
      </c>
      <c r="J1203"/>
    </row>
    <row r="1204" spans="1:10" ht="13" hidden="1">
      <c r="A1204" s="2983">
        <v>72</v>
      </c>
      <c r="B1204" s="2982" t="s">
        <v>1525</v>
      </c>
      <c r="C1204" s="2982" t="s">
        <v>5580</v>
      </c>
      <c r="D1204" s="2982">
        <v>4079530</v>
      </c>
      <c r="E1204" s="2982" t="s">
        <v>8195</v>
      </c>
      <c r="F1204" s="2993">
        <v>0.2</v>
      </c>
      <c r="J1204"/>
    </row>
    <row r="1205" spans="1:10" ht="13" hidden="1">
      <c r="A1205" s="2983">
        <v>72</v>
      </c>
      <c r="B1205" s="2982" t="s">
        <v>1525</v>
      </c>
      <c r="C1205" s="2982" t="s">
        <v>5580</v>
      </c>
      <c r="D1205" s="2982">
        <v>4079571</v>
      </c>
      <c r="E1205" s="2982" t="s">
        <v>5627</v>
      </c>
      <c r="F1205" s="2993">
        <v>0</v>
      </c>
      <c r="J1205"/>
    </row>
    <row r="1206" spans="1:10" ht="13" hidden="1">
      <c r="A1206" s="2983">
        <v>44</v>
      </c>
      <c r="B1206" s="2982" t="s">
        <v>896</v>
      </c>
      <c r="C1206" s="2982" t="s">
        <v>5826</v>
      </c>
      <c r="D1206" s="2982">
        <v>5061909</v>
      </c>
      <c r="E1206" s="2982" t="s">
        <v>6728</v>
      </c>
      <c r="F1206" s="2993">
        <v>-1.10145E-2</v>
      </c>
      <c r="J1206"/>
    </row>
    <row r="1207" spans="1:10" ht="13" hidden="1">
      <c r="A1207" s="2983">
        <v>17</v>
      </c>
      <c r="B1207" s="2982" t="s">
        <v>5738</v>
      </c>
      <c r="C1207" s="2982" t="s">
        <v>5739</v>
      </c>
      <c r="D1207" s="2982">
        <v>7000000</v>
      </c>
      <c r="E1207" s="2982" t="s">
        <v>6729</v>
      </c>
      <c r="F1207" s="2993">
        <v>0.10495660000000001</v>
      </c>
      <c r="J1207"/>
    </row>
    <row r="1208" spans="1:10" ht="13" hidden="1">
      <c r="A1208" s="2983">
        <v>17</v>
      </c>
      <c r="B1208" s="2982" t="s">
        <v>5738</v>
      </c>
      <c r="C1208" s="2982" t="s">
        <v>5739</v>
      </c>
      <c r="D1208" s="2982">
        <v>7000007</v>
      </c>
      <c r="E1208" s="2982" t="s">
        <v>8196</v>
      </c>
      <c r="F1208" s="2993">
        <v>0</v>
      </c>
      <c r="J1208"/>
    </row>
    <row r="1209" spans="1:10" ht="13" hidden="1">
      <c r="A1209" s="2983">
        <v>17</v>
      </c>
      <c r="B1209" s="2982" t="s">
        <v>5738</v>
      </c>
      <c r="C1209" s="2982" t="s">
        <v>5739</v>
      </c>
      <c r="D1209" s="2982">
        <v>7000008</v>
      </c>
      <c r="E1209" s="2982" t="s">
        <v>8197</v>
      </c>
      <c r="F1209" s="2993">
        <v>0</v>
      </c>
      <c r="J1209"/>
    </row>
    <row r="1210" spans="1:10" ht="13" hidden="1">
      <c r="A1210" s="2983">
        <v>17</v>
      </c>
      <c r="B1210" s="2982" t="s">
        <v>5738</v>
      </c>
      <c r="C1210" s="2982" t="s">
        <v>5739</v>
      </c>
      <c r="D1210" s="2982">
        <v>7000009</v>
      </c>
      <c r="E1210" s="2982" t="s">
        <v>8198</v>
      </c>
      <c r="F1210" s="2993">
        <v>0</v>
      </c>
      <c r="J1210"/>
    </row>
    <row r="1211" spans="1:10" ht="13" hidden="1">
      <c r="A1211" s="2983">
        <v>17</v>
      </c>
      <c r="B1211" s="2982" t="s">
        <v>5738</v>
      </c>
      <c r="C1211" s="2982" t="s">
        <v>5739</v>
      </c>
      <c r="D1211" s="2982">
        <v>7000029</v>
      </c>
      <c r="E1211" s="2982" t="s">
        <v>8199</v>
      </c>
      <c r="F1211" s="2993">
        <v>-2.7331E-3</v>
      </c>
      <c r="J1211"/>
    </row>
    <row r="1212" spans="1:10" ht="13" hidden="1">
      <c r="A1212" s="2983">
        <v>17</v>
      </c>
      <c r="B1212" s="2982" t="s">
        <v>5738</v>
      </c>
      <c r="C1212" s="2982" t="s">
        <v>5739</v>
      </c>
      <c r="D1212" s="2982">
        <v>7000001</v>
      </c>
      <c r="E1212" s="2982" t="s">
        <v>6730</v>
      </c>
      <c r="F1212" s="2993">
        <v>0.10495660000000001</v>
      </c>
      <c r="J1212"/>
    </row>
    <row r="1213" spans="1:10" ht="13" hidden="1">
      <c r="A1213" s="2983">
        <v>17</v>
      </c>
      <c r="B1213" s="2982" t="s">
        <v>5738</v>
      </c>
      <c r="C1213" s="2982" t="s">
        <v>5739</v>
      </c>
      <c r="D1213" s="2982">
        <v>7000002</v>
      </c>
      <c r="E1213" s="2982" t="s">
        <v>6731</v>
      </c>
      <c r="F1213" s="2993">
        <v>0.99816020000000005</v>
      </c>
      <c r="J1213"/>
    </row>
    <row r="1214" spans="1:10" ht="13" hidden="1">
      <c r="A1214" s="2983">
        <v>32</v>
      </c>
      <c r="B1214" s="2982" t="s">
        <v>6298</v>
      </c>
      <c r="C1214" s="2982" t="s">
        <v>6299</v>
      </c>
      <c r="D1214" s="2982">
        <v>7000027</v>
      </c>
      <c r="E1214" s="2982" t="s">
        <v>6732</v>
      </c>
      <c r="F1214" s="2993">
        <v>-1.8618200000000001E-2</v>
      </c>
      <c r="J1214"/>
    </row>
    <row r="1215" spans="1:10" ht="13" hidden="1">
      <c r="A1215" s="2983">
        <v>32</v>
      </c>
      <c r="B1215" s="2982" t="s">
        <v>6298</v>
      </c>
      <c r="C1215" s="2982" t="s">
        <v>6299</v>
      </c>
      <c r="D1215" s="2982">
        <v>7000030</v>
      </c>
      <c r="E1215" s="2982" t="s">
        <v>6733</v>
      </c>
      <c r="F1215" s="2993">
        <v>0</v>
      </c>
      <c r="J1215"/>
    </row>
    <row r="1216" spans="1:10" ht="13" hidden="1">
      <c r="A1216" s="2983" t="s">
        <v>5802</v>
      </c>
      <c r="B1216" s="2982" t="s">
        <v>5803</v>
      </c>
      <c r="C1216" s="2982" t="s">
        <v>5804</v>
      </c>
      <c r="D1216" s="2982">
        <v>8000005</v>
      </c>
      <c r="E1216" s="2982" t="s">
        <v>6734</v>
      </c>
      <c r="F1216" s="2993">
        <v>-20.862179777999994</v>
      </c>
      <c r="J1216"/>
    </row>
    <row r="1217" spans="1:10" ht="13" hidden="1">
      <c r="A1217" s="2983">
        <v>12</v>
      </c>
      <c r="B1217" s="2982" t="s">
        <v>5715</v>
      </c>
      <c r="C1217" s="2982" t="s">
        <v>5727</v>
      </c>
      <c r="D1217" s="2982">
        <v>1424683</v>
      </c>
      <c r="E1217" s="2982" t="s">
        <v>6735</v>
      </c>
      <c r="F1217" s="2993">
        <v>0</v>
      </c>
      <c r="J1217"/>
    </row>
    <row r="1218" spans="1:10" ht="13" hidden="1">
      <c r="A1218" s="2983">
        <v>12</v>
      </c>
      <c r="B1218" s="2982" t="s">
        <v>5715</v>
      </c>
      <c r="C1218" s="2982" t="s">
        <v>5727</v>
      </c>
      <c r="D1218" s="2982">
        <v>1424660</v>
      </c>
      <c r="E1218" s="2982" t="s">
        <v>6736</v>
      </c>
      <c r="F1218" s="2993">
        <v>0</v>
      </c>
      <c r="J1218"/>
    </row>
    <row r="1219" spans="1:10" ht="13" hidden="1">
      <c r="A1219" s="2983">
        <v>12</v>
      </c>
      <c r="B1219" s="2982" t="s">
        <v>5715</v>
      </c>
      <c r="C1219" s="2982" t="s">
        <v>5727</v>
      </c>
      <c r="D1219" s="2982">
        <v>1424661</v>
      </c>
      <c r="E1219" s="2982" t="s">
        <v>6737</v>
      </c>
      <c r="F1219" s="2993">
        <v>-1.72035E-2</v>
      </c>
      <c r="J1219"/>
    </row>
    <row r="1220" spans="1:10" ht="13" hidden="1">
      <c r="A1220" s="2983">
        <v>53</v>
      </c>
      <c r="B1220" s="2982" t="s">
        <v>6515</v>
      </c>
      <c r="C1220" s="2982" t="s">
        <v>6516</v>
      </c>
      <c r="D1220" s="2982">
        <v>4078713</v>
      </c>
      <c r="E1220" s="2982" t="s">
        <v>6738</v>
      </c>
      <c r="F1220" s="2993">
        <v>0</v>
      </c>
      <c r="J1220"/>
    </row>
    <row r="1221" spans="1:10" ht="13" hidden="1">
      <c r="A1221" s="2983">
        <v>53</v>
      </c>
      <c r="B1221" s="2982" t="s">
        <v>6515</v>
      </c>
      <c r="C1221" s="2982" t="s">
        <v>6516</v>
      </c>
      <c r="D1221" s="2982">
        <v>4078712</v>
      </c>
      <c r="E1221" s="2982" t="s">
        <v>7853</v>
      </c>
      <c r="F1221" s="2993">
        <v>2.7990701929999999</v>
      </c>
      <c r="J1221"/>
    </row>
    <row r="1222" spans="1:10" ht="13" hidden="1">
      <c r="A1222" s="2983">
        <v>53</v>
      </c>
      <c r="B1222" s="2982" t="s">
        <v>6515</v>
      </c>
      <c r="C1222" s="2982" t="s">
        <v>6516</v>
      </c>
      <c r="D1222" s="2982">
        <v>4078714</v>
      </c>
      <c r="E1222" s="2982" t="s">
        <v>6739</v>
      </c>
      <c r="F1222" s="2993">
        <v>2.3288912859999997</v>
      </c>
      <c r="J1222"/>
    </row>
    <row r="1223" spans="1:10" ht="13">
      <c r="A1223" s="2983">
        <v>1</v>
      </c>
      <c r="B1223" s="2982" t="s">
        <v>5628</v>
      </c>
      <c r="C1223" s="2982" t="s">
        <v>5813</v>
      </c>
      <c r="D1223" s="2982">
        <v>1010202</v>
      </c>
      <c r="E1223" s="2982" t="s">
        <v>6740</v>
      </c>
      <c r="F1223" s="2993">
        <v>5.8902750000000004E-3</v>
      </c>
      <c r="J1223"/>
    </row>
    <row r="1224" spans="1:10" ht="13">
      <c r="A1224" s="2983">
        <v>1</v>
      </c>
      <c r="B1224" s="2982" t="s">
        <v>5628</v>
      </c>
      <c r="C1224" s="2982" t="s">
        <v>5813</v>
      </c>
      <c r="D1224" s="2982">
        <v>1010203</v>
      </c>
      <c r="E1224" s="2982" t="s">
        <v>6741</v>
      </c>
      <c r="F1224" s="2993">
        <v>2.5382600000000002E-4</v>
      </c>
      <c r="J1224"/>
    </row>
    <row r="1225" spans="1:10" ht="13">
      <c r="A1225" s="2983">
        <v>1</v>
      </c>
      <c r="B1225" s="2982" t="s">
        <v>5628</v>
      </c>
      <c r="C1225" s="2982" t="s">
        <v>5813</v>
      </c>
      <c r="D1225" s="2982">
        <v>1010208</v>
      </c>
      <c r="E1225" s="2982" t="s">
        <v>6742</v>
      </c>
      <c r="F1225" s="2993">
        <v>13.710971454999999</v>
      </c>
      <c r="J1225"/>
    </row>
    <row r="1226" spans="1:10" ht="13">
      <c r="A1226" s="2983">
        <v>1</v>
      </c>
      <c r="B1226" s="2982" t="s">
        <v>5628</v>
      </c>
      <c r="C1226" s="2982" t="s">
        <v>119</v>
      </c>
      <c r="D1226" s="2982">
        <v>1010222</v>
      </c>
      <c r="E1226" s="2982" t="s">
        <v>6743</v>
      </c>
      <c r="F1226" s="2993">
        <v>0.31438827200000002</v>
      </c>
      <c r="J1226"/>
    </row>
    <row r="1227" spans="1:10" ht="13">
      <c r="A1227" s="2983">
        <v>1</v>
      </c>
      <c r="B1227" s="2982" t="s">
        <v>5628</v>
      </c>
      <c r="C1227" s="2982" t="s">
        <v>119</v>
      </c>
      <c r="D1227" s="2982">
        <v>1010320</v>
      </c>
      <c r="E1227" s="2982" t="s">
        <v>8200</v>
      </c>
      <c r="F1227" s="2993">
        <v>1.4450000000000001E-3</v>
      </c>
      <c r="J1227"/>
    </row>
    <row r="1228" spans="1:10" ht="13">
      <c r="A1228" s="2983">
        <v>1</v>
      </c>
      <c r="B1228" s="2982" t="s">
        <v>5628</v>
      </c>
      <c r="C1228" s="2982" t="s">
        <v>119</v>
      </c>
      <c r="D1228" s="2982">
        <v>1010322</v>
      </c>
      <c r="E1228" s="2982" t="s">
        <v>6744</v>
      </c>
      <c r="F1228" s="2993">
        <v>9.668533E-3</v>
      </c>
      <c r="J1228"/>
    </row>
    <row r="1229" spans="1:10" ht="13">
      <c r="A1229" s="2983">
        <v>1</v>
      </c>
      <c r="B1229" s="2982" t="s">
        <v>5628</v>
      </c>
      <c r="C1229" s="2982" t="s">
        <v>119</v>
      </c>
      <c r="D1229" s="2982">
        <v>1010333</v>
      </c>
      <c r="E1229" s="2982" t="s">
        <v>6745</v>
      </c>
      <c r="F1229" s="2993">
        <v>1.4697270000000002E-2</v>
      </c>
      <c r="J1229"/>
    </row>
    <row r="1230" spans="1:10" ht="13">
      <c r="A1230" s="2983">
        <v>1</v>
      </c>
      <c r="B1230" s="2982" t="s">
        <v>5628</v>
      </c>
      <c r="C1230" s="2982" t="s">
        <v>119</v>
      </c>
      <c r="D1230" s="2982">
        <v>1010401</v>
      </c>
      <c r="E1230" s="2982" t="s">
        <v>6746</v>
      </c>
      <c r="F1230" s="2993">
        <v>14.324635653</v>
      </c>
      <c r="J1230"/>
    </row>
    <row r="1231" spans="1:10" ht="13">
      <c r="A1231" s="2983">
        <v>1</v>
      </c>
      <c r="B1231" s="2982" t="s">
        <v>5628</v>
      </c>
      <c r="C1231" s="2982" t="s">
        <v>119</v>
      </c>
      <c r="D1231" s="2982">
        <v>1010402</v>
      </c>
      <c r="E1231" s="2982" t="s">
        <v>6747</v>
      </c>
      <c r="F1231" s="2993">
        <v>3.0249964000000001E-2</v>
      </c>
      <c r="J1231"/>
    </row>
    <row r="1232" spans="1:10" ht="13">
      <c r="A1232" s="2983">
        <v>1</v>
      </c>
      <c r="B1232" s="2982" t="s">
        <v>5628</v>
      </c>
      <c r="C1232" s="2982" t="s">
        <v>119</v>
      </c>
      <c r="D1232" s="2982">
        <v>1010413</v>
      </c>
      <c r="E1232" s="2982" t="s">
        <v>6748</v>
      </c>
      <c r="F1232" s="2993">
        <v>0.75007190899999998</v>
      </c>
      <c r="J1232"/>
    </row>
    <row r="1233" spans="1:10" ht="13">
      <c r="A1233" s="2983">
        <v>1</v>
      </c>
      <c r="B1233" s="2982" t="s">
        <v>5628</v>
      </c>
      <c r="C1233" s="2982" t="s">
        <v>5813</v>
      </c>
      <c r="D1233" s="2982">
        <v>1010501</v>
      </c>
      <c r="E1233" s="2982" t="s">
        <v>6749</v>
      </c>
      <c r="F1233" s="2993">
        <v>9.1568450000000003E-3</v>
      </c>
      <c r="J1233"/>
    </row>
    <row r="1234" spans="1:10" ht="13">
      <c r="A1234" s="2983">
        <v>1</v>
      </c>
      <c r="B1234" s="2982" t="s">
        <v>5628</v>
      </c>
      <c r="C1234" s="2982" t="s">
        <v>5813</v>
      </c>
      <c r="D1234" s="2982">
        <v>1010503</v>
      </c>
      <c r="E1234" s="2982" t="s">
        <v>6750</v>
      </c>
      <c r="F1234" s="2993">
        <v>8.7403429999999994E-3</v>
      </c>
      <c r="J1234"/>
    </row>
    <row r="1235" spans="1:10" ht="13">
      <c r="A1235" s="2983">
        <v>1</v>
      </c>
      <c r="B1235" s="2982" t="s">
        <v>5628</v>
      </c>
      <c r="C1235" s="2982" t="s">
        <v>5813</v>
      </c>
      <c r="D1235" s="2982">
        <v>1010504</v>
      </c>
      <c r="E1235" s="2982" t="s">
        <v>6751</v>
      </c>
      <c r="F1235" s="2993">
        <v>4.1822359999999998E-3</v>
      </c>
      <c r="J1235"/>
    </row>
    <row r="1236" spans="1:10" ht="13">
      <c r="A1236" s="2983">
        <v>1</v>
      </c>
      <c r="B1236" s="2982" t="s">
        <v>5628</v>
      </c>
      <c r="C1236" s="2982" t="s">
        <v>5813</v>
      </c>
      <c r="D1236" s="2982">
        <v>1010514</v>
      </c>
      <c r="E1236" s="2982" t="s">
        <v>6752</v>
      </c>
      <c r="F1236" s="2993">
        <v>1.1943660000000001E-3</v>
      </c>
      <c r="J1236"/>
    </row>
    <row r="1237" spans="1:10" ht="13">
      <c r="A1237" s="2983">
        <v>1</v>
      </c>
      <c r="B1237" s="2982" t="s">
        <v>5628</v>
      </c>
      <c r="C1237" s="2982" t="s">
        <v>5813</v>
      </c>
      <c r="D1237" s="2982">
        <v>1010516</v>
      </c>
      <c r="E1237" s="2982" t="s">
        <v>6753</v>
      </c>
      <c r="F1237" s="2993">
        <v>0.181267183</v>
      </c>
      <c r="J1237"/>
    </row>
    <row r="1238" spans="1:10" ht="13">
      <c r="A1238" s="2983">
        <v>1</v>
      </c>
      <c r="B1238" s="2982" t="s">
        <v>5628</v>
      </c>
      <c r="C1238" s="2982" t="s">
        <v>5813</v>
      </c>
      <c r="D1238" s="2982">
        <v>1010541</v>
      </c>
      <c r="E1238" s="2982" t="s">
        <v>6754</v>
      </c>
      <c r="F1238" s="2993">
        <v>36.298185881999999</v>
      </c>
      <c r="J1238"/>
    </row>
    <row r="1239" spans="1:10" ht="13">
      <c r="A1239" s="2983">
        <v>1</v>
      </c>
      <c r="B1239" s="2982" t="s">
        <v>5628</v>
      </c>
      <c r="C1239" s="2982" t="s">
        <v>5813</v>
      </c>
      <c r="D1239" s="2982">
        <v>1010542</v>
      </c>
      <c r="E1239" s="2982" t="s">
        <v>2045</v>
      </c>
      <c r="F1239" s="2993">
        <v>86.488306233000003</v>
      </c>
      <c r="J1239"/>
    </row>
    <row r="1240" spans="1:10" ht="13">
      <c r="A1240" s="2983">
        <v>1</v>
      </c>
      <c r="B1240" s="2982" t="s">
        <v>5628</v>
      </c>
      <c r="C1240" s="2982" t="s">
        <v>5813</v>
      </c>
      <c r="D1240" s="2982">
        <v>1010543</v>
      </c>
      <c r="E1240" s="2982" t="s">
        <v>6755</v>
      </c>
      <c r="F1240" s="2993">
        <v>1.8011247719999999</v>
      </c>
      <c r="J1240"/>
    </row>
    <row r="1241" spans="1:10" ht="13">
      <c r="A1241" s="2983">
        <v>1</v>
      </c>
      <c r="B1241" s="2982" t="s">
        <v>5628</v>
      </c>
      <c r="C1241" s="2982" t="s">
        <v>5813</v>
      </c>
      <c r="D1241" s="2982">
        <v>1010551</v>
      </c>
      <c r="E1241" s="2982" t="s">
        <v>6756</v>
      </c>
      <c r="F1241" s="2993">
        <v>0.11523563899999999</v>
      </c>
      <c r="J1241"/>
    </row>
    <row r="1242" spans="1:10" ht="13">
      <c r="A1242" s="2983">
        <v>1</v>
      </c>
      <c r="B1242" s="2982" t="s">
        <v>5628</v>
      </c>
      <c r="C1242" s="2982" t="s">
        <v>5813</v>
      </c>
      <c r="D1242" s="2982">
        <v>1010553</v>
      </c>
      <c r="E1242" s="2982" t="s">
        <v>6757</v>
      </c>
      <c r="F1242" s="2993">
        <v>6.3101409999999997E-2</v>
      </c>
      <c r="J1242"/>
    </row>
    <row r="1243" spans="1:10" ht="13">
      <c r="A1243" s="2983">
        <v>1</v>
      </c>
      <c r="B1243" s="2982" t="s">
        <v>5628</v>
      </c>
      <c r="C1243" s="2982" t="s">
        <v>5813</v>
      </c>
      <c r="D1243" s="2982">
        <v>1010555</v>
      </c>
      <c r="E1243" s="2982" t="s">
        <v>6758</v>
      </c>
      <c r="F1243" s="2993">
        <v>2.2466163000000001E-2</v>
      </c>
      <c r="J1243"/>
    </row>
    <row r="1244" spans="1:10" ht="13">
      <c r="A1244" s="2983">
        <v>1</v>
      </c>
      <c r="B1244" s="2982" t="s">
        <v>5628</v>
      </c>
      <c r="C1244" s="2982" t="s">
        <v>5813</v>
      </c>
      <c r="D1244" s="2982">
        <v>1010561</v>
      </c>
      <c r="E1244" s="2982" t="s">
        <v>6759</v>
      </c>
      <c r="F1244" s="2993">
        <v>0.10957841100000001</v>
      </c>
      <c r="J1244"/>
    </row>
    <row r="1245" spans="1:10" ht="13">
      <c r="A1245" s="2983">
        <v>1</v>
      </c>
      <c r="B1245" s="2982" t="s">
        <v>5628</v>
      </c>
      <c r="C1245" s="2982" t="s">
        <v>5813</v>
      </c>
      <c r="D1245" s="2982">
        <v>1010563</v>
      </c>
      <c r="E1245" s="2982" t="s">
        <v>6760</v>
      </c>
      <c r="F1245" s="2993">
        <v>0.126959497</v>
      </c>
      <c r="J1245"/>
    </row>
    <row r="1246" spans="1:10" ht="13">
      <c r="A1246" s="2983">
        <v>1</v>
      </c>
      <c r="B1246" s="2982" t="s">
        <v>5628</v>
      </c>
      <c r="C1246" s="2982" t="s">
        <v>5813</v>
      </c>
      <c r="D1246" s="2982">
        <v>1010565</v>
      </c>
      <c r="E1246" s="2982" t="s">
        <v>6761</v>
      </c>
      <c r="F1246" s="2993">
        <v>8.8530999999999992E-3</v>
      </c>
      <c r="J1246"/>
    </row>
    <row r="1247" spans="1:10" ht="13">
      <c r="A1247" s="2983">
        <v>1</v>
      </c>
      <c r="B1247" s="2982" t="s">
        <v>5628</v>
      </c>
      <c r="C1247" s="2982" t="s">
        <v>5813</v>
      </c>
      <c r="D1247" s="2982">
        <v>1010566</v>
      </c>
      <c r="E1247" s="2982" t="s">
        <v>6762</v>
      </c>
      <c r="F1247" s="2993">
        <v>7.2212399999999999E-4</v>
      </c>
      <c r="J1247"/>
    </row>
    <row r="1248" spans="1:10" ht="13">
      <c r="A1248" s="2983">
        <v>1</v>
      </c>
      <c r="B1248" s="2982" t="s">
        <v>5628</v>
      </c>
      <c r="C1248" s="2982" t="s">
        <v>5813</v>
      </c>
      <c r="D1248" s="2982">
        <v>1010567</v>
      </c>
      <c r="E1248" s="2982" t="s">
        <v>6763</v>
      </c>
      <c r="F1248" s="2993">
        <v>0.21342658199999998</v>
      </c>
      <c r="J1248"/>
    </row>
    <row r="1249" spans="1:10" ht="13">
      <c r="A1249" s="2983">
        <v>1</v>
      </c>
      <c r="B1249" s="2982" t="s">
        <v>5628</v>
      </c>
      <c r="C1249" s="2982" t="s">
        <v>5813</v>
      </c>
      <c r="D1249" s="2982">
        <v>1010571</v>
      </c>
      <c r="E1249" s="2982" t="s">
        <v>6764</v>
      </c>
      <c r="F1249" s="2993">
        <v>0.34103317700000002</v>
      </c>
      <c r="J1249"/>
    </row>
    <row r="1250" spans="1:10" ht="13">
      <c r="A1250" s="2983">
        <v>1</v>
      </c>
      <c r="B1250" s="2982" t="s">
        <v>5628</v>
      </c>
      <c r="C1250" s="2982" t="s">
        <v>5813</v>
      </c>
      <c r="D1250" s="2982">
        <v>1010574</v>
      </c>
      <c r="E1250" s="2982" t="s">
        <v>6765</v>
      </c>
      <c r="F1250" s="2993">
        <v>3.2906792999999997E-2</v>
      </c>
      <c r="J1250"/>
    </row>
    <row r="1251" spans="1:10" ht="13">
      <c r="A1251" s="2983">
        <v>1</v>
      </c>
      <c r="B1251" s="2982" t="s">
        <v>5628</v>
      </c>
      <c r="C1251" s="2982" t="s">
        <v>5813</v>
      </c>
      <c r="D1251" s="2982">
        <v>1010581</v>
      </c>
      <c r="E1251" s="2982" t="s">
        <v>6766</v>
      </c>
      <c r="F1251" s="2993">
        <v>1.300695656</v>
      </c>
      <c r="J1251"/>
    </row>
    <row r="1252" spans="1:10" ht="13">
      <c r="A1252" s="2983">
        <v>1</v>
      </c>
      <c r="B1252" s="2982" t="s">
        <v>5628</v>
      </c>
      <c r="C1252" s="2982" t="s">
        <v>922</v>
      </c>
      <c r="D1252" s="2982">
        <v>1010582</v>
      </c>
      <c r="E1252" s="2982" t="s">
        <v>6767</v>
      </c>
      <c r="F1252" s="2993">
        <v>5.6506099999999995E-4</v>
      </c>
      <c r="J1252"/>
    </row>
    <row r="1253" spans="1:10" ht="13">
      <c r="A1253" s="2983">
        <v>1</v>
      </c>
      <c r="B1253" s="2982" t="s">
        <v>5628</v>
      </c>
      <c r="C1253" s="2982" t="s">
        <v>5813</v>
      </c>
      <c r="D1253" s="2982">
        <v>1010583</v>
      </c>
      <c r="E1253" s="2982" t="s">
        <v>6768</v>
      </c>
      <c r="F1253" s="2993">
        <v>4.392699779</v>
      </c>
      <c r="J1253"/>
    </row>
    <row r="1254" spans="1:10" ht="13">
      <c r="A1254" s="2983">
        <v>1</v>
      </c>
      <c r="B1254" s="2982" t="s">
        <v>5628</v>
      </c>
      <c r="C1254" s="2982" t="s">
        <v>5813</v>
      </c>
      <c r="D1254" s="2982">
        <v>1010585</v>
      </c>
      <c r="E1254" s="2982" t="s">
        <v>6769</v>
      </c>
      <c r="F1254" s="2993">
        <v>2.7871095000000002E-2</v>
      </c>
      <c r="J1254"/>
    </row>
    <row r="1255" spans="1:10" ht="13">
      <c r="A1255" s="2983">
        <v>1</v>
      </c>
      <c r="B1255" s="2982" t="s">
        <v>5628</v>
      </c>
      <c r="C1255" s="2982" t="s">
        <v>5813</v>
      </c>
      <c r="D1255" s="2982">
        <v>1010586</v>
      </c>
      <c r="E1255" s="2982" t="s">
        <v>6770</v>
      </c>
      <c r="F1255" s="2993">
        <v>8.8226109999999993E-3</v>
      </c>
      <c r="J1255"/>
    </row>
    <row r="1256" spans="1:10" ht="13">
      <c r="A1256" s="2983">
        <v>1</v>
      </c>
      <c r="B1256" s="2982" t="s">
        <v>5628</v>
      </c>
      <c r="C1256" s="2982" t="s">
        <v>5813</v>
      </c>
      <c r="D1256" s="2982">
        <v>1010587</v>
      </c>
      <c r="E1256" s="2982" t="s">
        <v>6771</v>
      </c>
      <c r="F1256" s="2993">
        <v>6.854357000000001E-3</v>
      </c>
      <c r="J1256"/>
    </row>
    <row r="1257" spans="1:10" ht="13">
      <c r="A1257" s="2983">
        <v>1</v>
      </c>
      <c r="B1257" s="2982" t="s">
        <v>5628</v>
      </c>
      <c r="C1257" s="2982" t="s">
        <v>5813</v>
      </c>
      <c r="D1257" s="2982">
        <v>1010599</v>
      </c>
      <c r="E1257" s="2982" t="s">
        <v>6772</v>
      </c>
      <c r="F1257" s="2993">
        <v>0.33582700199999999</v>
      </c>
      <c r="J1257"/>
    </row>
    <row r="1258" spans="1:10" ht="13">
      <c r="A1258" s="2983">
        <v>1</v>
      </c>
      <c r="B1258" s="2982" t="s">
        <v>5628</v>
      </c>
      <c r="C1258" s="2982" t="s">
        <v>5813</v>
      </c>
      <c r="D1258" s="2982">
        <v>1010601</v>
      </c>
      <c r="E1258" s="2982" t="s">
        <v>6773</v>
      </c>
      <c r="F1258" s="2993">
        <v>70.743464482000007</v>
      </c>
      <c r="J1258"/>
    </row>
    <row r="1259" spans="1:10" ht="13">
      <c r="A1259" s="2983">
        <v>1</v>
      </c>
      <c r="B1259" s="2982" t="s">
        <v>5628</v>
      </c>
      <c r="C1259" s="2982" t="s">
        <v>5813</v>
      </c>
      <c r="D1259" s="2982">
        <v>1010602</v>
      </c>
      <c r="E1259" s="2982" t="s">
        <v>6774</v>
      </c>
      <c r="F1259" s="2993">
        <v>92.781945747999998</v>
      </c>
      <c r="J1259"/>
    </row>
    <row r="1260" spans="1:10" ht="13">
      <c r="A1260" s="2983">
        <v>1</v>
      </c>
      <c r="B1260" s="2982" t="s">
        <v>5628</v>
      </c>
      <c r="C1260" s="2982" t="s">
        <v>5813</v>
      </c>
      <c r="D1260" s="2982">
        <v>1010603</v>
      </c>
      <c r="E1260" s="2982" t="s">
        <v>6775</v>
      </c>
      <c r="F1260" s="2993">
        <v>318.31647986799999</v>
      </c>
      <c r="J1260"/>
    </row>
    <row r="1261" spans="1:10" ht="13">
      <c r="A1261" s="2983">
        <v>1</v>
      </c>
      <c r="B1261" s="2982" t="s">
        <v>5628</v>
      </c>
      <c r="C1261" s="2982" t="s">
        <v>5813</v>
      </c>
      <c r="D1261" s="2982">
        <v>1010604</v>
      </c>
      <c r="E1261" s="2982" t="s">
        <v>6776</v>
      </c>
      <c r="F1261" s="2993">
        <v>134.09110558900002</v>
      </c>
      <c r="J1261"/>
    </row>
    <row r="1262" spans="1:10" ht="13">
      <c r="A1262" s="2983">
        <v>1</v>
      </c>
      <c r="B1262" s="2982" t="s">
        <v>5628</v>
      </c>
      <c r="C1262" s="2982" t="s">
        <v>5813</v>
      </c>
      <c r="D1262" s="2982">
        <v>1010605</v>
      </c>
      <c r="E1262" s="2982" t="s">
        <v>6777</v>
      </c>
      <c r="F1262" s="2993">
        <v>1.7941099999999998E-4</v>
      </c>
      <c r="J1262"/>
    </row>
    <row r="1263" spans="1:10" ht="13">
      <c r="A1263" s="2983">
        <v>1</v>
      </c>
      <c r="B1263" s="2982" t="s">
        <v>5628</v>
      </c>
      <c r="C1263" s="2982" t="s">
        <v>5813</v>
      </c>
      <c r="D1263" s="2982">
        <v>1010611</v>
      </c>
      <c r="E1263" s="2982" t="s">
        <v>6778</v>
      </c>
      <c r="F1263" s="2993">
        <v>0.31931478800000002</v>
      </c>
      <c r="J1263"/>
    </row>
    <row r="1264" spans="1:10" ht="13">
      <c r="A1264" s="2983">
        <v>1</v>
      </c>
      <c r="B1264" s="2982" t="s">
        <v>5628</v>
      </c>
      <c r="C1264" s="2982" t="s">
        <v>5813</v>
      </c>
      <c r="D1264" s="2982">
        <v>1010612</v>
      </c>
      <c r="E1264" s="2982" t="s">
        <v>6779</v>
      </c>
      <c r="F1264" s="2993">
        <v>4.9400065450000001</v>
      </c>
      <c r="J1264"/>
    </row>
    <row r="1265" spans="1:10" ht="13">
      <c r="A1265" s="2983">
        <v>1</v>
      </c>
      <c r="B1265" s="2982" t="s">
        <v>5628</v>
      </c>
      <c r="C1265" s="2982" t="s">
        <v>5813</v>
      </c>
      <c r="D1265" s="2982">
        <v>1010613</v>
      </c>
      <c r="E1265" s="2982" t="s">
        <v>6780</v>
      </c>
      <c r="F1265" s="2993">
        <v>6.6407999999999997E-3</v>
      </c>
      <c r="J1265"/>
    </row>
    <row r="1266" spans="1:10" ht="13">
      <c r="A1266" s="2983">
        <v>1</v>
      </c>
      <c r="B1266" s="2982" t="s">
        <v>5628</v>
      </c>
      <c r="C1266" s="2982" t="s">
        <v>5813</v>
      </c>
      <c r="D1266" s="2982">
        <v>1010621</v>
      </c>
      <c r="E1266" s="2982" t="s">
        <v>6781</v>
      </c>
      <c r="F1266" s="2993">
        <v>5.0164670999999998</v>
      </c>
      <c r="J1266"/>
    </row>
    <row r="1267" spans="1:10" ht="13">
      <c r="A1267" s="2983">
        <v>1</v>
      </c>
      <c r="B1267" s="2982" t="s">
        <v>5628</v>
      </c>
      <c r="C1267" s="2982" t="s">
        <v>5813</v>
      </c>
      <c r="D1267" s="2982">
        <v>1010622</v>
      </c>
      <c r="E1267" s="2982" t="s">
        <v>6782</v>
      </c>
      <c r="F1267" s="2993">
        <v>162.71716524300001</v>
      </c>
      <c r="J1267"/>
    </row>
    <row r="1268" spans="1:10" ht="13">
      <c r="A1268" s="2983">
        <v>1</v>
      </c>
      <c r="B1268" s="2982" t="s">
        <v>5628</v>
      </c>
      <c r="C1268" s="2982" t="s">
        <v>5813</v>
      </c>
      <c r="D1268" s="2982">
        <v>1010631</v>
      </c>
      <c r="E1268" s="2982" t="s">
        <v>6783</v>
      </c>
      <c r="F1268" s="2993">
        <v>93.397507267999998</v>
      </c>
      <c r="J1268"/>
    </row>
    <row r="1269" spans="1:10" ht="13">
      <c r="A1269" s="2983">
        <v>1</v>
      </c>
      <c r="B1269" s="2982" t="s">
        <v>5628</v>
      </c>
      <c r="C1269" s="2982" t="s">
        <v>5813</v>
      </c>
      <c r="D1269" s="2982">
        <v>1010641</v>
      </c>
      <c r="E1269" s="2982" t="s">
        <v>6784</v>
      </c>
      <c r="F1269" s="2993">
        <v>0.58731624299999996</v>
      </c>
      <c r="J1269"/>
    </row>
    <row r="1270" spans="1:10" ht="13">
      <c r="A1270" s="2983">
        <v>1</v>
      </c>
      <c r="B1270" s="2982" t="s">
        <v>5628</v>
      </c>
      <c r="C1270" s="2982" t="s">
        <v>922</v>
      </c>
      <c r="D1270" s="2982">
        <v>1010685</v>
      </c>
      <c r="E1270" s="2982" t="s">
        <v>6785</v>
      </c>
      <c r="F1270" s="2993">
        <v>2.402377628</v>
      </c>
      <c r="J1270"/>
    </row>
    <row r="1271" spans="1:10" ht="13">
      <c r="A1271" s="2983">
        <v>1</v>
      </c>
      <c r="B1271" s="2982" t="s">
        <v>5628</v>
      </c>
      <c r="C1271" s="2982" t="s">
        <v>121</v>
      </c>
      <c r="D1271" s="2982">
        <v>1010715</v>
      </c>
      <c r="E1271" s="2982" t="s">
        <v>6786</v>
      </c>
      <c r="F1271" s="2993">
        <v>2.7962225480000003</v>
      </c>
      <c r="J1271"/>
    </row>
    <row r="1272" spans="1:10" ht="13">
      <c r="A1272" s="2983">
        <v>1</v>
      </c>
      <c r="B1272" s="2982" t="s">
        <v>5628</v>
      </c>
      <c r="C1272" s="2982" t="s">
        <v>121</v>
      </c>
      <c r="D1272" s="2982">
        <v>1010730</v>
      </c>
      <c r="E1272" s="2982" t="s">
        <v>6787</v>
      </c>
      <c r="F1272" s="2993">
        <v>1.5955419999999999E-3</v>
      </c>
      <c r="J1272"/>
    </row>
    <row r="1273" spans="1:10" ht="13">
      <c r="A1273" s="2983">
        <v>1</v>
      </c>
      <c r="B1273" s="2982" t="s">
        <v>5628</v>
      </c>
      <c r="C1273" s="2982" t="s">
        <v>121</v>
      </c>
      <c r="D1273" s="2982">
        <v>1010745</v>
      </c>
      <c r="E1273" s="2982" t="s">
        <v>2091</v>
      </c>
      <c r="F1273" s="2993">
        <v>1.942E-4</v>
      </c>
      <c r="J1273"/>
    </row>
    <row r="1274" spans="1:10" ht="13">
      <c r="A1274" s="2983">
        <v>1</v>
      </c>
      <c r="B1274" s="2982" t="s">
        <v>5628</v>
      </c>
      <c r="C1274" s="2982" t="s">
        <v>5631</v>
      </c>
      <c r="D1274" s="2982">
        <v>1010810</v>
      </c>
      <c r="E1274" s="2982" t="s">
        <v>6788</v>
      </c>
      <c r="F1274" s="2993">
        <v>7.265905976</v>
      </c>
      <c r="J1274"/>
    </row>
    <row r="1275" spans="1:10" ht="13">
      <c r="A1275" s="2983">
        <v>1</v>
      </c>
      <c r="B1275" s="2982" t="s">
        <v>5628</v>
      </c>
      <c r="C1275" s="2982" t="s">
        <v>922</v>
      </c>
      <c r="D1275" s="2982">
        <v>1010901</v>
      </c>
      <c r="E1275" s="2982" t="s">
        <v>6789</v>
      </c>
      <c r="F1275" s="2993">
        <v>1.1777533199999999</v>
      </c>
      <c r="J1275"/>
    </row>
    <row r="1276" spans="1:10" ht="13">
      <c r="A1276" s="2983">
        <v>1</v>
      </c>
      <c r="B1276" s="2982" t="s">
        <v>5628</v>
      </c>
      <c r="C1276" s="2982" t="s">
        <v>922</v>
      </c>
      <c r="D1276" s="2982">
        <v>1010902</v>
      </c>
      <c r="E1276" s="2982" t="s">
        <v>6790</v>
      </c>
      <c r="F1276" s="2993">
        <v>6.675027E-3</v>
      </c>
      <c r="J1276"/>
    </row>
    <row r="1277" spans="1:10" ht="13">
      <c r="A1277" s="2983">
        <v>1</v>
      </c>
      <c r="B1277" s="2982" t="s">
        <v>5628</v>
      </c>
      <c r="C1277" s="2982" t="s">
        <v>922</v>
      </c>
      <c r="D1277" s="2982">
        <v>1010903</v>
      </c>
      <c r="E1277" s="2982" t="s">
        <v>6791</v>
      </c>
      <c r="F1277" s="2993">
        <v>2.4174568E-2</v>
      </c>
      <c r="J1277"/>
    </row>
    <row r="1278" spans="1:10" ht="13">
      <c r="A1278" s="2983">
        <v>1</v>
      </c>
      <c r="B1278" s="2982" t="s">
        <v>5628</v>
      </c>
      <c r="C1278" s="2982" t="s">
        <v>922</v>
      </c>
      <c r="D1278" s="2982">
        <v>1010904</v>
      </c>
      <c r="E1278" s="2982" t="s">
        <v>6792</v>
      </c>
      <c r="F1278" s="2993">
        <v>39.539170458999997</v>
      </c>
      <c r="J1278"/>
    </row>
    <row r="1279" spans="1:10" ht="13">
      <c r="A1279" s="2983">
        <v>1</v>
      </c>
      <c r="B1279" s="2982" t="s">
        <v>5628</v>
      </c>
      <c r="C1279" s="2982" t="s">
        <v>922</v>
      </c>
      <c r="D1279" s="2982">
        <v>1010905</v>
      </c>
      <c r="E1279" s="2982" t="s">
        <v>6793</v>
      </c>
      <c r="F1279" s="2993">
        <v>3.1459665999999997E-2</v>
      </c>
      <c r="J1279"/>
    </row>
    <row r="1280" spans="1:10" ht="13">
      <c r="A1280" s="2983">
        <v>1</v>
      </c>
      <c r="B1280" s="2982" t="s">
        <v>5628</v>
      </c>
      <c r="C1280" s="2982" t="s">
        <v>922</v>
      </c>
      <c r="D1280" s="2982">
        <v>1010906</v>
      </c>
      <c r="E1280" s="2982" t="s">
        <v>2112</v>
      </c>
      <c r="F1280" s="2993">
        <v>1.22153E-2</v>
      </c>
      <c r="J1280"/>
    </row>
    <row r="1281" spans="1:10" ht="13">
      <c r="A1281" s="2983">
        <v>1</v>
      </c>
      <c r="B1281" s="2982" t="s">
        <v>5628</v>
      </c>
      <c r="C1281" s="2982" t="s">
        <v>922</v>
      </c>
      <c r="D1281" s="2982">
        <v>1010907</v>
      </c>
      <c r="E1281" s="2982" t="s">
        <v>6794</v>
      </c>
      <c r="F1281" s="2993">
        <v>2.9400521000000002E-2</v>
      </c>
      <c r="J1281"/>
    </row>
    <row r="1282" spans="1:10" ht="13">
      <c r="A1282" s="2983">
        <v>1</v>
      </c>
      <c r="B1282" s="2982" t="s">
        <v>5628</v>
      </c>
      <c r="C1282" s="2982" t="s">
        <v>922</v>
      </c>
      <c r="D1282" s="2982">
        <v>1010908</v>
      </c>
      <c r="E1282" s="2982" t="s">
        <v>6795</v>
      </c>
      <c r="F1282" s="2993">
        <v>0.12710661299999998</v>
      </c>
      <c r="J1282"/>
    </row>
    <row r="1283" spans="1:10" ht="13">
      <c r="A1283" s="2983">
        <v>1</v>
      </c>
      <c r="B1283" s="2982" t="s">
        <v>5628</v>
      </c>
      <c r="C1283" s="2982" t="s">
        <v>922</v>
      </c>
      <c r="D1283" s="2982">
        <v>1010909</v>
      </c>
      <c r="E1283" s="2982" t="s">
        <v>2115</v>
      </c>
      <c r="F1283" s="2993">
        <v>2.3369911E-2</v>
      </c>
      <c r="J1283"/>
    </row>
    <row r="1284" spans="1:10" ht="13">
      <c r="A1284" s="2983">
        <v>1</v>
      </c>
      <c r="B1284" s="2982" t="s">
        <v>5628</v>
      </c>
      <c r="C1284" s="2982" t="s">
        <v>922</v>
      </c>
      <c r="D1284" s="2982">
        <v>1010910</v>
      </c>
      <c r="E1284" s="2982" t="s">
        <v>7249</v>
      </c>
      <c r="F1284" s="2993">
        <v>38.415087363000005</v>
      </c>
      <c r="J1284"/>
    </row>
    <row r="1285" spans="1:10" ht="13">
      <c r="A1285" s="2983">
        <v>1</v>
      </c>
      <c r="B1285" s="2982" t="s">
        <v>5628</v>
      </c>
      <c r="C1285" s="2982" t="s">
        <v>922</v>
      </c>
      <c r="D1285" s="2982">
        <v>1014231</v>
      </c>
      <c r="E1285" s="2982" t="s">
        <v>6796</v>
      </c>
      <c r="F1285" s="2993">
        <v>0</v>
      </c>
      <c r="J1285"/>
    </row>
    <row r="1286" spans="1:10" ht="13" hidden="1">
      <c r="A1286" s="2983">
        <v>2</v>
      </c>
      <c r="B1286" s="2982" t="s">
        <v>1020</v>
      </c>
      <c r="C1286" s="2982" t="s">
        <v>1020</v>
      </c>
      <c r="D1286" s="2982">
        <v>1022601</v>
      </c>
      <c r="E1286" s="2982" t="s">
        <v>6797</v>
      </c>
      <c r="F1286" s="2993">
        <v>0</v>
      </c>
      <c r="J1286"/>
    </row>
    <row r="1287" spans="1:10" ht="13" hidden="1">
      <c r="A1287" s="2983">
        <v>2</v>
      </c>
      <c r="B1287" s="2982" t="s">
        <v>1020</v>
      </c>
      <c r="C1287" s="2982" t="s">
        <v>1020</v>
      </c>
      <c r="D1287" s="2982">
        <v>1022606</v>
      </c>
      <c r="E1287" s="2982" t="s">
        <v>6798</v>
      </c>
      <c r="F1287" s="2993">
        <v>8.5865686599999975</v>
      </c>
      <c r="J1287"/>
    </row>
    <row r="1288" spans="1:10" ht="13" hidden="1">
      <c r="A1288" s="2983">
        <v>9</v>
      </c>
      <c r="B1288" s="2982" t="s">
        <v>1000</v>
      </c>
      <c r="C1288" s="2982" t="s">
        <v>5644</v>
      </c>
      <c r="D1288" s="2982">
        <v>1022621</v>
      </c>
      <c r="E1288" s="2982" t="s">
        <v>6799</v>
      </c>
      <c r="F1288" s="2993">
        <v>0</v>
      </c>
      <c r="J1288"/>
    </row>
    <row r="1289" spans="1:10" ht="13" hidden="1">
      <c r="A1289" s="2983">
        <v>9</v>
      </c>
      <c r="B1289" s="2982" t="s">
        <v>1000</v>
      </c>
      <c r="C1289" s="2982" t="s">
        <v>5644</v>
      </c>
      <c r="D1289" s="2982">
        <v>1022626</v>
      </c>
      <c r="E1289" s="2982" t="s">
        <v>6800</v>
      </c>
      <c r="F1289" s="2993">
        <v>2.9707969969999994</v>
      </c>
      <c r="J1289"/>
    </row>
    <row r="1290" spans="1:10" ht="13" hidden="1">
      <c r="A1290" s="2983">
        <v>9</v>
      </c>
      <c r="B1290" s="2982" t="s">
        <v>1000</v>
      </c>
      <c r="C1290" s="2982" t="s">
        <v>5644</v>
      </c>
      <c r="D1290" s="2982">
        <v>1022633</v>
      </c>
      <c r="E1290" s="2982" t="s">
        <v>6801</v>
      </c>
      <c r="F1290" s="2993">
        <v>3.7543070619999996</v>
      </c>
      <c r="J1290"/>
    </row>
    <row r="1291" spans="1:10" ht="13" hidden="1">
      <c r="A1291" s="2983">
        <v>9</v>
      </c>
      <c r="B1291" s="2982" t="s">
        <v>1000</v>
      </c>
      <c r="C1291" s="2982" t="s">
        <v>5644</v>
      </c>
      <c r="D1291" s="2982">
        <v>1022640</v>
      </c>
      <c r="E1291" s="2982" t="s">
        <v>6802</v>
      </c>
      <c r="F1291" s="2993">
        <v>0</v>
      </c>
      <c r="J1291"/>
    </row>
    <row r="1292" spans="1:10" ht="13" hidden="1">
      <c r="A1292" s="2983">
        <v>9</v>
      </c>
      <c r="B1292" s="2982" t="s">
        <v>1000</v>
      </c>
      <c r="C1292" s="2982" t="s">
        <v>5644</v>
      </c>
      <c r="D1292" s="2982">
        <v>1022650</v>
      </c>
      <c r="E1292" s="2982" t="s">
        <v>6803</v>
      </c>
      <c r="F1292" s="2993">
        <v>0</v>
      </c>
      <c r="J1292"/>
    </row>
    <row r="1293" spans="1:10" ht="13" hidden="1">
      <c r="A1293" s="2983">
        <v>2</v>
      </c>
      <c r="B1293" s="2982" t="s">
        <v>1020</v>
      </c>
      <c r="C1293" s="2982" t="s">
        <v>1020</v>
      </c>
      <c r="D1293" s="2982">
        <v>1022680</v>
      </c>
      <c r="E1293" s="2982" t="s">
        <v>6804</v>
      </c>
      <c r="F1293" s="2993">
        <v>0</v>
      </c>
      <c r="J1293"/>
    </row>
    <row r="1294" spans="1:10" ht="13" hidden="1">
      <c r="A1294" s="2983">
        <v>9</v>
      </c>
      <c r="B1294" s="2982" t="s">
        <v>1000</v>
      </c>
      <c r="C1294" s="2982" t="s">
        <v>5644</v>
      </c>
      <c r="D1294" s="2982">
        <v>1022780</v>
      </c>
      <c r="E1294" s="2982" t="s">
        <v>6805</v>
      </c>
      <c r="F1294" s="2993">
        <v>0</v>
      </c>
      <c r="J1294"/>
    </row>
    <row r="1295" spans="1:10" ht="13" hidden="1">
      <c r="A1295" s="2983">
        <v>2</v>
      </c>
      <c r="B1295" s="2982" t="s">
        <v>1020</v>
      </c>
      <c r="C1295" s="2982" t="s">
        <v>1020</v>
      </c>
      <c r="D1295" s="2982">
        <v>1022810</v>
      </c>
      <c r="E1295" s="2982" t="s">
        <v>6806</v>
      </c>
      <c r="F1295" s="2993">
        <v>0</v>
      </c>
      <c r="J1295"/>
    </row>
    <row r="1296" spans="1:10" ht="13" hidden="1">
      <c r="A1296" s="2983">
        <v>2</v>
      </c>
      <c r="B1296" s="2982" t="s">
        <v>1020</v>
      </c>
      <c r="C1296" s="2982" t="s">
        <v>1020</v>
      </c>
      <c r="D1296" s="2986">
        <v>1022830</v>
      </c>
      <c r="E1296" s="2982" t="s">
        <v>2728</v>
      </c>
      <c r="F1296" s="2993">
        <v>0</v>
      </c>
      <c r="J1296"/>
    </row>
    <row r="1297" spans="1:10" ht="13" hidden="1">
      <c r="A1297" s="2983">
        <v>2</v>
      </c>
      <c r="B1297" s="2982" t="s">
        <v>1020</v>
      </c>
      <c r="C1297" s="2982" t="s">
        <v>1020</v>
      </c>
      <c r="D1297" s="2986">
        <v>1022850</v>
      </c>
      <c r="E1297" s="2982" t="s">
        <v>6807</v>
      </c>
      <c r="F1297" s="2993">
        <v>0</v>
      </c>
      <c r="J1297"/>
    </row>
    <row r="1298" spans="1:10" ht="13" hidden="1">
      <c r="A1298" s="2983">
        <v>2</v>
      </c>
      <c r="B1298" s="2982" t="s">
        <v>1020</v>
      </c>
      <c r="C1298" s="2982" t="s">
        <v>1020</v>
      </c>
      <c r="D1298" s="2986">
        <v>1022860</v>
      </c>
      <c r="E1298" s="2982" t="s">
        <v>6808</v>
      </c>
      <c r="F1298" s="2993">
        <v>0</v>
      </c>
      <c r="J1298"/>
    </row>
    <row r="1299" spans="1:10" ht="13" hidden="1">
      <c r="A1299" s="2983">
        <v>2</v>
      </c>
      <c r="B1299" s="2982" t="s">
        <v>1020</v>
      </c>
      <c r="C1299" s="2982" t="s">
        <v>1020</v>
      </c>
      <c r="D1299" s="2986">
        <v>1022890</v>
      </c>
      <c r="E1299" s="2982" t="s">
        <v>6809</v>
      </c>
      <c r="F1299" s="2993">
        <v>0</v>
      </c>
      <c r="J1299"/>
    </row>
    <row r="1300" spans="1:10" ht="13" hidden="1">
      <c r="A1300" s="2983">
        <v>2</v>
      </c>
      <c r="B1300" s="2982" t="s">
        <v>1020</v>
      </c>
      <c r="C1300" s="2982" t="s">
        <v>1020</v>
      </c>
      <c r="D1300" s="2986">
        <v>1022891</v>
      </c>
      <c r="E1300" s="2982" t="s">
        <v>6810</v>
      </c>
      <c r="F1300" s="2993">
        <v>0</v>
      </c>
      <c r="J1300"/>
    </row>
    <row r="1301" spans="1:10" ht="13" hidden="1">
      <c r="A1301" s="2983">
        <v>13</v>
      </c>
      <c r="B1301" s="2982" t="s">
        <v>5715</v>
      </c>
      <c r="C1301" s="2982" t="s">
        <v>5716</v>
      </c>
      <c r="D1301" s="2986">
        <v>1024121</v>
      </c>
      <c r="E1301" s="2982" t="s">
        <v>6811</v>
      </c>
      <c r="F1301" s="2993">
        <v>3.5080000000000002E-4</v>
      </c>
      <c r="J1301"/>
    </row>
    <row r="1302" spans="1:10" ht="13" hidden="1">
      <c r="A1302" s="2983">
        <v>17</v>
      </c>
      <c r="B1302" s="2982" t="s">
        <v>5738</v>
      </c>
      <c r="C1302" s="2982" t="s">
        <v>5739</v>
      </c>
      <c r="D1302" s="2986">
        <v>1025601</v>
      </c>
      <c r="E1302" s="2982" t="s">
        <v>6812</v>
      </c>
      <c r="F1302" s="2993">
        <v>1.1163250999999999E-2</v>
      </c>
      <c r="J1302"/>
    </row>
    <row r="1303" spans="1:10" ht="13" hidden="1">
      <c r="A1303" s="2983">
        <v>15</v>
      </c>
      <c r="B1303" s="2982" t="s">
        <v>5730</v>
      </c>
      <c r="C1303" s="2982" t="s">
        <v>3394</v>
      </c>
      <c r="D1303" s="2986">
        <v>1028863</v>
      </c>
      <c r="E1303" s="2982" t="s">
        <v>6813</v>
      </c>
      <c r="F1303" s="2993">
        <v>0</v>
      </c>
      <c r="J1303"/>
    </row>
    <row r="1304" spans="1:10" ht="13" hidden="1">
      <c r="A1304" s="2983">
        <v>15</v>
      </c>
      <c r="B1304" s="2982" t="s">
        <v>5730</v>
      </c>
      <c r="C1304" s="2982" t="s">
        <v>3394</v>
      </c>
      <c r="D1304" s="2986">
        <v>1028865</v>
      </c>
      <c r="E1304" s="2982"/>
      <c r="F1304" s="2993">
        <v>0</v>
      </c>
      <c r="J1304"/>
    </row>
    <row r="1305" spans="1:10" ht="13">
      <c r="A1305" s="2983">
        <v>1</v>
      </c>
      <c r="B1305" s="2982" t="s">
        <v>5628</v>
      </c>
      <c r="C1305" s="2982" t="s">
        <v>119</v>
      </c>
      <c r="D1305" s="2986">
        <v>1039101</v>
      </c>
      <c r="E1305" s="2982" t="s">
        <v>6814</v>
      </c>
      <c r="F1305" s="2993">
        <v>-0.354160366</v>
      </c>
      <c r="J1305"/>
    </row>
    <row r="1306" spans="1:10" ht="13">
      <c r="A1306" s="2983">
        <v>1</v>
      </c>
      <c r="B1306" s="2982" t="s">
        <v>5628</v>
      </c>
      <c r="C1306" s="2982" t="s">
        <v>5813</v>
      </c>
      <c r="D1306" s="2986">
        <v>1039104</v>
      </c>
      <c r="E1306" s="2982" t="s">
        <v>6815</v>
      </c>
      <c r="F1306" s="2993">
        <v>-4.0075452260000004</v>
      </c>
      <c r="J1306"/>
    </row>
    <row r="1307" spans="1:10" ht="13">
      <c r="A1307" s="2983">
        <v>1</v>
      </c>
      <c r="B1307" s="2982" t="s">
        <v>5628</v>
      </c>
      <c r="C1307" s="2982" t="s">
        <v>121</v>
      </c>
      <c r="D1307" s="2986">
        <v>1039105</v>
      </c>
      <c r="E1307" s="2982" t="s">
        <v>6816</v>
      </c>
      <c r="F1307" s="2993">
        <v>-0.13832196499999999</v>
      </c>
      <c r="J1307"/>
    </row>
    <row r="1308" spans="1:10" ht="13">
      <c r="A1308" s="2983">
        <v>1</v>
      </c>
      <c r="B1308" s="2982" t="s">
        <v>5628</v>
      </c>
      <c r="C1308" s="2982" t="s">
        <v>5631</v>
      </c>
      <c r="D1308" s="2986">
        <v>1039106</v>
      </c>
      <c r="E1308" s="2982" t="s">
        <v>6817</v>
      </c>
      <c r="F1308" s="2993">
        <v>-0.27109404500000001</v>
      </c>
      <c r="J1308"/>
    </row>
    <row r="1309" spans="1:10" ht="13">
      <c r="A1309" s="2983">
        <v>1</v>
      </c>
      <c r="B1309" s="2982" t="s">
        <v>5628</v>
      </c>
      <c r="C1309" s="2982" t="s">
        <v>922</v>
      </c>
      <c r="D1309" s="2986">
        <v>1039109</v>
      </c>
      <c r="E1309" s="2988" t="s">
        <v>6818</v>
      </c>
      <c r="F1309" s="2996">
        <v>-4.5641021110000004</v>
      </c>
      <c r="J1309"/>
    </row>
    <row r="1310" spans="1:10" ht="13" hidden="1">
      <c r="A1310" s="2983" t="s">
        <v>5802</v>
      </c>
      <c r="B1310" s="2982" t="s">
        <v>5803</v>
      </c>
      <c r="C1310" s="2982" t="s">
        <v>8173</v>
      </c>
      <c r="D1310" s="2982">
        <v>2042114</v>
      </c>
      <c r="E1310" s="2982" t="s">
        <v>6819</v>
      </c>
      <c r="F1310" s="2993">
        <v>0</v>
      </c>
      <c r="J1310"/>
    </row>
    <row r="1311" spans="1:10" ht="13" hidden="1">
      <c r="A1311" s="2983">
        <v>118</v>
      </c>
      <c r="B1311" s="2982" t="s">
        <v>5792</v>
      </c>
      <c r="C1311" s="2982" t="s">
        <v>5793</v>
      </c>
      <c r="D1311" s="2982">
        <v>2042301</v>
      </c>
      <c r="E1311" s="2982" t="s">
        <v>6820</v>
      </c>
      <c r="F1311" s="2995">
        <v>3.6727E-4</v>
      </c>
      <c r="J1311"/>
    </row>
    <row r="1312" spans="1:10" ht="13" hidden="1">
      <c r="A1312" s="2983" t="s">
        <v>5802</v>
      </c>
      <c r="B1312" s="2982" t="s">
        <v>5803</v>
      </c>
      <c r="C1312" s="2982" t="s">
        <v>8173</v>
      </c>
      <c r="D1312" s="2982">
        <v>2043112</v>
      </c>
      <c r="E1312" s="2982" t="s">
        <v>6821</v>
      </c>
      <c r="F1312" s="2993">
        <v>0</v>
      </c>
      <c r="J1312"/>
    </row>
    <row r="1313" spans="1:10" ht="13" hidden="1">
      <c r="A1313" s="2983" t="s">
        <v>5802</v>
      </c>
      <c r="B1313" s="2982" t="s">
        <v>5803</v>
      </c>
      <c r="C1313" s="2982" t="s">
        <v>8173</v>
      </c>
      <c r="D1313" s="2982">
        <v>2043113</v>
      </c>
      <c r="E1313" s="2982" t="s">
        <v>6822</v>
      </c>
      <c r="F1313" s="2995">
        <v>0</v>
      </c>
      <c r="J1313"/>
    </row>
    <row r="1314" spans="1:10" hidden="1">
      <c r="A1314" s="2989" t="s">
        <v>5802</v>
      </c>
      <c r="B1314" s="2990" t="s">
        <v>5803</v>
      </c>
      <c r="C1314" s="2990" t="s">
        <v>8173</v>
      </c>
      <c r="D1314" s="2989">
        <v>2043115</v>
      </c>
      <c r="E1314" s="2990" t="s">
        <v>6823</v>
      </c>
      <c r="F1314" s="127">
        <v>0</v>
      </c>
      <c r="J1314" s="1998"/>
    </row>
    <row r="1315" spans="1:10" hidden="1">
      <c r="A1315" s="2989" t="s">
        <v>5802</v>
      </c>
      <c r="B1315" s="2990" t="s">
        <v>5803</v>
      </c>
      <c r="C1315" s="2990" t="s">
        <v>8173</v>
      </c>
      <c r="D1315" s="2989">
        <v>2043119</v>
      </c>
      <c r="E1315" s="2990" t="s">
        <v>6824</v>
      </c>
      <c r="F1315" s="127">
        <v>0</v>
      </c>
      <c r="J1315" s="1998"/>
    </row>
    <row r="1316" spans="1:10" hidden="1">
      <c r="A1316" s="2989" t="s">
        <v>5802</v>
      </c>
      <c r="B1316" s="2990" t="s">
        <v>5803</v>
      </c>
      <c r="C1316" s="2990" t="s">
        <v>8173</v>
      </c>
      <c r="D1316" s="2989">
        <v>2043120</v>
      </c>
      <c r="E1316" s="2990" t="s">
        <v>6825</v>
      </c>
      <c r="F1316" s="127">
        <v>0</v>
      </c>
      <c r="J1316" s="1998"/>
    </row>
    <row r="1317" spans="1:10" hidden="1">
      <c r="A1317" s="2989">
        <v>28</v>
      </c>
      <c r="B1317" s="2990" t="s">
        <v>5792</v>
      </c>
      <c r="C1317" s="2990" t="s">
        <v>6311</v>
      </c>
      <c r="D1317" s="2989">
        <v>2044220</v>
      </c>
      <c r="E1317" s="2990" t="s">
        <v>1933</v>
      </c>
      <c r="F1317" s="127">
        <v>-3.3923E-3</v>
      </c>
      <c r="J1317" s="1998"/>
    </row>
    <row r="1318" spans="1:10" hidden="1">
      <c r="A1318" s="2989">
        <v>30</v>
      </c>
      <c r="B1318" s="2990" t="s">
        <v>5792</v>
      </c>
      <c r="C1318" s="2990" t="s">
        <v>6357</v>
      </c>
      <c r="D1318" s="2989">
        <v>2046610</v>
      </c>
      <c r="E1318" s="2990"/>
      <c r="F1318" s="127">
        <v>0</v>
      </c>
      <c r="J1318" s="1998"/>
    </row>
    <row r="1319" spans="1:10" hidden="1">
      <c r="A1319" s="2989">
        <v>30</v>
      </c>
      <c r="B1319" s="2990" t="s">
        <v>5792</v>
      </c>
      <c r="C1319" s="2990" t="s">
        <v>6357</v>
      </c>
      <c r="D1319" s="2989">
        <v>2046917</v>
      </c>
      <c r="E1319" s="2990" t="s">
        <v>6826</v>
      </c>
      <c r="F1319" s="127">
        <v>8.1909559999999992E-3</v>
      </c>
      <c r="J1319" s="1998"/>
    </row>
    <row r="1320" spans="1:10" hidden="1">
      <c r="A1320" s="2989">
        <v>30</v>
      </c>
      <c r="B1320" s="2990" t="s">
        <v>5792</v>
      </c>
      <c r="C1320" s="2990" t="s">
        <v>6357</v>
      </c>
      <c r="D1320" s="2989">
        <v>2046918</v>
      </c>
      <c r="E1320" s="2990" t="s">
        <v>7726</v>
      </c>
      <c r="F1320" s="127">
        <v>-8.299999999999999E-2</v>
      </c>
      <c r="J1320" s="1998"/>
    </row>
    <row r="1321" spans="1:10" hidden="1">
      <c r="A1321" s="2989">
        <v>30</v>
      </c>
      <c r="B1321" s="2990" t="s">
        <v>5792</v>
      </c>
      <c r="C1321" s="2990" t="s">
        <v>6357</v>
      </c>
      <c r="D1321" s="2989">
        <v>2046930</v>
      </c>
      <c r="E1321" s="2990"/>
      <c r="F1321" s="127">
        <v>0</v>
      </c>
      <c r="J1321" s="1998"/>
    </row>
    <row r="1322" spans="1:10" hidden="1">
      <c r="A1322" s="2989">
        <v>30</v>
      </c>
      <c r="B1322" s="2990" t="s">
        <v>5792</v>
      </c>
      <c r="C1322" s="2990" t="s">
        <v>6357</v>
      </c>
      <c r="D1322" s="2989">
        <v>2046936</v>
      </c>
      <c r="E1322" s="2990"/>
      <c r="F1322" s="127">
        <v>0</v>
      </c>
      <c r="J1322" s="1998"/>
    </row>
    <row r="1323" spans="1:10" hidden="1">
      <c r="A1323" s="2989">
        <v>30</v>
      </c>
      <c r="B1323" s="2990" t="s">
        <v>5792</v>
      </c>
      <c r="C1323" s="2990" t="s">
        <v>6357</v>
      </c>
      <c r="D1323" s="2989">
        <v>2048207</v>
      </c>
      <c r="E1323" s="2990"/>
      <c r="F1323" s="127">
        <v>0</v>
      </c>
      <c r="J1323" s="1998"/>
    </row>
    <row r="1324" spans="1:10" hidden="1">
      <c r="A1324" s="2989">
        <v>101</v>
      </c>
      <c r="B1324" s="2990" t="s">
        <v>6362</v>
      </c>
      <c r="C1324" s="2990" t="s">
        <v>6425</v>
      </c>
      <c r="D1324" s="2989">
        <v>2055350</v>
      </c>
      <c r="E1324" s="2990" t="s">
        <v>6827</v>
      </c>
      <c r="F1324" s="127">
        <v>-18.2575547</v>
      </c>
      <c r="J1324" s="1998"/>
    </row>
    <row r="1325" spans="1:10" hidden="1">
      <c r="A1325" s="2989">
        <v>101</v>
      </c>
      <c r="B1325" s="2990" t="s">
        <v>6362</v>
      </c>
      <c r="C1325" s="2990" t="s">
        <v>6425</v>
      </c>
      <c r="D1325" s="2989">
        <v>2055370</v>
      </c>
      <c r="E1325" s="2990" t="s">
        <v>6828</v>
      </c>
      <c r="F1325" s="127">
        <v>-2.118784824</v>
      </c>
      <c r="J1325" s="1998"/>
    </row>
    <row r="1326" spans="1:10" hidden="1">
      <c r="A1326" s="2989">
        <v>2</v>
      </c>
      <c r="B1326" s="2990" t="s">
        <v>1020</v>
      </c>
      <c r="C1326" s="2990" t="s">
        <v>1020</v>
      </c>
      <c r="D1326" s="2989">
        <v>4022304</v>
      </c>
      <c r="E1326" s="2990" t="s">
        <v>6829</v>
      </c>
      <c r="F1326" s="127">
        <v>0</v>
      </c>
      <c r="J1326" s="1998"/>
    </row>
    <row r="1327" spans="1:10" hidden="1">
      <c r="A1327" s="2989">
        <v>2</v>
      </c>
      <c r="B1327" s="2990" t="s">
        <v>1020</v>
      </c>
      <c r="C1327" s="2990" t="s">
        <v>1020</v>
      </c>
      <c r="D1327" s="2989">
        <v>4022305</v>
      </c>
      <c r="E1327" s="2990" t="s">
        <v>6830</v>
      </c>
      <c r="F1327" s="127">
        <v>0</v>
      </c>
      <c r="J1327" s="1998"/>
    </row>
    <row r="1328" spans="1:10" hidden="1">
      <c r="A1328" s="2989">
        <v>2</v>
      </c>
      <c r="B1328" s="2990" t="s">
        <v>1020</v>
      </c>
      <c r="C1328" s="2990" t="s">
        <v>1020</v>
      </c>
      <c r="D1328" s="2989">
        <v>4022307</v>
      </c>
      <c r="E1328" s="2990" t="s">
        <v>6831</v>
      </c>
      <c r="F1328" s="127">
        <v>0</v>
      </c>
      <c r="J1328" s="1998"/>
    </row>
    <row r="1329" spans="1:10" hidden="1">
      <c r="A1329" s="2989">
        <v>2</v>
      </c>
      <c r="B1329" s="2990" t="s">
        <v>1020</v>
      </c>
      <c r="C1329" s="2990" t="s">
        <v>1020</v>
      </c>
      <c r="D1329" s="2989">
        <v>4022309</v>
      </c>
      <c r="E1329" s="2990" t="s">
        <v>6832</v>
      </c>
      <c r="F1329" s="127">
        <v>0</v>
      </c>
      <c r="J1329" s="1998"/>
    </row>
    <row r="1330" spans="1:10" hidden="1">
      <c r="A1330" s="2989">
        <v>2</v>
      </c>
      <c r="B1330" s="2990" t="s">
        <v>1020</v>
      </c>
      <c r="C1330" s="2990" t="s">
        <v>1020</v>
      </c>
      <c r="D1330" s="2989">
        <v>4022313</v>
      </c>
      <c r="E1330" s="2990" t="s">
        <v>6833</v>
      </c>
      <c r="F1330" s="127">
        <v>0</v>
      </c>
      <c r="J1330" s="1998"/>
    </row>
    <row r="1331" spans="1:10" hidden="1">
      <c r="A1331" s="2989">
        <v>2</v>
      </c>
      <c r="B1331" s="2990" t="s">
        <v>1020</v>
      </c>
      <c r="C1331" s="2990" t="s">
        <v>1020</v>
      </c>
      <c r="D1331" s="2989">
        <v>4022316</v>
      </c>
      <c r="E1331" s="2990" t="s">
        <v>6834</v>
      </c>
      <c r="F1331" s="127">
        <v>0</v>
      </c>
      <c r="J1331" s="1998"/>
    </row>
    <row r="1332" spans="1:10" hidden="1">
      <c r="A1332" s="2989">
        <v>2</v>
      </c>
      <c r="B1332" s="2990" t="s">
        <v>1020</v>
      </c>
      <c r="C1332" s="2990" t="s">
        <v>1020</v>
      </c>
      <c r="D1332" s="2989">
        <v>4089001</v>
      </c>
      <c r="E1332" s="2990" t="s">
        <v>8201</v>
      </c>
      <c r="F1332" s="127">
        <v>0</v>
      </c>
      <c r="J1332" s="1998"/>
    </row>
    <row r="1333" spans="1:10" hidden="1">
      <c r="A1333" s="2989">
        <v>2</v>
      </c>
      <c r="B1333" s="2990" t="s">
        <v>1020</v>
      </c>
      <c r="C1333" s="2990" t="s">
        <v>1020</v>
      </c>
      <c r="D1333" s="2989">
        <v>4022317</v>
      </c>
      <c r="E1333" s="2990" t="s">
        <v>6835</v>
      </c>
      <c r="F1333" s="127">
        <v>0</v>
      </c>
      <c r="J1333" s="1998"/>
    </row>
    <row r="1334" spans="1:10" hidden="1">
      <c r="A1334" s="2989">
        <v>2</v>
      </c>
      <c r="B1334" s="2990" t="s">
        <v>1020</v>
      </c>
      <c r="C1334" s="2990" t="s">
        <v>1020</v>
      </c>
      <c r="D1334" s="2989">
        <v>4022318</v>
      </c>
      <c r="E1334" s="2990" t="s">
        <v>6836</v>
      </c>
      <c r="F1334" s="127">
        <v>0</v>
      </c>
      <c r="J1334" s="1998"/>
    </row>
    <row r="1335" spans="1:10" hidden="1">
      <c r="A1335" s="2989">
        <v>2</v>
      </c>
      <c r="B1335" s="2990" t="s">
        <v>1020</v>
      </c>
      <c r="C1335" s="2990" t="s">
        <v>1020</v>
      </c>
      <c r="D1335" s="2989">
        <v>4022319</v>
      </c>
      <c r="E1335" s="2990" t="s">
        <v>6837</v>
      </c>
      <c r="F1335" s="127">
        <v>0</v>
      </c>
      <c r="J1335" s="1998"/>
    </row>
    <row r="1336" spans="1:10" hidden="1">
      <c r="A1336" s="2989">
        <v>2</v>
      </c>
      <c r="B1336" s="2990" t="s">
        <v>1020</v>
      </c>
      <c r="C1336" s="2990" t="s">
        <v>1020</v>
      </c>
      <c r="D1336" s="2989">
        <v>4022328</v>
      </c>
      <c r="E1336" s="2990" t="s">
        <v>6838</v>
      </c>
      <c r="F1336" s="127">
        <v>0</v>
      </c>
      <c r="J1336" s="1998"/>
    </row>
    <row r="1337" spans="1:10" hidden="1">
      <c r="A1337" s="2989">
        <v>12</v>
      </c>
      <c r="B1337" s="2990" t="s">
        <v>5715</v>
      </c>
      <c r="C1337" s="2990" t="s">
        <v>5727</v>
      </c>
      <c r="D1337" s="2989" t="s">
        <v>6839</v>
      </c>
      <c r="E1337" s="2990" t="s">
        <v>6840</v>
      </c>
      <c r="F1337" s="127">
        <v>0</v>
      </c>
      <c r="J1337" s="1998"/>
    </row>
    <row r="1338" spans="1:10" hidden="1">
      <c r="A1338" s="2989">
        <v>12</v>
      </c>
      <c r="B1338" s="2990" t="s">
        <v>5715</v>
      </c>
      <c r="C1338" s="2990" t="s">
        <v>5727</v>
      </c>
      <c r="D1338" s="2989">
        <v>1024113</v>
      </c>
      <c r="E1338" s="2990" t="s">
        <v>6841</v>
      </c>
      <c r="F1338" s="127">
        <v>4.4797899999999999E-4</v>
      </c>
      <c r="J1338" s="1998"/>
    </row>
    <row r="1339" spans="1:10" hidden="1">
      <c r="A1339" s="2989">
        <v>12</v>
      </c>
      <c r="B1339" s="2990" t="s">
        <v>5715</v>
      </c>
      <c r="C1339" s="2990" t="s">
        <v>5727</v>
      </c>
      <c r="D1339" s="2989" t="s">
        <v>6842</v>
      </c>
      <c r="E1339" s="2990" t="s">
        <v>6843</v>
      </c>
      <c r="F1339" s="127">
        <v>0</v>
      </c>
      <c r="J1339" s="1998"/>
    </row>
    <row r="1340" spans="1:10" hidden="1">
      <c r="A1340" s="2989">
        <v>12</v>
      </c>
      <c r="B1340" s="2990" t="s">
        <v>5715</v>
      </c>
      <c r="C1340" s="2990" t="s">
        <v>5727</v>
      </c>
      <c r="D1340" s="2989">
        <v>1424253</v>
      </c>
      <c r="E1340" s="2990" t="s">
        <v>8202</v>
      </c>
      <c r="F1340" s="127">
        <v>1.36E-5</v>
      </c>
      <c r="J1340" s="1998"/>
    </row>
    <row r="1341" spans="1:10" hidden="1">
      <c r="A1341" s="2989">
        <v>12</v>
      </c>
      <c r="B1341" s="2990" t="s">
        <v>5715</v>
      </c>
      <c r="C1341" s="2990" t="s">
        <v>5727</v>
      </c>
      <c r="D1341" s="2989">
        <v>1424289</v>
      </c>
      <c r="E1341" s="2990" t="s">
        <v>7406</v>
      </c>
      <c r="F1341" s="127">
        <v>1.0114E-3</v>
      </c>
      <c r="J1341" s="1998"/>
    </row>
    <row r="1342" spans="1:10" hidden="1">
      <c r="A1342" s="2989">
        <v>12</v>
      </c>
      <c r="B1342" s="2990" t="s">
        <v>5715</v>
      </c>
      <c r="C1342" s="2990" t="s">
        <v>5727</v>
      </c>
      <c r="D1342" s="2989">
        <v>1424353</v>
      </c>
      <c r="E1342" s="2990" t="s">
        <v>8203</v>
      </c>
      <c r="F1342" s="127">
        <v>-4.3216000000000001E-4</v>
      </c>
      <c r="J1342" s="1998"/>
    </row>
    <row r="1343" spans="1:10" hidden="1">
      <c r="A1343" s="2989">
        <v>12</v>
      </c>
      <c r="B1343" s="2990" t="s">
        <v>5715</v>
      </c>
      <c r="C1343" s="2990" t="s">
        <v>5727</v>
      </c>
      <c r="D1343" s="2989">
        <v>1424379</v>
      </c>
      <c r="E1343" s="2990" t="s">
        <v>7443</v>
      </c>
      <c r="F1343" s="127">
        <v>-5.0939999999999996E-3</v>
      </c>
      <c r="J1343" s="1998"/>
    </row>
    <row r="1344" spans="1:10" hidden="1">
      <c r="A1344" s="2989">
        <v>12</v>
      </c>
      <c r="B1344" s="2990" t="s">
        <v>5715</v>
      </c>
      <c r="C1344" s="2990" t="s">
        <v>5727</v>
      </c>
      <c r="D1344" s="2989">
        <v>1424381</v>
      </c>
      <c r="E1344" s="2990" t="s">
        <v>7445</v>
      </c>
      <c r="F1344" s="127">
        <v>-6.2998599999999991E-4</v>
      </c>
      <c r="J1344" s="1998"/>
    </row>
    <row r="1345" spans="1:10" hidden="1">
      <c r="A1345" s="2989">
        <v>12</v>
      </c>
      <c r="B1345" s="2990" t="s">
        <v>5715</v>
      </c>
      <c r="C1345" s="2990" t="s">
        <v>5727</v>
      </c>
      <c r="D1345" s="2989">
        <v>1424393</v>
      </c>
      <c r="E1345" s="2990" t="s">
        <v>8204</v>
      </c>
      <c r="F1345" s="127">
        <v>-2.833E-4</v>
      </c>
      <c r="J1345" s="1998"/>
    </row>
    <row r="1346" spans="1:10" hidden="1">
      <c r="A1346" s="2989">
        <v>12</v>
      </c>
      <c r="B1346" s="2990" t="s">
        <v>5715</v>
      </c>
      <c r="C1346" s="2990" t="s">
        <v>5727</v>
      </c>
      <c r="D1346" s="2989">
        <v>1424399</v>
      </c>
      <c r="E1346" s="2990" t="s">
        <v>7454</v>
      </c>
      <c r="F1346" s="127">
        <v>-1.3196350000000001E-2</v>
      </c>
      <c r="J1346" s="1998"/>
    </row>
    <row r="1347" spans="1:10" hidden="1">
      <c r="A1347" s="2989">
        <v>12</v>
      </c>
      <c r="B1347" s="2990" t="s">
        <v>5715</v>
      </c>
      <c r="C1347" s="2990" t="s">
        <v>5727</v>
      </c>
      <c r="D1347" s="2989">
        <v>1424528</v>
      </c>
      <c r="E1347" s="2990" t="s">
        <v>8205</v>
      </c>
      <c r="F1347" s="127">
        <v>0</v>
      </c>
      <c r="J1347" s="1998"/>
    </row>
    <row r="1348" spans="1:10" hidden="1">
      <c r="A1348" s="2989">
        <v>12</v>
      </c>
      <c r="B1348" s="2990" t="s">
        <v>5715</v>
      </c>
      <c r="C1348" s="2990" t="s">
        <v>5727</v>
      </c>
      <c r="D1348" s="2989">
        <v>1424543</v>
      </c>
      <c r="E1348" s="2990" t="s">
        <v>8206</v>
      </c>
      <c r="F1348" s="127">
        <v>-0.27039590000000002</v>
      </c>
      <c r="J1348" s="1998"/>
    </row>
    <row r="1349" spans="1:10" hidden="1">
      <c r="A1349" s="2989">
        <v>12</v>
      </c>
      <c r="B1349" s="2990" t="s">
        <v>5715</v>
      </c>
      <c r="C1349" s="2990" t="s">
        <v>5727</v>
      </c>
      <c r="D1349" s="2989">
        <v>1424546</v>
      </c>
      <c r="E1349" s="2990" t="s">
        <v>8207</v>
      </c>
      <c r="F1349" s="127">
        <v>1.1374E-3</v>
      </c>
      <c r="J1349" s="1998"/>
    </row>
    <row r="1350" spans="1:10" hidden="1">
      <c r="A1350" s="2989">
        <v>12</v>
      </c>
      <c r="B1350" s="2990" t="s">
        <v>5715</v>
      </c>
      <c r="C1350" s="2990" t="s">
        <v>5727</v>
      </c>
      <c r="D1350" s="2989">
        <v>1424637</v>
      </c>
      <c r="E1350" s="2990" t="s">
        <v>8208</v>
      </c>
      <c r="F1350" s="127">
        <v>-1.3573557E-2</v>
      </c>
      <c r="J1350" s="1998"/>
    </row>
    <row r="1351" spans="1:10" hidden="1">
      <c r="A1351" s="2989">
        <v>12</v>
      </c>
      <c r="B1351" s="2990" t="s">
        <v>5715</v>
      </c>
      <c r="C1351" s="2990" t="s">
        <v>5727</v>
      </c>
      <c r="D1351" s="2989">
        <v>1424638</v>
      </c>
      <c r="E1351" s="2990" t="s">
        <v>8209</v>
      </c>
      <c r="F1351" s="127">
        <v>-2.9267199999999938E-2</v>
      </c>
      <c r="J1351" s="1998"/>
    </row>
    <row r="1352" spans="1:10" hidden="1">
      <c r="A1352" s="2989">
        <v>12</v>
      </c>
      <c r="B1352" s="2990" t="s">
        <v>5715</v>
      </c>
      <c r="C1352" s="2990" t="s">
        <v>5727</v>
      </c>
      <c r="D1352" s="2989">
        <v>1424646</v>
      </c>
      <c r="E1352" s="2990" t="s">
        <v>8210</v>
      </c>
      <c r="F1352" s="127">
        <v>-4.7153294999999998E-2</v>
      </c>
      <c r="J1352" s="1998"/>
    </row>
    <row r="1353" spans="1:10" hidden="1">
      <c r="A1353" s="2989">
        <v>12</v>
      </c>
      <c r="B1353" s="2990" t="s">
        <v>5715</v>
      </c>
      <c r="C1353" s="2990" t="s">
        <v>5727</v>
      </c>
      <c r="D1353" s="2989">
        <v>1424662</v>
      </c>
      <c r="E1353" s="2990" t="s">
        <v>8211</v>
      </c>
      <c r="F1353" s="127">
        <v>-5.451371E-3</v>
      </c>
      <c r="J1353" s="1998"/>
    </row>
    <row r="1354" spans="1:10" hidden="1">
      <c r="A1354" s="2989">
        <v>12</v>
      </c>
      <c r="B1354" s="2990" t="s">
        <v>5715</v>
      </c>
      <c r="C1354" s="2990" t="s">
        <v>5727</v>
      </c>
      <c r="D1354" s="2989">
        <v>1424666</v>
      </c>
      <c r="E1354" s="2990" t="s">
        <v>8212</v>
      </c>
      <c r="F1354" s="127">
        <v>-3.5413699999999999E-2</v>
      </c>
      <c r="J1354" s="1998"/>
    </row>
    <row r="1355" spans="1:10" hidden="1">
      <c r="A1355" s="2989">
        <v>12</v>
      </c>
      <c r="B1355" s="2990" t="s">
        <v>5715</v>
      </c>
      <c r="C1355" s="2990" t="s">
        <v>5727</v>
      </c>
      <c r="D1355" s="2989">
        <v>1424678</v>
      </c>
      <c r="E1355" s="2990" t="s">
        <v>8213</v>
      </c>
      <c r="F1355" s="127">
        <v>-8.6808000000000007E-3</v>
      </c>
      <c r="J1355" s="1998"/>
    </row>
    <row r="1356" spans="1:10" hidden="1">
      <c r="A1356" s="2989">
        <v>12</v>
      </c>
      <c r="B1356" s="2990" t="s">
        <v>5715</v>
      </c>
      <c r="C1356" s="2990" t="s">
        <v>5727</v>
      </c>
      <c r="D1356" s="2989">
        <v>1424691</v>
      </c>
      <c r="E1356" s="2990" t="s">
        <v>8214</v>
      </c>
      <c r="F1356" s="127">
        <v>-7.6923999999999997E-5</v>
      </c>
      <c r="J1356" s="1998"/>
    </row>
    <row r="1357" spans="1:10" hidden="1">
      <c r="A1357" s="2989">
        <v>12</v>
      </c>
      <c r="B1357" s="2990" t="s">
        <v>5715</v>
      </c>
      <c r="C1357" s="2990" t="s">
        <v>5727</v>
      </c>
      <c r="D1357" s="2989">
        <v>1424256</v>
      </c>
      <c r="E1357" s="2990" t="s">
        <v>6844</v>
      </c>
      <c r="F1357" s="127">
        <v>-3.1096000000000001E-3</v>
      </c>
      <c r="J1357" s="1998"/>
    </row>
    <row r="1358" spans="1:10" hidden="1">
      <c r="A1358" s="2989">
        <v>12</v>
      </c>
      <c r="B1358" s="2990" t="s">
        <v>5715</v>
      </c>
      <c r="C1358" s="2990" t="s">
        <v>5727</v>
      </c>
      <c r="D1358" s="2989">
        <v>1424354</v>
      </c>
      <c r="E1358" s="2990" t="s">
        <v>6845</v>
      </c>
      <c r="F1358" s="127">
        <v>-0.27390414900000004</v>
      </c>
      <c r="J1358" s="1998"/>
    </row>
    <row r="1359" spans="1:10" hidden="1">
      <c r="A1359" s="2989">
        <v>12</v>
      </c>
      <c r="B1359" s="2990" t="s">
        <v>5715</v>
      </c>
      <c r="C1359" s="2990" t="s">
        <v>5727</v>
      </c>
      <c r="D1359" s="2989">
        <v>1424370</v>
      </c>
      <c r="E1359" s="2990" t="s">
        <v>6846</v>
      </c>
      <c r="F1359" s="127">
        <v>-1.1393E-3</v>
      </c>
      <c r="J1359" s="1998"/>
    </row>
    <row r="1360" spans="1:10" hidden="1">
      <c r="A1360" s="2989">
        <v>12</v>
      </c>
      <c r="B1360" s="2990" t="s">
        <v>5715</v>
      </c>
      <c r="C1360" s="2990" t="s">
        <v>5727</v>
      </c>
      <c r="D1360" s="2989">
        <v>1424380</v>
      </c>
      <c r="E1360" s="2990" t="s">
        <v>6847</v>
      </c>
      <c r="F1360" s="127">
        <v>-1E-3</v>
      </c>
      <c r="J1360" s="1998"/>
    </row>
    <row r="1361" spans="1:11" hidden="1">
      <c r="A1361" s="2989">
        <v>12</v>
      </c>
      <c r="B1361" s="2990" t="s">
        <v>5715</v>
      </c>
      <c r="C1361" s="2990" t="s">
        <v>5727</v>
      </c>
      <c r="D1361" s="2989">
        <v>1424550</v>
      </c>
      <c r="E1361" s="2990" t="s">
        <v>6848</v>
      </c>
      <c r="F1361" s="127">
        <v>1.0000000000000001E-5</v>
      </c>
      <c r="J1361" s="1998"/>
    </row>
    <row r="1362" spans="1:11" hidden="1">
      <c r="A1362" s="2989">
        <v>12</v>
      </c>
      <c r="B1362" s="2990" t="s">
        <v>5715</v>
      </c>
      <c r="C1362" s="2990" t="s">
        <v>5727</v>
      </c>
      <c r="D1362" s="2989">
        <v>1424589</v>
      </c>
      <c r="E1362" s="2990" t="s">
        <v>6849</v>
      </c>
      <c r="F1362" s="127">
        <v>0</v>
      </c>
      <c r="J1362" s="1998"/>
    </row>
    <row r="1363" spans="1:11" hidden="1">
      <c r="A1363" s="2989">
        <v>12</v>
      </c>
      <c r="B1363" s="2990" t="s">
        <v>5715</v>
      </c>
      <c r="C1363" s="2990" t="s">
        <v>5727</v>
      </c>
      <c r="D1363" s="2989">
        <v>1424650</v>
      </c>
      <c r="E1363" s="2990" t="s">
        <v>6850</v>
      </c>
      <c r="F1363" s="127">
        <v>-1.6141900000000001E-2</v>
      </c>
      <c r="J1363" s="1998"/>
    </row>
    <row r="1364" spans="1:11" hidden="1">
      <c r="A1364" s="2989">
        <v>12</v>
      </c>
      <c r="B1364" s="2990" t="s">
        <v>5715</v>
      </c>
      <c r="C1364" s="2990" t="s">
        <v>5727</v>
      </c>
      <c r="D1364" s="2989">
        <v>1424654</v>
      </c>
      <c r="E1364" s="2990" t="s">
        <v>6851</v>
      </c>
      <c r="F1364" s="127">
        <v>-1E-3</v>
      </c>
      <c r="J1364" s="1998"/>
    </row>
    <row r="1365" spans="1:11" hidden="1">
      <c r="A1365" s="2989">
        <v>12</v>
      </c>
      <c r="B1365" s="2990" t="s">
        <v>5715</v>
      </c>
      <c r="C1365" s="2990" t="s">
        <v>5727</v>
      </c>
      <c r="D1365" s="2989">
        <v>1424672</v>
      </c>
      <c r="E1365" s="2990" t="s">
        <v>6852</v>
      </c>
      <c r="F1365" s="127">
        <v>-5.2283594000000003E-2</v>
      </c>
      <c r="J1365" s="1998"/>
    </row>
    <row r="1366" spans="1:11" hidden="1">
      <c r="A1366" s="2989">
        <v>12</v>
      </c>
      <c r="B1366" s="2990" t="s">
        <v>5715</v>
      </c>
      <c r="C1366" s="2990" t="s">
        <v>5727</v>
      </c>
      <c r="D1366" s="2989">
        <v>1424675</v>
      </c>
      <c r="E1366" s="2990" t="s">
        <v>6853</v>
      </c>
      <c r="F1366" s="127">
        <v>-2.5744000000000001E-3</v>
      </c>
      <c r="J1366" s="1998"/>
    </row>
    <row r="1367" spans="1:11" hidden="1">
      <c r="A1367" s="2989">
        <v>101</v>
      </c>
      <c r="B1367" s="2990" t="s">
        <v>6362</v>
      </c>
      <c r="C1367" s="2990" t="s">
        <v>6425</v>
      </c>
      <c r="D1367" s="2989">
        <v>2055325</v>
      </c>
      <c r="E1367" s="2990" t="s">
        <v>6854</v>
      </c>
      <c r="F1367" s="127">
        <v>-8.8400000000000006E-2</v>
      </c>
      <c r="J1367" s="1998"/>
    </row>
    <row r="1368" spans="1:11" hidden="1">
      <c r="A1368" s="2989">
        <v>2</v>
      </c>
      <c r="B1368" s="2990" t="s">
        <v>1020</v>
      </c>
      <c r="C1368" s="2990" t="s">
        <v>1020</v>
      </c>
      <c r="D1368" s="2989">
        <v>4022312</v>
      </c>
      <c r="E1368" s="2990" t="s">
        <v>8215</v>
      </c>
      <c r="F1368" s="127">
        <v>0</v>
      </c>
      <c r="J1368" s="1998"/>
    </row>
    <row r="1369" spans="1:11" hidden="1">
      <c r="A1369" s="2989">
        <v>2</v>
      </c>
      <c r="B1369" s="2990" t="s">
        <v>1020</v>
      </c>
      <c r="C1369" s="2990" t="s">
        <v>1020</v>
      </c>
      <c r="D1369" s="2989">
        <v>4022401</v>
      </c>
      <c r="E1369" s="2990" t="s">
        <v>7274</v>
      </c>
      <c r="F1369" s="127">
        <v>0</v>
      </c>
      <c r="J1369" s="1998"/>
    </row>
    <row r="1370" spans="1:11" hidden="1">
      <c r="A1370" s="2989">
        <v>59</v>
      </c>
      <c r="B1370" s="2990" t="s">
        <v>1525</v>
      </c>
      <c r="C1370" s="2990" t="s">
        <v>5543</v>
      </c>
      <c r="D1370" s="2989">
        <v>4022402</v>
      </c>
      <c r="E1370" s="2990" t="s">
        <v>7873</v>
      </c>
      <c r="F1370" s="127">
        <v>0</v>
      </c>
      <c r="J1370">
        <v>7</v>
      </c>
      <c r="K1370" s="608" t="s">
        <v>6960</v>
      </c>
    </row>
    <row r="1371" spans="1:11" hidden="1">
      <c r="A1371" s="2989">
        <v>2</v>
      </c>
      <c r="B1371" s="2990" t="s">
        <v>1020</v>
      </c>
      <c r="C1371" s="2990" t="s">
        <v>1020</v>
      </c>
      <c r="D1371" s="2989">
        <v>4022602</v>
      </c>
      <c r="E1371" s="2990" t="s">
        <v>8216</v>
      </c>
      <c r="F1371" s="127">
        <v>1.3273250000000001E-3</v>
      </c>
      <c r="J1371" s="1998"/>
    </row>
    <row r="1372" spans="1:11" hidden="1">
      <c r="A1372" s="2989">
        <v>59</v>
      </c>
      <c r="B1372" s="2990" t="s">
        <v>1525</v>
      </c>
      <c r="C1372" s="2990" t="s">
        <v>5543</v>
      </c>
      <c r="D1372" s="2989">
        <v>4022622</v>
      </c>
      <c r="E1372" s="2990" t="s">
        <v>7820</v>
      </c>
      <c r="F1372" s="127">
        <v>0</v>
      </c>
      <c r="J1372">
        <v>7</v>
      </c>
      <c r="K1372" s="608" t="s">
        <v>6960</v>
      </c>
    </row>
    <row r="1373" spans="1:11" hidden="1">
      <c r="A1373" s="2989">
        <v>59</v>
      </c>
      <c r="B1373" s="2990" t="s">
        <v>1525</v>
      </c>
      <c r="C1373" s="2990" t="s">
        <v>5543</v>
      </c>
      <c r="D1373" s="2989">
        <v>4022331</v>
      </c>
      <c r="E1373" s="2990" t="s">
        <v>8217</v>
      </c>
      <c r="F1373" s="127">
        <v>1.4107099999999999E-2</v>
      </c>
      <c r="J1373">
        <v>7</v>
      </c>
      <c r="K1373" s="608" t="s">
        <v>6960</v>
      </c>
    </row>
    <row r="1374" spans="1:11" hidden="1">
      <c r="A1374" s="2989">
        <v>50</v>
      </c>
      <c r="B1374" s="2990" t="s">
        <v>6482</v>
      </c>
      <c r="C1374" s="2990" t="s">
        <v>1726</v>
      </c>
      <c r="D1374" s="2989">
        <v>4075808</v>
      </c>
      <c r="E1374" s="2990" t="s">
        <v>6855</v>
      </c>
      <c r="F1374" s="127">
        <v>0.40681668300000001</v>
      </c>
      <c r="J1374" s="1998"/>
    </row>
    <row r="1375" spans="1:11" hidden="1">
      <c r="A1375" s="2989" t="s">
        <v>8218</v>
      </c>
      <c r="B1375" s="2990" t="s">
        <v>8219</v>
      </c>
      <c r="C1375" s="2990" t="s">
        <v>8220</v>
      </c>
      <c r="D1375" s="2989">
        <v>1162925</v>
      </c>
      <c r="E1375" s="2990" t="s">
        <v>7935</v>
      </c>
      <c r="F1375" s="127">
        <v>-5.956211733</v>
      </c>
      <c r="J1375" s="1998"/>
    </row>
    <row r="1376" spans="1:11" hidden="1">
      <c r="A1376" s="2989">
        <v>15</v>
      </c>
      <c r="B1376" s="2990" t="s">
        <v>5730</v>
      </c>
      <c r="C1376" s="2990" t="s">
        <v>3394</v>
      </c>
      <c r="D1376" s="2989">
        <v>1028101</v>
      </c>
      <c r="E1376" s="2990" t="s">
        <v>8221</v>
      </c>
      <c r="F1376" s="127">
        <v>-1.2999999988824129E-8</v>
      </c>
      <c r="J1376" s="1998"/>
    </row>
    <row r="1377" spans="1:11" hidden="1">
      <c r="A1377" s="2989">
        <v>5</v>
      </c>
      <c r="B1377" s="2990" t="s">
        <v>5730</v>
      </c>
      <c r="C1377" s="2990" t="s">
        <v>5784</v>
      </c>
      <c r="D1377" s="2989">
        <v>1028824</v>
      </c>
      <c r="E1377" s="2990" t="s">
        <v>8222</v>
      </c>
      <c r="F1377" s="127">
        <v>1.5E-3</v>
      </c>
      <c r="J1377" s="1998"/>
    </row>
    <row r="1378" spans="1:11">
      <c r="A1378" s="2989">
        <v>1</v>
      </c>
      <c r="B1378" s="2990" t="s">
        <v>5628</v>
      </c>
      <c r="C1378" s="2990" t="s">
        <v>8223</v>
      </c>
      <c r="D1378" s="2989">
        <v>1040108</v>
      </c>
      <c r="E1378" s="2990" t="s">
        <v>7262</v>
      </c>
      <c r="F1378" s="127">
        <v>-2.5999999930803597E-8</v>
      </c>
      <c r="J1378" s="1998"/>
    </row>
    <row r="1379" spans="1:11" hidden="1">
      <c r="A1379" s="2989">
        <v>12</v>
      </c>
      <c r="B1379" s="2990" t="s">
        <v>5715</v>
      </c>
      <c r="C1379" s="2990" t="s">
        <v>5727</v>
      </c>
      <c r="D1379" s="2989">
        <v>1424229</v>
      </c>
      <c r="E1379" s="2990" t="s">
        <v>8224</v>
      </c>
      <c r="F1379" s="127">
        <v>7.2421999999999999E-3</v>
      </c>
      <c r="J1379" s="1998"/>
    </row>
    <row r="1380" spans="1:11" hidden="1">
      <c r="A1380" s="2989">
        <v>30</v>
      </c>
      <c r="B1380" s="2990" t="s">
        <v>5792</v>
      </c>
      <c r="C1380" s="2990" t="s">
        <v>6357</v>
      </c>
      <c r="D1380" s="2989">
        <v>2046922</v>
      </c>
      <c r="E1380" s="2990" t="s">
        <v>8225</v>
      </c>
      <c r="F1380" s="127">
        <v>-1.492058299999921E-2</v>
      </c>
      <c r="J1380" s="1998"/>
    </row>
    <row r="1381" spans="1:11" hidden="1">
      <c r="A1381" s="2989">
        <v>58</v>
      </c>
      <c r="B1381" s="2990" t="s">
        <v>1525</v>
      </c>
      <c r="C1381" s="2990" t="s">
        <v>5539</v>
      </c>
      <c r="D1381" s="2989">
        <v>4022333</v>
      </c>
      <c r="E1381" s="2990" t="s">
        <v>7880</v>
      </c>
      <c r="F1381" s="127">
        <v>3.0135548999999835E-2</v>
      </c>
      <c r="J1381" s="4">
        <v>7</v>
      </c>
      <c r="K1381" s="608" t="s">
        <v>6960</v>
      </c>
    </row>
    <row r="1382" spans="1:11" hidden="1">
      <c r="A1382" s="2989"/>
      <c r="B1382" s="2990"/>
      <c r="C1382" s="2990"/>
      <c r="D1382" s="2989">
        <v>4022625</v>
      </c>
      <c r="E1382" s="2990" t="s">
        <v>8226</v>
      </c>
      <c r="F1382" s="127">
        <v>0</v>
      </c>
      <c r="J1382" s="1998"/>
    </row>
    <row r="1383" spans="1:11" hidden="1">
      <c r="A1383" s="2989">
        <v>58</v>
      </c>
      <c r="B1383" s="2990" t="s">
        <v>1525</v>
      </c>
      <c r="C1383" s="2990" t="s">
        <v>5539</v>
      </c>
      <c r="D1383" s="2989">
        <v>4022633</v>
      </c>
      <c r="E1383" s="2990" t="s">
        <v>8227</v>
      </c>
      <c r="F1383" s="127">
        <v>0</v>
      </c>
      <c r="J1383" s="4">
        <v>7</v>
      </c>
      <c r="K1383" s="608" t="s">
        <v>6960</v>
      </c>
    </row>
    <row r="1384" spans="1:11" hidden="1">
      <c r="A1384" s="2989">
        <v>58</v>
      </c>
      <c r="B1384" s="2990" t="s">
        <v>1525</v>
      </c>
      <c r="C1384" s="2990" t="s">
        <v>5539</v>
      </c>
      <c r="D1384" s="2989">
        <v>4022634</v>
      </c>
      <c r="E1384" s="2990" t="s">
        <v>8228</v>
      </c>
      <c r="F1384" s="127">
        <v>0.87013782399999984</v>
      </c>
      <c r="J1384" s="4">
        <v>7</v>
      </c>
      <c r="K1384" s="608" t="s">
        <v>6960</v>
      </c>
    </row>
    <row r="1385" spans="1:11" hidden="1">
      <c r="A1385" s="2989">
        <v>49</v>
      </c>
      <c r="B1385" s="2990" t="s">
        <v>6482</v>
      </c>
      <c r="C1385" s="2990" t="s">
        <v>6483</v>
      </c>
      <c r="D1385" s="2989">
        <v>4075307</v>
      </c>
      <c r="E1385" s="2990" t="s">
        <v>7827</v>
      </c>
      <c r="F1385" s="127">
        <v>0.68770999799999999</v>
      </c>
      <c r="J1385" s="1998"/>
    </row>
    <row r="1386" spans="1:11" hidden="1">
      <c r="A1386" s="2989">
        <v>51</v>
      </c>
      <c r="B1386" s="2990" t="s">
        <v>6482</v>
      </c>
      <c r="C1386" s="2990" t="s">
        <v>546</v>
      </c>
      <c r="D1386" s="2989">
        <v>4075704</v>
      </c>
      <c r="E1386" s="2990" t="s">
        <v>7841</v>
      </c>
      <c r="F1386" s="127">
        <v>0</v>
      </c>
      <c r="J1386" s="1998"/>
    </row>
    <row r="1387" spans="1:11" hidden="1">
      <c r="A1387" s="2989">
        <v>57</v>
      </c>
      <c r="B1387" s="2990" t="s">
        <v>1525</v>
      </c>
      <c r="C1387" s="2990" t="s">
        <v>8229</v>
      </c>
      <c r="D1387" s="2989">
        <v>4076103</v>
      </c>
      <c r="E1387" s="2990" t="s">
        <v>7906</v>
      </c>
      <c r="F1387" s="127">
        <v>0</v>
      </c>
      <c r="J1387">
        <v>1</v>
      </c>
    </row>
    <row r="1388" spans="1:11" hidden="1">
      <c r="A1388" s="2989">
        <v>58</v>
      </c>
      <c r="B1388" s="2990" t="s">
        <v>1525</v>
      </c>
      <c r="C1388" s="2990" t="s">
        <v>5539</v>
      </c>
      <c r="D1388" s="2989">
        <v>4076271</v>
      </c>
      <c r="E1388" s="2990" t="s">
        <v>7894</v>
      </c>
      <c r="F1388" s="127">
        <v>0.12835189999999999</v>
      </c>
      <c r="J1388" s="4">
        <v>7</v>
      </c>
      <c r="K1388" s="608" t="s">
        <v>6960</v>
      </c>
    </row>
    <row r="1389" spans="1:11" hidden="1">
      <c r="A1389" s="2989">
        <v>77</v>
      </c>
      <c r="B1389" s="2990" t="s">
        <v>6509</v>
      </c>
      <c r="C1389" s="2990" t="s">
        <v>6509</v>
      </c>
      <c r="D1389" s="2989">
        <v>4077193</v>
      </c>
      <c r="E1389" s="2990" t="s">
        <v>7865</v>
      </c>
      <c r="F1389" s="127">
        <v>3.4788918600000001</v>
      </c>
      <c r="J1389" s="1998"/>
    </row>
    <row r="1390" spans="1:11" hidden="1">
      <c r="A1390" s="2989">
        <v>57</v>
      </c>
      <c r="B1390" s="2990" t="s">
        <v>1525</v>
      </c>
      <c r="C1390" s="2990" t="s">
        <v>5532</v>
      </c>
      <c r="D1390" s="2989">
        <v>4077520</v>
      </c>
      <c r="E1390" s="2990" t="s">
        <v>7882</v>
      </c>
      <c r="F1390" s="127">
        <v>0</v>
      </c>
      <c r="J1390">
        <v>1</v>
      </c>
    </row>
    <row r="1391" spans="1:11" hidden="1">
      <c r="A1391" s="2989">
        <v>44</v>
      </c>
      <c r="B1391" s="2990" t="s">
        <v>896</v>
      </c>
      <c r="C1391" s="2990" t="s">
        <v>5826</v>
      </c>
      <c r="D1391" s="2989">
        <v>5062998</v>
      </c>
      <c r="E1391" s="2990" t="s">
        <v>7810</v>
      </c>
      <c r="F1391" s="127">
        <v>0</v>
      </c>
      <c r="J1391" s="1998"/>
    </row>
    <row r="1392" spans="1:11">
      <c r="A1392" s="2989">
        <v>1</v>
      </c>
      <c r="B1392" s="2990" t="s">
        <v>5628</v>
      </c>
      <c r="C1392" s="2990" t="s">
        <v>119</v>
      </c>
      <c r="D1392" s="2989">
        <v>1040401</v>
      </c>
      <c r="E1392" s="2990" t="s">
        <v>8230</v>
      </c>
      <c r="F1392" s="127">
        <v>2.8036008000000001E-2</v>
      </c>
      <c r="J1392" s="1998"/>
    </row>
    <row r="1393" spans="1:10">
      <c r="A1393" s="2989">
        <v>1</v>
      </c>
      <c r="B1393" s="2990" t="s">
        <v>5628</v>
      </c>
      <c r="C1393" s="2990" t="s">
        <v>121</v>
      </c>
      <c r="D1393" s="2989">
        <v>1022620</v>
      </c>
      <c r="E1393" s="2990" t="s">
        <v>8231</v>
      </c>
      <c r="F1393" s="127">
        <v>0</v>
      </c>
      <c r="J1393" s="1998"/>
    </row>
    <row r="1394" spans="1:10" hidden="1">
      <c r="A1394" s="2989">
        <v>107</v>
      </c>
      <c r="B1394" s="2990" t="s">
        <v>8232</v>
      </c>
      <c r="C1394" s="2990" t="s">
        <v>8233</v>
      </c>
      <c r="D1394" s="2989">
        <v>1027410</v>
      </c>
      <c r="E1394" s="2990" t="s">
        <v>7294</v>
      </c>
      <c r="F1394" s="127">
        <v>13.35</v>
      </c>
      <c r="J1394" s="1998"/>
    </row>
    <row r="1395" spans="1:10" hidden="1">
      <c r="A1395" s="2989"/>
      <c r="B1395" s="2990"/>
      <c r="C1395" s="2990"/>
      <c r="D1395" s="2989">
        <v>1028815</v>
      </c>
      <c r="E1395" s="2990" t="s">
        <v>8234</v>
      </c>
      <c r="F1395" s="127">
        <v>0</v>
      </c>
      <c r="J1395" s="1998"/>
    </row>
    <row r="1396" spans="1:10" hidden="1">
      <c r="A1396" s="2989"/>
      <c r="B1396" s="2990"/>
      <c r="C1396" s="2990"/>
      <c r="D1396" s="2989">
        <v>1165210</v>
      </c>
      <c r="E1396" s="2990" t="s">
        <v>8235</v>
      </c>
      <c r="F1396" s="127">
        <v>0</v>
      </c>
      <c r="J1396" s="1998"/>
    </row>
    <row r="1397" spans="1:10" hidden="1">
      <c r="A1397" s="2989">
        <v>12</v>
      </c>
      <c r="B1397" s="2990" t="s">
        <v>5715</v>
      </c>
      <c r="C1397" s="2990" t="s">
        <v>5727</v>
      </c>
      <c r="D1397" s="2989">
        <v>1424487</v>
      </c>
      <c r="E1397" s="2990" t="s">
        <v>7468</v>
      </c>
      <c r="F1397" s="127">
        <v>0.90860826800002314</v>
      </c>
      <c r="J1397" s="1998"/>
    </row>
    <row r="1398" spans="1:10" hidden="1">
      <c r="A1398" s="2989">
        <v>12</v>
      </c>
      <c r="B1398" s="2990" t="s">
        <v>5715</v>
      </c>
      <c r="C1398" s="2990" t="s">
        <v>5727</v>
      </c>
      <c r="D1398" s="2989">
        <v>1424488</v>
      </c>
      <c r="E1398" s="2990" t="s">
        <v>8236</v>
      </c>
      <c r="F1398" s="127">
        <v>4.662904472999994</v>
      </c>
      <c r="J1398" s="1998"/>
    </row>
    <row r="1399" spans="1:10" hidden="1">
      <c r="A1399" s="2989">
        <v>12</v>
      </c>
      <c r="B1399" s="2990" t="s">
        <v>5715</v>
      </c>
      <c r="C1399" s="2990" t="s">
        <v>5727</v>
      </c>
      <c r="D1399" s="2989">
        <v>1424598</v>
      </c>
      <c r="E1399" s="2990" t="s">
        <v>7528</v>
      </c>
      <c r="F1399" s="127">
        <v>0</v>
      </c>
      <c r="J1399" s="1998"/>
    </row>
    <row r="1400" spans="1:10" hidden="1">
      <c r="A1400" s="2989">
        <v>12</v>
      </c>
      <c r="B1400" s="2990" t="s">
        <v>5715</v>
      </c>
      <c r="C1400" s="2990" t="s">
        <v>5727</v>
      </c>
      <c r="D1400" s="2989">
        <v>1424599</v>
      </c>
      <c r="E1400" s="2990" t="s">
        <v>8237</v>
      </c>
      <c r="F1400" s="127">
        <v>0</v>
      </c>
      <c r="J1400" s="1998"/>
    </row>
    <row r="1401" spans="1:10" hidden="1">
      <c r="A1401" s="2989">
        <v>12</v>
      </c>
      <c r="B1401" s="2990" t="s">
        <v>5715</v>
      </c>
      <c r="C1401" s="2990" t="s">
        <v>5727</v>
      </c>
      <c r="D1401" s="2989">
        <v>1424698</v>
      </c>
      <c r="E1401" s="2990" t="s">
        <v>7587</v>
      </c>
      <c r="F1401" s="127">
        <v>0</v>
      </c>
      <c r="J1401" s="1998"/>
    </row>
    <row r="1402" spans="1:10" hidden="1">
      <c r="A1402" s="2989">
        <v>12</v>
      </c>
      <c r="B1402" s="2990" t="s">
        <v>5715</v>
      </c>
      <c r="C1402" s="2990" t="s">
        <v>5727</v>
      </c>
      <c r="D1402" s="2989">
        <v>1424800</v>
      </c>
      <c r="E1402" s="2990" t="s">
        <v>8238</v>
      </c>
      <c r="F1402" s="127">
        <v>0</v>
      </c>
      <c r="J1402" s="1998"/>
    </row>
    <row r="1403" spans="1:10" hidden="1">
      <c r="A1403" s="2989">
        <v>12</v>
      </c>
      <c r="B1403" s="2990" t="s">
        <v>5715</v>
      </c>
      <c r="C1403" s="2990" t="s">
        <v>5727</v>
      </c>
      <c r="D1403" s="2989">
        <v>1424801</v>
      </c>
      <c r="E1403" s="2990" t="s">
        <v>8239</v>
      </c>
      <c r="F1403" s="127">
        <v>0</v>
      </c>
      <c r="J1403" s="1998"/>
    </row>
    <row r="1404" spans="1:10" hidden="1">
      <c r="A1404" s="2989">
        <v>12</v>
      </c>
      <c r="B1404" s="2990" t="s">
        <v>5715</v>
      </c>
      <c r="C1404" s="2990" t="s">
        <v>5727</v>
      </c>
      <c r="D1404" s="2989">
        <v>1424802</v>
      </c>
      <c r="E1404" s="2990" t="s">
        <v>8240</v>
      </c>
      <c r="F1404" s="127">
        <v>0</v>
      </c>
      <c r="J1404" s="1998"/>
    </row>
    <row r="1405" spans="1:10" hidden="1">
      <c r="A1405" s="2989"/>
      <c r="B1405" s="2990"/>
      <c r="C1405" s="2990"/>
      <c r="D1405" s="2989">
        <v>2046432</v>
      </c>
      <c r="E1405" s="2990" t="s">
        <v>8241</v>
      </c>
      <c r="F1405" s="127">
        <v>0</v>
      </c>
      <c r="J1405" s="1998"/>
    </row>
    <row r="1406" spans="1:10" hidden="1">
      <c r="A1406" s="2989">
        <v>10</v>
      </c>
      <c r="B1406" s="2990" t="s">
        <v>5656</v>
      </c>
      <c r="C1406" s="2990" t="s">
        <v>5657</v>
      </c>
      <c r="D1406" s="2989">
        <v>2046920</v>
      </c>
      <c r="E1406" s="2990" t="s">
        <v>7727</v>
      </c>
      <c r="F1406" s="127">
        <v>-6.4972928989999996</v>
      </c>
      <c r="J1406" s="1998"/>
    </row>
    <row r="1407" spans="1:10" hidden="1">
      <c r="A1407" s="2989"/>
      <c r="B1407" s="2990"/>
      <c r="C1407" s="2990"/>
      <c r="D1407" s="2989">
        <v>2046961</v>
      </c>
      <c r="E1407" s="2990" t="s">
        <v>8242</v>
      </c>
      <c r="F1407" s="127">
        <v>0</v>
      </c>
      <c r="J1407" s="1998"/>
    </row>
    <row r="1408" spans="1:10" hidden="1">
      <c r="A1408" s="2989">
        <v>33</v>
      </c>
      <c r="B1408" s="2990" t="s">
        <v>6298</v>
      </c>
      <c r="C1408" s="2990" t="s">
        <v>116</v>
      </c>
      <c r="D1408" s="2989">
        <v>2051235</v>
      </c>
      <c r="E1408" s="2990" t="s">
        <v>8243</v>
      </c>
      <c r="F1408" s="127">
        <v>-2.1780794000000298E-2</v>
      </c>
      <c r="J1408" s="1998"/>
    </row>
    <row r="1409" spans="1:10" hidden="1">
      <c r="A1409" s="2989">
        <v>102</v>
      </c>
      <c r="B1409" s="2990" t="s">
        <v>8244</v>
      </c>
      <c r="C1409" s="2990" t="s">
        <v>7610</v>
      </c>
      <c r="D1409" s="2989">
        <v>2052104</v>
      </c>
      <c r="E1409" s="2990" t="s">
        <v>7610</v>
      </c>
      <c r="F1409" s="127">
        <v>0</v>
      </c>
      <c r="J1409" s="1998"/>
    </row>
    <row r="1410" spans="1:10" hidden="1">
      <c r="A1410" s="2989" t="s">
        <v>8245</v>
      </c>
      <c r="B1410" s="2990" t="s">
        <v>5789</v>
      </c>
      <c r="C1410" s="2990" t="s">
        <v>5862</v>
      </c>
      <c r="D1410" s="2989">
        <v>2053312</v>
      </c>
      <c r="E1410" s="2990" t="s">
        <v>7640</v>
      </c>
      <c r="F1410" s="127">
        <v>-115</v>
      </c>
      <c r="J1410" s="1998"/>
    </row>
    <row r="1411" spans="1:10" hidden="1">
      <c r="A1411" s="2989">
        <v>103</v>
      </c>
      <c r="B1411" s="2990" t="s">
        <v>8246</v>
      </c>
      <c r="C1411" s="2990" t="s">
        <v>8247</v>
      </c>
      <c r="D1411" s="2989">
        <v>2053313</v>
      </c>
      <c r="E1411" s="2990" t="s">
        <v>7641</v>
      </c>
      <c r="F1411" s="127">
        <v>-99.642282386999995</v>
      </c>
      <c r="J1411" s="1998"/>
    </row>
    <row r="1412" spans="1:10" hidden="1">
      <c r="A1412" s="2989"/>
      <c r="B1412" s="2990"/>
      <c r="C1412" s="2990"/>
      <c r="D1412" s="2989">
        <v>4022321</v>
      </c>
      <c r="E1412" s="2990" t="s">
        <v>8248</v>
      </c>
      <c r="F1412" s="127">
        <v>0</v>
      </c>
      <c r="J1412" s="1998"/>
    </row>
    <row r="1413" spans="1:10" hidden="1">
      <c r="A1413" s="2989">
        <v>72</v>
      </c>
      <c r="B1413" s="2990" t="s">
        <v>1525</v>
      </c>
      <c r="C1413" s="2990" t="s">
        <v>5580</v>
      </c>
      <c r="D1413" s="2989">
        <v>4022336</v>
      </c>
      <c r="E1413" s="2990" t="s">
        <v>7877</v>
      </c>
      <c r="F1413" s="127">
        <v>2.9859720999999995E-2</v>
      </c>
      <c r="J1413" s="1998"/>
    </row>
    <row r="1414" spans="1:10" hidden="1">
      <c r="A1414" s="2989"/>
      <c r="B1414" s="2990"/>
      <c r="C1414" s="2990"/>
      <c r="D1414" s="2989">
        <v>4022341</v>
      </c>
      <c r="E1414" s="2990" t="s">
        <v>8249</v>
      </c>
      <c r="F1414" s="127">
        <v>0</v>
      </c>
      <c r="J1414" s="1998"/>
    </row>
    <row r="1415" spans="1:10" hidden="1">
      <c r="A1415" s="2989">
        <v>72</v>
      </c>
      <c r="B1415" s="2990" t="s">
        <v>1525</v>
      </c>
      <c r="C1415" s="2990" t="s">
        <v>5580</v>
      </c>
      <c r="D1415" s="2989">
        <v>4022611</v>
      </c>
      <c r="E1415" s="2990" t="s">
        <v>7818</v>
      </c>
      <c r="F1415" s="127">
        <v>0</v>
      </c>
      <c r="J1415" s="1998"/>
    </row>
    <row r="1416" spans="1:10" hidden="1">
      <c r="A1416" s="2989">
        <v>72</v>
      </c>
      <c r="B1416" s="2990" t="s">
        <v>1525</v>
      </c>
      <c r="C1416" s="2990" t="s">
        <v>5580</v>
      </c>
      <c r="D1416" s="2989">
        <v>4075688</v>
      </c>
      <c r="E1416" s="2990" t="s">
        <v>7840</v>
      </c>
      <c r="F1416" s="127">
        <v>2.3536999999999999E-2</v>
      </c>
      <c r="J1416" s="1998"/>
    </row>
    <row r="1417" spans="1:10" hidden="1">
      <c r="A1417" s="2989">
        <v>53</v>
      </c>
      <c r="B1417" s="2990" t="s">
        <v>6515</v>
      </c>
      <c r="C1417" s="2990" t="s">
        <v>6516</v>
      </c>
      <c r="D1417" s="2989">
        <v>4078715</v>
      </c>
      <c r="E1417" s="2990" t="s">
        <v>8250</v>
      </c>
      <c r="F1417" s="127">
        <v>4.07839507</v>
      </c>
      <c r="J1417" s="1998"/>
    </row>
    <row r="1418" spans="1:10" hidden="1">
      <c r="A1418" s="2989">
        <v>44</v>
      </c>
      <c r="B1418" s="2990" t="s">
        <v>5826</v>
      </c>
      <c r="C1418" s="2990" t="s">
        <v>5580</v>
      </c>
      <c r="D1418" s="2989">
        <v>5061905</v>
      </c>
      <c r="E1418" s="2990" t="s">
        <v>8251</v>
      </c>
      <c r="F1418" s="127">
        <v>0</v>
      </c>
      <c r="J1418" s="1998"/>
    </row>
    <row r="1419" spans="1:10" hidden="1">
      <c r="A1419" s="2989"/>
      <c r="B1419" s="2990"/>
      <c r="C1419" s="2990"/>
      <c r="D1419" s="2989">
        <v>8000000</v>
      </c>
      <c r="E1419" s="2990" t="s">
        <v>8252</v>
      </c>
      <c r="F1419" s="127">
        <v>0</v>
      </c>
      <c r="J1419" s="1998"/>
    </row>
    <row r="1420" spans="1:10" hidden="1">
      <c r="A1420" s="2989"/>
      <c r="B1420" s="2990"/>
      <c r="C1420" s="2990"/>
      <c r="D1420" s="2989">
        <v>8000002</v>
      </c>
      <c r="E1420" s="2990" t="s">
        <v>8253</v>
      </c>
      <c r="F1420" s="127">
        <v>0</v>
      </c>
      <c r="J1420" s="1998"/>
    </row>
    <row r="1421" spans="1:10" hidden="1">
      <c r="A1421" s="2989">
        <v>105</v>
      </c>
      <c r="B1421" s="2990" t="s">
        <v>8232</v>
      </c>
      <c r="C1421" s="2990" t="s">
        <v>7296</v>
      </c>
      <c r="D1421" s="2989">
        <v>1027411</v>
      </c>
      <c r="E1421" s="2990" t="s">
        <v>7296</v>
      </c>
      <c r="F1421" s="127">
        <v>13.765178608981262</v>
      </c>
      <c r="J1421" s="1998"/>
    </row>
    <row r="1422" spans="1:10" hidden="1">
      <c r="A1422" s="2989">
        <v>44</v>
      </c>
      <c r="B1422" s="2990" t="s">
        <v>5826</v>
      </c>
      <c r="C1422" s="2990" t="s">
        <v>8254</v>
      </c>
      <c r="D1422" s="2989">
        <v>1162912</v>
      </c>
      <c r="E1422" s="2990" t="s">
        <v>7823</v>
      </c>
      <c r="F1422" s="127">
        <v>0</v>
      </c>
      <c r="J1422" s="1998"/>
    </row>
    <row r="1423" spans="1:10" hidden="1">
      <c r="A1423" s="2989">
        <v>106</v>
      </c>
      <c r="B1423" s="2990" t="s">
        <v>8255</v>
      </c>
      <c r="C1423" s="2990" t="s">
        <v>8256</v>
      </c>
      <c r="D1423" s="2989">
        <v>4083810</v>
      </c>
      <c r="E1423" s="2990" t="s">
        <v>8257</v>
      </c>
      <c r="F1423" s="127">
        <v>1.5694129765513449</v>
      </c>
      <c r="J1423" s="1998"/>
    </row>
    <row r="1424" spans="1:10" hidden="1">
      <c r="A1424" s="2989">
        <v>12</v>
      </c>
      <c r="B1424" s="2990" t="s">
        <v>5715</v>
      </c>
      <c r="C1424" s="2990" t="s">
        <v>5727</v>
      </c>
      <c r="D1424" s="2989">
        <v>1424592</v>
      </c>
      <c r="E1424" s="2990" t="s">
        <v>8258</v>
      </c>
      <c r="F1424" s="127">
        <v>0</v>
      </c>
      <c r="J1424" s="1998"/>
    </row>
    <row r="1425" spans="1:10" hidden="1">
      <c r="A1425" s="2989">
        <v>4</v>
      </c>
      <c r="B1425" s="2990" t="s">
        <v>5730</v>
      </c>
      <c r="C1425" s="2990" t="s">
        <v>5731</v>
      </c>
      <c r="D1425" s="2989">
        <v>1024706</v>
      </c>
      <c r="E1425" s="2990" t="s">
        <v>8259</v>
      </c>
      <c r="F1425" s="127">
        <v>3.4841999999999929E-3</v>
      </c>
      <c r="J1425" s="1998"/>
    </row>
    <row r="1426" spans="1:10" hidden="1">
      <c r="A1426" s="2989"/>
      <c r="B1426" s="2990"/>
      <c r="C1426" s="2990"/>
      <c r="D1426" s="2989"/>
      <c r="E1426" s="2990"/>
      <c r="F1426" s="127">
        <v>0</v>
      </c>
      <c r="J1426" s="1998"/>
    </row>
    <row r="1427" spans="1:10" hidden="1">
      <c r="A1427" s="2989">
        <v>12</v>
      </c>
      <c r="B1427" s="2990" t="s">
        <v>5715</v>
      </c>
      <c r="C1427" s="2990" t="s">
        <v>5727</v>
      </c>
      <c r="D1427" s="2989">
        <v>1424499</v>
      </c>
      <c r="E1427" s="2990" t="s">
        <v>7472</v>
      </c>
      <c r="F1427" s="127">
        <v>6.8576060000000022E-2</v>
      </c>
      <c r="J1427" s="1998"/>
    </row>
    <row r="1428" spans="1:10" hidden="1">
      <c r="A1428" s="2989">
        <v>12</v>
      </c>
      <c r="B1428" s="2990" t="s">
        <v>5715</v>
      </c>
      <c r="C1428" s="2990" t="s">
        <v>5727</v>
      </c>
      <c r="D1428" s="2989">
        <v>1424700</v>
      </c>
      <c r="E1428" s="2990" t="s">
        <v>7588</v>
      </c>
      <c r="F1428" s="127">
        <v>12.626277760000001</v>
      </c>
      <c r="J1428" s="1998"/>
    </row>
    <row r="1429" spans="1:10" hidden="1">
      <c r="A1429" s="2989">
        <v>12</v>
      </c>
      <c r="B1429" s="2990" t="s">
        <v>5715</v>
      </c>
      <c r="C1429" s="2990" t="s">
        <v>5727</v>
      </c>
      <c r="D1429" s="2989">
        <v>1424701</v>
      </c>
      <c r="E1429" s="2990" t="s">
        <v>7589</v>
      </c>
      <c r="F1429" s="127">
        <v>9.8879084600000002</v>
      </c>
      <c r="J1429" s="1998"/>
    </row>
    <row r="1430" spans="1:10" hidden="1">
      <c r="A1430" s="2989">
        <v>12</v>
      </c>
      <c r="B1430" s="2990" t="s">
        <v>5715</v>
      </c>
      <c r="C1430" s="2990" t="s">
        <v>5727</v>
      </c>
      <c r="D1430" s="2989">
        <v>1424702</v>
      </c>
      <c r="E1430" s="2990" t="s">
        <v>7590</v>
      </c>
      <c r="F1430" s="127">
        <v>2.1869381469999993</v>
      </c>
      <c r="J1430" s="1998"/>
    </row>
    <row r="1431" spans="1:10" hidden="1">
      <c r="A1431" s="2989">
        <v>49</v>
      </c>
      <c r="B1431" s="2990" t="s">
        <v>6482</v>
      </c>
      <c r="C1431" s="2990" t="s">
        <v>6483</v>
      </c>
      <c r="D1431" s="2989">
        <v>4075910</v>
      </c>
      <c r="E1431" s="2990" t="s">
        <v>7834</v>
      </c>
      <c r="F1431" s="127">
        <v>0</v>
      </c>
      <c r="J1431" s="1998"/>
    </row>
    <row r="1432" spans="1:10" hidden="1">
      <c r="A1432" s="2989">
        <v>110</v>
      </c>
      <c r="B1432" s="2990" t="s">
        <v>8260</v>
      </c>
      <c r="C1432" s="2990" t="s">
        <v>8261</v>
      </c>
      <c r="D1432" s="2989">
        <v>4079710</v>
      </c>
      <c r="E1432" s="2990" t="s">
        <v>7916</v>
      </c>
      <c r="F1432" s="127">
        <v>0.57630216790778621</v>
      </c>
      <c r="J1432" s="1998"/>
    </row>
    <row r="1433" spans="1:10" hidden="1">
      <c r="A1433" s="2989">
        <v>117</v>
      </c>
      <c r="B1433" s="2990" t="s">
        <v>5792</v>
      </c>
      <c r="C1433" s="2990" t="s">
        <v>5793</v>
      </c>
      <c r="D1433" s="2989">
        <v>2044145</v>
      </c>
      <c r="E1433" s="2990" t="s">
        <v>7757</v>
      </c>
      <c r="F1433" s="127">
        <v>-10.347307567907785</v>
      </c>
      <c r="J1433" s="1998"/>
    </row>
    <row r="1434" spans="1:10" hidden="1">
      <c r="A1434" s="2989">
        <v>72</v>
      </c>
      <c r="B1434" s="2990" t="s">
        <v>8260</v>
      </c>
      <c r="C1434" s="2990" t="s">
        <v>8262</v>
      </c>
      <c r="D1434" s="2989">
        <v>4079510</v>
      </c>
      <c r="E1434" s="2990" t="s">
        <v>8262</v>
      </c>
      <c r="F1434" s="127">
        <v>0</v>
      </c>
      <c r="J1434" s="1998"/>
    </row>
    <row r="1435" spans="1:10" hidden="1">
      <c r="A1435" s="2989">
        <v>44</v>
      </c>
      <c r="B1435" s="2990" t="s">
        <v>8263</v>
      </c>
      <c r="C1435" s="2990" t="s">
        <v>8264</v>
      </c>
      <c r="D1435" s="2989">
        <v>1162905</v>
      </c>
      <c r="E1435" s="2990" t="s">
        <v>8265</v>
      </c>
      <c r="F1435" s="127">
        <v>0</v>
      </c>
      <c r="J1435" s="1998"/>
    </row>
    <row r="1436" spans="1:10" hidden="1">
      <c r="A1436" s="2989">
        <v>10</v>
      </c>
      <c r="B1436" s="2990" t="s">
        <v>5656</v>
      </c>
      <c r="C1436" s="2990" t="s">
        <v>5657</v>
      </c>
      <c r="D1436" s="2989">
        <v>1023116</v>
      </c>
      <c r="E1436" s="2990" t="s">
        <v>8266</v>
      </c>
      <c r="F1436" s="127">
        <v>-1.3101E-2</v>
      </c>
      <c r="J1436" s="1998"/>
    </row>
    <row r="1437" spans="1:10" hidden="1">
      <c r="A1437" s="2989">
        <v>4</v>
      </c>
      <c r="B1437" s="2990" t="s">
        <v>5730</v>
      </c>
      <c r="C1437" s="2990" t="s">
        <v>5731</v>
      </c>
      <c r="D1437" s="2989">
        <v>1024708</v>
      </c>
      <c r="E1437" s="2990" t="s">
        <v>8267</v>
      </c>
      <c r="F1437" s="127">
        <v>4.6874676009999998</v>
      </c>
      <c r="J1437" s="1998"/>
    </row>
    <row r="1438" spans="1:10" hidden="1">
      <c r="A1438" s="2989">
        <v>12</v>
      </c>
      <c r="B1438" s="2990" t="s">
        <v>5715</v>
      </c>
      <c r="C1438" s="2990" t="s">
        <v>5727</v>
      </c>
      <c r="D1438" s="2989">
        <v>1424699</v>
      </c>
      <c r="E1438" s="2990" t="s">
        <v>8268</v>
      </c>
      <c r="F1438" s="127">
        <v>0</v>
      </c>
      <c r="J1438" s="1998"/>
    </row>
    <row r="1439" spans="1:10" hidden="1">
      <c r="A1439" s="2989">
        <v>33</v>
      </c>
      <c r="B1439" s="2990" t="s">
        <v>6298</v>
      </c>
      <c r="C1439" s="2990" t="s">
        <v>116</v>
      </c>
      <c r="D1439" s="2989">
        <v>2051226</v>
      </c>
      <c r="E1439" s="2990" t="s">
        <v>8269</v>
      </c>
      <c r="F1439" s="127">
        <v>-2.0064953000000118E-2</v>
      </c>
      <c r="J1439" s="1998"/>
    </row>
    <row r="1440" spans="1:10" hidden="1">
      <c r="A1440" s="2989">
        <v>12</v>
      </c>
      <c r="B1440" s="2990" t="s">
        <v>5715</v>
      </c>
      <c r="C1440" s="2990" t="s">
        <v>5727</v>
      </c>
      <c r="D1440" s="2989">
        <v>1424217</v>
      </c>
      <c r="E1440" s="2990" t="s">
        <v>8270</v>
      </c>
      <c r="F1440" s="127">
        <v>0</v>
      </c>
      <c r="J1440" s="1998"/>
    </row>
    <row r="1441" spans="1:11" hidden="1">
      <c r="A1441" s="2989">
        <v>12</v>
      </c>
      <c r="B1441" s="2990" t="s">
        <v>5715</v>
      </c>
      <c r="C1441" s="2990" t="s">
        <v>5727</v>
      </c>
      <c r="D1441" s="2989">
        <v>1424317</v>
      </c>
      <c r="E1441" s="2990" t="s">
        <v>8271</v>
      </c>
      <c r="F1441" s="127">
        <v>0</v>
      </c>
      <c r="J1441" s="1998"/>
    </row>
    <row r="1442" spans="1:11" hidden="1">
      <c r="A1442" s="2989">
        <v>12</v>
      </c>
      <c r="B1442" s="2990" t="s">
        <v>5715</v>
      </c>
      <c r="C1442" s="2990" t="s">
        <v>5727</v>
      </c>
      <c r="D1442" s="2989">
        <v>1424378</v>
      </c>
      <c r="E1442" s="2990" t="s">
        <v>8272</v>
      </c>
      <c r="F1442" s="127">
        <v>-9.0835849999999999E-3</v>
      </c>
      <c r="J1442" s="1998"/>
    </row>
    <row r="1443" spans="1:11" hidden="1">
      <c r="A1443" s="2989">
        <v>12</v>
      </c>
      <c r="B1443" s="2990" t="s">
        <v>5715</v>
      </c>
      <c r="C1443" s="2990" t="s">
        <v>5727</v>
      </c>
      <c r="D1443" s="2989">
        <v>1424618</v>
      </c>
      <c r="E1443" s="2990" t="s">
        <v>8273</v>
      </c>
      <c r="F1443" s="127">
        <v>0</v>
      </c>
      <c r="J1443" s="1998"/>
    </row>
    <row r="1444" spans="1:11" hidden="1">
      <c r="A1444" s="2989">
        <v>12</v>
      </c>
      <c r="B1444" s="2990" t="s">
        <v>5715</v>
      </c>
      <c r="C1444" s="2990" t="s">
        <v>5727</v>
      </c>
      <c r="D1444" s="2989">
        <v>1424668</v>
      </c>
      <c r="E1444" s="2990" t="s">
        <v>8274</v>
      </c>
      <c r="F1444" s="127">
        <v>0</v>
      </c>
      <c r="J1444" s="1998"/>
    </row>
    <row r="1445" spans="1:11" hidden="1">
      <c r="A1445" s="2989">
        <v>12</v>
      </c>
      <c r="B1445" s="2990" t="s">
        <v>5715</v>
      </c>
      <c r="C1445" s="2990" t="s">
        <v>5727</v>
      </c>
      <c r="D1445" s="2989">
        <v>1424679</v>
      </c>
      <c r="E1445" s="2990" t="s">
        <v>8275</v>
      </c>
      <c r="F1445" s="127">
        <v>0</v>
      </c>
      <c r="J1445" s="1998"/>
    </row>
    <row r="1446" spans="1:11" hidden="1">
      <c r="A1446" s="2989">
        <v>12</v>
      </c>
      <c r="B1446" s="2990" t="s">
        <v>5715</v>
      </c>
      <c r="C1446" s="2990" t="s">
        <v>5727</v>
      </c>
      <c r="D1446" s="2989">
        <v>1424900</v>
      </c>
      <c r="E1446" s="2990" t="s">
        <v>8276</v>
      </c>
      <c r="F1446" s="127">
        <v>0</v>
      </c>
      <c r="J1446" s="1998"/>
    </row>
    <row r="1447" spans="1:11" hidden="1">
      <c r="A1447" s="2989">
        <v>12</v>
      </c>
      <c r="B1447" s="2990" t="s">
        <v>5715</v>
      </c>
      <c r="C1447" s="2990" t="s">
        <v>5727</v>
      </c>
      <c r="D1447" s="2989">
        <v>1424901</v>
      </c>
      <c r="E1447" s="2990" t="s">
        <v>8277</v>
      </c>
      <c r="F1447" s="127">
        <v>0</v>
      </c>
      <c r="J1447" s="1998"/>
    </row>
    <row r="1448" spans="1:11" hidden="1">
      <c r="A1448" s="2989">
        <v>12</v>
      </c>
      <c r="B1448" s="2990" t="s">
        <v>5715</v>
      </c>
      <c r="C1448" s="2990" t="s">
        <v>5727</v>
      </c>
      <c r="D1448" s="2989">
        <v>1424902</v>
      </c>
      <c r="E1448" s="2990" t="s">
        <v>8278</v>
      </c>
      <c r="F1448" s="127">
        <v>0</v>
      </c>
      <c r="J1448" s="1998"/>
    </row>
    <row r="1449" spans="1:11" hidden="1">
      <c r="A1449" s="2989" t="s">
        <v>5802</v>
      </c>
      <c r="B1449" s="2990" t="s">
        <v>5803</v>
      </c>
      <c r="C1449" s="2990" t="s">
        <v>5804</v>
      </c>
      <c r="D1449" s="2989">
        <v>2043710</v>
      </c>
      <c r="E1449" s="2990" t="s">
        <v>8279</v>
      </c>
      <c r="F1449" s="127">
        <v>0</v>
      </c>
      <c r="J1449" s="1998"/>
    </row>
    <row r="1450" spans="1:11" hidden="1">
      <c r="A1450" s="2989">
        <v>29</v>
      </c>
      <c r="B1450" s="2990" t="s">
        <v>5792</v>
      </c>
      <c r="C1450" s="2990" t="s">
        <v>1156</v>
      </c>
      <c r="D1450" s="2989">
        <v>2048125</v>
      </c>
      <c r="E1450" s="2990" t="s">
        <v>8280</v>
      </c>
      <c r="F1450" s="127">
        <v>1.513E-3</v>
      </c>
      <c r="J1450" s="1998"/>
    </row>
    <row r="1451" spans="1:11" hidden="1">
      <c r="A1451" s="2989">
        <v>12</v>
      </c>
      <c r="B1451" s="2990" t="s">
        <v>5715</v>
      </c>
      <c r="C1451" s="2990" t="s">
        <v>5727</v>
      </c>
      <c r="D1451" s="2989">
        <v>1424498</v>
      </c>
      <c r="E1451" s="2990" t="s">
        <v>8281</v>
      </c>
      <c r="F1451" s="127">
        <v>6.6840445000028614E-2</v>
      </c>
      <c r="J1451" s="1998"/>
    </row>
    <row r="1452" spans="1:11" hidden="1">
      <c r="A1452" s="2989">
        <v>12</v>
      </c>
      <c r="B1452" s="2990" t="s">
        <v>5715</v>
      </c>
      <c r="C1452" s="2990" t="s">
        <v>5727</v>
      </c>
      <c r="D1452" s="2989">
        <v>1424355</v>
      </c>
      <c r="E1452" s="2990" t="s">
        <v>8282</v>
      </c>
      <c r="F1452" s="127">
        <v>-7.8706000000000002E-3</v>
      </c>
      <c r="J1452" s="1998"/>
    </row>
    <row r="1453" spans="1:11" hidden="1">
      <c r="A1453" s="2989">
        <v>12</v>
      </c>
      <c r="B1453" s="2990" t="s">
        <v>5715</v>
      </c>
      <c r="C1453" s="2990" t="s">
        <v>5727</v>
      </c>
      <c r="D1453" s="2989">
        <v>1024199</v>
      </c>
      <c r="E1453" s="2990" t="s">
        <v>8283</v>
      </c>
      <c r="F1453" s="127">
        <v>0</v>
      </c>
      <c r="J1453" s="1998"/>
    </row>
    <row r="1454" spans="1:11" hidden="1">
      <c r="A1454" s="2989">
        <v>12</v>
      </c>
      <c r="B1454" s="2990" t="s">
        <v>5715</v>
      </c>
      <c r="C1454" s="2990" t="s">
        <v>5727</v>
      </c>
      <c r="D1454" s="2989">
        <v>1424117</v>
      </c>
      <c r="E1454" s="2990" t="s">
        <v>8284</v>
      </c>
      <c r="F1454" s="127">
        <v>2.1011612000000478E-2</v>
      </c>
      <c r="J1454" s="1998"/>
    </row>
    <row r="1455" spans="1:11" hidden="1">
      <c r="A1455" s="2989">
        <v>58</v>
      </c>
      <c r="B1455" s="2990" t="s">
        <v>1525</v>
      </c>
      <c r="C1455" s="2990" t="s">
        <v>5539</v>
      </c>
      <c r="D1455" s="2989">
        <v>4076179</v>
      </c>
      <c r="E1455" s="2990" t="s">
        <v>5582</v>
      </c>
      <c r="F1455" s="127">
        <v>0</v>
      </c>
      <c r="J1455" s="4">
        <v>7</v>
      </c>
      <c r="K1455" s="608" t="s">
        <v>6960</v>
      </c>
    </row>
    <row r="1456" spans="1:11" hidden="1">
      <c r="A1456" s="2989">
        <v>58</v>
      </c>
      <c r="B1456" s="2990" t="s">
        <v>1525</v>
      </c>
      <c r="C1456" s="2990" t="s">
        <v>5539</v>
      </c>
      <c r="D1456" s="2989">
        <v>5061911</v>
      </c>
      <c r="E1456" s="2990" t="s">
        <v>5608</v>
      </c>
      <c r="F1456" s="127">
        <v>-9.7E-5</v>
      </c>
      <c r="J1456" s="4">
        <v>7</v>
      </c>
      <c r="K1456" s="608" t="s">
        <v>6960</v>
      </c>
    </row>
    <row r="1457" spans="1:11" hidden="1">
      <c r="A1457" s="2989">
        <v>58</v>
      </c>
      <c r="B1457" s="2990" t="s">
        <v>1525</v>
      </c>
      <c r="C1457" s="2990" t="s">
        <v>5539</v>
      </c>
      <c r="D1457" s="2989">
        <v>5061912</v>
      </c>
      <c r="E1457" s="2990" t="s">
        <v>5609</v>
      </c>
      <c r="F1457" s="127">
        <v>7.6699999999999994E-5</v>
      </c>
      <c r="J1457" s="4">
        <v>7</v>
      </c>
      <c r="K1457" s="608" t="s">
        <v>6960</v>
      </c>
    </row>
    <row r="1458" spans="1:11" hidden="1">
      <c r="A1458" s="2989">
        <v>29</v>
      </c>
      <c r="B1458" s="2990" t="s">
        <v>5792</v>
      </c>
      <c r="C1458" s="2990" t="s">
        <v>1156</v>
      </c>
      <c r="D1458" s="2989">
        <v>2048105</v>
      </c>
      <c r="E1458" s="2990" t="s">
        <v>8285</v>
      </c>
      <c r="F1458" s="127">
        <v>-0.1966842</v>
      </c>
      <c r="J1458" s="1998"/>
    </row>
    <row r="1459" spans="1:11">
      <c r="A1459" s="2989">
        <v>1</v>
      </c>
      <c r="B1459" s="2990" t="s">
        <v>5628</v>
      </c>
      <c r="C1459" s="2990" t="s">
        <v>5813</v>
      </c>
      <c r="D1459" s="2989">
        <v>1039100</v>
      </c>
      <c r="E1459" s="2990" t="s">
        <v>8286</v>
      </c>
      <c r="F1459" s="127">
        <v>-1.101344367</v>
      </c>
      <c r="J1459" s="1998"/>
    </row>
    <row r="1460" spans="1:11">
      <c r="A1460" s="2989">
        <v>1</v>
      </c>
      <c r="B1460" s="2990" t="s">
        <v>5628</v>
      </c>
      <c r="C1460" s="2990" t="s">
        <v>119</v>
      </c>
      <c r="D1460" s="2989">
        <v>1039103</v>
      </c>
      <c r="E1460" s="2990" t="s">
        <v>8287</v>
      </c>
      <c r="F1460" s="127">
        <v>-0.26488378000000001</v>
      </c>
      <c r="J1460" s="1998"/>
    </row>
    <row r="1461" spans="1:11">
      <c r="A1461" s="2989">
        <v>1</v>
      </c>
      <c r="B1461" s="2990" t="s">
        <v>5628</v>
      </c>
      <c r="C1461" s="2990" t="s">
        <v>922</v>
      </c>
      <c r="D1461" s="2989">
        <v>1039107</v>
      </c>
      <c r="E1461" s="2990" t="s">
        <v>8288</v>
      </c>
      <c r="F1461" s="127">
        <v>-0.11551329499999999</v>
      </c>
      <c r="J1461" s="1998"/>
    </row>
    <row r="1462" spans="1:11">
      <c r="A1462" s="2989">
        <v>1</v>
      </c>
      <c r="B1462" s="2990" t="s">
        <v>5628</v>
      </c>
      <c r="C1462" s="2990" t="s">
        <v>922</v>
      </c>
      <c r="D1462" s="2989">
        <v>1039108</v>
      </c>
      <c r="E1462" s="2990" t="s">
        <v>8289</v>
      </c>
      <c r="F1462" s="127">
        <v>-4.2742038890000007</v>
      </c>
      <c r="J1462" s="1998"/>
    </row>
    <row r="1463" spans="1:11" hidden="1">
      <c r="A1463" s="2989">
        <v>77</v>
      </c>
      <c r="B1463" s="2990" t="s">
        <v>6509</v>
      </c>
      <c r="C1463" s="2990" t="s">
        <v>6509</v>
      </c>
      <c r="D1463" s="2989">
        <v>4077152</v>
      </c>
      <c r="E1463" s="2990" t="s">
        <v>7862</v>
      </c>
      <c r="F1463" s="127">
        <v>0.19417900300000002</v>
      </c>
      <c r="J1463" s="1998"/>
    </row>
    <row r="1464" spans="1:11" hidden="1">
      <c r="A1464" s="2989">
        <v>77</v>
      </c>
      <c r="B1464" s="2990" t="s">
        <v>6509</v>
      </c>
      <c r="C1464" s="2990" t="s">
        <v>6509</v>
      </c>
      <c r="D1464" s="2989">
        <v>4077160</v>
      </c>
      <c r="E1464" s="2990" t="s">
        <v>7863</v>
      </c>
      <c r="F1464" s="127">
        <v>1.687591134</v>
      </c>
      <c r="J1464" s="1998"/>
    </row>
    <row r="1465" spans="1:11" hidden="1">
      <c r="A1465" s="2989">
        <v>77</v>
      </c>
      <c r="B1465" s="2990" t="s">
        <v>6509</v>
      </c>
      <c r="C1465" s="2990" t="s">
        <v>6509</v>
      </c>
      <c r="D1465" s="2989">
        <v>4077192</v>
      </c>
      <c r="E1465" s="2990" t="s">
        <v>7864</v>
      </c>
      <c r="F1465" s="127">
        <v>2.7871280089999999</v>
      </c>
      <c r="J1465" s="1998"/>
    </row>
    <row r="1466" spans="1:11" hidden="1">
      <c r="A1466" s="2989">
        <v>72</v>
      </c>
      <c r="B1466" s="2990"/>
      <c r="C1466" s="2990"/>
      <c r="D1466" s="2989">
        <v>4077610</v>
      </c>
      <c r="E1466" s="2990" t="s">
        <v>8290</v>
      </c>
      <c r="F1466" s="127">
        <v>9.9999999999999995E-8</v>
      </c>
      <c r="J1466" s="1998"/>
    </row>
    <row r="1467" spans="1:11" hidden="1">
      <c r="A1467" s="2989">
        <v>10</v>
      </c>
      <c r="B1467" s="2990" t="s">
        <v>5656</v>
      </c>
      <c r="C1467" s="2990" t="s">
        <v>5657</v>
      </c>
      <c r="D1467" s="2989">
        <v>1023217</v>
      </c>
      <c r="E1467" s="2990" t="s">
        <v>8291</v>
      </c>
      <c r="F1467" s="127">
        <v>-1.7834999999999999E-3</v>
      </c>
      <c r="J1467" s="1998"/>
    </row>
    <row r="1468" spans="1:11" hidden="1">
      <c r="A1468" s="2989">
        <v>15</v>
      </c>
      <c r="B1468" s="2990" t="s">
        <v>5730</v>
      </c>
      <c r="C1468" s="2990" t="s">
        <v>3394</v>
      </c>
      <c r="D1468" s="2989">
        <v>1028838</v>
      </c>
      <c r="E1468" s="2990" t="s">
        <v>8292</v>
      </c>
      <c r="F1468" s="127">
        <v>-2.7000000001862646E-8</v>
      </c>
      <c r="J1468" s="1998"/>
    </row>
    <row r="1469" spans="1:11" hidden="1">
      <c r="A1469" s="2989">
        <v>57</v>
      </c>
      <c r="B1469" s="2990"/>
      <c r="C1469" s="2990"/>
      <c r="D1469" s="2989">
        <v>4022337</v>
      </c>
      <c r="E1469" s="2990" t="s">
        <v>8293</v>
      </c>
      <c r="F1469" s="127">
        <v>0.121607044</v>
      </c>
      <c r="J1469">
        <v>1</v>
      </c>
    </row>
    <row r="1470" spans="1:11" hidden="1">
      <c r="A1470" s="2989">
        <v>62</v>
      </c>
      <c r="B1470" s="2990"/>
      <c r="C1470" s="2990"/>
      <c r="D1470" s="2989">
        <v>4076171</v>
      </c>
      <c r="E1470" s="2990" t="s">
        <v>8294</v>
      </c>
      <c r="F1470" s="127">
        <v>1E-4</v>
      </c>
      <c r="J1470" s="1998"/>
    </row>
    <row r="1471" spans="1:11" hidden="1">
      <c r="A1471" s="2989">
        <v>70</v>
      </c>
      <c r="B1471" s="2990" t="s">
        <v>1525</v>
      </c>
      <c r="C1471" s="2990" t="s">
        <v>5572</v>
      </c>
      <c r="D1471" s="2989">
        <v>1162931</v>
      </c>
      <c r="E1471" s="2990" t="s">
        <v>8295</v>
      </c>
      <c r="F1471" s="127">
        <v>-1.46E-4</v>
      </c>
      <c r="J1471" s="1998"/>
    </row>
    <row r="1472" spans="1:11" hidden="1">
      <c r="A1472" s="2989">
        <v>30</v>
      </c>
      <c r="B1472" s="2990" t="s">
        <v>5792</v>
      </c>
      <c r="C1472" s="2990" t="s">
        <v>6357</v>
      </c>
      <c r="D1472" s="2989">
        <v>1028103</v>
      </c>
      <c r="E1472" s="2990" t="s">
        <v>8296</v>
      </c>
      <c r="F1472" s="127">
        <v>-0.1967952</v>
      </c>
      <c r="J1472" s="1998"/>
    </row>
    <row r="1473" spans="1:11" hidden="1">
      <c r="A1473" s="2989">
        <v>72</v>
      </c>
      <c r="B1473" s="2990" t="s">
        <v>1525</v>
      </c>
      <c r="C1473" s="2990" t="s">
        <v>5580</v>
      </c>
      <c r="D1473" s="2989">
        <v>1028744</v>
      </c>
      <c r="E1473" s="2990" t="s">
        <v>8297</v>
      </c>
      <c r="F1473" s="127">
        <v>-6.5748999999999998E-3</v>
      </c>
      <c r="J1473" s="1998"/>
    </row>
    <row r="1474" spans="1:11" hidden="1">
      <c r="A1474" s="2989">
        <v>116</v>
      </c>
      <c r="B1474" s="2990" t="s">
        <v>6362</v>
      </c>
      <c r="C1474" s="2990" t="s">
        <v>6363</v>
      </c>
      <c r="D1474" s="2989">
        <v>2047350</v>
      </c>
      <c r="E1474" s="2990" t="s">
        <v>8298</v>
      </c>
      <c r="F1474" s="127">
        <v>-12.6570638</v>
      </c>
      <c r="J1474" s="1998"/>
    </row>
    <row r="1475" spans="1:11" hidden="1">
      <c r="A1475" s="2989">
        <v>59</v>
      </c>
      <c r="B1475" s="2990" t="s">
        <v>1525</v>
      </c>
      <c r="C1475" s="2990" t="s">
        <v>5543</v>
      </c>
      <c r="D1475" s="2989">
        <v>4022327</v>
      </c>
      <c r="E1475" s="2990" t="s">
        <v>8299</v>
      </c>
      <c r="F1475" s="127">
        <v>1.45224E-4</v>
      </c>
      <c r="J1475">
        <v>7</v>
      </c>
      <c r="K1475" s="608" t="s">
        <v>6960</v>
      </c>
    </row>
    <row r="1476" spans="1:11" hidden="1">
      <c r="A1476" s="2989">
        <v>2</v>
      </c>
      <c r="B1476" s="2990" t="s">
        <v>1020</v>
      </c>
      <c r="C1476" s="2990" t="s">
        <v>1020</v>
      </c>
      <c r="D1476" s="2989">
        <v>4022615</v>
      </c>
      <c r="E1476" s="2990" t="s">
        <v>6700</v>
      </c>
      <c r="F1476" s="127">
        <v>0</v>
      </c>
      <c r="J1476" s="1998"/>
    </row>
    <row r="1477" spans="1:11" hidden="1">
      <c r="A1477" s="2989">
        <v>55</v>
      </c>
      <c r="B1477" s="2990" t="s">
        <v>6515</v>
      </c>
      <c r="C1477" s="2990" t="s">
        <v>6528</v>
      </c>
      <c r="D1477" s="2989">
        <v>4078888</v>
      </c>
      <c r="E1477" s="2990" t="s">
        <v>8300</v>
      </c>
      <c r="F1477" s="127">
        <v>5.0000000000000004E-6</v>
      </c>
      <c r="J1477" s="1998"/>
    </row>
    <row r="1478" spans="1:11" hidden="1">
      <c r="A1478" s="2989">
        <v>72</v>
      </c>
      <c r="B1478" s="2990" t="s">
        <v>1525</v>
      </c>
      <c r="C1478" s="2990" t="s">
        <v>5580</v>
      </c>
      <c r="D1478" s="2989">
        <v>5000002</v>
      </c>
      <c r="E1478" s="2990" t="s">
        <v>8301</v>
      </c>
      <c r="F1478" s="127">
        <v>-1.2999999999999997E-7</v>
      </c>
      <c r="J1478" s="1998"/>
    </row>
    <row r="1479" spans="1:11" hidden="1">
      <c r="A1479" s="2989">
        <v>72</v>
      </c>
      <c r="B1479" s="2990" t="s">
        <v>1525</v>
      </c>
      <c r="C1479" s="2990" t="s">
        <v>5580</v>
      </c>
      <c r="D1479" s="2989">
        <v>6000002</v>
      </c>
      <c r="E1479" s="2990" t="s">
        <v>8302</v>
      </c>
      <c r="F1479" s="127">
        <v>6.9167610000000004E-3</v>
      </c>
      <c r="J1479" s="1998"/>
    </row>
    <row r="1480" spans="1:11" hidden="1">
      <c r="A1480" s="2989">
        <v>32</v>
      </c>
      <c r="B1480" s="2990" t="s">
        <v>6298</v>
      </c>
      <c r="C1480" s="2990" t="s">
        <v>6299</v>
      </c>
      <c r="D1480" s="2989">
        <v>7000019</v>
      </c>
      <c r="E1480" s="2990" t="s">
        <v>8303</v>
      </c>
      <c r="F1480" s="127">
        <v>-9.2647700000000003E-3</v>
      </c>
      <c r="J1480" s="1998"/>
    </row>
    <row r="1481" spans="1:11" hidden="1">
      <c r="A1481" s="2989">
        <v>15</v>
      </c>
      <c r="B1481" s="2990" t="s">
        <v>5730</v>
      </c>
      <c r="C1481" s="2990" t="s">
        <v>3394</v>
      </c>
      <c r="D1481" s="2989">
        <v>1028842</v>
      </c>
      <c r="E1481" s="2990" t="s">
        <v>8304</v>
      </c>
      <c r="F1481" s="127">
        <v>0</v>
      </c>
      <c r="J1481" s="1998"/>
    </row>
    <row r="1482" spans="1:11" hidden="1">
      <c r="A1482" s="2989">
        <v>12</v>
      </c>
      <c r="B1482" s="2990" t="s">
        <v>5715</v>
      </c>
      <c r="C1482" s="2990" t="s">
        <v>5727</v>
      </c>
      <c r="D1482" s="2989">
        <v>1424489</v>
      </c>
      <c r="E1482" s="2990" t="s">
        <v>8305</v>
      </c>
      <c r="F1482" s="127">
        <v>8.8400000000000006E-2</v>
      </c>
      <c r="J1482" s="1998"/>
    </row>
  </sheetData>
  <autoFilter ref="A1:S1482" xr:uid="{00000000-0001-0000-1500-000000000000}">
    <filterColumn colId="1">
      <filters>
        <filter val="Property,Plant &amp; Equipment"/>
      </filters>
    </filterColumn>
  </autoFilter>
  <conditionalFormatting sqref="D2:D11">
    <cfRule type="duplicateValues" dxfId="64" priority="64"/>
  </conditionalFormatting>
  <conditionalFormatting sqref="D12:D24">
    <cfRule type="duplicateValues" dxfId="63" priority="63"/>
  </conditionalFormatting>
  <conditionalFormatting sqref="D25:D29">
    <cfRule type="duplicateValues" dxfId="62" priority="62"/>
  </conditionalFormatting>
  <conditionalFormatting sqref="D30">
    <cfRule type="duplicateValues" dxfId="61" priority="61"/>
  </conditionalFormatting>
  <conditionalFormatting sqref="D31:D36">
    <cfRule type="duplicateValues" dxfId="60" priority="60"/>
  </conditionalFormatting>
  <conditionalFormatting sqref="D37">
    <cfRule type="duplicateValues" dxfId="59" priority="59"/>
  </conditionalFormatting>
  <conditionalFormatting sqref="D38:D43">
    <cfRule type="duplicateValues" dxfId="58" priority="58"/>
  </conditionalFormatting>
  <conditionalFormatting sqref="D44:D46">
    <cfRule type="duplicateValues" dxfId="57" priority="57"/>
  </conditionalFormatting>
  <conditionalFormatting sqref="D47">
    <cfRule type="duplicateValues" dxfId="56" priority="56"/>
  </conditionalFormatting>
  <conditionalFormatting sqref="D48:D49">
    <cfRule type="duplicateValues" dxfId="55" priority="55"/>
  </conditionalFormatting>
  <conditionalFormatting sqref="D50">
    <cfRule type="duplicateValues" dxfId="54" priority="54"/>
  </conditionalFormatting>
  <conditionalFormatting sqref="D51:D54">
    <cfRule type="duplicateValues" dxfId="53" priority="53"/>
  </conditionalFormatting>
  <conditionalFormatting sqref="D55:D56">
    <cfRule type="duplicateValues" dxfId="52" priority="52"/>
  </conditionalFormatting>
  <conditionalFormatting sqref="D57:D58">
    <cfRule type="duplicateValues" dxfId="51" priority="51"/>
  </conditionalFormatting>
  <conditionalFormatting sqref="D59:D60">
    <cfRule type="duplicateValues" dxfId="50" priority="50"/>
  </conditionalFormatting>
  <conditionalFormatting sqref="D61">
    <cfRule type="duplicateValues" dxfId="49" priority="49"/>
  </conditionalFormatting>
  <conditionalFormatting sqref="D62">
    <cfRule type="duplicateValues" dxfId="48" priority="48"/>
  </conditionalFormatting>
  <conditionalFormatting sqref="D63">
    <cfRule type="duplicateValues" dxfId="47" priority="47"/>
  </conditionalFormatting>
  <conditionalFormatting sqref="D64:D98">
    <cfRule type="duplicateValues" dxfId="46" priority="46"/>
  </conditionalFormatting>
  <conditionalFormatting sqref="D99">
    <cfRule type="duplicateValues" dxfId="45" priority="45"/>
  </conditionalFormatting>
  <conditionalFormatting sqref="D1">
    <cfRule type="duplicateValues" dxfId="44" priority="71"/>
  </conditionalFormatting>
  <conditionalFormatting sqref="D1296:D1309 D1161 D1171 D1141:D1144 D1155:D1156 D1007:D1139 D106:D266 D281:D1001">
    <cfRule type="duplicateValues" dxfId="43" priority="44"/>
  </conditionalFormatting>
  <conditionalFormatting sqref="D100">
    <cfRule type="duplicateValues" dxfId="42" priority="43"/>
  </conditionalFormatting>
  <conditionalFormatting sqref="D101">
    <cfRule type="duplicateValues" dxfId="41" priority="42"/>
  </conditionalFormatting>
  <conditionalFormatting sqref="D102">
    <cfRule type="duplicateValues" dxfId="40" priority="41"/>
  </conditionalFormatting>
  <conditionalFormatting sqref="D103">
    <cfRule type="duplicateValues" dxfId="39" priority="40"/>
  </conditionalFormatting>
  <conditionalFormatting sqref="D104">
    <cfRule type="duplicateValues" dxfId="38" priority="39"/>
  </conditionalFormatting>
  <conditionalFormatting sqref="D105">
    <cfRule type="duplicateValues" dxfId="37" priority="38"/>
  </conditionalFormatting>
  <conditionalFormatting sqref="D267:D273">
    <cfRule type="duplicateValues" dxfId="36" priority="37"/>
  </conditionalFormatting>
  <conditionalFormatting sqref="D274:D280">
    <cfRule type="duplicateValues" dxfId="35" priority="36"/>
  </conditionalFormatting>
  <conditionalFormatting sqref="D1005:D1006">
    <cfRule type="duplicateValues" dxfId="34" priority="35"/>
  </conditionalFormatting>
  <conditionalFormatting sqref="D1145:D1149">
    <cfRule type="duplicateValues" dxfId="33" priority="34"/>
  </conditionalFormatting>
  <conditionalFormatting sqref="D1157">
    <cfRule type="duplicateValues" dxfId="32" priority="33"/>
  </conditionalFormatting>
  <conditionalFormatting sqref="D1158">
    <cfRule type="duplicateValues" dxfId="31" priority="32"/>
  </conditionalFormatting>
  <conditionalFormatting sqref="D1150">
    <cfRule type="duplicateValues" dxfId="30" priority="31"/>
  </conditionalFormatting>
  <conditionalFormatting sqref="D1151">
    <cfRule type="duplicateValues" dxfId="29" priority="30"/>
  </conditionalFormatting>
  <conditionalFormatting sqref="D1152">
    <cfRule type="duplicateValues" dxfId="28" priority="29"/>
  </conditionalFormatting>
  <conditionalFormatting sqref="D1153">
    <cfRule type="duplicateValues" dxfId="27" priority="28"/>
  </conditionalFormatting>
  <conditionalFormatting sqref="D1154">
    <cfRule type="duplicateValues" dxfId="26" priority="27"/>
  </conditionalFormatting>
  <conditionalFormatting sqref="D1160">
    <cfRule type="duplicateValues" dxfId="25" priority="26"/>
  </conditionalFormatting>
  <conditionalFormatting sqref="D1162">
    <cfRule type="duplicateValues" dxfId="24" priority="25"/>
  </conditionalFormatting>
  <conditionalFormatting sqref="D1163">
    <cfRule type="duplicateValues" dxfId="23" priority="24"/>
  </conditionalFormatting>
  <conditionalFormatting sqref="D1164">
    <cfRule type="duplicateValues" dxfId="22" priority="23"/>
  </conditionalFormatting>
  <conditionalFormatting sqref="D1165">
    <cfRule type="duplicateValues" dxfId="21" priority="22"/>
  </conditionalFormatting>
  <conditionalFormatting sqref="D1166">
    <cfRule type="duplicateValues" dxfId="20" priority="21"/>
  </conditionalFormatting>
  <conditionalFormatting sqref="D1167">
    <cfRule type="duplicateValues" dxfId="19" priority="20"/>
  </conditionalFormatting>
  <conditionalFormatting sqref="D1168">
    <cfRule type="duplicateValues" dxfId="18" priority="19"/>
  </conditionalFormatting>
  <conditionalFormatting sqref="D1169">
    <cfRule type="duplicateValues" dxfId="17" priority="18"/>
  </conditionalFormatting>
  <conditionalFormatting sqref="D1159">
    <cfRule type="duplicateValues" dxfId="16" priority="17"/>
  </conditionalFormatting>
  <conditionalFormatting sqref="D1172:D1173">
    <cfRule type="duplicateValues" dxfId="15" priority="16"/>
  </conditionalFormatting>
  <conditionalFormatting sqref="D1174">
    <cfRule type="duplicateValues" dxfId="14" priority="15"/>
  </conditionalFormatting>
  <conditionalFormatting sqref="D1175">
    <cfRule type="duplicateValues" dxfId="13" priority="14"/>
  </conditionalFormatting>
  <conditionalFormatting sqref="D1170">
    <cfRule type="duplicateValues" dxfId="12" priority="13"/>
  </conditionalFormatting>
  <conditionalFormatting sqref="D1237:D1255 D1261:D1295">
    <cfRule type="duplicateValues" dxfId="11" priority="12"/>
  </conditionalFormatting>
  <conditionalFormatting sqref="D1176:D1181">
    <cfRule type="duplicateValues" dxfId="10" priority="11"/>
  </conditionalFormatting>
  <conditionalFormatting sqref="D1182:D1197">
    <cfRule type="duplicateValues" dxfId="9" priority="10"/>
  </conditionalFormatting>
  <conditionalFormatting sqref="D1198:D1209">
    <cfRule type="duplicateValues" dxfId="8" priority="9"/>
  </conditionalFormatting>
  <conditionalFormatting sqref="D1210:D1221">
    <cfRule type="duplicateValues" dxfId="7" priority="8"/>
  </conditionalFormatting>
  <conditionalFormatting sqref="D1222:D1234">
    <cfRule type="duplicateValues" dxfId="6" priority="7"/>
  </conditionalFormatting>
  <conditionalFormatting sqref="D1235:D1236">
    <cfRule type="duplicateValues" dxfId="5" priority="6"/>
  </conditionalFormatting>
  <conditionalFormatting sqref="D1256:D1260">
    <cfRule type="duplicateValues" dxfId="4" priority="5"/>
  </conditionalFormatting>
  <conditionalFormatting sqref="D1310">
    <cfRule type="duplicateValues" dxfId="3" priority="4"/>
  </conditionalFormatting>
  <conditionalFormatting sqref="D1311">
    <cfRule type="duplicateValues" dxfId="2" priority="3"/>
  </conditionalFormatting>
  <conditionalFormatting sqref="D1312">
    <cfRule type="duplicateValues" dxfId="1" priority="2"/>
  </conditionalFormatting>
  <conditionalFormatting sqref="D1313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65"/>
  <sheetViews>
    <sheetView workbookViewId="0">
      <pane xSplit="2" ySplit="6" topLeftCell="C7" activePane="bottomRight" state="frozen"/>
      <selection activeCell="C21" sqref="C21"/>
      <selection pane="topRight" activeCell="C21" sqref="C21"/>
      <selection pane="bottomLeft" activeCell="C21" sqref="C21"/>
      <selection pane="bottomRight"/>
    </sheetView>
  </sheetViews>
  <sheetFormatPr defaultColWidth="14.7265625" defaultRowHeight="12.5"/>
  <cols>
    <col min="1" max="1" width="2" style="332" customWidth="1"/>
    <col min="2" max="2" width="4.1796875" style="332" customWidth="1"/>
    <col min="3" max="3" width="37" style="332" customWidth="1"/>
    <col min="4" max="4" width="9.453125" style="332" customWidth="1"/>
    <col min="5" max="5" width="15.453125" style="333" customWidth="1"/>
    <col min="6" max="6" width="15.1796875" style="333" bestFit="1" customWidth="1"/>
    <col min="7" max="7" width="13.81640625" style="333" bestFit="1" customWidth="1"/>
    <col min="8" max="8" width="15.26953125" style="333" bestFit="1" customWidth="1"/>
    <col min="9" max="16384" width="14.7265625" style="332"/>
  </cols>
  <sheetData>
    <row r="1" spans="2:10" ht="15.5">
      <c r="B1" s="334"/>
      <c r="C1" s="335"/>
      <c r="D1" s="335"/>
      <c r="E1" s="336"/>
      <c r="F1" s="336"/>
      <c r="G1" s="336"/>
      <c r="H1" s="336"/>
    </row>
    <row r="2" spans="2:10" ht="15.5">
      <c r="B2" s="334" t="s">
        <v>340</v>
      </c>
      <c r="C2" s="335"/>
      <c r="D2" s="335"/>
      <c r="E2" s="336"/>
      <c r="F2" s="336"/>
      <c r="G2" s="336"/>
      <c r="H2" s="336"/>
    </row>
    <row r="3" spans="2:10" ht="13">
      <c r="C3" s="337"/>
    </row>
    <row r="4" spans="2:10" ht="13">
      <c r="B4" s="338"/>
      <c r="C4" s="339"/>
      <c r="D4" s="338"/>
      <c r="E4" s="3164" t="s">
        <v>422</v>
      </c>
      <c r="F4" s="3164"/>
      <c r="G4" s="3164"/>
      <c r="H4" s="3164"/>
    </row>
    <row r="5" spans="2:10" s="344" customFormat="1" ht="76.5" customHeight="1">
      <c r="B5" s="341"/>
      <c r="C5" s="342" t="s">
        <v>485</v>
      </c>
      <c r="D5" s="342" t="s">
        <v>464</v>
      </c>
      <c r="E5" s="343" t="s">
        <v>148</v>
      </c>
      <c r="F5" s="343" t="s">
        <v>149</v>
      </c>
      <c r="G5" s="343" t="s">
        <v>150</v>
      </c>
      <c r="H5" s="343" t="s">
        <v>151</v>
      </c>
    </row>
    <row r="6" spans="2:10" s="337" customFormat="1" ht="13">
      <c r="B6" s="345"/>
      <c r="C6" s="345"/>
      <c r="D6" s="345"/>
      <c r="E6" s="345" t="s">
        <v>665</v>
      </c>
      <c r="F6" s="345" t="s">
        <v>665</v>
      </c>
      <c r="G6" s="345" t="s">
        <v>665</v>
      </c>
      <c r="H6" s="345" t="s">
        <v>665</v>
      </c>
    </row>
    <row r="7" spans="2:10" s="337" customFormat="1" ht="13">
      <c r="B7" s="346"/>
      <c r="C7" s="346" t="s">
        <v>161</v>
      </c>
      <c r="D7" s="346"/>
      <c r="E7" s="347"/>
      <c r="F7" s="347"/>
      <c r="G7" s="347"/>
      <c r="H7" s="347"/>
    </row>
    <row r="8" spans="2:10">
      <c r="B8" s="348">
        <v>1</v>
      </c>
      <c r="C8" s="349" t="s">
        <v>666</v>
      </c>
      <c r="D8" s="348" t="s">
        <v>1496</v>
      </c>
      <c r="E8" s="350"/>
      <c r="F8" s="350"/>
      <c r="G8" s="350"/>
      <c r="H8" s="350"/>
    </row>
    <row r="9" spans="2:10">
      <c r="B9" s="348" t="s">
        <v>637</v>
      </c>
      <c r="C9" s="349" t="s">
        <v>465</v>
      </c>
      <c r="D9" s="338"/>
      <c r="E9" s="350">
        <v>0.3</v>
      </c>
      <c r="F9" s="350"/>
      <c r="G9" s="350"/>
      <c r="H9" s="350"/>
    </row>
    <row r="10" spans="2:10">
      <c r="B10" s="348" t="s">
        <v>441</v>
      </c>
      <c r="C10" s="349" t="s">
        <v>116</v>
      </c>
      <c r="D10" s="338"/>
      <c r="E10" s="350">
        <v>122.4</v>
      </c>
      <c r="F10" s="350"/>
      <c r="G10" s="350"/>
      <c r="H10" s="350"/>
      <c r="J10" s="332" t="s">
        <v>152</v>
      </c>
    </row>
    <row r="11" spans="2:10">
      <c r="B11" s="348"/>
      <c r="C11" s="349" t="s">
        <v>1324</v>
      </c>
      <c r="D11" s="338"/>
      <c r="E11" s="350"/>
      <c r="F11" s="350"/>
      <c r="G11" s="350"/>
      <c r="H11" s="350"/>
      <c r="J11" s="332" t="s">
        <v>114</v>
      </c>
    </row>
    <row r="12" spans="2:10">
      <c r="B12" s="348"/>
      <c r="C12" s="349" t="s">
        <v>1325</v>
      </c>
      <c r="D12" s="338"/>
      <c r="E12" s="350"/>
      <c r="F12" s="350"/>
      <c r="G12" s="350"/>
      <c r="H12" s="350"/>
      <c r="J12" s="332" t="s">
        <v>153</v>
      </c>
    </row>
    <row r="13" spans="2:10">
      <c r="B13" s="348"/>
      <c r="C13" s="349" t="s">
        <v>1326</v>
      </c>
      <c r="D13" s="338"/>
      <c r="E13" s="350"/>
      <c r="F13" s="350"/>
      <c r="G13" s="350"/>
      <c r="H13" s="350"/>
    </row>
    <row r="14" spans="2:10" s="337" customFormat="1" ht="13">
      <c r="B14" s="345"/>
      <c r="C14" s="339" t="s">
        <v>957</v>
      </c>
      <c r="D14" s="345"/>
      <c r="E14" s="350">
        <f>E10+E9</f>
        <v>122.7</v>
      </c>
      <c r="F14" s="350"/>
      <c r="G14" s="350"/>
      <c r="H14" s="350"/>
    </row>
    <row r="15" spans="2:10">
      <c r="B15" s="348">
        <v>2</v>
      </c>
      <c r="C15" s="338" t="s">
        <v>958</v>
      </c>
      <c r="D15" s="348" t="s">
        <v>1496</v>
      </c>
      <c r="E15" s="350"/>
      <c r="F15" s="350"/>
      <c r="G15" s="350"/>
      <c r="H15" s="350"/>
    </row>
    <row r="16" spans="2:10">
      <c r="B16" s="348"/>
      <c r="C16" s="349" t="s">
        <v>1328</v>
      </c>
      <c r="D16" s="348"/>
      <c r="E16" s="350"/>
      <c r="F16" s="350"/>
      <c r="G16" s="350"/>
      <c r="H16" s="350"/>
    </row>
    <row r="17" spans="2:8">
      <c r="B17" s="348"/>
      <c r="C17" s="349" t="s">
        <v>1329</v>
      </c>
      <c r="D17" s="348"/>
      <c r="E17" s="350"/>
      <c r="F17" s="350"/>
      <c r="G17" s="350"/>
      <c r="H17" s="350"/>
    </row>
    <row r="18" spans="2:8">
      <c r="B18" s="348"/>
      <c r="C18" s="349" t="s">
        <v>1330</v>
      </c>
      <c r="D18" s="338"/>
      <c r="E18" s="350"/>
      <c r="F18" s="350"/>
      <c r="G18" s="350"/>
      <c r="H18" s="350"/>
    </row>
    <row r="19" spans="2:8">
      <c r="B19" s="348"/>
      <c r="C19" s="349" t="s">
        <v>1331</v>
      </c>
      <c r="D19" s="348"/>
      <c r="E19" s="350"/>
      <c r="F19" s="350"/>
      <c r="G19" s="350"/>
      <c r="H19" s="350"/>
    </row>
    <row r="20" spans="2:8" s="337" customFormat="1" ht="13">
      <c r="B20" s="345"/>
      <c r="C20" s="339" t="s">
        <v>959</v>
      </c>
      <c r="D20" s="339"/>
      <c r="E20" s="350">
        <v>32.78</v>
      </c>
      <c r="F20" s="350"/>
      <c r="G20" s="350"/>
      <c r="H20" s="350"/>
    </row>
    <row r="21" spans="2:8">
      <c r="B21" s="348">
        <v>3</v>
      </c>
      <c r="C21" s="349" t="s">
        <v>667</v>
      </c>
      <c r="D21" s="348" t="s">
        <v>1496</v>
      </c>
      <c r="E21" s="350">
        <v>1.36</v>
      </c>
      <c r="F21" s="350"/>
      <c r="G21" s="350"/>
      <c r="H21" s="350"/>
    </row>
    <row r="22" spans="2:8">
      <c r="B22" s="348">
        <v>4</v>
      </c>
      <c r="C22" s="349" t="s">
        <v>423</v>
      </c>
      <c r="D22" s="348"/>
      <c r="E22" s="350">
        <v>0.79</v>
      </c>
      <c r="F22" s="350"/>
      <c r="G22" s="350"/>
      <c r="H22" s="350"/>
    </row>
    <row r="23" spans="2:8">
      <c r="B23" s="348">
        <v>5</v>
      </c>
      <c r="C23" s="349" t="s">
        <v>424</v>
      </c>
      <c r="D23" s="348"/>
      <c r="E23" s="350">
        <v>0.06</v>
      </c>
      <c r="F23" s="350"/>
      <c r="G23" s="350"/>
      <c r="H23" s="350"/>
    </row>
    <row r="24" spans="2:8">
      <c r="B24" s="348">
        <v>6</v>
      </c>
      <c r="C24" s="349" t="s">
        <v>934</v>
      </c>
      <c r="D24" s="348" t="s">
        <v>1496</v>
      </c>
      <c r="E24" s="350">
        <v>0.1</v>
      </c>
      <c r="F24" s="350"/>
      <c r="G24" s="350"/>
      <c r="H24" s="350">
        <v>1.82</v>
      </c>
    </row>
    <row r="25" spans="2:8">
      <c r="B25" s="348">
        <v>7</v>
      </c>
      <c r="C25" s="349" t="s">
        <v>968</v>
      </c>
      <c r="D25" s="348" t="s">
        <v>1496</v>
      </c>
      <c r="E25" s="350">
        <v>4.53</v>
      </c>
      <c r="F25" s="350"/>
      <c r="G25" s="350"/>
      <c r="H25" s="350"/>
    </row>
    <row r="26" spans="2:8">
      <c r="B26" s="348">
        <v>8</v>
      </c>
      <c r="C26" s="349" t="s">
        <v>969</v>
      </c>
      <c r="D26" s="348" t="s">
        <v>1496</v>
      </c>
      <c r="E26" s="350">
        <v>2.38</v>
      </c>
      <c r="F26" s="350"/>
      <c r="G26" s="350"/>
      <c r="H26" s="350">
        <v>4.18</v>
      </c>
    </row>
    <row r="27" spans="2:8">
      <c r="B27" s="348">
        <v>9</v>
      </c>
      <c r="C27" s="349" t="s">
        <v>561</v>
      </c>
      <c r="D27" s="348" t="s">
        <v>1496</v>
      </c>
      <c r="E27" s="350">
        <v>1.22</v>
      </c>
      <c r="F27" s="350"/>
      <c r="G27" s="350"/>
      <c r="H27" s="350">
        <v>4.8600000000000003</v>
      </c>
    </row>
    <row r="28" spans="2:8">
      <c r="B28" s="348">
        <v>10</v>
      </c>
      <c r="C28" s="349" t="s">
        <v>1004</v>
      </c>
      <c r="D28" s="348" t="s">
        <v>1496</v>
      </c>
      <c r="E28" s="350"/>
      <c r="F28" s="350"/>
      <c r="G28" s="350"/>
      <c r="H28" s="350"/>
    </row>
    <row r="29" spans="2:8">
      <c r="B29" s="348" t="s">
        <v>970</v>
      </c>
      <c r="C29" s="348" t="s">
        <v>971</v>
      </c>
      <c r="D29" s="348"/>
      <c r="E29" s="350">
        <v>1.36</v>
      </c>
      <c r="F29" s="350"/>
      <c r="G29" s="350"/>
      <c r="H29" s="350">
        <v>4.88</v>
      </c>
    </row>
    <row r="30" spans="2:8">
      <c r="B30" s="348" t="s">
        <v>972</v>
      </c>
      <c r="C30" s="348" t="s">
        <v>973</v>
      </c>
      <c r="D30" s="348" t="s">
        <v>1496</v>
      </c>
      <c r="E30" s="350">
        <v>0.11</v>
      </c>
      <c r="F30" s="350">
        <v>0</v>
      </c>
      <c r="G30" s="350">
        <v>0.25</v>
      </c>
      <c r="H30" s="350"/>
    </row>
    <row r="31" spans="2:8">
      <c r="B31" s="348"/>
      <c r="C31" s="349" t="s">
        <v>1005</v>
      </c>
      <c r="D31" s="348"/>
      <c r="E31" s="350"/>
      <c r="F31" s="350"/>
      <c r="G31" s="350"/>
      <c r="H31" s="350"/>
    </row>
    <row r="32" spans="2:8">
      <c r="B32" s="348">
        <v>11</v>
      </c>
      <c r="C32" s="338" t="s">
        <v>974</v>
      </c>
      <c r="D32" s="348" t="s">
        <v>1496</v>
      </c>
      <c r="E32" s="350">
        <v>0.11</v>
      </c>
      <c r="F32" s="350">
        <v>0.4</v>
      </c>
      <c r="G32" s="350">
        <v>0</v>
      </c>
      <c r="H32" s="350"/>
    </row>
    <row r="33" spans="2:8">
      <c r="B33" s="348">
        <v>12</v>
      </c>
      <c r="C33" s="338" t="s">
        <v>890</v>
      </c>
      <c r="D33" s="348" t="s">
        <v>1496</v>
      </c>
      <c r="E33" s="350">
        <v>0.02</v>
      </c>
      <c r="F33" s="350">
        <v>0</v>
      </c>
      <c r="G33" s="350">
        <v>0.09</v>
      </c>
      <c r="H33" s="350"/>
    </row>
    <row r="34" spans="2:8" s="337" customFormat="1" ht="13">
      <c r="B34" s="345"/>
      <c r="C34" s="339" t="s">
        <v>975</v>
      </c>
      <c r="D34" s="345"/>
      <c r="E34" s="340">
        <f>E14+E20+SUM(E21:E27,E31:E33)</f>
        <v>166.05</v>
      </c>
      <c r="F34" s="340">
        <f>F14+F20+SUM(F21:F27,F31:F33)</f>
        <v>0.4</v>
      </c>
      <c r="G34" s="340">
        <f>G14+G20+SUM(G21:G27,G31:G33)</f>
        <v>0.09</v>
      </c>
      <c r="H34" s="340">
        <f>H14+H20+SUM(H21:H27,H31:H33)</f>
        <v>10.86</v>
      </c>
    </row>
    <row r="35" spans="2:8" s="337" customFormat="1" ht="13">
      <c r="B35" s="345"/>
      <c r="C35" s="345" t="s">
        <v>1333</v>
      </c>
      <c r="D35" s="345"/>
      <c r="E35" s="340"/>
      <c r="F35" s="340"/>
      <c r="G35" s="340"/>
      <c r="H35" s="340"/>
    </row>
    <row r="36" spans="2:8">
      <c r="B36" s="348">
        <v>13</v>
      </c>
      <c r="C36" s="338" t="s">
        <v>1334</v>
      </c>
      <c r="D36" s="348" t="s">
        <v>169</v>
      </c>
      <c r="E36" s="350">
        <v>2.58</v>
      </c>
      <c r="F36" s="350"/>
      <c r="G36" s="350"/>
      <c r="H36" s="350"/>
    </row>
    <row r="37" spans="2:8">
      <c r="B37" s="348">
        <v>14</v>
      </c>
      <c r="C37" s="338" t="s">
        <v>667</v>
      </c>
      <c r="D37" s="348" t="s">
        <v>169</v>
      </c>
      <c r="E37" s="350"/>
      <c r="F37" s="350"/>
      <c r="G37" s="350"/>
      <c r="H37" s="350"/>
    </row>
    <row r="38" spans="2:8">
      <c r="B38" s="348">
        <v>15</v>
      </c>
      <c r="C38" s="349" t="s">
        <v>423</v>
      </c>
      <c r="D38" s="348" t="s">
        <v>169</v>
      </c>
      <c r="E38" s="350">
        <v>0.37</v>
      </c>
      <c r="F38" s="350">
        <v>7.0000000000000007E-2</v>
      </c>
      <c r="G38" s="350">
        <v>0.13</v>
      </c>
      <c r="H38" s="350"/>
    </row>
    <row r="39" spans="2:8">
      <c r="B39" s="348">
        <v>16</v>
      </c>
      <c r="C39" s="349" t="s">
        <v>424</v>
      </c>
      <c r="D39" s="348" t="s">
        <v>169</v>
      </c>
      <c r="E39" s="350"/>
      <c r="F39" s="350"/>
      <c r="G39" s="350">
        <v>0.25</v>
      </c>
      <c r="H39" s="350"/>
    </row>
    <row r="40" spans="2:8">
      <c r="B40" s="348">
        <v>17</v>
      </c>
      <c r="C40" s="349" t="s">
        <v>561</v>
      </c>
      <c r="D40" s="348" t="s">
        <v>169</v>
      </c>
      <c r="E40" s="350">
        <v>0.75</v>
      </c>
      <c r="F40" s="350">
        <v>0</v>
      </c>
      <c r="G40" s="350">
        <v>1.91</v>
      </c>
      <c r="H40" s="350">
        <v>0.8</v>
      </c>
    </row>
    <row r="41" spans="2:8">
      <c r="B41" s="348">
        <v>18</v>
      </c>
      <c r="C41" s="338" t="s">
        <v>976</v>
      </c>
      <c r="D41" s="348" t="s">
        <v>169</v>
      </c>
      <c r="E41" s="350"/>
      <c r="F41" s="350"/>
      <c r="G41" s="350"/>
      <c r="H41" s="350"/>
    </row>
    <row r="42" spans="2:8">
      <c r="B42" s="348">
        <v>19</v>
      </c>
      <c r="C42" s="349" t="s">
        <v>977</v>
      </c>
      <c r="D42" s="348" t="s">
        <v>169</v>
      </c>
      <c r="E42" s="350">
        <v>2.29</v>
      </c>
      <c r="F42" s="350">
        <v>0</v>
      </c>
      <c r="G42" s="350">
        <v>0</v>
      </c>
      <c r="H42" s="350">
        <v>1.45</v>
      </c>
    </row>
    <row r="43" spans="2:8">
      <c r="B43" s="348">
        <v>20</v>
      </c>
      <c r="C43" s="338" t="s">
        <v>974</v>
      </c>
      <c r="D43" s="348" t="s">
        <v>169</v>
      </c>
      <c r="E43" s="350">
        <v>2.94</v>
      </c>
      <c r="F43" s="350">
        <v>1.65</v>
      </c>
      <c r="G43" s="350">
        <v>6.67</v>
      </c>
      <c r="H43" s="350">
        <v>0.27</v>
      </c>
    </row>
    <row r="44" spans="2:8">
      <c r="B44" s="348">
        <v>21</v>
      </c>
      <c r="C44" s="349" t="s">
        <v>1004</v>
      </c>
      <c r="D44" s="348" t="s">
        <v>169</v>
      </c>
      <c r="E44" s="350">
        <v>2.1</v>
      </c>
      <c r="F44" s="350">
        <v>3.51</v>
      </c>
      <c r="G44" s="350">
        <v>2.23</v>
      </c>
      <c r="H44" s="350"/>
    </row>
    <row r="45" spans="2:8">
      <c r="B45" s="348">
        <v>22</v>
      </c>
      <c r="C45" s="338" t="s">
        <v>890</v>
      </c>
      <c r="D45" s="348" t="s">
        <v>169</v>
      </c>
      <c r="E45" s="350">
        <v>10.96</v>
      </c>
      <c r="F45" s="350">
        <v>31.06</v>
      </c>
      <c r="G45" s="350">
        <v>10.5</v>
      </c>
      <c r="H45" s="350">
        <v>0.57999999999999996</v>
      </c>
    </row>
    <row r="46" spans="2:8">
      <c r="B46" s="348">
        <v>23</v>
      </c>
      <c r="C46" s="338" t="s">
        <v>893</v>
      </c>
      <c r="D46" s="348" t="s">
        <v>169</v>
      </c>
      <c r="E46" s="350">
        <v>2.88</v>
      </c>
      <c r="F46" s="350">
        <v>31.52</v>
      </c>
      <c r="G46" s="350"/>
      <c r="H46" s="350">
        <v>0.9</v>
      </c>
    </row>
    <row r="47" spans="2:8">
      <c r="B47" s="348">
        <v>24</v>
      </c>
      <c r="C47" s="338" t="s">
        <v>1336</v>
      </c>
      <c r="D47" s="348" t="s">
        <v>169</v>
      </c>
      <c r="E47" s="350"/>
      <c r="F47" s="350"/>
      <c r="G47" s="350"/>
      <c r="H47" s="350"/>
    </row>
    <row r="48" spans="2:8">
      <c r="B48" s="348">
        <v>25</v>
      </c>
      <c r="C48" s="338" t="s">
        <v>891</v>
      </c>
      <c r="D48" s="348" t="s">
        <v>169</v>
      </c>
      <c r="E48" s="350"/>
      <c r="F48" s="350"/>
      <c r="G48" s="350"/>
      <c r="H48" s="350"/>
    </row>
    <row r="49" spans="2:8">
      <c r="B49" s="348">
        <v>26</v>
      </c>
      <c r="C49" s="338" t="s">
        <v>1339</v>
      </c>
      <c r="D49" s="348" t="s">
        <v>169</v>
      </c>
      <c r="E49" s="350"/>
      <c r="F49" s="350"/>
      <c r="G49" s="350"/>
      <c r="H49" s="350"/>
    </row>
    <row r="50" spans="2:8">
      <c r="B50" s="348">
        <v>27</v>
      </c>
      <c r="C50" s="338" t="s">
        <v>1337</v>
      </c>
      <c r="D50" s="348" t="s">
        <v>169</v>
      </c>
      <c r="E50" s="350"/>
      <c r="F50" s="350"/>
      <c r="G50" s="350"/>
      <c r="H50" s="350"/>
    </row>
    <row r="51" spans="2:8">
      <c r="B51" s="348">
        <v>28</v>
      </c>
      <c r="C51" s="338" t="s">
        <v>646</v>
      </c>
      <c r="D51" s="348"/>
      <c r="E51" s="350"/>
      <c r="F51" s="350"/>
      <c r="G51" s="350"/>
      <c r="H51" s="350"/>
    </row>
    <row r="52" spans="2:8" s="337" customFormat="1" ht="13">
      <c r="B52" s="345"/>
      <c r="C52" s="339" t="s">
        <v>967</v>
      </c>
      <c r="D52" s="345"/>
      <c r="E52" s="340">
        <f>SUM(E36:E51)</f>
        <v>24.87</v>
      </c>
      <c r="F52" s="340">
        <f>SUM(F36:F51)</f>
        <v>67.81</v>
      </c>
      <c r="G52" s="340">
        <f>SUM(G36:G51)</f>
        <v>21.69</v>
      </c>
      <c r="H52" s="340">
        <f>SUM(H36:H51)</f>
        <v>4</v>
      </c>
    </row>
    <row r="53" spans="2:8" s="337" customFormat="1" ht="13">
      <c r="B53" s="345"/>
      <c r="C53" s="345" t="s">
        <v>1338</v>
      </c>
      <c r="D53" s="345"/>
      <c r="E53" s="340"/>
      <c r="F53" s="340"/>
      <c r="G53" s="340"/>
      <c r="H53" s="340"/>
    </row>
    <row r="54" spans="2:8">
      <c r="B54" s="348">
        <v>29</v>
      </c>
      <c r="C54" s="338" t="s">
        <v>670</v>
      </c>
      <c r="D54" s="348" t="s">
        <v>1494</v>
      </c>
      <c r="E54" s="350"/>
      <c r="F54" s="350"/>
      <c r="G54" s="350"/>
      <c r="H54" s="350"/>
    </row>
    <row r="55" spans="2:8">
      <c r="B55" s="348">
        <v>30</v>
      </c>
      <c r="C55" s="338" t="s">
        <v>890</v>
      </c>
      <c r="D55" s="348" t="s">
        <v>1494</v>
      </c>
      <c r="E55" s="350">
        <v>20.27</v>
      </c>
      <c r="F55" s="350">
        <v>21.54</v>
      </c>
      <c r="G55" s="350">
        <v>0</v>
      </c>
      <c r="H55" s="350">
        <v>0.19</v>
      </c>
    </row>
    <row r="56" spans="2:8">
      <c r="B56" s="348">
        <v>31</v>
      </c>
      <c r="C56" s="338" t="s">
        <v>891</v>
      </c>
      <c r="D56" s="348" t="s">
        <v>1494</v>
      </c>
      <c r="E56" s="350">
        <v>31.52</v>
      </c>
      <c r="F56" s="350">
        <v>40.33</v>
      </c>
      <c r="G56" s="350">
        <v>0</v>
      </c>
      <c r="H56" s="350">
        <v>0</v>
      </c>
    </row>
    <row r="57" spans="2:8">
      <c r="B57" s="348">
        <v>32</v>
      </c>
      <c r="C57" s="338" t="s">
        <v>892</v>
      </c>
      <c r="D57" s="348" t="s">
        <v>1494</v>
      </c>
      <c r="E57" s="350"/>
      <c r="F57" s="350"/>
      <c r="G57" s="350"/>
      <c r="H57" s="350"/>
    </row>
    <row r="58" spans="2:8">
      <c r="B58" s="348">
        <v>33</v>
      </c>
      <c r="C58" s="338" t="s">
        <v>893</v>
      </c>
      <c r="D58" s="348" t="s">
        <v>1494</v>
      </c>
      <c r="E58" s="350"/>
      <c r="F58" s="350"/>
      <c r="G58" s="350"/>
      <c r="H58" s="350"/>
    </row>
    <row r="59" spans="2:8">
      <c r="B59" s="348">
        <v>34</v>
      </c>
      <c r="C59" s="338" t="s">
        <v>1336</v>
      </c>
      <c r="D59" s="348" t="s">
        <v>1494</v>
      </c>
      <c r="E59" s="350"/>
      <c r="F59" s="350"/>
      <c r="G59" s="350"/>
      <c r="H59" s="350"/>
    </row>
    <row r="60" spans="2:8">
      <c r="B60" s="348">
        <v>35</v>
      </c>
      <c r="C60" s="338" t="s">
        <v>1339</v>
      </c>
      <c r="D60" s="348" t="s">
        <v>1494</v>
      </c>
      <c r="E60" s="350"/>
      <c r="F60" s="350"/>
      <c r="G60" s="350"/>
      <c r="H60" s="350"/>
    </row>
    <row r="61" spans="2:8">
      <c r="B61" s="348">
        <v>36</v>
      </c>
      <c r="C61" s="338" t="s">
        <v>1337</v>
      </c>
      <c r="D61" s="348" t="s">
        <v>1494</v>
      </c>
      <c r="E61" s="350"/>
      <c r="F61" s="350"/>
      <c r="G61" s="350"/>
      <c r="H61" s="350"/>
    </row>
    <row r="62" spans="2:8">
      <c r="B62" s="348">
        <v>37</v>
      </c>
      <c r="C62" s="338" t="s">
        <v>646</v>
      </c>
      <c r="D62" s="348"/>
      <c r="E62" s="350"/>
      <c r="F62" s="350"/>
      <c r="G62" s="350"/>
      <c r="H62" s="350"/>
    </row>
    <row r="63" spans="2:8" s="337" customFormat="1" ht="13">
      <c r="B63" s="351"/>
      <c r="C63" s="339" t="s">
        <v>1265</v>
      </c>
      <c r="D63" s="345"/>
      <c r="E63" s="340">
        <f>SUM(E54:E62)</f>
        <v>51.79</v>
      </c>
      <c r="F63" s="340">
        <f>SUM(F54:F62)</f>
        <v>61.87</v>
      </c>
      <c r="G63" s="340">
        <f>SUM(G54:G62)</f>
        <v>0</v>
      </c>
      <c r="H63" s="340">
        <f>SUM(H54:H62)</f>
        <v>0.19</v>
      </c>
    </row>
    <row r="64" spans="2:8" s="337" customFormat="1" ht="13">
      <c r="B64" s="352"/>
      <c r="C64" s="352" t="s">
        <v>1584</v>
      </c>
      <c r="D64" s="345"/>
      <c r="E64" s="340">
        <f>E34+E52+E63</f>
        <v>242.71</v>
      </c>
      <c r="F64" s="340">
        <f>F34+F52+F63</f>
        <v>130.08000000000001</v>
      </c>
      <c r="G64" s="340">
        <f>G34+G52+G63</f>
        <v>21.78</v>
      </c>
      <c r="H64" s="340">
        <f>H34+H52+H63</f>
        <v>15.049999999999999</v>
      </c>
    </row>
    <row r="65" spans="2:4" ht="13">
      <c r="B65" s="353"/>
      <c r="C65" s="337"/>
      <c r="D65" s="353"/>
    </row>
  </sheetData>
  <mergeCells count="1">
    <mergeCell ref="E4:H4"/>
  </mergeCells>
  <phoneticPr fontId="0" type="noConversion"/>
  <printOptions horizontalCentered="1" verticalCentered="1"/>
  <pageMargins left="0.25" right="0.25" top="0.5" bottom="0.25" header="0.5" footer="0.5"/>
  <pageSetup paperSize="9" scale="90" orientation="portrait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30"/>
  <sheetViews>
    <sheetView topLeftCell="A6" workbookViewId="0">
      <selection activeCell="B2034" sqref="B2034"/>
    </sheetView>
  </sheetViews>
  <sheetFormatPr defaultRowHeight="12.5"/>
  <cols>
    <col min="1" max="1" width="5.54296875" bestFit="1" customWidth="1"/>
    <col min="3" max="3" width="82.1796875" bestFit="1" customWidth="1"/>
  </cols>
  <sheetData>
    <row r="3" spans="1:3">
      <c r="A3" t="s">
        <v>3839</v>
      </c>
      <c r="B3" t="s">
        <v>6947</v>
      </c>
      <c r="C3" t="s">
        <v>428</v>
      </c>
    </row>
    <row r="4" spans="1:3">
      <c r="A4" s="4">
        <v>1</v>
      </c>
      <c r="B4" t="s">
        <v>6948</v>
      </c>
      <c r="C4" s="608" t="s">
        <v>6968</v>
      </c>
    </row>
    <row r="5" spans="1:3">
      <c r="A5" s="4">
        <v>2</v>
      </c>
      <c r="B5" t="s">
        <v>6949</v>
      </c>
      <c r="C5" s="608" t="s">
        <v>6969</v>
      </c>
    </row>
    <row r="6" spans="1:3">
      <c r="A6" s="4">
        <v>3</v>
      </c>
      <c r="B6" t="s">
        <v>6950</v>
      </c>
      <c r="C6" s="608" t="s">
        <v>6970</v>
      </c>
    </row>
    <row r="7" spans="1:3">
      <c r="A7" s="4">
        <v>4</v>
      </c>
      <c r="B7" t="s">
        <v>6951</v>
      </c>
      <c r="C7" s="608" t="s">
        <v>6971</v>
      </c>
    </row>
    <row r="8" spans="1:3">
      <c r="A8" s="4">
        <v>5</v>
      </c>
      <c r="B8" t="s">
        <v>6952</v>
      </c>
      <c r="C8" s="608" t="s">
        <v>6979</v>
      </c>
    </row>
    <row r="9" spans="1:3">
      <c r="A9" s="4">
        <v>6</v>
      </c>
      <c r="B9" t="s">
        <v>6953</v>
      </c>
      <c r="C9" s="608" t="s">
        <v>6980</v>
      </c>
    </row>
    <row r="10" spans="1:3">
      <c r="A10" s="4">
        <v>7</v>
      </c>
      <c r="B10" t="s">
        <v>6954</v>
      </c>
      <c r="C10" s="608" t="s">
        <v>6981</v>
      </c>
    </row>
    <row r="11" spans="1:3">
      <c r="A11" s="4">
        <v>8</v>
      </c>
      <c r="B11" t="s">
        <v>6955</v>
      </c>
      <c r="C11" s="608" t="s">
        <v>3743</v>
      </c>
    </row>
    <row r="12" spans="1:3">
      <c r="A12" s="4">
        <v>9</v>
      </c>
      <c r="B12" t="s">
        <v>6956</v>
      </c>
      <c r="C12" s="608" t="s">
        <v>3746</v>
      </c>
    </row>
    <row r="13" spans="1:3">
      <c r="A13" s="4">
        <v>10</v>
      </c>
      <c r="B13" t="s">
        <v>6957</v>
      </c>
      <c r="C13" s="608" t="s">
        <v>6982</v>
      </c>
    </row>
    <row r="14" spans="1:3">
      <c r="A14" s="4">
        <v>11</v>
      </c>
      <c r="B14" t="s">
        <v>6958</v>
      </c>
      <c r="C14" s="608" t="s">
        <v>6983</v>
      </c>
    </row>
    <row r="15" spans="1:3">
      <c r="A15" s="4">
        <v>12</v>
      </c>
      <c r="B15" t="s">
        <v>6959</v>
      </c>
      <c r="C15" s="608" t="s">
        <v>1681</v>
      </c>
    </row>
    <row r="16" spans="1:3">
      <c r="A16" s="4">
        <v>13</v>
      </c>
      <c r="B16" t="s">
        <v>6960</v>
      </c>
      <c r="C16" s="608" t="s">
        <v>3774</v>
      </c>
    </row>
    <row r="17" spans="1:3">
      <c r="A17" s="4">
        <v>14</v>
      </c>
      <c r="B17" t="s">
        <v>6961</v>
      </c>
      <c r="C17" s="608" t="s">
        <v>1729</v>
      </c>
    </row>
    <row r="18" spans="1:3">
      <c r="A18" s="4">
        <v>15</v>
      </c>
      <c r="B18" t="s">
        <v>6962</v>
      </c>
      <c r="C18" s="608" t="s">
        <v>6984</v>
      </c>
    </row>
    <row r="19" spans="1:3">
      <c r="A19" s="4">
        <v>16</v>
      </c>
      <c r="B19" t="s">
        <v>6963</v>
      </c>
      <c r="C19" s="608" t="s">
        <v>6985</v>
      </c>
    </row>
    <row r="20" spans="1:3">
      <c r="A20" s="4">
        <v>17</v>
      </c>
      <c r="B20" t="s">
        <v>6964</v>
      </c>
      <c r="C20" s="608" t="s">
        <v>6986</v>
      </c>
    </row>
    <row r="21" spans="1:3">
      <c r="A21" s="4">
        <v>18</v>
      </c>
      <c r="B21" t="s">
        <v>6965</v>
      </c>
      <c r="C21" s="608" t="s">
        <v>6987</v>
      </c>
    </row>
    <row r="22" spans="1:3">
      <c r="A22" s="4">
        <v>19</v>
      </c>
      <c r="B22" t="s">
        <v>6966</v>
      </c>
      <c r="C22" s="608" t="s">
        <v>6988</v>
      </c>
    </row>
    <row r="23" spans="1:3">
      <c r="A23" s="4">
        <v>20</v>
      </c>
      <c r="B23" t="s">
        <v>6967</v>
      </c>
      <c r="C23" t="s">
        <v>3796</v>
      </c>
    </row>
    <row r="24" spans="1:3">
      <c r="A24" s="4">
        <v>21</v>
      </c>
      <c r="B24" t="s">
        <v>6972</v>
      </c>
      <c r="C24" s="608" t="s">
        <v>6989</v>
      </c>
    </row>
    <row r="25" spans="1:3">
      <c r="A25" s="4">
        <v>22</v>
      </c>
      <c r="B25" t="s">
        <v>6973</v>
      </c>
      <c r="C25" s="608" t="s">
        <v>6990</v>
      </c>
    </row>
    <row r="26" spans="1:3">
      <c r="A26" s="4">
        <v>23</v>
      </c>
      <c r="B26" t="s">
        <v>6974</v>
      </c>
      <c r="C26" s="608" t="s">
        <v>1053</v>
      </c>
    </row>
    <row r="27" spans="1:3">
      <c r="A27" s="4">
        <v>24</v>
      </c>
      <c r="B27" t="s">
        <v>6975</v>
      </c>
      <c r="C27" t="s">
        <v>6991</v>
      </c>
    </row>
    <row r="28" spans="1:3">
      <c r="A28" s="4">
        <v>25</v>
      </c>
      <c r="B28" t="s">
        <v>6976</v>
      </c>
      <c r="C28" t="s">
        <v>6992</v>
      </c>
    </row>
    <row r="29" spans="1:3">
      <c r="A29" s="4">
        <v>26</v>
      </c>
      <c r="B29" t="s">
        <v>6977</v>
      </c>
      <c r="C29" t="s">
        <v>6993</v>
      </c>
    </row>
    <row r="30" spans="1:3">
      <c r="A30" s="4">
        <v>27</v>
      </c>
      <c r="B30" t="s">
        <v>6978</v>
      </c>
      <c r="C30" t="s">
        <v>3853</v>
      </c>
    </row>
  </sheetData>
  <phoneticPr fontId="187" type="noConversion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CA1D1-4C1C-490A-B157-64AAF11EF0E0}">
  <dimension ref="A1:M33"/>
  <sheetViews>
    <sheetView zoomScale="82" zoomScaleNormal="82" workbookViewId="0">
      <pane xSplit="1" ySplit="1" topLeftCell="B6" activePane="bottomRight" state="frozen"/>
      <selection activeCell="F35" sqref="F35"/>
      <selection pane="topRight" activeCell="F35" sqref="F35"/>
      <selection pane="bottomLeft" activeCell="F35" sqref="F35"/>
      <selection pane="bottomRight" activeCell="L18" sqref="L18"/>
    </sheetView>
  </sheetViews>
  <sheetFormatPr defaultRowHeight="12.5"/>
  <cols>
    <col min="1" max="1" width="18.36328125" style="141" customWidth="1"/>
    <col min="2" max="2" width="15.36328125" bestFit="1" customWidth="1"/>
    <col min="3" max="3" width="10.90625" customWidth="1"/>
    <col min="4" max="4" width="10.81640625" customWidth="1"/>
    <col min="5" max="5" width="10.6328125" customWidth="1"/>
    <col min="6" max="6" width="12.7265625" customWidth="1"/>
    <col min="8" max="8" width="11.1796875" customWidth="1"/>
    <col min="10" max="10" width="10.7265625" customWidth="1"/>
    <col min="11" max="11" width="10.90625" customWidth="1"/>
    <col min="12" max="12" width="10.54296875" customWidth="1"/>
    <col min="13" max="13" width="10.7265625" customWidth="1"/>
  </cols>
  <sheetData>
    <row r="1" spans="1:13" ht="62">
      <c r="A1" s="2861" t="s">
        <v>8003</v>
      </c>
      <c r="B1" s="2303" t="s">
        <v>529</v>
      </c>
      <c r="C1" s="2303" t="s">
        <v>674</v>
      </c>
      <c r="D1" s="2303" t="s">
        <v>675</v>
      </c>
      <c r="E1" s="2303" t="s">
        <v>6998</v>
      </c>
      <c r="F1" s="2303" t="s">
        <v>677</v>
      </c>
      <c r="G1" s="2303" t="s">
        <v>678</v>
      </c>
      <c r="H1" s="2303" t="s">
        <v>8006</v>
      </c>
      <c r="I1" s="2303" t="s">
        <v>8004</v>
      </c>
      <c r="J1" s="2303" t="s">
        <v>8011</v>
      </c>
      <c r="K1" s="2303" t="s">
        <v>8007</v>
      </c>
      <c r="L1" s="2862" t="s">
        <v>8005</v>
      </c>
      <c r="M1" s="2863" t="s">
        <v>8010</v>
      </c>
    </row>
    <row r="2" spans="1:13" s="44" customFormat="1">
      <c r="A2" s="3290" t="s">
        <v>8016</v>
      </c>
      <c r="B2" s="2919" t="s">
        <v>8008</v>
      </c>
      <c r="C2" s="2920">
        <v>100</v>
      </c>
      <c r="D2" s="2919" t="s">
        <v>8017</v>
      </c>
      <c r="E2" s="2921">
        <v>5.2999999999999999E-2</v>
      </c>
      <c r="F2" s="2919" t="s">
        <v>8018</v>
      </c>
      <c r="G2" s="2919"/>
      <c r="H2" s="2922">
        <v>0</v>
      </c>
      <c r="I2" s="2919">
        <v>85</v>
      </c>
      <c r="J2" s="2922">
        <v>0</v>
      </c>
      <c r="K2" s="2922">
        <f>H2+I2-J2</f>
        <v>85</v>
      </c>
      <c r="L2" s="2923">
        <f>3557534.24/10^7</f>
        <v>0.35575342400000004</v>
      </c>
      <c r="M2" s="2923"/>
    </row>
    <row r="3" spans="1:13" s="44" customFormat="1">
      <c r="A3" s="3291"/>
      <c r="B3" s="2919" t="s">
        <v>8014</v>
      </c>
      <c r="C3" s="2920">
        <v>200</v>
      </c>
      <c r="D3" s="2919" t="s">
        <v>8019</v>
      </c>
      <c r="E3" s="2921">
        <v>6.2E-2</v>
      </c>
      <c r="F3" s="2919" t="s">
        <v>8018</v>
      </c>
      <c r="G3" s="2919"/>
      <c r="H3" s="2924">
        <f>K2</f>
        <v>85</v>
      </c>
      <c r="I3" s="2919">
        <v>15</v>
      </c>
      <c r="J3" s="2922">
        <v>0</v>
      </c>
      <c r="K3" s="2922">
        <f t="shared" ref="K3:K5" si="0">H3+I3-J3</f>
        <v>100</v>
      </c>
      <c r="L3" s="2923">
        <f>13407533.71/10^7</f>
        <v>1.3407533710000001</v>
      </c>
      <c r="M3" s="2923"/>
    </row>
    <row r="4" spans="1:13" s="44" customFormat="1">
      <c r="A4" s="3291"/>
      <c r="B4" s="2919" t="s">
        <v>8015</v>
      </c>
      <c r="C4" s="2920">
        <v>200</v>
      </c>
      <c r="D4" s="2919" t="s">
        <v>8019</v>
      </c>
      <c r="E4" s="2925">
        <v>7.0000000000000007E-2</v>
      </c>
      <c r="F4" s="2919" t="s">
        <v>8018</v>
      </c>
      <c r="G4" s="2919"/>
      <c r="H4" s="2924">
        <f t="shared" ref="H4:H5" si="1">K3</f>
        <v>100</v>
      </c>
      <c r="I4" s="2919">
        <v>100</v>
      </c>
      <c r="J4" s="2919">
        <v>85</v>
      </c>
      <c r="K4" s="2922">
        <f t="shared" si="0"/>
        <v>115</v>
      </c>
      <c r="L4" s="2923">
        <f>(40783950.7/10^7)-L3</f>
        <v>2.7376416990000001</v>
      </c>
      <c r="M4" s="2919"/>
    </row>
    <row r="5" spans="1:13">
      <c r="A5" s="3292"/>
      <c r="B5" s="2919" t="s">
        <v>8009</v>
      </c>
      <c r="C5" s="2926"/>
      <c r="D5" s="2926"/>
      <c r="E5" s="2926"/>
      <c r="F5" s="2926"/>
      <c r="G5" s="2926"/>
      <c r="H5" s="2924">
        <f t="shared" si="1"/>
        <v>115</v>
      </c>
      <c r="I5" s="2926"/>
      <c r="J5" s="2926"/>
      <c r="K5" s="2922">
        <f t="shared" si="0"/>
        <v>115</v>
      </c>
      <c r="L5" s="2926"/>
      <c r="M5" s="2926"/>
    </row>
    <row r="6" spans="1:13" ht="15.5" customHeight="1">
      <c r="A6" s="3293" t="s">
        <v>8020</v>
      </c>
      <c r="B6" s="2885" t="s">
        <v>8008</v>
      </c>
      <c r="C6" s="2886">
        <v>200</v>
      </c>
      <c r="D6" s="2885" t="s">
        <v>8021</v>
      </c>
      <c r="E6" s="2887">
        <v>5.5500000000000001E-2</v>
      </c>
      <c r="F6" s="2885" t="s">
        <v>8022</v>
      </c>
      <c r="G6" s="2885"/>
      <c r="H6" s="2886">
        <v>0</v>
      </c>
      <c r="I6" s="2888">
        <v>249.92654883800003</v>
      </c>
      <c r="J6" s="2888">
        <f>I6</f>
        <v>249.92654883800003</v>
      </c>
      <c r="K6" s="2886">
        <f>H6+I6-J6</f>
        <v>0</v>
      </c>
      <c r="L6" s="2889">
        <f>28485286.72/10^7</f>
        <v>2.848528672</v>
      </c>
      <c r="M6" s="2885"/>
    </row>
    <row r="7" spans="1:13" ht="15.5" customHeight="1">
      <c r="A7" s="3294"/>
      <c r="B7" s="2885" t="s">
        <v>8014</v>
      </c>
      <c r="C7" s="2886">
        <v>200</v>
      </c>
      <c r="D7" s="2885" t="s">
        <v>8021</v>
      </c>
      <c r="E7" s="2887">
        <v>6.4500000000000002E-2</v>
      </c>
      <c r="F7" s="2885" t="s">
        <v>8022</v>
      </c>
      <c r="G7" s="2885"/>
      <c r="H7" s="2890">
        <f>K6</f>
        <v>0</v>
      </c>
      <c r="I7" s="2886">
        <v>130</v>
      </c>
      <c r="J7" s="2886">
        <v>0</v>
      </c>
      <c r="K7" s="2886">
        <f t="shared" ref="K7:K9" si="2">H7+I7-J7</f>
        <v>130</v>
      </c>
      <c r="L7" s="2889">
        <f>11574246.58/10^7</f>
        <v>1.1574246580000001</v>
      </c>
      <c r="M7" s="2885"/>
    </row>
    <row r="8" spans="1:13" ht="15.5" customHeight="1">
      <c r="A8" s="3294"/>
      <c r="B8" s="2885" t="s">
        <v>8015</v>
      </c>
      <c r="C8" s="2886">
        <v>200</v>
      </c>
      <c r="D8" s="2885" t="s">
        <v>8021</v>
      </c>
      <c r="E8" s="2887">
        <v>7.0499999999999993E-2</v>
      </c>
      <c r="F8" s="2885" t="s">
        <v>8022</v>
      </c>
      <c r="G8" s="2885"/>
      <c r="H8" s="2890">
        <f t="shared" ref="H8:H9" si="3">K7</f>
        <v>130</v>
      </c>
      <c r="I8" s="2886">
        <f>20+75+15+40</f>
        <v>150</v>
      </c>
      <c r="J8" s="2886">
        <f>60+20+70</f>
        <v>150</v>
      </c>
      <c r="K8" s="2886">
        <f t="shared" si="2"/>
        <v>130</v>
      </c>
      <c r="L8" s="2889">
        <f>(27990701.93/10^7)-L7</f>
        <v>1.6416455349999999</v>
      </c>
      <c r="M8" s="2885"/>
    </row>
    <row r="9" spans="1:13" ht="15.5" customHeight="1">
      <c r="A9" s="3295"/>
      <c r="B9" s="2885" t="s">
        <v>8009</v>
      </c>
      <c r="C9" s="2891"/>
      <c r="D9" s="2891"/>
      <c r="E9" s="2891"/>
      <c r="F9" s="2891"/>
      <c r="G9" s="2891"/>
      <c r="H9" s="2890">
        <f t="shared" si="3"/>
        <v>130</v>
      </c>
      <c r="I9" s="2892"/>
      <c r="J9" s="2891"/>
      <c r="K9" s="2886">
        <f t="shared" si="2"/>
        <v>130</v>
      </c>
      <c r="L9" s="2891"/>
      <c r="M9" s="2891"/>
    </row>
    <row r="10" spans="1:13" ht="15.5" customHeight="1">
      <c r="A10" s="3296" t="s">
        <v>8023</v>
      </c>
      <c r="B10" s="2895" t="s">
        <v>8008</v>
      </c>
      <c r="C10" s="2895">
        <v>30.29</v>
      </c>
      <c r="D10" s="2896">
        <v>44529</v>
      </c>
      <c r="E10" s="2895"/>
      <c r="F10" s="2895"/>
      <c r="G10" s="2895"/>
      <c r="H10" s="2897">
        <f>('OERC 3'!E14+'OERC 3'!E25)/10^7</f>
        <v>23.978283999999977</v>
      </c>
      <c r="I10" s="2947">
        <f>63162400/10^7</f>
        <v>6.3162399999999996</v>
      </c>
      <c r="J10" s="2895"/>
      <c r="K10" s="2897">
        <f>H10+I10-J10</f>
        <v>30.294523999999978</v>
      </c>
      <c r="L10" s="2898">
        <f>(15853320/10^7+6400230/10^7)-L14</f>
        <v>2.2177934000000001</v>
      </c>
      <c r="M10" s="2895"/>
    </row>
    <row r="11" spans="1:13" ht="15.5" customHeight="1">
      <c r="A11" s="3297"/>
      <c r="B11" s="2895" t="s">
        <v>8014</v>
      </c>
      <c r="C11" s="2895">
        <v>30.29</v>
      </c>
      <c r="D11" s="2896">
        <v>44529</v>
      </c>
      <c r="E11" s="2895"/>
      <c r="F11" s="2895"/>
      <c r="G11" s="2895"/>
      <c r="H11" s="2897">
        <f>K10</f>
        <v>30.294523999999978</v>
      </c>
      <c r="I11" s="2895"/>
      <c r="J11" s="2895">
        <v>6.64</v>
      </c>
      <c r="K11" s="2897">
        <f t="shared" ref="K11:K13" si="4">H11+I11-J11</f>
        <v>23.654523999999977</v>
      </c>
      <c r="L11" s="2898">
        <f>(11070553.95/10^7)-L15</f>
        <v>0.33819064953214495</v>
      </c>
      <c r="M11" s="2895"/>
    </row>
    <row r="12" spans="1:13" ht="15.5" customHeight="1">
      <c r="A12" s="3297"/>
      <c r="B12" s="2895" t="s">
        <v>8015</v>
      </c>
      <c r="C12" s="2895">
        <v>30.29</v>
      </c>
      <c r="D12" s="2896">
        <v>44529</v>
      </c>
      <c r="E12" s="2895"/>
      <c r="F12" s="2895"/>
      <c r="G12" s="2895"/>
      <c r="H12" s="2897">
        <f t="shared" ref="H12:H13" si="5">K11</f>
        <v>23.654523999999977</v>
      </c>
      <c r="I12" s="2895">
        <v>6.64</v>
      </c>
      <c r="J12" s="2895"/>
      <c r="K12" s="2897">
        <f t="shared" si="4"/>
        <v>30.294523999999978</v>
      </c>
      <c r="L12" s="2898">
        <f>((28565376.46-11070553.95)/10^7)-L16</f>
        <v>0.34210739197353157</v>
      </c>
      <c r="M12" s="2895"/>
    </row>
    <row r="13" spans="1:13" ht="15.5" customHeight="1">
      <c r="A13" s="3298"/>
      <c r="B13" s="2895" t="s">
        <v>8009</v>
      </c>
      <c r="C13" s="1727"/>
      <c r="D13" s="1727"/>
      <c r="E13" s="1727"/>
      <c r="F13" s="1727"/>
      <c r="G13" s="1727"/>
      <c r="H13" s="2897">
        <f t="shared" si="5"/>
        <v>30.294523999999978</v>
      </c>
      <c r="I13" s="1727"/>
      <c r="J13" s="1727"/>
      <c r="K13" s="2897">
        <f t="shared" si="4"/>
        <v>30.294523999999978</v>
      </c>
      <c r="L13" s="1727"/>
      <c r="M13" s="1727"/>
    </row>
    <row r="14" spans="1:13" ht="15.5" customHeight="1">
      <c r="A14" s="3299" t="s">
        <v>8024</v>
      </c>
      <c r="B14" s="2908" t="s">
        <v>8008</v>
      </c>
      <c r="C14" s="2909">
        <v>150</v>
      </c>
      <c r="D14" s="2908" t="s">
        <v>8025</v>
      </c>
      <c r="E14" s="2910">
        <v>6.9000000000000006E-2</v>
      </c>
      <c r="F14" s="2908" t="s">
        <v>8026</v>
      </c>
      <c r="G14" s="2908" t="s">
        <v>8027</v>
      </c>
      <c r="H14" s="2909">
        <v>0</v>
      </c>
      <c r="I14" s="2909">
        <v>40</v>
      </c>
      <c r="J14" s="2909">
        <v>0</v>
      </c>
      <c r="K14" s="2909">
        <f>H14+I14-J14</f>
        <v>40</v>
      </c>
      <c r="L14" s="2909">
        <f>75616/10^7</f>
        <v>7.5615999999999999E-3</v>
      </c>
      <c r="M14" s="2908"/>
    </row>
    <row r="15" spans="1:13" ht="15.5" customHeight="1">
      <c r="A15" s="3300"/>
      <c r="B15" s="2908" t="s">
        <v>8014</v>
      </c>
      <c r="C15" s="2909">
        <v>150</v>
      </c>
      <c r="D15" s="2908" t="s">
        <v>8025</v>
      </c>
      <c r="E15" s="2910">
        <v>7.0999999999999994E-2</v>
      </c>
      <c r="F15" s="2908" t="s">
        <v>8026</v>
      </c>
      <c r="G15" s="2908" t="s">
        <v>8027</v>
      </c>
      <c r="H15" s="2911">
        <f>K14</f>
        <v>40</v>
      </c>
      <c r="I15" s="2909">
        <f>197472629.72/10^7</f>
        <v>19.747262972000001</v>
      </c>
      <c r="J15" s="2908"/>
      <c r="K15" s="2909">
        <f t="shared" ref="K15:K17" si="6">H15+I15-J15</f>
        <v>59.747262972000001</v>
      </c>
      <c r="L15" s="2909">
        <v>0.76886474546785499</v>
      </c>
      <c r="M15" s="2908"/>
    </row>
    <row r="16" spans="1:13" ht="15.5" customHeight="1">
      <c r="A16" s="3300"/>
      <c r="B16" s="2908" t="s">
        <v>8015</v>
      </c>
      <c r="C16" s="2909">
        <v>150</v>
      </c>
      <c r="D16" s="2908" t="s">
        <v>8025</v>
      </c>
      <c r="E16" s="2910">
        <v>7.3499999999999996E-2</v>
      </c>
      <c r="F16" s="2908" t="s">
        <v>8026</v>
      </c>
      <c r="G16" s="2908" t="s">
        <v>8027</v>
      </c>
      <c r="H16" s="2911">
        <f t="shared" ref="H16:H17" si="7">K15</f>
        <v>59.747262972000001</v>
      </c>
      <c r="I16" s="2909">
        <v>39.9</v>
      </c>
      <c r="J16" s="2908"/>
      <c r="K16" s="2909">
        <f t="shared" si="6"/>
        <v>99.647262971999993</v>
      </c>
      <c r="L16" s="2909">
        <v>1.4073748590264685</v>
      </c>
      <c r="M16" s="2908"/>
    </row>
    <row r="17" spans="1:13" ht="15.5" customHeight="1">
      <c r="A17" s="3301"/>
      <c r="B17" s="2908" t="s">
        <v>8009</v>
      </c>
      <c r="C17" s="2912"/>
      <c r="D17" s="2912"/>
      <c r="E17" s="2912"/>
      <c r="F17" s="2912"/>
      <c r="G17" s="2912"/>
      <c r="H17" s="2911">
        <f t="shared" si="7"/>
        <v>99.647262971999993</v>
      </c>
      <c r="I17" s="2912"/>
      <c r="J17" s="2912"/>
      <c r="K17" s="2909">
        <f t="shared" si="6"/>
        <v>99.647262971999993</v>
      </c>
      <c r="L17" s="2912"/>
      <c r="M17" s="2912"/>
    </row>
    <row r="18" spans="1:13" ht="15.5" customHeight="1">
      <c r="A18" s="3302" t="s">
        <v>8028</v>
      </c>
      <c r="B18" s="2935" t="s">
        <v>8008</v>
      </c>
      <c r="C18" s="2936">
        <v>63</v>
      </c>
      <c r="D18" s="2935" t="s">
        <v>8029</v>
      </c>
      <c r="E18" s="2937">
        <f>+(5.6%+5.4%+5.5%)/3</f>
        <v>5.5E-2</v>
      </c>
      <c r="F18" s="2935"/>
      <c r="G18" s="2935"/>
      <c r="H18" s="2936">
        <f>618883614/10^7</f>
        <v>61.888361400000001</v>
      </c>
      <c r="I18" s="2936">
        <v>0</v>
      </c>
      <c r="J18" s="2936">
        <v>1.31</v>
      </c>
      <c r="K18" s="2936">
        <f>H18+I18-J18</f>
        <v>60.578361399999999</v>
      </c>
      <c r="L18" s="2936">
        <f>34990194.56/10^7</f>
        <v>3.4990194560000001</v>
      </c>
      <c r="M18" s="2935"/>
    </row>
    <row r="19" spans="1:13" ht="15.5" customHeight="1">
      <c r="A19" s="3303"/>
      <c r="B19" s="2935" t="s">
        <v>8014</v>
      </c>
      <c r="C19" s="2936">
        <v>63</v>
      </c>
      <c r="D19" s="2935" t="s">
        <v>8029</v>
      </c>
      <c r="E19" s="2937">
        <f>+(5.6%+5.4%+5.5%)/3</f>
        <v>5.5E-2</v>
      </c>
      <c r="F19" s="2935"/>
      <c r="G19" s="2935"/>
      <c r="H19" s="2938">
        <f>K18</f>
        <v>60.578361399999999</v>
      </c>
      <c r="I19" s="2936">
        <v>0</v>
      </c>
      <c r="J19" s="2936">
        <v>0</v>
      </c>
      <c r="K19" s="2936">
        <f t="shared" ref="K19:K21" si="8">H19+I19-J19</f>
        <v>60.578361399999999</v>
      </c>
      <c r="L19" s="2936">
        <f>8310920.52/10^7</f>
        <v>0.83109205199999991</v>
      </c>
      <c r="M19" s="2935"/>
    </row>
    <row r="20" spans="1:13" ht="15.5" customHeight="1">
      <c r="A20" s="3303"/>
      <c r="B20" s="2935" t="s">
        <v>8015</v>
      </c>
      <c r="C20" s="2936">
        <v>63</v>
      </c>
      <c r="D20" s="2935" t="s">
        <v>8029</v>
      </c>
      <c r="E20" s="2937">
        <f>+(5.6%+5.4%+5.5%)/3</f>
        <v>5.5E-2</v>
      </c>
      <c r="F20" s="2935"/>
      <c r="G20" s="2935"/>
      <c r="H20" s="2938">
        <f t="shared" ref="H20:H21" si="9">K19</f>
        <v>60.578361399999999</v>
      </c>
      <c r="I20" s="2936">
        <v>0</v>
      </c>
      <c r="J20" s="2936">
        <v>0</v>
      </c>
      <c r="K20" s="2936">
        <f t="shared" si="8"/>
        <v>60.578361399999999</v>
      </c>
      <c r="L20" s="2936">
        <f>(16706188.35/10^7)-L19</f>
        <v>0.83952678300000005</v>
      </c>
      <c r="M20" s="2935"/>
    </row>
    <row r="21" spans="1:13" ht="15.5" customHeight="1">
      <c r="A21" s="3304"/>
      <c r="B21" s="2935" t="s">
        <v>8009</v>
      </c>
      <c r="C21" s="2939"/>
      <c r="D21" s="2939"/>
      <c r="E21" s="2939"/>
      <c r="F21" s="2939"/>
      <c r="G21" s="2939"/>
      <c r="H21" s="2938">
        <f t="shared" si="9"/>
        <v>60.578361399999999</v>
      </c>
      <c r="I21" s="2940"/>
      <c r="J21" s="2940"/>
      <c r="K21" s="2936">
        <f t="shared" si="8"/>
        <v>60.578361399999999</v>
      </c>
      <c r="L21" s="2940"/>
      <c r="M21" s="2939"/>
    </row>
    <row r="22" spans="1:13" ht="15.5" customHeight="1">
      <c r="A22" s="3285" t="s">
        <v>8030</v>
      </c>
      <c r="B22" s="2864" t="s">
        <v>8008</v>
      </c>
      <c r="C22" s="2865">
        <v>250</v>
      </c>
      <c r="D22" s="2866">
        <v>44320</v>
      </c>
      <c r="E22" s="2867">
        <v>5.6000000000000001E-2</v>
      </c>
      <c r="F22" s="2864"/>
      <c r="G22" s="2864"/>
      <c r="H22" s="2865">
        <v>0</v>
      </c>
      <c r="I22" s="2865">
        <v>551.71</v>
      </c>
      <c r="J22" s="2865">
        <v>427.48</v>
      </c>
      <c r="K22" s="2865">
        <f>H22+I22-J22</f>
        <v>124.23000000000002</v>
      </c>
      <c r="L22" s="2868">
        <f>44539272.73/10^7</f>
        <v>4.4539272729999997</v>
      </c>
      <c r="M22" s="2864"/>
    </row>
    <row r="23" spans="1:13" ht="15.5" customHeight="1">
      <c r="A23" s="3286"/>
      <c r="B23" s="2864" t="s">
        <v>8014</v>
      </c>
      <c r="C23" s="2865">
        <v>250</v>
      </c>
      <c r="D23" s="2866">
        <v>44320</v>
      </c>
      <c r="E23" s="2867">
        <v>5.6000000000000001E-2</v>
      </c>
      <c r="F23" s="2864"/>
      <c r="G23" s="2864"/>
      <c r="H23" s="2865">
        <f>K22</f>
        <v>124.23000000000002</v>
      </c>
      <c r="I23" s="2865">
        <v>75.186279600000006</v>
      </c>
      <c r="J23" s="2865">
        <v>124.2329953</v>
      </c>
      <c r="K23" s="2865">
        <f t="shared" ref="K23:K25" si="10">H23+I23-J23</f>
        <v>75.183284300000025</v>
      </c>
      <c r="L23" s="2868">
        <f>9564725.42/10^7</f>
        <v>0.95647254199999998</v>
      </c>
      <c r="M23" s="2864"/>
    </row>
    <row r="24" spans="1:13" ht="15.5" customHeight="1">
      <c r="A24" s="3286"/>
      <c r="B24" s="2864" t="s">
        <v>8015</v>
      </c>
      <c r="C24" s="2865">
        <v>250</v>
      </c>
      <c r="D24" s="2866">
        <v>44320</v>
      </c>
      <c r="E24" s="2867">
        <v>6.8500000000000005E-2</v>
      </c>
      <c r="F24" s="2864"/>
      <c r="G24" s="2864"/>
      <c r="H24" s="2865">
        <f t="shared" ref="H24:H25" si="11">K23</f>
        <v>75.183284300000025</v>
      </c>
      <c r="I24" s="2865">
        <v>171.59453250000001</v>
      </c>
      <c r="J24" s="2865">
        <v>164.3749613</v>
      </c>
      <c r="K24" s="2865">
        <f t="shared" si="10"/>
        <v>82.402855500000044</v>
      </c>
      <c r="L24" s="2868">
        <f>(23288912.86/10^7)-L23</f>
        <v>1.3724187439999997</v>
      </c>
      <c r="M24" s="2864"/>
    </row>
    <row r="25" spans="1:13" ht="15.5" customHeight="1">
      <c r="A25" s="3287"/>
      <c r="B25" s="2864" t="s">
        <v>8009</v>
      </c>
      <c r="C25" s="2869"/>
      <c r="D25" s="2869"/>
      <c r="E25" s="2869"/>
      <c r="F25" s="2869"/>
      <c r="G25" s="2869"/>
      <c r="H25" s="2865">
        <f t="shared" si="11"/>
        <v>82.402855500000044</v>
      </c>
      <c r="I25" s="2870"/>
      <c r="J25" s="2870"/>
      <c r="K25" s="2865">
        <f t="shared" si="10"/>
        <v>82.402855500000044</v>
      </c>
      <c r="L25" s="2869"/>
      <c r="M25" s="2869"/>
    </row>
    <row r="26" spans="1:13">
      <c r="A26" s="3288" t="s">
        <v>8053</v>
      </c>
      <c r="B26" s="2859" t="s">
        <v>8008</v>
      </c>
      <c r="C26" s="2859"/>
      <c r="D26" s="2859"/>
      <c r="E26" s="2859"/>
      <c r="F26" s="2859"/>
      <c r="G26" s="2859"/>
      <c r="H26" s="2046">
        <f>'OERC 3'!E11/10^7</f>
        <v>8.3733000000000002E-3</v>
      </c>
      <c r="I26" s="2945">
        <f>'OERC 3'!D11/10^7-'OERC 3'!E11/10^7</f>
        <v>8.9146699999999995E-2</v>
      </c>
      <c r="J26" s="2859"/>
      <c r="K26" s="2046">
        <f>H26+I26-J26</f>
        <v>9.7519999999999996E-2</v>
      </c>
      <c r="L26" s="2859"/>
      <c r="M26" s="2859"/>
    </row>
    <row r="27" spans="1:13">
      <c r="A27" s="3289"/>
      <c r="B27" s="2859" t="s">
        <v>8014</v>
      </c>
      <c r="C27" s="2859"/>
      <c r="D27" s="2859"/>
      <c r="E27" s="2859"/>
      <c r="F27" s="2859"/>
      <c r="G27" s="2859"/>
      <c r="H27" s="2860">
        <f>K26</f>
        <v>9.7519999999999996E-2</v>
      </c>
      <c r="I27" s="2859"/>
      <c r="J27" s="2859"/>
      <c r="K27" s="2046">
        <f t="shared" ref="K27:K29" si="12">H27+I27-J27</f>
        <v>9.7519999999999996E-2</v>
      </c>
      <c r="L27" s="2859"/>
      <c r="M27" s="2859"/>
    </row>
    <row r="28" spans="1:13">
      <c r="A28" s="3289"/>
      <c r="B28" s="2859" t="s">
        <v>8015</v>
      </c>
      <c r="C28" s="2859"/>
      <c r="D28" s="2859"/>
      <c r="E28" s="2859"/>
      <c r="F28" s="2859"/>
      <c r="G28" s="2859"/>
      <c r="H28" s="2860">
        <f t="shared" ref="H28:H29" si="13">K27</f>
        <v>9.7519999999999996E-2</v>
      </c>
      <c r="I28" s="2859"/>
      <c r="J28" s="2859"/>
      <c r="K28" s="2046">
        <f t="shared" si="12"/>
        <v>9.7519999999999996E-2</v>
      </c>
      <c r="L28" s="2859"/>
      <c r="M28" s="2859"/>
    </row>
    <row r="29" spans="1:13">
      <c r="A29" s="3289"/>
      <c r="B29" s="2859" t="s">
        <v>8009</v>
      </c>
      <c r="C29" s="12"/>
      <c r="D29" s="12"/>
      <c r="E29" s="12"/>
      <c r="F29" s="12"/>
      <c r="G29" s="12"/>
      <c r="H29" s="2860">
        <f t="shared" si="13"/>
        <v>9.7519999999999996E-2</v>
      </c>
      <c r="I29" s="12"/>
      <c r="J29" s="12"/>
      <c r="K29" s="2046">
        <f t="shared" si="12"/>
        <v>9.7519999999999996E-2</v>
      </c>
      <c r="L29" s="12"/>
      <c r="M29" s="12"/>
    </row>
    <row r="30" spans="1:13">
      <c r="A30" s="3289" t="s">
        <v>8013</v>
      </c>
      <c r="B30" s="2859" t="s">
        <v>8008</v>
      </c>
      <c r="C30" s="2859"/>
      <c r="D30" s="2859"/>
      <c r="E30" s="2859"/>
      <c r="F30" s="2859"/>
      <c r="G30" s="2859"/>
      <c r="H30" s="2046">
        <v>0</v>
      </c>
      <c r="I30" s="2859"/>
      <c r="J30" s="2859"/>
      <c r="K30" s="2046">
        <f>H30+I30-J30</f>
        <v>0</v>
      </c>
      <c r="L30" s="2859"/>
      <c r="M30" s="2859"/>
    </row>
    <row r="31" spans="1:13">
      <c r="A31" s="3289"/>
      <c r="B31" s="2859" t="s">
        <v>8014</v>
      </c>
      <c r="C31" s="2859"/>
      <c r="D31" s="2859"/>
      <c r="E31" s="2859"/>
      <c r="F31" s="2859"/>
      <c r="G31" s="2859"/>
      <c r="H31" s="2860">
        <f>K30</f>
        <v>0</v>
      </c>
      <c r="I31" s="2859"/>
      <c r="J31" s="2859"/>
      <c r="K31" s="2046">
        <f t="shared" ref="K31:K33" si="14">H31+I31-J31</f>
        <v>0</v>
      </c>
      <c r="L31" s="2859"/>
      <c r="M31" s="2859"/>
    </row>
    <row r="32" spans="1:13">
      <c r="A32" s="3289"/>
      <c r="B32" s="2859" t="s">
        <v>8015</v>
      </c>
      <c r="C32" s="2859"/>
      <c r="D32" s="2859"/>
      <c r="E32" s="2859"/>
      <c r="F32" s="2859"/>
      <c r="G32" s="2859"/>
      <c r="H32" s="2860">
        <f t="shared" ref="H32:H33" si="15">K31</f>
        <v>0</v>
      </c>
      <c r="I32" s="2859"/>
      <c r="J32" s="2859"/>
      <c r="K32" s="2046">
        <f t="shared" si="14"/>
        <v>0</v>
      </c>
      <c r="L32" s="2859"/>
      <c r="M32" s="2859"/>
    </row>
    <row r="33" spans="1:13">
      <c r="A33" s="3289"/>
      <c r="B33" s="2859" t="s">
        <v>8009</v>
      </c>
      <c r="C33" s="12"/>
      <c r="D33" s="12"/>
      <c r="E33" s="12"/>
      <c r="F33" s="12"/>
      <c r="G33" s="12"/>
      <c r="H33" s="2860">
        <f t="shared" si="15"/>
        <v>0</v>
      </c>
      <c r="I33" s="12"/>
      <c r="J33" s="12"/>
      <c r="K33" s="2046">
        <f t="shared" si="14"/>
        <v>0</v>
      </c>
      <c r="L33" s="12"/>
      <c r="M33" s="12"/>
    </row>
  </sheetData>
  <mergeCells count="8">
    <mergeCell ref="A22:A25"/>
    <mergeCell ref="A26:A29"/>
    <mergeCell ref="A30:A33"/>
    <mergeCell ref="A2:A5"/>
    <mergeCell ref="A6:A9"/>
    <mergeCell ref="A10:A13"/>
    <mergeCell ref="A14:A17"/>
    <mergeCell ref="A18:A2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4068C-EBAF-494B-BD08-B50194AE8580}">
  <dimension ref="A1:AA23"/>
  <sheetViews>
    <sheetView workbookViewId="0">
      <selection activeCell="O3" sqref="O3"/>
    </sheetView>
  </sheetViews>
  <sheetFormatPr defaultRowHeight="14.5"/>
  <cols>
    <col min="1" max="1" width="8.08984375" style="3007" bestFit="1" customWidth="1"/>
    <col min="2" max="2" width="51.81640625" style="3007" bestFit="1" customWidth="1"/>
    <col min="3" max="14" width="8.7265625" style="3007" hidden="1" customWidth="1"/>
    <col min="15" max="15" width="8.7265625" style="3019"/>
    <col min="16" max="21" width="8.7265625" style="3007"/>
    <col min="22" max="22" width="8.7265625" style="3019"/>
    <col min="23" max="26" width="8.7265625" style="3007"/>
    <col min="27" max="27" width="12" style="3007" bestFit="1" customWidth="1"/>
    <col min="28" max="16384" width="8.7265625" style="3007"/>
  </cols>
  <sheetData>
    <row r="1" spans="1:27">
      <c r="A1" s="3004"/>
      <c r="B1" s="3004"/>
      <c r="C1" s="3305" t="s">
        <v>7129</v>
      </c>
      <c r="D1" s="3305"/>
      <c r="E1" s="3305"/>
      <c r="F1" s="3305"/>
      <c r="G1" s="3305"/>
      <c r="H1" s="3305"/>
      <c r="I1" s="3305"/>
      <c r="J1" s="3305"/>
      <c r="K1" s="3305"/>
      <c r="L1" s="3305"/>
      <c r="M1" s="3305"/>
      <c r="N1" s="3305"/>
      <c r="O1" s="3005"/>
      <c r="P1" s="3306" t="s">
        <v>7130</v>
      </c>
      <c r="Q1" s="3306"/>
      <c r="R1" s="3306"/>
      <c r="S1" s="3306"/>
      <c r="T1" s="3306"/>
      <c r="U1" s="3306"/>
      <c r="V1" s="3006"/>
    </row>
    <row r="2" spans="1:27" ht="58">
      <c r="A2" s="3008" t="s">
        <v>5529</v>
      </c>
      <c r="B2" s="3008" t="s">
        <v>8311</v>
      </c>
      <c r="C2" s="3009">
        <v>44307</v>
      </c>
      <c r="D2" s="3009">
        <v>44337</v>
      </c>
      <c r="E2" s="3009">
        <v>44368</v>
      </c>
      <c r="F2" s="3009">
        <v>44398</v>
      </c>
      <c r="G2" s="3009">
        <v>44429</v>
      </c>
      <c r="H2" s="3009">
        <v>44460</v>
      </c>
      <c r="I2" s="3009">
        <v>44490</v>
      </c>
      <c r="J2" s="3009">
        <v>44521</v>
      </c>
      <c r="K2" s="3009">
        <v>44551</v>
      </c>
      <c r="L2" s="3009">
        <v>44582</v>
      </c>
      <c r="M2" s="3009">
        <v>44613</v>
      </c>
      <c r="N2" s="3009">
        <v>44641</v>
      </c>
      <c r="O2" s="3010" t="s">
        <v>1101</v>
      </c>
      <c r="P2" s="3009">
        <v>44672</v>
      </c>
      <c r="Q2" s="3009">
        <v>44702</v>
      </c>
      <c r="R2" s="3009">
        <v>44733</v>
      </c>
      <c r="S2" s="3009">
        <v>44763</v>
      </c>
      <c r="T2" s="3009">
        <v>44794</v>
      </c>
      <c r="U2" s="3009">
        <v>44825</v>
      </c>
      <c r="V2" s="3010" t="s">
        <v>1101</v>
      </c>
      <c r="X2" s="3011" t="s">
        <v>8312</v>
      </c>
    </row>
    <row r="3" spans="1:27">
      <c r="A3" s="3004">
        <v>4075104</v>
      </c>
      <c r="B3" s="3004" t="s">
        <v>3087</v>
      </c>
      <c r="C3" s="3012">
        <v>7.9321859999999997</v>
      </c>
      <c r="D3" s="3012">
        <v>7.8275506999999998</v>
      </c>
      <c r="E3" s="3012">
        <v>7.7944088000000002</v>
      </c>
      <c r="F3" s="3012">
        <v>7.7476403999999999</v>
      </c>
      <c r="G3" s="3012">
        <v>7.7243354520000009</v>
      </c>
      <c r="H3" s="3012">
        <v>7.9410961499999999</v>
      </c>
      <c r="I3" s="3012">
        <v>8.0799119729999997</v>
      </c>
      <c r="J3" s="3012">
        <v>8.1381136730000012</v>
      </c>
      <c r="K3" s="3012">
        <v>7.8512286769999999</v>
      </c>
      <c r="L3" s="3012">
        <v>7.9683221</v>
      </c>
      <c r="M3" s="3012">
        <v>8.3582747279999996</v>
      </c>
      <c r="N3" s="3012">
        <v>7.8249580310000031</v>
      </c>
      <c r="O3" s="3013">
        <f>SUM(C3:N3)</f>
        <v>95.188026683999993</v>
      </c>
      <c r="P3" s="3012">
        <v>7.9791117510000023</v>
      </c>
      <c r="Q3" s="3012">
        <v>7.7669719709999994</v>
      </c>
      <c r="R3" s="3012">
        <v>7.8824451399999989</v>
      </c>
      <c r="S3" s="3012">
        <v>7.8306275489999964</v>
      </c>
      <c r="T3" s="3012">
        <v>7.8348202089999992</v>
      </c>
      <c r="U3" s="3012">
        <v>7.6957465320000011</v>
      </c>
      <c r="V3" s="3013">
        <f t="shared" ref="V3:V17" si="0">SUM(P3:U3)</f>
        <v>46.989723151999996</v>
      </c>
      <c r="X3" s="3004">
        <v>11.372654336999998</v>
      </c>
      <c r="Z3" t="s">
        <v>8320</v>
      </c>
      <c r="AA3" s="3025">
        <v>150109443</v>
      </c>
    </row>
    <row r="4" spans="1:27">
      <c r="A4" s="3004">
        <v>4075304</v>
      </c>
      <c r="B4" s="3004" t="s">
        <v>1050</v>
      </c>
      <c r="C4" s="3012">
        <v>1.3545569</v>
      </c>
      <c r="D4" s="3012">
        <v>1.3358190999999999</v>
      </c>
      <c r="E4" s="3012">
        <v>8.8500000000000004E-4</v>
      </c>
      <c r="F4" s="3012">
        <v>1.3224597</v>
      </c>
      <c r="G4" s="3012">
        <v>1.3185544949999997</v>
      </c>
      <c r="H4" s="3012">
        <v>1.354420395</v>
      </c>
      <c r="I4" s="3012">
        <v>2.2433600899999999</v>
      </c>
      <c r="J4" s="3012">
        <v>2.2207243139999999</v>
      </c>
      <c r="K4" s="3012">
        <v>4.7133793526299996</v>
      </c>
      <c r="L4" s="3012">
        <v>2.44529</v>
      </c>
      <c r="M4" s="3012">
        <v>3.9082865990000002</v>
      </c>
      <c r="N4" s="3012">
        <v>1.9364303359999997</v>
      </c>
      <c r="O4" s="3013">
        <f t="shared" ref="O4:O17" si="1">SUM(C4:N4)</f>
        <v>24.154166281629998</v>
      </c>
      <c r="P4" s="3012">
        <v>2.4767960660000004</v>
      </c>
      <c r="Q4" s="3012">
        <v>2.4078381910000002</v>
      </c>
      <c r="R4" s="3012">
        <v>2.4313449190000003</v>
      </c>
      <c r="S4" s="3012">
        <v>2.4257395210000001</v>
      </c>
      <c r="T4" s="3012">
        <v>2.427044483</v>
      </c>
      <c r="U4" s="3012">
        <v>2.611662242</v>
      </c>
      <c r="V4" s="3013">
        <f t="shared" si="0"/>
        <v>14.780425422</v>
      </c>
      <c r="X4" s="3004">
        <f>4969672.54/10^7</f>
        <v>0.49696725400000002</v>
      </c>
      <c r="Z4" t="s">
        <v>8321</v>
      </c>
      <c r="AA4" s="3025">
        <v>39212316</v>
      </c>
    </row>
    <row r="5" spans="1:27">
      <c r="A5" s="3004">
        <v>4075305</v>
      </c>
      <c r="B5" s="3004" t="s">
        <v>8313</v>
      </c>
      <c r="C5" s="3012">
        <v>1.1325007</v>
      </c>
      <c r="D5" s="3012">
        <v>1.1177657000000001</v>
      </c>
      <c r="E5" s="3012">
        <v>1.3303083</v>
      </c>
      <c r="F5" s="3012">
        <v>1.1053073</v>
      </c>
      <c r="G5" s="3012">
        <v>1.0999433380000005</v>
      </c>
      <c r="H5" s="3012">
        <v>1.1215928680000002</v>
      </c>
      <c r="I5" s="3012">
        <v>1.1346745300000001</v>
      </c>
      <c r="J5" s="3012">
        <v>1.1413183570000001</v>
      </c>
      <c r="K5" s="3012">
        <v>1.114067841</v>
      </c>
      <c r="L5" s="3012">
        <v>1.1272622000000001</v>
      </c>
      <c r="M5" s="3012">
        <v>1.0955744460000001</v>
      </c>
      <c r="N5" s="3012">
        <v>1.5982130880000003</v>
      </c>
      <c r="O5" s="3013">
        <f t="shared" si="1"/>
        <v>14.118528668000002</v>
      </c>
      <c r="P5" s="3012">
        <v>1.4243907459999998</v>
      </c>
      <c r="Q5" s="3012">
        <v>1.4065897969999999</v>
      </c>
      <c r="R5" s="3012">
        <v>1.4548753520000002</v>
      </c>
      <c r="S5" s="3012">
        <v>1.4238808780000003</v>
      </c>
      <c r="T5" s="3012">
        <v>1.4046347859999999</v>
      </c>
      <c r="U5" s="3012">
        <v>1.4015379270000001</v>
      </c>
      <c r="V5" s="3013">
        <f t="shared" si="0"/>
        <v>8.515909486</v>
      </c>
      <c r="X5" s="3004"/>
    </row>
    <row r="6" spans="1:27">
      <c r="A6" s="3004">
        <v>4075306</v>
      </c>
      <c r="B6" s="3004" t="s">
        <v>8314</v>
      </c>
      <c r="C6" s="3012">
        <v>0.30995020000000001</v>
      </c>
      <c r="D6" s="3012">
        <v>0.30550759999999999</v>
      </c>
      <c r="E6" s="3012">
        <v>7.5799999999999999E-4</v>
      </c>
      <c r="F6" s="3012">
        <v>0.30134810000000001</v>
      </c>
      <c r="G6" s="3012">
        <v>5.3399999999999997E-4</v>
      </c>
      <c r="H6" s="3012">
        <v>0.30601220799999995</v>
      </c>
      <c r="I6" s="3012">
        <v>0.31026917200000004</v>
      </c>
      <c r="J6" s="3012">
        <v>0.31517489999999998</v>
      </c>
      <c r="K6" s="3012">
        <v>0.30344035200000002</v>
      </c>
      <c r="L6" s="3012">
        <v>0.39068204500000003</v>
      </c>
      <c r="M6" s="3012">
        <v>0.38600374999999998</v>
      </c>
      <c r="N6" s="3012">
        <v>0.53763568399999984</v>
      </c>
      <c r="O6" s="3013">
        <f t="shared" si="1"/>
        <v>3.4673160110000003</v>
      </c>
      <c r="P6" s="3012">
        <v>0.36708392299999965</v>
      </c>
      <c r="Q6" s="3012">
        <v>0.38794846599999999</v>
      </c>
      <c r="R6" s="3012">
        <v>0.39408875300000001</v>
      </c>
      <c r="S6" s="3012">
        <v>0.39160437800000009</v>
      </c>
      <c r="T6" s="3012">
        <v>0.38604790099999997</v>
      </c>
      <c r="U6" s="3012">
        <v>0.38277101200000002</v>
      </c>
      <c r="V6" s="3013">
        <f t="shared" si="0"/>
        <v>2.3095444329999997</v>
      </c>
      <c r="X6" s="3004"/>
    </row>
    <row r="7" spans="1:27">
      <c r="A7" s="3004">
        <v>4075307</v>
      </c>
      <c r="B7" s="3004" t="s">
        <v>8315</v>
      </c>
      <c r="C7" s="3012">
        <v>0.1678994</v>
      </c>
      <c r="D7" s="3012">
        <v>0.16467000000000001</v>
      </c>
      <c r="E7" s="3012">
        <v>1.2758105</v>
      </c>
      <c r="F7" s="3012">
        <v>0.1630103</v>
      </c>
      <c r="G7" s="3012">
        <v>0.30032279200000006</v>
      </c>
      <c r="H7" s="3012">
        <v>2.6400000000000002E-4</v>
      </c>
      <c r="I7" s="3012">
        <v>0</v>
      </c>
      <c r="J7" s="3012">
        <v>0</v>
      </c>
      <c r="K7" s="3012">
        <v>0.16670399999999999</v>
      </c>
      <c r="L7" s="3012">
        <v>0.16620660000000001</v>
      </c>
      <c r="M7" s="3012">
        <v>4.7994200000000001E-2</v>
      </c>
      <c r="N7" s="3012">
        <v>0.11842</v>
      </c>
      <c r="O7" s="3013">
        <f t="shared" si="1"/>
        <v>2.5713017920000008</v>
      </c>
      <c r="P7" s="3012">
        <v>0.16467989999999999</v>
      </c>
      <c r="Q7" s="3012">
        <v>0.16489570000000001</v>
      </c>
      <c r="R7" s="3012">
        <v>0.16334000000000001</v>
      </c>
      <c r="S7" s="3012">
        <v>0.16203000000000001</v>
      </c>
      <c r="T7" s="3012">
        <v>0.16202340000000001</v>
      </c>
      <c r="U7" s="3012">
        <v>0.16257350000000001</v>
      </c>
      <c r="V7" s="3013">
        <f t="shared" si="0"/>
        <v>0.97954250000000009</v>
      </c>
      <c r="X7" s="3004"/>
    </row>
    <row r="8" spans="1:27">
      <c r="A8" s="3004">
        <v>4075391</v>
      </c>
      <c r="B8" s="3004" t="s">
        <v>6703</v>
      </c>
      <c r="C8" s="3012">
        <v>0</v>
      </c>
      <c r="D8" s="3012">
        <v>0</v>
      </c>
      <c r="E8" s="3012">
        <v>0</v>
      </c>
      <c r="F8" s="3012">
        <v>0</v>
      </c>
      <c r="G8" s="3012">
        <v>0</v>
      </c>
      <c r="H8" s="3012">
        <v>1.6138000000000001E-3</v>
      </c>
      <c r="I8" s="3012">
        <v>2.32E-4</v>
      </c>
      <c r="J8" s="3012">
        <v>2.33E-4</v>
      </c>
      <c r="K8" s="3012">
        <v>2.1000000000000001E-4</v>
      </c>
      <c r="L8" s="3012">
        <v>1.8000000000000001E-4</v>
      </c>
      <c r="M8" s="3012">
        <v>2.12E-4</v>
      </c>
      <c r="N8" s="3012">
        <v>2.1000000000000001E-4</v>
      </c>
      <c r="O8" s="3013">
        <f t="shared" si="1"/>
        <v>2.8908000000000002E-3</v>
      </c>
      <c r="P8" s="3012">
        <v>2.5599999999999999E-4</v>
      </c>
      <c r="Q8" s="3012">
        <v>2.5099999999999998E-4</v>
      </c>
      <c r="R8" s="3012">
        <v>2.5300000000000002E-4</v>
      </c>
      <c r="S8" s="3012">
        <v>2.4800000000000001E-4</v>
      </c>
      <c r="T8" s="3012">
        <v>2.5399999999999999E-4</v>
      </c>
      <c r="U8" s="3012">
        <v>2.5300000000000002E-4</v>
      </c>
      <c r="V8" s="3013">
        <f t="shared" si="0"/>
        <v>1.5150000000000001E-3</v>
      </c>
      <c r="X8" s="3004"/>
    </row>
    <row r="9" spans="1:27">
      <c r="A9" s="3004">
        <v>4075392</v>
      </c>
      <c r="B9" s="3004" t="s">
        <v>6704</v>
      </c>
      <c r="C9" s="3012">
        <v>1.6729E-3</v>
      </c>
      <c r="D9" s="3012">
        <v>1.5311000000000001E-3</v>
      </c>
      <c r="E9" s="3012">
        <v>0</v>
      </c>
      <c r="F9" s="3012">
        <v>1.5254999999999999E-3</v>
      </c>
      <c r="G9" s="3012">
        <v>6.9999999999999994E-5</v>
      </c>
      <c r="H9" s="3012">
        <v>1.50758E-2</v>
      </c>
      <c r="I9" s="3012">
        <v>1.5989999999999999E-3</v>
      </c>
      <c r="J9" s="3012">
        <v>2.1083E-3</v>
      </c>
      <c r="K9" s="3012">
        <v>2.1629000000000002E-3</v>
      </c>
      <c r="L9" s="3012">
        <v>1.5361999999999999E-3</v>
      </c>
      <c r="M9" s="3012">
        <v>1.5062999999999999E-3</v>
      </c>
      <c r="N9" s="3012">
        <v>1.4350999999999999E-3</v>
      </c>
      <c r="O9" s="3013">
        <f t="shared" si="1"/>
        <v>3.0223099999999996E-2</v>
      </c>
      <c r="P9" s="3012">
        <v>1.5315999999999999E-3</v>
      </c>
      <c r="Q9" s="3012">
        <v>1.4376E-3</v>
      </c>
      <c r="R9" s="3014">
        <v>1.4147999999999999E-3</v>
      </c>
      <c r="S9" s="3012">
        <v>1.4099E-3</v>
      </c>
      <c r="T9" s="3012">
        <v>1.369E-3</v>
      </c>
      <c r="U9" s="3012">
        <v>1.3454000000000001E-3</v>
      </c>
      <c r="V9" s="3013">
        <f t="shared" si="0"/>
        <v>8.5082999999999999E-3</v>
      </c>
      <c r="X9" s="3004"/>
    </row>
    <row r="10" spans="1:27">
      <c r="A10" s="3004">
        <v>4075393</v>
      </c>
      <c r="B10" s="3004" t="s">
        <v>6705</v>
      </c>
      <c r="C10" s="3012">
        <v>1.62588E-2</v>
      </c>
      <c r="D10" s="3012">
        <v>1.6228800000000002E-2</v>
      </c>
      <c r="E10" s="3012">
        <v>1.3063999999999999E-2</v>
      </c>
      <c r="F10" s="3012">
        <v>1.5070800000000001E-2</v>
      </c>
      <c r="G10" s="3012">
        <v>4.0160000000000001E-2</v>
      </c>
      <c r="H10" s="3012">
        <v>2.0599999999999999E-4</v>
      </c>
      <c r="I10" s="3012">
        <v>1.512E-2</v>
      </c>
      <c r="J10" s="3012">
        <v>1.50078E-2</v>
      </c>
      <c r="K10" s="3012">
        <v>1.4768999999999999E-2</v>
      </c>
      <c r="L10" s="3012">
        <v>1.46459E-2</v>
      </c>
      <c r="M10" s="3012">
        <v>1.4415900000000001E-2</v>
      </c>
      <c r="N10" s="3012">
        <v>1.4568299999999999E-2</v>
      </c>
      <c r="O10" s="3013">
        <f t="shared" si="1"/>
        <v>0.1895153</v>
      </c>
      <c r="P10" s="3012">
        <v>1.4471899999999999E-2</v>
      </c>
      <c r="Q10" s="3012">
        <v>1.43328E-2</v>
      </c>
      <c r="R10" s="3012">
        <v>1.42548E-2</v>
      </c>
      <c r="S10" s="3012">
        <v>1.40787E-2</v>
      </c>
      <c r="T10" s="3012">
        <v>1.3925099999999999E-2</v>
      </c>
      <c r="U10" s="3012">
        <v>1.3918099999999999E-2</v>
      </c>
      <c r="V10" s="3013">
        <f t="shared" si="0"/>
        <v>8.4981399999999999E-2</v>
      </c>
      <c r="X10" s="3004"/>
    </row>
    <row r="11" spans="1:27">
      <c r="A11" s="3004">
        <v>4075394</v>
      </c>
      <c r="B11" s="3004" t="s">
        <v>6706</v>
      </c>
      <c r="C11" s="3012">
        <v>8.2600000000000002E-4</v>
      </c>
      <c r="D11" s="3012">
        <v>8.0500000000000005E-4</v>
      </c>
      <c r="E11" s="3012">
        <v>1.6248E-3</v>
      </c>
      <c r="F11" s="3012">
        <v>4.4539999999999998E-4</v>
      </c>
      <c r="G11" s="3012">
        <v>1.504E-2</v>
      </c>
      <c r="H11" s="3012">
        <v>0.16106860000000001</v>
      </c>
      <c r="I11" s="3012">
        <v>2.0599999999999999E-4</v>
      </c>
      <c r="J11" s="3012">
        <v>2.0599999999999999E-4</v>
      </c>
      <c r="K11" s="3012">
        <v>1.874E-4</v>
      </c>
      <c r="L11" s="3012">
        <v>1.8000000000000001E-4</v>
      </c>
      <c r="M11" s="3012">
        <v>3.3E-4</v>
      </c>
      <c r="N11" s="3012">
        <v>3.3752431000000006E-2</v>
      </c>
      <c r="O11" s="3013">
        <f t="shared" si="1"/>
        <v>0.21467163100000006</v>
      </c>
      <c r="P11" s="3012">
        <v>1.95E-4</v>
      </c>
      <c r="Q11" s="3012">
        <v>2.018E-4</v>
      </c>
      <c r="R11" s="3012">
        <v>1.95E-4</v>
      </c>
      <c r="S11" s="3012">
        <v>1.95E-4</v>
      </c>
      <c r="T11" s="3012">
        <v>1.95E-4</v>
      </c>
      <c r="U11" s="3012">
        <v>1.95E-4</v>
      </c>
      <c r="V11" s="3013">
        <f t="shared" si="0"/>
        <v>1.1768E-3</v>
      </c>
      <c r="X11" s="3004"/>
    </row>
    <row r="12" spans="1:27">
      <c r="A12" s="3004">
        <v>4075404</v>
      </c>
      <c r="B12" s="3004" t="s">
        <v>1311</v>
      </c>
      <c r="C12" s="3012">
        <v>1.75E-4</v>
      </c>
      <c r="D12" s="3012">
        <v>1.8579999999999999E-4</v>
      </c>
      <c r="E12" s="3012">
        <v>1.57114E-2</v>
      </c>
      <c r="F12" s="3012">
        <v>1.5892E-3</v>
      </c>
      <c r="G12" s="3012">
        <v>1.5633500000000002E-2</v>
      </c>
      <c r="H12" s="3012">
        <v>1.0195E-3</v>
      </c>
      <c r="I12" s="3012">
        <v>0.12326670000000001</v>
      </c>
      <c r="J12" s="3012">
        <v>0.165751702</v>
      </c>
      <c r="K12" s="3012">
        <v>1.5555599999999999E-2</v>
      </c>
      <c r="L12" s="3012">
        <v>1.3937999999999999E-3</v>
      </c>
      <c r="M12" s="3012">
        <v>0.12153410000000001</v>
      </c>
      <c r="N12" s="3012">
        <v>1.3472700000000001E-2</v>
      </c>
      <c r="O12" s="3013">
        <f t="shared" si="1"/>
        <v>0.47528900200000002</v>
      </c>
      <c r="P12" s="3012">
        <v>0.50595690000000004</v>
      </c>
      <c r="Q12" s="3012">
        <v>1.6077999999999999E-3</v>
      </c>
      <c r="R12" s="3012">
        <v>1.19693E-2</v>
      </c>
      <c r="S12" s="3012">
        <v>7.3870000000000001E-4</v>
      </c>
      <c r="T12" s="3012">
        <v>7.1920000000000003E-4</v>
      </c>
      <c r="U12" s="3012">
        <v>7.6880000000000004E-4</v>
      </c>
      <c r="V12" s="3013">
        <f t="shared" si="0"/>
        <v>0.52176070000000008</v>
      </c>
      <c r="X12" s="3004"/>
    </row>
    <row r="13" spans="1:27">
      <c r="A13" s="3004">
        <v>4075618</v>
      </c>
      <c r="B13" s="3004" t="s">
        <v>580</v>
      </c>
      <c r="C13" s="3012">
        <v>6.4999999999999994E-5</v>
      </c>
      <c r="D13" s="3012">
        <v>6.4999999999999994E-5</v>
      </c>
      <c r="E13" s="3012">
        <v>3.0000000000000001E-5</v>
      </c>
      <c r="F13" s="3012">
        <v>4.1300000000000001E-4</v>
      </c>
      <c r="G13" s="3012">
        <v>2.0599999999999999E-4</v>
      </c>
      <c r="H13" s="3012">
        <v>1.311E-2</v>
      </c>
      <c r="I13" s="3012">
        <v>1.0717999999999999E-3</v>
      </c>
      <c r="J13" s="3012">
        <v>1.0329E-3</v>
      </c>
      <c r="K13" s="3012">
        <v>3.0000000000000001E-5</v>
      </c>
      <c r="L13" s="3012">
        <v>1.106E-3</v>
      </c>
      <c r="M13" s="3012">
        <v>1.0790000000000001E-3</v>
      </c>
      <c r="N13" s="3012">
        <v>1.2798567000000001</v>
      </c>
      <c r="O13" s="3013">
        <f t="shared" si="1"/>
        <v>1.2980654</v>
      </c>
      <c r="P13" s="3012">
        <v>1.1299999999999999E-3</v>
      </c>
      <c r="Q13" s="3012">
        <v>1.1299999999999999E-3</v>
      </c>
      <c r="R13" s="3012">
        <v>1.1299999999999999E-3</v>
      </c>
      <c r="S13" s="3012">
        <v>1.1000000000000001E-3</v>
      </c>
      <c r="T13" s="3012">
        <v>1.1000000000000001E-3</v>
      </c>
      <c r="U13" s="3012">
        <v>1.039E-3</v>
      </c>
      <c r="V13" s="3013">
        <f t="shared" si="0"/>
        <v>6.6290000000000003E-3</v>
      </c>
      <c r="X13" s="3004"/>
    </row>
    <row r="14" spans="1:27">
      <c r="A14" s="3004">
        <v>4075703</v>
      </c>
      <c r="B14" s="3004" t="s">
        <v>8316</v>
      </c>
      <c r="C14" s="3012">
        <v>1.2659E-2</v>
      </c>
      <c r="D14" s="3012">
        <v>1.2508999999999999E-2</v>
      </c>
      <c r="E14" s="3012">
        <v>0.30375600000000003</v>
      </c>
      <c r="F14" s="3012">
        <v>1.2351000000000001E-2</v>
      </c>
      <c r="G14" s="3012">
        <v>0.12239999999999999</v>
      </c>
      <c r="H14" s="3012">
        <v>0</v>
      </c>
      <c r="I14" s="3012">
        <v>1.3665200000000001E-2</v>
      </c>
      <c r="J14" s="3012">
        <v>1.4301299999999999E-2</v>
      </c>
      <c r="K14" s="3012">
        <v>6.6199999999999996E-5</v>
      </c>
      <c r="L14" s="3012">
        <v>1.38096E-2</v>
      </c>
      <c r="M14" s="3012">
        <v>1.26175E-2</v>
      </c>
      <c r="N14" s="3012">
        <v>5.3315631999999995E-2</v>
      </c>
      <c r="O14" s="3013">
        <f t="shared" si="1"/>
        <v>0.57145043200000001</v>
      </c>
      <c r="P14" s="3012">
        <v>1.3544799999999999E-2</v>
      </c>
      <c r="Q14" s="3012">
        <v>1.3746400000000001E-2</v>
      </c>
      <c r="R14" s="3012">
        <v>1.40074E-2</v>
      </c>
      <c r="S14" s="3012">
        <v>1.5349E-2</v>
      </c>
      <c r="T14" s="3012">
        <v>1.427675E-2</v>
      </c>
      <c r="U14" s="3012">
        <v>1.4645099999999999E-2</v>
      </c>
      <c r="V14" s="3013">
        <f t="shared" si="0"/>
        <v>8.5569450000000005E-2</v>
      </c>
      <c r="X14" s="3004"/>
    </row>
    <row r="15" spans="1:27">
      <c r="A15" s="3004">
        <v>4075611</v>
      </c>
      <c r="B15" s="3004" t="s">
        <v>8317</v>
      </c>
      <c r="C15" s="3012">
        <v>0</v>
      </c>
      <c r="D15" s="3012">
        <v>0</v>
      </c>
      <c r="E15" s="3012">
        <v>0</v>
      </c>
      <c r="F15" s="3012">
        <v>0</v>
      </c>
      <c r="G15" s="3012">
        <v>0</v>
      </c>
      <c r="H15" s="3012">
        <v>0</v>
      </c>
      <c r="I15" s="3012">
        <v>3.9660000000000001E-2</v>
      </c>
      <c r="J15" s="3012">
        <v>0</v>
      </c>
      <c r="K15" s="3012">
        <v>0</v>
      </c>
      <c r="L15" s="3012">
        <v>0</v>
      </c>
      <c r="M15" s="3012">
        <v>0</v>
      </c>
      <c r="N15" s="3012">
        <v>5.00151E-2</v>
      </c>
      <c r="O15" s="3013">
        <f t="shared" si="1"/>
        <v>8.9675100000000008E-2</v>
      </c>
      <c r="P15" s="3012">
        <v>0</v>
      </c>
      <c r="Q15" s="3012">
        <v>0</v>
      </c>
      <c r="R15" s="3012">
        <v>0</v>
      </c>
      <c r="S15" s="3012">
        <v>0</v>
      </c>
      <c r="T15" s="3012">
        <v>0</v>
      </c>
      <c r="U15" s="3012">
        <v>0</v>
      </c>
      <c r="V15" s="3013">
        <f t="shared" si="0"/>
        <v>0</v>
      </c>
      <c r="X15" s="3004"/>
    </row>
    <row r="16" spans="1:27">
      <c r="A16" s="3004">
        <v>4076133</v>
      </c>
      <c r="B16" s="3004" t="s">
        <v>8318</v>
      </c>
      <c r="C16" s="3012">
        <v>0</v>
      </c>
      <c r="D16" s="3012">
        <v>0</v>
      </c>
      <c r="E16" s="3012">
        <v>0</v>
      </c>
      <c r="F16" s="3012">
        <v>0</v>
      </c>
      <c r="G16" s="3012">
        <v>0</v>
      </c>
      <c r="H16" s="3012">
        <v>0</v>
      </c>
      <c r="I16" s="3012"/>
      <c r="J16" s="3012"/>
      <c r="K16" s="3012"/>
      <c r="L16" s="3012">
        <v>0</v>
      </c>
      <c r="M16" s="3012">
        <v>0</v>
      </c>
      <c r="N16" s="3012">
        <v>0</v>
      </c>
      <c r="O16" s="3013">
        <f t="shared" si="1"/>
        <v>0</v>
      </c>
      <c r="P16" s="3012">
        <v>0</v>
      </c>
      <c r="Q16" s="3012">
        <v>0</v>
      </c>
      <c r="R16" s="3012">
        <v>0</v>
      </c>
      <c r="S16" s="3012">
        <v>0</v>
      </c>
      <c r="T16" s="3012">
        <v>0</v>
      </c>
      <c r="U16" s="3012">
        <v>0</v>
      </c>
      <c r="V16" s="3013">
        <f t="shared" si="0"/>
        <v>0</v>
      </c>
      <c r="X16" s="3004"/>
    </row>
    <row r="17" spans="1:24">
      <c r="A17" s="3004">
        <v>4075690</v>
      </c>
      <c r="B17" s="3004" t="s">
        <v>6499</v>
      </c>
      <c r="C17" s="3012"/>
      <c r="D17" s="3012"/>
      <c r="E17" s="3012"/>
      <c r="F17" s="3012"/>
      <c r="G17" s="3012"/>
      <c r="H17" s="3012"/>
      <c r="I17" s="3012"/>
      <c r="J17" s="3012"/>
      <c r="K17" s="3012"/>
      <c r="L17" s="3012"/>
      <c r="M17" s="3012"/>
      <c r="N17" s="3012"/>
      <c r="O17" s="3013">
        <f t="shared" si="1"/>
        <v>0</v>
      </c>
      <c r="P17" s="3012">
        <v>0</v>
      </c>
      <c r="Q17" s="3012">
        <v>0.21110000000000001</v>
      </c>
      <c r="R17" s="3012">
        <v>3.7185000000000001</v>
      </c>
      <c r="S17" s="3012">
        <v>4.4900000000000002E-2</v>
      </c>
      <c r="T17" s="3012">
        <v>2.6249999999999999E-2</v>
      </c>
      <c r="U17" s="3012">
        <v>4.0399999999999998E-2</v>
      </c>
      <c r="V17" s="3013">
        <f t="shared" si="0"/>
        <v>4.04115</v>
      </c>
      <c r="X17" s="3015">
        <f t="shared" ref="X17" si="2">SUM(X3:X16)</f>
        <v>11.869621590999998</v>
      </c>
    </row>
    <row r="18" spans="1:24">
      <c r="A18" s="3004"/>
      <c r="B18" s="3004"/>
      <c r="C18" s="3016">
        <f>SUM(C3:C17)</f>
        <v>10.928749899999998</v>
      </c>
      <c r="D18" s="3016">
        <f t="shared" ref="D18:N18" si="3">SUM(D3:D17)</f>
        <v>10.782637799999998</v>
      </c>
      <c r="E18" s="3016">
        <f t="shared" si="3"/>
        <v>10.736356800000001</v>
      </c>
      <c r="F18" s="3016">
        <f t="shared" si="3"/>
        <v>10.6711607</v>
      </c>
      <c r="G18" s="3016">
        <f t="shared" si="3"/>
        <v>10.637199577000002</v>
      </c>
      <c r="H18" s="3016">
        <f t="shared" si="3"/>
        <v>10.915479320999999</v>
      </c>
      <c r="I18" s="3016">
        <f t="shared" si="3"/>
        <v>11.963036465</v>
      </c>
      <c r="J18" s="3016">
        <f t="shared" si="3"/>
        <v>12.013972246</v>
      </c>
      <c r="K18" s="3016">
        <f t="shared" si="3"/>
        <v>14.181801322629999</v>
      </c>
      <c r="L18" s="3016">
        <f t="shared" si="3"/>
        <v>12.130614445000003</v>
      </c>
      <c r="M18" s="3016">
        <f t="shared" si="3"/>
        <v>13.947828523</v>
      </c>
      <c r="N18" s="3016">
        <f t="shared" si="3"/>
        <v>13.462283102000001</v>
      </c>
      <c r="O18" s="3017">
        <f>SUM(O3:O17)</f>
        <v>142.37112020163002</v>
      </c>
      <c r="P18" s="3016">
        <f>SUM(P3:P17)</f>
        <v>12.949148586000002</v>
      </c>
      <c r="Q18" s="3016">
        <f t="shared" ref="Q18:U18" si="4">SUM(Q3:Q17)</f>
        <v>12.378051525</v>
      </c>
      <c r="R18" s="3016">
        <f t="shared" si="4"/>
        <v>16.087818463999998</v>
      </c>
      <c r="S18" s="3016">
        <f t="shared" si="4"/>
        <v>12.311901625999996</v>
      </c>
      <c r="T18" s="3016">
        <f t="shared" si="4"/>
        <v>12.272659828999998</v>
      </c>
      <c r="U18" s="3016">
        <f t="shared" si="4"/>
        <v>12.326855612999999</v>
      </c>
      <c r="V18" s="3017">
        <f>SUM(V3:V17)</f>
        <v>78.326435642999996</v>
      </c>
    </row>
    <row r="19" spans="1:24">
      <c r="A19" s="3004">
        <v>4075801</v>
      </c>
      <c r="B19" s="3004" t="s">
        <v>6504</v>
      </c>
      <c r="C19" s="3012">
        <f>5037815/10^7</f>
        <v>0.50378149999999999</v>
      </c>
      <c r="D19" s="3012">
        <f>4948805/10^7</f>
        <v>0.4948805</v>
      </c>
      <c r="E19" s="3012">
        <f>4990799/10^7</f>
        <v>0.49907990000000002</v>
      </c>
      <c r="F19" s="3012">
        <f>5036473/10^7</f>
        <v>0.50364730000000002</v>
      </c>
      <c r="G19" s="3012">
        <f>5040491/10^7</f>
        <v>0.50404910000000003</v>
      </c>
      <c r="H19" s="3012">
        <f>4988712/10^7</f>
        <v>0.49887120000000001</v>
      </c>
      <c r="I19" s="3012">
        <v>0.56132269999999995</v>
      </c>
      <c r="J19" s="3012">
        <v>0.57496879999999995</v>
      </c>
      <c r="K19" s="3012">
        <v>0.69415349999999998</v>
      </c>
      <c r="L19" s="3012">
        <v>0.56889259999999997</v>
      </c>
      <c r="M19" s="3012">
        <v>0.66871539999999996</v>
      </c>
      <c r="N19" s="3012">
        <v>1.2789708</v>
      </c>
      <c r="O19" s="3013">
        <f>SUM(C19:N19)</f>
        <v>7.3513332999999985</v>
      </c>
      <c r="P19" s="3012">
        <f>5865256/10^7</f>
        <v>0.58652559999999998</v>
      </c>
      <c r="Q19" s="3012">
        <f>10457991/10^7</f>
        <v>1.0457991</v>
      </c>
      <c r="R19" s="3012">
        <f>5931682/10^7</f>
        <v>0.59316820000000003</v>
      </c>
      <c r="S19" s="3012">
        <f>5947670/10^7</f>
        <v>0.59476700000000005</v>
      </c>
      <c r="T19" s="3012">
        <f>5956585/10^7</f>
        <v>0.59565849999999998</v>
      </c>
      <c r="U19" s="3012">
        <f>5982484.02/10^7</f>
        <v>0.59824840199999996</v>
      </c>
      <c r="V19" s="3013">
        <f>SUM(P19:U19)</f>
        <v>4.0141668020000001</v>
      </c>
    </row>
    <row r="20" spans="1:24">
      <c r="A20" s="3004">
        <v>4075805</v>
      </c>
      <c r="B20" s="3004" t="s">
        <v>6505</v>
      </c>
      <c r="C20" s="3018">
        <f>212020/10^7</f>
        <v>2.1201999999999999E-2</v>
      </c>
      <c r="D20" s="3018">
        <f>208261/10^7</f>
        <v>2.08261E-2</v>
      </c>
      <c r="E20" s="3018">
        <f>210030/10^7</f>
        <v>2.1003000000000001E-2</v>
      </c>
      <c r="F20" s="3018">
        <f>211954/10^7</f>
        <v>2.11954E-2</v>
      </c>
      <c r="G20" s="3018">
        <f>212122/10^7</f>
        <v>2.12122E-2</v>
      </c>
      <c r="H20" s="3018">
        <f>213066/10^7</f>
        <v>2.1306599999999998E-2</v>
      </c>
      <c r="I20" s="3018">
        <v>2.3638300000000001E-2</v>
      </c>
      <c r="J20" s="3018">
        <v>2.4197400000000001E-2</v>
      </c>
      <c r="K20" s="3018">
        <v>2.92269E-2</v>
      </c>
      <c r="L20" s="3018">
        <v>2.3940300000000001E-2</v>
      </c>
      <c r="M20" s="3018">
        <v>2.8169799999999998E-2</v>
      </c>
      <c r="N20" s="3018">
        <v>5.3823299999999998E-2</v>
      </c>
      <c r="O20" s="3013">
        <f>SUM(C20:N20)</f>
        <v>0.30974130000000005</v>
      </c>
      <c r="P20" s="3012">
        <f>246798/10^7</f>
        <v>2.4679799999999998E-2</v>
      </c>
      <c r="Q20" s="3012">
        <f>440107/10^7</f>
        <v>4.40107E-2</v>
      </c>
      <c r="R20" s="3012">
        <f>249624/10^7</f>
        <v>2.4962399999999999E-2</v>
      </c>
      <c r="S20" s="3012">
        <f>250298/10^7</f>
        <v>2.5029800000000001E-2</v>
      </c>
      <c r="T20" s="3012">
        <f>250573/10^7</f>
        <v>2.5057300000000001E-2</v>
      </c>
      <c r="U20" s="3012">
        <f>251897/10^7</f>
        <v>2.5189699999999999E-2</v>
      </c>
      <c r="V20" s="3013">
        <f>SUM(P20:U20)</f>
        <v>0.16892970000000002</v>
      </c>
    </row>
    <row r="21" spans="1:24" ht="15" thickBot="1"/>
    <row r="22" spans="1:24" ht="15.5" thickTop="1" thickBot="1">
      <c r="A22" s="3020"/>
      <c r="B22" s="3021" t="s">
        <v>8319</v>
      </c>
      <c r="C22" s="3022">
        <f>C18+C19+C20</f>
        <v>11.453733399999999</v>
      </c>
      <c r="D22" s="3022">
        <f t="shared" ref="D22:V22" si="5">D18+D19+D20</f>
        <v>11.2983444</v>
      </c>
      <c r="E22" s="3022">
        <f t="shared" si="5"/>
        <v>11.256439700000001</v>
      </c>
      <c r="F22" s="3022">
        <f t="shared" si="5"/>
        <v>11.1960034</v>
      </c>
      <c r="G22" s="3022">
        <f t="shared" si="5"/>
        <v>11.162460877000003</v>
      </c>
      <c r="H22" s="3022">
        <f t="shared" si="5"/>
        <v>11.435657121</v>
      </c>
      <c r="I22" s="3022">
        <f t="shared" si="5"/>
        <v>12.547997465</v>
      </c>
      <c r="J22" s="3022">
        <f t="shared" si="5"/>
        <v>12.613138446000001</v>
      </c>
      <c r="K22" s="3022">
        <f t="shared" si="5"/>
        <v>14.905181722629999</v>
      </c>
      <c r="L22" s="3022">
        <f t="shared" si="5"/>
        <v>12.723447345000002</v>
      </c>
      <c r="M22" s="3022">
        <f t="shared" si="5"/>
        <v>14.644713723000001</v>
      </c>
      <c r="N22" s="3022">
        <f t="shared" si="5"/>
        <v>14.795077202</v>
      </c>
      <c r="O22" s="3023">
        <f t="shared" si="5"/>
        <v>150.03219480163003</v>
      </c>
      <c r="P22" s="3022">
        <f t="shared" si="5"/>
        <v>13.560353986000001</v>
      </c>
      <c r="Q22" s="3022">
        <f t="shared" si="5"/>
        <v>13.467861324999999</v>
      </c>
      <c r="R22" s="3022">
        <f t="shared" si="5"/>
        <v>16.705949063999999</v>
      </c>
      <c r="S22" s="3022">
        <f t="shared" si="5"/>
        <v>12.931698425999995</v>
      </c>
      <c r="T22" s="3022">
        <f t="shared" si="5"/>
        <v>12.893375628999999</v>
      </c>
      <c r="U22" s="3022">
        <f t="shared" si="5"/>
        <v>12.950293714999999</v>
      </c>
      <c r="V22" s="3023">
        <f t="shared" si="5"/>
        <v>82.509532145000009</v>
      </c>
      <c r="W22" s="3024"/>
      <c r="X22" s="3024"/>
    </row>
    <row r="23" spans="1:24" ht="15" thickTop="1"/>
  </sheetData>
  <mergeCells count="2">
    <mergeCell ref="C1:N1"/>
    <mergeCell ref="P1:U1"/>
  </mergeCells>
  <pageMargins left="0.7" right="0.7" top="0.75" bottom="0.75" header="0.3" footer="0.3"/>
  <pageSetup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125"/>
  <sheetViews>
    <sheetView topLeftCell="A23" workbookViewId="0">
      <selection activeCell="C37" sqref="C37"/>
    </sheetView>
  </sheetViews>
  <sheetFormatPr defaultColWidth="8.7265625" defaultRowHeight="12.5"/>
  <cols>
    <col min="1" max="1" width="25" customWidth="1"/>
    <col min="2" max="2" width="59.26953125" customWidth="1"/>
    <col min="3" max="3" width="12.54296875" customWidth="1"/>
    <col min="4" max="4" width="13.26953125" customWidth="1"/>
    <col min="5" max="5" width="2" customWidth="1"/>
    <col min="6" max="6" width="9.453125" bestFit="1" customWidth="1"/>
  </cols>
  <sheetData>
    <row r="1" spans="2:4">
      <c r="D1" t="s">
        <v>7019</v>
      </c>
    </row>
    <row r="2" spans="2:4" ht="13">
      <c r="B2" s="2033" t="s">
        <v>7020</v>
      </c>
      <c r="C2" s="2033" t="s">
        <v>7021</v>
      </c>
      <c r="D2" s="2033" t="s">
        <v>7022</v>
      </c>
    </row>
    <row r="3" spans="2:4">
      <c r="B3" t="s">
        <v>7023</v>
      </c>
    </row>
    <row r="5" spans="2:4">
      <c r="B5" t="s">
        <v>7024</v>
      </c>
      <c r="C5" s="232">
        <f>'F-6'!J38/12</f>
        <v>171.78894985048888</v>
      </c>
      <c r="D5" s="232">
        <f>'F-6'!N38/12</f>
        <v>190.81376755083934</v>
      </c>
    </row>
    <row r="6" spans="2:4">
      <c r="B6" t="s">
        <v>7025</v>
      </c>
      <c r="C6" s="232">
        <f>SUM('F-6'!J13:J15)/12</f>
        <v>67.887317457498781</v>
      </c>
      <c r="D6" s="232">
        <f>SUM('F-6'!N13:N15)/12</f>
        <v>77.66759328050928</v>
      </c>
    </row>
    <row r="7" spans="2:4">
      <c r="B7" t="s">
        <v>7026</v>
      </c>
      <c r="C7" s="232">
        <f>'F-6'!J14*40%/12</f>
        <v>4.8466104337213913</v>
      </c>
      <c r="D7" s="232">
        <f>'F-6'!N14*40%/12</f>
        <v>5.1801447543412449</v>
      </c>
    </row>
    <row r="8" spans="2:4">
      <c r="C8" s="232"/>
      <c r="D8" s="232"/>
    </row>
    <row r="9" spans="2:4">
      <c r="B9" t="s">
        <v>7027</v>
      </c>
      <c r="C9" s="232">
        <f>SUM(C5:C7)</f>
        <v>244.52287774170904</v>
      </c>
      <c r="D9" s="232">
        <f>SUM(D5:D7)</f>
        <v>273.66150558568989</v>
      </c>
    </row>
    <row r="10" spans="2:4">
      <c r="C10" s="232"/>
      <c r="D10" s="232"/>
    </row>
    <row r="11" spans="2:4">
      <c r="B11" t="s">
        <v>7028</v>
      </c>
      <c r="C11" s="232"/>
      <c r="D11" s="232"/>
    </row>
    <row r="12" spans="2:4">
      <c r="B12" t="s">
        <v>7029</v>
      </c>
      <c r="C12">
        <v>8.4499999999999993</v>
      </c>
      <c r="D12">
        <v>7.3</v>
      </c>
    </row>
    <row r="13" spans="2:4">
      <c r="B13" t="s">
        <v>7030</v>
      </c>
      <c r="C13">
        <f>C12</f>
        <v>8.4499999999999993</v>
      </c>
      <c r="D13">
        <v>7.4</v>
      </c>
    </row>
    <row r="14" spans="2:4">
      <c r="B14" t="s">
        <v>7031</v>
      </c>
      <c r="C14">
        <v>3</v>
      </c>
      <c r="D14">
        <v>3</v>
      </c>
    </row>
    <row r="15" spans="2:4">
      <c r="B15" t="s">
        <v>7032</v>
      </c>
      <c r="C15">
        <f>C13+C14</f>
        <v>11.45</v>
      </c>
      <c r="D15">
        <f>D13+D14</f>
        <v>10.4</v>
      </c>
    </row>
    <row r="17" spans="2:7" ht="13">
      <c r="B17" s="2033" t="s">
        <v>7033</v>
      </c>
      <c r="C17" s="2034">
        <f>C15*C9%</f>
        <v>27.997869501425683</v>
      </c>
      <c r="D17" s="2034">
        <f>D15*D9%</f>
        <v>28.460796580911751</v>
      </c>
    </row>
    <row r="20" spans="2:7">
      <c r="B20" t="s">
        <v>3660</v>
      </c>
      <c r="C20" s="232">
        <v>184.65</v>
      </c>
      <c r="D20" s="232">
        <v>316</v>
      </c>
    </row>
    <row r="21" spans="2:7">
      <c r="B21" t="s">
        <v>7034</v>
      </c>
      <c r="C21" s="232"/>
      <c r="D21" s="232">
        <f>227-C20</f>
        <v>42.349999999999994</v>
      </c>
    </row>
    <row r="22" spans="2:7" ht="13">
      <c r="B22" s="1" t="s">
        <v>7035</v>
      </c>
      <c r="C22" s="411">
        <f>C20+C21</f>
        <v>184.65</v>
      </c>
      <c r="D22" s="411">
        <f>D20+D21</f>
        <v>358.35</v>
      </c>
      <c r="F22" s="2036"/>
      <c r="G22" s="2036"/>
    </row>
    <row r="23" spans="2:7" ht="13">
      <c r="B23" s="1" t="s">
        <v>7036</v>
      </c>
      <c r="C23" s="411">
        <f>C24-C22</f>
        <v>31.821277842907392</v>
      </c>
      <c r="D23" s="411">
        <f>D24-D22</f>
        <v>61.755509964830026</v>
      </c>
    </row>
    <row r="24" spans="2:7" ht="13">
      <c r="B24" s="1" t="s">
        <v>7037</v>
      </c>
      <c r="C24" s="411">
        <f>C22/0.853</f>
        <v>216.4712778429074</v>
      </c>
      <c r="D24" s="411">
        <f>D22/0.853</f>
        <v>420.10550996483005</v>
      </c>
    </row>
    <row r="25" spans="2:7">
      <c r="B25" t="s">
        <v>7038</v>
      </c>
      <c r="C25" s="232">
        <f>-'F-6'!J19</f>
        <v>28.27</v>
      </c>
      <c r="D25" s="232">
        <f>-'F-6'!N19</f>
        <v>30.240000000000002</v>
      </c>
      <c r="E25" t="s">
        <v>7039</v>
      </c>
    </row>
    <row r="26" spans="2:7">
      <c r="B26" t="s">
        <v>7040</v>
      </c>
    </row>
    <row r="27" spans="2:7" ht="13">
      <c r="B27" s="2033" t="s">
        <v>7041</v>
      </c>
      <c r="C27" s="2291">
        <f>C24+C25+C26</f>
        <v>244.74127784290741</v>
      </c>
      <c r="D27" s="2035">
        <f>D24+D25+D26</f>
        <v>450.34550996483006</v>
      </c>
    </row>
    <row r="28" spans="2:7" ht="13">
      <c r="B28" s="1" t="s">
        <v>7042</v>
      </c>
      <c r="C28" s="2036"/>
    </row>
    <row r="29" spans="2:7">
      <c r="B29" t="s">
        <v>7043</v>
      </c>
      <c r="C29" s="2036">
        <f>C27*70%</f>
        <v>171.31889449003518</v>
      </c>
      <c r="D29" s="2036">
        <f>D27*70%</f>
        <v>315.24185697538104</v>
      </c>
      <c r="F29" s="2036"/>
    </row>
    <row r="30" spans="2:7">
      <c r="B30" t="s">
        <v>7044</v>
      </c>
      <c r="C30" s="2036">
        <f>C27-C29</f>
        <v>73.422383352872231</v>
      </c>
      <c r="D30" s="2036">
        <f>D27-D29</f>
        <v>135.10365298944902</v>
      </c>
      <c r="F30" s="2036"/>
    </row>
    <row r="31" spans="2:7" ht="13">
      <c r="B31" s="2033" t="s">
        <v>7045</v>
      </c>
      <c r="C31" s="2292">
        <f>C29+C30</f>
        <v>244.74127784290741</v>
      </c>
      <c r="D31" s="2034">
        <f t="shared" ref="D31" si="0">D29+D30</f>
        <v>450.34550996483006</v>
      </c>
      <c r="F31" s="2036"/>
      <c r="G31" t="s">
        <v>3660</v>
      </c>
    </row>
    <row r="32" spans="2:7">
      <c r="B32" t="s">
        <v>7046</v>
      </c>
      <c r="C32" s="2037">
        <v>0.1</v>
      </c>
      <c r="D32" s="2037">
        <v>0.1</v>
      </c>
    </row>
    <row r="33" spans="2:5">
      <c r="B33" t="s">
        <v>7047</v>
      </c>
      <c r="C33" s="2036">
        <f>C29*C32/2</f>
        <v>8.5659447245017599</v>
      </c>
      <c r="D33" s="2036">
        <f>D29*D32/2</f>
        <v>15.762092848769052</v>
      </c>
    </row>
    <row r="34" spans="2:5">
      <c r="B34" t="s">
        <v>7048</v>
      </c>
      <c r="C34" s="2036"/>
      <c r="D34" s="2036">
        <f>C29*C32</f>
        <v>17.13188944900352</v>
      </c>
    </row>
    <row r="35" spans="2:5" ht="13">
      <c r="B35" s="2033" t="s">
        <v>253</v>
      </c>
      <c r="C35" s="2034">
        <f>C33+C34</f>
        <v>8.5659447245017599</v>
      </c>
      <c r="D35" s="2034">
        <f>D33+D34</f>
        <v>32.893982297772574</v>
      </c>
    </row>
    <row r="36" spans="2:5">
      <c r="C36" s="2036"/>
      <c r="D36" s="2036"/>
    </row>
    <row r="37" spans="2:5">
      <c r="B37" t="s">
        <v>7049</v>
      </c>
      <c r="C37" s="2036">
        <f>C33/4</f>
        <v>2.14148618112544</v>
      </c>
      <c r="D37" s="2036"/>
    </row>
    <row r="38" spans="2:5">
      <c r="B38" t="s">
        <v>7050</v>
      </c>
      <c r="C38" s="2036"/>
      <c r="D38" s="2036">
        <f>D33*50%</f>
        <v>7.8810464243845262</v>
      </c>
    </row>
    <row r="39" spans="2:5" ht="13">
      <c r="B39" s="2033" t="s">
        <v>7051</v>
      </c>
      <c r="C39" s="2034">
        <f>C37+C38</f>
        <v>2.14148618112544</v>
      </c>
      <c r="D39" s="2034">
        <f>D37+D38</f>
        <v>7.8810464243845262</v>
      </c>
    </row>
    <row r="40" spans="2:5">
      <c r="C40" s="2036"/>
      <c r="D40" s="2036"/>
    </row>
    <row r="41" spans="2:5">
      <c r="C41" s="2036"/>
      <c r="D41" s="2036"/>
    </row>
    <row r="42" spans="2:5">
      <c r="B42" s="1809" t="s">
        <v>7052</v>
      </c>
      <c r="C42" s="2065">
        <f>SUM(C44:C48)</f>
        <v>150.44</v>
      </c>
      <c r="D42" s="2065">
        <f>SUM(D44:D48)</f>
        <v>250</v>
      </c>
    </row>
    <row r="43" spans="2:5">
      <c r="B43" t="s">
        <v>7053</v>
      </c>
    </row>
    <row r="44" spans="2:5">
      <c r="B44" t="s">
        <v>7054</v>
      </c>
      <c r="C44" s="232">
        <f>C84</f>
        <v>25.86</v>
      </c>
      <c r="D44" s="232">
        <f>D84</f>
        <v>7</v>
      </c>
      <c r="E44" s="2038"/>
    </row>
    <row r="45" spans="2:5">
      <c r="B45" t="s">
        <v>7055</v>
      </c>
      <c r="C45" s="232">
        <f>C91</f>
        <v>14.68</v>
      </c>
      <c r="D45" s="232">
        <f>D91</f>
        <v>28</v>
      </c>
      <c r="E45" s="2038"/>
    </row>
    <row r="46" spans="2:5">
      <c r="B46" t="s">
        <v>7056</v>
      </c>
      <c r="C46" s="232">
        <f>C104</f>
        <v>21.119999999999997</v>
      </c>
      <c r="D46" s="232">
        <f>D104</f>
        <v>50.000000000000014</v>
      </c>
      <c r="E46" s="2038"/>
    </row>
    <row r="47" spans="2:5">
      <c r="B47" t="s">
        <v>7057</v>
      </c>
      <c r="C47" s="232">
        <f>C107</f>
        <v>4.0999999999999996</v>
      </c>
      <c r="D47" s="232">
        <f>D107</f>
        <v>60</v>
      </c>
      <c r="E47" s="2038"/>
    </row>
    <row r="48" spans="2:5">
      <c r="B48" t="s">
        <v>7058</v>
      </c>
      <c r="C48" s="232">
        <f>C121</f>
        <v>84.68</v>
      </c>
      <c r="D48" s="232">
        <f>D121</f>
        <v>105.00000000000001</v>
      </c>
      <c r="E48" s="2038"/>
    </row>
    <row r="49" spans="2:10">
      <c r="C49" s="232"/>
      <c r="D49" s="232"/>
      <c r="E49" s="2038"/>
    </row>
    <row r="50" spans="2:10">
      <c r="B50" t="s">
        <v>7059</v>
      </c>
      <c r="C50" s="232">
        <f>C23</f>
        <v>31.821277842907392</v>
      </c>
      <c r="D50" s="232">
        <f>D23</f>
        <v>61.755509964830026</v>
      </c>
      <c r="E50" s="2038"/>
    </row>
    <row r="51" spans="2:10">
      <c r="C51" s="232"/>
      <c r="D51" s="232"/>
      <c r="E51" s="2038"/>
    </row>
    <row r="52" spans="2:10" ht="13">
      <c r="B52" s="2033" t="s">
        <v>7060</v>
      </c>
      <c r="C52" s="2039">
        <f>SUM(C44:C50)</f>
        <v>182.26127784290739</v>
      </c>
      <c r="D52" s="2039">
        <f>SUM(D44:D50)</f>
        <v>311.75550996483003</v>
      </c>
      <c r="F52" s="2293"/>
      <c r="G52" s="2294"/>
      <c r="H52" s="2036"/>
      <c r="I52" s="232"/>
      <c r="J52" s="2036"/>
    </row>
    <row r="54" spans="2:10" ht="13">
      <c r="B54" s="1" t="s">
        <v>7042</v>
      </c>
      <c r="C54" s="2036"/>
    </row>
    <row r="55" spans="2:10">
      <c r="B55" t="s">
        <v>7044</v>
      </c>
      <c r="C55" s="2036">
        <f>C52*30%</f>
        <v>54.678383352872217</v>
      </c>
      <c r="D55" s="2036">
        <f>D52*30%</f>
        <v>93.526652989449005</v>
      </c>
      <c r="F55" s="2036"/>
    </row>
    <row r="57" spans="2:10">
      <c r="B57" t="s">
        <v>7061</v>
      </c>
      <c r="F57" s="2036"/>
      <c r="G57" s="2036"/>
    </row>
    <row r="58" spans="2:10">
      <c r="B58" t="s">
        <v>7062</v>
      </c>
      <c r="C58" s="232">
        <f>200*16%</f>
        <v>32</v>
      </c>
      <c r="D58" s="232">
        <f>200*16%</f>
        <v>32</v>
      </c>
    </row>
    <row r="59" spans="2:10">
      <c r="B59" t="s">
        <v>7063</v>
      </c>
      <c r="C59" s="232">
        <f>C55*16%/2</f>
        <v>4.3742706682297774</v>
      </c>
      <c r="D59" s="232">
        <f>C55*16%</f>
        <v>8.7485413364595548</v>
      </c>
    </row>
    <row r="60" spans="2:10">
      <c r="B60" t="s">
        <v>7064</v>
      </c>
      <c r="C60" s="232"/>
      <c r="D60" s="232">
        <f>D55*16%/2</f>
        <v>7.4821322391559208</v>
      </c>
    </row>
    <row r="61" spans="2:10" ht="13">
      <c r="B61" s="2033" t="s">
        <v>7065</v>
      </c>
      <c r="C61" s="2040">
        <f>SUM(C58:C60)</f>
        <v>36.374270668229777</v>
      </c>
      <c r="D61" s="2040">
        <f>SUM(D58:D60)</f>
        <v>48.230673575615477</v>
      </c>
    </row>
    <row r="63" spans="2:10">
      <c r="B63" s="1809" t="s">
        <v>7066</v>
      </c>
      <c r="C63" s="2041">
        <f>C61/(1-25.17%)-C61</f>
        <v>12.234937761851448</v>
      </c>
      <c r="D63" s="2041">
        <f>D61/(1-25.17%)-D61</f>
        <v>16.222986153925454</v>
      </c>
    </row>
    <row r="65" spans="1:8" ht="13">
      <c r="B65" s="1" t="s">
        <v>7067</v>
      </c>
    </row>
    <row r="66" spans="1:8">
      <c r="B66" t="s">
        <v>7068</v>
      </c>
      <c r="C66" s="232">
        <v>0</v>
      </c>
      <c r="D66" s="232">
        <f>C74</f>
        <v>-219.48909771418812</v>
      </c>
    </row>
    <row r="67" spans="1:8">
      <c r="B67" t="s">
        <v>7069</v>
      </c>
      <c r="C67" s="232">
        <f>'F-6'!J42</f>
        <v>-210.79385134615904</v>
      </c>
      <c r="D67" s="232">
        <f>'F-6'!N44</f>
        <v>-303.95496520887582</v>
      </c>
    </row>
    <row r="68" spans="1:8">
      <c r="B68" t="s">
        <v>7070</v>
      </c>
      <c r="C68" s="232">
        <f>C66+C67</f>
        <v>-210.79385134615904</v>
      </c>
      <c r="D68" s="232">
        <f t="shared" ref="D68" si="1">D66+D67</f>
        <v>-523.44406292306394</v>
      </c>
    </row>
    <row r="69" spans="1:8">
      <c r="B69" t="s">
        <v>7071</v>
      </c>
      <c r="C69" s="232">
        <f>AVERAGE(C68,C66)</f>
        <v>-105.39692567307952</v>
      </c>
      <c r="D69" s="232">
        <f>AVERAGE(D68,D66)</f>
        <v>-371.46658031862603</v>
      </c>
    </row>
    <row r="70" spans="1:8">
      <c r="B70" t="s">
        <v>7072</v>
      </c>
      <c r="C70" s="2042">
        <f>C71</f>
        <v>8.2500000000000004E-2</v>
      </c>
      <c r="D70" s="2042">
        <f>D71</f>
        <v>8.2500000000000004E-2</v>
      </c>
    </row>
    <row r="71" spans="1:8">
      <c r="B71" t="s">
        <v>7073</v>
      </c>
      <c r="C71" s="2042">
        <v>8.2500000000000004E-2</v>
      </c>
      <c r="D71" s="2042">
        <v>8.2500000000000004E-2</v>
      </c>
    </row>
    <row r="72" spans="1:8">
      <c r="B72" t="s">
        <v>7074</v>
      </c>
      <c r="C72" s="2042">
        <f>21.3818%*0</f>
        <v>0</v>
      </c>
      <c r="D72" s="2042">
        <f>21.3818%*0</f>
        <v>0</v>
      </c>
    </row>
    <row r="73" spans="1:8">
      <c r="B73" s="1809" t="s">
        <v>7075</v>
      </c>
      <c r="C73" s="2041">
        <f>C69*C70</f>
        <v>-8.6952463680290606</v>
      </c>
      <c r="D73" s="2041">
        <f>D69*D70</f>
        <v>-30.645992876286648</v>
      </c>
    </row>
    <row r="74" spans="1:8">
      <c r="B74" t="s">
        <v>7076</v>
      </c>
      <c r="C74" s="232">
        <f>C68+C73</f>
        <v>-219.48909771418812</v>
      </c>
      <c r="D74" s="232">
        <f>D68+D73</f>
        <v>-554.09005579935058</v>
      </c>
    </row>
    <row r="76" spans="1:8" ht="13">
      <c r="A76" s="3311" t="s">
        <v>7077</v>
      </c>
      <c r="B76" s="3311"/>
      <c r="C76" s="3311"/>
      <c r="D76" s="3311"/>
      <c r="E76" s="3311"/>
      <c r="F76" s="3311"/>
      <c r="G76" s="3311"/>
      <c r="H76" s="3311"/>
    </row>
    <row r="77" spans="1:8">
      <c r="A77" s="3312"/>
      <c r="B77" s="3314" t="s">
        <v>5430</v>
      </c>
      <c r="C77" s="2043" t="s">
        <v>7019</v>
      </c>
      <c r="D77" s="2043" t="s">
        <v>7019</v>
      </c>
      <c r="F77" s="3316" t="s">
        <v>7078</v>
      </c>
      <c r="G77" s="3317" t="s">
        <v>118</v>
      </c>
      <c r="H77" s="3317"/>
    </row>
    <row r="78" spans="1:8">
      <c r="A78" s="3313"/>
      <c r="B78" s="3315"/>
      <c r="C78" s="2043" t="s">
        <v>7079</v>
      </c>
      <c r="D78" s="2043" t="s">
        <v>7080</v>
      </c>
      <c r="F78" s="3316"/>
      <c r="G78" s="2043" t="s">
        <v>7079</v>
      </c>
      <c r="H78" s="2043" t="s">
        <v>7080</v>
      </c>
    </row>
    <row r="79" spans="1:8" ht="14">
      <c r="A79" s="3307" t="s">
        <v>7054</v>
      </c>
      <c r="B79" s="2044" t="s">
        <v>7081</v>
      </c>
      <c r="C79" s="2045">
        <v>9.99</v>
      </c>
      <c r="D79" s="2046">
        <v>5</v>
      </c>
      <c r="F79" s="2047">
        <v>6.3299999999999995E-2</v>
      </c>
      <c r="G79" s="2048">
        <f>C79*F79/2</f>
        <v>0.31618350000000001</v>
      </c>
      <c r="H79" s="2048">
        <f>D79*F79/2+C79*F79</f>
        <v>0.79061700000000001</v>
      </c>
    </row>
    <row r="80" spans="1:8" ht="14">
      <c r="A80" s="3307"/>
      <c r="B80" s="2044" t="s">
        <v>7082</v>
      </c>
      <c r="C80" s="2045">
        <v>1.4</v>
      </c>
      <c r="D80" s="2046"/>
      <c r="F80" s="2047">
        <v>3.3399999999999999E-2</v>
      </c>
      <c r="G80" s="2048">
        <f t="shared" ref="G80:G83" si="2">C80*F80/2</f>
        <v>2.3379999999999998E-2</v>
      </c>
      <c r="H80" s="2048">
        <f>D80*F80/2+C80*F80</f>
        <v>4.6759999999999996E-2</v>
      </c>
    </row>
    <row r="81" spans="1:8" ht="14">
      <c r="A81" s="3307"/>
      <c r="B81" s="2044" t="s">
        <v>7083</v>
      </c>
      <c r="C81" s="2045">
        <v>7</v>
      </c>
      <c r="D81" s="2046"/>
      <c r="F81" s="2047">
        <v>3.3399999999999999E-2</v>
      </c>
      <c r="G81" s="2048">
        <f t="shared" si="2"/>
        <v>0.1169</v>
      </c>
      <c r="H81" s="2048">
        <f>D81*F81/2+C81*F81</f>
        <v>0.23380000000000001</v>
      </c>
    </row>
    <row r="82" spans="1:8" ht="14">
      <c r="A82" s="3307"/>
      <c r="B82" s="2044" t="s">
        <v>7084</v>
      </c>
      <c r="C82" s="2045">
        <v>5</v>
      </c>
      <c r="D82" s="2046"/>
      <c r="F82" s="2047">
        <v>3.3399999999999999E-2</v>
      </c>
      <c r="G82" s="2048">
        <f t="shared" si="2"/>
        <v>8.3499999999999991E-2</v>
      </c>
      <c r="H82" s="2048">
        <f>D82*F82/2+C82*F82</f>
        <v>0.16699999999999998</v>
      </c>
    </row>
    <row r="83" spans="1:8" ht="14">
      <c r="A83" s="3307"/>
      <c r="B83" s="2044" t="s">
        <v>7085</v>
      </c>
      <c r="C83" s="2045">
        <v>2.4700000000000002</v>
      </c>
      <c r="D83" s="2046">
        <v>2</v>
      </c>
      <c r="F83" s="2047">
        <v>3.3399999999999999E-2</v>
      </c>
      <c r="G83" s="2048">
        <f t="shared" si="2"/>
        <v>4.1249000000000001E-2</v>
      </c>
      <c r="H83" s="2048">
        <f>D83*F83/2+C83*F83</f>
        <v>0.115898</v>
      </c>
    </row>
    <row r="84" spans="1:8" ht="14">
      <c r="A84" s="3307"/>
      <c r="B84" s="2049" t="s">
        <v>7086</v>
      </c>
      <c r="C84" s="2050">
        <f>SUM(C79:C83)</f>
        <v>25.86</v>
      </c>
      <c r="D84" s="2050">
        <f>SUM(D79:D83)</f>
        <v>7</v>
      </c>
      <c r="F84" s="12"/>
      <c r="G84" s="2050">
        <f t="shared" ref="G84:H84" si="3">SUM(G79:G83)</f>
        <v>0.58121250000000002</v>
      </c>
      <c r="H84" s="2050">
        <f t="shared" si="3"/>
        <v>1.3540750000000001</v>
      </c>
    </row>
    <row r="85" spans="1:8" ht="14">
      <c r="A85" s="3307" t="s">
        <v>7055</v>
      </c>
      <c r="B85" s="2044" t="s">
        <v>7087</v>
      </c>
      <c r="C85" s="2051"/>
      <c r="D85" s="2046"/>
      <c r="F85" s="12"/>
      <c r="G85" s="12"/>
      <c r="H85" s="12"/>
    </row>
    <row r="86" spans="1:8" ht="28">
      <c r="A86" s="3307"/>
      <c r="B86" s="2044" t="s">
        <v>7088</v>
      </c>
      <c r="C86" s="2045">
        <v>8.68</v>
      </c>
      <c r="D86" s="2052">
        <v>28</v>
      </c>
      <c r="F86" s="2047">
        <v>5.28E-2</v>
      </c>
      <c r="G86" s="2048">
        <f t="shared" ref="G86:G87" si="4">C86*F86/2</f>
        <v>0.22915199999999999</v>
      </c>
      <c r="H86" s="2048">
        <f>D86*F86/2+C86*F86</f>
        <v>1.1975039999999999</v>
      </c>
    </row>
    <row r="87" spans="1:8" ht="14">
      <c r="A87" s="3307"/>
      <c r="B87" s="2044" t="s">
        <v>7089</v>
      </c>
      <c r="C87" s="2045">
        <v>6</v>
      </c>
      <c r="D87" s="2046"/>
      <c r="F87" s="2047">
        <v>5.28E-2</v>
      </c>
      <c r="G87" s="2048">
        <f t="shared" si="4"/>
        <v>0.15839999999999999</v>
      </c>
      <c r="H87" s="2048">
        <f>D87*F87/2+C87*F87</f>
        <v>0.31679999999999997</v>
      </c>
    </row>
    <row r="88" spans="1:8" ht="14">
      <c r="A88" s="3307"/>
      <c r="B88" s="2044" t="s">
        <v>7090</v>
      </c>
      <c r="C88" s="2045"/>
      <c r="D88" s="2046"/>
      <c r="F88" s="12"/>
      <c r="G88" s="12"/>
      <c r="H88" s="12"/>
    </row>
    <row r="89" spans="1:8" ht="14">
      <c r="A89" s="3307"/>
      <c r="B89" s="2053" t="s">
        <v>7091</v>
      </c>
      <c r="C89" s="2054"/>
      <c r="D89" s="2055"/>
      <c r="F89" s="12"/>
      <c r="G89" s="12"/>
      <c r="H89" s="12"/>
    </row>
    <row r="90" spans="1:8" ht="14">
      <c r="A90" s="3307"/>
      <c r="B90" s="2044"/>
      <c r="C90" s="2045"/>
      <c r="D90" s="2046"/>
      <c r="F90" s="12"/>
      <c r="G90" s="12"/>
      <c r="H90" s="12"/>
    </row>
    <row r="91" spans="1:8" ht="14">
      <c r="A91" s="3307"/>
      <c r="B91" s="2049" t="s">
        <v>7092</v>
      </c>
      <c r="C91" s="2050">
        <f>SUM(C85:C90)</f>
        <v>14.68</v>
      </c>
      <c r="D91" s="2050">
        <f t="shared" ref="D91" si="5">SUM(D85:D90)</f>
        <v>28</v>
      </c>
      <c r="F91" s="12"/>
      <c r="G91" s="2050">
        <f t="shared" ref="G91:H91" si="6">SUM(G85:G90)</f>
        <v>0.38755200000000001</v>
      </c>
      <c r="H91" s="2050">
        <f t="shared" si="6"/>
        <v>1.5143039999999999</v>
      </c>
    </row>
    <row r="92" spans="1:8" ht="14">
      <c r="A92" s="3307" t="s">
        <v>7056</v>
      </c>
      <c r="B92" s="2044" t="s">
        <v>7093</v>
      </c>
      <c r="C92" s="2045">
        <v>2.4</v>
      </c>
      <c r="D92" s="2046">
        <v>5.6818181818181825</v>
      </c>
      <c r="F92" s="2047">
        <v>5.28E-2</v>
      </c>
      <c r="G92" s="2048">
        <f t="shared" ref="G92:G101" si="7">C92*F92/2</f>
        <v>6.336E-2</v>
      </c>
      <c r="H92" s="2048">
        <f t="shared" ref="H92:H101" si="8">D92*F92/2+C92*F92</f>
        <v>0.27672000000000002</v>
      </c>
    </row>
    <row r="93" spans="1:8" ht="14">
      <c r="A93" s="3307"/>
      <c r="B93" s="2044" t="s">
        <v>7094</v>
      </c>
      <c r="C93" s="2045">
        <v>1.2</v>
      </c>
      <c r="D93" s="2046">
        <v>2.8409090909090913</v>
      </c>
      <c r="F93" s="2047">
        <v>5.28E-2</v>
      </c>
      <c r="G93" s="2048">
        <f t="shared" si="7"/>
        <v>3.168E-2</v>
      </c>
      <c r="H93" s="2048">
        <f t="shared" si="8"/>
        <v>0.13836000000000001</v>
      </c>
    </row>
    <row r="94" spans="1:8" ht="14">
      <c r="A94" s="3307"/>
      <c r="B94" s="2044" t="s">
        <v>7095</v>
      </c>
      <c r="C94" s="2045">
        <v>3.75</v>
      </c>
      <c r="D94" s="2046">
        <v>8.8778409090909101</v>
      </c>
      <c r="F94" s="2047">
        <v>5.28E-2</v>
      </c>
      <c r="G94" s="2048">
        <f t="shared" si="7"/>
        <v>9.9000000000000005E-2</v>
      </c>
      <c r="H94" s="2048">
        <f t="shared" si="8"/>
        <v>0.43237500000000006</v>
      </c>
    </row>
    <row r="95" spans="1:8" ht="14">
      <c r="A95" s="3307"/>
      <c r="B95" s="2044" t="s">
        <v>7096</v>
      </c>
      <c r="C95" s="2045">
        <v>3</v>
      </c>
      <c r="D95" s="2046">
        <v>7.1022727272727284</v>
      </c>
      <c r="F95" s="2047">
        <v>5.28E-2</v>
      </c>
      <c r="G95" s="2048">
        <f t="shared" si="7"/>
        <v>7.9199999999999993E-2</v>
      </c>
      <c r="H95" s="2048">
        <f t="shared" si="8"/>
        <v>0.34589999999999999</v>
      </c>
    </row>
    <row r="96" spans="1:8" ht="14">
      <c r="A96" s="3307"/>
      <c r="B96" s="2044" t="s">
        <v>7097</v>
      </c>
      <c r="C96" s="2045">
        <v>2.1</v>
      </c>
      <c r="D96" s="2046">
        <v>4.9715909090909101</v>
      </c>
      <c r="F96" s="2047">
        <v>5.28E-2</v>
      </c>
      <c r="G96" s="2048">
        <f t="shared" si="7"/>
        <v>5.5440000000000003E-2</v>
      </c>
      <c r="H96" s="2048">
        <f t="shared" si="8"/>
        <v>0.24213000000000004</v>
      </c>
    </row>
    <row r="97" spans="1:8" ht="14">
      <c r="A97" s="3307"/>
      <c r="B97" s="2044" t="s">
        <v>7098</v>
      </c>
      <c r="C97" s="2045">
        <v>2.7</v>
      </c>
      <c r="D97" s="2046">
        <v>6.3920454545454559</v>
      </c>
      <c r="F97" s="2047">
        <v>5.28E-2</v>
      </c>
      <c r="G97" s="2048">
        <f t="shared" si="7"/>
        <v>7.128000000000001E-2</v>
      </c>
      <c r="H97" s="2048">
        <f t="shared" si="8"/>
        <v>0.31131000000000009</v>
      </c>
    </row>
    <row r="98" spans="1:8" ht="14">
      <c r="A98" s="3307"/>
      <c r="B98" s="2044" t="s">
        <v>7099</v>
      </c>
      <c r="C98" s="2045">
        <v>3.1</v>
      </c>
      <c r="D98" s="2046">
        <v>7.3390151515151523</v>
      </c>
      <c r="F98" s="2047">
        <v>5.28E-2</v>
      </c>
      <c r="G98" s="2048">
        <f t="shared" si="7"/>
        <v>8.1839999999999996E-2</v>
      </c>
      <c r="H98" s="2048">
        <f t="shared" si="8"/>
        <v>0.35743000000000003</v>
      </c>
    </row>
    <row r="99" spans="1:8" ht="14">
      <c r="A99" s="3307"/>
      <c r="B99" s="2044" t="s">
        <v>7100</v>
      </c>
      <c r="C99" s="2045">
        <v>2</v>
      </c>
      <c r="D99" s="2046">
        <v>4.7348484848484853</v>
      </c>
      <c r="F99" s="2047">
        <v>5.28E-2</v>
      </c>
      <c r="G99" s="2048">
        <f t="shared" si="7"/>
        <v>5.28E-2</v>
      </c>
      <c r="H99" s="2048">
        <f t="shared" si="8"/>
        <v>0.2306</v>
      </c>
    </row>
    <row r="100" spans="1:8" ht="14">
      <c r="A100" s="3307"/>
      <c r="B100" s="2056" t="s">
        <v>7101</v>
      </c>
      <c r="C100" s="2045">
        <v>0.22</v>
      </c>
      <c r="D100" s="2046">
        <v>0.52083333333333337</v>
      </c>
      <c r="F100" s="2047">
        <v>5.28E-2</v>
      </c>
      <c r="G100" s="2048">
        <f t="shared" si="7"/>
        <v>5.8079999999999998E-3</v>
      </c>
      <c r="H100" s="2048">
        <f t="shared" si="8"/>
        <v>2.5366E-2</v>
      </c>
    </row>
    <row r="101" spans="1:8" ht="14">
      <c r="A101" s="3307"/>
      <c r="B101" s="2056" t="s">
        <v>7102</v>
      </c>
      <c r="C101" s="2045">
        <v>0.65</v>
      </c>
      <c r="D101" s="2046">
        <v>1.5388257575757578</v>
      </c>
      <c r="F101" s="2047">
        <v>5.28E-2</v>
      </c>
      <c r="G101" s="2048">
        <f t="shared" si="7"/>
        <v>1.7160000000000002E-2</v>
      </c>
      <c r="H101" s="2048">
        <f t="shared" si="8"/>
        <v>7.4945000000000012E-2</v>
      </c>
    </row>
    <row r="102" spans="1:8" ht="14">
      <c r="A102" s="3307"/>
      <c r="B102" s="2057" t="s">
        <v>7103</v>
      </c>
      <c r="C102" s="2054"/>
      <c r="D102" s="2055"/>
      <c r="F102" s="12"/>
      <c r="G102" s="12"/>
      <c r="H102" s="2048">
        <f>D102*G102/2+C102*F102</f>
        <v>0</v>
      </c>
    </row>
    <row r="103" spans="1:8" ht="14">
      <c r="A103" s="3307"/>
      <c r="B103" s="2057" t="s">
        <v>7104</v>
      </c>
      <c r="C103" s="2054"/>
      <c r="D103" s="2055"/>
      <c r="F103" s="12"/>
      <c r="G103" s="12"/>
      <c r="H103" s="12"/>
    </row>
    <row r="104" spans="1:8" ht="14">
      <c r="A104" s="3307"/>
      <c r="B104" s="2049" t="s">
        <v>7105</v>
      </c>
      <c r="C104" s="2050">
        <f>SUM(C92:C103)</f>
        <v>21.119999999999997</v>
      </c>
      <c r="D104" s="2050">
        <f t="shared" ref="D104" si="9">SUM(D92:D103)</f>
        <v>50.000000000000014</v>
      </c>
      <c r="F104" s="12"/>
      <c r="G104" s="2050">
        <f t="shared" ref="G104:H104" si="10">SUM(G92:G103)</f>
        <v>0.55756799999999995</v>
      </c>
      <c r="H104" s="2050">
        <f t="shared" si="10"/>
        <v>2.435136</v>
      </c>
    </row>
    <row r="105" spans="1:8" ht="28">
      <c r="A105" s="3307" t="s">
        <v>7057</v>
      </c>
      <c r="B105" s="2044" t="s">
        <v>7106</v>
      </c>
      <c r="C105" s="2045">
        <v>4.0999999999999996</v>
      </c>
      <c r="D105" s="2046">
        <v>60</v>
      </c>
      <c r="F105" s="2047">
        <v>5.28E-2</v>
      </c>
      <c r="G105" s="2048">
        <f t="shared" ref="G105" si="11">C105*F105/2</f>
        <v>0.10823999999999999</v>
      </c>
      <c r="H105" s="2048">
        <f>D105*F105/2+C105*F105</f>
        <v>1.8004800000000001</v>
      </c>
    </row>
    <row r="106" spans="1:8" ht="14">
      <c r="A106" s="3307"/>
      <c r="B106" s="2044" t="s">
        <v>7107</v>
      </c>
      <c r="C106" s="2045"/>
      <c r="D106" s="2046"/>
      <c r="F106" s="12"/>
      <c r="G106" s="12"/>
      <c r="H106" s="12"/>
    </row>
    <row r="107" spans="1:8" ht="14">
      <c r="A107" s="3307"/>
      <c r="B107" s="2049" t="s">
        <v>7108</v>
      </c>
      <c r="C107" s="2050">
        <f>SUM(C105:C106)</f>
        <v>4.0999999999999996</v>
      </c>
      <c r="D107" s="2050">
        <f t="shared" ref="D107" si="12">SUM(D105:D106)</f>
        <v>60</v>
      </c>
      <c r="F107" s="2050"/>
      <c r="G107" s="2050">
        <f>SUM(G105:G106)</f>
        <v>0.10823999999999999</v>
      </c>
      <c r="H107" s="2050">
        <f t="shared" ref="H107" si="13">SUM(H105:H106)</f>
        <v>1.8004800000000001</v>
      </c>
    </row>
    <row r="108" spans="1:8" ht="14">
      <c r="A108" s="3308" t="s">
        <v>7058</v>
      </c>
      <c r="B108" s="2044" t="s">
        <v>7109</v>
      </c>
      <c r="C108" s="2045">
        <v>10.56</v>
      </c>
      <c r="D108" s="2052">
        <v>13.094000944733114</v>
      </c>
      <c r="F108" s="2058">
        <v>0.15</v>
      </c>
      <c r="G108" s="2048">
        <f t="shared" ref="G108:G119" si="14">C108*F108/2</f>
        <v>0.79200000000000004</v>
      </c>
      <c r="H108" s="2048">
        <f t="shared" ref="H108:H119" si="15">D108*F108/2+C108*F108</f>
        <v>2.5660500708549838</v>
      </c>
    </row>
    <row r="109" spans="1:8" ht="14">
      <c r="A109" s="3309"/>
      <c r="B109" s="2044" t="s">
        <v>7110</v>
      </c>
      <c r="C109" s="2045">
        <v>12.87</v>
      </c>
      <c r="D109" s="2052">
        <v>15.95831365139348</v>
      </c>
      <c r="F109" s="2058">
        <v>0.15</v>
      </c>
      <c r="G109" s="2048">
        <f t="shared" si="14"/>
        <v>0.96524999999999994</v>
      </c>
      <c r="H109" s="2048">
        <f t="shared" si="15"/>
        <v>3.1273735238545108</v>
      </c>
    </row>
    <row r="110" spans="1:8" ht="28">
      <c r="A110" s="3309"/>
      <c r="B110" s="2044" t="s">
        <v>7111</v>
      </c>
      <c r="C110" s="2045">
        <v>19.43</v>
      </c>
      <c r="D110" s="2052">
        <v>24.092465753424658</v>
      </c>
      <c r="F110" s="2058">
        <v>0.15</v>
      </c>
      <c r="G110" s="2048">
        <f t="shared" si="14"/>
        <v>1.4572499999999999</v>
      </c>
      <c r="H110" s="2048">
        <f t="shared" si="15"/>
        <v>4.7214349315068489</v>
      </c>
    </row>
    <row r="111" spans="1:8" ht="14">
      <c r="A111" s="3309"/>
      <c r="B111" s="2044" t="s">
        <v>7112</v>
      </c>
      <c r="C111" s="2045">
        <v>5.45</v>
      </c>
      <c r="D111" s="2052">
        <v>6.7577940481813892</v>
      </c>
      <c r="F111" s="2058">
        <v>0.15</v>
      </c>
      <c r="G111" s="2048">
        <f t="shared" si="14"/>
        <v>0.40875</v>
      </c>
      <c r="H111" s="2048">
        <f t="shared" si="15"/>
        <v>1.3243345536136042</v>
      </c>
    </row>
    <row r="112" spans="1:8" ht="14">
      <c r="A112" s="3309"/>
      <c r="B112" s="2044" t="s">
        <v>7113</v>
      </c>
      <c r="C112" s="2045">
        <v>14.71</v>
      </c>
      <c r="D112" s="2052">
        <v>18.239844119036373</v>
      </c>
      <c r="F112" s="2058">
        <v>0.15</v>
      </c>
      <c r="G112" s="2048">
        <f t="shared" si="14"/>
        <v>1.1032500000000001</v>
      </c>
      <c r="H112" s="2048">
        <f t="shared" si="15"/>
        <v>3.5744883089277284</v>
      </c>
    </row>
    <row r="113" spans="1:9" ht="14">
      <c r="A113" s="3309"/>
      <c r="B113" s="2044" t="s">
        <v>7114</v>
      </c>
      <c r="C113" s="2045">
        <v>5.46</v>
      </c>
      <c r="D113" s="2052">
        <v>6.770193670288144</v>
      </c>
      <c r="F113" s="2058">
        <v>0.15</v>
      </c>
      <c r="G113" s="2048">
        <f t="shared" si="14"/>
        <v>0.40949999999999998</v>
      </c>
      <c r="H113" s="2048">
        <f t="shared" si="15"/>
        <v>1.3267645252716107</v>
      </c>
    </row>
    <row r="114" spans="1:9" ht="14">
      <c r="A114" s="3309"/>
      <c r="B114" s="2044" t="s">
        <v>7115</v>
      </c>
      <c r="C114" s="2045">
        <v>8.5</v>
      </c>
      <c r="D114" s="2052">
        <v>10.539678790741615</v>
      </c>
      <c r="F114" s="2047">
        <v>3.3399999999999999E-2</v>
      </c>
      <c r="G114" s="2048">
        <f t="shared" si="14"/>
        <v>0.14194999999999999</v>
      </c>
      <c r="H114" s="2048">
        <f t="shared" si="15"/>
        <v>0.45991263580538494</v>
      </c>
    </row>
    <row r="115" spans="1:9" ht="14">
      <c r="A115" s="3309"/>
      <c r="B115" s="2044" t="s">
        <v>7116</v>
      </c>
      <c r="C115" s="2045"/>
      <c r="D115" s="2052">
        <v>0</v>
      </c>
      <c r="F115" s="12"/>
      <c r="G115" s="2048">
        <f t="shared" si="14"/>
        <v>0</v>
      </c>
      <c r="H115" s="2048">
        <f t="shared" si="15"/>
        <v>0</v>
      </c>
    </row>
    <row r="116" spans="1:9" ht="14">
      <c r="A116" s="3309"/>
      <c r="B116" s="2044" t="s">
        <v>7117</v>
      </c>
      <c r="C116" s="2045">
        <v>2</v>
      </c>
      <c r="D116" s="2052">
        <v>2.4799244213509684</v>
      </c>
      <c r="F116" s="2047">
        <v>3.3399999999999999E-2</v>
      </c>
      <c r="G116" s="2048">
        <f t="shared" si="14"/>
        <v>3.3399999999999999E-2</v>
      </c>
      <c r="H116" s="2048">
        <f t="shared" si="15"/>
        <v>0.10821473783656116</v>
      </c>
    </row>
    <row r="117" spans="1:9" ht="14">
      <c r="A117" s="3309"/>
      <c r="B117" s="2044" t="s">
        <v>7118</v>
      </c>
      <c r="C117" s="2045">
        <v>0.5</v>
      </c>
      <c r="D117" s="2052">
        <v>0.61998110533774209</v>
      </c>
      <c r="F117" s="2047">
        <v>3.3399999999999999E-2</v>
      </c>
      <c r="G117" s="2048">
        <f t="shared" si="14"/>
        <v>8.3499999999999998E-3</v>
      </c>
      <c r="H117" s="2048">
        <f t="shared" si="15"/>
        <v>2.705368445914029E-2</v>
      </c>
    </row>
    <row r="118" spans="1:9" ht="14">
      <c r="A118" s="3309"/>
      <c r="B118" s="2044" t="s">
        <v>7119</v>
      </c>
      <c r="C118" s="2045">
        <v>2.25</v>
      </c>
      <c r="D118" s="2052">
        <v>2.7899149740198395</v>
      </c>
      <c r="F118" s="2047">
        <v>6.3299999999999995E-2</v>
      </c>
      <c r="G118" s="2048">
        <f t="shared" si="14"/>
        <v>7.1212499999999998E-2</v>
      </c>
      <c r="H118" s="2048">
        <f t="shared" si="15"/>
        <v>0.23072580892772793</v>
      </c>
    </row>
    <row r="119" spans="1:9" ht="14">
      <c r="A119" s="3309"/>
      <c r="B119" s="2044" t="s">
        <v>7120</v>
      </c>
      <c r="C119" s="2045">
        <v>2.95</v>
      </c>
      <c r="D119" s="2052">
        <v>3.6578885214926786</v>
      </c>
      <c r="F119" s="2047">
        <v>6.3299999999999995E-2</v>
      </c>
      <c r="G119" s="2048">
        <f t="shared" si="14"/>
        <v>9.3367499999999992E-2</v>
      </c>
      <c r="H119" s="2048">
        <f t="shared" si="15"/>
        <v>0.30250717170524327</v>
      </c>
    </row>
    <row r="120" spans="1:9" ht="14">
      <c r="A120" s="3309"/>
      <c r="B120" s="2053" t="s">
        <v>7121</v>
      </c>
      <c r="C120" s="2054"/>
      <c r="D120" s="2055"/>
      <c r="F120" s="12"/>
      <c r="G120" s="12"/>
      <c r="H120" s="12"/>
    </row>
    <row r="121" spans="1:9" ht="14">
      <c r="A121" s="3310"/>
      <c r="B121" s="2049" t="s">
        <v>7122</v>
      </c>
      <c r="C121" s="2050">
        <f>SUM(C108:C120)</f>
        <v>84.68</v>
      </c>
      <c r="D121" s="2050">
        <f>SUM(D108:D120)</f>
        <v>105.00000000000001</v>
      </c>
      <c r="F121" s="2050"/>
      <c r="G121" s="2050">
        <f>SUM(G108:G120)</f>
        <v>5.4842799999999992</v>
      </c>
      <c r="H121" s="2050">
        <f t="shared" ref="H121" si="16">SUM(H108:H120)</f>
        <v>17.768859952763346</v>
      </c>
    </row>
    <row r="122" spans="1:9" ht="14">
      <c r="A122" s="232"/>
      <c r="B122" s="2049" t="s">
        <v>7123</v>
      </c>
      <c r="C122" s="2050">
        <f>C121+C107+C104+C91+C84</f>
        <v>150.44</v>
      </c>
      <c r="D122" s="2050">
        <f>D121+D107+D104+D91+D84</f>
        <v>250</v>
      </c>
      <c r="F122" s="2050"/>
      <c r="G122" s="2050">
        <f>G121+G107+G104+G91+G84</f>
        <v>7.1188525</v>
      </c>
      <c r="H122" s="2050">
        <f>H121+H107+H104+H91+H84</f>
        <v>24.872854952763348</v>
      </c>
    </row>
    <row r="123" spans="1:9" ht="17.25" customHeight="1">
      <c r="A123" s="2044" t="s">
        <v>7124</v>
      </c>
      <c r="B123" s="2053" t="s">
        <v>7125</v>
      </c>
      <c r="C123" s="2054">
        <f>C50</f>
        <v>31.821277842907392</v>
      </c>
      <c r="D123" s="2054">
        <f>D50</f>
        <v>61.755509964830026</v>
      </c>
      <c r="F123" s="2047">
        <v>5.28E-2</v>
      </c>
      <c r="G123" s="2048">
        <f t="shared" ref="G123" si="17">C123*F123/2</f>
        <v>0.84008173505275519</v>
      </c>
      <c r="H123" s="2048">
        <f>D123*F123/2+C123*F123</f>
        <v>3.3105089331770232</v>
      </c>
    </row>
    <row r="124" spans="1:9" ht="14">
      <c r="B124" s="2049" t="s">
        <v>7126</v>
      </c>
      <c r="C124" s="2050">
        <f>C122+C123</f>
        <v>182.26127784290739</v>
      </c>
      <c r="D124" s="2050">
        <f>D122+D123</f>
        <v>311.75550996483003</v>
      </c>
      <c r="F124" s="2050"/>
      <c r="G124" s="2050">
        <f t="shared" ref="G124:H124" si="18">G122+G123</f>
        <v>7.9589342350527552</v>
      </c>
      <c r="H124" s="2050">
        <f t="shared" si="18"/>
        <v>28.18336388594037</v>
      </c>
      <c r="I124" s="2036"/>
    </row>
    <row r="125" spans="1:9">
      <c r="H125" s="2036"/>
      <c r="I125" s="2036"/>
    </row>
  </sheetData>
  <mergeCells count="10">
    <mergeCell ref="A85:A91"/>
    <mergeCell ref="A92:A104"/>
    <mergeCell ref="A105:A107"/>
    <mergeCell ref="A108:A121"/>
    <mergeCell ref="A76:H76"/>
    <mergeCell ref="A77:A78"/>
    <mergeCell ref="B77:B78"/>
    <mergeCell ref="F77:F78"/>
    <mergeCell ref="G77:H77"/>
    <mergeCell ref="A79:A84"/>
  </mergeCells>
  <pageMargins left="0.7" right="0.7" top="0.75" bottom="0.75" header="0.3" footer="0.3"/>
  <pageSetup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92D050"/>
  </sheetPr>
  <dimension ref="A1:I50"/>
  <sheetViews>
    <sheetView showGridLines="0" view="pageBreakPreview" topLeftCell="A25" zoomScale="77" zoomScaleNormal="80" zoomScaleSheetLayoutView="77" workbookViewId="0">
      <selection activeCell="B6" sqref="B6"/>
    </sheetView>
  </sheetViews>
  <sheetFormatPr defaultColWidth="14.7265625" defaultRowHeight="15.5"/>
  <cols>
    <col min="1" max="1" width="8.26953125" style="630" customWidth="1"/>
    <col min="2" max="2" width="36.7265625" style="630" customWidth="1"/>
    <col min="3" max="3" width="20.453125" style="630" customWidth="1"/>
    <col min="4" max="4" width="20.7265625" style="630" customWidth="1"/>
    <col min="5" max="5" width="16.54296875" style="630" customWidth="1"/>
    <col min="6" max="6" width="8.54296875" style="630" bestFit="1" customWidth="1"/>
    <col min="7" max="57" width="14.7265625" style="630" customWidth="1"/>
    <col min="58" max="16384" width="14.7265625" style="630"/>
  </cols>
  <sheetData>
    <row r="1" spans="1:9" ht="16" thickBot="1">
      <c r="A1" s="2247" t="s">
        <v>5525</v>
      </c>
      <c r="B1" s="2440"/>
      <c r="C1" s="2440"/>
      <c r="D1" s="2441"/>
      <c r="E1" s="2442"/>
    </row>
    <row r="2" spans="1:9">
      <c r="A2" s="3318" t="s">
        <v>8327</v>
      </c>
      <c r="B2" s="3318"/>
      <c r="C2" s="3318"/>
      <c r="D2" s="3318"/>
      <c r="E2" s="3318"/>
    </row>
    <row r="3" spans="1:9">
      <c r="A3" s="639" t="s">
        <v>125</v>
      </c>
      <c r="B3" s="2443"/>
      <c r="C3" s="2443"/>
      <c r="D3" s="2443"/>
      <c r="E3" s="634"/>
    </row>
    <row r="4" spans="1:9">
      <c r="A4" s="634"/>
      <c r="B4" s="634"/>
      <c r="C4" s="634"/>
      <c r="D4" s="634"/>
      <c r="E4" s="2444" t="s">
        <v>3354</v>
      </c>
    </row>
    <row r="5" spans="1:9" ht="45">
      <c r="A5" s="634"/>
      <c r="B5" s="634"/>
      <c r="C5" s="2445" t="s">
        <v>216</v>
      </c>
      <c r="D5" s="2445" t="s">
        <v>123</v>
      </c>
      <c r="E5" s="2445" t="s">
        <v>217</v>
      </c>
    </row>
    <row r="6" spans="1:9">
      <c r="A6" s="634"/>
      <c r="B6" s="634"/>
      <c r="C6" s="2438" t="s">
        <v>5329</v>
      </c>
      <c r="D6" s="2438" t="s">
        <v>5482</v>
      </c>
      <c r="E6" s="2438" t="s">
        <v>7996</v>
      </c>
    </row>
    <row r="7" spans="1:9">
      <c r="A7" s="634"/>
      <c r="B7" s="634"/>
      <c r="C7" s="2438"/>
      <c r="D7" s="2438"/>
      <c r="E7" s="634"/>
    </row>
    <row r="8" spans="1:9">
      <c r="A8" s="2446" t="s">
        <v>126</v>
      </c>
      <c r="B8" s="628" t="s">
        <v>1315</v>
      </c>
      <c r="C8" s="2447"/>
      <c r="D8" s="653"/>
      <c r="E8" s="653"/>
    </row>
    <row r="9" spans="1:9">
      <c r="A9" s="785"/>
      <c r="B9" s="628" t="s">
        <v>1316</v>
      </c>
      <c r="C9" s="653"/>
      <c r="D9" s="653"/>
      <c r="E9" s="653"/>
    </row>
    <row r="10" spans="1:9">
      <c r="A10" s="785"/>
      <c r="B10" s="634"/>
      <c r="C10" s="653"/>
      <c r="D10" s="653"/>
      <c r="E10" s="653"/>
    </row>
    <row r="11" spans="1:9">
      <c r="A11" s="785"/>
      <c r="B11" s="634" t="s">
        <v>1300</v>
      </c>
      <c r="C11" s="653"/>
      <c r="D11" s="653"/>
      <c r="E11" s="653"/>
    </row>
    <row r="12" spans="1:9">
      <c r="A12" s="785"/>
      <c r="B12" s="785" t="s">
        <v>1165</v>
      </c>
      <c r="C12" s="653"/>
      <c r="D12" s="653"/>
      <c r="E12" s="653"/>
    </row>
    <row r="13" spans="1:9">
      <c r="A13" s="785"/>
      <c r="B13" s="785" t="s">
        <v>1166</v>
      </c>
      <c r="C13" s="653"/>
      <c r="D13" s="653"/>
      <c r="E13" s="653"/>
    </row>
    <row r="14" spans="1:9">
      <c r="A14" s="785"/>
      <c r="B14" s="628" t="s">
        <v>1167</v>
      </c>
      <c r="C14" s="653">
        <f>BS!E26/10^7</f>
        <v>1000.5948137539999</v>
      </c>
      <c r="D14" s="653">
        <f>C14+C27</f>
        <v>1186.9138740069998</v>
      </c>
      <c r="E14" s="653">
        <f>D14+D27</f>
        <v>1541.7095480874677</v>
      </c>
      <c r="F14" s="638"/>
      <c r="G14" s="638">
        <f>C14+'F-2'!D89</f>
        <v>1162.49508427</v>
      </c>
      <c r="H14" s="638">
        <f>E14-D14</f>
        <v>354.79567408046796</v>
      </c>
      <c r="I14" s="651">
        <f>E14-D14</f>
        <v>354.79567408046796</v>
      </c>
    </row>
    <row r="15" spans="1:9">
      <c r="A15" s="785"/>
      <c r="B15" s="634" t="s">
        <v>1168</v>
      </c>
      <c r="C15" s="653"/>
      <c r="D15" s="653"/>
      <c r="E15" s="653"/>
    </row>
    <row r="16" spans="1:9">
      <c r="A16" s="785"/>
      <c r="B16" s="785" t="s">
        <v>1164</v>
      </c>
      <c r="C16" s="653"/>
      <c r="D16" s="653"/>
      <c r="E16" s="653"/>
      <c r="F16" s="638"/>
      <c r="G16" s="638"/>
      <c r="H16" s="638"/>
    </row>
    <row r="17" spans="1:9">
      <c r="A17" s="785"/>
      <c r="B17" s="785" t="s">
        <v>1165</v>
      </c>
      <c r="C17" s="653"/>
      <c r="D17" s="653"/>
      <c r="E17" s="653"/>
      <c r="I17" s="651"/>
    </row>
    <row r="18" spans="1:9">
      <c r="A18" s="785"/>
      <c r="B18" s="785" t="s">
        <v>1166</v>
      </c>
      <c r="C18" s="653"/>
      <c r="D18" s="653"/>
      <c r="E18" s="653"/>
    </row>
    <row r="19" spans="1:9">
      <c r="A19" s="785"/>
      <c r="B19" s="628" t="s">
        <v>1167</v>
      </c>
      <c r="C19" s="653">
        <f>+BS!E31/10000000</f>
        <v>78.633210297999995</v>
      </c>
      <c r="D19" s="653">
        <f>C38-D14</f>
        <v>79.872660945000007</v>
      </c>
      <c r="E19" s="653">
        <f>D19</f>
        <v>79.872660945000007</v>
      </c>
      <c r="F19" s="762"/>
      <c r="G19" s="638">
        <f>C19</f>
        <v>78.633210297999995</v>
      </c>
      <c r="H19" s="762"/>
      <c r="I19" s="2002">
        <f>C19-D19</f>
        <v>-1.2394506470000124</v>
      </c>
    </row>
    <row r="20" spans="1:9">
      <c r="A20" s="785"/>
      <c r="B20" s="639" t="s">
        <v>1584</v>
      </c>
      <c r="C20" s="1576">
        <f>+C14+C19</f>
        <v>1079.2280240519999</v>
      </c>
      <c r="D20" s="1576">
        <f>+D14+D19</f>
        <v>1266.7865349519998</v>
      </c>
      <c r="E20" s="1576">
        <f>+E14+E19</f>
        <v>1621.5822090324677</v>
      </c>
      <c r="G20" s="642">
        <f>+G14+G19</f>
        <v>1241.128294568</v>
      </c>
      <c r="H20" s="762"/>
    </row>
    <row r="21" spans="1:9">
      <c r="A21" s="2446" t="s">
        <v>1169</v>
      </c>
      <c r="B21" s="628" t="s">
        <v>365</v>
      </c>
      <c r="C21" s="653"/>
      <c r="D21" s="653"/>
      <c r="E21" s="653"/>
      <c r="G21" s="762"/>
    </row>
    <row r="22" spans="1:9">
      <c r="A22" s="785"/>
      <c r="B22" s="634"/>
      <c r="C22" s="653"/>
      <c r="D22" s="653"/>
      <c r="E22" s="653"/>
    </row>
    <row r="23" spans="1:9">
      <c r="A23" s="785"/>
      <c r="B23" s="634" t="s">
        <v>1300</v>
      </c>
      <c r="C23" s="653"/>
      <c r="D23" s="653"/>
      <c r="E23" s="653"/>
      <c r="F23" s="762"/>
    </row>
    <row r="24" spans="1:9">
      <c r="A24" s="785"/>
      <c r="B24" s="785" t="s">
        <v>1164</v>
      </c>
      <c r="C24" s="653"/>
      <c r="D24" s="653"/>
      <c r="E24" s="653"/>
      <c r="F24" s="762"/>
    </row>
    <row r="25" spans="1:9">
      <c r="A25" s="785"/>
      <c r="B25" s="785" t="s">
        <v>1165</v>
      </c>
      <c r="C25" s="653"/>
      <c r="D25" s="653"/>
      <c r="E25" s="653"/>
    </row>
    <row r="26" spans="1:9">
      <c r="A26" s="785"/>
      <c r="B26" s="785" t="s">
        <v>1166</v>
      </c>
      <c r="C26" s="653"/>
      <c r="D26" s="653"/>
      <c r="E26" s="653"/>
    </row>
    <row r="27" spans="1:9">
      <c r="A27" s="785"/>
      <c r="B27" s="628" t="s">
        <v>1167</v>
      </c>
      <c r="C27" s="653">
        <f>('OERC 6'!C23+'OERC 6'!C33)/10^7</f>
        <v>186.31906025299998</v>
      </c>
      <c r="D27" s="653">
        <v>354.79567408046796</v>
      </c>
      <c r="E27" s="653">
        <v>360.47316376536298</v>
      </c>
      <c r="F27" s="638"/>
      <c r="G27" s="638">
        <f>C27+'F-2'!G89</f>
        <v>346.98185115299998</v>
      </c>
    </row>
    <row r="28" spans="1:9">
      <c r="A28" s="785"/>
      <c r="B28" s="634" t="s">
        <v>1168</v>
      </c>
      <c r="C28" s="653"/>
      <c r="D28" s="653"/>
      <c r="E28" s="653"/>
    </row>
    <row r="29" spans="1:9">
      <c r="A29" s="785"/>
      <c r="B29" s="785" t="s">
        <v>1164</v>
      </c>
      <c r="C29" s="653"/>
      <c r="D29" s="653"/>
      <c r="E29" s="653"/>
    </row>
    <row r="30" spans="1:9">
      <c r="A30" s="785"/>
      <c r="B30" s="785" t="s">
        <v>1165</v>
      </c>
      <c r="C30" s="653"/>
      <c r="D30" s="653"/>
      <c r="E30" s="653"/>
    </row>
    <row r="31" spans="1:9">
      <c r="A31" s="785"/>
      <c r="B31" s="785" t="s">
        <v>1166</v>
      </c>
      <c r="C31" s="653"/>
      <c r="D31" s="653"/>
      <c r="E31" s="653"/>
    </row>
    <row r="32" spans="1:9">
      <c r="A32" s="785"/>
      <c r="B32" s="628" t="s">
        <v>1167</v>
      </c>
      <c r="C32" s="653">
        <f>('OERC 4,5,7,8'!D39-'OERC 4,5,7,8'!E39)/10^7</f>
        <v>1.2394506469999909</v>
      </c>
      <c r="D32" s="653">
        <f>'F-1-B'!E24-'F-1-B'!E11</f>
        <v>50.068179404000006</v>
      </c>
      <c r="E32" s="653">
        <f>'F-1-B'!E37-'F-1-B'!E24</f>
        <v>173.71018559936061</v>
      </c>
      <c r="F32" s="638"/>
    </row>
    <row r="33" spans="1:7">
      <c r="A33" s="785"/>
      <c r="B33" s="639" t="s">
        <v>1584</v>
      </c>
      <c r="C33" s="1576">
        <f>C32+C27</f>
        <v>187.55851089999996</v>
      </c>
      <c r="D33" s="1576">
        <f>D32+D27</f>
        <v>404.863853484468</v>
      </c>
      <c r="E33" s="1576">
        <f>E32+E27</f>
        <v>534.18334936472365</v>
      </c>
    </row>
    <row r="34" spans="1:7">
      <c r="A34" s="2446" t="s">
        <v>366</v>
      </c>
      <c r="B34" s="628" t="s">
        <v>368</v>
      </c>
      <c r="C34" s="653">
        <f>C35+C36</f>
        <v>0</v>
      </c>
      <c r="D34" s="653">
        <v>0</v>
      </c>
      <c r="E34" s="653">
        <v>0</v>
      </c>
    </row>
    <row r="35" spans="1:7">
      <c r="A35" s="2446"/>
      <c r="B35" s="628" t="s">
        <v>3695</v>
      </c>
      <c r="C35" s="653">
        <v>0</v>
      </c>
      <c r="D35" s="653"/>
      <c r="E35" s="653"/>
    </row>
    <row r="36" spans="1:7">
      <c r="A36" s="2446"/>
      <c r="B36" s="628" t="s">
        <v>3696</v>
      </c>
      <c r="C36" s="653"/>
      <c r="D36" s="653"/>
      <c r="E36" s="653"/>
    </row>
    <row r="37" spans="1:7">
      <c r="A37" s="785"/>
      <c r="B37" s="634"/>
      <c r="C37" s="653"/>
      <c r="D37" s="653"/>
      <c r="E37" s="653"/>
    </row>
    <row r="38" spans="1:7">
      <c r="A38" s="785"/>
      <c r="B38" s="628" t="s">
        <v>3697</v>
      </c>
      <c r="C38" s="1576">
        <f>C20+C33-C34</f>
        <v>1266.7865349519998</v>
      </c>
      <c r="D38" s="1576">
        <f>D20+D33-D34</f>
        <v>1671.6503884364679</v>
      </c>
      <c r="E38" s="1576">
        <f>E20+E33-E34</f>
        <v>2155.7655583971914</v>
      </c>
      <c r="F38" s="638"/>
      <c r="G38" s="762">
        <f>G20-G27</f>
        <v>894.14644341500002</v>
      </c>
    </row>
    <row r="39" spans="1:7">
      <c r="E39" s="642"/>
    </row>
    <row r="40" spans="1:7">
      <c r="A40" s="629" t="s">
        <v>369</v>
      </c>
      <c r="B40" s="630" t="s">
        <v>3698</v>
      </c>
      <c r="D40" s="638"/>
      <c r="E40" s="638"/>
    </row>
    <row r="41" spans="1:7">
      <c r="B41" s="630" t="s">
        <v>456</v>
      </c>
    </row>
    <row r="42" spans="1:7">
      <c r="B42" s="630" t="s">
        <v>457</v>
      </c>
      <c r="G42" s="638">
        <f>'F-21'!C20+'F-21'!C25-G38</f>
        <v>372.64009153699976</v>
      </c>
    </row>
    <row r="43" spans="1:7">
      <c r="C43" s="638"/>
      <c r="D43" s="638"/>
      <c r="E43" s="638"/>
    </row>
    <row r="44" spans="1:7">
      <c r="C44" s="644">
        <f>+'F-21'!C20+'F-21'!C25-C38</f>
        <v>0</v>
      </c>
      <c r="D44" s="2448">
        <f>'F-21'!D20+'F-21'!D25-D38</f>
        <v>-160.12523658656073</v>
      </c>
      <c r="E44" s="644">
        <f>'F-21'!E20+'F-21'!E25-E38</f>
        <v>-210.70685015806953</v>
      </c>
    </row>
    <row r="45" spans="1:7" s="760" customFormat="1">
      <c r="C45" s="638"/>
      <c r="D45" s="638"/>
      <c r="E45" s="638"/>
    </row>
    <row r="46" spans="1:7">
      <c r="D46" s="638"/>
    </row>
    <row r="47" spans="1:7">
      <c r="C47" s="638"/>
      <c r="D47" s="638"/>
      <c r="E47" s="638"/>
    </row>
    <row r="49" spans="3:5">
      <c r="C49" s="638"/>
      <c r="D49" s="638"/>
      <c r="E49" s="638"/>
    </row>
    <row r="50" spans="3:5">
      <c r="C50" s="638"/>
      <c r="D50" s="638"/>
      <c r="E50" s="638"/>
    </row>
  </sheetData>
  <mergeCells count="1">
    <mergeCell ref="A2:E2"/>
  </mergeCells>
  <phoneticPr fontId="0" type="noConversion"/>
  <printOptions horizontalCentered="1" verticalCentered="1"/>
  <pageMargins left="0" right="0" top="0" bottom="0" header="0" footer="0"/>
  <pageSetup paperSize="9" scale="95" orientation="portrait" r:id="rId1"/>
  <headerFooter alignWithMargins="0">
    <oddFooter>&amp;ROERC FORM-F-1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0A1AC-7B98-4F3F-8DA7-79C558EB2E9C}">
  <sheetPr>
    <tabColor theme="1"/>
  </sheetPr>
  <dimension ref="A1:I39"/>
  <sheetViews>
    <sheetView view="pageBreakPreview" zoomScale="60" zoomScaleNormal="84" workbookViewId="0">
      <selection activeCell="A9" sqref="A9"/>
    </sheetView>
  </sheetViews>
  <sheetFormatPr defaultRowHeight="12.5"/>
  <cols>
    <col min="1" max="1" width="49" customWidth="1"/>
    <col min="2" max="2" width="15.08984375" customWidth="1"/>
    <col min="3" max="3" width="12.81640625" customWidth="1"/>
    <col min="4" max="4" width="20" customWidth="1"/>
    <col min="5" max="5" width="17.90625" customWidth="1"/>
    <col min="7" max="7" width="9.1796875" bestFit="1" customWidth="1"/>
  </cols>
  <sheetData>
    <row r="1" spans="1:9" ht="16" thickBot="1">
      <c r="A1" s="2247" t="s">
        <v>5525</v>
      </c>
      <c r="B1" s="2440"/>
      <c r="C1" s="2440"/>
      <c r="D1" s="2441"/>
      <c r="E1" s="2442"/>
    </row>
    <row r="2" spans="1:9" ht="15">
      <c r="A2" s="3318" t="s">
        <v>8328</v>
      </c>
      <c r="B2" s="3318"/>
      <c r="C2" s="3318"/>
      <c r="D2" s="3318"/>
      <c r="E2" s="3318"/>
    </row>
    <row r="4" spans="1:9" ht="43.5" customHeight="1">
      <c r="A4" s="3288" t="s">
        <v>8458</v>
      </c>
      <c r="B4" s="3288"/>
      <c r="C4" s="3288"/>
      <c r="D4" s="3288"/>
      <c r="E4" s="3288"/>
    </row>
    <row r="5" spans="1:9">
      <c r="A5" s="3319" t="s">
        <v>8329</v>
      </c>
      <c r="B5" s="3319"/>
      <c r="C5" s="3319"/>
      <c r="D5" s="3319"/>
      <c r="E5" s="3319"/>
    </row>
    <row r="6" spans="1:9">
      <c r="A6" s="12"/>
      <c r="B6" s="876" t="s">
        <v>8335</v>
      </c>
      <c r="C6" s="876" t="s">
        <v>8334</v>
      </c>
      <c r="D6" s="624" t="s">
        <v>8336</v>
      </c>
      <c r="E6" s="624" t="s">
        <v>8337</v>
      </c>
    </row>
    <row r="7" spans="1:9">
      <c r="A7" s="624" t="s">
        <v>8330</v>
      </c>
      <c r="B7" s="12">
        <f>E7*30%</f>
        <v>55.394999999999989</v>
      </c>
      <c r="C7" s="127">
        <f>E7-B7</f>
        <v>129.255</v>
      </c>
      <c r="D7" s="12"/>
      <c r="E7" s="12">
        <v>184.64999999999998</v>
      </c>
    </row>
    <row r="8" spans="1:9">
      <c r="A8" s="12"/>
      <c r="B8" s="12"/>
      <c r="C8" s="12"/>
      <c r="D8" s="12"/>
      <c r="E8" s="12"/>
    </row>
    <row r="9" spans="1:9">
      <c r="A9" s="624" t="s">
        <v>8331</v>
      </c>
      <c r="B9" s="127">
        <f>E9*30%</f>
        <v>36.469839060900092</v>
      </c>
      <c r="C9" s="127">
        <f>E9-B9</f>
        <v>85.096291142100227</v>
      </c>
      <c r="D9" s="12"/>
      <c r="E9" s="127">
        <v>121.56613020300031</v>
      </c>
      <c r="H9" s="234">
        <f>E9*0.7</f>
        <v>85.096291142100213</v>
      </c>
      <c r="I9" s="234">
        <f>H9*1.17</f>
        <v>99.562660636257249</v>
      </c>
    </row>
    <row r="10" spans="1:9">
      <c r="A10" s="12"/>
      <c r="B10" s="12"/>
      <c r="C10" s="12"/>
      <c r="D10" s="12"/>
      <c r="E10" s="12"/>
    </row>
    <row r="11" spans="1:9">
      <c r="A11" s="624" t="s">
        <v>8332</v>
      </c>
      <c r="B11" s="127">
        <f>E11*30%</f>
        <v>1.0659630893999987</v>
      </c>
      <c r="C11" s="127">
        <f>E11-B11</f>
        <v>2.4872472085999977</v>
      </c>
      <c r="D11" s="12"/>
      <c r="E11" s="305">
        <v>3.5532102979999962</v>
      </c>
    </row>
    <row r="12" spans="1:9">
      <c r="A12" s="12"/>
      <c r="B12" s="12"/>
      <c r="C12" s="12"/>
      <c r="D12" s="12"/>
      <c r="E12" s="12"/>
    </row>
    <row r="13" spans="1:9">
      <c r="A13" s="624" t="s">
        <v>8333</v>
      </c>
      <c r="B13" s="305">
        <f>B9+B11</f>
        <v>37.535802150300093</v>
      </c>
      <c r="C13" s="305">
        <f>C9+C11</f>
        <v>87.583538350700223</v>
      </c>
      <c r="D13" s="12"/>
      <c r="E13" s="305">
        <f>E9*1.17</f>
        <v>142.23237233751036</v>
      </c>
      <c r="G13" s="234">
        <f>E9+E22</f>
        <v>424.29281457200034</v>
      </c>
    </row>
    <row r="17" spans="1:7" ht="38" customHeight="1">
      <c r="A17" s="3288" t="s">
        <v>8459</v>
      </c>
      <c r="B17" s="3288"/>
      <c r="C17" s="3288"/>
      <c r="D17" s="3288"/>
      <c r="E17" s="3288"/>
    </row>
    <row r="18" spans="1:7">
      <c r="A18" s="3319" t="s">
        <v>8329</v>
      </c>
      <c r="B18" s="3319"/>
      <c r="C18" s="3319"/>
      <c r="D18" s="3319"/>
      <c r="E18" s="3319"/>
    </row>
    <row r="19" spans="1:7">
      <c r="A19" s="12"/>
      <c r="B19" s="876" t="s">
        <v>8335</v>
      </c>
      <c r="C19" s="876" t="s">
        <v>8334</v>
      </c>
      <c r="D19" s="624" t="s">
        <v>8336</v>
      </c>
      <c r="E19" s="624" t="s">
        <v>8337</v>
      </c>
    </row>
    <row r="20" spans="1:7">
      <c r="A20" s="624" t="s">
        <v>8330</v>
      </c>
      <c r="B20" s="12">
        <f>E20*30%</f>
        <v>88.449000000000012</v>
      </c>
      <c r="C20" s="127">
        <f>E20-B20</f>
        <v>206.38100000000003</v>
      </c>
      <c r="D20" s="12"/>
      <c r="E20" s="12">
        <v>294.83000000000004</v>
      </c>
    </row>
    <row r="21" spans="1:7">
      <c r="A21" s="12"/>
      <c r="B21" s="12"/>
      <c r="C21" s="12"/>
      <c r="D21" s="12"/>
      <c r="E21" s="12"/>
      <c r="G21">
        <f>(E20+E7+425)</f>
        <v>904.48</v>
      </c>
    </row>
    <row r="22" spans="1:7" ht="25">
      <c r="A22" s="588" t="s">
        <v>8461</v>
      </c>
      <c r="B22" s="127">
        <f>E22*30%</f>
        <v>90.818005310700002</v>
      </c>
      <c r="C22" s="127">
        <f>E22-B22</f>
        <v>211.90867905829998</v>
      </c>
      <c r="D22" s="12"/>
      <c r="E22" s="127">
        <v>302.726684369</v>
      </c>
      <c r="G22" s="234">
        <f>E13+E26+E39</f>
        <v>1084.2273321159639</v>
      </c>
    </row>
    <row r="23" spans="1:7">
      <c r="A23" s="12"/>
      <c r="B23" s="12"/>
      <c r="C23" s="12"/>
      <c r="D23" s="12"/>
      <c r="E23" s="12"/>
      <c r="G23" s="234">
        <f>G21-G22</f>
        <v>-179.7473321159639</v>
      </c>
    </row>
    <row r="24" spans="1:7">
      <c r="A24" s="3086" t="s">
        <v>8332</v>
      </c>
      <c r="B24" s="3087">
        <f>E24*30%</f>
        <v>16.086416910600001</v>
      </c>
      <c r="C24" s="3087">
        <f>E24-B24</f>
        <v>37.534972791400001</v>
      </c>
      <c r="D24" s="3088"/>
      <c r="E24" s="3089">
        <v>53.621389702000002</v>
      </c>
    </row>
    <row r="25" spans="1:7">
      <c r="A25" s="12"/>
      <c r="B25" s="12"/>
      <c r="C25" s="12"/>
      <c r="D25" s="12"/>
      <c r="E25" s="12"/>
    </row>
    <row r="26" spans="1:7">
      <c r="A26" s="624" t="s">
        <v>8333</v>
      </c>
      <c r="B26" s="127">
        <f>E26*30%</f>
        <v>106.257066213519</v>
      </c>
      <c r="C26" s="127">
        <f>E26-B26</f>
        <v>247.93315449821097</v>
      </c>
      <c r="D26" s="12"/>
      <c r="E26" s="305">
        <f>E22*1.17</f>
        <v>354.19022071172998</v>
      </c>
    </row>
    <row r="30" spans="1:7" ht="37" customHeight="1">
      <c r="A30" s="3288" t="s">
        <v>8460</v>
      </c>
      <c r="B30" s="3288"/>
      <c r="C30" s="3288"/>
      <c r="D30" s="3288"/>
      <c r="E30" s="3288"/>
    </row>
    <row r="31" spans="1:7">
      <c r="A31" s="3319" t="s">
        <v>8329</v>
      </c>
      <c r="B31" s="3319"/>
      <c r="C31" s="3319"/>
      <c r="D31" s="3319"/>
      <c r="E31" s="3319"/>
    </row>
    <row r="32" spans="1:7">
      <c r="A32" s="12"/>
      <c r="B32" s="876" t="s">
        <v>8335</v>
      </c>
      <c r="C32" s="876" t="s">
        <v>8334</v>
      </c>
      <c r="D32" s="624" t="s">
        <v>8336</v>
      </c>
      <c r="E32" s="624" t="s">
        <v>8337</v>
      </c>
    </row>
    <row r="33" spans="1:5">
      <c r="A33" s="624" t="s">
        <v>8330</v>
      </c>
      <c r="B33" s="12"/>
      <c r="C33" s="12"/>
      <c r="D33" s="12"/>
      <c r="E33" s="12"/>
    </row>
    <row r="34" spans="1:5">
      <c r="A34" s="12"/>
      <c r="B34" s="12"/>
      <c r="C34" s="12"/>
      <c r="D34" s="12"/>
      <c r="E34" s="12"/>
    </row>
    <row r="35" spans="1:5">
      <c r="A35" s="624" t="s">
        <v>8331</v>
      </c>
      <c r="B35" s="127">
        <f>E35*30%</f>
        <v>108.14194912960889</v>
      </c>
      <c r="C35" s="127">
        <f>E35-B35</f>
        <v>252.33121463575409</v>
      </c>
      <c r="D35" s="12"/>
      <c r="E35" s="19">
        <v>360.47316376536298</v>
      </c>
    </row>
    <row r="36" spans="1:5">
      <c r="A36" s="12"/>
      <c r="B36" s="12"/>
      <c r="C36" s="12"/>
      <c r="D36" s="12"/>
      <c r="E36" s="12"/>
    </row>
    <row r="37" spans="1:5">
      <c r="A37" s="3086" t="s">
        <v>8332</v>
      </c>
      <c r="B37" s="3087">
        <f>E37*30%</f>
        <v>68.199472590408192</v>
      </c>
      <c r="C37" s="3087">
        <f>E37-B37</f>
        <v>159.13210271095244</v>
      </c>
      <c r="D37" s="3088"/>
      <c r="E37" s="3090">
        <v>227.33157530136063</v>
      </c>
    </row>
    <row r="38" spans="1:5">
      <c r="A38" s="12"/>
      <c r="B38" s="12"/>
      <c r="C38" s="12"/>
      <c r="D38" s="12"/>
      <c r="E38" s="12"/>
    </row>
    <row r="39" spans="1:5">
      <c r="A39" s="624" t="s">
        <v>8333</v>
      </c>
      <c r="B39" s="305">
        <f>B35+B37</f>
        <v>176.34142172001708</v>
      </c>
      <c r="C39" s="305">
        <f>C35+C37</f>
        <v>411.4633173467065</v>
      </c>
      <c r="D39" s="12"/>
      <c r="E39" s="305">
        <f>B39+C39</f>
        <v>587.80473906672364</v>
      </c>
    </row>
  </sheetData>
  <mergeCells count="7">
    <mergeCell ref="A31:E31"/>
    <mergeCell ref="A2:E2"/>
    <mergeCell ref="A4:E4"/>
    <mergeCell ref="A5:E5"/>
    <mergeCell ref="A17:E17"/>
    <mergeCell ref="A18:E18"/>
    <mergeCell ref="A30:E30"/>
  </mergeCells>
  <pageMargins left="0.7" right="0.7" top="0.75" bottom="0.75" header="0.3" footer="0.3"/>
  <pageSetup paperSize="9" scale="77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">
    <tabColor theme="1"/>
    <pageSetUpPr fitToPage="1"/>
  </sheetPr>
  <dimension ref="A1:V270"/>
  <sheetViews>
    <sheetView showGridLines="0" view="pageBreakPreview" zoomScale="53" zoomScaleNormal="70" zoomScaleSheetLayoutView="53" workbookViewId="0">
      <pane xSplit="2" ySplit="8" topLeftCell="C64" activePane="bottomRight" state="frozen"/>
      <selection activeCell="A3" sqref="A3"/>
      <selection pane="topRight" activeCell="A3" sqref="A3"/>
      <selection pane="bottomLeft" activeCell="A3" sqref="A3"/>
      <selection pane="bottomRight" activeCell="A15" sqref="A15"/>
    </sheetView>
  </sheetViews>
  <sheetFormatPr defaultColWidth="14.7265625" defaultRowHeight="15.5"/>
  <cols>
    <col min="1" max="1" width="5.7265625" style="674" customWidth="1"/>
    <col min="2" max="2" width="38.36328125" style="630" customWidth="1"/>
    <col min="3" max="3" width="14.1796875" style="630" customWidth="1"/>
    <col min="4" max="4" width="13" style="630" customWidth="1"/>
    <col min="5" max="5" width="14.54296875" style="630" customWidth="1"/>
    <col min="6" max="6" width="15.26953125" style="630" customWidth="1"/>
    <col min="7" max="7" width="14.1796875" style="638" customWidth="1"/>
    <col min="8" max="8" width="16.1796875" style="630" customWidth="1"/>
    <col min="9" max="9" width="13.81640625" style="630" customWidth="1"/>
    <col min="10" max="10" width="14.453125" style="630" customWidth="1"/>
    <col min="11" max="11" width="13.453125" style="630" customWidth="1"/>
    <col min="12" max="12" width="14.453125" style="630" customWidth="1"/>
    <col min="13" max="13" width="15.1796875" style="630" customWidth="1"/>
    <col min="14" max="14" width="14" style="630" customWidth="1"/>
    <col min="15" max="15" width="14.1796875" style="630" customWidth="1"/>
    <col min="16" max="16" width="14" style="630" customWidth="1"/>
    <col min="17" max="17" width="12" style="630" customWidth="1"/>
    <col min="18" max="18" width="14.81640625" style="630" customWidth="1"/>
    <col min="19" max="16384" width="14.7265625" style="630"/>
  </cols>
  <sheetData>
    <row r="1" spans="1:18">
      <c r="A1" s="1580" t="s">
        <v>5525</v>
      </c>
      <c r="O1" s="631" t="s">
        <v>124</v>
      </c>
      <c r="P1" s="631"/>
      <c r="Q1" s="645" t="s">
        <v>335</v>
      </c>
    </row>
    <row r="2" spans="1:18">
      <c r="A2" s="2290"/>
      <c r="O2" s="631"/>
      <c r="P2" s="631"/>
      <c r="Q2" s="645"/>
    </row>
    <row r="3" spans="1:18">
      <c r="A3" s="2290"/>
      <c r="O3" s="631"/>
      <c r="P3" s="631"/>
      <c r="Q3" s="645"/>
    </row>
    <row r="4" spans="1:18">
      <c r="A4" s="1580"/>
      <c r="B4" s="2295"/>
      <c r="C4" s="2295"/>
      <c r="D4" s="2295"/>
      <c r="E4" s="2295"/>
      <c r="F4" s="2295"/>
      <c r="G4" s="2296"/>
    </row>
    <row r="5" spans="1:18" ht="23.25" customHeight="1">
      <c r="A5" s="3321" t="s">
        <v>3699</v>
      </c>
      <c r="B5" s="3321"/>
      <c r="C5" s="3321"/>
      <c r="D5" s="3321"/>
      <c r="E5" s="3321"/>
      <c r="F5" s="3321"/>
      <c r="G5" s="3321"/>
      <c r="H5" s="3321"/>
      <c r="I5" s="3321"/>
      <c r="J5" s="3321"/>
      <c r="K5" s="3321"/>
      <c r="L5" s="3321"/>
      <c r="M5" s="3321"/>
      <c r="N5" s="3321"/>
      <c r="O5" s="3321"/>
      <c r="P5" s="3321"/>
      <c r="Q5" s="3321"/>
      <c r="R5" s="3321"/>
    </row>
    <row r="6" spans="1:18" ht="25.5" customHeight="1">
      <c r="A6" s="3320" t="s">
        <v>4031</v>
      </c>
      <c r="B6" s="3320"/>
      <c r="C6" s="3320"/>
      <c r="D6" s="3320"/>
      <c r="E6" s="3320"/>
      <c r="F6" s="3320"/>
      <c r="G6" s="3320"/>
      <c r="H6" s="3320"/>
      <c r="I6" s="3320"/>
      <c r="J6" s="3320"/>
      <c r="K6" s="3320"/>
      <c r="L6" s="3320"/>
      <c r="M6" s="3320"/>
      <c r="N6" s="3320"/>
      <c r="O6" s="3320"/>
      <c r="P6" s="3320"/>
      <c r="Q6" s="3320"/>
      <c r="R6" s="3320"/>
    </row>
    <row r="7" spans="1:18">
      <c r="A7" s="680"/>
      <c r="B7" s="661"/>
      <c r="C7" s="3360" t="s">
        <v>7993</v>
      </c>
      <c r="D7" s="3360"/>
      <c r="E7" s="3360"/>
      <c r="F7" s="3360"/>
      <c r="G7" s="3360"/>
      <c r="H7" s="3360"/>
      <c r="I7" s="3321" t="s">
        <v>8057</v>
      </c>
      <c r="J7" s="3321"/>
      <c r="K7" s="3321"/>
      <c r="L7" s="3321"/>
      <c r="M7" s="3321"/>
      <c r="N7" s="3321" t="s">
        <v>8058</v>
      </c>
      <c r="O7" s="3321"/>
      <c r="P7" s="3321"/>
      <c r="Q7" s="3321"/>
      <c r="R7" s="3321"/>
    </row>
    <row r="8" spans="1:18" ht="46.5">
      <c r="A8" s="2303" t="s">
        <v>1205</v>
      </c>
      <c r="B8" s="2303" t="s">
        <v>1206</v>
      </c>
      <c r="C8" s="2303" t="s">
        <v>7994</v>
      </c>
      <c r="D8" s="2303" t="s">
        <v>1207</v>
      </c>
      <c r="E8" s="2303" t="s">
        <v>746</v>
      </c>
      <c r="F8" s="2303" t="s">
        <v>3702</v>
      </c>
      <c r="G8" s="2304" t="s">
        <v>747</v>
      </c>
      <c r="H8" s="2303" t="s">
        <v>5366</v>
      </c>
      <c r="I8" s="2303" t="s">
        <v>1207</v>
      </c>
      <c r="J8" s="2303" t="s">
        <v>746</v>
      </c>
      <c r="K8" s="2303" t="s">
        <v>3702</v>
      </c>
      <c r="L8" s="2303" t="s">
        <v>747</v>
      </c>
      <c r="M8" s="2303" t="s">
        <v>6856</v>
      </c>
      <c r="N8" s="2303" t="s">
        <v>1207</v>
      </c>
      <c r="O8" s="2303" t="s">
        <v>746</v>
      </c>
      <c r="P8" s="2303" t="s">
        <v>3702</v>
      </c>
      <c r="Q8" s="2303" t="s">
        <v>747</v>
      </c>
      <c r="R8" s="2303" t="s">
        <v>8059</v>
      </c>
    </row>
    <row r="9" spans="1:18" ht="25" customHeight="1">
      <c r="A9" s="680">
        <v>1</v>
      </c>
      <c r="B9" s="680">
        <v>2</v>
      </c>
      <c r="C9" s="680">
        <v>3</v>
      </c>
      <c r="D9" s="680">
        <v>4</v>
      </c>
      <c r="E9" s="680">
        <v>5</v>
      </c>
      <c r="F9" s="680">
        <v>6</v>
      </c>
      <c r="G9" s="2308">
        <v>7</v>
      </c>
      <c r="H9" s="680">
        <v>8</v>
      </c>
      <c r="I9" s="680">
        <v>9</v>
      </c>
      <c r="J9" s="680">
        <v>10</v>
      </c>
      <c r="K9" s="680">
        <v>11</v>
      </c>
      <c r="L9" s="680">
        <v>12</v>
      </c>
      <c r="M9" s="680">
        <v>13</v>
      </c>
      <c r="N9" s="680">
        <v>14</v>
      </c>
      <c r="O9" s="680">
        <v>15</v>
      </c>
      <c r="P9" s="680">
        <v>16</v>
      </c>
      <c r="Q9" s="680">
        <v>17</v>
      </c>
      <c r="R9" s="680">
        <v>18</v>
      </c>
    </row>
    <row r="10" spans="1:18" ht="11.5" customHeight="1">
      <c r="A10" s="680"/>
      <c r="B10" s="634"/>
      <c r="C10" s="634"/>
      <c r="D10" s="634"/>
      <c r="E10" s="634"/>
      <c r="F10" s="634"/>
      <c r="G10" s="636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</row>
    <row r="11" spans="1:18" ht="21" customHeight="1">
      <c r="A11" s="680"/>
      <c r="B11" s="634" t="s">
        <v>748</v>
      </c>
      <c r="C11" s="634"/>
      <c r="D11" s="636">
        <f>+G11</f>
        <v>0</v>
      </c>
      <c r="E11" s="636"/>
      <c r="F11" s="636"/>
      <c r="G11" s="636">
        <f>'OERC 6'!C10/10000000</f>
        <v>0</v>
      </c>
      <c r="H11" s="640">
        <f>+C11+D11+E11-G11</f>
        <v>0</v>
      </c>
      <c r="I11" s="636">
        <v>0</v>
      </c>
      <c r="J11" s="636"/>
      <c r="K11" s="636"/>
      <c r="L11" s="636">
        <f>+I11</f>
        <v>0</v>
      </c>
      <c r="M11" s="640">
        <f t="shared" ref="M11:M17" si="0">H11+I11+J11-L11</f>
        <v>0</v>
      </c>
      <c r="N11" s="636">
        <v>0</v>
      </c>
      <c r="O11" s="636"/>
      <c r="P11" s="636"/>
      <c r="Q11" s="636">
        <f>+N11</f>
        <v>0</v>
      </c>
      <c r="R11" s="636">
        <f>M11+N11+O11-Q11</f>
        <v>0</v>
      </c>
    </row>
    <row r="12" spans="1:18" ht="21" customHeight="1">
      <c r="A12" s="680"/>
      <c r="B12" s="634" t="s">
        <v>749</v>
      </c>
      <c r="C12" s="634"/>
      <c r="D12" s="636">
        <f>G12+H12</f>
        <v>24.706992049999997</v>
      </c>
      <c r="E12" s="636"/>
      <c r="F12" s="636"/>
      <c r="G12" s="636">
        <f>'OERC 6'!C12/10000000</f>
        <v>23.389992049999996</v>
      </c>
      <c r="H12" s="640">
        <f>H48</f>
        <v>1.3169999999999999</v>
      </c>
      <c r="I12" s="636">
        <v>0</v>
      </c>
      <c r="J12" s="636"/>
      <c r="K12" s="636"/>
      <c r="L12" s="636">
        <f>+I12</f>
        <v>0</v>
      </c>
      <c r="M12" s="640">
        <f t="shared" si="0"/>
        <v>1.3169999999999999</v>
      </c>
      <c r="N12" s="636">
        <v>0</v>
      </c>
      <c r="O12" s="636"/>
      <c r="P12" s="636"/>
      <c r="Q12" s="636">
        <f>+N12</f>
        <v>0</v>
      </c>
      <c r="R12" s="636">
        <f>M12+N12+O12-Q12</f>
        <v>1.3169999999999999</v>
      </c>
    </row>
    <row r="13" spans="1:18" ht="21" customHeight="1">
      <c r="A13" s="680"/>
      <c r="B13" s="750" t="s">
        <v>1279</v>
      </c>
      <c r="C13" s="634"/>
      <c r="D13" s="636">
        <f>G13+H13</f>
        <v>5.3065942060000006</v>
      </c>
      <c r="E13" s="636"/>
      <c r="F13" s="636"/>
      <c r="G13" s="636">
        <f>'OERC 6'!C19/10^7</f>
        <v>5.3025942060000011</v>
      </c>
      <c r="H13" s="640">
        <f>H47</f>
        <v>4.0000000000000001E-3</v>
      </c>
      <c r="I13" s="636">
        <v>0</v>
      </c>
      <c r="J13" s="636"/>
      <c r="K13" s="636"/>
      <c r="L13" s="636">
        <f>+I13</f>
        <v>0</v>
      </c>
      <c r="M13" s="640">
        <f t="shared" si="0"/>
        <v>4.0000000000000001E-3</v>
      </c>
      <c r="N13" s="636">
        <v>0</v>
      </c>
      <c r="O13" s="636"/>
      <c r="P13" s="636"/>
      <c r="Q13" s="636">
        <f>+N13</f>
        <v>0</v>
      </c>
      <c r="R13" s="636">
        <f>M13+N13+O13-Q13</f>
        <v>4.0000000000000001E-3</v>
      </c>
    </row>
    <row r="14" spans="1:18" ht="21" customHeight="1">
      <c r="A14" s="680"/>
      <c r="B14" s="750" t="s">
        <v>752</v>
      </c>
      <c r="C14" s="634"/>
      <c r="D14" s="636">
        <f>+G14</f>
        <v>0.6554141</v>
      </c>
      <c r="E14" s="636"/>
      <c r="F14" s="636"/>
      <c r="G14" s="636">
        <f>'OERC 6'!C17/10^7</f>
        <v>0.6554141</v>
      </c>
      <c r="H14" s="640">
        <f>+C14+D14+E14-G14</f>
        <v>0</v>
      </c>
      <c r="I14" s="636">
        <v>0</v>
      </c>
      <c r="J14" s="636"/>
      <c r="K14" s="636"/>
      <c r="L14" s="636">
        <f>+I14</f>
        <v>0</v>
      </c>
      <c r="M14" s="640">
        <f t="shared" si="0"/>
        <v>0</v>
      </c>
      <c r="N14" s="636">
        <v>0</v>
      </c>
      <c r="O14" s="636"/>
      <c r="P14" s="636"/>
      <c r="Q14" s="636">
        <f>+N14</f>
        <v>0</v>
      </c>
      <c r="R14" s="636">
        <f>M14+N14+O14-Q14</f>
        <v>0</v>
      </c>
    </row>
    <row r="15" spans="1:18" ht="21" customHeight="1">
      <c r="A15" s="680"/>
      <c r="B15" s="634" t="s">
        <v>4725</v>
      </c>
      <c r="C15" s="634"/>
      <c r="D15" s="636">
        <f>G15+H15</f>
        <v>34.798007442999996</v>
      </c>
      <c r="E15" s="636"/>
      <c r="F15" s="636"/>
      <c r="G15" s="636">
        <f>'OERC 6'!C21/10^7</f>
        <v>34.672007442999998</v>
      </c>
      <c r="H15" s="640">
        <f>H32</f>
        <v>0.126</v>
      </c>
      <c r="I15" s="636">
        <f>'F-14  '!O103/10000000</f>
        <v>0</v>
      </c>
      <c r="J15" s="636"/>
      <c r="K15" s="636"/>
      <c r="L15" s="636">
        <f>+I15</f>
        <v>0</v>
      </c>
      <c r="M15" s="640">
        <f t="shared" si="0"/>
        <v>0.126</v>
      </c>
      <c r="N15" s="636">
        <f>+'F-14  '!P104</f>
        <v>0</v>
      </c>
      <c r="O15" s="636"/>
      <c r="P15" s="636"/>
      <c r="Q15" s="636">
        <f>+N15</f>
        <v>0</v>
      </c>
      <c r="R15" s="636">
        <f>M15+N15+O15-Q15</f>
        <v>0.126</v>
      </c>
    </row>
    <row r="16" spans="1:18" ht="21" customHeight="1">
      <c r="A16" s="680"/>
      <c r="B16" s="634" t="s">
        <v>8094</v>
      </c>
      <c r="C16" s="634"/>
      <c r="D16" s="636">
        <f>G16+H16</f>
        <v>34.817747363000002</v>
      </c>
      <c r="E16" s="636"/>
      <c r="F16" s="636"/>
      <c r="G16" s="636">
        <f>'OERC 6'!E33/10^7</f>
        <v>34.817747363000002</v>
      </c>
      <c r="H16" s="640">
        <v>0</v>
      </c>
      <c r="I16" s="636"/>
      <c r="J16" s="636"/>
      <c r="K16" s="636"/>
      <c r="L16" s="636"/>
      <c r="M16" s="640"/>
      <c r="N16" s="636"/>
      <c r="O16" s="636"/>
      <c r="P16" s="636"/>
      <c r="Q16" s="636"/>
      <c r="R16" s="636"/>
    </row>
    <row r="17" spans="1:18" ht="21" customHeight="1">
      <c r="A17" s="680"/>
      <c r="B17" s="636" t="s">
        <v>3700</v>
      </c>
      <c r="C17" s="2147">
        <f>+BS!E31/10000000</f>
        <v>78.633210297999995</v>
      </c>
      <c r="D17" s="2147">
        <f>G17+H17-C17</f>
        <v>61.611094792999978</v>
      </c>
      <c r="E17" s="2147">
        <f t="shared" ref="E17:R17" si="1">E89</f>
        <v>0</v>
      </c>
      <c r="F17" s="2147">
        <f t="shared" si="1"/>
        <v>0</v>
      </c>
      <c r="G17" s="2147">
        <f>'OERC 6'!C15/10^7-23.49-2.17</f>
        <v>61.821305090999985</v>
      </c>
      <c r="H17" s="2147">
        <f>H89-H11-H12-H13-H14-H15-H18</f>
        <v>78.422999999999988</v>
      </c>
      <c r="I17" s="2147">
        <f>I89</f>
        <v>244.74127784290741</v>
      </c>
      <c r="J17" s="2147">
        <f t="shared" si="1"/>
        <v>0</v>
      </c>
      <c r="K17" s="2147">
        <f t="shared" si="1"/>
        <v>0</v>
      </c>
      <c r="L17" s="2147">
        <f t="shared" si="1"/>
        <v>182.26127784290739</v>
      </c>
      <c r="M17" s="640">
        <f t="shared" si="0"/>
        <v>140.90299999999999</v>
      </c>
      <c r="N17" s="2147">
        <f t="shared" si="1"/>
        <v>450.34550996483006</v>
      </c>
      <c r="O17" s="2147">
        <f t="shared" si="1"/>
        <v>7.8810464243845262</v>
      </c>
      <c r="P17" s="2147">
        <f t="shared" si="1"/>
        <v>0</v>
      </c>
      <c r="Q17" s="2147">
        <f t="shared" si="1"/>
        <v>311.75550996483003</v>
      </c>
      <c r="R17" s="2147">
        <f t="shared" si="1"/>
        <v>264.12804642438459</v>
      </c>
    </row>
    <row r="18" spans="1:18" ht="21" customHeight="1">
      <c r="A18" s="680"/>
      <c r="B18" s="636"/>
      <c r="C18" s="2147"/>
      <c r="D18" s="2147"/>
      <c r="E18" s="2147"/>
      <c r="F18" s="2147"/>
      <c r="G18" s="2147"/>
      <c r="H18" s="2147"/>
      <c r="I18" s="2147"/>
      <c r="J18" s="2147"/>
      <c r="K18" s="2147"/>
      <c r="L18" s="2147"/>
      <c r="M18" s="640"/>
      <c r="N18" s="2147"/>
      <c r="O18" s="2147"/>
      <c r="P18" s="2147"/>
      <c r="Q18" s="2147"/>
      <c r="R18" s="2147"/>
    </row>
    <row r="19" spans="1:18" s="625" customFormat="1" ht="34.5" customHeight="1">
      <c r="A19" s="747"/>
      <c r="B19" s="834" t="s">
        <v>1100</v>
      </c>
      <c r="C19" s="640">
        <f>SUM(C11:C18)</f>
        <v>78.633210297999995</v>
      </c>
      <c r="D19" s="640">
        <f t="shared" ref="D19:R19" si="2">SUM(D11:D18)</f>
        <v>161.89584995499996</v>
      </c>
      <c r="E19" s="640">
        <f t="shared" si="2"/>
        <v>0</v>
      </c>
      <c r="F19" s="640">
        <f t="shared" si="2"/>
        <v>0</v>
      </c>
      <c r="G19" s="640">
        <f t="shared" si="2"/>
        <v>160.65906025300001</v>
      </c>
      <c r="H19" s="640">
        <f t="shared" si="2"/>
        <v>79.86999999999999</v>
      </c>
      <c r="I19" s="640">
        <f t="shared" si="2"/>
        <v>244.74127784290741</v>
      </c>
      <c r="J19" s="640">
        <f t="shared" si="2"/>
        <v>0</v>
      </c>
      <c r="K19" s="640">
        <f t="shared" si="2"/>
        <v>0</v>
      </c>
      <c r="L19" s="640">
        <f t="shared" si="2"/>
        <v>182.26127784290739</v>
      </c>
      <c r="M19" s="640">
        <f t="shared" si="2"/>
        <v>142.35</v>
      </c>
      <c r="N19" s="640">
        <f t="shared" si="2"/>
        <v>450.34550996483006</v>
      </c>
      <c r="O19" s="640">
        <f t="shared" si="2"/>
        <v>7.8810464243845262</v>
      </c>
      <c r="P19" s="640">
        <f t="shared" si="2"/>
        <v>0</v>
      </c>
      <c r="Q19" s="640">
        <f t="shared" si="2"/>
        <v>311.75550996483003</v>
      </c>
      <c r="R19" s="640">
        <f t="shared" si="2"/>
        <v>265.5750464243846</v>
      </c>
    </row>
    <row r="20" spans="1:18" ht="27.5" customHeight="1">
      <c r="A20" s="680"/>
      <c r="B20" s="640" t="s">
        <v>3701</v>
      </c>
      <c r="C20" s="634"/>
      <c r="D20" s="636"/>
      <c r="E20" s="634"/>
      <c r="F20" s="634"/>
      <c r="G20" s="636"/>
      <c r="H20" s="640"/>
      <c r="I20" s="636"/>
      <c r="J20" s="636"/>
      <c r="K20" s="636"/>
      <c r="L20" s="636"/>
      <c r="M20" s="640"/>
      <c r="N20" s="636"/>
      <c r="O20" s="636"/>
      <c r="P20" s="636"/>
      <c r="Q20" s="636"/>
      <c r="R20" s="636"/>
    </row>
    <row r="21" spans="1:18" ht="24" customHeight="1">
      <c r="A21" s="680">
        <v>1</v>
      </c>
      <c r="B21" s="750" t="s">
        <v>8103</v>
      </c>
      <c r="C21" s="653"/>
      <c r="D21" s="653">
        <v>0.32600000000000001</v>
      </c>
      <c r="E21" s="653"/>
      <c r="F21" s="653"/>
      <c r="G21" s="653">
        <v>0</v>
      </c>
      <c r="H21" s="1576">
        <v>0.32600000000000001</v>
      </c>
      <c r="I21" s="653">
        <v>0</v>
      </c>
      <c r="J21" s="653">
        <v>0</v>
      </c>
      <c r="K21" s="653"/>
      <c r="L21" s="2382">
        <v>0</v>
      </c>
      <c r="M21" s="1576">
        <f t="shared" ref="M21:M87" si="3">H21+I21+J21-L21</f>
        <v>0.32600000000000001</v>
      </c>
      <c r="N21" s="653">
        <v>0</v>
      </c>
      <c r="O21" s="653">
        <v>0</v>
      </c>
      <c r="P21" s="653"/>
      <c r="Q21" s="653">
        <v>0</v>
      </c>
      <c r="R21" s="653">
        <f t="shared" ref="R21:R87" si="4">M21+N21+O21-Q21</f>
        <v>0.32600000000000001</v>
      </c>
    </row>
    <row r="22" spans="1:18" ht="24" customHeight="1">
      <c r="A22" s="680">
        <v>2</v>
      </c>
      <c r="B22" s="750" t="s">
        <v>8322</v>
      </c>
      <c r="C22" s="653">
        <v>1.8876404</v>
      </c>
      <c r="D22" s="653">
        <v>0</v>
      </c>
      <c r="E22" s="653"/>
      <c r="F22" s="653"/>
      <c r="G22" s="653">
        <v>1.8876404</v>
      </c>
      <c r="H22" s="1576"/>
      <c r="I22" s="653"/>
      <c r="J22" s="653"/>
      <c r="K22" s="653"/>
      <c r="L22" s="2382"/>
      <c r="M22" s="1576">
        <f t="shared" si="3"/>
        <v>0</v>
      </c>
      <c r="N22" s="653"/>
      <c r="O22" s="653"/>
      <c r="P22" s="653"/>
      <c r="Q22" s="653"/>
      <c r="R22" s="653"/>
    </row>
    <row r="23" spans="1:18" ht="24" customHeight="1">
      <c r="A23" s="680">
        <v>3</v>
      </c>
      <c r="B23" s="750" t="s">
        <v>226</v>
      </c>
      <c r="C23" s="653">
        <v>0.55440319999999998</v>
      </c>
      <c r="D23" s="653">
        <v>0</v>
      </c>
      <c r="E23" s="653"/>
      <c r="F23" s="653"/>
      <c r="G23" s="653">
        <v>0.55440319999999998</v>
      </c>
      <c r="H23" s="1576"/>
      <c r="I23" s="653"/>
      <c r="J23" s="653"/>
      <c r="K23" s="653"/>
      <c r="L23" s="2382"/>
      <c r="M23" s="1576">
        <f t="shared" si="3"/>
        <v>0</v>
      </c>
      <c r="N23" s="653"/>
      <c r="O23" s="653"/>
      <c r="P23" s="653"/>
      <c r="Q23" s="653"/>
      <c r="R23" s="653"/>
    </row>
    <row r="24" spans="1:18" ht="24" customHeight="1">
      <c r="A24" s="680">
        <v>4</v>
      </c>
      <c r="B24" s="750" t="s">
        <v>8053</v>
      </c>
      <c r="C24" s="653">
        <v>7.0704577999999998</v>
      </c>
      <c r="D24" s="653">
        <v>0</v>
      </c>
      <c r="E24" s="653"/>
      <c r="F24" s="653"/>
      <c r="G24" s="653">
        <v>7.0704577999999998</v>
      </c>
      <c r="H24" s="1576"/>
      <c r="I24" s="653"/>
      <c r="J24" s="653"/>
      <c r="K24" s="653"/>
      <c r="L24" s="2382"/>
      <c r="M24" s="1576">
        <f t="shared" si="3"/>
        <v>0</v>
      </c>
      <c r="N24" s="653"/>
      <c r="O24" s="653"/>
      <c r="P24" s="653"/>
      <c r="Q24" s="653"/>
      <c r="R24" s="653"/>
    </row>
    <row r="25" spans="1:18" ht="24" customHeight="1">
      <c r="A25" s="680">
        <v>5</v>
      </c>
      <c r="B25" s="750" t="s">
        <v>8323</v>
      </c>
      <c r="C25" s="653">
        <v>0.65494249999999998</v>
      </c>
      <c r="D25" s="653">
        <v>0</v>
      </c>
      <c r="E25" s="653"/>
      <c r="F25" s="653"/>
      <c r="G25" s="653">
        <v>0.65494249999999998</v>
      </c>
      <c r="H25" s="1576"/>
      <c r="I25" s="653"/>
      <c r="J25" s="653"/>
      <c r="K25" s="653"/>
      <c r="L25" s="2382"/>
      <c r="M25" s="1576">
        <f t="shared" si="3"/>
        <v>0</v>
      </c>
      <c r="N25" s="653"/>
      <c r="O25" s="653"/>
      <c r="P25" s="653"/>
      <c r="Q25" s="653"/>
      <c r="R25" s="653"/>
    </row>
    <row r="26" spans="1:18" ht="24" customHeight="1">
      <c r="A26" s="680">
        <v>6</v>
      </c>
      <c r="B26" s="750" t="s">
        <v>755</v>
      </c>
      <c r="C26" s="653">
        <v>7.7239294000000003</v>
      </c>
      <c r="D26" s="653">
        <v>0</v>
      </c>
      <c r="E26" s="653"/>
      <c r="F26" s="653"/>
      <c r="G26" s="653">
        <v>7.7239294000000003</v>
      </c>
      <c r="H26" s="1576"/>
      <c r="I26" s="653"/>
      <c r="J26" s="653"/>
      <c r="K26" s="653"/>
      <c r="L26" s="2382"/>
      <c r="M26" s="1576">
        <f t="shared" si="3"/>
        <v>0</v>
      </c>
      <c r="N26" s="653"/>
      <c r="O26" s="653"/>
      <c r="P26" s="653"/>
      <c r="Q26" s="653"/>
      <c r="R26" s="653"/>
    </row>
    <row r="27" spans="1:18" ht="24" customHeight="1">
      <c r="A27" s="680">
        <v>7</v>
      </c>
      <c r="B27" s="750" t="s">
        <v>1153</v>
      </c>
      <c r="C27" s="653">
        <v>4.8150900000000003E-2</v>
      </c>
      <c r="D27" s="653">
        <v>0</v>
      </c>
      <c r="E27" s="653"/>
      <c r="F27" s="653"/>
      <c r="G27" s="653">
        <v>4.8150900000000003E-2</v>
      </c>
      <c r="H27" s="1576"/>
      <c r="I27" s="653"/>
      <c r="J27" s="653"/>
      <c r="K27" s="653"/>
      <c r="L27" s="2382"/>
      <c r="M27" s="1576">
        <f t="shared" si="3"/>
        <v>0</v>
      </c>
      <c r="N27" s="653"/>
      <c r="O27" s="653"/>
      <c r="P27" s="653"/>
      <c r="Q27" s="653"/>
      <c r="R27" s="653"/>
    </row>
    <row r="28" spans="1:18" ht="24" customHeight="1">
      <c r="A28" s="680">
        <v>8</v>
      </c>
      <c r="B28" s="750" t="s">
        <v>8104</v>
      </c>
      <c r="C28" s="653">
        <v>0</v>
      </c>
      <c r="D28" s="653">
        <v>9.8000000000000004E-2</v>
      </c>
      <c r="E28" s="653"/>
      <c r="F28" s="653"/>
      <c r="G28" s="653">
        <v>0</v>
      </c>
      <c r="H28" s="1576">
        <v>9.8000000000000004E-2</v>
      </c>
      <c r="I28" s="653"/>
      <c r="J28" s="653"/>
      <c r="K28" s="653"/>
      <c r="L28" s="2382"/>
      <c r="M28" s="1576">
        <f t="shared" si="3"/>
        <v>9.8000000000000004E-2</v>
      </c>
      <c r="N28" s="653"/>
      <c r="O28" s="653"/>
      <c r="P28" s="653"/>
      <c r="Q28" s="653"/>
      <c r="R28" s="653"/>
    </row>
    <row r="29" spans="1:18" ht="24" customHeight="1">
      <c r="A29" s="680">
        <v>9</v>
      </c>
      <c r="B29" s="750" t="s">
        <v>78</v>
      </c>
      <c r="C29" s="653">
        <v>0</v>
      </c>
      <c r="D29" s="653">
        <v>7.48</v>
      </c>
      <c r="E29" s="653"/>
      <c r="F29" s="653"/>
      <c r="G29" s="653">
        <v>0</v>
      </c>
      <c r="H29" s="1576">
        <v>7.48</v>
      </c>
      <c r="I29" s="653"/>
      <c r="J29" s="653"/>
      <c r="K29" s="653"/>
      <c r="L29" s="2382"/>
      <c r="M29" s="1576">
        <f t="shared" si="3"/>
        <v>7.48</v>
      </c>
      <c r="N29" s="653"/>
      <c r="O29" s="653"/>
      <c r="P29" s="653"/>
      <c r="Q29" s="653"/>
      <c r="R29" s="653"/>
    </row>
    <row r="30" spans="1:18" ht="24" customHeight="1">
      <c r="A30" s="680">
        <v>10</v>
      </c>
      <c r="B30" s="750" t="s">
        <v>5177</v>
      </c>
      <c r="C30" s="653">
        <v>0.20432919999999999</v>
      </c>
      <c r="D30" s="653">
        <v>1.4000000000000012E-2</v>
      </c>
      <c r="E30" s="653"/>
      <c r="F30" s="653"/>
      <c r="G30" s="653">
        <v>0.20432919999999999</v>
      </c>
      <c r="H30" s="1576">
        <v>1.4E-2</v>
      </c>
      <c r="I30" s="653"/>
      <c r="J30" s="653"/>
      <c r="K30" s="653"/>
      <c r="L30" s="2382"/>
      <c r="M30" s="1576">
        <f t="shared" si="3"/>
        <v>1.4E-2</v>
      </c>
      <c r="N30" s="653"/>
      <c r="O30" s="653"/>
      <c r="P30" s="653"/>
      <c r="Q30" s="653"/>
      <c r="R30" s="653"/>
    </row>
    <row r="31" spans="1:18" ht="24" customHeight="1">
      <c r="A31" s="680">
        <v>11</v>
      </c>
      <c r="B31" s="750" t="s">
        <v>757</v>
      </c>
      <c r="C31" s="653">
        <v>0</v>
      </c>
      <c r="D31" s="653">
        <v>8.5000000000000006E-2</v>
      </c>
      <c r="E31" s="653"/>
      <c r="F31" s="653"/>
      <c r="G31" s="653">
        <v>0</v>
      </c>
      <c r="H31" s="1576">
        <v>8.5000000000000006E-2</v>
      </c>
      <c r="I31" s="653"/>
      <c r="J31" s="653"/>
      <c r="K31" s="653"/>
      <c r="L31" s="2382"/>
      <c r="M31" s="1576">
        <f t="shared" si="3"/>
        <v>8.5000000000000006E-2</v>
      </c>
      <c r="N31" s="653"/>
      <c r="O31" s="653"/>
      <c r="P31" s="653"/>
      <c r="Q31" s="653"/>
      <c r="R31" s="653"/>
    </row>
    <row r="32" spans="1:18" ht="24" customHeight="1">
      <c r="A32" s="680">
        <v>12</v>
      </c>
      <c r="B32" s="750" t="s">
        <v>8105</v>
      </c>
      <c r="C32" s="653">
        <v>0</v>
      </c>
      <c r="D32" s="653">
        <v>19.106000000000002</v>
      </c>
      <c r="E32" s="653"/>
      <c r="F32" s="653"/>
      <c r="G32" s="653">
        <v>18.98</v>
      </c>
      <c r="H32" s="1576">
        <v>0.126</v>
      </c>
      <c r="I32" s="653"/>
      <c r="J32" s="653"/>
      <c r="K32" s="653"/>
      <c r="L32" s="2382"/>
      <c r="M32" s="1576">
        <f t="shared" si="3"/>
        <v>0.126</v>
      </c>
      <c r="N32" s="653"/>
      <c r="O32" s="653"/>
      <c r="P32" s="653"/>
      <c r="Q32" s="653"/>
      <c r="R32" s="653"/>
    </row>
    <row r="33" spans="1:18" ht="24" customHeight="1">
      <c r="A33" s="680">
        <v>13</v>
      </c>
      <c r="B33" s="750" t="s">
        <v>8324</v>
      </c>
      <c r="C33" s="653"/>
      <c r="D33" s="653">
        <v>0</v>
      </c>
      <c r="E33" s="653"/>
      <c r="F33" s="653"/>
      <c r="G33" s="653">
        <v>0</v>
      </c>
      <c r="H33" s="1576"/>
      <c r="I33" s="653"/>
      <c r="J33" s="653"/>
      <c r="K33" s="653"/>
      <c r="L33" s="2382"/>
      <c r="M33" s="1576">
        <f t="shared" si="3"/>
        <v>0</v>
      </c>
      <c r="N33" s="653"/>
      <c r="O33" s="653"/>
      <c r="P33" s="653"/>
      <c r="Q33" s="653"/>
      <c r="R33" s="653"/>
    </row>
    <row r="34" spans="1:18" ht="24" customHeight="1">
      <c r="A34" s="680">
        <v>14</v>
      </c>
      <c r="B34" s="750" t="s">
        <v>8106</v>
      </c>
      <c r="C34" s="653">
        <v>0</v>
      </c>
      <c r="D34" s="653">
        <v>2.0009999999999999</v>
      </c>
      <c r="E34" s="653"/>
      <c r="F34" s="653"/>
      <c r="G34" s="653">
        <v>2</v>
      </c>
      <c r="H34" s="1576">
        <v>1E-3</v>
      </c>
      <c r="I34" s="653"/>
      <c r="J34" s="653"/>
      <c r="K34" s="653"/>
      <c r="L34" s="2382"/>
      <c r="M34" s="1576">
        <f t="shared" si="3"/>
        <v>1E-3</v>
      </c>
      <c r="N34" s="653"/>
      <c r="O34" s="653"/>
      <c r="P34" s="653"/>
      <c r="Q34" s="653"/>
      <c r="R34" s="653"/>
    </row>
    <row r="35" spans="1:18" ht="24" customHeight="1">
      <c r="A35" s="680">
        <v>15</v>
      </c>
      <c r="B35" s="750" t="s">
        <v>8107</v>
      </c>
      <c r="C35" s="653">
        <v>0</v>
      </c>
      <c r="D35" s="653">
        <v>1.4370000000000001</v>
      </c>
      <c r="E35" s="653"/>
      <c r="F35" s="653"/>
      <c r="G35" s="653">
        <v>1.4300000000000002</v>
      </c>
      <c r="H35" s="1576">
        <v>7.0000000000000001E-3</v>
      </c>
      <c r="I35" s="653"/>
      <c r="J35" s="653"/>
      <c r="K35" s="653"/>
      <c r="L35" s="2382"/>
      <c r="M35" s="1576">
        <f t="shared" si="3"/>
        <v>7.0000000000000001E-3</v>
      </c>
      <c r="N35" s="653"/>
      <c r="O35" s="653"/>
      <c r="P35" s="653"/>
      <c r="Q35" s="653"/>
      <c r="R35" s="653"/>
    </row>
    <row r="36" spans="1:18" ht="24" customHeight="1">
      <c r="A36" s="680">
        <v>16</v>
      </c>
      <c r="B36" s="750" t="s">
        <v>8325</v>
      </c>
      <c r="C36" s="653"/>
      <c r="D36" s="653">
        <v>0.24</v>
      </c>
      <c r="E36" s="653"/>
      <c r="F36" s="653"/>
      <c r="G36" s="653">
        <v>0.24</v>
      </c>
      <c r="H36" s="1576"/>
      <c r="I36" s="653"/>
      <c r="J36" s="653"/>
      <c r="K36" s="653"/>
      <c r="L36" s="2382"/>
      <c r="M36" s="1576">
        <f t="shared" si="3"/>
        <v>0</v>
      </c>
      <c r="N36" s="653"/>
      <c r="O36" s="653"/>
      <c r="P36" s="653"/>
      <c r="Q36" s="653"/>
      <c r="R36" s="653"/>
    </row>
    <row r="37" spans="1:18" ht="24" customHeight="1">
      <c r="A37" s="680">
        <v>17</v>
      </c>
      <c r="B37" s="750" t="s">
        <v>7106</v>
      </c>
      <c r="C37" s="653"/>
      <c r="D37" s="653">
        <v>1.2</v>
      </c>
      <c r="E37" s="653"/>
      <c r="F37" s="653"/>
      <c r="G37" s="653">
        <v>1.2</v>
      </c>
      <c r="H37" s="1576"/>
      <c r="I37" s="653"/>
      <c r="J37" s="653"/>
      <c r="K37" s="653"/>
      <c r="L37" s="2382"/>
      <c r="M37" s="1576">
        <f t="shared" si="3"/>
        <v>0</v>
      </c>
      <c r="N37" s="653"/>
      <c r="O37" s="653"/>
      <c r="P37" s="653"/>
      <c r="Q37" s="653"/>
      <c r="R37" s="653"/>
    </row>
    <row r="38" spans="1:18" ht="24" customHeight="1">
      <c r="A38" s="680">
        <v>18</v>
      </c>
      <c r="B38" s="750" t="s">
        <v>7085</v>
      </c>
      <c r="C38" s="653"/>
      <c r="D38" s="653">
        <v>1.68</v>
      </c>
      <c r="E38" s="653"/>
      <c r="F38" s="653"/>
      <c r="G38" s="653">
        <v>1.68</v>
      </c>
      <c r="H38" s="1576"/>
      <c r="I38" s="653"/>
      <c r="J38" s="653"/>
      <c r="K38" s="653"/>
      <c r="L38" s="2382"/>
      <c r="M38" s="1576">
        <f t="shared" si="3"/>
        <v>0</v>
      </c>
      <c r="N38" s="653"/>
      <c r="O38" s="653"/>
      <c r="P38" s="653"/>
      <c r="Q38" s="653"/>
      <c r="R38" s="653"/>
    </row>
    <row r="39" spans="1:18" ht="24" customHeight="1">
      <c r="A39" s="680">
        <v>19</v>
      </c>
      <c r="B39" s="750" t="s">
        <v>8326</v>
      </c>
      <c r="C39" s="653"/>
      <c r="D39" s="653">
        <v>12.21</v>
      </c>
      <c r="E39" s="653"/>
      <c r="F39" s="653"/>
      <c r="G39" s="653">
        <v>12.21</v>
      </c>
      <c r="H39" s="1576"/>
      <c r="I39" s="653"/>
      <c r="J39" s="653"/>
      <c r="K39" s="653"/>
      <c r="L39" s="2382"/>
      <c r="M39" s="1576">
        <f t="shared" si="3"/>
        <v>0</v>
      </c>
      <c r="N39" s="653"/>
      <c r="O39" s="653"/>
      <c r="P39" s="653"/>
      <c r="Q39" s="653"/>
      <c r="R39" s="653"/>
    </row>
    <row r="40" spans="1:18" ht="24" customHeight="1">
      <c r="A40" s="680">
        <v>20</v>
      </c>
      <c r="B40" s="750" t="s">
        <v>7112</v>
      </c>
      <c r="C40" s="653"/>
      <c r="D40" s="653">
        <v>5.14</v>
      </c>
      <c r="E40" s="653"/>
      <c r="F40" s="653"/>
      <c r="G40" s="653">
        <v>5.14</v>
      </c>
      <c r="H40" s="1576"/>
      <c r="I40" s="653"/>
      <c r="J40" s="653"/>
      <c r="K40" s="653"/>
      <c r="L40" s="2382"/>
      <c r="M40" s="1576">
        <f t="shared" si="3"/>
        <v>0</v>
      </c>
      <c r="N40" s="653"/>
      <c r="O40" s="653"/>
      <c r="P40" s="653"/>
      <c r="Q40" s="653"/>
      <c r="R40" s="653"/>
    </row>
    <row r="41" spans="1:18" ht="24" customHeight="1">
      <c r="A41" s="680">
        <v>21</v>
      </c>
      <c r="B41" s="750" t="s">
        <v>7113</v>
      </c>
      <c r="C41" s="653"/>
      <c r="D41" s="653">
        <v>15.94</v>
      </c>
      <c r="E41" s="653"/>
      <c r="F41" s="653"/>
      <c r="G41" s="653">
        <v>15.94</v>
      </c>
      <c r="H41" s="1576"/>
      <c r="I41" s="653"/>
      <c r="J41" s="653"/>
      <c r="K41" s="653"/>
      <c r="L41" s="2382"/>
      <c r="M41" s="1576">
        <f t="shared" si="3"/>
        <v>0</v>
      </c>
      <c r="N41" s="653"/>
      <c r="O41" s="653"/>
      <c r="P41" s="653"/>
      <c r="Q41" s="653"/>
      <c r="R41" s="653"/>
    </row>
    <row r="42" spans="1:18" ht="24" customHeight="1">
      <c r="A42" s="680">
        <v>22</v>
      </c>
      <c r="B42" s="750" t="s">
        <v>7096</v>
      </c>
      <c r="C42" s="653"/>
      <c r="D42" s="653">
        <v>0.36</v>
      </c>
      <c r="E42" s="653"/>
      <c r="F42" s="653"/>
      <c r="G42" s="653">
        <v>0.36</v>
      </c>
      <c r="H42" s="1576"/>
      <c r="I42" s="653"/>
      <c r="J42" s="653"/>
      <c r="K42" s="653"/>
      <c r="L42" s="2382"/>
      <c r="M42" s="1576">
        <f t="shared" si="3"/>
        <v>0</v>
      </c>
      <c r="N42" s="653"/>
      <c r="O42" s="653"/>
      <c r="P42" s="653"/>
      <c r="Q42" s="653"/>
      <c r="R42" s="653"/>
    </row>
    <row r="43" spans="1:18" ht="24" customHeight="1">
      <c r="A43" s="680">
        <v>23</v>
      </c>
      <c r="B43" s="750" t="s">
        <v>7097</v>
      </c>
      <c r="C43" s="653"/>
      <c r="D43" s="653">
        <v>0.27</v>
      </c>
      <c r="E43" s="653"/>
      <c r="F43" s="653"/>
      <c r="G43" s="653">
        <v>0.27</v>
      </c>
      <c r="H43" s="1576"/>
      <c r="I43" s="653"/>
      <c r="J43" s="653"/>
      <c r="K43" s="653"/>
      <c r="L43" s="2382"/>
      <c r="M43" s="1576">
        <f t="shared" si="3"/>
        <v>0</v>
      </c>
      <c r="N43" s="653"/>
      <c r="O43" s="653"/>
      <c r="P43" s="653"/>
      <c r="Q43" s="653"/>
      <c r="R43" s="653"/>
    </row>
    <row r="44" spans="1:18" ht="24" customHeight="1">
      <c r="A44" s="680">
        <v>24</v>
      </c>
      <c r="B44" s="750" t="s">
        <v>8108</v>
      </c>
      <c r="C44" s="653">
        <v>0</v>
      </c>
      <c r="D44" s="653">
        <v>8.76</v>
      </c>
      <c r="E44" s="653"/>
      <c r="F44" s="653"/>
      <c r="G44" s="653">
        <v>8.75</v>
      </c>
      <c r="H44" s="1576">
        <v>0.01</v>
      </c>
      <c r="I44" s="653"/>
      <c r="J44" s="653"/>
      <c r="K44" s="653"/>
      <c r="L44" s="2382"/>
      <c r="M44" s="1576">
        <f t="shared" si="3"/>
        <v>0.01</v>
      </c>
      <c r="N44" s="653"/>
      <c r="O44" s="653"/>
      <c r="P44" s="653"/>
      <c r="Q44" s="653"/>
      <c r="R44" s="653"/>
    </row>
    <row r="45" spans="1:18" ht="24" customHeight="1">
      <c r="A45" s="680">
        <v>25</v>
      </c>
      <c r="B45" s="750" t="s">
        <v>8109</v>
      </c>
      <c r="C45" s="653">
        <v>0</v>
      </c>
      <c r="D45" s="653">
        <v>10.594000000000001</v>
      </c>
      <c r="E45" s="653"/>
      <c r="F45" s="653"/>
      <c r="G45" s="653">
        <v>9.24</v>
      </c>
      <c r="H45" s="1576">
        <v>1.3540000000000001</v>
      </c>
      <c r="I45" s="653"/>
      <c r="J45" s="653"/>
      <c r="K45" s="653"/>
      <c r="L45" s="2382"/>
      <c r="M45" s="1576">
        <f t="shared" si="3"/>
        <v>1.3540000000000001</v>
      </c>
      <c r="N45" s="653"/>
      <c r="O45" s="653"/>
      <c r="P45" s="653"/>
      <c r="Q45" s="653"/>
      <c r="R45" s="653"/>
    </row>
    <row r="46" spans="1:18" ht="24" customHeight="1">
      <c r="A46" s="680">
        <v>26</v>
      </c>
      <c r="B46" s="750" t="s">
        <v>8110</v>
      </c>
      <c r="C46" s="653">
        <v>0</v>
      </c>
      <c r="D46" s="653">
        <v>0.01</v>
      </c>
      <c r="E46" s="653"/>
      <c r="F46" s="653"/>
      <c r="G46" s="653">
        <v>0</v>
      </c>
      <c r="H46" s="1576">
        <v>0.01</v>
      </c>
      <c r="I46" s="653"/>
      <c r="J46" s="653"/>
      <c r="K46" s="653"/>
      <c r="L46" s="2382"/>
      <c r="M46" s="1576">
        <f t="shared" si="3"/>
        <v>0.01</v>
      </c>
      <c r="N46" s="653"/>
      <c r="O46" s="653"/>
      <c r="P46" s="653"/>
      <c r="Q46" s="653"/>
      <c r="R46" s="653"/>
    </row>
    <row r="47" spans="1:18" ht="24" customHeight="1">
      <c r="A47" s="680">
        <v>27</v>
      </c>
      <c r="B47" s="750" t="s">
        <v>7120</v>
      </c>
      <c r="C47" s="653">
        <v>0</v>
      </c>
      <c r="D47" s="653">
        <v>4.8339999999999996</v>
      </c>
      <c r="E47" s="653"/>
      <c r="F47" s="653"/>
      <c r="G47" s="653">
        <v>4.83</v>
      </c>
      <c r="H47" s="1576">
        <v>4.0000000000000001E-3</v>
      </c>
      <c r="I47" s="653"/>
      <c r="J47" s="653"/>
      <c r="K47" s="653"/>
      <c r="L47" s="2382"/>
      <c r="M47" s="1576">
        <f t="shared" si="3"/>
        <v>4.0000000000000001E-3</v>
      </c>
      <c r="N47" s="653"/>
      <c r="O47" s="653"/>
      <c r="P47" s="653"/>
      <c r="Q47" s="653"/>
      <c r="R47" s="653"/>
    </row>
    <row r="48" spans="1:18" ht="24" customHeight="1">
      <c r="A48" s="680">
        <v>28</v>
      </c>
      <c r="B48" s="750" t="s">
        <v>8111</v>
      </c>
      <c r="C48" s="653">
        <v>0</v>
      </c>
      <c r="D48" s="653">
        <v>11.197000000000001</v>
      </c>
      <c r="E48" s="653"/>
      <c r="F48" s="653"/>
      <c r="G48" s="653">
        <v>9.8800000000000008</v>
      </c>
      <c r="H48" s="1576">
        <v>1.3169999999999999</v>
      </c>
      <c r="I48" s="653"/>
      <c r="J48" s="653"/>
      <c r="K48" s="653"/>
      <c r="L48" s="2382"/>
      <c r="M48" s="1576">
        <f t="shared" si="3"/>
        <v>1.3169999999999999</v>
      </c>
      <c r="N48" s="653"/>
      <c r="O48" s="653"/>
      <c r="P48" s="653"/>
      <c r="Q48" s="653"/>
      <c r="R48" s="653"/>
    </row>
    <row r="49" spans="1:18" ht="24" customHeight="1">
      <c r="A49" s="680">
        <v>29</v>
      </c>
      <c r="B49" s="750" t="s">
        <v>8112</v>
      </c>
      <c r="C49" s="653">
        <v>0</v>
      </c>
      <c r="D49" s="653">
        <v>3.8740000000000001</v>
      </c>
      <c r="E49" s="653"/>
      <c r="F49" s="653"/>
      <c r="G49" s="653">
        <v>3.7800000000000002</v>
      </c>
      <c r="H49" s="1576">
        <v>9.4E-2</v>
      </c>
      <c r="I49" s="653"/>
      <c r="J49" s="653"/>
      <c r="K49" s="653"/>
      <c r="L49" s="2382"/>
      <c r="M49" s="1576">
        <f t="shared" si="3"/>
        <v>9.4E-2</v>
      </c>
      <c r="N49" s="653"/>
      <c r="O49" s="653"/>
      <c r="P49" s="653"/>
      <c r="Q49" s="653"/>
      <c r="R49" s="653"/>
    </row>
    <row r="50" spans="1:18" ht="24" customHeight="1">
      <c r="A50" s="680">
        <v>30</v>
      </c>
      <c r="B50" s="750" t="s">
        <v>8113</v>
      </c>
      <c r="C50" s="653">
        <v>0</v>
      </c>
      <c r="D50" s="653">
        <v>17.332000000000001</v>
      </c>
      <c r="E50" s="653"/>
      <c r="F50" s="653"/>
      <c r="G50" s="653">
        <v>13.59</v>
      </c>
      <c r="H50" s="1576">
        <v>3.742</v>
      </c>
      <c r="I50" s="653"/>
      <c r="J50" s="653"/>
      <c r="K50" s="653"/>
      <c r="L50" s="2382"/>
      <c r="M50" s="1576">
        <f t="shared" si="3"/>
        <v>3.742</v>
      </c>
      <c r="N50" s="653"/>
      <c r="O50" s="653"/>
      <c r="P50" s="653"/>
      <c r="Q50" s="653"/>
      <c r="R50" s="653"/>
    </row>
    <row r="51" spans="1:18" ht="24" customHeight="1">
      <c r="A51" s="680">
        <v>31</v>
      </c>
      <c r="B51" s="750" t="s">
        <v>8114</v>
      </c>
      <c r="C51" s="653">
        <v>0</v>
      </c>
      <c r="D51" s="653">
        <v>6.4000000000000001E-2</v>
      </c>
      <c r="E51" s="653"/>
      <c r="F51" s="653"/>
      <c r="G51" s="653">
        <v>0</v>
      </c>
      <c r="H51" s="1576">
        <v>6.4000000000000001E-2</v>
      </c>
      <c r="I51" s="653"/>
      <c r="J51" s="653"/>
      <c r="K51" s="653"/>
      <c r="L51" s="2382"/>
      <c r="M51" s="1576">
        <f t="shared" si="3"/>
        <v>6.4000000000000001E-2</v>
      </c>
      <c r="N51" s="653"/>
      <c r="O51" s="653"/>
      <c r="P51" s="653"/>
      <c r="Q51" s="653"/>
      <c r="R51" s="653"/>
    </row>
    <row r="52" spans="1:18" ht="24" customHeight="1">
      <c r="A52" s="680">
        <v>32</v>
      </c>
      <c r="B52" s="750" t="s">
        <v>8115</v>
      </c>
      <c r="C52" s="653">
        <v>0</v>
      </c>
      <c r="D52" s="653">
        <v>9.6000000000000002E-2</v>
      </c>
      <c r="E52" s="653"/>
      <c r="F52" s="653"/>
      <c r="G52" s="653">
        <v>0</v>
      </c>
      <c r="H52" s="1576">
        <v>9.6000000000000002E-2</v>
      </c>
      <c r="I52" s="653"/>
      <c r="J52" s="653"/>
      <c r="K52" s="653"/>
      <c r="L52" s="2382"/>
      <c r="M52" s="1576">
        <f t="shared" si="3"/>
        <v>9.6000000000000002E-2</v>
      </c>
      <c r="N52" s="653"/>
      <c r="O52" s="653"/>
      <c r="P52" s="653"/>
      <c r="Q52" s="653"/>
      <c r="R52" s="653"/>
    </row>
    <row r="53" spans="1:18" ht="24" customHeight="1">
      <c r="A53" s="680">
        <v>33</v>
      </c>
      <c r="B53" s="750" t="s">
        <v>8116</v>
      </c>
      <c r="C53" s="653">
        <v>0</v>
      </c>
      <c r="D53" s="653">
        <v>4.3999999999999997E-2</v>
      </c>
      <c r="E53" s="653"/>
      <c r="F53" s="653"/>
      <c r="G53" s="653">
        <v>0</v>
      </c>
      <c r="H53" s="1576">
        <v>4.3999999999999997E-2</v>
      </c>
      <c r="I53" s="653"/>
      <c r="J53" s="653"/>
      <c r="K53" s="653"/>
      <c r="L53" s="2382"/>
      <c r="M53" s="1576">
        <f t="shared" si="3"/>
        <v>4.3999999999999997E-2</v>
      </c>
      <c r="N53" s="653"/>
      <c r="O53" s="653"/>
      <c r="P53" s="653"/>
      <c r="Q53" s="653"/>
      <c r="R53" s="653"/>
    </row>
    <row r="54" spans="1:18" ht="24" customHeight="1">
      <c r="A54" s="680">
        <v>34</v>
      </c>
      <c r="B54" s="750" t="s">
        <v>8117</v>
      </c>
      <c r="C54" s="653">
        <v>0</v>
      </c>
      <c r="D54" s="653">
        <v>0.06</v>
      </c>
      <c r="E54" s="653"/>
      <c r="F54" s="653"/>
      <c r="G54" s="653">
        <v>0</v>
      </c>
      <c r="H54" s="1576">
        <v>0.06</v>
      </c>
      <c r="I54" s="653"/>
      <c r="J54" s="653"/>
      <c r="K54" s="653"/>
      <c r="L54" s="2382"/>
      <c r="M54" s="1576">
        <f t="shared" si="3"/>
        <v>0.06</v>
      </c>
      <c r="N54" s="653"/>
      <c r="O54" s="653"/>
      <c r="P54" s="653"/>
      <c r="Q54" s="653"/>
      <c r="R54" s="653"/>
    </row>
    <row r="55" spans="1:18" ht="24" customHeight="1">
      <c r="A55" s="680">
        <v>35</v>
      </c>
      <c r="B55" s="750" t="s">
        <v>8118</v>
      </c>
      <c r="C55" s="653">
        <v>0</v>
      </c>
      <c r="D55" s="653">
        <v>0.22800000000000001</v>
      </c>
      <c r="E55" s="653"/>
      <c r="F55" s="653"/>
      <c r="G55" s="653">
        <v>0.22</v>
      </c>
      <c r="H55" s="1576">
        <v>8.0000000000000002E-3</v>
      </c>
      <c r="I55" s="653"/>
      <c r="J55" s="653"/>
      <c r="K55" s="653"/>
      <c r="L55" s="2382"/>
      <c r="M55" s="1576">
        <f t="shared" si="3"/>
        <v>8.0000000000000002E-3</v>
      </c>
      <c r="N55" s="653"/>
      <c r="O55" s="653"/>
      <c r="P55" s="653"/>
      <c r="Q55" s="653"/>
      <c r="R55" s="653"/>
    </row>
    <row r="56" spans="1:18" ht="24" customHeight="1">
      <c r="A56" s="680">
        <v>36</v>
      </c>
      <c r="B56" s="750" t="s">
        <v>8119</v>
      </c>
      <c r="C56" s="653">
        <v>0</v>
      </c>
      <c r="D56" s="653">
        <v>2.8000000000000001E-2</v>
      </c>
      <c r="E56" s="653"/>
      <c r="F56" s="653"/>
      <c r="G56" s="653">
        <v>0</v>
      </c>
      <c r="H56" s="1576">
        <v>2.8000000000000001E-2</v>
      </c>
      <c r="I56" s="653"/>
      <c r="J56" s="653"/>
      <c r="K56" s="653"/>
      <c r="L56" s="2382"/>
      <c r="M56" s="1576">
        <f t="shared" si="3"/>
        <v>2.8000000000000001E-2</v>
      </c>
      <c r="N56" s="653"/>
      <c r="O56" s="653"/>
      <c r="P56" s="653"/>
      <c r="Q56" s="653"/>
      <c r="R56" s="653"/>
    </row>
    <row r="57" spans="1:18" ht="24" customHeight="1">
      <c r="A57" s="680">
        <v>37</v>
      </c>
      <c r="B57" s="750" t="s">
        <v>8120</v>
      </c>
      <c r="C57" s="653">
        <v>0</v>
      </c>
      <c r="D57" s="653">
        <v>2.4209999999999998</v>
      </c>
      <c r="E57" s="653"/>
      <c r="F57" s="653"/>
      <c r="G57" s="653">
        <v>0</v>
      </c>
      <c r="H57" s="1576">
        <v>2.4209999999999998</v>
      </c>
      <c r="I57" s="653"/>
      <c r="J57" s="653"/>
      <c r="K57" s="653"/>
      <c r="L57" s="2382"/>
      <c r="M57" s="1576">
        <f t="shared" si="3"/>
        <v>2.4209999999999998</v>
      </c>
      <c r="N57" s="653"/>
      <c r="O57" s="653"/>
      <c r="P57" s="653"/>
      <c r="Q57" s="653"/>
      <c r="R57" s="653"/>
    </row>
    <row r="58" spans="1:18" ht="24" customHeight="1">
      <c r="A58" s="680">
        <v>38</v>
      </c>
      <c r="B58" s="750" t="s">
        <v>8121</v>
      </c>
      <c r="C58" s="653">
        <v>0</v>
      </c>
      <c r="D58" s="653">
        <v>8.4030000000000005</v>
      </c>
      <c r="E58" s="653"/>
      <c r="F58" s="653"/>
      <c r="G58" s="653">
        <v>8.31</v>
      </c>
      <c r="H58" s="1576">
        <v>9.2999999999999999E-2</v>
      </c>
      <c r="I58" s="653"/>
      <c r="J58" s="653"/>
      <c r="K58" s="653"/>
      <c r="L58" s="2382"/>
      <c r="M58" s="1576">
        <f t="shared" si="3"/>
        <v>9.2999999999999999E-2</v>
      </c>
      <c r="N58" s="653"/>
      <c r="O58" s="653"/>
      <c r="P58" s="653"/>
      <c r="Q58" s="653"/>
      <c r="R58" s="653"/>
    </row>
    <row r="59" spans="1:18" ht="24" customHeight="1">
      <c r="A59" s="680">
        <v>39</v>
      </c>
      <c r="B59" s="750" t="s">
        <v>8122</v>
      </c>
      <c r="C59" s="653">
        <v>0</v>
      </c>
      <c r="D59" s="653">
        <v>1E-3</v>
      </c>
      <c r="E59" s="653"/>
      <c r="F59" s="653"/>
      <c r="G59" s="653">
        <v>0</v>
      </c>
      <c r="H59" s="1576">
        <v>1E-3</v>
      </c>
      <c r="I59" s="653"/>
      <c r="J59" s="653"/>
      <c r="K59" s="653"/>
      <c r="L59" s="2382"/>
      <c r="M59" s="1576">
        <f t="shared" si="3"/>
        <v>1E-3</v>
      </c>
      <c r="N59" s="653"/>
      <c r="O59" s="653"/>
      <c r="P59" s="653"/>
      <c r="Q59" s="653"/>
      <c r="R59" s="653"/>
    </row>
    <row r="60" spans="1:18" ht="24" customHeight="1">
      <c r="A60" s="680">
        <v>40</v>
      </c>
      <c r="B60" s="750" t="s">
        <v>4872</v>
      </c>
      <c r="C60" s="653">
        <v>0.76346320000000001</v>
      </c>
      <c r="D60" s="653">
        <v>3.5000000000000031E-2</v>
      </c>
      <c r="E60" s="653"/>
      <c r="F60" s="653"/>
      <c r="G60" s="653">
        <v>0.76346320000000001</v>
      </c>
      <c r="H60" s="1576">
        <v>3.5000000000000003E-2</v>
      </c>
      <c r="I60" s="653"/>
      <c r="J60" s="653"/>
      <c r="K60" s="653"/>
      <c r="L60" s="2382"/>
      <c r="M60" s="1576">
        <f t="shared" si="3"/>
        <v>3.5000000000000003E-2</v>
      </c>
      <c r="N60" s="653"/>
      <c r="O60" s="653"/>
      <c r="P60" s="653"/>
      <c r="Q60" s="653"/>
      <c r="R60" s="653"/>
    </row>
    <row r="61" spans="1:18" ht="24" customHeight="1">
      <c r="A61" s="680">
        <v>41</v>
      </c>
      <c r="B61" s="750" t="s">
        <v>8123</v>
      </c>
      <c r="C61" s="653">
        <v>1.7340416000000001</v>
      </c>
      <c r="D61" s="653">
        <v>0.42000000000000015</v>
      </c>
      <c r="E61" s="653"/>
      <c r="F61" s="653"/>
      <c r="G61" s="653">
        <v>1.7340416000000001</v>
      </c>
      <c r="H61" s="1576">
        <v>0.42</v>
      </c>
      <c r="I61" s="653"/>
      <c r="J61" s="653"/>
      <c r="K61" s="653"/>
      <c r="L61" s="2382"/>
      <c r="M61" s="1576">
        <f t="shared" si="3"/>
        <v>0.42</v>
      </c>
      <c r="N61" s="653"/>
      <c r="O61" s="653"/>
      <c r="P61" s="653"/>
      <c r="Q61" s="653"/>
      <c r="R61" s="653"/>
    </row>
    <row r="62" spans="1:18" ht="24" customHeight="1">
      <c r="A62" s="680">
        <v>42</v>
      </c>
      <c r="B62" s="750" t="s">
        <v>8124</v>
      </c>
      <c r="C62" s="653">
        <v>0</v>
      </c>
      <c r="D62" s="653">
        <v>8.0000000000000002E-3</v>
      </c>
      <c r="E62" s="653"/>
      <c r="F62" s="653"/>
      <c r="G62" s="653">
        <v>0</v>
      </c>
      <c r="H62" s="1576">
        <v>8.0000000000000002E-3</v>
      </c>
      <c r="I62" s="653"/>
      <c r="J62" s="653"/>
      <c r="K62" s="653"/>
      <c r="L62" s="2382"/>
      <c r="M62" s="1576">
        <f t="shared" si="3"/>
        <v>8.0000000000000002E-3</v>
      </c>
      <c r="N62" s="653"/>
      <c r="O62" s="653"/>
      <c r="P62" s="653"/>
      <c r="Q62" s="653"/>
      <c r="R62" s="653"/>
    </row>
    <row r="63" spans="1:18" ht="24" customHeight="1">
      <c r="A63" s="680">
        <v>43</v>
      </c>
      <c r="B63" s="750" t="s">
        <v>8125</v>
      </c>
      <c r="C63" s="653">
        <v>0</v>
      </c>
      <c r="D63" s="653">
        <v>0.23699999999999999</v>
      </c>
      <c r="E63" s="653"/>
      <c r="F63" s="653"/>
      <c r="G63" s="653">
        <v>0</v>
      </c>
      <c r="H63" s="1576">
        <v>0.23699999999999999</v>
      </c>
      <c r="I63" s="653"/>
      <c r="J63" s="653"/>
      <c r="K63" s="653"/>
      <c r="L63" s="2382"/>
      <c r="M63" s="1576">
        <f t="shared" si="3"/>
        <v>0.23699999999999999</v>
      </c>
      <c r="N63" s="653"/>
      <c r="O63" s="653"/>
      <c r="P63" s="653"/>
      <c r="Q63" s="653"/>
      <c r="R63" s="653"/>
    </row>
    <row r="64" spans="1:18" ht="24" customHeight="1">
      <c r="A64" s="680">
        <v>44</v>
      </c>
      <c r="B64" s="750" t="s">
        <v>4608</v>
      </c>
      <c r="C64" s="653">
        <v>0</v>
      </c>
      <c r="D64" s="653">
        <v>4.2999999999999997E-2</v>
      </c>
      <c r="E64" s="653"/>
      <c r="F64" s="653"/>
      <c r="G64" s="653">
        <v>0</v>
      </c>
      <c r="H64" s="1576">
        <v>4.2999999999999997E-2</v>
      </c>
      <c r="I64" s="653"/>
      <c r="J64" s="653"/>
      <c r="K64" s="653"/>
      <c r="L64" s="2382"/>
      <c r="M64" s="1576">
        <f t="shared" si="3"/>
        <v>4.2999999999999997E-2</v>
      </c>
      <c r="N64" s="653"/>
      <c r="O64" s="653"/>
      <c r="P64" s="653"/>
      <c r="Q64" s="653"/>
      <c r="R64" s="653"/>
    </row>
    <row r="65" spans="1:20" ht="24" customHeight="1">
      <c r="A65" s="680">
        <v>45</v>
      </c>
      <c r="B65" s="750" t="s">
        <v>4609</v>
      </c>
      <c r="C65" s="653">
        <v>0</v>
      </c>
      <c r="D65" s="653">
        <v>2.3E-2</v>
      </c>
      <c r="E65" s="653"/>
      <c r="F65" s="653"/>
      <c r="G65" s="653">
        <v>0</v>
      </c>
      <c r="H65" s="1576">
        <v>2.3E-2</v>
      </c>
      <c r="I65" s="653"/>
      <c r="J65" s="653"/>
      <c r="K65" s="653"/>
      <c r="L65" s="2382"/>
      <c r="M65" s="1576">
        <f t="shared" si="3"/>
        <v>2.3E-2</v>
      </c>
      <c r="N65" s="653"/>
      <c r="O65" s="653"/>
      <c r="P65" s="653"/>
      <c r="Q65" s="653"/>
      <c r="R65" s="653"/>
    </row>
    <row r="66" spans="1:20" ht="24" customHeight="1">
      <c r="A66" s="680">
        <v>46</v>
      </c>
      <c r="B66" s="750" t="s">
        <v>8126</v>
      </c>
      <c r="C66" s="653">
        <v>0.92344459999999995</v>
      </c>
      <c r="D66" s="653">
        <v>4.3739999999999997</v>
      </c>
      <c r="E66" s="653"/>
      <c r="F66" s="653"/>
      <c r="G66" s="653">
        <v>0.92344459999999995</v>
      </c>
      <c r="H66" s="1576">
        <v>4.3739999999999997</v>
      </c>
      <c r="I66" s="653"/>
      <c r="J66" s="653"/>
      <c r="K66" s="653"/>
      <c r="L66" s="2382"/>
      <c r="M66" s="1576">
        <f t="shared" si="3"/>
        <v>4.3739999999999997</v>
      </c>
      <c r="N66" s="653"/>
      <c r="O66" s="653"/>
      <c r="P66" s="653"/>
      <c r="Q66" s="653"/>
      <c r="R66" s="653"/>
    </row>
    <row r="67" spans="1:20" ht="24" customHeight="1">
      <c r="A67" s="680">
        <v>47</v>
      </c>
      <c r="B67" s="750" t="s">
        <v>8127</v>
      </c>
      <c r="C67" s="653">
        <v>0</v>
      </c>
      <c r="D67" s="653">
        <v>0.755</v>
      </c>
      <c r="E67" s="653"/>
      <c r="F67" s="653"/>
      <c r="G67" s="653">
        <v>0</v>
      </c>
      <c r="H67" s="1576">
        <v>0.755</v>
      </c>
      <c r="I67" s="653"/>
      <c r="J67" s="653"/>
      <c r="K67" s="653"/>
      <c r="L67" s="2382"/>
      <c r="M67" s="1576">
        <f t="shared" si="3"/>
        <v>0.755</v>
      </c>
      <c r="N67" s="653"/>
      <c r="O67" s="653"/>
      <c r="P67" s="653"/>
      <c r="Q67" s="653"/>
      <c r="R67" s="653"/>
    </row>
    <row r="68" spans="1:20" ht="24" customHeight="1">
      <c r="A68" s="680">
        <v>48</v>
      </c>
      <c r="B68" s="750" t="s">
        <v>8104</v>
      </c>
      <c r="C68" s="653">
        <v>0</v>
      </c>
      <c r="D68" s="653">
        <v>0.55300000000000005</v>
      </c>
      <c r="E68" s="653"/>
      <c r="F68" s="653"/>
      <c r="G68" s="653">
        <v>0</v>
      </c>
      <c r="H68" s="1576">
        <v>0.55300000000000005</v>
      </c>
      <c r="I68" s="653"/>
      <c r="J68" s="653"/>
      <c r="K68" s="653"/>
      <c r="L68" s="2382"/>
      <c r="M68" s="1576">
        <f t="shared" si="3"/>
        <v>0.55300000000000005</v>
      </c>
      <c r="N68" s="653"/>
      <c r="O68" s="653"/>
      <c r="P68" s="653"/>
      <c r="Q68" s="653"/>
      <c r="R68" s="653"/>
    </row>
    <row r="69" spans="1:20" ht="24" customHeight="1">
      <c r="A69" s="680">
        <v>49</v>
      </c>
      <c r="B69" s="750" t="s">
        <v>8128</v>
      </c>
      <c r="C69" s="653">
        <v>21.9279881</v>
      </c>
      <c r="D69" s="653">
        <v>0.20800000000000196</v>
      </c>
      <c r="E69" s="653"/>
      <c r="F69" s="653"/>
      <c r="G69" s="653">
        <v>21.047988100000001</v>
      </c>
      <c r="H69" s="1576">
        <v>1.0880000000000001</v>
      </c>
      <c r="I69" s="653"/>
      <c r="J69" s="653"/>
      <c r="K69" s="653"/>
      <c r="L69" s="2382"/>
      <c r="M69" s="1576">
        <f t="shared" si="3"/>
        <v>1.0880000000000001</v>
      </c>
      <c r="N69" s="653"/>
      <c r="O69" s="653"/>
      <c r="P69" s="653"/>
      <c r="Q69" s="653"/>
      <c r="R69" s="653"/>
    </row>
    <row r="70" spans="1:20" ht="24" customHeight="1">
      <c r="A70" s="680">
        <v>50</v>
      </c>
      <c r="B70" s="750" t="s">
        <v>8129</v>
      </c>
      <c r="C70" s="653">
        <v>34.330885983999998</v>
      </c>
      <c r="D70" s="653">
        <v>19.581114016000001</v>
      </c>
      <c r="E70" s="653"/>
      <c r="F70" s="653"/>
      <c r="G70" s="653">
        <v>0</v>
      </c>
      <c r="H70" s="1576">
        <v>53.911999999999999</v>
      </c>
      <c r="I70" s="653">
        <v>0</v>
      </c>
      <c r="J70" s="653">
        <f>+'WF-INTEREST'!O15+'WF-INTEREST'!O17</f>
        <v>0</v>
      </c>
      <c r="K70" s="653"/>
      <c r="L70" s="2382">
        <v>0</v>
      </c>
      <c r="M70" s="1576">
        <f t="shared" si="3"/>
        <v>53.911999999999999</v>
      </c>
      <c r="N70" s="653">
        <v>0</v>
      </c>
      <c r="O70" s="653">
        <f>+'WF-INTEREST'!S15+'WF-INTEREST'!S17</f>
        <v>0</v>
      </c>
      <c r="P70" s="653"/>
      <c r="Q70" s="653">
        <v>0</v>
      </c>
      <c r="R70" s="653">
        <f t="shared" si="4"/>
        <v>53.911999999999999</v>
      </c>
    </row>
    <row r="71" spans="1:20" ht="24" customHeight="1">
      <c r="A71" s="680">
        <v>51</v>
      </c>
      <c r="B71" s="750" t="s">
        <v>8130</v>
      </c>
      <c r="C71" s="653">
        <v>0.80884350000000005</v>
      </c>
      <c r="D71" s="653">
        <v>0.1301564999999999</v>
      </c>
      <c r="E71" s="653"/>
      <c r="F71" s="653"/>
      <c r="G71" s="653">
        <v>0</v>
      </c>
      <c r="H71" s="1576">
        <v>0.93899999999999995</v>
      </c>
      <c r="I71" s="653">
        <v>0</v>
      </c>
      <c r="J71" s="653"/>
      <c r="K71" s="653"/>
      <c r="L71" s="2382">
        <v>0</v>
      </c>
      <c r="M71" s="1576">
        <f t="shared" si="3"/>
        <v>0.93899999999999995</v>
      </c>
      <c r="N71" s="653">
        <v>0</v>
      </c>
      <c r="O71" s="653">
        <v>0</v>
      </c>
      <c r="P71" s="653"/>
      <c r="Q71" s="653">
        <v>0</v>
      </c>
      <c r="R71" s="653">
        <f t="shared" si="4"/>
        <v>0.93899999999999995</v>
      </c>
      <c r="T71" s="638"/>
    </row>
    <row r="72" spans="1:20" ht="24" hidden="1" customHeight="1">
      <c r="A72" s="680">
        <v>4</v>
      </c>
      <c r="B72" s="2383" t="s">
        <v>3703</v>
      </c>
      <c r="C72" s="653"/>
      <c r="D72" s="653"/>
      <c r="E72" s="653"/>
      <c r="F72" s="653"/>
      <c r="G72" s="653"/>
      <c r="H72" s="1576">
        <f t="shared" ref="H72:H78" si="5">+C72+D72+E72-G72</f>
        <v>0</v>
      </c>
      <c r="I72" s="653">
        <v>0</v>
      </c>
      <c r="J72" s="653"/>
      <c r="K72" s="653"/>
      <c r="L72" s="2382">
        <f>+I72+H72</f>
        <v>0</v>
      </c>
      <c r="M72" s="1576">
        <f t="shared" si="3"/>
        <v>0</v>
      </c>
      <c r="N72" s="653">
        <v>0</v>
      </c>
      <c r="O72" s="653">
        <v>0</v>
      </c>
      <c r="P72" s="653"/>
      <c r="Q72" s="653">
        <f>+N72+M72</f>
        <v>0</v>
      </c>
      <c r="R72" s="653">
        <f t="shared" si="4"/>
        <v>0</v>
      </c>
      <c r="T72" s="638"/>
    </row>
    <row r="73" spans="1:20" s="625" customFormat="1" ht="24" hidden="1" customHeight="1">
      <c r="A73" s="680">
        <v>5</v>
      </c>
      <c r="B73" s="2384" t="s">
        <v>78</v>
      </c>
      <c r="C73" s="653"/>
      <c r="D73" s="653"/>
      <c r="E73" s="653"/>
      <c r="F73" s="653"/>
      <c r="G73" s="653"/>
      <c r="H73" s="1576">
        <f t="shared" si="5"/>
        <v>0</v>
      </c>
      <c r="I73" s="653">
        <f>'F-3'!G14</f>
        <v>0</v>
      </c>
      <c r="J73" s="653">
        <f>'WF-INTEREST'!O31+'WF-INTEREST'!O29</f>
        <v>0</v>
      </c>
      <c r="K73" s="653"/>
      <c r="L73" s="2382">
        <f>+I73+H73</f>
        <v>0</v>
      </c>
      <c r="M73" s="1576">
        <f t="shared" si="3"/>
        <v>0</v>
      </c>
      <c r="N73" s="653">
        <f>I150</f>
        <v>0</v>
      </c>
      <c r="O73" s="653">
        <f>'WF-INTEREST'!S29+'WF-INTEREST'!S31</f>
        <v>0</v>
      </c>
      <c r="P73" s="653"/>
      <c r="Q73" s="653">
        <f t="shared" ref="Q73:Q84" si="6">+N73*0.5+M73</f>
        <v>0</v>
      </c>
      <c r="R73" s="653">
        <f t="shared" si="4"/>
        <v>0</v>
      </c>
    </row>
    <row r="74" spans="1:20" s="625" customFormat="1" ht="24" hidden="1" customHeight="1">
      <c r="A74" s="680">
        <v>6</v>
      </c>
      <c r="B74" s="2384" t="s">
        <v>4608</v>
      </c>
      <c r="C74" s="653"/>
      <c r="D74" s="653"/>
      <c r="E74" s="653"/>
      <c r="F74" s="653"/>
      <c r="G74" s="653"/>
      <c r="H74" s="1576"/>
      <c r="I74" s="653">
        <v>0</v>
      </c>
      <c r="J74" s="653"/>
      <c r="K74" s="653"/>
      <c r="L74" s="2382">
        <f t="shared" ref="L74:L82" si="7">+I74*0.5+H74</f>
        <v>0</v>
      </c>
      <c r="M74" s="1576">
        <f t="shared" si="3"/>
        <v>0</v>
      </c>
      <c r="N74" s="653">
        <v>0</v>
      </c>
      <c r="O74" s="653"/>
      <c r="P74" s="653"/>
      <c r="Q74" s="653">
        <f t="shared" si="6"/>
        <v>0</v>
      </c>
      <c r="R74" s="653">
        <f t="shared" si="4"/>
        <v>0</v>
      </c>
    </row>
    <row r="75" spans="1:20" ht="24" hidden="1" customHeight="1">
      <c r="A75" s="680">
        <v>7</v>
      </c>
      <c r="B75" s="750" t="s">
        <v>4775</v>
      </c>
      <c r="C75" s="653"/>
      <c r="D75" s="653"/>
      <c r="E75" s="653"/>
      <c r="F75" s="653"/>
      <c r="G75" s="653"/>
      <c r="H75" s="1576">
        <f t="shared" si="5"/>
        <v>0</v>
      </c>
      <c r="I75" s="653">
        <v>0</v>
      </c>
      <c r="J75" s="653">
        <v>0</v>
      </c>
      <c r="K75" s="653"/>
      <c r="L75" s="2382">
        <f>+I75*0.3+H75</f>
        <v>0</v>
      </c>
      <c r="M75" s="1576">
        <f t="shared" si="3"/>
        <v>0</v>
      </c>
      <c r="N75" s="653">
        <v>0</v>
      </c>
      <c r="O75" s="653">
        <v>0</v>
      </c>
      <c r="P75" s="653"/>
      <c r="Q75" s="653">
        <f t="shared" si="6"/>
        <v>0</v>
      </c>
      <c r="R75" s="653">
        <f t="shared" si="4"/>
        <v>0</v>
      </c>
      <c r="T75" s="638"/>
    </row>
    <row r="76" spans="1:20" ht="24" hidden="1" customHeight="1">
      <c r="A76" s="680">
        <v>8</v>
      </c>
      <c r="B76" s="750" t="s">
        <v>846</v>
      </c>
      <c r="C76" s="653"/>
      <c r="D76" s="653">
        <v>0</v>
      </c>
      <c r="E76" s="653"/>
      <c r="F76" s="653"/>
      <c r="G76" s="653"/>
      <c r="H76" s="1576">
        <f t="shared" si="5"/>
        <v>0</v>
      </c>
      <c r="I76" s="653">
        <f>0/100</f>
        <v>0</v>
      </c>
      <c r="J76" s="653">
        <f>'WF-INTEREST'!O19</f>
        <v>0</v>
      </c>
      <c r="K76" s="653"/>
      <c r="L76" s="2382">
        <f t="shared" si="7"/>
        <v>0</v>
      </c>
      <c r="M76" s="1576">
        <f t="shared" si="3"/>
        <v>0</v>
      </c>
      <c r="N76" s="653">
        <v>0</v>
      </c>
      <c r="O76" s="653">
        <f>+'WF-INTEREST'!S19</f>
        <v>0</v>
      </c>
      <c r="P76" s="653"/>
      <c r="Q76" s="653">
        <f t="shared" si="6"/>
        <v>0</v>
      </c>
      <c r="R76" s="653">
        <f t="shared" si="4"/>
        <v>0</v>
      </c>
    </row>
    <row r="77" spans="1:20" ht="24" hidden="1" customHeight="1">
      <c r="A77" s="680">
        <v>9</v>
      </c>
      <c r="B77" s="2368" t="s">
        <v>1349</v>
      </c>
      <c r="C77" s="653"/>
      <c r="D77" s="653">
        <v>0</v>
      </c>
      <c r="E77" s="653"/>
      <c r="F77" s="653"/>
      <c r="G77" s="653"/>
      <c r="H77" s="1576">
        <f t="shared" si="5"/>
        <v>0</v>
      </c>
      <c r="I77" s="653"/>
      <c r="J77" s="653"/>
      <c r="K77" s="653"/>
      <c r="L77" s="2382">
        <f t="shared" si="7"/>
        <v>0</v>
      </c>
      <c r="M77" s="1576">
        <f t="shared" si="3"/>
        <v>0</v>
      </c>
      <c r="N77" s="653">
        <f>N107</f>
        <v>0</v>
      </c>
      <c r="O77" s="653"/>
      <c r="P77" s="653"/>
      <c r="Q77" s="653">
        <f t="shared" si="6"/>
        <v>0</v>
      </c>
      <c r="R77" s="653">
        <f t="shared" si="4"/>
        <v>0</v>
      </c>
    </row>
    <row r="78" spans="1:20" ht="32" hidden="1" customHeight="1">
      <c r="A78" s="680">
        <v>10</v>
      </c>
      <c r="B78" s="2383" t="s">
        <v>1513</v>
      </c>
      <c r="C78" s="653"/>
      <c r="D78" s="653">
        <v>0</v>
      </c>
      <c r="E78" s="653"/>
      <c r="F78" s="653"/>
      <c r="G78" s="653"/>
      <c r="H78" s="1576">
        <f t="shared" si="5"/>
        <v>0</v>
      </c>
      <c r="I78" s="653"/>
      <c r="J78" s="653"/>
      <c r="K78" s="653"/>
      <c r="L78" s="2382">
        <f t="shared" si="7"/>
        <v>0</v>
      </c>
      <c r="M78" s="1576">
        <f t="shared" si="3"/>
        <v>0</v>
      </c>
      <c r="N78" s="653">
        <f>N109</f>
        <v>0</v>
      </c>
      <c r="O78" s="653"/>
      <c r="P78" s="653"/>
      <c r="Q78" s="653">
        <f t="shared" si="6"/>
        <v>0</v>
      </c>
      <c r="R78" s="653">
        <f t="shared" si="4"/>
        <v>0</v>
      </c>
    </row>
    <row r="79" spans="1:20" ht="24" hidden="1" customHeight="1">
      <c r="A79" s="680">
        <v>11</v>
      </c>
      <c r="B79" s="634" t="s">
        <v>757</v>
      </c>
      <c r="C79" s="653"/>
      <c r="D79" s="653">
        <v>0</v>
      </c>
      <c r="E79" s="653"/>
      <c r="F79" s="653"/>
      <c r="G79" s="653"/>
      <c r="H79" s="1576">
        <f>C79+D79+E79-G79</f>
        <v>0</v>
      </c>
      <c r="I79" s="653"/>
      <c r="J79" s="653">
        <v>0</v>
      </c>
      <c r="K79" s="653"/>
      <c r="L79" s="2382">
        <f t="shared" si="7"/>
        <v>0</v>
      </c>
      <c r="M79" s="1576">
        <f t="shared" si="3"/>
        <v>0</v>
      </c>
      <c r="N79" s="653"/>
      <c r="O79" s="653"/>
      <c r="P79" s="653"/>
      <c r="Q79" s="653">
        <f t="shared" si="6"/>
        <v>0</v>
      </c>
      <c r="R79" s="653">
        <f t="shared" si="4"/>
        <v>0</v>
      </c>
      <c r="S79" s="630">
        <f>108478</f>
        <v>108478</v>
      </c>
    </row>
    <row r="80" spans="1:20" ht="24" hidden="1" customHeight="1">
      <c r="A80" s="680">
        <v>12</v>
      </c>
      <c r="B80" s="750" t="s">
        <v>1153</v>
      </c>
      <c r="C80" s="653"/>
      <c r="D80" s="653">
        <v>0</v>
      </c>
      <c r="E80" s="653"/>
      <c r="F80" s="653"/>
      <c r="G80" s="653"/>
      <c r="H80" s="1576">
        <f>+C80+D80+E80-G80</f>
        <v>0</v>
      </c>
      <c r="I80" s="653">
        <v>0</v>
      </c>
      <c r="J80" s="653"/>
      <c r="K80" s="653"/>
      <c r="L80" s="2382">
        <v>0</v>
      </c>
      <c r="M80" s="1576">
        <f t="shared" si="3"/>
        <v>0</v>
      </c>
      <c r="N80" s="653">
        <v>0</v>
      </c>
      <c r="O80" s="653">
        <v>0</v>
      </c>
      <c r="P80" s="653"/>
      <c r="Q80" s="653">
        <v>0</v>
      </c>
      <c r="R80" s="653">
        <f t="shared" si="4"/>
        <v>0</v>
      </c>
    </row>
    <row r="81" spans="1:20" ht="24" hidden="1" customHeight="1">
      <c r="A81" s="680">
        <v>13</v>
      </c>
      <c r="B81" s="2368" t="s">
        <v>3677</v>
      </c>
      <c r="C81" s="653"/>
      <c r="D81" s="653">
        <v>0</v>
      </c>
      <c r="E81" s="653"/>
      <c r="F81" s="653"/>
      <c r="G81" s="653"/>
      <c r="H81" s="1576">
        <f>+C81+D81+E81-G81</f>
        <v>0</v>
      </c>
      <c r="I81" s="653">
        <v>0</v>
      </c>
      <c r="J81" s="653"/>
      <c r="K81" s="653"/>
      <c r="L81" s="653">
        <f>+I81*1+H81</f>
        <v>0</v>
      </c>
      <c r="M81" s="1576">
        <f t="shared" si="3"/>
        <v>0</v>
      </c>
      <c r="N81" s="653">
        <v>0</v>
      </c>
      <c r="O81" s="653"/>
      <c r="P81" s="653"/>
      <c r="Q81" s="653">
        <f t="shared" si="6"/>
        <v>0</v>
      </c>
      <c r="R81" s="653">
        <f t="shared" si="4"/>
        <v>0</v>
      </c>
    </row>
    <row r="82" spans="1:20" ht="24" hidden="1" customHeight="1">
      <c r="A82" s="680">
        <v>14</v>
      </c>
      <c r="B82" s="2368" t="s">
        <v>3704</v>
      </c>
      <c r="C82" s="653"/>
      <c r="D82" s="653">
        <f>+G82</f>
        <v>0</v>
      </c>
      <c r="E82" s="653"/>
      <c r="F82" s="653"/>
      <c r="G82" s="653"/>
      <c r="H82" s="1576">
        <f>+C82+D82+E82-G82</f>
        <v>0</v>
      </c>
      <c r="I82" s="653">
        <v>0</v>
      </c>
      <c r="J82" s="653"/>
      <c r="K82" s="653"/>
      <c r="L82" s="653">
        <f t="shared" si="7"/>
        <v>0</v>
      </c>
      <c r="M82" s="1576">
        <f t="shared" si="3"/>
        <v>0</v>
      </c>
      <c r="N82" s="653">
        <v>0</v>
      </c>
      <c r="O82" s="653"/>
      <c r="P82" s="653"/>
      <c r="Q82" s="653">
        <f t="shared" si="6"/>
        <v>0</v>
      </c>
      <c r="R82" s="653">
        <f t="shared" si="4"/>
        <v>0</v>
      </c>
    </row>
    <row r="83" spans="1:20" ht="24" hidden="1" customHeight="1">
      <c r="A83" s="680">
        <v>15</v>
      </c>
      <c r="B83" s="2368" t="s">
        <v>5150</v>
      </c>
      <c r="C83" s="653"/>
      <c r="D83" s="653"/>
      <c r="E83" s="653"/>
      <c r="F83" s="653"/>
      <c r="G83" s="653"/>
      <c r="H83" s="1576">
        <f t="shared" ref="H83:H85" si="8">+C83+D83+E83-G83</f>
        <v>0</v>
      </c>
      <c r="I83" s="653">
        <v>0</v>
      </c>
      <c r="J83" s="653"/>
      <c r="K83" s="653"/>
      <c r="L83" s="653">
        <f>I83*0.5</f>
        <v>0</v>
      </c>
      <c r="M83" s="1576">
        <f t="shared" si="3"/>
        <v>0</v>
      </c>
      <c r="N83" s="653">
        <f>-I83</f>
        <v>0</v>
      </c>
      <c r="O83" s="653"/>
      <c r="P83" s="653"/>
      <c r="Q83" s="653">
        <f>+N83*0.5+M83</f>
        <v>0</v>
      </c>
      <c r="R83" s="653">
        <f t="shared" si="4"/>
        <v>0</v>
      </c>
    </row>
    <row r="84" spans="1:20" ht="24" hidden="1" customHeight="1">
      <c r="A84" s="680">
        <v>16</v>
      </c>
      <c r="B84" s="2368" t="s">
        <v>4610</v>
      </c>
      <c r="C84" s="653"/>
      <c r="D84" s="653"/>
      <c r="E84" s="653"/>
      <c r="F84" s="653"/>
      <c r="G84" s="653"/>
      <c r="H84" s="1576">
        <f t="shared" si="8"/>
        <v>0</v>
      </c>
      <c r="I84" s="653">
        <v>0</v>
      </c>
      <c r="J84" s="653"/>
      <c r="K84" s="653"/>
      <c r="L84" s="653">
        <f>+I84+H84</f>
        <v>0</v>
      </c>
      <c r="M84" s="1576">
        <f t="shared" si="3"/>
        <v>0</v>
      </c>
      <c r="N84" s="653">
        <f>I84-L84</f>
        <v>0</v>
      </c>
      <c r="O84" s="653"/>
      <c r="P84" s="653"/>
      <c r="Q84" s="653">
        <f t="shared" si="6"/>
        <v>0</v>
      </c>
      <c r="R84" s="653">
        <f t="shared" si="4"/>
        <v>0</v>
      </c>
    </row>
    <row r="85" spans="1:20" ht="24" hidden="1" customHeight="1">
      <c r="A85" s="680">
        <v>17</v>
      </c>
      <c r="B85" s="2368" t="s">
        <v>4611</v>
      </c>
      <c r="C85" s="653"/>
      <c r="D85" s="653"/>
      <c r="E85" s="653"/>
      <c r="F85" s="653"/>
      <c r="G85" s="653"/>
      <c r="H85" s="1576">
        <f t="shared" si="8"/>
        <v>0</v>
      </c>
      <c r="I85" s="653">
        <v>0</v>
      </c>
      <c r="J85" s="653"/>
      <c r="K85" s="653"/>
      <c r="L85" s="653">
        <f>+H85</f>
        <v>0</v>
      </c>
      <c r="M85" s="1576">
        <f t="shared" si="3"/>
        <v>0</v>
      </c>
      <c r="N85" s="653">
        <f>-I85</f>
        <v>0</v>
      </c>
      <c r="O85" s="653"/>
      <c r="P85" s="653"/>
      <c r="Q85" s="653">
        <f>+N85*0.2+M85</f>
        <v>0</v>
      </c>
      <c r="R85" s="653">
        <f t="shared" si="4"/>
        <v>0</v>
      </c>
    </row>
    <row r="86" spans="1:20" ht="24" hidden="1" customHeight="1">
      <c r="A86" s="680">
        <v>18</v>
      </c>
      <c r="B86" s="634" t="s">
        <v>4802</v>
      </c>
      <c r="C86" s="653"/>
      <c r="D86" s="653">
        <v>0</v>
      </c>
      <c r="E86" s="653"/>
      <c r="F86" s="653"/>
      <c r="G86" s="653">
        <v>0</v>
      </c>
      <c r="H86" s="1576">
        <f>+C86+D86+E86-G86</f>
        <v>0</v>
      </c>
      <c r="I86" s="653">
        <v>0</v>
      </c>
      <c r="J86" s="653"/>
      <c r="K86" s="653"/>
      <c r="L86" s="653">
        <f>I86</f>
        <v>0</v>
      </c>
      <c r="M86" s="1576">
        <f t="shared" si="3"/>
        <v>0</v>
      </c>
      <c r="N86" s="653">
        <v>0</v>
      </c>
      <c r="O86" s="653"/>
      <c r="P86" s="653"/>
      <c r="Q86" s="653">
        <v>0</v>
      </c>
      <c r="R86" s="653">
        <f t="shared" si="4"/>
        <v>0</v>
      </c>
    </row>
    <row r="87" spans="1:20" ht="24" customHeight="1">
      <c r="A87" s="680">
        <v>19</v>
      </c>
      <c r="B87" s="634" t="s">
        <v>6997</v>
      </c>
      <c r="C87" s="653"/>
      <c r="D87" s="653"/>
      <c r="E87" s="653"/>
      <c r="F87" s="653"/>
      <c r="G87" s="653"/>
      <c r="H87" s="1576">
        <f>+C87+D87+E87-G87</f>
        <v>0</v>
      </c>
      <c r="I87" s="653">
        <f>'Additional Working'!C31</f>
        <v>244.74127784290741</v>
      </c>
      <c r="J87" s="653">
        <f>'F-22'!C20</f>
        <v>0</v>
      </c>
      <c r="K87" s="653"/>
      <c r="L87" s="653">
        <f>'Additional Working'!C52</f>
        <v>182.26127784290739</v>
      </c>
      <c r="M87" s="1576">
        <f t="shared" si="3"/>
        <v>62.480000000000018</v>
      </c>
      <c r="N87" s="653">
        <f>'Additional Working'!D27</f>
        <v>450.34550996483006</v>
      </c>
      <c r="O87" s="653">
        <f>'F-22'!D20</f>
        <v>7.8810464243845262</v>
      </c>
      <c r="P87" s="653"/>
      <c r="Q87" s="653">
        <f>'Additional Working'!D52</f>
        <v>311.75550996483003</v>
      </c>
      <c r="R87" s="653">
        <f t="shared" si="4"/>
        <v>208.95104642438457</v>
      </c>
      <c r="T87" s="2297"/>
    </row>
    <row r="88" spans="1:20" ht="24" customHeight="1">
      <c r="A88" s="680"/>
      <c r="B88" s="634"/>
      <c r="C88" s="653"/>
      <c r="D88" s="653"/>
      <c r="E88" s="653"/>
      <c r="F88" s="653"/>
      <c r="G88" s="653"/>
      <c r="H88" s="1576"/>
      <c r="I88" s="2385"/>
      <c r="J88" s="653"/>
      <c r="K88" s="653"/>
      <c r="L88" s="653"/>
      <c r="M88" s="1576"/>
      <c r="N88" s="653"/>
      <c r="O88" s="653"/>
      <c r="P88" s="653"/>
      <c r="Q88" s="653"/>
      <c r="R88" s="653"/>
    </row>
    <row r="89" spans="1:20" ht="24" customHeight="1">
      <c r="A89" s="680"/>
      <c r="B89" s="628" t="s">
        <v>756</v>
      </c>
      <c r="C89" s="1576">
        <f>SUM(C21:C88)</f>
        <v>78.632520384000003</v>
      </c>
      <c r="D89" s="1576">
        <f t="shared" ref="D89:R89" si="9">SUM(D21:D88)</f>
        <v>161.90027051599998</v>
      </c>
      <c r="E89" s="1576">
        <f t="shared" si="9"/>
        <v>0</v>
      </c>
      <c r="F89" s="1576">
        <f t="shared" si="9"/>
        <v>0</v>
      </c>
      <c r="G89" s="1576">
        <f t="shared" si="9"/>
        <v>160.6627909</v>
      </c>
      <c r="H89" s="1576">
        <f t="shared" si="9"/>
        <v>79.86999999999999</v>
      </c>
      <c r="I89" s="1576">
        <f t="shared" si="9"/>
        <v>244.74127784290741</v>
      </c>
      <c r="J89" s="1576">
        <f t="shared" si="9"/>
        <v>0</v>
      </c>
      <c r="K89" s="1576">
        <f t="shared" si="9"/>
        <v>0</v>
      </c>
      <c r="L89" s="1576">
        <f t="shared" si="9"/>
        <v>182.26127784290739</v>
      </c>
      <c r="M89" s="1576">
        <f t="shared" si="9"/>
        <v>142.35000000000002</v>
      </c>
      <c r="N89" s="1576">
        <f t="shared" si="9"/>
        <v>450.34550996483006</v>
      </c>
      <c r="O89" s="1576">
        <f t="shared" si="9"/>
        <v>7.8810464243845262</v>
      </c>
      <c r="P89" s="1576">
        <f t="shared" si="9"/>
        <v>0</v>
      </c>
      <c r="Q89" s="1576">
        <f t="shared" si="9"/>
        <v>311.75550996483003</v>
      </c>
      <c r="R89" s="1576">
        <f t="shared" si="9"/>
        <v>264.12804642438459</v>
      </c>
      <c r="S89" s="638"/>
    </row>
    <row r="90" spans="1:20" ht="25" customHeight="1">
      <c r="B90" s="629"/>
      <c r="C90" s="642">
        <f>C89-C19</f>
        <v>-6.899139999916315E-4</v>
      </c>
      <c r="D90" s="642"/>
      <c r="E90" s="642"/>
      <c r="F90" s="642"/>
      <c r="G90" s="642"/>
      <c r="H90" s="642"/>
      <c r="I90" s="642"/>
      <c r="J90" s="642"/>
      <c r="K90" s="642"/>
      <c r="L90" s="642"/>
      <c r="M90" s="642"/>
      <c r="N90" s="642"/>
      <c r="O90" s="642"/>
      <c r="P90" s="642"/>
      <c r="Q90" s="642"/>
      <c r="R90" s="642"/>
      <c r="S90" s="638"/>
    </row>
    <row r="91" spans="1:20" ht="25" customHeight="1">
      <c r="B91" s="2298" t="s">
        <v>3705</v>
      </c>
      <c r="C91" s="642"/>
      <c r="D91" s="642"/>
      <c r="E91" s="642"/>
      <c r="F91" s="642"/>
      <c r="G91" s="642"/>
      <c r="H91" s="642"/>
      <c r="I91" s="642"/>
      <c r="J91" s="642"/>
      <c r="K91" s="642"/>
      <c r="L91" s="642"/>
      <c r="M91" s="642"/>
      <c r="N91" s="642"/>
      <c r="O91" s="642"/>
      <c r="P91" s="642"/>
      <c r="Q91" s="642"/>
      <c r="R91" s="642"/>
      <c r="S91" s="638"/>
    </row>
    <row r="92" spans="1:20" ht="25" customHeight="1">
      <c r="B92" s="629"/>
      <c r="C92" s="642"/>
      <c r="D92" s="642"/>
      <c r="E92" s="642"/>
      <c r="F92" s="642"/>
      <c r="G92" s="642"/>
      <c r="H92" s="642"/>
      <c r="I92" s="642"/>
      <c r="J92" s="642"/>
      <c r="K92" s="642"/>
      <c r="L92" s="642"/>
      <c r="M92" s="642"/>
      <c r="N92" s="642"/>
      <c r="O92" s="642"/>
      <c r="P92" s="642"/>
      <c r="Q92" s="642"/>
      <c r="R92" s="642"/>
      <c r="S92" s="638"/>
    </row>
    <row r="93" spans="1:20">
      <c r="C93" s="644"/>
      <c r="D93" s="644"/>
      <c r="E93" s="644"/>
      <c r="F93" s="644"/>
      <c r="G93" s="644"/>
      <c r="H93" s="644"/>
      <c r="I93" s="638"/>
      <c r="M93" s="638"/>
      <c r="N93" s="638"/>
      <c r="Q93" s="638"/>
      <c r="R93" s="638"/>
    </row>
    <row r="94" spans="1:20">
      <c r="B94" s="630" t="s">
        <v>3650</v>
      </c>
      <c r="C94" s="638">
        <f>+BS!E31/10000000</f>
        <v>78.633210297999995</v>
      </c>
      <c r="D94" s="651"/>
      <c r="E94" s="644"/>
      <c r="F94" s="644"/>
      <c r="G94" s="2299" t="s">
        <v>1281</v>
      </c>
      <c r="H94" s="644">
        <f>'F-21'!C25</f>
        <v>79.872660944999978</v>
      </c>
      <c r="I94" s="638">
        <f>C178</f>
        <v>0</v>
      </c>
      <c r="J94" s="638"/>
      <c r="K94" s="638"/>
      <c r="L94" s="638">
        <f>L19-'WF29'!M17</f>
        <v>244.74127784290741</v>
      </c>
      <c r="M94" s="638">
        <f>'F-21'!D25</f>
        <v>142.35000000000002</v>
      </c>
      <c r="N94" s="638">
        <f>D178</f>
        <v>0</v>
      </c>
      <c r="O94" s="638"/>
      <c r="P94" s="638"/>
      <c r="Q94" s="638"/>
      <c r="R94" s="644">
        <f>'F-21'!E25</f>
        <v>264.12804642438459</v>
      </c>
    </row>
    <row r="95" spans="1:20">
      <c r="C95" s="762">
        <f>C94-C89</f>
        <v>6.899139999916315E-4</v>
      </c>
      <c r="D95" s="638"/>
      <c r="E95" s="651">
        <f>E89</f>
        <v>0</v>
      </c>
      <c r="F95" s="651"/>
      <c r="H95" s="638">
        <f>H89-H94</f>
        <v>-2.6609449999881463E-3</v>
      </c>
      <c r="I95" s="638">
        <f>I19-I94</f>
        <v>244.74127784290741</v>
      </c>
      <c r="J95" s="638"/>
      <c r="K95" s="638"/>
      <c r="L95" s="638"/>
      <c r="M95" s="652">
        <f>M89-M94</f>
        <v>0</v>
      </c>
      <c r="N95" s="638">
        <f>N19-N94</f>
        <v>450.34550996483006</v>
      </c>
      <c r="O95" s="638"/>
      <c r="P95" s="638"/>
      <c r="Q95" s="638"/>
      <c r="R95" s="652">
        <f>R89-R94</f>
        <v>0</v>
      </c>
    </row>
    <row r="96" spans="1:20">
      <c r="D96" s="638"/>
      <c r="H96" s="638"/>
      <c r="I96" s="638"/>
      <c r="L96" s="638"/>
      <c r="M96" s="638"/>
      <c r="Q96" s="638"/>
      <c r="R96" s="651"/>
    </row>
    <row r="97" spans="1:20">
      <c r="C97" s="638"/>
      <c r="H97" s="638"/>
      <c r="I97" s="638"/>
      <c r="J97" s="638"/>
      <c r="K97" s="638"/>
      <c r="L97" s="638"/>
      <c r="N97" s="638"/>
      <c r="Q97" s="638"/>
    </row>
    <row r="98" spans="1:20">
      <c r="C98" s="638"/>
      <c r="H98" s="638"/>
      <c r="I98" s="638"/>
      <c r="J98" s="638"/>
      <c r="K98" s="638"/>
      <c r="L98" s="638"/>
      <c r="N98" s="638"/>
      <c r="Q98" s="638"/>
    </row>
    <row r="99" spans="1:20">
      <c r="C99" s="638"/>
      <c r="H99" s="638"/>
      <c r="I99" s="638"/>
      <c r="J99" s="638"/>
      <c r="K99" s="638"/>
      <c r="L99" s="638"/>
      <c r="N99" s="638"/>
      <c r="Q99" s="638"/>
    </row>
    <row r="100" spans="1:20">
      <c r="C100" s="638"/>
      <c r="H100" s="638"/>
      <c r="I100" s="638"/>
      <c r="J100" s="638"/>
      <c r="K100" s="638"/>
      <c r="L100" s="638"/>
      <c r="N100" s="638"/>
      <c r="Q100" s="638"/>
    </row>
    <row r="101" spans="1:20" ht="16" thickBot="1">
      <c r="A101" s="789" t="s">
        <v>1303</v>
      </c>
      <c r="C101" s="638"/>
      <c r="H101" s="638"/>
      <c r="I101" s="638"/>
      <c r="J101" s="638"/>
      <c r="K101" s="638"/>
      <c r="L101" s="638"/>
      <c r="N101" s="638"/>
      <c r="Q101" s="638"/>
    </row>
    <row r="102" spans="1:20">
      <c r="A102" s="2119"/>
      <c r="B102" s="2300"/>
      <c r="C102" s="3349" t="s">
        <v>8136</v>
      </c>
      <c r="D102" s="3350"/>
      <c r="E102" s="3350"/>
      <c r="F102" s="3350"/>
      <c r="G102" s="3350"/>
      <c r="H102" s="3351"/>
      <c r="I102" s="3352" t="s">
        <v>8137</v>
      </c>
      <c r="J102" s="3353"/>
      <c r="K102" s="3353"/>
      <c r="L102" s="3353"/>
      <c r="M102" s="3354"/>
      <c r="N102" s="3355" t="s">
        <v>8058</v>
      </c>
      <c r="O102" s="3353"/>
      <c r="P102" s="3353"/>
      <c r="Q102" s="3353"/>
      <c r="R102" s="3356"/>
    </row>
    <row r="103" spans="1:20" ht="46.5">
      <c r="A103" s="2301" t="s">
        <v>1205</v>
      </c>
      <c r="B103" s="2302" t="s">
        <v>1206</v>
      </c>
      <c r="C103" s="2301" t="s">
        <v>8138</v>
      </c>
      <c r="D103" s="2303" t="s">
        <v>1207</v>
      </c>
      <c r="E103" s="2303" t="s">
        <v>746</v>
      </c>
      <c r="F103" s="2303"/>
      <c r="G103" s="2304" t="s">
        <v>747</v>
      </c>
      <c r="H103" s="2305" t="s">
        <v>5366</v>
      </c>
      <c r="I103" s="2306" t="s">
        <v>1207</v>
      </c>
      <c r="J103" s="2303" t="s">
        <v>746</v>
      </c>
      <c r="K103" s="2303"/>
      <c r="L103" s="2303" t="s">
        <v>747</v>
      </c>
      <c r="M103" s="2302" t="s">
        <v>6856</v>
      </c>
      <c r="N103" s="2301" t="s">
        <v>1207</v>
      </c>
      <c r="O103" s="2303" t="s">
        <v>746</v>
      </c>
      <c r="P103" s="2303"/>
      <c r="Q103" s="2303" t="s">
        <v>747</v>
      </c>
      <c r="R103" s="2305" t="s">
        <v>8059</v>
      </c>
    </row>
    <row r="104" spans="1:20">
      <c r="A104" s="646">
        <v>1</v>
      </c>
      <c r="B104" s="2307">
        <v>2</v>
      </c>
      <c r="C104" s="646">
        <v>3</v>
      </c>
      <c r="D104" s="680">
        <v>4</v>
      </c>
      <c r="E104" s="680">
        <v>5</v>
      </c>
      <c r="F104" s="680"/>
      <c r="G104" s="2308">
        <v>6</v>
      </c>
      <c r="H104" s="647">
        <v>7</v>
      </c>
      <c r="I104" s="793">
        <v>8</v>
      </c>
      <c r="J104" s="680">
        <v>9</v>
      </c>
      <c r="K104" s="680"/>
      <c r="L104" s="680">
        <v>10</v>
      </c>
      <c r="M104" s="2307">
        <v>11</v>
      </c>
      <c r="N104" s="646">
        <v>12</v>
      </c>
      <c r="O104" s="680">
        <v>13</v>
      </c>
      <c r="P104" s="680"/>
      <c r="Q104" s="680">
        <v>14</v>
      </c>
      <c r="R104" s="647">
        <v>15</v>
      </c>
    </row>
    <row r="105" spans="1:20">
      <c r="A105" s="646"/>
      <c r="B105" s="2309" t="s">
        <v>4757</v>
      </c>
      <c r="C105" s="636">
        <v>909.27</v>
      </c>
      <c r="D105" s="636">
        <f>909.27-C105</f>
        <v>0</v>
      </c>
      <c r="E105" s="634"/>
      <c r="F105" s="634"/>
      <c r="G105" s="636">
        <f>C105+D105</f>
        <v>909.27</v>
      </c>
      <c r="H105" s="641">
        <f>+C105+D105+E105-G105</f>
        <v>0</v>
      </c>
      <c r="I105" s="2310">
        <v>0</v>
      </c>
      <c r="J105" s="653">
        <v>0</v>
      </c>
      <c r="K105" s="653"/>
      <c r="L105" s="653">
        <f t="shared" ref="L105" si="10">+I105*0.5+H105</f>
        <v>0</v>
      </c>
      <c r="M105" s="2311">
        <f t="shared" ref="M105" si="11">H105+I105+J105-L105</f>
        <v>0</v>
      </c>
      <c r="N105" s="2312">
        <v>0</v>
      </c>
      <c r="O105" s="2312"/>
      <c r="P105" s="2312"/>
      <c r="Q105" s="653">
        <f t="shared" ref="Q105" si="12">+N105*0.5+M105</f>
        <v>0</v>
      </c>
      <c r="R105" s="655">
        <f t="shared" ref="R105" si="13">M105+N105+O105-Q105</f>
        <v>0</v>
      </c>
    </row>
    <row r="106" spans="1:20">
      <c r="A106" s="646"/>
      <c r="B106" s="2313"/>
      <c r="C106" s="633"/>
      <c r="D106" s="636"/>
      <c r="E106" s="634"/>
      <c r="F106" s="634"/>
      <c r="G106" s="636"/>
      <c r="H106" s="641"/>
      <c r="I106" s="2127"/>
      <c r="J106" s="636"/>
      <c r="K106" s="636"/>
      <c r="L106" s="636"/>
      <c r="M106" s="2314"/>
      <c r="N106" s="648"/>
      <c r="O106" s="636"/>
      <c r="P106" s="636"/>
      <c r="Q106" s="636"/>
      <c r="R106" s="637"/>
    </row>
    <row r="107" spans="1:20">
      <c r="A107" s="646"/>
      <c r="B107" s="2315" t="s">
        <v>1346</v>
      </c>
      <c r="C107" s="648">
        <v>136.02000000000001</v>
      </c>
      <c r="D107" s="636">
        <f>150.04-C107</f>
        <v>14.019999999999982</v>
      </c>
      <c r="E107" s="653">
        <v>0</v>
      </c>
      <c r="F107" s="653"/>
      <c r="G107" s="636">
        <v>150.04</v>
      </c>
      <c r="H107" s="641">
        <f>+C107+D107+E107-G107</f>
        <v>0</v>
      </c>
      <c r="I107" s="2310">
        <f>216.66-150.04</f>
        <v>66.62</v>
      </c>
      <c r="J107" s="653"/>
      <c r="K107" s="653"/>
      <c r="L107" s="653">
        <f t="shared" ref="L107" si="14">+I107*0.5+H107</f>
        <v>33.31</v>
      </c>
      <c r="M107" s="2311">
        <f t="shared" ref="M107" si="15">H107+I107+J107-L107</f>
        <v>33.31</v>
      </c>
      <c r="N107" s="2312">
        <f>N137</f>
        <v>0</v>
      </c>
      <c r="O107" s="653"/>
      <c r="P107" s="653"/>
      <c r="Q107" s="653">
        <f t="shared" ref="Q107" si="16">+N107*0.5+M107</f>
        <v>33.31</v>
      </c>
      <c r="R107" s="655">
        <f t="shared" ref="R107" si="17">M107+N107+O107-Q107</f>
        <v>0</v>
      </c>
      <c r="T107" s="630">
        <f>6631.88+1968.12</f>
        <v>8600</v>
      </c>
    </row>
    <row r="108" spans="1:20">
      <c r="A108" s="646"/>
      <c r="B108" s="2315"/>
      <c r="C108" s="648"/>
      <c r="D108" s="636"/>
      <c r="E108" s="653"/>
      <c r="F108" s="653"/>
      <c r="G108" s="636"/>
      <c r="H108" s="641"/>
      <c r="I108" s="2127"/>
      <c r="J108" s="636"/>
      <c r="K108" s="636"/>
      <c r="L108" s="636"/>
      <c r="M108" s="2314"/>
      <c r="N108" s="648"/>
      <c r="O108" s="636"/>
      <c r="P108" s="636"/>
      <c r="Q108" s="636"/>
      <c r="R108" s="637"/>
    </row>
    <row r="109" spans="1:20">
      <c r="A109" s="646"/>
      <c r="B109" s="630" t="s">
        <v>1513</v>
      </c>
      <c r="C109" s="648">
        <v>13.08</v>
      </c>
      <c r="D109" s="636">
        <f>15.67-C109</f>
        <v>2.59</v>
      </c>
      <c r="E109" s="653">
        <v>0</v>
      </c>
      <c r="F109" s="653"/>
      <c r="G109" s="636">
        <f>C109+D109</f>
        <v>15.67</v>
      </c>
      <c r="H109" s="641">
        <f>+C109+D109+E109-G109</f>
        <v>0</v>
      </c>
      <c r="I109" s="2310">
        <f>32.39-15.67</f>
        <v>16.72</v>
      </c>
      <c r="J109" s="653"/>
      <c r="K109" s="653"/>
      <c r="L109" s="653">
        <f t="shared" ref="L109" si="18">+I109*0.5+H109</f>
        <v>8.36</v>
      </c>
      <c r="M109" s="2311">
        <f t="shared" ref="M109" si="19">H109+I109+J109-L109</f>
        <v>8.36</v>
      </c>
      <c r="N109" s="2312">
        <f>N140</f>
        <v>0</v>
      </c>
      <c r="O109" s="653"/>
      <c r="P109" s="653"/>
      <c r="Q109" s="653">
        <f t="shared" ref="Q109" si="20">+N109*0.5+M109</f>
        <v>8.36</v>
      </c>
      <c r="R109" s="655">
        <f t="shared" ref="R109" si="21">M109+N109+O109-Q109</f>
        <v>0</v>
      </c>
    </row>
    <row r="110" spans="1:20">
      <c r="A110" s="646"/>
      <c r="B110" s="2315"/>
      <c r="C110" s="648"/>
      <c r="D110" s="636"/>
      <c r="E110" s="653"/>
      <c r="F110" s="653"/>
      <c r="G110" s="636"/>
      <c r="H110" s="641"/>
      <c r="I110" s="2127"/>
      <c r="J110" s="636"/>
      <c r="K110" s="636"/>
      <c r="L110" s="636"/>
      <c r="M110" s="2314"/>
      <c r="N110" s="648"/>
      <c r="O110" s="636"/>
      <c r="P110" s="636"/>
      <c r="Q110" s="636"/>
      <c r="R110" s="637"/>
    </row>
    <row r="111" spans="1:20">
      <c r="A111" s="646"/>
      <c r="B111" s="2315" t="s">
        <v>4758</v>
      </c>
      <c r="C111" s="648"/>
      <c r="D111" s="636">
        <v>449.41</v>
      </c>
      <c r="E111" s="653"/>
      <c r="F111" s="653"/>
      <c r="G111" s="636">
        <f>D111*0.3</f>
        <v>134.82300000000001</v>
      </c>
      <c r="H111" s="641">
        <f>+C111+D111+E111-G111</f>
        <v>314.58699999999999</v>
      </c>
      <c r="I111" s="648">
        <f>979.23-D111-(602.76-260)</f>
        <v>187.05999999999995</v>
      </c>
      <c r="J111" s="636"/>
      <c r="K111" s="636"/>
      <c r="L111" s="636">
        <f>H111</f>
        <v>314.58699999999999</v>
      </c>
      <c r="M111" s="2314">
        <f>H111+I111+J111-L111</f>
        <v>187.05999999999995</v>
      </c>
      <c r="N111" s="648">
        <v>0</v>
      </c>
      <c r="O111" s="636">
        <v>0</v>
      </c>
      <c r="P111" s="636"/>
      <c r="Q111" s="636">
        <f>M111</f>
        <v>187.05999999999995</v>
      </c>
      <c r="R111" s="637">
        <f>M111+N111+O111-Q111</f>
        <v>0</v>
      </c>
    </row>
    <row r="112" spans="1:20">
      <c r="A112" s="646"/>
      <c r="B112" s="2315"/>
      <c r="C112" s="648"/>
      <c r="D112" s="636"/>
      <c r="E112" s="653"/>
      <c r="F112" s="653"/>
      <c r="G112" s="636"/>
      <c r="H112" s="641"/>
      <c r="I112" s="2127"/>
      <c r="J112" s="636"/>
      <c r="K112" s="636"/>
      <c r="L112" s="636"/>
      <c r="M112" s="2314"/>
      <c r="N112" s="648"/>
      <c r="O112" s="636"/>
      <c r="P112" s="636"/>
      <c r="Q112" s="636"/>
      <c r="R112" s="637"/>
    </row>
    <row r="113" spans="1:20">
      <c r="A113" s="646"/>
      <c r="B113" s="2315" t="s">
        <v>5152</v>
      </c>
      <c r="C113" s="648"/>
      <c r="D113" s="636">
        <v>280.55</v>
      </c>
      <c r="E113" s="653"/>
      <c r="F113" s="653"/>
      <c r="G113" s="636">
        <f>D113/2</f>
        <v>140.27500000000001</v>
      </c>
      <c r="H113" s="641">
        <f>+C113+D113+E113-G113</f>
        <v>140.27500000000001</v>
      </c>
      <c r="I113" s="2127">
        <f>426.63-D113</f>
        <v>146.07999999999998</v>
      </c>
      <c r="J113" s="636"/>
      <c r="K113" s="636"/>
      <c r="L113" s="636">
        <f>I113*0.5+H113*0.5</f>
        <v>143.17750000000001</v>
      </c>
      <c r="M113" s="2314">
        <f>H113+I113+J113-L113</f>
        <v>143.17750000000001</v>
      </c>
      <c r="N113" s="648">
        <v>0</v>
      </c>
      <c r="O113" s="636"/>
      <c r="P113" s="636"/>
      <c r="Q113" s="636">
        <f>M113+N113*0.2</f>
        <v>143.17750000000001</v>
      </c>
      <c r="R113" s="637">
        <f>M113+N113+O113-Q113</f>
        <v>0</v>
      </c>
    </row>
    <row r="114" spans="1:20">
      <c r="A114" s="646"/>
      <c r="B114" s="2316"/>
      <c r="C114" s="648"/>
      <c r="D114" s="636"/>
      <c r="E114" s="634"/>
      <c r="F114" s="634"/>
      <c r="G114" s="636"/>
      <c r="H114" s="641"/>
      <c r="I114" s="2127"/>
      <c r="J114" s="636"/>
      <c r="K114" s="636"/>
      <c r="L114" s="636"/>
      <c r="M114" s="2314"/>
      <c r="N114" s="648"/>
      <c r="O114" s="636"/>
      <c r="P114" s="636"/>
      <c r="Q114" s="636"/>
      <c r="R114" s="637"/>
    </row>
    <row r="115" spans="1:20">
      <c r="A115" s="747"/>
      <c r="B115" s="639" t="s">
        <v>1100</v>
      </c>
      <c r="C115" s="640">
        <f>SUM(C105:C114)</f>
        <v>1058.3699999999999</v>
      </c>
      <c r="D115" s="640">
        <f>SUM(D105:D114)</f>
        <v>746.56999999999994</v>
      </c>
      <c r="E115" s="640">
        <f>SUM(E105:E114)</f>
        <v>0</v>
      </c>
      <c r="F115" s="640"/>
      <c r="G115" s="640">
        <f>SUM(G105:G114)</f>
        <v>1350.0780000000002</v>
      </c>
      <c r="H115" s="640">
        <f t="shared" ref="H115:Q115" si="22">SUM(H105:H114)</f>
        <v>454.86199999999997</v>
      </c>
      <c r="I115" s="640">
        <f t="shared" si="22"/>
        <v>416.47999999999996</v>
      </c>
      <c r="J115" s="640">
        <f t="shared" si="22"/>
        <v>0</v>
      </c>
      <c r="K115" s="640"/>
      <c r="L115" s="640">
        <f>SUM(L105:L114)</f>
        <v>499.43450000000001</v>
      </c>
      <c r="M115" s="640">
        <f t="shared" si="22"/>
        <v>371.90749999999997</v>
      </c>
      <c r="N115" s="640">
        <f>SUM(N105:N114)</f>
        <v>0</v>
      </c>
      <c r="O115" s="640">
        <f t="shared" si="22"/>
        <v>0</v>
      </c>
      <c r="P115" s="640"/>
      <c r="Q115" s="640">
        <f t="shared" si="22"/>
        <v>371.90749999999997</v>
      </c>
      <c r="R115" s="640">
        <f>SUM(R105:R114)</f>
        <v>0</v>
      </c>
    </row>
    <row r="116" spans="1:20">
      <c r="C116" s="638"/>
      <c r="H116" s="638"/>
      <c r="I116" s="638"/>
      <c r="J116" s="638"/>
      <c r="K116" s="638"/>
      <c r="L116" s="638"/>
      <c r="N116" s="638"/>
      <c r="Q116" s="638"/>
    </row>
    <row r="117" spans="1:20">
      <c r="I117" s="638">
        <f>75422.04/4306</f>
        <v>17.515568973525312</v>
      </c>
      <c r="L117" s="638"/>
      <c r="N117" s="638"/>
    </row>
    <row r="118" spans="1:20" hidden="1">
      <c r="J118" s="638"/>
      <c r="K118" s="638"/>
      <c r="L118" s="638"/>
      <c r="N118" s="638"/>
      <c r="Q118" s="638"/>
    </row>
    <row r="119" spans="1:20" hidden="1">
      <c r="E119" s="630">
        <f>63041.5</f>
        <v>63041.5</v>
      </c>
      <c r="G119" s="638">
        <f>3401.63+33528.1</f>
        <v>36929.729999999996</v>
      </c>
      <c r="L119" s="638"/>
      <c r="N119" s="638"/>
      <c r="Q119" s="638"/>
      <c r="R119" s="638"/>
    </row>
    <row r="120" spans="1:20" ht="16" hidden="1" thickBot="1">
      <c r="B120" s="625" t="s">
        <v>757</v>
      </c>
      <c r="D120" s="638"/>
      <c r="G120" s="630"/>
      <c r="N120" s="638"/>
    </row>
    <row r="121" spans="1:20" ht="16" hidden="1" thickBot="1">
      <c r="B121" s="2317" t="s">
        <v>895</v>
      </c>
      <c r="C121" s="2120"/>
      <c r="D121" s="654"/>
      <c r="E121" s="2318" t="s">
        <v>948</v>
      </c>
      <c r="F121" s="2318"/>
      <c r="G121" s="2318" t="s">
        <v>426</v>
      </c>
      <c r="H121" s="2319" t="s">
        <v>1521</v>
      </c>
      <c r="J121" s="625" t="s">
        <v>1346</v>
      </c>
      <c r="K121" s="625"/>
      <c r="M121" s="638"/>
      <c r="T121" s="625" t="s">
        <v>4032</v>
      </c>
    </row>
    <row r="122" spans="1:20" ht="30.5" hidden="1">
      <c r="B122" s="649" t="s">
        <v>953</v>
      </c>
      <c r="C122" s="634"/>
      <c r="D122" s="636"/>
      <c r="E122" s="634"/>
      <c r="F122" s="634"/>
      <c r="G122" s="634"/>
      <c r="H122" s="635"/>
      <c r="J122" s="2317" t="s">
        <v>895</v>
      </c>
      <c r="K122" s="2320"/>
      <c r="L122" s="2318"/>
      <c r="M122" s="2321"/>
      <c r="N122" s="2322" t="s">
        <v>1038</v>
      </c>
      <c r="O122" s="2322" t="s">
        <v>1039</v>
      </c>
      <c r="P122" s="2322"/>
      <c r="Q122" s="2322" t="s">
        <v>1234</v>
      </c>
      <c r="R122" s="2323" t="s">
        <v>1040</v>
      </c>
      <c r="S122" s="2323" t="s">
        <v>951</v>
      </c>
      <c r="T122" s="2324" t="s">
        <v>952</v>
      </c>
    </row>
    <row r="123" spans="1:20" hidden="1">
      <c r="B123" s="633" t="s">
        <v>1471</v>
      </c>
      <c r="C123" s="634"/>
      <c r="D123" s="636"/>
      <c r="E123" s="634">
        <v>12910</v>
      </c>
      <c r="F123" s="634"/>
      <c r="G123" s="2325">
        <f>H123/E123*10000000</f>
        <v>681435.86367157253</v>
      </c>
      <c r="H123" s="655">
        <f>(105901.05/100)-H124</f>
        <v>879.73370000000011</v>
      </c>
      <c r="J123" s="633" t="s">
        <v>66</v>
      </c>
      <c r="K123" s="856"/>
      <c r="L123" s="634"/>
      <c r="M123" s="636"/>
      <c r="N123" s="634">
        <v>86</v>
      </c>
      <c r="O123" s="634"/>
      <c r="P123" s="634"/>
      <c r="Q123" s="634"/>
      <c r="R123" s="634"/>
      <c r="S123" s="634"/>
      <c r="T123" s="635"/>
    </row>
    <row r="124" spans="1:20" hidden="1">
      <c r="B124" s="633" t="s">
        <v>65</v>
      </c>
      <c r="C124" s="634"/>
      <c r="D124" s="636"/>
      <c r="E124" s="634">
        <f>+E132+E135+E138</f>
        <v>837055</v>
      </c>
      <c r="F124" s="634"/>
      <c r="G124" s="2325">
        <f>H124/E124*10000000</f>
        <v>2141.7565154022141</v>
      </c>
      <c r="H124" s="655">
        <f>((866412-112263-49649)*2200+(112263+49649)*1500)/10000000</f>
        <v>179.27680000000001</v>
      </c>
      <c r="J124" s="633" t="s">
        <v>1035</v>
      </c>
      <c r="K124" s="856"/>
      <c r="L124" s="634"/>
      <c r="M124" s="636"/>
      <c r="N124" s="634">
        <v>86</v>
      </c>
      <c r="O124" s="634">
        <v>37.5</v>
      </c>
      <c r="P124" s="634"/>
      <c r="Q124" s="634">
        <f>+N123*O124/100</f>
        <v>32.25</v>
      </c>
      <c r="R124" s="634"/>
      <c r="S124" s="634"/>
      <c r="T124" s="635"/>
    </row>
    <row r="125" spans="1:20" hidden="1">
      <c r="B125" s="633"/>
      <c r="C125" s="634"/>
      <c r="D125" s="636"/>
      <c r="E125" s="639" t="s">
        <v>1100</v>
      </c>
      <c r="F125" s="639"/>
      <c r="G125" s="634"/>
      <c r="H125" s="2005">
        <f>SUM(H123:H124)</f>
        <v>1059.0105000000001</v>
      </c>
      <c r="J125" s="633" t="s">
        <v>1036</v>
      </c>
      <c r="K125" s="856"/>
      <c r="L125" s="634"/>
      <c r="M125" s="636"/>
      <c r="N125" s="634">
        <v>86</v>
      </c>
      <c r="O125" s="634">
        <v>5</v>
      </c>
      <c r="P125" s="634"/>
      <c r="Q125" s="634">
        <f>+N125*O125/100</f>
        <v>4.3</v>
      </c>
      <c r="R125" s="634"/>
      <c r="S125" s="634"/>
      <c r="T125" s="635"/>
    </row>
    <row r="126" spans="1:20" ht="16" hidden="1" thickBot="1">
      <c r="B126" s="840"/>
      <c r="C126" s="2187"/>
      <c r="D126" s="656"/>
      <c r="E126" s="2326" t="s">
        <v>949</v>
      </c>
      <c r="F126" s="2326"/>
      <c r="G126" s="2187"/>
      <c r="H126" s="2327">
        <f>+J119+H125</f>
        <v>1059.0105000000001</v>
      </c>
      <c r="J126" s="633" t="s">
        <v>1037</v>
      </c>
      <c r="K126" s="856"/>
      <c r="L126" s="634"/>
      <c r="M126" s="636"/>
      <c r="N126" s="634">
        <v>86</v>
      </c>
      <c r="O126" s="634">
        <v>7.5</v>
      </c>
      <c r="P126" s="634"/>
      <c r="Q126" s="634">
        <f>+N126*O126/100</f>
        <v>6.45</v>
      </c>
      <c r="R126" s="634"/>
      <c r="S126" s="634"/>
      <c r="T126" s="635"/>
    </row>
    <row r="127" spans="1:20" hidden="1">
      <c r="B127" s="2317" t="s">
        <v>950</v>
      </c>
      <c r="C127" s="2120"/>
      <c r="D127" s="654"/>
      <c r="E127" s="2120"/>
      <c r="F127" s="2120"/>
      <c r="G127" s="2120"/>
      <c r="H127" s="2224"/>
      <c r="J127" s="633"/>
      <c r="K127" s="856"/>
      <c r="L127" s="634"/>
      <c r="M127" s="636"/>
      <c r="N127" s="634"/>
      <c r="O127" s="634"/>
      <c r="P127" s="634"/>
      <c r="Q127" s="634"/>
      <c r="R127" s="634"/>
      <c r="S127" s="634"/>
      <c r="T127" s="635"/>
    </row>
    <row r="128" spans="1:20" hidden="1">
      <c r="B128" s="633" t="s">
        <v>1471</v>
      </c>
      <c r="C128" s="634"/>
      <c r="D128" s="636"/>
      <c r="E128" s="634">
        <v>12910</v>
      </c>
      <c r="F128" s="634"/>
      <c r="G128" s="2325">
        <f>H128/E128*10000000</f>
        <v>681435.86367157253</v>
      </c>
      <c r="H128" s="655">
        <f>(105901.05/100)-H129</f>
        <v>879.73370000000011</v>
      </c>
      <c r="J128" s="633"/>
      <c r="K128" s="856"/>
      <c r="L128" s="634"/>
      <c r="M128" s="636"/>
      <c r="N128" s="634"/>
      <c r="O128" s="634"/>
      <c r="P128" s="634"/>
      <c r="Q128" s="634"/>
      <c r="R128" s="634"/>
      <c r="S128" s="634"/>
      <c r="T128" s="635"/>
    </row>
    <row r="129" spans="1:22" hidden="1">
      <c r="B129" s="633" t="s">
        <v>65</v>
      </c>
      <c r="C129" s="634"/>
      <c r="D129" s="636"/>
      <c r="E129" s="634">
        <v>866412</v>
      </c>
      <c r="F129" s="634"/>
      <c r="G129" s="2325">
        <f>H129/E129*10000000</f>
        <v>2069.1864840283838</v>
      </c>
      <c r="H129" s="655">
        <f>((866412-112263-49649)*2200+(112263+49649)*1500)/10000000</f>
        <v>179.27680000000001</v>
      </c>
      <c r="J129" s="3361" t="s">
        <v>3347</v>
      </c>
      <c r="K129" s="2328"/>
      <c r="L129" s="634"/>
      <c r="M129" s="636"/>
      <c r="N129" s="634"/>
      <c r="O129" s="634"/>
      <c r="P129" s="634"/>
      <c r="Q129" s="634">
        <f>SUM(Q124:Q126)</f>
        <v>43</v>
      </c>
      <c r="R129" s="634">
        <f>4300/100</f>
        <v>43</v>
      </c>
      <c r="S129" s="634">
        <f>+Q129*0.06</f>
        <v>2.58</v>
      </c>
      <c r="T129" s="635">
        <f>+Q129-S129</f>
        <v>40.42</v>
      </c>
    </row>
    <row r="130" spans="1:22" ht="16" hidden="1" thickBot="1">
      <c r="B130" s="840"/>
      <c r="C130" s="2187"/>
      <c r="D130" s="656"/>
      <c r="E130" s="2326" t="s">
        <v>1100</v>
      </c>
      <c r="F130" s="2326"/>
      <c r="G130" s="2187"/>
      <c r="H130" s="2329">
        <f>SUM(H128:H129)</f>
        <v>1059.0105000000001</v>
      </c>
      <c r="J130" s="3362"/>
      <c r="K130" s="2330"/>
      <c r="L130" s="2187"/>
      <c r="M130" s="636"/>
      <c r="N130" s="634"/>
      <c r="O130" s="634"/>
      <c r="P130" s="634"/>
      <c r="Q130" s="634">
        <f>+Q129</f>
        <v>43</v>
      </c>
      <c r="R130" s="634">
        <f>4300/100</f>
        <v>43</v>
      </c>
      <c r="S130" s="634">
        <f>+S129</f>
        <v>2.58</v>
      </c>
      <c r="T130" s="635">
        <f>+Q130-S130</f>
        <v>40.42</v>
      </c>
    </row>
    <row r="131" spans="1:22" ht="31" hidden="1" thickBot="1">
      <c r="B131" s="2222" t="s">
        <v>1471</v>
      </c>
      <c r="C131" s="2120"/>
      <c r="D131" s="2331" t="s">
        <v>3339</v>
      </c>
      <c r="E131" s="2120">
        <v>7067</v>
      </c>
      <c r="F131" s="2120"/>
      <c r="G131" s="2332"/>
      <c r="H131" s="2333">
        <f>(75953.23/100)-H132</f>
        <v>701.71194188064101</v>
      </c>
      <c r="J131" s="3326" t="s">
        <v>1101</v>
      </c>
      <c r="K131" s="3327"/>
      <c r="L131" s="3328"/>
      <c r="M131" s="2066"/>
      <c r="N131" s="2207"/>
      <c r="O131" s="2207">
        <f>SUM(O124:O130)*2</f>
        <v>100</v>
      </c>
      <c r="P131" s="2207"/>
      <c r="Q131" s="2207">
        <f>Q129+Q130</f>
        <v>86</v>
      </c>
      <c r="R131" s="2207"/>
      <c r="S131" s="2207"/>
      <c r="T131" s="2334"/>
    </row>
    <row r="132" spans="1:22" ht="16" hidden="1" thickBot="1">
      <c r="B132" s="633" t="s">
        <v>65</v>
      </c>
      <c r="C132" s="634"/>
      <c r="D132" s="636"/>
      <c r="E132" s="634">
        <v>269967</v>
      </c>
      <c r="F132" s="634"/>
      <c r="G132" s="2325"/>
      <c r="H132" s="655">
        <f>G124*E132/10000000</f>
        <v>57.820358119358957</v>
      </c>
      <c r="J132" s="3332" t="s">
        <v>3348</v>
      </c>
      <c r="K132" s="3333"/>
      <c r="L132" s="3334"/>
      <c r="M132" s="2066"/>
      <c r="N132" s="2207"/>
      <c r="O132" s="2207"/>
      <c r="P132" s="2207"/>
      <c r="Q132" s="2207"/>
      <c r="R132" s="2207"/>
      <c r="S132" s="2207"/>
      <c r="T132" s="2334"/>
    </row>
    <row r="133" spans="1:22" ht="16" hidden="1" thickBot="1">
      <c r="B133" s="840"/>
      <c r="C133" s="2187"/>
      <c r="D133" s="656"/>
      <c r="E133" s="2326" t="s">
        <v>3340</v>
      </c>
      <c r="F133" s="2326"/>
      <c r="G133" s="2335"/>
      <c r="H133" s="2329">
        <f>+H131+H132</f>
        <v>759.53229999999996</v>
      </c>
      <c r="J133" s="3335" t="s">
        <v>3349</v>
      </c>
      <c r="K133" s="3336"/>
      <c r="L133" s="3337"/>
      <c r="M133" s="2066"/>
      <c r="N133" s="2207"/>
      <c r="O133" s="2207"/>
      <c r="P133" s="2207"/>
      <c r="Q133" s="2207"/>
      <c r="R133" s="2207"/>
      <c r="S133" s="2207"/>
      <c r="T133" s="2334"/>
    </row>
    <row r="134" spans="1:22" ht="31" hidden="1" thickBot="1">
      <c r="B134" s="2222" t="s">
        <v>1471</v>
      </c>
      <c r="C134" s="2120"/>
      <c r="D134" s="2331" t="s">
        <v>3341</v>
      </c>
      <c r="E134" s="2120">
        <v>1163</v>
      </c>
      <c r="F134" s="2120"/>
      <c r="G134" s="2332"/>
      <c r="H134" s="2333">
        <v>0</v>
      </c>
      <c r="J134" s="3326" t="s">
        <v>995</v>
      </c>
      <c r="K134" s="3327"/>
      <c r="L134" s="3328"/>
      <c r="M134" s="634">
        <v>1971</v>
      </c>
      <c r="N134" s="2207"/>
      <c r="O134" s="2207"/>
      <c r="P134" s="2207"/>
      <c r="Q134" s="2207">
        <f>6631.88/100</f>
        <v>66.318799999999996</v>
      </c>
      <c r="R134" s="2207">
        <f>SUM(O134:Q134)</f>
        <v>66.318799999999996</v>
      </c>
      <c r="S134" s="754"/>
      <c r="T134" s="2336">
        <f>R134-S134</f>
        <v>66.318799999999996</v>
      </c>
      <c r="V134" s="630">
        <f>(Q131-Q134)/952</f>
        <v>2.0673529411764709E-2</v>
      </c>
    </row>
    <row r="135" spans="1:22" ht="16" hidden="1" thickBot="1">
      <c r="B135" s="633" t="s">
        <v>65</v>
      </c>
      <c r="C135" s="634"/>
      <c r="D135" s="636"/>
      <c r="E135" s="634">
        <v>36102</v>
      </c>
      <c r="F135" s="634"/>
      <c r="G135" s="2325"/>
      <c r="H135" s="655">
        <v>0</v>
      </c>
      <c r="J135" s="2337"/>
      <c r="K135" s="2338"/>
      <c r="L135" s="2339"/>
      <c r="M135" s="2066"/>
      <c r="N135" s="2207"/>
      <c r="O135" s="2207"/>
      <c r="P135" s="2207"/>
      <c r="Q135" s="2207"/>
      <c r="R135" s="2207"/>
      <c r="S135" s="2207"/>
      <c r="T135" s="2334"/>
    </row>
    <row r="136" spans="1:22" ht="31.5" hidden="1" thickBot="1">
      <c r="B136" s="840"/>
      <c r="C136" s="2187"/>
      <c r="D136" s="2187"/>
      <c r="E136" s="2326" t="s">
        <v>3342</v>
      </c>
      <c r="F136" s="2326"/>
      <c r="G136" s="2335"/>
      <c r="H136" s="2329">
        <f>SUM(H134:H135)</f>
        <v>0</v>
      </c>
      <c r="J136" s="3363" t="s">
        <v>1472</v>
      </c>
      <c r="K136" s="3364"/>
      <c r="L136" s="3325"/>
      <c r="M136" s="636" t="s">
        <v>1347</v>
      </c>
      <c r="N136" s="634" t="s">
        <v>1348</v>
      </c>
      <c r="O136" s="634"/>
      <c r="P136" s="754"/>
      <c r="Q136" s="657" t="s">
        <v>1234</v>
      </c>
      <c r="R136" s="2340" t="s">
        <v>1040</v>
      </c>
      <c r="S136" s="658" t="s">
        <v>951</v>
      </c>
      <c r="T136" s="2341" t="s">
        <v>952</v>
      </c>
    </row>
    <row r="137" spans="1:22" ht="46" hidden="1" thickBot="1">
      <c r="B137" s="2222" t="s">
        <v>1471</v>
      </c>
      <c r="C137" s="2120"/>
      <c r="D137" s="2331" t="s">
        <v>3343</v>
      </c>
      <c r="E137" s="2120">
        <v>4090</v>
      </c>
      <c r="F137" s="2120"/>
      <c r="G137" s="2332"/>
      <c r="H137" s="2342">
        <f>(36209.54/100)-H138</f>
        <v>248.37112749126396</v>
      </c>
      <c r="J137" s="3357" t="s">
        <v>3350</v>
      </c>
      <c r="K137" s="3358"/>
      <c r="L137" s="3359"/>
      <c r="M137" s="754">
        <v>0</v>
      </c>
      <c r="N137" s="2343"/>
      <c r="O137" s="2343">
        <f>(O124+O126)*N137*2</f>
        <v>0</v>
      </c>
      <c r="P137" s="2343"/>
      <c r="Q137" s="2343">
        <f>2.83*M137</f>
        <v>0</v>
      </c>
      <c r="R137" s="634">
        <f>O137+Q137</f>
        <v>0</v>
      </c>
      <c r="S137" s="754"/>
      <c r="T137" s="2336">
        <f>R137-S137</f>
        <v>0</v>
      </c>
    </row>
    <row r="138" spans="1:22" ht="16" hidden="1" thickBot="1">
      <c r="B138" s="633" t="s">
        <v>65</v>
      </c>
      <c r="C138" s="634"/>
      <c r="D138" s="636"/>
      <c r="E138" s="634">
        <v>530986</v>
      </c>
      <c r="F138" s="634"/>
      <c r="G138" s="2325"/>
      <c r="H138" s="2147">
        <f>G124*E138/10000000</f>
        <v>113.72427250873602</v>
      </c>
      <c r="J138" s="3326" t="s">
        <v>3351</v>
      </c>
      <c r="K138" s="3327"/>
      <c r="L138" s="3328" t="s">
        <v>996</v>
      </c>
      <c r="M138" s="634">
        <v>890</v>
      </c>
      <c r="N138" s="2207"/>
      <c r="O138" s="2207"/>
      <c r="P138" s="2207"/>
      <c r="Q138" s="2207">
        <f>Q131-Q134-Q137</f>
        <v>19.681200000000004</v>
      </c>
      <c r="R138" s="2343">
        <f>O138+Q138</f>
        <v>19.681200000000004</v>
      </c>
      <c r="S138" s="754"/>
      <c r="T138" s="2336">
        <f>R138-S138</f>
        <v>19.681200000000004</v>
      </c>
    </row>
    <row r="139" spans="1:22" ht="16" hidden="1" thickBot="1">
      <c r="B139" s="840"/>
      <c r="C139" s="2187"/>
      <c r="D139" s="2187"/>
      <c r="E139" s="2326" t="s">
        <v>1200</v>
      </c>
      <c r="F139" s="2326"/>
      <c r="G139" s="2335"/>
      <c r="H139" s="2329">
        <f>SUM(H137:H138)</f>
        <v>362.09539999999998</v>
      </c>
      <c r="I139" s="651"/>
      <c r="J139" s="3332" t="s">
        <v>1101</v>
      </c>
      <c r="K139" s="3333"/>
      <c r="L139" s="3334"/>
      <c r="M139" s="2344">
        <f t="shared" ref="M139:T139" si="23">M138+M137</f>
        <v>890</v>
      </c>
      <c r="N139" s="2344">
        <f t="shared" si="23"/>
        <v>0</v>
      </c>
      <c r="O139" s="2344">
        <f t="shared" si="23"/>
        <v>0</v>
      </c>
      <c r="P139" s="2344"/>
      <c r="Q139" s="2344">
        <f t="shared" si="23"/>
        <v>19.681200000000004</v>
      </c>
      <c r="R139" s="2344">
        <f t="shared" si="23"/>
        <v>19.681200000000004</v>
      </c>
      <c r="S139" s="2344">
        <f t="shared" si="23"/>
        <v>0</v>
      </c>
      <c r="T139" s="2345">
        <f t="shared" si="23"/>
        <v>19.681200000000004</v>
      </c>
    </row>
    <row r="140" spans="1:22" ht="16" hidden="1" thickBot="1">
      <c r="B140" s="853"/>
      <c r="C140" s="754"/>
      <c r="D140" s="659"/>
      <c r="E140" s="2346"/>
      <c r="F140" s="2346"/>
      <c r="G140" s="754"/>
      <c r="H140" s="2347"/>
      <c r="J140" s="3332" t="s">
        <v>1340</v>
      </c>
      <c r="K140" s="3333"/>
      <c r="L140" s="3334"/>
      <c r="M140" s="2326">
        <f>M139+M134</f>
        <v>2861</v>
      </c>
      <c r="N140" s="2326">
        <f>N139+N134</f>
        <v>0</v>
      </c>
      <c r="O140" s="2326">
        <f>O139+O134</f>
        <v>0</v>
      </c>
      <c r="P140" s="2326"/>
      <c r="Q140" s="2326">
        <f>Q139+Q134</f>
        <v>86</v>
      </c>
      <c r="R140" s="2187"/>
      <c r="S140" s="2187"/>
      <c r="T140" s="2348"/>
    </row>
    <row r="141" spans="1:22" ht="16" hidden="1" thickBot="1">
      <c r="B141" s="840"/>
      <c r="C141" s="2187"/>
      <c r="D141" s="656"/>
      <c r="E141" s="2326" t="s">
        <v>949</v>
      </c>
      <c r="F141" s="2326"/>
      <c r="G141" s="2187"/>
      <c r="H141" s="2327">
        <f>H130+H140</f>
        <v>1059.0105000000001</v>
      </c>
      <c r="J141" s="660"/>
      <c r="K141" s="660"/>
      <c r="L141" s="660"/>
      <c r="M141" s="625"/>
      <c r="N141" s="625"/>
      <c r="Q141" s="625"/>
    </row>
    <row r="142" spans="1:22" hidden="1">
      <c r="C142" s="638"/>
      <c r="G142" s="630"/>
      <c r="I142" s="639" t="s">
        <v>1138</v>
      </c>
      <c r="J142" s="660"/>
      <c r="K142" s="660"/>
      <c r="L142" s="660"/>
      <c r="M142" s="625"/>
      <c r="N142" s="625"/>
      <c r="Q142" s="625"/>
    </row>
    <row r="143" spans="1:22" ht="31" hidden="1" thickBot="1">
      <c r="A143" s="3329" t="s">
        <v>1003</v>
      </c>
      <c r="B143" s="3330"/>
      <c r="C143" s="3330"/>
      <c r="D143" s="3331"/>
      <c r="E143" s="748" t="s">
        <v>1591</v>
      </c>
      <c r="F143" s="748"/>
      <c r="G143" s="748" t="s">
        <v>4614</v>
      </c>
      <c r="H143" s="748" t="s">
        <v>4613</v>
      </c>
      <c r="I143" s="748" t="s">
        <v>4612</v>
      </c>
      <c r="J143" s="625"/>
      <c r="K143" s="625"/>
      <c r="L143" s="660"/>
      <c r="M143" s="625"/>
      <c r="N143" s="625"/>
      <c r="Q143" s="625"/>
      <c r="T143" s="625"/>
    </row>
    <row r="144" spans="1:22" hidden="1">
      <c r="A144" s="3339" t="s">
        <v>1066</v>
      </c>
      <c r="B144" s="3340"/>
      <c r="C144" s="3340"/>
      <c r="D144" s="3341"/>
      <c r="E144" s="653">
        <v>179.88</v>
      </c>
      <c r="F144" s="653"/>
      <c r="G144" s="653"/>
      <c r="H144" s="2349"/>
      <c r="I144" s="653"/>
      <c r="J144" s="3345"/>
      <c r="K144" s="3346"/>
      <c r="L144" s="3347"/>
      <c r="M144" s="2350"/>
      <c r="N144" s="2350"/>
      <c r="O144" s="2350"/>
      <c r="P144" s="2350"/>
      <c r="Q144" s="2350"/>
      <c r="R144" s="2350"/>
      <c r="S144" s="2340"/>
      <c r="T144" s="2351"/>
    </row>
    <row r="145" spans="1:22" hidden="1">
      <c r="A145" s="3339" t="s">
        <v>1002</v>
      </c>
      <c r="B145" s="3340"/>
      <c r="C145" s="3340"/>
      <c r="D145" s="3341"/>
      <c r="E145" s="653"/>
      <c r="F145" s="653"/>
      <c r="G145" s="653"/>
      <c r="H145" s="2349"/>
      <c r="I145" s="653">
        <f>I150</f>
        <v>0</v>
      </c>
      <c r="J145" s="2352"/>
      <c r="K145" s="794"/>
      <c r="L145" s="680"/>
      <c r="M145" s="680"/>
      <c r="N145" s="680"/>
      <c r="O145" s="680"/>
      <c r="P145" s="680"/>
      <c r="Q145" s="747"/>
      <c r="R145" s="680"/>
      <c r="S145" s="661"/>
      <c r="T145" s="662"/>
    </row>
    <row r="146" spans="1:22" hidden="1">
      <c r="A146" s="3329" t="s">
        <v>3648</v>
      </c>
      <c r="B146" s="3330"/>
      <c r="C146" s="3330"/>
      <c r="D146" s="3331"/>
      <c r="E146" s="653"/>
      <c r="F146" s="653"/>
      <c r="G146" s="653"/>
      <c r="H146" s="2349"/>
      <c r="I146" s="653"/>
      <c r="J146" s="2352"/>
      <c r="K146" s="794"/>
      <c r="L146" s="680"/>
      <c r="M146" s="680"/>
      <c r="N146" s="680"/>
      <c r="O146" s="680"/>
      <c r="P146" s="680"/>
      <c r="Q146" s="747"/>
      <c r="R146" s="680"/>
      <c r="S146" s="661"/>
      <c r="T146" s="662"/>
    </row>
    <row r="147" spans="1:22" hidden="1">
      <c r="A147" s="3338" t="s">
        <v>1117</v>
      </c>
      <c r="B147" s="3338"/>
      <c r="C147" s="3338"/>
      <c r="D147" s="3338"/>
      <c r="E147" s="653"/>
      <c r="F147" s="653"/>
      <c r="G147" s="653">
        <v>87.8</v>
      </c>
      <c r="H147" s="651">
        <f>25.63+4.1+25.63+25.62+15.03-G147</f>
        <v>8.210000000000008</v>
      </c>
      <c r="I147" s="653">
        <f>+'F-3'!J14</f>
        <v>0</v>
      </c>
      <c r="J147" s="3348"/>
      <c r="K147" s="3340"/>
      <c r="L147" s="3341"/>
      <c r="M147" s="680"/>
      <c r="N147" s="680"/>
      <c r="O147" s="680"/>
      <c r="P147" s="680"/>
      <c r="Q147" s="747"/>
      <c r="R147" s="680"/>
      <c r="S147" s="661"/>
      <c r="T147" s="662"/>
    </row>
    <row r="148" spans="1:22" ht="16" hidden="1" thickBot="1">
      <c r="A148" s="3338" t="s">
        <v>1118</v>
      </c>
      <c r="B148" s="3338"/>
      <c r="C148" s="3338"/>
      <c r="D148" s="3338"/>
      <c r="E148" s="653"/>
      <c r="F148" s="653"/>
      <c r="G148" s="653"/>
      <c r="H148" s="653">
        <f>4.1+52.44+2.05+10.25+15.03</f>
        <v>83.87</v>
      </c>
      <c r="I148" s="653">
        <f>+'F-3'!J12</f>
        <v>0</v>
      </c>
      <c r="J148" s="3342"/>
      <c r="K148" s="3343"/>
      <c r="L148" s="3344"/>
      <c r="M148" s="2326"/>
      <c r="N148" s="2326"/>
      <c r="O148" s="2353"/>
      <c r="P148" s="2353"/>
      <c r="Q148" s="2353"/>
      <c r="R148" s="2353"/>
      <c r="S148" s="2353"/>
      <c r="T148" s="663"/>
    </row>
    <row r="149" spans="1:22" ht="37.5" hidden="1" customHeight="1">
      <c r="A149" s="3322" t="s">
        <v>600</v>
      </c>
      <c r="B149" s="3323"/>
      <c r="C149" s="3323"/>
      <c r="D149" s="3324"/>
      <c r="E149" s="653"/>
      <c r="F149" s="653"/>
      <c r="G149" s="653"/>
      <c r="H149" s="653">
        <f>+'F-3'!G13</f>
        <v>0</v>
      </c>
      <c r="I149" s="653">
        <f>+'F-3'!J13</f>
        <v>0</v>
      </c>
      <c r="L149" s="630" t="s">
        <v>394</v>
      </c>
      <c r="T149" s="630">
        <v>167.36</v>
      </c>
    </row>
    <row r="150" spans="1:22" hidden="1">
      <c r="A150" s="3325" t="s">
        <v>1101</v>
      </c>
      <c r="B150" s="3325"/>
      <c r="C150" s="3325"/>
      <c r="D150" s="3325"/>
      <c r="E150" s="639"/>
      <c r="F150" s="639"/>
      <c r="G150" s="664">
        <f>SUM(G147:G149)</f>
        <v>87.8</v>
      </c>
      <c r="H150" s="664">
        <f>SUM(H147:H149)</f>
        <v>92.080000000000013</v>
      </c>
      <c r="I150" s="664">
        <f>SUM(I147:I149)</f>
        <v>0</v>
      </c>
      <c r="L150" s="630" t="s">
        <v>1353</v>
      </c>
      <c r="T150" s="638">
        <f>80.63+1218.44</f>
        <v>1299.0700000000002</v>
      </c>
    </row>
    <row r="151" spans="1:22" hidden="1">
      <c r="C151" s="638"/>
      <c r="G151" s="630"/>
      <c r="T151" s="638"/>
    </row>
    <row r="152" spans="1:22" hidden="1">
      <c r="C152" s="638"/>
      <c r="G152" s="630"/>
      <c r="H152" s="651">
        <f>+G150+H150-179.88</f>
        <v>0</v>
      </c>
    </row>
    <row r="153" spans="1:22" ht="16" hidden="1" thickBot="1">
      <c r="G153" s="630"/>
      <c r="J153" s="651"/>
      <c r="K153" s="651"/>
      <c r="L153" s="665"/>
      <c r="M153" s="665"/>
      <c r="N153" s="665"/>
      <c r="O153" s="665"/>
      <c r="P153" s="665"/>
      <c r="Q153" s="665"/>
      <c r="R153" s="651"/>
    </row>
    <row r="154" spans="1:22" ht="30.5" hidden="1">
      <c r="B154" s="2354" t="s">
        <v>363</v>
      </c>
      <c r="C154" s="2223" t="s">
        <v>5329</v>
      </c>
      <c r="D154" s="2223" t="s">
        <v>5482</v>
      </c>
      <c r="E154" s="2223" t="s">
        <v>364</v>
      </c>
      <c r="F154" s="2223"/>
      <c r="G154" s="2223" t="s">
        <v>5104</v>
      </c>
      <c r="H154" s="2223" t="s">
        <v>5329</v>
      </c>
      <c r="J154" s="651"/>
      <c r="K154" s="651"/>
      <c r="L154" s="665"/>
      <c r="M154" s="665"/>
      <c r="N154" s="665"/>
      <c r="O154" s="665"/>
      <c r="P154" s="665"/>
      <c r="Q154" s="665"/>
      <c r="R154" s="651"/>
    </row>
    <row r="155" spans="1:22" hidden="1">
      <c r="B155" s="2355" t="s">
        <v>748</v>
      </c>
      <c r="C155" s="648">
        <f>+I11</f>
        <v>0</v>
      </c>
      <c r="D155" s="2127">
        <f>+N11</f>
        <v>0</v>
      </c>
      <c r="E155" s="2309" t="s">
        <v>748</v>
      </c>
      <c r="F155" s="2309"/>
      <c r="G155" s="636">
        <f>+L11</f>
        <v>0</v>
      </c>
      <c r="H155" s="803">
        <f>Q11</f>
        <v>0</v>
      </c>
      <c r="I155" s="2356"/>
      <c r="J155" s="2357"/>
      <c r="K155" s="2357"/>
      <c r="L155" s="2357"/>
      <c r="M155" s="2357"/>
      <c r="N155" s="2357"/>
      <c r="O155" s="2358">
        <f>818.36-845.65</f>
        <v>-27.289999999999964</v>
      </c>
      <c r="P155" s="2358"/>
      <c r="Q155" s="2357"/>
      <c r="R155" s="2357"/>
    </row>
    <row r="156" spans="1:22" hidden="1">
      <c r="B156" s="2355" t="s">
        <v>749</v>
      </c>
      <c r="C156" s="648">
        <f>+I12</f>
        <v>0</v>
      </c>
      <c r="D156" s="2127">
        <f>+N12</f>
        <v>0</v>
      </c>
      <c r="E156" s="2309" t="s">
        <v>749</v>
      </c>
      <c r="F156" s="2309"/>
      <c r="G156" s="636">
        <f>+L12</f>
        <v>0</v>
      </c>
      <c r="H156" s="637">
        <f>+Q12</f>
        <v>0</v>
      </c>
      <c r="J156" s="630">
        <v>204.82</v>
      </c>
      <c r="L156" s="630">
        <v>287.88</v>
      </c>
      <c r="M156" s="630">
        <v>83.06</v>
      </c>
      <c r="N156" s="630">
        <f>L156-J156</f>
        <v>83.06</v>
      </c>
    </row>
    <row r="157" spans="1:22" hidden="1">
      <c r="B157" s="2359" t="s">
        <v>751</v>
      </c>
      <c r="C157" s="648">
        <f>+I13</f>
        <v>0</v>
      </c>
      <c r="D157" s="2127">
        <f>+N13</f>
        <v>0</v>
      </c>
      <c r="E157" s="2313" t="s">
        <v>751</v>
      </c>
      <c r="F157" s="2313"/>
      <c r="G157" s="636">
        <f>+L13</f>
        <v>0</v>
      </c>
      <c r="H157" s="637">
        <f>+Q13</f>
        <v>0</v>
      </c>
      <c r="J157" s="2076">
        <v>221.71</v>
      </c>
      <c r="K157" s="2076"/>
      <c r="L157" s="630">
        <v>315.94</v>
      </c>
      <c r="M157" s="630">
        <v>94.23</v>
      </c>
      <c r="N157" s="630">
        <f t="shared" ref="N157:N166" si="24">L157-J157</f>
        <v>94.22999999999999</v>
      </c>
    </row>
    <row r="158" spans="1:22" hidden="1">
      <c r="B158" s="2359" t="s">
        <v>752</v>
      </c>
      <c r="C158" s="648">
        <f>+I14</f>
        <v>0</v>
      </c>
      <c r="D158" s="2127">
        <f>+N14</f>
        <v>0</v>
      </c>
      <c r="E158" s="2313" t="s">
        <v>752</v>
      </c>
      <c r="F158" s="2313"/>
      <c r="G158" s="636">
        <f>+L14</f>
        <v>0</v>
      </c>
      <c r="H158" s="637">
        <f>+Q14</f>
        <v>0</v>
      </c>
      <c r="J158" s="665">
        <v>251.4</v>
      </c>
      <c r="K158" s="665"/>
      <c r="L158" s="630">
        <v>331.37</v>
      </c>
      <c r="M158" s="630">
        <v>79.97</v>
      </c>
      <c r="N158" s="630">
        <f t="shared" si="24"/>
        <v>79.97</v>
      </c>
      <c r="R158" s="651"/>
    </row>
    <row r="159" spans="1:22" s="848" customFormat="1" hidden="1">
      <c r="A159" s="674"/>
      <c r="B159" s="2355" t="s">
        <v>753</v>
      </c>
      <c r="C159" s="648">
        <f>+I15</f>
        <v>0</v>
      </c>
      <c r="D159" s="2127">
        <f>+N15</f>
        <v>0</v>
      </c>
      <c r="E159" s="2309" t="s">
        <v>753</v>
      </c>
      <c r="F159" s="2309"/>
      <c r="G159" s="636">
        <f>+L15</f>
        <v>0</v>
      </c>
      <c r="H159" s="637">
        <f>+Q15</f>
        <v>0</v>
      </c>
      <c r="I159" s="630"/>
      <c r="J159" s="665">
        <v>265.23</v>
      </c>
      <c r="K159" s="665"/>
      <c r="L159" s="630">
        <v>345.79</v>
      </c>
      <c r="M159" s="630">
        <v>80.56</v>
      </c>
      <c r="N159" s="630">
        <f t="shared" si="24"/>
        <v>80.56</v>
      </c>
      <c r="O159" s="630"/>
      <c r="P159" s="630"/>
      <c r="Q159" s="630"/>
      <c r="R159" s="651"/>
      <c r="S159" s="630"/>
      <c r="T159" s="630"/>
      <c r="U159" s="630"/>
      <c r="V159" s="630"/>
    </row>
    <row r="160" spans="1:22" hidden="1">
      <c r="B160" s="2360" t="s">
        <v>219</v>
      </c>
      <c r="C160" s="636">
        <f>+I71</f>
        <v>0</v>
      </c>
      <c r="D160" s="636">
        <f>+N71</f>
        <v>0</v>
      </c>
      <c r="E160" s="2361" t="s">
        <v>219</v>
      </c>
      <c r="F160" s="2361"/>
      <c r="G160" s="636">
        <f>+L71</f>
        <v>0</v>
      </c>
      <c r="H160" s="637">
        <f>+Q71</f>
        <v>0</v>
      </c>
      <c r="J160" s="665">
        <v>261.31</v>
      </c>
      <c r="K160" s="665"/>
      <c r="L160" s="630">
        <v>332.88</v>
      </c>
      <c r="M160" s="630">
        <v>71.569999999999993</v>
      </c>
      <c r="N160" s="630">
        <f t="shared" si="24"/>
        <v>71.569999999999993</v>
      </c>
      <c r="R160" s="651"/>
    </row>
    <row r="161" spans="1:22" hidden="1">
      <c r="B161" s="2359" t="s">
        <v>755</v>
      </c>
      <c r="C161" s="636">
        <f>+I21</f>
        <v>0</v>
      </c>
      <c r="D161" s="636">
        <f>+N21</f>
        <v>0</v>
      </c>
      <c r="E161" s="2313" t="s">
        <v>755</v>
      </c>
      <c r="F161" s="2313"/>
      <c r="G161" s="636">
        <f>+L21</f>
        <v>0</v>
      </c>
      <c r="H161" s="637">
        <f>+Q21</f>
        <v>0</v>
      </c>
      <c r="J161" s="665">
        <v>259.17</v>
      </c>
      <c r="K161" s="665"/>
      <c r="L161" s="638">
        <v>354.17</v>
      </c>
      <c r="M161" s="630">
        <v>95</v>
      </c>
      <c r="N161" s="630">
        <f t="shared" si="24"/>
        <v>95</v>
      </c>
      <c r="R161" s="651"/>
    </row>
    <row r="162" spans="1:22" hidden="1">
      <c r="B162" s="2359" t="s">
        <v>1152</v>
      </c>
      <c r="C162" s="636">
        <f>+I75</f>
        <v>0</v>
      </c>
      <c r="D162" s="636">
        <f>+N75</f>
        <v>0</v>
      </c>
      <c r="E162" s="2313" t="s">
        <v>1152</v>
      </c>
      <c r="F162" s="2313"/>
      <c r="G162" s="636">
        <f>+L75</f>
        <v>0</v>
      </c>
      <c r="H162" s="637">
        <f>+Q75</f>
        <v>0</v>
      </c>
      <c r="J162" s="665">
        <v>278.97000000000003</v>
      </c>
      <c r="K162" s="665"/>
      <c r="L162" s="638">
        <v>311.83</v>
      </c>
      <c r="M162" s="630">
        <v>32.86</v>
      </c>
      <c r="N162" s="630">
        <f t="shared" si="24"/>
        <v>32.859999999999957</v>
      </c>
      <c r="R162" s="651"/>
    </row>
    <row r="163" spans="1:22" hidden="1">
      <c r="B163" s="2355" t="s">
        <v>757</v>
      </c>
      <c r="C163" s="636">
        <f>+I79</f>
        <v>0</v>
      </c>
      <c r="D163" s="636">
        <f>+N79</f>
        <v>0</v>
      </c>
      <c r="E163" s="2309" t="s">
        <v>757</v>
      </c>
      <c r="F163" s="2309"/>
      <c r="G163" s="636">
        <f>+L79</f>
        <v>0</v>
      </c>
      <c r="H163" s="637">
        <f>+Q79</f>
        <v>0</v>
      </c>
      <c r="J163" s="666">
        <v>290.68</v>
      </c>
      <c r="K163" s="666"/>
      <c r="L163" s="666">
        <v>369.27</v>
      </c>
      <c r="M163" s="666">
        <v>78.59</v>
      </c>
      <c r="N163" s="630">
        <f t="shared" si="24"/>
        <v>78.589999999999975</v>
      </c>
      <c r="O163" s="666"/>
      <c r="P163" s="666"/>
      <c r="Q163" s="666"/>
      <c r="R163" s="666"/>
    </row>
    <row r="164" spans="1:22" hidden="1">
      <c r="B164" s="2359" t="s">
        <v>497</v>
      </c>
      <c r="C164" s="636">
        <f>+I72</f>
        <v>0</v>
      </c>
      <c r="D164" s="636">
        <f>+N72</f>
        <v>0</v>
      </c>
      <c r="E164" s="2313" t="s">
        <v>497</v>
      </c>
      <c r="F164" s="2313"/>
      <c r="G164" s="636">
        <f>+L72</f>
        <v>0</v>
      </c>
      <c r="H164" s="637">
        <f>+Q72</f>
        <v>0</v>
      </c>
      <c r="J164" s="630">
        <v>305.92</v>
      </c>
      <c r="L164" s="630">
        <v>331.71</v>
      </c>
      <c r="M164" s="630">
        <v>25.79</v>
      </c>
      <c r="N164" s="630">
        <f t="shared" si="24"/>
        <v>25.789999999999964</v>
      </c>
    </row>
    <row r="165" spans="1:22" hidden="1">
      <c r="A165" s="2362"/>
      <c r="B165" s="2359" t="s">
        <v>1153</v>
      </c>
      <c r="C165" s="636">
        <f>+I80</f>
        <v>0</v>
      </c>
      <c r="D165" s="636">
        <f>+N80</f>
        <v>0</v>
      </c>
      <c r="E165" s="2313" t="s">
        <v>1153</v>
      </c>
      <c r="F165" s="2313"/>
      <c r="G165" s="636">
        <f>+L80</f>
        <v>0</v>
      </c>
      <c r="H165" s="637">
        <f>+Q80</f>
        <v>0</v>
      </c>
      <c r="J165" s="630">
        <v>324.02999999999997</v>
      </c>
      <c r="L165" s="630">
        <v>500.76</v>
      </c>
      <c r="M165" s="630">
        <v>176.73</v>
      </c>
      <c r="N165" s="630">
        <f t="shared" si="24"/>
        <v>176.73000000000002</v>
      </c>
      <c r="S165" s="848"/>
      <c r="T165" s="848"/>
      <c r="U165" s="848"/>
      <c r="V165" s="848"/>
    </row>
    <row r="166" spans="1:22" hidden="1">
      <c r="B166" s="2359" t="s">
        <v>228</v>
      </c>
      <c r="C166" s="636">
        <f>+I76</f>
        <v>0</v>
      </c>
      <c r="D166" s="636">
        <f>+N76</f>
        <v>0</v>
      </c>
      <c r="E166" s="2313" t="s">
        <v>228</v>
      </c>
      <c r="F166" s="2313"/>
      <c r="G166" s="636">
        <f>+L76</f>
        <v>0</v>
      </c>
      <c r="H166" s="637">
        <f>+Q76</f>
        <v>0</v>
      </c>
      <c r="J166" s="630">
        <v>335.93</v>
      </c>
      <c r="L166" s="630">
        <v>383.4</v>
      </c>
      <c r="M166" s="630">
        <v>47.47</v>
      </c>
      <c r="N166" s="630">
        <f t="shared" si="24"/>
        <v>47.46999999999997</v>
      </c>
      <c r="R166" s="630">
        <f>17174-11397.04</f>
        <v>5776.9599999999991</v>
      </c>
    </row>
    <row r="167" spans="1:22" hidden="1">
      <c r="B167" s="2359" t="s">
        <v>226</v>
      </c>
      <c r="C167" s="636">
        <f>+I70</f>
        <v>0</v>
      </c>
      <c r="D167" s="636">
        <f>+N70</f>
        <v>0</v>
      </c>
      <c r="E167" s="2313" t="s">
        <v>226</v>
      </c>
      <c r="F167" s="2313"/>
      <c r="G167" s="636">
        <f>+L70</f>
        <v>0</v>
      </c>
      <c r="H167" s="637">
        <f>+Q70</f>
        <v>0</v>
      </c>
      <c r="J167" s="630">
        <f>SUM(J156:J166)</f>
        <v>2999.1699999999996</v>
      </c>
      <c r="L167" s="667">
        <f>SUM(L156:L166)</f>
        <v>3865.0000000000005</v>
      </c>
      <c r="M167" s="625">
        <f>SUM(M156:M166)</f>
        <v>865.83</v>
      </c>
      <c r="N167" s="625">
        <f>SUM(N156:N166)</f>
        <v>865.82999999999993</v>
      </c>
    </row>
    <row r="168" spans="1:22" hidden="1">
      <c r="B168" s="2363" t="s">
        <v>1349</v>
      </c>
      <c r="C168" s="636">
        <f>+I77</f>
        <v>0</v>
      </c>
      <c r="D168" s="636">
        <f>N77</f>
        <v>0</v>
      </c>
      <c r="E168" s="2315" t="s">
        <v>944</v>
      </c>
      <c r="F168" s="2315"/>
      <c r="G168" s="636">
        <f>+L77</f>
        <v>0</v>
      </c>
      <c r="H168" s="637">
        <f>+Q77</f>
        <v>0</v>
      </c>
    </row>
    <row r="169" spans="1:22" hidden="1">
      <c r="B169" s="633" t="s">
        <v>78</v>
      </c>
      <c r="C169" s="636">
        <f>I73</f>
        <v>0</v>
      </c>
      <c r="D169" s="636">
        <f>N73</f>
        <v>0</v>
      </c>
      <c r="E169" s="634" t="s">
        <v>78</v>
      </c>
      <c r="F169" s="634"/>
      <c r="G169" s="636">
        <f>L73</f>
        <v>0</v>
      </c>
      <c r="H169" s="637">
        <f>Q73</f>
        <v>0</v>
      </c>
    </row>
    <row r="170" spans="1:22" hidden="1">
      <c r="B170" s="2364" t="s">
        <v>4608</v>
      </c>
      <c r="C170" s="636">
        <f>+I74</f>
        <v>0</v>
      </c>
      <c r="D170" s="636">
        <f>+N74</f>
        <v>0</v>
      </c>
      <c r="E170" s="2365" t="s">
        <v>4608</v>
      </c>
      <c r="G170" s="636">
        <f>+L74</f>
        <v>0</v>
      </c>
      <c r="H170" s="637">
        <f>+Q74</f>
        <v>0</v>
      </c>
    </row>
    <row r="171" spans="1:22" hidden="1">
      <c r="B171" s="2214" t="s">
        <v>1513</v>
      </c>
      <c r="C171" s="636">
        <f>+I78</f>
        <v>0</v>
      </c>
      <c r="D171" s="636">
        <f>N78</f>
        <v>0</v>
      </c>
      <c r="E171" s="630" t="s">
        <v>1513</v>
      </c>
      <c r="G171" s="636">
        <f>L78</f>
        <v>0</v>
      </c>
      <c r="H171" s="637">
        <f>Q78</f>
        <v>0</v>
      </c>
    </row>
    <row r="172" spans="1:22" hidden="1">
      <c r="B172" s="2355" t="s">
        <v>3316</v>
      </c>
      <c r="C172" s="636">
        <f>I82</f>
        <v>0</v>
      </c>
      <c r="D172" s="636">
        <f>N82</f>
        <v>0</v>
      </c>
      <c r="E172" s="2355" t="s">
        <v>3316</v>
      </c>
      <c r="F172" s="2366"/>
      <c r="G172" s="636">
        <f>L82</f>
        <v>0</v>
      </c>
      <c r="H172" s="637">
        <f>Q82</f>
        <v>0</v>
      </c>
      <c r="J172" s="630" t="s">
        <v>4500</v>
      </c>
      <c r="N172" s="625"/>
    </row>
    <row r="173" spans="1:22" hidden="1">
      <c r="B173" s="2355" t="s">
        <v>3677</v>
      </c>
      <c r="C173" s="636">
        <f>+I81</f>
        <v>0</v>
      </c>
      <c r="D173" s="636">
        <f>+N81</f>
        <v>0</v>
      </c>
      <c r="E173" s="2309" t="s">
        <v>3677</v>
      </c>
      <c r="F173" s="2309"/>
      <c r="G173" s="636">
        <f>L81</f>
        <v>0</v>
      </c>
      <c r="H173" s="637">
        <f>Q81</f>
        <v>0</v>
      </c>
      <c r="J173" s="630" t="s">
        <v>4501</v>
      </c>
      <c r="L173" s="630">
        <v>0</v>
      </c>
      <c r="O173" s="630">
        <v>553</v>
      </c>
    </row>
    <row r="174" spans="1:22" hidden="1">
      <c r="B174" s="2355" t="s">
        <v>4609</v>
      </c>
      <c r="C174" s="636">
        <f>+I83</f>
        <v>0</v>
      </c>
      <c r="D174" s="636">
        <f>+N83</f>
        <v>0</v>
      </c>
      <c r="E174" s="2355" t="s">
        <v>4609</v>
      </c>
      <c r="F174" s="2309"/>
      <c r="G174" s="636">
        <f>+L83</f>
        <v>0</v>
      </c>
      <c r="H174" s="637">
        <f>+Q83</f>
        <v>0</v>
      </c>
    </row>
    <row r="175" spans="1:22" hidden="1">
      <c r="B175" s="2367" t="s">
        <v>4610</v>
      </c>
      <c r="C175" s="636">
        <f>+I84</f>
        <v>0</v>
      </c>
      <c r="D175" s="636">
        <f>+N84</f>
        <v>0</v>
      </c>
      <c r="E175" s="2368" t="s">
        <v>4610</v>
      </c>
      <c r="F175" s="2309"/>
      <c r="G175" s="636">
        <f>+L84</f>
        <v>0</v>
      </c>
      <c r="H175" s="637">
        <f>+Q84</f>
        <v>0</v>
      </c>
    </row>
    <row r="176" spans="1:22" hidden="1">
      <c r="B176" s="2367" t="s">
        <v>4611</v>
      </c>
      <c r="C176" s="636">
        <f>+I85</f>
        <v>0</v>
      </c>
      <c r="D176" s="636">
        <f>+N85</f>
        <v>0</v>
      </c>
      <c r="E176" s="2368" t="s">
        <v>4611</v>
      </c>
      <c r="F176" s="2309"/>
      <c r="G176" s="636">
        <f>+L85</f>
        <v>0</v>
      </c>
      <c r="H176" s="637">
        <f>+Q85</f>
        <v>0</v>
      </c>
    </row>
    <row r="177" spans="1:15" ht="16" hidden="1" thickBot="1">
      <c r="B177" s="2369" t="s">
        <v>116</v>
      </c>
      <c r="C177" s="656">
        <f>+I86</f>
        <v>0</v>
      </c>
      <c r="D177" s="656">
        <f>+N86</f>
        <v>0</v>
      </c>
      <c r="E177" s="2369" t="s">
        <v>116</v>
      </c>
      <c r="F177" s="2370"/>
      <c r="G177" s="656">
        <f>L86</f>
        <v>0</v>
      </c>
      <c r="H177" s="663">
        <f>Q86</f>
        <v>0</v>
      </c>
      <c r="J177" s="630" t="s">
        <v>4502</v>
      </c>
      <c r="L177" s="638">
        <f>+L173*O178</f>
        <v>0</v>
      </c>
      <c r="O177" s="630">
        <f>82.31+133</f>
        <v>215.31</v>
      </c>
    </row>
    <row r="178" spans="1:15" s="625" customFormat="1" ht="15" hidden="1">
      <c r="A178" s="660"/>
      <c r="B178" s="2371" t="s">
        <v>1100</v>
      </c>
      <c r="C178" s="2372">
        <f>SUM(C155:C177)</f>
        <v>0</v>
      </c>
      <c r="D178" s="2372">
        <f>SUM(D155:D177)</f>
        <v>0</v>
      </c>
      <c r="E178" s="2373" t="s">
        <v>1100</v>
      </c>
      <c r="F178" s="2373"/>
      <c r="G178" s="2372">
        <f>SUM(G155:G177)</f>
        <v>0</v>
      </c>
      <c r="H178" s="2372">
        <f>SUM(H155:H177)</f>
        <v>0</v>
      </c>
      <c r="O178" s="625">
        <f>+O177/O173</f>
        <v>0.38934900542495482</v>
      </c>
    </row>
    <row r="179" spans="1:15" hidden="1">
      <c r="B179" s="2374"/>
      <c r="H179" s="2213"/>
      <c r="N179" s="822"/>
    </row>
    <row r="180" spans="1:15" ht="16" hidden="1" thickBot="1">
      <c r="B180" s="2375"/>
      <c r="C180" s="2376">
        <f>+C178-I19</f>
        <v>-244.74127784290741</v>
      </c>
      <c r="D180" s="2376">
        <f>+D178-N19</f>
        <v>-450.34550996483006</v>
      </c>
      <c r="E180" s="2216"/>
      <c r="F180" s="2216"/>
      <c r="G180" s="2376">
        <f>+G178-L19</f>
        <v>-182.26127784290739</v>
      </c>
      <c r="H180" s="2377">
        <f>+H178-Q19</f>
        <v>-311.75550996483003</v>
      </c>
    </row>
    <row r="181" spans="1:15" hidden="1"/>
    <row r="182" spans="1:15" hidden="1"/>
    <row r="183" spans="1:15" hidden="1"/>
    <row r="184" spans="1:15" hidden="1"/>
    <row r="185" spans="1:15" hidden="1"/>
    <row r="186" spans="1:15" hidden="1"/>
    <row r="187" spans="1:15" hidden="1">
      <c r="F187" s="634" t="s">
        <v>5140</v>
      </c>
      <c r="G187" s="636" t="s">
        <v>1100</v>
      </c>
      <c r="H187" s="634" t="s">
        <v>27</v>
      </c>
    </row>
    <row r="188" spans="1:15" hidden="1">
      <c r="F188" s="634" t="s">
        <v>5141</v>
      </c>
      <c r="G188" s="636">
        <f>187552912/10000000</f>
        <v>18.755291199999998</v>
      </c>
      <c r="H188" s="636">
        <f t="shared" ref="H188:H195" si="25">G188/3</f>
        <v>6.2517637333333331</v>
      </c>
    </row>
    <row r="189" spans="1:15" hidden="1">
      <c r="F189" s="634" t="s">
        <v>5142</v>
      </c>
      <c r="G189" s="636">
        <f>515647145/10000000</f>
        <v>51.564714500000001</v>
      </c>
      <c r="H189" s="636">
        <f t="shared" si="25"/>
        <v>17.188238166666668</v>
      </c>
    </row>
    <row r="190" spans="1:15" hidden="1">
      <c r="F190" s="634" t="s">
        <v>5143</v>
      </c>
      <c r="G190" s="636">
        <f>1559418/10000000</f>
        <v>0.15594179999999999</v>
      </c>
      <c r="H190" s="636">
        <f t="shared" si="25"/>
        <v>5.1980599999999995E-2</v>
      </c>
    </row>
    <row r="191" spans="1:15" hidden="1">
      <c r="F191" s="634" t="s">
        <v>5149</v>
      </c>
      <c r="G191" s="636">
        <f>SUM(G188:G190)</f>
        <v>70.47594749999999</v>
      </c>
      <c r="H191" s="636">
        <f t="shared" si="25"/>
        <v>23.491982499999995</v>
      </c>
    </row>
    <row r="192" spans="1:15" hidden="1">
      <c r="F192" s="634" t="s">
        <v>5144</v>
      </c>
      <c r="G192" s="636">
        <f>45546089/10000000</f>
        <v>4.5546088999999998</v>
      </c>
      <c r="H192" s="636">
        <f t="shared" si="25"/>
        <v>1.5182029666666665</v>
      </c>
    </row>
    <row r="193" spans="6:8" hidden="1">
      <c r="F193" s="634" t="s">
        <v>5145</v>
      </c>
      <c r="G193" s="636">
        <f>282543945/10000000</f>
        <v>28.2543945</v>
      </c>
      <c r="H193" s="636">
        <f t="shared" si="25"/>
        <v>9.4181314999999994</v>
      </c>
    </row>
    <row r="194" spans="6:8" hidden="1">
      <c r="F194" s="634" t="s">
        <v>5146</v>
      </c>
      <c r="G194" s="636">
        <f>571199724/10000000</f>
        <v>57.119972400000002</v>
      </c>
      <c r="H194" s="636">
        <f t="shared" si="25"/>
        <v>19.039990800000002</v>
      </c>
    </row>
    <row r="195" spans="6:8" hidden="1">
      <c r="F195" s="634" t="s">
        <v>5147</v>
      </c>
      <c r="G195" s="636">
        <f>203821198/10000000</f>
        <v>20.382119800000002</v>
      </c>
      <c r="H195" s="636">
        <f t="shared" si="25"/>
        <v>6.7940399333333339</v>
      </c>
    </row>
    <row r="196" spans="6:8" hidden="1">
      <c r="F196" s="634" t="s">
        <v>1100</v>
      </c>
      <c r="G196" s="636">
        <f>G191+G192+G193+G194+G195</f>
        <v>180.78704310000001</v>
      </c>
      <c r="H196" s="636">
        <f>G196/3</f>
        <v>60.262347699999999</v>
      </c>
    </row>
    <row r="197" spans="6:8" hidden="1">
      <c r="F197" s="630" t="s">
        <v>5148</v>
      </c>
    </row>
    <row r="198" spans="6:8" ht="72" hidden="1" customHeight="1"/>
    <row r="199" spans="6:8" hidden="1"/>
    <row r="200" spans="6:8" hidden="1"/>
    <row r="201" spans="6:8" hidden="1"/>
    <row r="202" spans="6:8" hidden="1"/>
    <row r="203" spans="6:8" hidden="1"/>
    <row r="204" spans="6:8" ht="18" hidden="1" customHeight="1"/>
    <row r="205" spans="6:8" hidden="1"/>
    <row r="206" spans="6:8" hidden="1"/>
    <row r="207" spans="6:8" hidden="1"/>
    <row r="208" spans="6:8" hidden="1"/>
    <row r="209" spans="1:22" hidden="1"/>
    <row r="210" spans="1:22" hidden="1"/>
    <row r="211" spans="1:22" ht="35.25" hidden="1" customHeight="1"/>
    <row r="212" spans="1:22" hidden="1"/>
    <row r="213" spans="1:22" hidden="1"/>
    <row r="214" spans="1:22" hidden="1"/>
    <row r="215" spans="1:22" hidden="1"/>
    <row r="216" spans="1:22" hidden="1"/>
    <row r="217" spans="1:22" hidden="1"/>
    <row r="218" spans="1:22" hidden="1"/>
    <row r="219" spans="1:22" hidden="1"/>
    <row r="220" spans="1:22" hidden="1"/>
    <row r="221" spans="1:22" hidden="1"/>
    <row r="224" spans="1:22" s="2362" customFormat="1">
      <c r="A224" s="674"/>
      <c r="B224" s="630"/>
      <c r="C224" s="630"/>
      <c r="D224" s="630"/>
      <c r="E224" s="630"/>
      <c r="F224" s="630"/>
      <c r="G224" s="638"/>
      <c r="H224" s="630"/>
      <c r="I224" s="630"/>
      <c r="J224" s="630"/>
      <c r="K224" s="630"/>
      <c r="L224" s="630"/>
      <c r="M224" s="630"/>
      <c r="N224" s="630"/>
      <c r="O224" s="630"/>
      <c r="P224" s="630"/>
      <c r="Q224" s="630"/>
      <c r="R224" s="630"/>
      <c r="S224" s="630"/>
      <c r="T224" s="630"/>
      <c r="U224" s="630"/>
      <c r="V224" s="630"/>
    </row>
    <row r="230" spans="1:22">
      <c r="A230" s="2362"/>
      <c r="I230" s="2362"/>
      <c r="J230" s="2362"/>
      <c r="K230" s="2362"/>
      <c r="L230" s="2362"/>
      <c r="M230" s="2362"/>
      <c r="N230" s="2362"/>
      <c r="O230" s="2362"/>
      <c r="P230" s="2362"/>
      <c r="Q230" s="2362"/>
      <c r="R230" s="2362"/>
      <c r="S230" s="2362"/>
      <c r="T230" s="2362"/>
      <c r="U230" s="2362"/>
      <c r="V230" s="2362"/>
    </row>
    <row r="233" spans="1:22" ht="62">
      <c r="A233" s="2303" t="s">
        <v>1205</v>
      </c>
      <c r="B233" s="2862" t="s">
        <v>1206</v>
      </c>
      <c r="C233" s="2966" t="s">
        <v>7994</v>
      </c>
      <c r="D233" s="2968" t="s">
        <v>8133</v>
      </c>
      <c r="E233" s="2825" t="s">
        <v>8134</v>
      </c>
      <c r="F233" s="2825" t="s">
        <v>8135</v>
      </c>
      <c r="G233" s="2967" t="s">
        <v>8132</v>
      </c>
    </row>
    <row r="234" spans="1:22">
      <c r="A234" s="680">
        <v>1</v>
      </c>
      <c r="B234" s="2962" t="s">
        <v>8103</v>
      </c>
      <c r="C234" s="634"/>
      <c r="D234" s="634"/>
      <c r="E234" s="634"/>
      <c r="F234" s="634"/>
      <c r="G234" s="2964">
        <v>0.32600000000000001</v>
      </c>
    </row>
    <row r="235" spans="1:22">
      <c r="A235" s="680">
        <v>2</v>
      </c>
      <c r="B235" s="2962" t="s">
        <v>8104</v>
      </c>
      <c r="C235" s="634"/>
      <c r="D235" s="634"/>
      <c r="E235" s="634"/>
      <c r="F235" s="634"/>
      <c r="G235" s="2964">
        <v>9.8000000000000004E-2</v>
      </c>
    </row>
    <row r="236" spans="1:22">
      <c r="A236" s="680">
        <v>3</v>
      </c>
      <c r="B236" s="2962" t="s">
        <v>78</v>
      </c>
      <c r="C236" s="634"/>
      <c r="D236" s="634"/>
      <c r="E236" s="634"/>
      <c r="F236" s="634"/>
      <c r="G236" s="2964">
        <v>7.48</v>
      </c>
    </row>
    <row r="237" spans="1:22">
      <c r="A237" s="680">
        <v>4</v>
      </c>
      <c r="B237" s="2962" t="s">
        <v>5177</v>
      </c>
      <c r="C237" s="634"/>
      <c r="D237" s="634"/>
      <c r="E237" s="634"/>
      <c r="F237" s="634"/>
      <c r="G237" s="2964">
        <v>1.4E-2</v>
      </c>
    </row>
    <row r="238" spans="1:22">
      <c r="A238" s="680">
        <v>5</v>
      </c>
      <c r="B238" s="2962" t="s">
        <v>757</v>
      </c>
      <c r="C238" s="634"/>
      <c r="D238" s="634"/>
      <c r="E238" s="634"/>
      <c r="F238" s="634"/>
      <c r="G238" s="2964">
        <v>8.5000000000000006E-2</v>
      </c>
    </row>
    <row r="239" spans="1:22">
      <c r="A239" s="680">
        <v>6</v>
      </c>
      <c r="B239" s="2962" t="s">
        <v>8105</v>
      </c>
      <c r="C239" s="634"/>
      <c r="D239" s="634"/>
      <c r="E239" s="634"/>
      <c r="F239" s="634"/>
      <c r="G239" s="2964">
        <v>0.126</v>
      </c>
    </row>
    <row r="240" spans="1:22">
      <c r="A240" s="680">
        <v>7</v>
      </c>
      <c r="B240" s="2962" t="s">
        <v>8106</v>
      </c>
      <c r="C240" s="634"/>
      <c r="D240" s="634"/>
      <c r="E240" s="634"/>
      <c r="F240" s="634"/>
      <c r="G240" s="2964">
        <v>1E-3</v>
      </c>
    </row>
    <row r="241" spans="1:9" ht="16" thickBot="1">
      <c r="A241" s="680">
        <v>8</v>
      </c>
      <c r="B241" s="2962" t="s">
        <v>8107</v>
      </c>
      <c r="C241" s="634"/>
      <c r="D241" s="634"/>
      <c r="E241" s="634"/>
      <c r="F241" s="634"/>
      <c r="G241" s="2964">
        <v>7.0000000000000001E-3</v>
      </c>
      <c r="I241" s="2378"/>
    </row>
    <row r="242" spans="1:9">
      <c r="A242" s="680">
        <v>9</v>
      </c>
      <c r="B242" s="2962" t="s">
        <v>8108</v>
      </c>
      <c r="C242" s="634"/>
      <c r="D242" s="634"/>
      <c r="E242" s="634"/>
      <c r="F242" s="634"/>
      <c r="G242" s="2964">
        <v>0.01</v>
      </c>
    </row>
    <row r="243" spans="1:9">
      <c r="A243" s="680">
        <v>10</v>
      </c>
      <c r="B243" s="2962" t="s">
        <v>8109</v>
      </c>
      <c r="C243" s="634"/>
      <c r="D243" s="634"/>
      <c r="E243" s="634"/>
      <c r="F243" s="634"/>
      <c r="G243" s="2964">
        <v>1.3540000000000001</v>
      </c>
    </row>
    <row r="244" spans="1:9">
      <c r="A244" s="680">
        <v>11</v>
      </c>
      <c r="B244" s="2962" t="s">
        <v>8110</v>
      </c>
      <c r="C244" s="634"/>
      <c r="D244" s="634"/>
      <c r="E244" s="634"/>
      <c r="F244" s="634"/>
      <c r="G244" s="2964">
        <v>0.01</v>
      </c>
    </row>
    <row r="245" spans="1:9">
      <c r="A245" s="680">
        <v>12</v>
      </c>
      <c r="B245" s="2962" t="s">
        <v>7120</v>
      </c>
      <c r="C245" s="634"/>
      <c r="D245" s="634"/>
      <c r="E245" s="634"/>
      <c r="F245" s="634"/>
      <c r="G245" s="2964">
        <v>4.0000000000000001E-3</v>
      </c>
    </row>
    <row r="246" spans="1:9">
      <c r="A246" s="680">
        <v>13</v>
      </c>
      <c r="B246" s="2962" t="s">
        <v>8111</v>
      </c>
      <c r="C246" s="634"/>
      <c r="D246" s="634"/>
      <c r="E246" s="634"/>
      <c r="F246" s="634"/>
      <c r="G246" s="2964">
        <v>1.3169999999999999</v>
      </c>
    </row>
    <row r="247" spans="1:9">
      <c r="A247" s="680">
        <v>14</v>
      </c>
      <c r="B247" s="2962" t="s">
        <v>8112</v>
      </c>
      <c r="C247" s="634"/>
      <c r="D247" s="634"/>
      <c r="E247" s="634"/>
      <c r="F247" s="634"/>
      <c r="G247" s="2964">
        <v>9.4E-2</v>
      </c>
    </row>
    <row r="248" spans="1:9">
      <c r="A248" s="680">
        <v>15</v>
      </c>
      <c r="B248" s="2962" t="s">
        <v>8113</v>
      </c>
      <c r="C248" s="634"/>
      <c r="D248" s="634"/>
      <c r="E248" s="634"/>
      <c r="F248" s="634"/>
      <c r="G248" s="2964">
        <v>3.742</v>
      </c>
    </row>
    <row r="249" spans="1:9">
      <c r="A249" s="680">
        <v>16</v>
      </c>
      <c r="B249" s="2962" t="s">
        <v>8114</v>
      </c>
      <c r="C249" s="634"/>
      <c r="D249" s="634"/>
      <c r="E249" s="634"/>
      <c r="F249" s="634"/>
      <c r="G249" s="2964">
        <v>6.4000000000000001E-2</v>
      </c>
    </row>
    <row r="250" spans="1:9">
      <c r="A250" s="680">
        <v>17</v>
      </c>
      <c r="B250" s="2962" t="s">
        <v>8115</v>
      </c>
      <c r="C250" s="634"/>
      <c r="D250" s="634"/>
      <c r="E250" s="634"/>
      <c r="F250" s="634"/>
      <c r="G250" s="2964">
        <v>9.6000000000000002E-2</v>
      </c>
    </row>
    <row r="251" spans="1:9">
      <c r="A251" s="680">
        <v>18</v>
      </c>
      <c r="B251" s="2962" t="s">
        <v>8116</v>
      </c>
      <c r="C251" s="634"/>
      <c r="D251" s="634"/>
      <c r="E251" s="634"/>
      <c r="F251" s="634"/>
      <c r="G251" s="2964">
        <v>4.3999999999999997E-2</v>
      </c>
    </row>
    <row r="252" spans="1:9">
      <c r="A252" s="680">
        <v>19</v>
      </c>
      <c r="B252" s="2962" t="s">
        <v>8117</v>
      </c>
      <c r="C252" s="634"/>
      <c r="D252" s="634"/>
      <c r="E252" s="634"/>
      <c r="F252" s="634"/>
      <c r="G252" s="2964">
        <v>0.06</v>
      </c>
    </row>
    <row r="253" spans="1:9">
      <c r="A253" s="680">
        <v>20</v>
      </c>
      <c r="B253" s="2962" t="s">
        <v>8118</v>
      </c>
      <c r="C253" s="634"/>
      <c r="D253" s="634"/>
      <c r="E253" s="634"/>
      <c r="F253" s="634"/>
      <c r="G253" s="2964">
        <v>8.0000000000000002E-3</v>
      </c>
    </row>
    <row r="254" spans="1:9">
      <c r="A254" s="680">
        <v>21</v>
      </c>
      <c r="B254" s="2962" t="s">
        <v>8119</v>
      </c>
      <c r="C254" s="634"/>
      <c r="D254" s="634"/>
      <c r="E254" s="634"/>
      <c r="F254" s="634"/>
      <c r="G254" s="2964">
        <v>2.8000000000000001E-2</v>
      </c>
    </row>
    <row r="255" spans="1:9">
      <c r="A255" s="680">
        <v>22</v>
      </c>
      <c r="B255" s="2962" t="s">
        <v>8120</v>
      </c>
      <c r="C255" s="634"/>
      <c r="D255" s="634"/>
      <c r="E255" s="634"/>
      <c r="F255" s="634"/>
      <c r="G255" s="2964">
        <v>2.4209999999999998</v>
      </c>
    </row>
    <row r="256" spans="1:9">
      <c r="A256" s="680">
        <v>23</v>
      </c>
      <c r="B256" s="2962" t="s">
        <v>8121</v>
      </c>
      <c r="C256" s="634"/>
      <c r="D256" s="634"/>
      <c r="E256" s="634"/>
      <c r="F256" s="634"/>
      <c r="G256" s="2964">
        <v>9.2999999999999999E-2</v>
      </c>
    </row>
    <row r="257" spans="1:9">
      <c r="A257" s="680">
        <v>24</v>
      </c>
      <c r="B257" s="2962" t="s">
        <v>8122</v>
      </c>
      <c r="C257" s="634"/>
      <c r="D257" s="634"/>
      <c r="E257" s="634"/>
      <c r="F257" s="634"/>
      <c r="G257" s="2964">
        <v>1E-3</v>
      </c>
    </row>
    <row r="258" spans="1:9">
      <c r="A258" s="680">
        <v>25</v>
      </c>
      <c r="B258" s="2962" t="s">
        <v>4872</v>
      </c>
      <c r="C258" s="634"/>
      <c r="D258" s="634"/>
      <c r="E258" s="634"/>
      <c r="F258" s="634"/>
      <c r="G258" s="2964">
        <v>3.5000000000000003E-2</v>
      </c>
    </row>
    <row r="259" spans="1:9">
      <c r="A259" s="680">
        <v>26</v>
      </c>
      <c r="B259" s="2962" t="s">
        <v>8123</v>
      </c>
      <c r="C259" s="634"/>
      <c r="D259" s="634"/>
      <c r="E259" s="634"/>
      <c r="F259" s="634"/>
      <c r="G259" s="2964">
        <v>0.42</v>
      </c>
    </row>
    <row r="260" spans="1:9">
      <c r="A260" s="680">
        <v>27</v>
      </c>
      <c r="B260" s="2962" t="s">
        <v>8124</v>
      </c>
      <c r="C260" s="634"/>
      <c r="D260" s="634"/>
      <c r="E260" s="634"/>
      <c r="F260" s="634"/>
      <c r="G260" s="2964">
        <v>8.0000000000000002E-3</v>
      </c>
    </row>
    <row r="261" spans="1:9">
      <c r="A261" s="680">
        <v>28</v>
      </c>
      <c r="B261" s="2962" t="s">
        <v>8125</v>
      </c>
      <c r="C261" s="634"/>
      <c r="D261" s="634"/>
      <c r="E261" s="634"/>
      <c r="F261" s="634"/>
      <c r="G261" s="2964">
        <v>0.23699999999999999</v>
      </c>
    </row>
    <row r="262" spans="1:9">
      <c r="A262" s="680">
        <v>29</v>
      </c>
      <c r="B262" s="2962" t="s">
        <v>4608</v>
      </c>
      <c r="C262" s="634"/>
      <c r="D262" s="634"/>
      <c r="E262" s="634"/>
      <c r="F262" s="634"/>
      <c r="G262" s="2964">
        <v>4.2999999999999997E-2</v>
      </c>
    </row>
    <row r="263" spans="1:9">
      <c r="A263" s="680">
        <v>30</v>
      </c>
      <c r="B263" s="2962" t="s">
        <v>4609</v>
      </c>
      <c r="C263" s="634"/>
      <c r="D263" s="634"/>
      <c r="E263" s="634"/>
      <c r="F263" s="634"/>
      <c r="G263" s="2964">
        <v>2.3E-2</v>
      </c>
    </row>
    <row r="264" spans="1:9">
      <c r="A264" s="680">
        <v>31</v>
      </c>
      <c r="B264" s="2962" t="s">
        <v>8126</v>
      </c>
      <c r="C264" s="634"/>
      <c r="D264" s="634"/>
      <c r="E264" s="634"/>
      <c r="F264" s="634"/>
      <c r="G264" s="2964">
        <v>4.3739999999999997</v>
      </c>
    </row>
    <row r="265" spans="1:9">
      <c r="A265" s="680">
        <v>32</v>
      </c>
      <c r="B265" s="2962" t="s">
        <v>8127</v>
      </c>
      <c r="C265" s="634"/>
      <c r="D265" s="634"/>
      <c r="E265" s="634"/>
      <c r="F265" s="634"/>
      <c r="G265" s="2964">
        <v>0.755</v>
      </c>
    </row>
    <row r="266" spans="1:9">
      <c r="A266" s="680">
        <v>33</v>
      </c>
      <c r="B266" s="2962" t="s">
        <v>8104</v>
      </c>
      <c r="C266" s="634"/>
      <c r="D266" s="634"/>
      <c r="E266" s="634"/>
      <c r="F266" s="634"/>
      <c r="G266" s="2964">
        <v>0.55300000000000005</v>
      </c>
    </row>
    <row r="267" spans="1:9">
      <c r="A267" s="680">
        <v>34</v>
      </c>
      <c r="B267" s="2962" t="s">
        <v>8128</v>
      </c>
      <c r="C267" s="634"/>
      <c r="D267" s="634"/>
      <c r="E267" s="634"/>
      <c r="F267" s="634"/>
      <c r="G267" s="2964">
        <v>1.0880000000000001</v>
      </c>
    </row>
    <row r="268" spans="1:9">
      <c r="A268" s="680">
        <v>35</v>
      </c>
      <c r="B268" s="2962" t="s">
        <v>8129</v>
      </c>
      <c r="C268" s="634"/>
      <c r="D268" s="634"/>
      <c r="E268" s="634"/>
      <c r="F268" s="634"/>
      <c r="G268" s="2964">
        <v>53.911999999999999</v>
      </c>
      <c r="H268" s="638"/>
      <c r="I268" s="638"/>
    </row>
    <row r="269" spans="1:9">
      <c r="A269" s="680">
        <v>36</v>
      </c>
      <c r="B269" s="2962" t="s">
        <v>8130</v>
      </c>
      <c r="C269" s="634"/>
      <c r="D269" s="634"/>
      <c r="E269" s="634"/>
      <c r="F269" s="634"/>
      <c r="G269" s="2964">
        <v>0.93899999999999995</v>
      </c>
      <c r="H269" s="638"/>
      <c r="I269" s="638"/>
    </row>
    <row r="270" spans="1:9">
      <c r="A270" s="680"/>
      <c r="B270" s="2963" t="s">
        <v>8131</v>
      </c>
      <c r="C270" s="634"/>
      <c r="D270" s="634"/>
      <c r="E270" s="634"/>
      <c r="F270" s="634"/>
      <c r="G270" s="2965">
        <f>SUM(G234:G269)</f>
        <v>79.86999999999999</v>
      </c>
    </row>
  </sheetData>
  <mergeCells count="29">
    <mergeCell ref="C7:H7"/>
    <mergeCell ref="I7:M7"/>
    <mergeCell ref="N7:R7"/>
    <mergeCell ref="J129:J130"/>
    <mergeCell ref="J136:L136"/>
    <mergeCell ref="J147:L147"/>
    <mergeCell ref="A145:D145"/>
    <mergeCell ref="C102:H102"/>
    <mergeCell ref="I102:M102"/>
    <mergeCell ref="N102:R102"/>
    <mergeCell ref="J137:L137"/>
    <mergeCell ref="J139:L139"/>
    <mergeCell ref="J140:L140"/>
    <mergeCell ref="A6:R6"/>
    <mergeCell ref="A5:R5"/>
    <mergeCell ref="A149:D149"/>
    <mergeCell ref="A150:D150"/>
    <mergeCell ref="J131:L131"/>
    <mergeCell ref="A143:D143"/>
    <mergeCell ref="J138:L138"/>
    <mergeCell ref="J134:L134"/>
    <mergeCell ref="J132:L132"/>
    <mergeCell ref="J133:L133"/>
    <mergeCell ref="A147:D147"/>
    <mergeCell ref="A144:D144"/>
    <mergeCell ref="A146:D146"/>
    <mergeCell ref="J148:L148"/>
    <mergeCell ref="A148:D148"/>
    <mergeCell ref="J144:L144"/>
  </mergeCells>
  <phoneticPr fontId="0" type="noConversion"/>
  <printOptions horizontalCentered="1"/>
  <pageMargins left="0" right="0" top="0" bottom="0.19685039370078741" header="0" footer="0"/>
  <pageSetup paperSize="9" scale="33" orientation="landscape" r:id="rId1"/>
  <headerFooter alignWithMargins="0">
    <oddFooter>&amp;R&amp;14OERC FORM No- F 2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theme="1"/>
    <pageSetUpPr fitToPage="1"/>
  </sheetPr>
  <dimension ref="A1:N30"/>
  <sheetViews>
    <sheetView showGridLines="0" view="pageBreakPreview" topLeftCell="A3" zoomScale="80" zoomScaleNormal="76" zoomScaleSheetLayoutView="8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A6" sqref="A6"/>
    </sheetView>
  </sheetViews>
  <sheetFormatPr defaultColWidth="14.7265625" defaultRowHeight="15.5"/>
  <cols>
    <col min="1" max="1" width="31.81640625" style="997" customWidth="1"/>
    <col min="2" max="2" width="16.7265625" style="997" bestFit="1" customWidth="1"/>
    <col min="3" max="3" width="13.81640625" style="997" bestFit="1" customWidth="1"/>
    <col min="4" max="4" width="13.54296875" style="997" bestFit="1" customWidth="1"/>
    <col min="5" max="5" width="13.7265625" style="997" bestFit="1" customWidth="1"/>
    <col min="6" max="6" width="13.7265625" style="997" customWidth="1"/>
    <col min="7" max="7" width="13.453125" style="997" customWidth="1"/>
    <col min="8" max="8" width="13.54296875" style="997" bestFit="1" customWidth="1"/>
    <col min="9" max="9" width="13.7265625" style="997" bestFit="1" customWidth="1"/>
    <col min="10" max="10" width="13.7265625" style="997" customWidth="1"/>
    <col min="11" max="11" width="13" style="997" customWidth="1"/>
    <col min="12" max="12" width="12.26953125" style="997" customWidth="1"/>
    <col min="13" max="16384" width="14.7265625" style="997"/>
  </cols>
  <sheetData>
    <row r="1" spans="1:14">
      <c r="A1" s="1580" t="s">
        <v>5525</v>
      </c>
      <c r="I1" s="1405"/>
    </row>
    <row r="2" spans="1:14">
      <c r="A2" s="3366" t="s">
        <v>3706</v>
      </c>
      <c r="B2" s="3366"/>
      <c r="C2" s="3366"/>
      <c r="D2" s="3366"/>
      <c r="E2" s="3366"/>
      <c r="F2" s="3366"/>
      <c r="G2" s="3366"/>
      <c r="H2" s="3366"/>
      <c r="I2" s="3366"/>
      <c r="J2" s="3366"/>
      <c r="K2" s="3366"/>
      <c r="L2" s="3366"/>
    </row>
    <row r="3" spans="1:14" ht="20.25" customHeight="1">
      <c r="A3" s="3365" t="s">
        <v>4598</v>
      </c>
      <c r="B3" s="3365"/>
      <c r="C3" s="3365"/>
      <c r="D3" s="3365"/>
      <c r="E3" s="3365"/>
      <c r="F3" s="3365"/>
      <c r="G3" s="3365"/>
      <c r="H3" s="3365"/>
      <c r="I3" s="3365"/>
      <c r="J3" s="3365"/>
      <c r="K3" s="3365"/>
      <c r="L3" s="3365"/>
    </row>
    <row r="4" spans="1:14" s="2970" customFormat="1" ht="97.5" customHeight="1">
      <c r="A4" s="1406" t="s">
        <v>458</v>
      </c>
      <c r="B4" s="2969" t="s">
        <v>8036</v>
      </c>
      <c r="C4" s="2969" t="s">
        <v>8037</v>
      </c>
      <c r="D4" s="2969" t="s">
        <v>8038</v>
      </c>
      <c r="E4" s="2969" t="s">
        <v>8039</v>
      </c>
      <c r="F4" s="2969" t="s">
        <v>8040</v>
      </c>
      <c r="G4" s="2969" t="s">
        <v>8041</v>
      </c>
      <c r="H4" s="2969" t="s">
        <v>8042</v>
      </c>
      <c r="I4" s="2969" t="s">
        <v>8043</v>
      </c>
      <c r="J4" s="2969" t="s">
        <v>8044</v>
      </c>
      <c r="K4" s="2969" t="s">
        <v>8045</v>
      </c>
      <c r="L4" s="2969" t="s">
        <v>8046</v>
      </c>
    </row>
    <row r="5" spans="1:14" ht="26.25" customHeight="1">
      <c r="A5" s="650"/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</row>
    <row r="6" spans="1:14" ht="24.75" customHeight="1">
      <c r="A6" s="2941" t="s">
        <v>8016</v>
      </c>
      <c r="B6" s="2941">
        <f>'F-17'!Q38</f>
        <v>0</v>
      </c>
      <c r="C6" s="2941">
        <f>'F-17'!F38</f>
        <v>85</v>
      </c>
      <c r="D6" s="2941">
        <f>'F-17'!P38</f>
        <v>0</v>
      </c>
      <c r="E6" s="2941">
        <f>B6+C6-D6</f>
        <v>85</v>
      </c>
      <c r="F6" s="3085">
        <f>+E6</f>
        <v>85</v>
      </c>
      <c r="G6" s="3085">
        <f>'F-17'!F39+'F-17'!F40</f>
        <v>115</v>
      </c>
      <c r="H6" s="3085">
        <f>'F-17'!O39+'F-17'!O40</f>
        <v>115</v>
      </c>
      <c r="I6" s="3085">
        <f t="shared" ref="I6:I15" si="0">E6+G6-H6</f>
        <v>85</v>
      </c>
      <c r="J6" s="2941">
        <f>'F-17'!F41</f>
        <v>0</v>
      </c>
      <c r="K6" s="2941">
        <f>'F-17'!O41</f>
        <v>0</v>
      </c>
      <c r="L6" s="2941">
        <f>+I6+J6-K6</f>
        <v>85</v>
      </c>
      <c r="M6" s="997">
        <f>+'F-17'!R9</f>
        <v>0</v>
      </c>
      <c r="N6" s="997">
        <f>+L6-M6</f>
        <v>85</v>
      </c>
    </row>
    <row r="7" spans="1:14" ht="24.75" hidden="1" customHeight="1">
      <c r="A7" s="650" t="s">
        <v>226</v>
      </c>
      <c r="B7" s="650"/>
      <c r="C7" s="650"/>
      <c r="D7" s="650"/>
      <c r="E7" s="650"/>
      <c r="F7" s="3085"/>
      <c r="G7" s="3085"/>
      <c r="H7" s="3085"/>
      <c r="I7" s="3085"/>
      <c r="J7" s="650"/>
      <c r="K7" s="650"/>
      <c r="L7" s="650"/>
      <c r="M7" s="997">
        <f>+'F-17'!R21</f>
        <v>0</v>
      </c>
      <c r="N7" s="997">
        <f>+L7-M7</f>
        <v>0</v>
      </c>
    </row>
    <row r="8" spans="1:14" ht="24.75" hidden="1" customHeight="1">
      <c r="A8" s="650" t="s">
        <v>4507</v>
      </c>
      <c r="B8" s="650"/>
      <c r="C8" s="650"/>
      <c r="D8" s="650"/>
      <c r="E8" s="650"/>
      <c r="F8" s="3085"/>
      <c r="G8" s="3085"/>
      <c r="H8" s="3085"/>
      <c r="I8" s="3085"/>
      <c r="J8" s="650"/>
      <c r="K8" s="650"/>
      <c r="L8" s="650"/>
      <c r="M8" s="997">
        <f>+'F-17'!R25</f>
        <v>0</v>
      </c>
      <c r="N8" s="997">
        <f>+L8-M8</f>
        <v>0</v>
      </c>
    </row>
    <row r="9" spans="1:14" ht="24.75" hidden="1" customHeight="1">
      <c r="A9" s="650" t="s">
        <v>859</v>
      </c>
      <c r="B9" s="650"/>
      <c r="C9" s="650"/>
      <c r="D9" s="650"/>
      <c r="E9" s="650"/>
      <c r="F9" s="3085"/>
      <c r="G9" s="3085"/>
      <c r="H9" s="3085"/>
      <c r="I9" s="3085"/>
      <c r="J9" s="650"/>
      <c r="K9" s="650"/>
      <c r="L9" s="650"/>
      <c r="M9" s="997">
        <f>+'F-17'!R13</f>
        <v>0</v>
      </c>
      <c r="N9" s="997">
        <f t="shared" ref="N9:N14" si="1">+L9-M9</f>
        <v>0</v>
      </c>
    </row>
    <row r="10" spans="1:14" ht="24.75" hidden="1" customHeight="1">
      <c r="A10" s="650" t="s">
        <v>3372</v>
      </c>
      <c r="B10" s="650"/>
      <c r="C10" s="650"/>
      <c r="D10" s="650"/>
      <c r="E10" s="650"/>
      <c r="F10" s="3085"/>
      <c r="G10" s="3085"/>
      <c r="H10" s="3085"/>
      <c r="I10" s="3085"/>
      <c r="J10" s="650"/>
      <c r="K10" s="650"/>
      <c r="L10" s="650"/>
      <c r="M10" s="997">
        <f>+'F-17'!R17</f>
        <v>0</v>
      </c>
      <c r="N10" s="997">
        <f t="shared" si="1"/>
        <v>0</v>
      </c>
    </row>
    <row r="11" spans="1:14" ht="24.75" customHeight="1">
      <c r="A11" s="2941" t="s">
        <v>3647</v>
      </c>
      <c r="B11" s="2941">
        <f>'F-17'!Q27</f>
        <v>8.3733000000000002E-3</v>
      </c>
      <c r="C11" s="2941">
        <f>'F-17'!F27</f>
        <v>8.9146699999999995E-2</v>
      </c>
      <c r="D11" s="2941">
        <f>'F-17'!O27</f>
        <v>0</v>
      </c>
      <c r="E11" s="2941">
        <f t="shared" ref="E11" si="2">B11+C11-D11</f>
        <v>9.7519999999999996E-2</v>
      </c>
      <c r="F11" s="3085">
        <f t="shared" ref="F11:F17" si="3">+E11</f>
        <v>9.7519999999999996E-2</v>
      </c>
      <c r="G11" s="3085">
        <f>'F-17'!F28</f>
        <v>0</v>
      </c>
      <c r="H11" s="3085">
        <f>'F-17'!O28</f>
        <v>0</v>
      </c>
      <c r="I11" s="3085">
        <f t="shared" si="0"/>
        <v>9.7519999999999996E-2</v>
      </c>
      <c r="J11" s="2941">
        <f>'F-17'!F29</f>
        <v>0</v>
      </c>
      <c r="K11" s="2941">
        <f>'F-17'!O29</f>
        <v>0</v>
      </c>
      <c r="L11" s="2941">
        <f t="shared" ref="L11:L17" si="4">+I11+J11-K11</f>
        <v>9.7519999999999996E-2</v>
      </c>
      <c r="M11" s="997">
        <f>+'F-17'!R29</f>
        <v>9.7519999999999996E-2</v>
      </c>
      <c r="N11" s="997">
        <f t="shared" si="1"/>
        <v>0</v>
      </c>
    </row>
    <row r="12" spans="1:14" ht="24.75" hidden="1" customHeight="1">
      <c r="A12" s="650" t="s">
        <v>4731</v>
      </c>
      <c r="B12" s="650"/>
      <c r="C12" s="650"/>
      <c r="D12" s="650"/>
      <c r="E12" s="650"/>
      <c r="F12" s="3085"/>
      <c r="G12" s="3085"/>
      <c r="H12" s="3085"/>
      <c r="I12" s="3085"/>
      <c r="J12" s="650"/>
      <c r="K12" s="650"/>
      <c r="L12" s="650"/>
      <c r="M12" s="997">
        <f>+'F-17'!R50</f>
        <v>0</v>
      </c>
      <c r="N12" s="997">
        <f t="shared" si="1"/>
        <v>0</v>
      </c>
    </row>
    <row r="13" spans="1:14" ht="24.75" hidden="1" customHeight="1">
      <c r="A13" s="668" t="s">
        <v>4506</v>
      </c>
      <c r="B13" s="650"/>
      <c r="C13" s="650"/>
      <c r="D13" s="650"/>
      <c r="E13" s="650"/>
      <c r="F13" s="3085"/>
      <c r="G13" s="3085"/>
      <c r="H13" s="3085"/>
      <c r="I13" s="3085"/>
      <c r="J13" s="650"/>
      <c r="K13" s="650"/>
      <c r="L13" s="650"/>
      <c r="M13" s="997">
        <f>+'F-17'!R54</f>
        <v>0</v>
      </c>
      <c r="N13" s="997">
        <f t="shared" si="1"/>
        <v>0</v>
      </c>
    </row>
    <row r="14" spans="1:14" ht="24.75" hidden="1" customHeight="1">
      <c r="A14" s="650" t="s">
        <v>3647</v>
      </c>
      <c r="B14" s="650"/>
      <c r="C14" s="650"/>
      <c r="D14" s="650"/>
      <c r="E14" s="650"/>
      <c r="F14" s="3085"/>
      <c r="G14" s="3085"/>
      <c r="H14" s="3085"/>
      <c r="I14" s="3085"/>
      <c r="J14" s="650"/>
      <c r="K14" s="650"/>
      <c r="L14" s="650"/>
      <c r="M14" s="997">
        <f>+'F-17'!R58</f>
        <v>0</v>
      </c>
      <c r="N14" s="997">
        <f t="shared" si="1"/>
        <v>0</v>
      </c>
    </row>
    <row r="15" spans="1:14" s="638" customFormat="1" ht="24.75" customHeight="1">
      <c r="A15" s="2941" t="s">
        <v>3346</v>
      </c>
      <c r="B15" s="2941">
        <f>'F-17'!Q31</f>
        <v>23.978283999999977</v>
      </c>
      <c r="C15" s="2941">
        <f>'F-17'!F31</f>
        <v>6.3162399999999996</v>
      </c>
      <c r="D15" s="2941">
        <f>'F-17'!O31</f>
        <v>0</v>
      </c>
      <c r="E15" s="2941">
        <f>B15+C15-D15</f>
        <v>30.294523999999978</v>
      </c>
      <c r="F15" s="3085">
        <f t="shared" si="3"/>
        <v>30.294523999999978</v>
      </c>
      <c r="G15" s="3085">
        <f>'F-17'!F33+'F-17'!F33</f>
        <v>0</v>
      </c>
      <c r="H15" s="3085">
        <f>'F-17'!O32+'F-17'!O33</f>
        <v>6.64</v>
      </c>
      <c r="I15" s="3085">
        <f t="shared" si="0"/>
        <v>23.654523999999977</v>
      </c>
      <c r="J15" s="2941">
        <f>'F-17'!F34</f>
        <v>0</v>
      </c>
      <c r="K15" s="2941">
        <f>'F-17'!O34</f>
        <v>0</v>
      </c>
      <c r="L15" s="2941">
        <f t="shared" si="4"/>
        <v>23.654523999999977</v>
      </c>
      <c r="M15" s="638">
        <f>+'F-17'!R34</f>
        <v>23.654523999999977</v>
      </c>
      <c r="N15" s="997">
        <f>+L15-M15</f>
        <v>0</v>
      </c>
    </row>
    <row r="16" spans="1:14" s="638" customFormat="1" ht="24.75" hidden="1" customHeight="1">
      <c r="A16" s="636" t="s">
        <v>4761</v>
      </c>
      <c r="B16" s="636"/>
      <c r="C16" s="636"/>
      <c r="D16" s="636"/>
      <c r="E16" s="636"/>
      <c r="F16" s="3085"/>
      <c r="G16" s="3085"/>
      <c r="H16" s="3085"/>
      <c r="I16" s="3085"/>
      <c r="J16" s="636"/>
      <c r="K16" s="636"/>
      <c r="L16" s="636"/>
    </row>
    <row r="17" spans="1:14" s="638" customFormat="1" ht="24.75" customHeight="1">
      <c r="A17" s="2941" t="s">
        <v>8035</v>
      </c>
      <c r="B17" s="2941">
        <f>'F-17'!Q43</f>
        <v>61.888361400000001</v>
      </c>
      <c r="C17" s="2941">
        <f>'F-17'!F43</f>
        <v>0</v>
      </c>
      <c r="D17" s="2941">
        <f>'F-17'!O43</f>
        <v>1.31</v>
      </c>
      <c r="E17" s="2941">
        <f t="shared" ref="E17:E20" si="5">B17+C17-D17</f>
        <v>60.578361399999999</v>
      </c>
      <c r="F17" s="3085">
        <f t="shared" si="3"/>
        <v>60.578361399999999</v>
      </c>
      <c r="G17" s="3085">
        <f>'F-17'!F44+'F-17'!F45</f>
        <v>0</v>
      </c>
      <c r="H17" s="3085">
        <f>'F-17'!O44+'F-17'!O45</f>
        <v>0</v>
      </c>
      <c r="I17" s="3085">
        <f>E17+G17-H17</f>
        <v>60.578361399999999</v>
      </c>
      <c r="J17" s="2941">
        <f>'F-17'!F46</f>
        <v>0</v>
      </c>
      <c r="K17" s="2941">
        <f>'F-17'!O46</f>
        <v>0</v>
      </c>
      <c r="L17" s="2941">
        <f t="shared" si="4"/>
        <v>60.578361399999999</v>
      </c>
      <c r="M17" s="638">
        <f>+'F-17'!R46</f>
        <v>60.578361399999999</v>
      </c>
      <c r="N17" s="997">
        <f>+L17-M17</f>
        <v>0</v>
      </c>
    </row>
    <row r="18" spans="1:14" s="638" customFormat="1" ht="24.75" customHeight="1">
      <c r="A18" s="2943" t="s">
        <v>8012</v>
      </c>
      <c r="B18" s="2941">
        <f>'F-17'!Q60</f>
        <v>0</v>
      </c>
      <c r="C18" s="2941">
        <f>'F-17'!F60</f>
        <v>551.71</v>
      </c>
      <c r="D18" s="2941">
        <f>'F-17'!O60</f>
        <v>427.48</v>
      </c>
      <c r="E18" s="2941">
        <f t="shared" si="5"/>
        <v>124.23000000000002</v>
      </c>
      <c r="F18" s="3085">
        <f t="shared" ref="F18" si="6">+E18</f>
        <v>124.23000000000002</v>
      </c>
      <c r="G18" s="3085">
        <f>'F-17'!F61+'F-17'!F62</f>
        <v>246.78081210000002</v>
      </c>
      <c r="H18" s="3085">
        <f>'F-17'!O61+'F-17'!O62</f>
        <v>288.60795659999997</v>
      </c>
      <c r="I18" s="3085">
        <f>E18+G18-H18</f>
        <v>82.402855500000101</v>
      </c>
      <c r="J18" s="2941">
        <f>'F-17'!F63</f>
        <v>0</v>
      </c>
      <c r="K18" s="2941">
        <f>'F-17'!O63</f>
        <v>0</v>
      </c>
      <c r="L18" s="2941">
        <f t="shared" ref="L18" si="7">+I18+J18-K18</f>
        <v>82.402855500000101</v>
      </c>
      <c r="M18" s="638">
        <f>'F-17'!R63</f>
        <v>82.402855500000101</v>
      </c>
      <c r="N18" s="997">
        <f>+L18-M18</f>
        <v>0</v>
      </c>
    </row>
    <row r="19" spans="1:14" s="638" customFormat="1" ht="24.75" customHeight="1">
      <c r="A19" s="2943" t="s">
        <v>7017</v>
      </c>
      <c r="B19" s="2941">
        <f>'F-17'!Q65</f>
        <v>0</v>
      </c>
      <c r="C19" s="2941">
        <f>'F-17'!F65</f>
        <v>249.92654883800003</v>
      </c>
      <c r="D19" s="2941">
        <f>'F-17'!O65</f>
        <v>249.92654883800003</v>
      </c>
      <c r="E19" s="2941">
        <f t="shared" si="5"/>
        <v>0</v>
      </c>
      <c r="F19" s="3085">
        <f t="shared" ref="F19" si="8">+E19</f>
        <v>0</v>
      </c>
      <c r="G19" s="3085">
        <f>'F-17'!F66+'F-17'!F67</f>
        <v>280</v>
      </c>
      <c r="H19" s="3085">
        <f>'F-17'!O66+'F-17'!O67</f>
        <v>150</v>
      </c>
      <c r="I19" s="3085">
        <f>E19+G19-H19</f>
        <v>130</v>
      </c>
      <c r="J19" s="2941">
        <f>'F-17'!F68</f>
        <v>0</v>
      </c>
      <c r="K19" s="2941">
        <f>'F-17'!O68</f>
        <v>0</v>
      </c>
      <c r="L19" s="2941">
        <f t="shared" ref="L19" si="9">+I19+J19-K19</f>
        <v>130</v>
      </c>
      <c r="M19" s="638">
        <f>'F-17'!R68</f>
        <v>130</v>
      </c>
      <c r="N19" s="997">
        <f>+L19-M19</f>
        <v>0</v>
      </c>
    </row>
    <row r="20" spans="1:14" s="638" customFormat="1" ht="24.75" customHeight="1">
      <c r="A20" s="2943" t="s">
        <v>7018</v>
      </c>
      <c r="B20" s="2941">
        <f>'F-17'!Q70</f>
        <v>0</v>
      </c>
      <c r="C20" s="2941">
        <f>'F-17'!F70</f>
        <v>40</v>
      </c>
      <c r="D20" s="2941">
        <f>'F-17'!O70</f>
        <v>0</v>
      </c>
      <c r="E20" s="2941">
        <f t="shared" si="5"/>
        <v>40</v>
      </c>
      <c r="F20" s="3085">
        <f>+E20</f>
        <v>40</v>
      </c>
      <c r="G20" s="3085">
        <f>'F-17'!F72+'F-17'!F71</f>
        <v>247.93315449821097</v>
      </c>
      <c r="H20" s="3085">
        <f>'F-17'!O71+'F-17'!O72</f>
        <v>26.911262889459188</v>
      </c>
      <c r="I20" s="3085">
        <f>E20+G20-H20</f>
        <v>261.02189160875179</v>
      </c>
      <c r="J20" s="2941">
        <f>'F-17'!F73</f>
        <v>411.4633173467065</v>
      </c>
      <c r="K20" s="2941">
        <f>'F-17'!O73</f>
        <v>36.776043583694864</v>
      </c>
      <c r="L20" s="2941">
        <f t="shared" ref="L20" si="10">+I20+J20-K20</f>
        <v>635.70916537176345</v>
      </c>
      <c r="M20" s="638">
        <f>'F-17'!R73</f>
        <v>635.70916537176345</v>
      </c>
      <c r="N20" s="997">
        <f>+L20-M20</f>
        <v>0</v>
      </c>
    </row>
    <row r="21" spans="1:14" s="1408" customFormat="1" ht="24.75" customHeight="1">
      <c r="A21" s="1407"/>
      <c r="B21" s="1266"/>
      <c r="C21" s="1266"/>
      <c r="D21" s="1266"/>
      <c r="E21" s="1266"/>
      <c r="F21" s="1266"/>
      <c r="G21" s="1266"/>
      <c r="H21" s="1266"/>
      <c r="I21" s="1266"/>
      <c r="J21" s="1266"/>
      <c r="K21" s="1266"/>
      <c r="L21" s="1266"/>
      <c r="N21" s="638"/>
    </row>
    <row r="22" spans="1:14" ht="24.75" customHeight="1">
      <c r="A22" s="1367" t="s">
        <v>1100</v>
      </c>
      <c r="B22" s="819">
        <f>SUM(B5:B21)</f>
        <v>85.87501869999997</v>
      </c>
      <c r="C22" s="819">
        <f>SUM(C5:C21)</f>
        <v>933.04193553800008</v>
      </c>
      <c r="D22" s="819">
        <f t="shared" ref="D22:K22" si="11">SUM(D5:D21)</f>
        <v>678.71654883800011</v>
      </c>
      <c r="E22" s="819">
        <f>SUM(E5:E21)</f>
        <v>340.20040540000002</v>
      </c>
      <c r="F22" s="640">
        <f>SUM(F5:F21)</f>
        <v>340.20040540000002</v>
      </c>
      <c r="G22" s="819">
        <f t="shared" si="11"/>
        <v>889.71396659821107</v>
      </c>
      <c r="H22" s="819">
        <f t="shared" si="11"/>
        <v>587.15921948945913</v>
      </c>
      <c r="I22" s="640">
        <f t="shared" si="11"/>
        <v>642.75515250875196</v>
      </c>
      <c r="J22" s="819">
        <f t="shared" si="11"/>
        <v>411.4633173467065</v>
      </c>
      <c r="K22" s="819">
        <f t="shared" si="11"/>
        <v>36.776043583694864</v>
      </c>
      <c r="L22" s="640">
        <f>SUM(L5:L21)</f>
        <v>1017.4424262717636</v>
      </c>
    </row>
    <row r="24" spans="1:14">
      <c r="A24" s="1409" t="s">
        <v>860</v>
      </c>
    </row>
    <row r="27" spans="1:14">
      <c r="A27" s="997" t="s">
        <v>4033</v>
      </c>
      <c r="B27" s="997">
        <f>'F-17'!Q85</f>
        <v>85.875018699999984</v>
      </c>
      <c r="E27" s="997">
        <f>'F-17'!Q86</f>
        <v>340.20040539999997</v>
      </c>
      <c r="I27" s="997">
        <f>'F-17'!Q87</f>
        <v>642.75515250875196</v>
      </c>
      <c r="L27" s="997">
        <f>'F-17'!Q88</f>
        <v>1017.4424262717636</v>
      </c>
    </row>
    <row r="28" spans="1:14">
      <c r="B28" s="997">
        <f>+B22-B27</f>
        <v>0</v>
      </c>
      <c r="E28" s="997">
        <f>+E22-E27</f>
        <v>0</v>
      </c>
      <c r="I28" s="997">
        <f>+I22-I27</f>
        <v>0</v>
      </c>
      <c r="L28" s="997">
        <f>+L22-L27</f>
        <v>0</v>
      </c>
    </row>
    <row r="29" spans="1:14">
      <c r="A29" s="997" t="s">
        <v>4034</v>
      </c>
      <c r="B29" s="997">
        <f>'OERC 3'!E48/10^7</f>
        <v>85.87501869999997</v>
      </c>
      <c r="E29" s="997">
        <f>+'F-21'!C11+'F-21'!C12</f>
        <v>340.20208972900002</v>
      </c>
      <c r="I29" s="997">
        <f>+'F-21'!D11</f>
        <v>584.66809972721103</v>
      </c>
      <c r="L29" s="997">
        <f>+'F-21'!E11</f>
        <v>996.13141707391753</v>
      </c>
    </row>
    <row r="30" spans="1:14">
      <c r="B30" s="1377">
        <f>(B22-B29)*10^7</f>
        <v>0</v>
      </c>
      <c r="E30" s="997">
        <f>E29-E22</f>
        <v>1.6843289999997069E-3</v>
      </c>
      <c r="I30" s="997">
        <f>I22-I29</f>
        <v>58.087052781540933</v>
      </c>
      <c r="L30" s="997">
        <f>L22-L29</f>
        <v>21.311009197846033</v>
      </c>
    </row>
  </sheetData>
  <mergeCells count="2">
    <mergeCell ref="A3:L3"/>
    <mergeCell ref="A2:L2"/>
  </mergeCells>
  <phoneticPr fontId="0" type="noConversion"/>
  <printOptions horizontalCentered="1"/>
  <pageMargins left="0" right="0" top="0.78740157480314965" bottom="0.19685039370078741" header="0" footer="0"/>
  <pageSetup paperSize="9" scale="80" orientation="landscape" r:id="rId1"/>
  <headerFooter alignWithMargins="0">
    <oddFooter>&amp;ROERC FORM -F-3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rgb="FF92D050"/>
  </sheetPr>
  <dimension ref="A1:P45"/>
  <sheetViews>
    <sheetView showGridLines="0" view="pageBreakPreview" topLeftCell="A36" zoomScale="76" zoomScaleNormal="84" zoomScaleSheetLayoutView="76" workbookViewId="0">
      <selection activeCell="D13" sqref="D13"/>
    </sheetView>
  </sheetViews>
  <sheetFormatPr defaultColWidth="14.7265625" defaultRowHeight="15.5"/>
  <cols>
    <col min="1" max="1" width="4.7265625" style="630" customWidth="1"/>
    <col min="2" max="2" width="48.81640625" style="630" customWidth="1"/>
    <col min="3" max="3" width="15.26953125" style="630" customWidth="1"/>
    <col min="4" max="4" width="15" style="630" customWidth="1"/>
    <col min="5" max="7" width="14.7265625" style="638" customWidth="1"/>
    <col min="8" max="8" width="11.26953125" style="638" customWidth="1"/>
    <col min="9" max="9" width="14.7265625" style="630" customWidth="1"/>
    <col min="10" max="10" width="11" style="630" customWidth="1"/>
    <col min="11" max="16384" width="14.7265625" style="630"/>
  </cols>
  <sheetData>
    <row r="1" spans="1:16">
      <c r="A1" s="1580" t="s">
        <v>5525</v>
      </c>
      <c r="I1" s="631"/>
      <c r="J1" s="632"/>
    </row>
    <row r="2" spans="1:16">
      <c r="A2" s="3367" t="s">
        <v>3708</v>
      </c>
      <c r="B2" s="3367"/>
      <c r="C2" s="3367"/>
      <c r="D2" s="3367"/>
      <c r="E2" s="3367"/>
      <c r="F2" s="3367"/>
      <c r="G2" s="3367"/>
      <c r="H2" s="3367"/>
      <c r="I2" s="3367"/>
      <c r="J2" s="3367"/>
    </row>
    <row r="3" spans="1:16" ht="18" customHeight="1" thickBot="1">
      <c r="A3" s="3369" t="s">
        <v>3707</v>
      </c>
      <c r="B3" s="3369"/>
      <c r="C3" s="3369"/>
      <c r="D3" s="3369"/>
      <c r="E3" s="3369"/>
      <c r="F3" s="3369"/>
      <c r="G3" s="3369"/>
      <c r="H3" s="3369"/>
      <c r="I3" s="3369"/>
      <c r="J3" s="3369"/>
    </row>
    <row r="4" spans="1:16" ht="54" customHeight="1" thickBot="1">
      <c r="A4" s="1415"/>
      <c r="B4" s="1416"/>
      <c r="C4" s="3370" t="s">
        <v>8071</v>
      </c>
      <c r="D4" s="3371"/>
      <c r="E4" s="3370" t="s">
        <v>8072</v>
      </c>
      <c r="F4" s="3371"/>
      <c r="G4" s="3370" t="s">
        <v>8073</v>
      </c>
      <c r="H4" s="3371"/>
      <c r="I4" s="3370" t="s">
        <v>8074</v>
      </c>
      <c r="J4" s="3372"/>
    </row>
    <row r="5" spans="1:16" s="674" customFormat="1">
      <c r="A5" s="740" t="s">
        <v>1102</v>
      </c>
      <c r="B5" s="1000" t="s">
        <v>459</v>
      </c>
      <c r="C5" s="1581" t="s">
        <v>461</v>
      </c>
      <c r="D5" s="1581" t="s">
        <v>460</v>
      </c>
      <c r="E5" s="672" t="s">
        <v>461</v>
      </c>
      <c r="F5" s="657" t="s">
        <v>460</v>
      </c>
      <c r="G5" s="672" t="s">
        <v>461</v>
      </c>
      <c r="H5" s="657" t="s">
        <v>460</v>
      </c>
      <c r="I5" s="672" t="s">
        <v>461</v>
      </c>
      <c r="J5" s="1417" t="s">
        <v>460</v>
      </c>
    </row>
    <row r="6" spans="1:16">
      <c r="A6" s="633">
        <v>1</v>
      </c>
      <c r="B6" s="634" t="s">
        <v>462</v>
      </c>
      <c r="C6" s="673">
        <f>'T-1'!F15+'T-1'!F34</f>
        <v>1599.7191567854197</v>
      </c>
      <c r="D6" s="636">
        <f t="shared" ref="D6:D23" si="0">C6/$C$25*100</f>
        <v>52.943790362576529</v>
      </c>
      <c r="E6" s="673">
        <f>'T-1'!I15+'T-1'!I34</f>
        <v>868.11811601600004</v>
      </c>
      <c r="F6" s="636">
        <f t="shared" ref="F6:F23" si="1">E6/$E$25*100</f>
        <v>50.256466599292018</v>
      </c>
      <c r="G6" s="673">
        <f>'T-1'!K15+'T-1'!K34-E6</f>
        <v>908.68514106400005</v>
      </c>
      <c r="H6" s="636">
        <f>'F-4'!G6/'F-4'!$G$25*100</f>
        <v>55.263489691342741</v>
      </c>
      <c r="I6" s="673">
        <f>'T-1'!O15+'T-1'!O34</f>
        <v>1912.6364812775</v>
      </c>
      <c r="J6" s="637">
        <f>'F-4'!I6/'F-4'!$I$25*100</f>
        <v>53.32816306899548</v>
      </c>
    </row>
    <row r="7" spans="1:16">
      <c r="A7" s="633">
        <v>2</v>
      </c>
      <c r="B7" s="634" t="s">
        <v>1370</v>
      </c>
      <c r="C7" s="673">
        <f>'T-1'!F20</f>
        <v>280.40925049928995</v>
      </c>
      <c r="D7" s="636">
        <f t="shared" si="0"/>
        <v>9.2803343081756893</v>
      </c>
      <c r="E7" s="673">
        <f>'T-1'!I20</f>
        <v>160.54569395104997</v>
      </c>
      <c r="F7" s="636">
        <f t="shared" si="1"/>
        <v>9.2941952907735352</v>
      </c>
      <c r="G7" s="673">
        <f>'T-1'!K20-E7</f>
        <v>129.03559923505006</v>
      </c>
      <c r="H7" s="636">
        <f>'F-4'!G7/'F-4'!$G$25*100</f>
        <v>7.8475559749910966</v>
      </c>
      <c r="I7" s="673">
        <f>'T-1'!O20</f>
        <v>305</v>
      </c>
      <c r="J7" s="637">
        <f>'F-4'!I7/'F-4'!$I$25*100</f>
        <v>8.5040152142134939</v>
      </c>
    </row>
    <row r="8" spans="1:16">
      <c r="A8" s="633">
        <v>3</v>
      </c>
      <c r="B8" s="634" t="s">
        <v>1371</v>
      </c>
      <c r="C8" s="673">
        <f>'T-1'!F21+'T-1'!F35</f>
        <v>108.98661329354999</v>
      </c>
      <c r="D8" s="636">
        <f t="shared" si="0"/>
        <v>3.606985877531061</v>
      </c>
      <c r="E8" s="673">
        <f>'T-1'!I21+'T-1'!I35</f>
        <v>55.410512678619959</v>
      </c>
      <c r="F8" s="636">
        <f t="shared" si="1"/>
        <v>3.2077853558252274</v>
      </c>
      <c r="G8" s="673">
        <f>'T-1'!K21+'T-1'!K35-E8</f>
        <v>63.862453321380038</v>
      </c>
      <c r="H8" s="636">
        <f>'F-4'!G8/'F-4'!$G$25*100</f>
        <v>3.8839218022839566</v>
      </c>
      <c r="I8" s="673">
        <f>'T-1'!O21+'T-1'!O35</f>
        <v>125.79265799878</v>
      </c>
      <c r="J8" s="637">
        <f>'F-4'!I8/'F-4'!$I$25*100</f>
        <v>3.5073530408458358</v>
      </c>
    </row>
    <row r="9" spans="1:16">
      <c r="A9" s="633">
        <v>4</v>
      </c>
      <c r="B9" s="634" t="s">
        <v>1367</v>
      </c>
      <c r="C9" s="673">
        <f>'T-1'!F22+'T-1'!F36</f>
        <v>29.371473742399999</v>
      </c>
      <c r="D9" s="636">
        <f t="shared" si="0"/>
        <v>0.97206884212247602</v>
      </c>
      <c r="E9" s="673">
        <f>'T-1'!I22+'T-1'!I36</f>
        <v>15.975214659100001</v>
      </c>
      <c r="F9" s="636">
        <f t="shared" si="1"/>
        <v>0.92482558204877063</v>
      </c>
      <c r="G9" s="673">
        <f>'T-1'!K22+'T-1'!K36-E9</f>
        <v>19.030644440899994</v>
      </c>
      <c r="H9" s="636">
        <f>'F-4'!G9/'F-4'!$G$25*100</f>
        <v>1.1573863986020796</v>
      </c>
      <c r="I9" s="673">
        <f>'T-1'!O22+'T-1'!O36</f>
        <v>37.636814854149996</v>
      </c>
      <c r="J9" s="637">
        <f>'F-4'!I9/'F-4'!$I$25*100</f>
        <v>1.0493903151941901</v>
      </c>
    </row>
    <row r="10" spans="1:16">
      <c r="A10" s="633">
        <v>5</v>
      </c>
      <c r="B10" s="634" t="s">
        <v>1368</v>
      </c>
      <c r="C10" s="673">
        <f>'T-1'!F23+'T-1'!F37</f>
        <v>2.6566981779999996</v>
      </c>
      <c r="D10" s="636">
        <f t="shared" si="0"/>
        <v>8.7925227872693412E-2</v>
      </c>
      <c r="E10" s="673">
        <f>'T-1'!I23+'T-1'!I37</f>
        <v>1.4793081260999998</v>
      </c>
      <c r="F10" s="636">
        <f t="shared" si="1"/>
        <v>8.5639036967218043E-2</v>
      </c>
      <c r="G10" s="673">
        <f>'T-1'!K23+'T-1'!K37-E10</f>
        <v>1.7606365539</v>
      </c>
      <c r="H10" s="636">
        <f>'F-4'!G10/'F-4'!$G$25*100</f>
        <v>0.10707660514039476</v>
      </c>
      <c r="I10" s="673">
        <f>'T-1'!O23+'T-1'!O37</f>
        <v>3.5456377379999999</v>
      </c>
      <c r="J10" s="637">
        <f>'F-4'!I10/'F-4'!$I$25*100</f>
        <v>9.8859532026365646E-2</v>
      </c>
    </row>
    <row r="11" spans="1:16">
      <c r="A11" s="633">
        <v>6</v>
      </c>
      <c r="B11" s="634" t="s">
        <v>1372</v>
      </c>
      <c r="C11" s="673">
        <f>'T-1'!F24</f>
        <v>36.607145578099995</v>
      </c>
      <c r="D11" s="636">
        <f t="shared" si="0"/>
        <v>1.2115383084827422</v>
      </c>
      <c r="E11" s="673">
        <f>'T-1'!I24</f>
        <v>16.412723983499998</v>
      </c>
      <c r="F11" s="636">
        <f t="shared" si="1"/>
        <v>0.9501535556769376</v>
      </c>
      <c r="G11" s="673">
        <f>'T-1'!K24-E11</f>
        <v>17.5362760165</v>
      </c>
      <c r="H11" s="636">
        <f>'F-4'!G11/'F-4'!$G$25*100</f>
        <v>1.0665034180350181</v>
      </c>
      <c r="I11" s="673">
        <f>'T-1'!O24</f>
        <v>34.678076047899999</v>
      </c>
      <c r="J11" s="637">
        <f>'F-4'!I11/'F-4'!$I$25*100</f>
        <v>0.96689470921637422</v>
      </c>
    </row>
    <row r="12" spans="1:16">
      <c r="A12" s="633">
        <v>7</v>
      </c>
      <c r="B12" s="634" t="s">
        <v>1373</v>
      </c>
      <c r="C12" s="673">
        <f>'T-1'!F25</f>
        <v>12.8702998053</v>
      </c>
      <c r="D12" s="636">
        <f t="shared" si="0"/>
        <v>0.42595130020482302</v>
      </c>
      <c r="E12" s="673">
        <f>'T-1'!I25</f>
        <v>5.9210935877000006</v>
      </c>
      <c r="F12" s="636">
        <f t="shared" si="1"/>
        <v>0.34277967091294143</v>
      </c>
      <c r="G12" s="673">
        <f>'T-1'!K25-E12</f>
        <v>7.8727158076999997</v>
      </c>
      <c r="H12" s="636">
        <f>'F-4'!G12/'F-4'!$G$25*100</f>
        <v>0.47879483136728984</v>
      </c>
      <c r="I12" s="673">
        <f>'T-1'!O25</f>
        <v>14.536469326299997</v>
      </c>
      <c r="J12" s="637">
        <f>'F-4'!I12/'F-4'!$I$25*100</f>
        <v>0.40530608626820647</v>
      </c>
    </row>
    <row r="13" spans="1:16">
      <c r="A13" s="633">
        <v>8</v>
      </c>
      <c r="B13" s="634" t="s">
        <v>1374</v>
      </c>
      <c r="C13" s="673">
        <f>'T-1'!F26+'T-1'!F41</f>
        <v>59.457415955599998</v>
      </c>
      <c r="D13" s="636">
        <f t="shared" si="0"/>
        <v>1.9677835028114539</v>
      </c>
      <c r="E13" s="673">
        <f>'T-1'!I26+'T-1'!I41</f>
        <v>35.346358890099999</v>
      </c>
      <c r="F13" s="636">
        <f t="shared" si="1"/>
        <v>2.0462458646977009</v>
      </c>
      <c r="G13" s="673">
        <f>'T-1'!K26+'T-1'!K41-E13</f>
        <v>36.083270130099997</v>
      </c>
      <c r="H13" s="636">
        <f>'F-4'!G13/'F-4'!$G$25*100</f>
        <v>2.1944756624167909</v>
      </c>
      <c r="I13" s="673">
        <f>'T-1'!O26+'T-1'!O41</f>
        <v>74.769669652100006</v>
      </c>
      <c r="J13" s="637">
        <f>'F-4'!I13/'F-4'!$I$25*100</f>
        <v>2.0847292074858208</v>
      </c>
    </row>
    <row r="14" spans="1:16">
      <c r="A14" s="633">
        <v>9</v>
      </c>
      <c r="B14" s="634" t="s">
        <v>883</v>
      </c>
      <c r="C14" s="673">
        <f>'T-1'!F27+'T-1'!F38</f>
        <v>53.807337664560009</v>
      </c>
      <c r="D14" s="636">
        <f t="shared" si="0"/>
        <v>1.7807903301010199</v>
      </c>
      <c r="E14" s="673">
        <f>'T-1'!I27+'T-1'!I38</f>
        <v>39.193359433300003</v>
      </c>
      <c r="F14" s="636">
        <f t="shared" si="1"/>
        <v>2.2689536399876085</v>
      </c>
      <c r="G14" s="673">
        <f>'T-1'!K27+'T-1'!K38-E14</f>
        <v>29.322175673099991</v>
      </c>
      <c r="H14" s="636">
        <f>'F-4'!G14/'F-4'!$G$25*100</f>
        <v>1.7832862889566845</v>
      </c>
      <c r="I14" s="673">
        <f>'T-1'!O27+'T-1'!O38</f>
        <v>72.428167556800005</v>
      </c>
      <c r="J14" s="637">
        <f>'F-4'!I14/'F-4'!$I$25*100</f>
        <v>2.0194434060348576</v>
      </c>
    </row>
    <row r="15" spans="1:16">
      <c r="A15" s="633">
        <v>10</v>
      </c>
      <c r="B15" s="634" t="s">
        <v>1375</v>
      </c>
      <c r="C15" s="673">
        <f>'T-1'!F30+'T-1'!F39+'T-1'!F40</f>
        <v>50.316985901599992</v>
      </c>
      <c r="D15" s="636">
        <f t="shared" si="0"/>
        <v>1.6652747714818819</v>
      </c>
      <c r="E15" s="673">
        <f>'T-1'!I30+'T-1'!I39+'T-1'!I40</f>
        <v>26.9978545353</v>
      </c>
      <c r="F15" s="636">
        <f t="shared" si="1"/>
        <v>1.5629402839012312</v>
      </c>
      <c r="G15" s="673">
        <f>'T-1'!K30+'T-1'!K39+'T-1'!K40-E15</f>
        <v>28.785574222900003</v>
      </c>
      <c r="H15" s="636">
        <f>'F-4'!G15/'F-4'!$G$25*100</f>
        <v>1.7506518071418244</v>
      </c>
      <c r="I15" s="673">
        <f>'T-1'!O30+'T-1'!O39+'T-1'!O40</f>
        <v>58.976414706</v>
      </c>
      <c r="J15" s="637">
        <f>'F-4'!I15/'F-4'!$I$25*100</f>
        <v>1.6443814030806179</v>
      </c>
      <c r="L15" s="674"/>
      <c r="M15" s="674"/>
      <c r="N15" s="674"/>
      <c r="O15" s="674"/>
      <c r="P15" s="674"/>
    </row>
    <row r="16" spans="1:16">
      <c r="A16" s="633">
        <v>11</v>
      </c>
      <c r="B16" s="634" t="s">
        <v>1376</v>
      </c>
      <c r="C16" s="673">
        <f>'T-1'!F28+'T-1'!F29+'T-1'!F42</f>
        <v>90.203822163119995</v>
      </c>
      <c r="D16" s="636">
        <f t="shared" si="0"/>
        <v>2.9853566672940439</v>
      </c>
      <c r="E16" s="673">
        <f>'T-1'!I28+'T-1'!I29+'T-1'!I42</f>
        <v>48.288918137800003</v>
      </c>
      <c r="F16" s="636">
        <f t="shared" si="1"/>
        <v>2.7955071513143772</v>
      </c>
      <c r="G16" s="673">
        <f>'T-1'!K28+'T-1'!K29+'T-1'!K42-E16</f>
        <v>46.190851533799993</v>
      </c>
      <c r="H16" s="636">
        <f>'F-4'!G16/'F-4'!$G$25*100</f>
        <v>2.8091882789934499</v>
      </c>
      <c r="I16" s="673">
        <f>'T-1'!O28+'T-1'!O29+'T-1'!O42</f>
        <v>98.568701340839979</v>
      </c>
      <c r="J16" s="637">
        <f>'F-4'!I16/'F-4'!$I$25*100</f>
        <v>2.7482942158943255</v>
      </c>
      <c r="M16" s="674"/>
      <c r="N16" s="674"/>
      <c r="O16" s="674"/>
    </row>
    <row r="17" spans="1:16">
      <c r="A17" s="633">
        <v>12</v>
      </c>
      <c r="B17" s="634" t="s">
        <v>1377</v>
      </c>
      <c r="C17" s="673">
        <f>'T-1'!F31+'T-1'!F43+'T-1'!F52</f>
        <v>271.94110385000005</v>
      </c>
      <c r="D17" s="636">
        <f t="shared" si="0"/>
        <v>9.0000752520420644</v>
      </c>
      <c r="E17" s="673">
        <f>'T-1'!I31+'T-1'!I43+'T-1'!I52</f>
        <v>237.67563867999996</v>
      </c>
      <c r="F17" s="636">
        <f t="shared" si="1"/>
        <v>13.759346310619632</v>
      </c>
      <c r="G17" s="673">
        <f>'T-1'!K31+'T-1'!K43+'T-1'!K52-E17</f>
        <v>162.45336132000006</v>
      </c>
      <c r="H17" s="636">
        <f>'F-4'!G17/'F-4'!$G$25*100</f>
        <v>9.8799234772558968</v>
      </c>
      <c r="I17" s="673">
        <f>'T-1'!O31+'T-1'!O43+'T-1'!O52</f>
        <v>425</v>
      </c>
      <c r="J17" s="637">
        <f>'F-4'!I17/'F-4'!$I$25*100</f>
        <v>11.849857265707328</v>
      </c>
      <c r="M17" s="674"/>
      <c r="N17" s="674"/>
      <c r="O17" s="674"/>
      <c r="P17" s="675"/>
    </row>
    <row r="18" spans="1:16">
      <c r="A18" s="633">
        <v>13</v>
      </c>
      <c r="B18" s="634" t="s">
        <v>1378</v>
      </c>
      <c r="C18" s="673">
        <f>'T-1'!F53</f>
        <v>262.35451999999998</v>
      </c>
      <c r="D18" s="636">
        <f t="shared" si="0"/>
        <v>8.6828007582693125</v>
      </c>
      <c r="E18" s="673">
        <f>'T-1'!I53</f>
        <v>139.99779065519999</v>
      </c>
      <c r="F18" s="636">
        <f t="shared" si="1"/>
        <v>8.1046509227645913</v>
      </c>
      <c r="G18" s="673">
        <f>'T-1'!K53-E18</f>
        <v>125.99779065519999</v>
      </c>
      <c r="H18" s="636">
        <f>'F-4'!G18/'F-4'!$G$25*100</f>
        <v>7.6628056191745131</v>
      </c>
      <c r="I18" s="673">
        <f>'T-1'!O53</f>
        <v>270</v>
      </c>
      <c r="J18" s="637">
        <f>'F-4'!I18/'F-4'!$I$25*100</f>
        <v>7.5281446158611267</v>
      </c>
      <c r="M18" s="674"/>
      <c r="N18" s="674"/>
      <c r="O18" s="674"/>
      <c r="P18" s="675"/>
    </row>
    <row r="19" spans="1:16">
      <c r="A19" s="633">
        <v>14</v>
      </c>
      <c r="B19" s="634" t="s">
        <v>1379</v>
      </c>
      <c r="C19" s="673">
        <f>'T-1'!F54</f>
        <v>0</v>
      </c>
      <c r="D19" s="636">
        <f t="shared" si="0"/>
        <v>0</v>
      </c>
      <c r="E19" s="673">
        <f>'T-1'!I54</f>
        <v>0</v>
      </c>
      <c r="F19" s="636">
        <f t="shared" si="1"/>
        <v>0</v>
      </c>
      <c r="G19" s="673">
        <f>'T-1'!K54-E19</f>
        <v>0</v>
      </c>
      <c r="H19" s="636">
        <f>'F-4'!G19/'F-4'!$G$25*100</f>
        <v>0</v>
      </c>
      <c r="I19" s="673">
        <f>'T-1'!O54</f>
        <v>0</v>
      </c>
      <c r="J19" s="637">
        <f>'F-4'!I19/'F-4'!$I$25*100</f>
        <v>0</v>
      </c>
      <c r="L19" s="676"/>
      <c r="M19" s="674"/>
      <c r="N19" s="674"/>
      <c r="O19" s="674"/>
      <c r="P19" s="675"/>
    </row>
    <row r="20" spans="1:16">
      <c r="A20" s="633">
        <v>15</v>
      </c>
      <c r="B20" s="634" t="s">
        <v>1380</v>
      </c>
      <c r="C20" s="673">
        <f>'T-1'!F55</f>
        <v>132.89894100000001</v>
      </c>
      <c r="D20" s="636">
        <f t="shared" si="0"/>
        <v>4.3983805794083093</v>
      </c>
      <c r="E20" s="673">
        <f>'T-1'!I55</f>
        <v>70.854220999999995</v>
      </c>
      <c r="F20" s="636">
        <f t="shared" si="1"/>
        <v>4.1018413570806365</v>
      </c>
      <c r="G20" s="673">
        <f>'T-1'!K55-E20</f>
        <v>55.03377900000001</v>
      </c>
      <c r="H20" s="636">
        <f>'F-4'!G20/'F-4'!$G$25*100</f>
        <v>3.3469884572789854</v>
      </c>
      <c r="I20" s="673">
        <f>'T-1'!O55</f>
        <v>135</v>
      </c>
      <c r="J20" s="637">
        <f>'F-4'!I20/'F-4'!$I$25*100</f>
        <v>3.7640723079305634</v>
      </c>
      <c r="L20" s="676"/>
      <c r="M20" s="674"/>
      <c r="N20" s="674"/>
      <c r="O20" s="674"/>
      <c r="P20" s="675"/>
    </row>
    <row r="21" spans="1:16">
      <c r="A21" s="633">
        <v>16</v>
      </c>
      <c r="B21" s="634" t="s">
        <v>647</v>
      </c>
      <c r="C21" s="673">
        <f>'T-1'!F57</f>
        <v>29.941791999999992</v>
      </c>
      <c r="D21" s="636">
        <f t="shared" si="0"/>
        <v>0.9909439116259251</v>
      </c>
      <c r="E21" s="673">
        <f>'T-1'!I57</f>
        <v>5.1591430000000003</v>
      </c>
      <c r="F21" s="636">
        <f t="shared" si="1"/>
        <v>0.29866937813758571</v>
      </c>
      <c r="G21" s="673">
        <f>'T-1'!K57-E21</f>
        <v>3.0024569999999997</v>
      </c>
      <c r="H21" s="636">
        <f>'F-4'!G21/'F-4'!$G$25*100</f>
        <v>0.18260037935022574</v>
      </c>
      <c r="I21" s="673">
        <f>'T-1'!O57</f>
        <v>8.1620000000000008</v>
      </c>
      <c r="J21" s="637">
        <f>'F-4'!I21/'F-4'!$I$25*100</f>
        <v>0.2275730235357723</v>
      </c>
      <c r="L21" s="676"/>
      <c r="M21" s="674"/>
      <c r="N21" s="674"/>
      <c r="O21" s="674"/>
      <c r="P21" s="675"/>
    </row>
    <row r="22" spans="1:16">
      <c r="A22" s="633">
        <v>17</v>
      </c>
      <c r="B22" s="634" t="s">
        <v>1381</v>
      </c>
      <c r="C22" s="673">
        <f>'T-1'!F45+'T-1'!F56</f>
        <v>0</v>
      </c>
      <c r="D22" s="636">
        <f t="shared" si="0"/>
        <v>0</v>
      </c>
      <c r="E22" s="673">
        <f>'T-1'!I45+'T-1'!I56</f>
        <v>0</v>
      </c>
      <c r="F22" s="636">
        <f t="shared" si="1"/>
        <v>0</v>
      </c>
      <c r="G22" s="673">
        <f>'T-1'!K45+'T-1'!K56-E22</f>
        <v>0</v>
      </c>
      <c r="H22" s="636">
        <f>'F-4'!G22/'F-4'!$G$25*100</f>
        <v>0</v>
      </c>
      <c r="I22" s="673">
        <f>'T-1'!O45+'T-1'!O56</f>
        <v>0</v>
      </c>
      <c r="J22" s="637">
        <f>'F-4'!I22/'F-4'!$I$25*100</f>
        <v>0</v>
      </c>
      <c r="M22" s="674"/>
      <c r="N22" s="674"/>
      <c r="O22" s="674"/>
      <c r="P22" s="675"/>
    </row>
    <row r="23" spans="1:16">
      <c r="A23" s="633">
        <v>18</v>
      </c>
      <c r="B23" s="634" t="s">
        <v>861</v>
      </c>
      <c r="C23" s="673">
        <f>'T-1'!F58+'T-1'!F48</f>
        <v>0</v>
      </c>
      <c r="D23" s="636">
        <f t="shared" si="0"/>
        <v>0</v>
      </c>
      <c r="E23" s="673">
        <f>'T-1'!I58+'T-1'!I48</f>
        <v>0</v>
      </c>
      <c r="F23" s="636">
        <f t="shared" si="1"/>
        <v>0</v>
      </c>
      <c r="G23" s="673">
        <f>'T-1'!K58+'T-1'!K48-E23</f>
        <v>9.6247999999999987</v>
      </c>
      <c r="H23" s="636">
        <f>'F-4'!G23/'F-4'!$G$25*100</f>
        <v>0.58535130766903665</v>
      </c>
      <c r="I23" s="673">
        <f>'T-1'!O58+'T-1'!O48</f>
        <v>9.81</v>
      </c>
      <c r="J23" s="637">
        <f>'F-4'!I23/'F-4'!$I$25*100</f>
        <v>0.27352258770962096</v>
      </c>
      <c r="L23" s="676"/>
      <c r="M23" s="674"/>
      <c r="N23" s="674"/>
      <c r="O23" s="674"/>
      <c r="P23" s="675"/>
    </row>
    <row r="24" spans="1:16">
      <c r="A24" s="633"/>
      <c r="B24" s="634"/>
      <c r="C24" s="634"/>
      <c r="D24" s="634"/>
      <c r="E24" s="636"/>
      <c r="F24" s="634"/>
      <c r="G24" s="19"/>
      <c r="H24" s="673"/>
      <c r="I24" s="673"/>
      <c r="J24" s="681"/>
      <c r="L24" s="676"/>
      <c r="M24" s="674"/>
      <c r="N24" s="674"/>
      <c r="O24" s="674"/>
      <c r="P24" s="675"/>
    </row>
    <row r="25" spans="1:16">
      <c r="A25" s="633">
        <v>19</v>
      </c>
      <c r="B25" s="628" t="s">
        <v>3709</v>
      </c>
      <c r="C25" s="673">
        <f t="shared" ref="C25:J25" si="2">SUM(C6:C24)</f>
        <v>3021.5425564169391</v>
      </c>
      <c r="D25" s="636">
        <f t="shared" si="2"/>
        <v>100.00000000000003</v>
      </c>
      <c r="E25" s="673">
        <f t="shared" si="2"/>
        <v>1727.3759473337698</v>
      </c>
      <c r="F25" s="636">
        <f t="shared" si="2"/>
        <v>100.00000000000001</v>
      </c>
      <c r="G25" s="673">
        <f t="shared" si="2"/>
        <v>1644.2775259745306</v>
      </c>
      <c r="H25" s="673">
        <f t="shared" si="2"/>
        <v>99.999999999999986</v>
      </c>
      <c r="I25" s="673">
        <f t="shared" si="2"/>
        <v>3586.5410904983705</v>
      </c>
      <c r="J25" s="681">
        <f t="shared" si="2"/>
        <v>99.999999999999972</v>
      </c>
      <c r="K25" s="630">
        <f>'T-1'!I61</f>
        <v>1727.37594733377</v>
      </c>
      <c r="L25" s="667">
        <f>+E25-K25</f>
        <v>0</v>
      </c>
      <c r="M25" s="674"/>
      <c r="N25" s="674"/>
      <c r="O25" s="674"/>
      <c r="P25" s="675"/>
    </row>
    <row r="26" spans="1:16">
      <c r="A26" s="633"/>
      <c r="B26" s="628"/>
      <c r="C26" s="628"/>
      <c r="D26" s="628"/>
      <c r="E26" s="636"/>
      <c r="F26" s="634"/>
      <c r="G26" s="19"/>
      <c r="H26" s="12"/>
      <c r="I26" s="19"/>
      <c r="J26" s="80"/>
      <c r="L26" s="676"/>
      <c r="M26" s="674"/>
      <c r="N26" s="677"/>
      <c r="O26" s="674"/>
      <c r="P26" s="675"/>
    </row>
    <row r="27" spans="1:16">
      <c r="A27" s="649">
        <v>2</v>
      </c>
      <c r="B27" s="639" t="s">
        <v>1382</v>
      </c>
      <c r="C27" s="673">
        <f>C29-C25</f>
        <v>919.99821923972922</v>
      </c>
      <c r="D27" s="636">
        <f>C27/C29*100</f>
        <v>23.341080851471229</v>
      </c>
      <c r="E27" s="673">
        <f>E29-E25</f>
        <v>521.10736866623006</v>
      </c>
      <c r="F27" s="636">
        <f>E27/E29*100</f>
        <v>23.175949981842344</v>
      </c>
      <c r="G27" s="673">
        <f>G29-G25</f>
        <v>602.59981256986953</v>
      </c>
      <c r="H27" s="636">
        <f>'F-4'!G27/'F-4'!G29*100</f>
        <v>26.819435232732964</v>
      </c>
      <c r="I27" s="673">
        <f>I29-I25</f>
        <v>1194.7270301661233</v>
      </c>
      <c r="J27" s="637">
        <f>'F-4'!I27/'F-4'!I29*100</f>
        <v>24.987660177486173</v>
      </c>
    </row>
    <row r="28" spans="1:16">
      <c r="A28" s="649"/>
      <c r="B28" s="634"/>
      <c r="C28" s="634"/>
      <c r="D28" s="634"/>
      <c r="E28" s="636"/>
      <c r="F28" s="634"/>
      <c r="G28" s="673"/>
      <c r="H28" s="673"/>
      <c r="I28" s="673"/>
      <c r="J28" s="681"/>
    </row>
    <row r="29" spans="1:16">
      <c r="A29" s="649">
        <v>3</v>
      </c>
      <c r="B29" s="639" t="s">
        <v>3710</v>
      </c>
      <c r="C29" s="673">
        <f>'T-1'!F62</f>
        <v>3941.5407756566683</v>
      </c>
      <c r="D29" s="639"/>
      <c r="E29" s="673">
        <f>'T-1'!I62</f>
        <v>2248.4833159999998</v>
      </c>
      <c r="F29" s="634"/>
      <c r="G29" s="673">
        <f>'T-1'!K62-'T-1'!I62</f>
        <v>2246.8773385444001</v>
      </c>
      <c r="H29" s="673"/>
      <c r="I29" s="673">
        <f>'T-1'!O62</f>
        <v>4781.2681206644938</v>
      </c>
      <c r="J29" s="681"/>
      <c r="K29" s="630">
        <f>'T-1'!I62</f>
        <v>2248.4833159999998</v>
      </c>
      <c r="L29" s="667">
        <f>+E29-K29</f>
        <v>0</v>
      </c>
    </row>
    <row r="30" spans="1:16">
      <c r="A30" s="633"/>
      <c r="B30" s="634"/>
      <c r="C30" s="634"/>
      <c r="D30" s="634"/>
      <c r="E30" s="636"/>
      <c r="F30" s="634"/>
      <c r="G30" s="634"/>
      <c r="H30" s="634"/>
      <c r="I30" s="634"/>
      <c r="J30" s="635"/>
    </row>
    <row r="31" spans="1:16">
      <c r="A31" s="2121" t="s">
        <v>543</v>
      </c>
      <c r="B31" s="639" t="s">
        <v>541</v>
      </c>
      <c r="C31" s="634"/>
      <c r="D31" s="634"/>
      <c r="E31" s="661"/>
      <c r="F31" s="634"/>
      <c r="G31" s="634"/>
      <c r="H31" s="634"/>
      <c r="I31" s="747"/>
      <c r="J31" s="678"/>
    </row>
    <row r="32" spans="1:16">
      <c r="A32" s="633"/>
      <c r="B32" s="634"/>
      <c r="C32" s="634"/>
      <c r="D32" s="634"/>
      <c r="E32" s="661"/>
      <c r="F32" s="634"/>
      <c r="G32" s="634"/>
      <c r="H32" s="634"/>
      <c r="I32" s="680"/>
      <c r="J32" s="647"/>
      <c r="K32" s="638"/>
    </row>
    <row r="33" spans="1:16">
      <c r="A33" s="646">
        <v>1</v>
      </c>
      <c r="B33" s="634" t="s">
        <v>542</v>
      </c>
      <c r="C33" s="673">
        <f>C29</f>
        <v>3941.5407756566683</v>
      </c>
      <c r="D33" s="673"/>
      <c r="E33" s="673">
        <f>E29</f>
        <v>2248.4833159999998</v>
      </c>
      <c r="F33" s="673"/>
      <c r="G33" s="673">
        <f>G29</f>
        <v>2246.8773385444001</v>
      </c>
      <c r="H33" s="673"/>
      <c r="I33" s="673">
        <f>I29</f>
        <v>4781.2681206644938</v>
      </c>
      <c r="J33" s="662"/>
      <c r="L33" s="3368"/>
      <c r="M33" s="3368"/>
      <c r="N33" s="3368" t="s">
        <v>947</v>
      </c>
      <c r="O33" s="3368"/>
    </row>
    <row r="34" spans="1:16">
      <c r="A34" s="633"/>
      <c r="B34" s="634"/>
      <c r="C34" s="634"/>
      <c r="D34" s="634"/>
      <c r="E34" s="661"/>
      <c r="F34" s="634"/>
      <c r="G34" s="634"/>
      <c r="H34" s="634"/>
      <c r="I34" s="680"/>
      <c r="J34" s="647"/>
      <c r="L34" s="670"/>
      <c r="M34" s="670"/>
      <c r="N34" s="670" t="s">
        <v>461</v>
      </c>
      <c r="O34" s="670" t="s">
        <v>853</v>
      </c>
      <c r="P34" s="630" t="s">
        <v>955</v>
      </c>
    </row>
    <row r="35" spans="1:16">
      <c r="A35" s="646">
        <v>2</v>
      </c>
      <c r="B35" s="634" t="s">
        <v>3711</v>
      </c>
      <c r="C35" s="634"/>
      <c r="D35" s="634"/>
      <c r="E35" s="636"/>
      <c r="F35" s="634"/>
      <c r="G35" s="634"/>
      <c r="H35" s="634"/>
      <c r="I35" s="634"/>
      <c r="J35" s="635"/>
      <c r="L35" s="671"/>
      <c r="M35" s="671"/>
      <c r="N35" s="671"/>
      <c r="O35" s="671"/>
    </row>
    <row r="36" spans="1:16">
      <c r="A36" s="646">
        <v>3</v>
      </c>
      <c r="B36" s="639" t="s">
        <v>1413</v>
      </c>
      <c r="C36" s="673">
        <f>SUM(C33:C35)</f>
        <v>3941.5407756566683</v>
      </c>
      <c r="D36" s="673"/>
      <c r="E36" s="673">
        <f>SUM(E33:E35)</f>
        <v>2248.4833159999998</v>
      </c>
      <c r="F36" s="673"/>
      <c r="G36" s="673">
        <f>SUM(G33:G35)</f>
        <v>2246.8773385444001</v>
      </c>
      <c r="H36" s="673"/>
      <c r="I36" s="673">
        <f>SUM(I33:I35)</f>
        <v>4781.2681206644938</v>
      </c>
      <c r="J36" s="681"/>
      <c r="L36" s="671"/>
      <c r="M36" s="671" t="s">
        <v>954</v>
      </c>
      <c r="N36" s="671">
        <v>158.80901</v>
      </c>
      <c r="O36" s="671">
        <v>312.12299999999999</v>
      </c>
      <c r="P36" s="630">
        <f>121171274.63+34937982.2</f>
        <v>156109256.82999998</v>
      </c>
    </row>
    <row r="37" spans="1:16">
      <c r="A37" s="646">
        <v>4</v>
      </c>
      <c r="B37" s="639" t="s">
        <v>3712</v>
      </c>
      <c r="C37" s="636">
        <f>C39/C33*10</f>
        <v>2.3501642482048717</v>
      </c>
      <c r="D37" s="634"/>
      <c r="E37" s="636">
        <f>E39/E33*10</f>
        <v>2.5515743946040468</v>
      </c>
      <c r="F37" s="634"/>
      <c r="G37" s="636">
        <f>G39/G33*10</f>
        <v>2.55157551991792</v>
      </c>
      <c r="H37" s="634"/>
      <c r="I37" s="636">
        <f>I39/I33*10</f>
        <v>2.5514807787016585</v>
      </c>
      <c r="J37" s="635"/>
      <c r="L37" s="671"/>
      <c r="M37" s="671"/>
      <c r="N37" s="671"/>
      <c r="O37" s="671"/>
    </row>
    <row r="38" spans="1:16">
      <c r="A38" s="646">
        <v>5</v>
      </c>
      <c r="B38" s="639" t="s">
        <v>3713</v>
      </c>
      <c r="C38" s="634"/>
      <c r="D38" s="634"/>
      <c r="E38" s="636"/>
      <c r="F38" s="634"/>
      <c r="G38" s="634"/>
      <c r="H38" s="634"/>
      <c r="I38" s="634"/>
      <c r="J38" s="635"/>
    </row>
    <row r="39" spans="1:16" ht="16" thickBot="1">
      <c r="A39" s="1352" t="s">
        <v>544</v>
      </c>
      <c r="B39" s="1353" t="s">
        <v>4041</v>
      </c>
      <c r="C39" s="1354">
        <f>'F-6'!F11</f>
        <v>926.32682137899997</v>
      </c>
      <c r="D39" s="1353"/>
      <c r="E39" s="1354">
        <f>(E33*2.55/10)+0.059*6</f>
        <v>573.71724557999994</v>
      </c>
      <c r="F39" s="1353"/>
      <c r="G39" s="1354">
        <f>(G33*2.55/10)+0.059*6</f>
        <v>573.30772132882203</v>
      </c>
      <c r="H39" s="1353"/>
      <c r="I39" s="1354">
        <f>(I33*2.55/10)+0.059*12</f>
        <v>1219.9313707694459</v>
      </c>
      <c r="J39" s="1418"/>
    </row>
    <row r="40" spans="1:16">
      <c r="F40" s="659" t="s">
        <v>6994</v>
      </c>
      <c r="G40" s="659">
        <f>(E36+G36)*2.27/10</f>
        <v>1020.4468685815788</v>
      </c>
      <c r="H40" s="659"/>
      <c r="I40" s="659">
        <f>(I36)*2.27/10</f>
        <v>1085.3478633908401</v>
      </c>
    </row>
    <row r="41" spans="1:16">
      <c r="F41" s="636" t="s">
        <v>6995</v>
      </c>
      <c r="G41" s="636">
        <f>((E33+G33)*0.28)/10</f>
        <v>125.8700983272432</v>
      </c>
      <c r="H41" s="636"/>
      <c r="I41" s="636">
        <f>(+I33*0.28)/10</f>
        <v>133.87550737860585</v>
      </c>
    </row>
    <row r="42" spans="1:16">
      <c r="F42" s="636" t="s">
        <v>3897</v>
      </c>
      <c r="G42" s="636">
        <f>(5.9*12)/100</f>
        <v>0.70800000000000007</v>
      </c>
      <c r="H42" s="636"/>
      <c r="I42" s="636">
        <f>(5.9*12)/100</f>
        <v>0.70800000000000007</v>
      </c>
      <c r="J42" s="638"/>
    </row>
    <row r="43" spans="1:16">
      <c r="F43" s="636"/>
      <c r="G43" s="636">
        <f>SUM(G40:G42)</f>
        <v>1147.0249669088221</v>
      </c>
      <c r="H43" s="636"/>
      <c r="I43" s="636">
        <f>SUM(I40:I42)</f>
        <v>1219.9313707694459</v>
      </c>
    </row>
    <row r="44" spans="1:16">
      <c r="F44" s="636"/>
      <c r="G44" s="636">
        <v>1147.0249669088219</v>
      </c>
      <c r="H44" s="636"/>
      <c r="I44" s="636">
        <f>'F-6'!N11</f>
        <v>1219.9313707694459</v>
      </c>
    </row>
    <row r="45" spans="1:16">
      <c r="C45" s="630">
        <f>2.27+0.28</f>
        <v>2.5499999999999998</v>
      </c>
      <c r="F45" s="636"/>
      <c r="G45" s="636">
        <f>G43-G44</f>
        <v>0</v>
      </c>
      <c r="H45" s="750"/>
      <c r="I45" s="750">
        <f>I43-I44</f>
        <v>0</v>
      </c>
    </row>
  </sheetData>
  <mergeCells count="8">
    <mergeCell ref="A2:J2"/>
    <mergeCell ref="L33:M33"/>
    <mergeCell ref="N33:O33"/>
    <mergeCell ref="A3:J3"/>
    <mergeCell ref="C4:D4"/>
    <mergeCell ref="E4:F4"/>
    <mergeCell ref="G4:H4"/>
    <mergeCell ref="I4:J4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>
    <oddFooter>&amp;ROERC FORM -F-4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">
    <tabColor rgb="FF92D050"/>
    <pageSetUpPr fitToPage="1"/>
  </sheetPr>
  <dimension ref="A1:O45"/>
  <sheetViews>
    <sheetView showGridLines="0" topLeftCell="A21" zoomScale="86" zoomScaleNormal="86" zoomScaleSheetLayoutView="100" workbookViewId="0">
      <selection activeCell="D13" sqref="D13"/>
    </sheetView>
  </sheetViews>
  <sheetFormatPr defaultColWidth="9.1796875" defaultRowHeight="15.5"/>
  <cols>
    <col min="1" max="1" width="4.26953125" style="1356" customWidth="1"/>
    <col min="2" max="2" width="43.81640625" style="1357" customWidth="1"/>
    <col min="3" max="4" width="10.54296875" style="1357" customWidth="1"/>
    <col min="5" max="5" width="10.1796875" style="1357" bestFit="1" customWidth="1"/>
    <col min="6" max="7" width="11.1796875" style="1357" bestFit="1" customWidth="1"/>
    <col min="8" max="8" width="12.81640625" style="1357" customWidth="1"/>
    <col min="9" max="9" width="13.81640625" style="1357" customWidth="1"/>
    <col min="10" max="10" width="12.1796875" style="1357" customWidth="1"/>
    <col min="11" max="11" width="13.54296875" style="1357" customWidth="1"/>
    <col min="12" max="12" width="12.81640625" style="1357" customWidth="1"/>
    <col min="13" max="13" width="11" style="1357" customWidth="1"/>
    <col min="14" max="14" width="11.81640625" style="1357" customWidth="1"/>
    <col min="15" max="15" width="12.54296875" style="1357" customWidth="1"/>
    <col min="16" max="16384" width="9.1796875" style="1357"/>
  </cols>
  <sheetData>
    <row r="1" spans="1:15">
      <c r="A1" s="1419"/>
      <c r="B1" s="1580" t="s">
        <v>5525</v>
      </c>
      <c r="J1" s="3373"/>
      <c r="K1" s="3373"/>
    </row>
    <row r="2" spans="1:15">
      <c r="A2" s="3378" t="s">
        <v>3723</v>
      </c>
      <c r="B2" s="3378"/>
      <c r="C2" s="3378"/>
      <c r="D2" s="3378"/>
      <c r="E2" s="3378"/>
      <c r="F2" s="3378"/>
      <c r="G2" s="3378"/>
      <c r="H2" s="3378"/>
      <c r="I2" s="3378"/>
      <c r="J2" s="3378"/>
      <c r="K2" s="3378"/>
      <c r="L2" s="3378"/>
      <c r="M2" s="3378"/>
      <c r="N2" s="3378"/>
      <c r="O2" s="3378"/>
    </row>
    <row r="3" spans="1:15">
      <c r="B3" s="3377" t="s">
        <v>3722</v>
      </c>
      <c r="C3" s="3377"/>
      <c r="D3" s="3377"/>
      <c r="E3" s="3377"/>
      <c r="F3" s="3377"/>
      <c r="G3" s="3377"/>
      <c r="H3" s="3377"/>
      <c r="I3" s="3377"/>
      <c r="J3" s="3377"/>
      <c r="K3" s="3377"/>
      <c r="L3" s="3377"/>
      <c r="M3" s="3377"/>
      <c r="N3" s="3377"/>
      <c r="O3" s="3377"/>
    </row>
    <row r="4" spans="1:15">
      <c r="B4" s="1420"/>
      <c r="C4" s="1420"/>
      <c r="D4" s="1420"/>
      <c r="E4" s="1420"/>
      <c r="F4" s="1420"/>
      <c r="G4" s="1420"/>
      <c r="H4" s="1421"/>
      <c r="I4" s="1421"/>
      <c r="J4" s="1421"/>
      <c r="K4" s="1421"/>
    </row>
    <row r="5" spans="1:15">
      <c r="A5" s="1361"/>
      <c r="B5" s="1362"/>
      <c r="C5" s="1362"/>
      <c r="D5" s="3374" t="s">
        <v>8075</v>
      </c>
      <c r="E5" s="3375"/>
      <c r="F5" s="3375"/>
      <c r="G5" s="3376"/>
      <c r="H5" s="3374" t="s">
        <v>8076</v>
      </c>
      <c r="I5" s="3375"/>
      <c r="J5" s="3375"/>
      <c r="K5" s="3376"/>
      <c r="L5" s="3374" t="s">
        <v>8077</v>
      </c>
      <c r="M5" s="3375"/>
      <c r="N5" s="3375"/>
      <c r="O5" s="3376"/>
    </row>
    <row r="6" spans="1:15">
      <c r="A6" s="1422">
        <v>1</v>
      </c>
      <c r="B6" s="1400" t="s">
        <v>428</v>
      </c>
      <c r="C6" s="1400"/>
      <c r="D6" s="1423" t="s">
        <v>1494</v>
      </c>
      <c r="E6" s="1423" t="s">
        <v>1495</v>
      </c>
      <c r="F6" s="1423" t="s">
        <v>1496</v>
      </c>
      <c r="G6" s="1424" t="s">
        <v>1101</v>
      </c>
      <c r="H6" s="1423" t="s">
        <v>1494</v>
      </c>
      <c r="I6" s="1423" t="s">
        <v>1495</v>
      </c>
      <c r="J6" s="1423" t="s">
        <v>1496</v>
      </c>
      <c r="K6" s="1424" t="s">
        <v>1101</v>
      </c>
      <c r="L6" s="1423" t="s">
        <v>1494</v>
      </c>
      <c r="M6" s="1423" t="s">
        <v>1495</v>
      </c>
      <c r="N6" s="1423" t="s">
        <v>1496</v>
      </c>
      <c r="O6" s="1424" t="s">
        <v>1101</v>
      </c>
    </row>
    <row r="7" spans="1:15">
      <c r="A7" s="1425"/>
      <c r="B7" s="1362"/>
      <c r="C7" s="1362"/>
      <c r="D7" s="1362"/>
      <c r="E7" s="1362"/>
      <c r="F7" s="1362"/>
      <c r="G7" s="1362"/>
      <c r="H7" s="1392"/>
      <c r="I7" s="1392"/>
      <c r="J7" s="1392"/>
      <c r="K7" s="1426"/>
      <c r="L7" s="1362"/>
      <c r="M7" s="1362"/>
      <c r="N7" s="1362"/>
      <c r="O7" s="1362"/>
    </row>
    <row r="8" spans="1:15">
      <c r="A8" s="1425"/>
      <c r="B8" s="1366" t="s">
        <v>4042</v>
      </c>
      <c r="C8" s="1362"/>
      <c r="D8" s="1362"/>
      <c r="E8" s="1362"/>
      <c r="F8" s="1362"/>
      <c r="G8" s="1362"/>
      <c r="H8" s="1392"/>
      <c r="I8" s="1392"/>
      <c r="J8" s="1392"/>
      <c r="K8" s="1426"/>
      <c r="L8" s="1362"/>
      <c r="M8" s="1362"/>
      <c r="N8" s="1362"/>
      <c r="O8" s="1362"/>
    </row>
    <row r="9" spans="1:15">
      <c r="A9" s="1425">
        <v>2</v>
      </c>
      <c r="B9" s="1362" t="s">
        <v>1497</v>
      </c>
      <c r="C9" s="1371" t="s">
        <v>1102</v>
      </c>
      <c r="D9" s="673">
        <f>'T-1'!F62</f>
        <v>3941.5407756566683</v>
      </c>
      <c r="E9" s="1427">
        <f>D15-D17</f>
        <v>3404.1630326566683</v>
      </c>
      <c r="F9" s="1427">
        <f>E15-E17</f>
        <v>2568.2129673185682</v>
      </c>
      <c r="G9" s="1428">
        <f>'T-1'!F62</f>
        <v>3941.5407756566683</v>
      </c>
      <c r="H9" s="1427">
        <f>+'F-4'!E36+'F-4'!G36</f>
        <v>4495.3606545443999</v>
      </c>
      <c r="I9" s="1427">
        <f>H15-H17</f>
        <v>3876.0254732339999</v>
      </c>
      <c r="J9" s="1427">
        <f>I15-I17</f>
        <v>2927.3995597567</v>
      </c>
      <c r="K9" s="1428">
        <f>'F-4'!E33+'F-4'!G33</f>
        <v>4495.3606545443999</v>
      </c>
      <c r="L9" s="1427">
        <f>'F-4'!I29</f>
        <v>4781.2681206644938</v>
      </c>
      <c r="M9" s="1427">
        <f>'F-5'!L15-'F-5'!L17</f>
        <v>4138.7961206644941</v>
      </c>
      <c r="N9" s="1427">
        <f>'F-5'!M15-'F-5'!M17</f>
        <v>3126.68247956082</v>
      </c>
      <c r="O9" s="1427">
        <f>+'F-4'!I33</f>
        <v>4781.2681206644938</v>
      </c>
    </row>
    <row r="10" spans="1:15">
      <c r="A10" s="1425"/>
      <c r="B10" s="1362"/>
      <c r="C10" s="1371"/>
      <c r="D10" s="1427"/>
      <c r="E10" s="1427"/>
      <c r="F10" s="1427"/>
      <c r="G10" s="1428"/>
      <c r="H10" s="1427"/>
      <c r="I10" s="1427"/>
      <c r="J10" s="1427"/>
      <c r="K10" s="1428"/>
      <c r="L10" s="1362"/>
      <c r="M10" s="1362"/>
      <c r="N10" s="1362"/>
      <c r="O10" s="1362"/>
    </row>
    <row r="11" spans="1:15">
      <c r="A11" s="1425">
        <v>3</v>
      </c>
      <c r="B11" s="1362" t="s">
        <v>1498</v>
      </c>
      <c r="C11" s="1371" t="s">
        <v>543</v>
      </c>
      <c r="D11" s="1429">
        <v>0</v>
      </c>
      <c r="E11" s="1429">
        <v>0.15</v>
      </c>
      <c r="F11" s="1429">
        <f>F13/F9</f>
        <v>0.15940024038140774</v>
      </c>
      <c r="G11" s="1430">
        <f>G13/G9</f>
        <v>0.23341080851471208</v>
      </c>
      <c r="H11" s="1429">
        <v>0</v>
      </c>
      <c r="I11" s="1429">
        <v>0.15</v>
      </c>
      <c r="J11" s="1429">
        <f>J13/J9</f>
        <v>0.18525088536122875</v>
      </c>
      <c r="K11" s="1430">
        <f>K13/K9</f>
        <v>0.24997041785738247</v>
      </c>
      <c r="L11" s="1429">
        <v>0</v>
      </c>
      <c r="M11" s="1429">
        <v>0.15</v>
      </c>
      <c r="N11" s="1429">
        <f>('F-5'!N9-'F-5'!N17)/'F-5'!N9</f>
        <v>0.18355161287341915</v>
      </c>
      <c r="O11" s="1431">
        <f>('F-5'!O9-'F-5'!O17)/'F-5'!O9</f>
        <v>0.24987660177486185</v>
      </c>
    </row>
    <row r="12" spans="1:15">
      <c r="A12" s="1425"/>
      <c r="B12" s="1362"/>
      <c r="C12" s="1371"/>
      <c r="D12" s="1427"/>
      <c r="E12" s="1427"/>
      <c r="F12" s="1427"/>
      <c r="G12" s="1428"/>
      <c r="H12" s="1427"/>
      <c r="I12" s="1427"/>
      <c r="J12" s="1427"/>
      <c r="K12" s="1428"/>
      <c r="L12" s="1362"/>
      <c r="M12" s="1362"/>
      <c r="N12" s="1362"/>
      <c r="O12" s="1362"/>
    </row>
    <row r="13" spans="1:15">
      <c r="A13" s="1425">
        <v>4</v>
      </c>
      <c r="B13" s="1362" t="s">
        <v>3714</v>
      </c>
      <c r="C13" s="1371" t="s">
        <v>544</v>
      </c>
      <c r="D13" s="1427">
        <f>D9*D11</f>
        <v>0</v>
      </c>
      <c r="E13" s="1427">
        <f>E9*E11</f>
        <v>510.62445489850023</v>
      </c>
      <c r="F13" s="1427">
        <f>F9-F17</f>
        <v>409.37376434122825</v>
      </c>
      <c r="G13" s="1428">
        <f>G9-G17</f>
        <v>919.99821923972831</v>
      </c>
      <c r="H13" s="1427">
        <f>H9*H11</f>
        <v>0</v>
      </c>
      <c r="I13" s="1427">
        <f>I9*I11</f>
        <v>581.40382098509997</v>
      </c>
      <c r="J13" s="1427">
        <f>J9-J17</f>
        <v>542.30336025099996</v>
      </c>
      <c r="K13" s="1428">
        <f>K9-K17</f>
        <v>1123.7071812361</v>
      </c>
      <c r="L13" s="1427">
        <f>'F-5'!L11*'F-5'!L9</f>
        <v>0</v>
      </c>
      <c r="M13" s="1427">
        <f>'F-5'!M11*'F-5'!M9</f>
        <v>620.81941809967407</v>
      </c>
      <c r="N13" s="1427">
        <f>'F-5'!N11*'F-5'!N9</f>
        <v>573.90761206644993</v>
      </c>
      <c r="O13" s="1432">
        <f>'F-5'!O9-'F-5'!O17</f>
        <v>1194.7270301661238</v>
      </c>
    </row>
    <row r="14" spans="1:15">
      <c r="A14" s="1425"/>
      <c r="B14" s="1362"/>
      <c r="C14" s="1371"/>
      <c r="D14" s="1362"/>
      <c r="E14" s="1362"/>
      <c r="F14" s="1362"/>
      <c r="G14" s="1396"/>
      <c r="H14" s="1362"/>
      <c r="I14" s="1362"/>
      <c r="J14" s="1362"/>
      <c r="K14" s="1396"/>
      <c r="L14" s="1362"/>
      <c r="M14" s="1362"/>
      <c r="N14" s="1362"/>
      <c r="O14" s="1362"/>
    </row>
    <row r="15" spans="1:15">
      <c r="A15" s="1425">
        <v>5</v>
      </c>
      <c r="B15" s="1362" t="s">
        <v>696</v>
      </c>
      <c r="C15" s="1371" t="s">
        <v>3716</v>
      </c>
      <c r="D15" s="1427">
        <f t="shared" ref="D15:K15" si="0">D9-D13</f>
        <v>3941.5407756566683</v>
      </c>
      <c r="E15" s="1427">
        <f t="shared" si="0"/>
        <v>2893.5385777581682</v>
      </c>
      <c r="F15" s="1427">
        <f t="shared" si="0"/>
        <v>2158.8392029773399</v>
      </c>
      <c r="G15" s="1428">
        <f t="shared" si="0"/>
        <v>3021.54255641694</v>
      </c>
      <c r="H15" s="1427">
        <f t="shared" si="0"/>
        <v>4495.3606545443999</v>
      </c>
      <c r="I15" s="1427">
        <f t="shared" si="0"/>
        <v>3294.6216522488999</v>
      </c>
      <c r="J15" s="1427">
        <f t="shared" si="0"/>
        <v>2385.0961995057</v>
      </c>
      <c r="K15" s="1428">
        <f t="shared" si="0"/>
        <v>3371.6534733082999</v>
      </c>
      <c r="L15" s="1427">
        <f>'F-5'!L9-'F-5'!L13</f>
        <v>4781.2681206644938</v>
      </c>
      <c r="M15" s="1427">
        <f>'F-5'!M9-'F-5'!M13</f>
        <v>3517.9767025648198</v>
      </c>
      <c r="N15" s="1427">
        <f>'F-5'!N9-'F-5'!N13</f>
        <v>2552.77486749437</v>
      </c>
      <c r="O15" s="1432">
        <f>'F-5'!O17</f>
        <v>3586.5410904983701</v>
      </c>
    </row>
    <row r="16" spans="1:15">
      <c r="A16" s="1425"/>
      <c r="B16" s="1362"/>
      <c r="C16" s="1371"/>
      <c r="D16" s="1362"/>
      <c r="E16" s="1362"/>
      <c r="F16" s="1362"/>
      <c r="G16" s="1396"/>
      <c r="H16" s="1362"/>
      <c r="I16" s="1362"/>
      <c r="J16" s="1362"/>
      <c r="K16" s="1396"/>
      <c r="L16" s="1362"/>
      <c r="M16" s="1362"/>
      <c r="N16" s="1362"/>
      <c r="O16" s="1362"/>
    </row>
    <row r="17" spans="1:15">
      <c r="A17" s="1425">
        <v>6</v>
      </c>
      <c r="B17" s="1362" t="s">
        <v>697</v>
      </c>
      <c r="C17" s="1371" t="s">
        <v>1404</v>
      </c>
      <c r="D17" s="1362">
        <f>'T-1'!F59</f>
        <v>537.37774300000001</v>
      </c>
      <c r="E17" s="1362">
        <f>'T-1'!F49</f>
        <v>325.32561043960004</v>
      </c>
      <c r="F17" s="1427">
        <f>'T-1'!F32</f>
        <v>2158.8392029773399</v>
      </c>
      <c r="G17" s="1428">
        <f>SUM(D17:F17)</f>
        <v>3021.54255641694</v>
      </c>
      <c r="H17" s="1427">
        <f>'T-1'!K59</f>
        <v>619.3351813104</v>
      </c>
      <c r="I17" s="1427">
        <f>'T-1'!K49</f>
        <v>367.22209249219998</v>
      </c>
      <c r="J17" s="1427">
        <f>'T-1'!K32</f>
        <v>2385.0961995057</v>
      </c>
      <c r="K17" s="1428">
        <f>SUM(H17:J17)</f>
        <v>3371.6534733082999</v>
      </c>
      <c r="L17" s="1427">
        <f>'T-1'!O59</f>
        <v>642.47199999999998</v>
      </c>
      <c r="M17" s="1427">
        <f>'T-1'!O49</f>
        <v>391.29422300399995</v>
      </c>
      <c r="N17" s="1427">
        <f>'T-1'!O32</f>
        <v>2552.77486749437</v>
      </c>
      <c r="O17" s="1432">
        <f>SUM(L17:N17)</f>
        <v>3586.5410904983701</v>
      </c>
    </row>
    <row r="18" spans="1:15">
      <c r="A18" s="1425"/>
      <c r="B18" s="1362"/>
      <c r="C18" s="1362"/>
      <c r="D18" s="1362"/>
      <c r="E18" s="1362"/>
      <c r="F18" s="1362"/>
      <c r="G18" s="1396"/>
      <c r="H18" s="1362"/>
      <c r="I18" s="1362"/>
      <c r="J18" s="1362"/>
      <c r="K18" s="1396"/>
      <c r="L18" s="1362"/>
      <c r="M18" s="1362"/>
      <c r="N18" s="1362"/>
      <c r="O18" s="1362"/>
    </row>
    <row r="19" spans="1:15">
      <c r="A19" s="1425"/>
      <c r="B19" s="1393" t="s">
        <v>1473</v>
      </c>
      <c r="C19" s="1393"/>
      <c r="D19" s="1362"/>
      <c r="E19" s="1362"/>
      <c r="F19" s="1362"/>
      <c r="G19" s="1396"/>
      <c r="H19" s="1362"/>
      <c r="I19" s="1362"/>
      <c r="J19" s="1362"/>
      <c r="K19" s="1396"/>
      <c r="L19" s="1362"/>
      <c r="M19" s="1362"/>
      <c r="N19" s="1362"/>
      <c r="O19" s="1362"/>
    </row>
    <row r="20" spans="1:15" ht="31">
      <c r="A20" s="1425">
        <v>7</v>
      </c>
      <c r="B20" s="1360" t="s">
        <v>3715</v>
      </c>
      <c r="C20" s="1362" t="s">
        <v>1405</v>
      </c>
      <c r="D20" s="650">
        <f>G20</f>
        <v>141.0125768104991</v>
      </c>
      <c r="E20" s="650">
        <f>G20</f>
        <v>141.0125768104991</v>
      </c>
      <c r="F20" s="650">
        <f>G20</f>
        <v>141.0125768104991</v>
      </c>
      <c r="G20" s="1397">
        <f>('F-22'!B12-370.52)/G9*1000</f>
        <v>141.0125768104991</v>
      </c>
      <c r="H20" s="818">
        <f>K20</f>
        <v>252.60592074893734</v>
      </c>
      <c r="I20" s="650">
        <f>K20</f>
        <v>252.60592074893734</v>
      </c>
      <c r="J20" s="650">
        <f>K20</f>
        <v>252.60592074893734</v>
      </c>
      <c r="K20" s="1433">
        <f>'F-22'!C12/K9*1000</f>
        <v>252.60592074893734</v>
      </c>
      <c r="L20" s="650">
        <f>O20</f>
        <v>255.14807787016585</v>
      </c>
      <c r="M20" s="650">
        <f>O20</f>
        <v>255.14807787016585</v>
      </c>
      <c r="N20" s="650">
        <f>O20</f>
        <v>255.14807787016585</v>
      </c>
      <c r="O20" s="650">
        <f>'F-22'!D12/O9*1000</f>
        <v>255.14807787016585</v>
      </c>
    </row>
    <row r="21" spans="1:15">
      <c r="A21" s="1425"/>
      <c r="B21" s="1362"/>
      <c r="C21" s="1362"/>
      <c r="D21" s="1362"/>
      <c r="E21" s="1362"/>
      <c r="F21" s="1362"/>
      <c r="G21" s="1396"/>
      <c r="H21" s="1362"/>
      <c r="I21" s="1362"/>
      <c r="J21" s="1362"/>
      <c r="K21" s="1396"/>
      <c r="L21" s="1362"/>
      <c r="M21" s="1362"/>
      <c r="N21" s="1362"/>
      <c r="O21" s="1362"/>
    </row>
    <row r="22" spans="1:15">
      <c r="A22" s="1425">
        <v>8</v>
      </c>
      <c r="B22" s="1362" t="s">
        <v>4419</v>
      </c>
      <c r="C22" s="1371" t="s">
        <v>1406</v>
      </c>
      <c r="D22" s="1397">
        <f>+'F-6'!C32-'F-6'!C11-'F-6'!C23</f>
        <v>27.093617280216819</v>
      </c>
      <c r="E22" s="1397">
        <f>+'F-6'!D32-'F-6'!D11-'F-6'!D23</f>
        <v>156.04986140039372</v>
      </c>
      <c r="F22" s="1397">
        <f>+'F-6'!E32-'F-6'!E11-'F-6'!E23</f>
        <v>537.32257169319087</v>
      </c>
      <c r="G22" s="1397">
        <f>+'F-6'!F32-'F-6'!F11-'F-6'!F23</f>
        <v>737.71181779080155</v>
      </c>
      <c r="H22" s="1397">
        <f>+'F-6'!G32-'F-6'!G11-'F-6'!G23</f>
        <v>36.779799805293408</v>
      </c>
      <c r="I22" s="1397">
        <f>+'F-6'!H32-'F-6'!H11-'F-6'!H23</f>
        <v>218.88657103594554</v>
      </c>
      <c r="J22" s="1397">
        <f>+'F-6'!I32-'F-6'!I11-'F-6'!I23</f>
        <v>657.94048183195457</v>
      </c>
      <c r="K22" s="1397">
        <f>+'F-6'!J32-'F-6'!J11-'F-6'!J23</f>
        <v>934.40311649342561</v>
      </c>
      <c r="L22" s="1397">
        <f>+'F-6'!K32-'F-6'!K11-'F-6'!K23</f>
        <v>41.089092967599839</v>
      </c>
      <c r="M22" s="1397">
        <f>+'F-6'!L32-'F-6'!L11-'F-6'!L23</f>
        <v>246.7118008477382</v>
      </c>
      <c r="N22" s="1397">
        <f>+'F-6'!M32-'F-6'!M11-'F-6'!M23</f>
        <v>762.66578420106521</v>
      </c>
      <c r="O22" s="1397">
        <f>+'F-6'!N32-'F-6'!N11-'F-6'!N23</f>
        <v>1071.2629418366353</v>
      </c>
    </row>
    <row r="23" spans="1:15">
      <c r="A23" s="1425"/>
      <c r="B23" s="1362"/>
      <c r="C23" s="1362"/>
      <c r="D23" s="1362"/>
      <c r="E23" s="1362"/>
      <c r="F23" s="1362"/>
      <c r="G23" s="1396"/>
      <c r="H23" s="1362"/>
      <c r="I23" s="1362"/>
      <c r="J23" s="1362"/>
      <c r="K23" s="1396"/>
      <c r="L23" s="1362"/>
      <c r="M23" s="1362"/>
      <c r="N23" s="1362"/>
      <c r="O23" s="1362"/>
    </row>
    <row r="24" spans="1:15">
      <c r="A24" s="1425">
        <v>9</v>
      </c>
      <c r="B24" s="1362" t="s">
        <v>4420</v>
      </c>
      <c r="C24" s="1362" t="s">
        <v>3717</v>
      </c>
      <c r="D24" s="650">
        <f>D13*D20/10</f>
        <v>0</v>
      </c>
      <c r="E24" s="650">
        <f>E13*D30/10</f>
        <v>75.514433489749038</v>
      </c>
      <c r="F24" s="650">
        <f>F13*E30/10</f>
        <v>93.302219616807918</v>
      </c>
      <c r="G24" s="650">
        <f>G13*G20/1000</f>
        <v>129.73131955606459</v>
      </c>
      <c r="H24" s="650">
        <f>H13*H20/10</f>
        <v>0</v>
      </c>
      <c r="I24" s="650">
        <f>I13*H30/10</f>
        <v>151.62293307738622</v>
      </c>
      <c r="J24" s="650">
        <f>J13*I30/10</f>
        <v>202.41285162175342</v>
      </c>
      <c r="K24" s="650">
        <f>K13*K20/1000</f>
        <v>283.85508716833806</v>
      </c>
      <c r="L24" s="650">
        <f>L13*L20/10</f>
        <v>0</v>
      </c>
      <c r="M24" s="650">
        <f>M13*L30/10</f>
        <v>163.73605720321163</v>
      </c>
      <c r="N24" s="650">
        <f>N13*M30/10</f>
        <v>218.32215202685137</v>
      </c>
      <c r="O24" s="650">
        <f>O13*O20/1000</f>
        <v>304.83230532641812</v>
      </c>
    </row>
    <row r="25" spans="1:15">
      <c r="A25" s="1425"/>
      <c r="B25" s="1362"/>
      <c r="C25" s="1362"/>
      <c r="D25" s="1362"/>
      <c r="E25" s="1362"/>
      <c r="F25" s="1362"/>
      <c r="G25" s="1396"/>
      <c r="H25" s="1362"/>
      <c r="I25" s="1362"/>
      <c r="J25" s="1362"/>
      <c r="K25" s="1396"/>
      <c r="L25" s="1362"/>
      <c r="M25" s="1362"/>
      <c r="N25" s="1362"/>
      <c r="O25" s="1362"/>
    </row>
    <row r="26" spans="1:15">
      <c r="A26" s="1425">
        <v>10</v>
      </c>
      <c r="B26" s="1362" t="s">
        <v>4421</v>
      </c>
      <c r="C26" s="1362" t="s">
        <v>3718</v>
      </c>
      <c r="D26" s="650">
        <f t="shared" ref="D26:K26" si="1">D22+D24</f>
        <v>27.093617280216819</v>
      </c>
      <c r="E26" s="650">
        <f t="shared" si="1"/>
        <v>231.56429489014278</v>
      </c>
      <c r="F26" s="650">
        <f t="shared" si="1"/>
        <v>630.62479130999873</v>
      </c>
      <c r="G26" s="1397">
        <f t="shared" si="1"/>
        <v>867.44313734686614</v>
      </c>
      <c r="H26" s="650">
        <f t="shared" si="1"/>
        <v>36.779799805293408</v>
      </c>
      <c r="I26" s="650">
        <f t="shared" si="1"/>
        <v>370.50950411333179</v>
      </c>
      <c r="J26" s="650">
        <f t="shared" si="1"/>
        <v>860.35333345370805</v>
      </c>
      <c r="K26" s="1397">
        <f t="shared" si="1"/>
        <v>1218.2582036617637</v>
      </c>
      <c r="L26" s="650">
        <f>'F-5'!L22+'F-5'!L24</f>
        <v>41.089092967599839</v>
      </c>
      <c r="M26" s="650">
        <f>'F-5'!M22+'F-5'!M24</f>
        <v>410.44785805094983</v>
      </c>
      <c r="N26" s="650">
        <f>'F-5'!N22+'F-5'!N24</f>
        <v>980.98793622791663</v>
      </c>
      <c r="O26" s="872">
        <f>'F-5'!O22+'F-5'!O24</f>
        <v>1376.0952471630535</v>
      </c>
    </row>
    <row r="27" spans="1:15">
      <c r="A27" s="1425"/>
      <c r="B27" s="1362"/>
      <c r="C27" s="1362"/>
      <c r="D27" s="1362"/>
      <c r="E27" s="1362"/>
      <c r="F27" s="1362"/>
      <c r="G27" s="1396"/>
      <c r="H27" s="1362"/>
      <c r="I27" s="1362"/>
      <c r="J27" s="1362"/>
      <c r="K27" s="1396"/>
      <c r="L27" s="1362"/>
      <c r="M27" s="1362"/>
      <c r="N27" s="1362"/>
      <c r="O27" s="1362"/>
    </row>
    <row r="28" spans="1:15">
      <c r="A28" s="1425">
        <v>11</v>
      </c>
      <c r="B28" s="1362" t="s">
        <v>220</v>
      </c>
      <c r="C28" s="1362" t="s">
        <v>3719</v>
      </c>
      <c r="D28" s="650">
        <f>D26/D15*10</f>
        <v>6.873864517030899E-2</v>
      </c>
      <c r="E28" s="650">
        <f t="shared" ref="E28:O28" si="2">E26/E15*10</f>
        <v>0.80028065521612024</v>
      </c>
      <c r="F28" s="650">
        <f t="shared" si="2"/>
        <v>2.921129051391504</v>
      </c>
      <c r="G28" s="650">
        <f t="shared" si="2"/>
        <v>2.8708618897478417</v>
      </c>
      <c r="H28" s="650">
        <f>H26/H15*10</f>
        <v>8.1817239219977564E-2</v>
      </c>
      <c r="I28" s="650">
        <f t="shared" si="2"/>
        <v>1.124588930751496</v>
      </c>
      <c r="J28" s="650">
        <f t="shared" si="2"/>
        <v>3.6072060054936661</v>
      </c>
      <c r="K28" s="650">
        <f t="shared" si="2"/>
        <v>3.6132366902651967</v>
      </c>
      <c r="L28" s="650">
        <f>L26/L15*10</f>
        <v>8.5937646521043326E-2</v>
      </c>
      <c r="M28" s="650">
        <f t="shared" si="2"/>
        <v>1.1667156799296263</v>
      </c>
      <c r="N28" s="650">
        <f t="shared" si="2"/>
        <v>3.8428298112743002</v>
      </c>
      <c r="O28" s="650">
        <f t="shared" si="2"/>
        <v>3.8368311206824552</v>
      </c>
    </row>
    <row r="29" spans="1:15">
      <c r="A29" s="1425"/>
      <c r="B29" s="1362"/>
      <c r="C29" s="1362"/>
      <c r="D29" s="1362"/>
      <c r="E29" s="1362"/>
      <c r="F29" s="1362"/>
      <c r="G29" s="1396"/>
      <c r="H29" s="1362"/>
      <c r="I29" s="1362"/>
      <c r="J29" s="1362"/>
      <c r="K29" s="1396"/>
      <c r="L29" s="1362"/>
      <c r="M29" s="1362"/>
      <c r="N29" s="1362"/>
      <c r="O29" s="1362"/>
    </row>
    <row r="30" spans="1:15">
      <c r="A30" s="1425">
        <v>12</v>
      </c>
      <c r="B30" s="1362" t="s">
        <v>606</v>
      </c>
      <c r="C30" s="1362" t="s">
        <v>3720</v>
      </c>
      <c r="D30" s="1427">
        <f>D28+D20/100</f>
        <v>1.4788644132752999</v>
      </c>
      <c r="E30" s="1427">
        <f>D30+E28</f>
        <v>2.2791450684914203</v>
      </c>
      <c r="F30" s="1427">
        <f>+E30+F28</f>
        <v>5.2002741198829243</v>
      </c>
      <c r="G30" s="1427">
        <f>G28+G20/100</f>
        <v>4.2809876578528332</v>
      </c>
      <c r="H30" s="1427">
        <f>H28+H20/100</f>
        <v>2.6078764467093509</v>
      </c>
      <c r="I30" s="1427">
        <f>H30+I28</f>
        <v>3.7324653774608469</v>
      </c>
      <c r="J30" s="1427">
        <f>+I30+J28</f>
        <v>7.3396713829545135</v>
      </c>
      <c r="K30" s="1427">
        <f>K28+K20/100</f>
        <v>6.13929589775457</v>
      </c>
      <c r="L30" s="1427">
        <f>L28+L20/100</f>
        <v>2.6374184252227018</v>
      </c>
      <c r="M30" s="1427">
        <f>L30+M28</f>
        <v>3.8041341051523281</v>
      </c>
      <c r="N30" s="1427">
        <f>+M30+N28</f>
        <v>7.6469639164266283</v>
      </c>
      <c r="O30" s="1427">
        <f>O28+O20/100</f>
        <v>6.3883118993841137</v>
      </c>
    </row>
    <row r="31" spans="1:15">
      <c r="A31" s="1425"/>
      <c r="B31" s="1362"/>
      <c r="C31" s="1362"/>
      <c r="D31" s="1362"/>
      <c r="E31" s="1362"/>
      <c r="F31" s="1362"/>
      <c r="G31" s="1396"/>
      <c r="H31" s="1362"/>
      <c r="I31" s="1362"/>
      <c r="J31" s="1362"/>
      <c r="K31" s="1396"/>
      <c r="L31" s="1362"/>
      <c r="M31" s="1362"/>
      <c r="N31" s="1362"/>
      <c r="O31" s="1362"/>
    </row>
    <row r="32" spans="1:15">
      <c r="A32" s="1425">
        <v>13</v>
      </c>
      <c r="B32" s="1362" t="s">
        <v>221</v>
      </c>
      <c r="C32" s="1362" t="s">
        <v>1411</v>
      </c>
      <c r="D32" s="1427">
        <f>G32</f>
        <v>0.1174323585991545</v>
      </c>
      <c r="E32" s="1427">
        <f>G32</f>
        <v>0.1174323585991545</v>
      </c>
      <c r="F32" s="1427">
        <f>G32</f>
        <v>0.1174323585991545</v>
      </c>
      <c r="G32" s="1428">
        <f>('F-6'!F23*100/'F-5'!G17)/10</f>
        <v>0.1174323585991545</v>
      </c>
      <c r="H32" s="1427">
        <f>K32</f>
        <v>0.14417023817808117</v>
      </c>
      <c r="I32" s="1427">
        <f>K32</f>
        <v>0.14417023817808117</v>
      </c>
      <c r="J32" s="1427">
        <f>K32</f>
        <v>0.14417023817808117</v>
      </c>
      <c r="K32" s="1434">
        <f>('WF-14(Capitalbase)'!C43/'F-5'!K17)*10</f>
        <v>0.14417023817808117</v>
      </c>
      <c r="L32" s="1435">
        <f>O32</f>
        <v>0.20829008273525002</v>
      </c>
      <c r="M32" s="1435">
        <f>O32</f>
        <v>0.20829008273525002</v>
      </c>
      <c r="N32" s="1435">
        <f>O32</f>
        <v>0.20829008273525002</v>
      </c>
      <c r="O32" s="1436">
        <f>('WF-14(Capitalbase)'!D43/'F-5'!O17)*10</f>
        <v>0.20829008273525002</v>
      </c>
    </row>
    <row r="33" spans="1:15">
      <c r="A33" s="1425"/>
      <c r="B33" s="1362"/>
      <c r="C33" s="1362"/>
      <c r="D33" s="1362"/>
      <c r="E33" s="1362"/>
      <c r="F33" s="1362"/>
      <c r="G33" s="1396"/>
      <c r="H33" s="1362"/>
      <c r="I33" s="1362"/>
      <c r="J33" s="1362"/>
      <c r="K33" s="1396"/>
      <c r="L33" s="1362"/>
      <c r="M33" s="1362"/>
      <c r="N33" s="1362"/>
      <c r="O33" s="1362"/>
    </row>
    <row r="34" spans="1:15" ht="16" thickBot="1">
      <c r="A34" s="1437">
        <v>14</v>
      </c>
      <c r="B34" s="1398" t="s">
        <v>1426</v>
      </c>
      <c r="C34" s="1398" t="s">
        <v>3721</v>
      </c>
      <c r="D34" s="1399">
        <f t="shared" ref="D34:K34" si="3">D32+D30</f>
        <v>1.5962967718744545</v>
      </c>
      <c r="E34" s="1399">
        <f t="shared" si="3"/>
        <v>2.3965774270905746</v>
      </c>
      <c r="F34" s="1399">
        <f t="shared" si="3"/>
        <v>5.3177064784820791</v>
      </c>
      <c r="G34" s="1438">
        <f t="shared" si="3"/>
        <v>4.398420016451988</v>
      </c>
      <c r="H34" s="1399">
        <f t="shared" si="3"/>
        <v>2.7520466848874321</v>
      </c>
      <c r="I34" s="1399">
        <f t="shared" si="3"/>
        <v>3.8766356156389281</v>
      </c>
      <c r="J34" s="1399">
        <f t="shared" si="3"/>
        <v>7.4838416211325942</v>
      </c>
      <c r="K34" s="1438">
        <f t="shared" si="3"/>
        <v>6.2834661359326507</v>
      </c>
      <c r="L34" s="1399">
        <f>'F-5'!L32+'F-5'!L30</f>
        <v>2.8457085079579518</v>
      </c>
      <c r="M34" s="1399">
        <f>'F-5'!M32+'F-5'!M30</f>
        <v>4.0124241878875777</v>
      </c>
      <c r="N34" s="1399">
        <f>'F-5'!N32+'F-5'!N30</f>
        <v>7.8552539991618779</v>
      </c>
      <c r="O34" s="1403">
        <f>'F-5'!O32+'F-5'!O30</f>
        <v>6.5966019821193633</v>
      </c>
    </row>
    <row r="36" spans="1:15">
      <c r="B36" s="1357" t="s">
        <v>4259</v>
      </c>
    </row>
    <row r="38" spans="1:15">
      <c r="B38" s="1357" t="s">
        <v>222</v>
      </c>
      <c r="C38" s="1357" t="s">
        <v>3724</v>
      </c>
      <c r="D38" s="997">
        <f>D17*D34/10</f>
        <v>85.78143564280802</v>
      </c>
      <c r="E38" s="997">
        <f>E17*E34/10</f>
        <v>77.966801443400726</v>
      </c>
      <c r="F38" s="997">
        <f>F17*F34/10</f>
        <v>1148.0073215673688</v>
      </c>
      <c r="G38" s="997">
        <f>SUM(D38:F38)</f>
        <v>1311.7555586535775</v>
      </c>
      <c r="H38" s="997">
        <f>H34*H17/10</f>
        <v>170.4439332559443</v>
      </c>
      <c r="I38" s="997">
        <f>I34*I17/10</f>
        <v>142.35862426047152</v>
      </c>
      <c r="J38" s="997">
        <f>J34*J17/10</f>
        <v>1784.9682208265926</v>
      </c>
      <c r="K38" s="997">
        <f>SUM(H38:J38)</f>
        <v>2097.7707783430087</v>
      </c>
      <c r="L38" s="997">
        <f>'F-5'!L34*'F-5'!L17/10</f>
        <v>182.8288036524761</v>
      </c>
      <c r="M38" s="997">
        <f>'F-5'!M34*'F-5'!M17/10</f>
        <v>157.00384049619251</v>
      </c>
      <c r="N38" s="997">
        <f>'F-5'!N34*'F-5'!N17/10</f>
        <v>2005.2694986845083</v>
      </c>
      <c r="O38" s="997">
        <f>SUM(L38:N38)</f>
        <v>2345.1021428331769</v>
      </c>
    </row>
    <row r="39" spans="1:15">
      <c r="B39" s="1357" t="s">
        <v>224</v>
      </c>
      <c r="C39" s="1357" t="s">
        <v>3725</v>
      </c>
      <c r="D39" s="997">
        <f>D17*D30/10</f>
        <v>79.470882060889991</v>
      </c>
      <c r="E39" s="997">
        <f>E17*E30/10</f>
        <v>74.14642606873754</v>
      </c>
      <c r="F39" s="997">
        <f>F17*F30/10</f>
        <v>1122.655563623174</v>
      </c>
      <c r="G39" s="997">
        <f>SUM(D39:F39)</f>
        <v>1276.2728717528016</v>
      </c>
      <c r="H39" s="997">
        <f>H30*H17/10</f>
        <v>161.51496319578575</v>
      </c>
      <c r="I39" s="997">
        <f>I30*I17/10</f>
        <v>137.06437460658611</v>
      </c>
      <c r="J39" s="997">
        <f>J30*J17/10</f>
        <v>1750.5822321105557</v>
      </c>
      <c r="K39" s="997">
        <f>SUM(H39:J39)</f>
        <v>2049.1615699129275</v>
      </c>
      <c r="L39" s="997">
        <f>'F-5'!L30*'F-5'!L17/10</f>
        <v>169.44674904896797</v>
      </c>
      <c r="M39" s="997">
        <f>'F-5'!M30*'F-5'!M17/10</f>
        <v>148.85356988785969</v>
      </c>
      <c r="N39" s="997">
        <f>'F-5'!N30*'F-5'!N17/10</f>
        <v>1952.0977298490216</v>
      </c>
      <c r="O39" s="997">
        <f>SUM(L39:N39)</f>
        <v>2270.3980487858494</v>
      </c>
    </row>
    <row r="40" spans="1:15">
      <c r="B40" s="1419" t="s">
        <v>225</v>
      </c>
      <c r="G40" s="997">
        <f>G38-G39</f>
        <v>35.482686900775889</v>
      </c>
      <c r="K40" s="997">
        <f>K38-K39</f>
        <v>48.609208430081253</v>
      </c>
      <c r="L40" s="997"/>
      <c r="M40" s="997"/>
      <c r="N40" s="997"/>
      <c r="O40" s="997">
        <f>O38-O39</f>
        <v>74.704094047327544</v>
      </c>
    </row>
    <row r="43" spans="1:15">
      <c r="G43" s="997">
        <f>'F-6'!F32</f>
        <v>1699.5213260705775</v>
      </c>
      <c r="K43" s="997">
        <f>'F-6'!J32</f>
        <v>2113.9556168118665</v>
      </c>
      <c r="O43" s="997">
        <f>'F-6'!N32</f>
        <v>2345.3314848351806</v>
      </c>
    </row>
    <row r="45" spans="1:15">
      <c r="G45" s="997">
        <f>+G43-G38</f>
        <v>387.76576741700001</v>
      </c>
      <c r="K45" s="997">
        <f>+K43-K38</f>
        <v>16.184838468857834</v>
      </c>
      <c r="O45" s="997">
        <f>+O43-O38</f>
        <v>0.22934200200370469</v>
      </c>
    </row>
  </sheetData>
  <mergeCells count="6">
    <mergeCell ref="J1:K1"/>
    <mergeCell ref="D5:G5"/>
    <mergeCell ref="H5:K5"/>
    <mergeCell ref="L5:O5"/>
    <mergeCell ref="B3:O3"/>
    <mergeCell ref="A2:O2"/>
  </mergeCells>
  <phoneticPr fontId="0" type="noConversion"/>
  <printOptions horizontalCentered="1" verticalCentered="1"/>
  <pageMargins left="0" right="0" top="0" bottom="0" header="0" footer="0"/>
  <pageSetup paperSize="9" scale="73" orientation="landscape" r:id="rId1"/>
  <headerFooter alignWithMargins="0">
    <oddFooter>&amp;R&amp;12OERC FORM No. 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3"/>
  </sheetPr>
  <dimension ref="B1:J65"/>
  <sheetViews>
    <sheetView workbookViewId="0">
      <pane xSplit="2" ySplit="6" topLeftCell="C7" activePane="bottomRight" state="frozen"/>
      <selection activeCell="C21" sqref="C21"/>
      <selection pane="topRight" activeCell="C21" sqref="C21"/>
      <selection pane="bottomLeft" activeCell="C21" sqref="C21"/>
      <selection pane="bottomRight"/>
    </sheetView>
  </sheetViews>
  <sheetFormatPr defaultColWidth="14.7265625" defaultRowHeight="12.5"/>
  <cols>
    <col min="1" max="1" width="2" style="332" customWidth="1"/>
    <col min="2" max="2" width="4.1796875" style="332" customWidth="1"/>
    <col min="3" max="3" width="37" style="332" customWidth="1"/>
    <col min="4" max="4" width="9.453125" style="332" customWidth="1"/>
    <col min="5" max="5" width="15.453125" style="333" customWidth="1"/>
    <col min="6" max="6" width="15.1796875" style="333" bestFit="1" customWidth="1"/>
    <col min="7" max="7" width="13.81640625" style="333" bestFit="1" customWidth="1"/>
    <col min="8" max="8" width="15.26953125" style="333" bestFit="1" customWidth="1"/>
    <col min="9" max="16384" width="14.7265625" style="332"/>
  </cols>
  <sheetData>
    <row r="1" spans="2:10" ht="15.5">
      <c r="B1" s="334"/>
      <c r="C1" s="335"/>
      <c r="D1" s="335"/>
      <c r="E1" s="336"/>
      <c r="F1" s="336"/>
      <c r="G1" s="336"/>
      <c r="H1" s="336"/>
    </row>
    <row r="2" spans="2:10" ht="15.5">
      <c r="B2" s="334" t="s">
        <v>340</v>
      </c>
      <c r="C2" s="335"/>
      <c r="D2" s="335"/>
      <c r="E2" s="336"/>
      <c r="F2" s="336"/>
      <c r="G2" s="336"/>
      <c r="H2" s="336"/>
    </row>
    <row r="3" spans="2:10" ht="13">
      <c r="C3" s="337"/>
    </row>
    <row r="4" spans="2:10" ht="13">
      <c r="B4" s="338"/>
      <c r="C4" s="339"/>
      <c r="D4" s="338"/>
      <c r="E4" s="3164" t="s">
        <v>945</v>
      </c>
      <c r="F4" s="3164"/>
      <c r="G4" s="3164"/>
      <c r="H4" s="3164"/>
    </row>
    <row r="5" spans="2:10" s="344" customFormat="1" ht="76.5" customHeight="1">
      <c r="B5" s="341"/>
      <c r="C5" s="342" t="s">
        <v>485</v>
      </c>
      <c r="D5" s="342" t="s">
        <v>464</v>
      </c>
      <c r="E5" s="343" t="s">
        <v>148</v>
      </c>
      <c r="F5" s="343" t="s">
        <v>149</v>
      </c>
      <c r="G5" s="343" t="s">
        <v>150</v>
      </c>
      <c r="H5" s="343" t="s">
        <v>151</v>
      </c>
    </row>
    <row r="6" spans="2:10" s="337" customFormat="1" ht="13">
      <c r="B6" s="345"/>
      <c r="C6" s="345"/>
      <c r="D6" s="345"/>
      <c r="E6" s="345" t="s">
        <v>665</v>
      </c>
      <c r="F6" s="345" t="s">
        <v>665</v>
      </c>
      <c r="G6" s="345" t="s">
        <v>665</v>
      </c>
      <c r="H6" s="345" t="s">
        <v>665</v>
      </c>
    </row>
    <row r="7" spans="2:10" s="337" customFormat="1" ht="13">
      <c r="B7" s="346"/>
      <c r="C7" s="346" t="s">
        <v>161</v>
      </c>
      <c r="D7" s="346"/>
      <c r="E7" s="347"/>
      <c r="F7" s="347"/>
      <c r="G7" s="347"/>
      <c r="H7" s="347"/>
    </row>
    <row r="8" spans="2:10">
      <c r="B8" s="348">
        <v>1</v>
      </c>
      <c r="C8" s="349" t="s">
        <v>666</v>
      </c>
      <c r="D8" s="348" t="s">
        <v>1496</v>
      </c>
      <c r="E8" s="350"/>
      <c r="F8" s="350"/>
      <c r="G8" s="350"/>
      <c r="H8" s="350"/>
    </row>
    <row r="9" spans="2:10">
      <c r="B9" s="348" t="s">
        <v>637</v>
      </c>
      <c r="C9" s="349" t="s">
        <v>465</v>
      </c>
      <c r="D9" s="338"/>
      <c r="E9" s="350">
        <v>0.17</v>
      </c>
      <c r="F9" s="350"/>
      <c r="G9" s="350"/>
      <c r="H9" s="350"/>
    </row>
    <row r="10" spans="2:10">
      <c r="B10" s="348" t="s">
        <v>441</v>
      </c>
      <c r="C10" s="349" t="s">
        <v>116</v>
      </c>
      <c r="D10" s="338"/>
      <c r="E10" s="350">
        <v>229.11</v>
      </c>
      <c r="F10" s="350"/>
      <c r="G10" s="350"/>
      <c r="H10" s="350"/>
      <c r="J10" s="332" t="s">
        <v>152</v>
      </c>
    </row>
    <row r="11" spans="2:10">
      <c r="B11" s="348"/>
      <c r="C11" s="349" t="s">
        <v>1324</v>
      </c>
      <c r="D11" s="338"/>
      <c r="E11" s="350"/>
      <c r="F11" s="350"/>
      <c r="G11" s="350"/>
      <c r="H11" s="350"/>
      <c r="J11" s="332" t="s">
        <v>114</v>
      </c>
    </row>
    <row r="12" spans="2:10">
      <c r="B12" s="348"/>
      <c r="C12" s="349" t="s">
        <v>1325</v>
      </c>
      <c r="D12" s="338"/>
      <c r="E12" s="350"/>
      <c r="F12" s="350"/>
      <c r="G12" s="350"/>
      <c r="H12" s="350"/>
      <c r="J12" s="332" t="s">
        <v>153</v>
      </c>
    </row>
    <row r="13" spans="2:10">
      <c r="B13" s="348"/>
      <c r="C13" s="349" t="s">
        <v>1326</v>
      </c>
      <c r="D13" s="338"/>
      <c r="E13" s="350"/>
      <c r="F13" s="350"/>
      <c r="G13" s="350"/>
      <c r="H13" s="350"/>
    </row>
    <row r="14" spans="2:10" s="337" customFormat="1" ht="13">
      <c r="B14" s="345"/>
      <c r="C14" s="339" t="s">
        <v>957</v>
      </c>
      <c r="D14" s="345"/>
      <c r="E14" s="350">
        <f>E10+E9</f>
        <v>229.28</v>
      </c>
      <c r="F14" s="350"/>
      <c r="G14" s="350"/>
      <c r="H14" s="350"/>
    </row>
    <row r="15" spans="2:10">
      <c r="B15" s="348">
        <v>2</v>
      </c>
      <c r="C15" s="338" t="s">
        <v>958</v>
      </c>
      <c r="D15" s="348" t="s">
        <v>1496</v>
      </c>
      <c r="E15" s="350"/>
      <c r="F15" s="350"/>
      <c r="G15" s="350"/>
      <c r="H15" s="350"/>
    </row>
    <row r="16" spans="2:10">
      <c r="B16" s="348"/>
      <c r="C16" s="349" t="s">
        <v>1328</v>
      </c>
      <c r="D16" s="348"/>
      <c r="E16" s="350"/>
      <c r="F16" s="350"/>
      <c r="G16" s="350"/>
      <c r="H16" s="350"/>
    </row>
    <row r="17" spans="2:8">
      <c r="B17" s="348"/>
      <c r="C17" s="349" t="s">
        <v>1329</v>
      </c>
      <c r="D17" s="348"/>
      <c r="E17" s="350"/>
      <c r="F17" s="350"/>
      <c r="G17" s="350"/>
      <c r="H17" s="350"/>
    </row>
    <row r="18" spans="2:8">
      <c r="B18" s="348"/>
      <c r="C18" s="349" t="s">
        <v>1330</v>
      </c>
      <c r="D18" s="338"/>
      <c r="E18" s="350"/>
      <c r="F18" s="350"/>
      <c r="G18" s="350"/>
      <c r="H18" s="350"/>
    </row>
    <row r="19" spans="2:8">
      <c r="B19" s="348"/>
      <c r="C19" s="349" t="s">
        <v>1331</v>
      </c>
      <c r="D19" s="348"/>
      <c r="E19" s="350"/>
      <c r="F19" s="350"/>
      <c r="G19" s="350"/>
      <c r="H19" s="350"/>
    </row>
    <row r="20" spans="2:8" s="337" customFormat="1" ht="13">
      <c r="B20" s="345"/>
      <c r="C20" s="339" t="s">
        <v>959</v>
      </c>
      <c r="D20" s="339"/>
      <c r="E20" s="350">
        <v>65.400000000000006</v>
      </c>
      <c r="F20" s="350"/>
      <c r="G20" s="350"/>
      <c r="H20" s="350"/>
    </row>
    <row r="21" spans="2:8">
      <c r="B21" s="348">
        <v>3</v>
      </c>
      <c r="C21" s="349" t="s">
        <v>667</v>
      </c>
      <c r="D21" s="348" t="s">
        <v>1496</v>
      </c>
      <c r="E21" s="350">
        <v>3.06</v>
      </c>
      <c r="F21" s="350"/>
      <c r="G21" s="350"/>
      <c r="H21" s="350"/>
    </row>
    <row r="22" spans="2:8">
      <c r="B22" s="348">
        <v>4</v>
      </c>
      <c r="C22" s="349" t="s">
        <v>423</v>
      </c>
      <c r="D22" s="348" t="s">
        <v>1496</v>
      </c>
      <c r="E22" s="350">
        <v>1.32</v>
      </c>
      <c r="F22" s="350"/>
      <c r="G22" s="350"/>
      <c r="H22" s="350"/>
    </row>
    <row r="23" spans="2:8">
      <c r="B23" s="348">
        <v>5</v>
      </c>
      <c r="C23" s="349" t="s">
        <v>424</v>
      </c>
      <c r="D23" s="348" t="s">
        <v>1496</v>
      </c>
      <c r="E23" s="350">
        <v>0.01</v>
      </c>
      <c r="F23" s="350"/>
      <c r="G23" s="350"/>
      <c r="H23" s="350"/>
    </row>
    <row r="24" spans="2:8">
      <c r="B24" s="348">
        <v>6</v>
      </c>
      <c r="C24" s="349" t="s">
        <v>934</v>
      </c>
      <c r="D24" s="348" t="s">
        <v>1496</v>
      </c>
      <c r="E24" s="350">
        <v>0.18</v>
      </c>
      <c r="F24" s="350"/>
      <c r="G24" s="350"/>
      <c r="H24" s="350">
        <v>12.56</v>
      </c>
    </row>
    <row r="25" spans="2:8">
      <c r="B25" s="348">
        <v>7</v>
      </c>
      <c r="C25" s="349" t="s">
        <v>968</v>
      </c>
      <c r="D25" s="348" t="s">
        <v>1496</v>
      </c>
      <c r="E25" s="350">
        <v>8.76</v>
      </c>
      <c r="F25" s="350"/>
      <c r="G25" s="350"/>
      <c r="H25" s="350"/>
    </row>
    <row r="26" spans="2:8">
      <c r="B26" s="348">
        <v>8</v>
      </c>
      <c r="C26" s="349" t="s">
        <v>969</v>
      </c>
      <c r="D26" s="348" t="s">
        <v>1496</v>
      </c>
      <c r="E26" s="350">
        <v>3.55</v>
      </c>
      <c r="F26" s="350"/>
      <c r="G26" s="350"/>
      <c r="H26" s="350">
        <v>7.23</v>
      </c>
    </row>
    <row r="27" spans="2:8">
      <c r="B27" s="348">
        <v>9</v>
      </c>
      <c r="C27" s="349" t="s">
        <v>561</v>
      </c>
      <c r="D27" s="348" t="s">
        <v>1496</v>
      </c>
      <c r="E27" s="350">
        <v>2.12</v>
      </c>
      <c r="F27" s="350"/>
      <c r="G27" s="350"/>
      <c r="H27" s="350">
        <v>26.99</v>
      </c>
    </row>
    <row r="28" spans="2:8">
      <c r="B28" s="348">
        <v>10</v>
      </c>
      <c r="C28" s="349" t="s">
        <v>1004</v>
      </c>
      <c r="D28" s="348" t="s">
        <v>1496</v>
      </c>
      <c r="E28" s="350"/>
      <c r="F28" s="350"/>
      <c r="G28" s="350"/>
      <c r="H28" s="350"/>
    </row>
    <row r="29" spans="2:8">
      <c r="B29" s="348" t="s">
        <v>970</v>
      </c>
      <c r="C29" s="348" t="s">
        <v>971</v>
      </c>
      <c r="D29" s="348"/>
      <c r="E29" s="350">
        <v>1.74</v>
      </c>
      <c r="F29" s="350"/>
      <c r="G29" s="350"/>
      <c r="H29" s="350">
        <v>26.13</v>
      </c>
    </row>
    <row r="30" spans="2:8">
      <c r="B30" s="348" t="s">
        <v>972</v>
      </c>
      <c r="C30" s="348" t="s">
        <v>973</v>
      </c>
      <c r="D30" s="348" t="s">
        <v>1496</v>
      </c>
      <c r="E30" s="350"/>
      <c r="F30" s="350"/>
      <c r="G30" s="350"/>
      <c r="H30" s="350"/>
    </row>
    <row r="31" spans="2:8">
      <c r="B31" s="348"/>
      <c r="C31" s="349" t="s">
        <v>1005</v>
      </c>
      <c r="D31" s="348"/>
      <c r="E31" s="350">
        <f>E29+E30</f>
        <v>1.74</v>
      </c>
      <c r="F31" s="350"/>
      <c r="G31" s="350"/>
      <c r="H31" s="350">
        <f>H29+H30</f>
        <v>26.13</v>
      </c>
    </row>
    <row r="32" spans="2:8">
      <c r="B32" s="348">
        <v>11</v>
      </c>
      <c r="C32" s="338" t="s">
        <v>974</v>
      </c>
      <c r="D32" s="348" t="s">
        <v>1496</v>
      </c>
      <c r="E32" s="350"/>
      <c r="F32" s="350"/>
      <c r="G32" s="350"/>
      <c r="H32" s="350"/>
    </row>
    <row r="33" spans="2:8">
      <c r="B33" s="348">
        <v>12</v>
      </c>
      <c r="C33" s="338" t="s">
        <v>890</v>
      </c>
      <c r="D33" s="348" t="s">
        <v>1496</v>
      </c>
      <c r="E33" s="350"/>
      <c r="F33" s="350">
        <v>0.01</v>
      </c>
      <c r="G33" s="350">
        <v>0.34</v>
      </c>
      <c r="H33" s="350"/>
    </row>
    <row r="34" spans="2:8" s="337" customFormat="1" ht="13">
      <c r="B34" s="345"/>
      <c r="C34" s="339" t="s">
        <v>975</v>
      </c>
      <c r="D34" s="345"/>
      <c r="E34" s="340">
        <f>E14+E20+SUM(E21:E27,E31:E33)</f>
        <v>315.42</v>
      </c>
      <c r="F34" s="340">
        <f>F14+F20+SUM(F21:F27,F31:F33)</f>
        <v>0.01</v>
      </c>
      <c r="G34" s="340">
        <f>G14+G20+SUM(G21:G27,G31:G33)</f>
        <v>0.34</v>
      </c>
      <c r="H34" s="340">
        <f>H14+H20+SUM(H21:H27,H31:H33)</f>
        <v>72.91</v>
      </c>
    </row>
    <row r="35" spans="2:8" s="337" customFormat="1" ht="13">
      <c r="B35" s="345"/>
      <c r="C35" s="345" t="s">
        <v>1333</v>
      </c>
      <c r="D35" s="345"/>
      <c r="E35" s="340"/>
      <c r="F35" s="340"/>
      <c r="G35" s="340"/>
      <c r="H35" s="340"/>
    </row>
    <row r="36" spans="2:8">
      <c r="B36" s="348">
        <v>13</v>
      </c>
      <c r="C36" s="338" t="s">
        <v>1334</v>
      </c>
      <c r="D36" s="348" t="s">
        <v>169</v>
      </c>
      <c r="E36" s="350">
        <v>5.0999999999999996</v>
      </c>
      <c r="F36" s="350"/>
      <c r="G36" s="350"/>
      <c r="H36" s="350"/>
    </row>
    <row r="37" spans="2:8">
      <c r="B37" s="348">
        <v>14</v>
      </c>
      <c r="C37" s="338" t="s">
        <v>667</v>
      </c>
      <c r="D37" s="348" t="s">
        <v>169</v>
      </c>
      <c r="E37" s="350"/>
      <c r="F37" s="350"/>
      <c r="G37" s="350"/>
      <c r="H37" s="350"/>
    </row>
    <row r="38" spans="2:8">
      <c r="B38" s="348">
        <v>15</v>
      </c>
      <c r="C38" s="349" t="s">
        <v>423</v>
      </c>
      <c r="D38" s="348" t="s">
        <v>169</v>
      </c>
      <c r="E38" s="350">
        <f>0.68+0.15</f>
        <v>0.83000000000000007</v>
      </c>
      <c r="F38" s="350">
        <v>0.09</v>
      </c>
      <c r="G38" s="350">
        <v>0.17</v>
      </c>
      <c r="H38" s="350"/>
    </row>
    <row r="39" spans="2:8">
      <c r="B39" s="348">
        <v>16</v>
      </c>
      <c r="C39" s="349" t="s">
        <v>424</v>
      </c>
      <c r="D39" s="348" t="s">
        <v>169</v>
      </c>
      <c r="E39" s="350"/>
      <c r="F39" s="350"/>
      <c r="G39" s="350">
        <v>0.12</v>
      </c>
      <c r="H39" s="350"/>
    </row>
    <row r="40" spans="2:8">
      <c r="B40" s="348">
        <v>17</v>
      </c>
      <c r="C40" s="349" t="s">
        <v>561</v>
      </c>
      <c r="D40" s="348" t="s">
        <v>169</v>
      </c>
      <c r="E40" s="350">
        <v>1.07</v>
      </c>
      <c r="F40" s="350">
        <v>0.05</v>
      </c>
      <c r="G40" s="350">
        <v>4.74</v>
      </c>
      <c r="H40" s="350">
        <v>1.8</v>
      </c>
    </row>
    <row r="41" spans="2:8">
      <c r="B41" s="348">
        <v>18</v>
      </c>
      <c r="C41" s="338" t="s">
        <v>976</v>
      </c>
      <c r="D41" s="348" t="s">
        <v>169</v>
      </c>
      <c r="E41" s="350"/>
      <c r="F41" s="350"/>
      <c r="G41" s="350"/>
      <c r="H41" s="350"/>
    </row>
    <row r="42" spans="2:8">
      <c r="B42" s="348">
        <v>19</v>
      </c>
      <c r="C42" s="349" t="s">
        <v>977</v>
      </c>
      <c r="D42" s="348" t="s">
        <v>169</v>
      </c>
      <c r="E42" s="350">
        <v>3.22</v>
      </c>
      <c r="F42" s="350"/>
      <c r="G42" s="350"/>
      <c r="H42" s="350">
        <v>3.87</v>
      </c>
    </row>
    <row r="43" spans="2:8">
      <c r="B43" s="348">
        <v>20</v>
      </c>
      <c r="C43" s="338" t="s">
        <v>974</v>
      </c>
      <c r="D43" s="348" t="s">
        <v>169</v>
      </c>
      <c r="E43" s="350">
        <v>4.2699999999999996</v>
      </c>
      <c r="F43" s="350">
        <v>1.02</v>
      </c>
      <c r="G43" s="350">
        <v>20.11</v>
      </c>
      <c r="H43" s="350">
        <v>3.35</v>
      </c>
    </row>
    <row r="44" spans="2:8">
      <c r="B44" s="348">
        <v>21</v>
      </c>
      <c r="C44" s="349" t="s">
        <v>1004</v>
      </c>
      <c r="D44" s="348" t="s">
        <v>169</v>
      </c>
      <c r="E44" s="350">
        <v>0.43</v>
      </c>
      <c r="F44" s="350">
        <v>2.42</v>
      </c>
      <c r="G44" s="350">
        <v>3.73</v>
      </c>
      <c r="H44" s="350">
        <v>0.86</v>
      </c>
    </row>
    <row r="45" spans="2:8">
      <c r="B45" s="348">
        <v>22</v>
      </c>
      <c r="C45" s="338" t="s">
        <v>890</v>
      </c>
      <c r="D45" s="348" t="s">
        <v>169</v>
      </c>
      <c r="E45" s="350">
        <v>15.59</v>
      </c>
      <c r="F45" s="350">
        <v>17.489999999999998</v>
      </c>
      <c r="G45" s="350">
        <v>17.920000000000002</v>
      </c>
      <c r="H45" s="350">
        <v>4.9000000000000004</v>
      </c>
    </row>
    <row r="46" spans="2:8">
      <c r="B46" s="348">
        <v>23</v>
      </c>
      <c r="C46" s="338" t="s">
        <v>893</v>
      </c>
      <c r="D46" s="348" t="s">
        <v>169</v>
      </c>
      <c r="E46" s="350">
        <v>37.64</v>
      </c>
      <c r="F46" s="350"/>
      <c r="G46" s="350"/>
      <c r="H46" s="350"/>
    </row>
    <row r="47" spans="2:8">
      <c r="B47" s="348">
        <v>24</v>
      </c>
      <c r="C47" s="338" t="s">
        <v>1336</v>
      </c>
      <c r="D47" s="348" t="s">
        <v>169</v>
      </c>
      <c r="E47" s="350"/>
      <c r="F47" s="350"/>
      <c r="G47" s="350"/>
      <c r="H47" s="350"/>
    </row>
    <row r="48" spans="2:8">
      <c r="B48" s="348">
        <v>25</v>
      </c>
      <c r="C48" s="338" t="s">
        <v>891</v>
      </c>
      <c r="D48" s="348" t="s">
        <v>169</v>
      </c>
      <c r="E48" s="350"/>
      <c r="F48" s="350"/>
      <c r="G48" s="350"/>
      <c r="H48" s="350"/>
    </row>
    <row r="49" spans="2:8">
      <c r="B49" s="348">
        <v>26</v>
      </c>
      <c r="C49" s="338" t="s">
        <v>1339</v>
      </c>
      <c r="D49" s="348" t="s">
        <v>169</v>
      </c>
      <c r="E49" s="350"/>
      <c r="F49" s="350"/>
      <c r="G49" s="350"/>
      <c r="H49" s="350"/>
    </row>
    <row r="50" spans="2:8">
      <c r="B50" s="348">
        <v>27</v>
      </c>
      <c r="C50" s="338" t="s">
        <v>1337</v>
      </c>
      <c r="D50" s="348" t="s">
        <v>169</v>
      </c>
      <c r="E50" s="350"/>
      <c r="F50" s="350"/>
      <c r="G50" s="350"/>
      <c r="H50" s="350"/>
    </row>
    <row r="51" spans="2:8">
      <c r="B51" s="348">
        <v>28</v>
      </c>
      <c r="C51" s="338" t="s">
        <v>646</v>
      </c>
      <c r="D51" s="348"/>
      <c r="E51" s="350"/>
      <c r="F51" s="350"/>
      <c r="G51" s="350"/>
      <c r="H51" s="350"/>
    </row>
    <row r="52" spans="2:8" s="337" customFormat="1" ht="13">
      <c r="B52" s="345"/>
      <c r="C52" s="339" t="s">
        <v>967</v>
      </c>
      <c r="D52" s="345"/>
      <c r="E52" s="340">
        <f>SUM(E36:E51)</f>
        <v>68.150000000000006</v>
      </c>
      <c r="F52" s="340">
        <f>SUM(F36:F51)</f>
        <v>21.07</v>
      </c>
      <c r="G52" s="340">
        <f>SUM(G36:G51)</f>
        <v>46.790000000000006</v>
      </c>
      <c r="H52" s="340">
        <f>SUM(H36:H51)</f>
        <v>14.78</v>
      </c>
    </row>
    <row r="53" spans="2:8" s="337" customFormat="1" ht="13">
      <c r="B53" s="345"/>
      <c r="C53" s="345" t="s">
        <v>1338</v>
      </c>
      <c r="D53" s="345"/>
      <c r="E53" s="340"/>
      <c r="F53" s="340"/>
      <c r="G53" s="340"/>
      <c r="H53" s="340"/>
    </row>
    <row r="54" spans="2:8">
      <c r="B54" s="348">
        <v>29</v>
      </c>
      <c r="C54" s="338" t="s">
        <v>670</v>
      </c>
      <c r="D54" s="348" t="s">
        <v>1494</v>
      </c>
      <c r="E54" s="350"/>
      <c r="F54" s="350"/>
      <c r="G54" s="350"/>
      <c r="H54" s="350"/>
    </row>
    <row r="55" spans="2:8">
      <c r="B55" s="348">
        <v>30</v>
      </c>
      <c r="C55" s="338" t="s">
        <v>890</v>
      </c>
      <c r="D55" s="348" t="s">
        <v>1494</v>
      </c>
      <c r="E55" s="350">
        <v>36.64</v>
      </c>
      <c r="F55" s="350">
        <v>9.7799999999999994</v>
      </c>
      <c r="G55" s="350"/>
      <c r="H55" s="350">
        <v>1.18</v>
      </c>
    </row>
    <row r="56" spans="2:8">
      <c r="B56" s="348">
        <v>31</v>
      </c>
      <c r="C56" s="338" t="s">
        <v>891</v>
      </c>
      <c r="D56" s="348" t="s">
        <v>1494</v>
      </c>
      <c r="E56" s="350">
        <v>49.44</v>
      </c>
      <c r="F56" s="350">
        <v>14.09</v>
      </c>
      <c r="G56" s="350"/>
      <c r="H56" s="350"/>
    </row>
    <row r="57" spans="2:8">
      <c r="B57" s="348">
        <v>32</v>
      </c>
      <c r="C57" s="338" t="s">
        <v>892</v>
      </c>
      <c r="D57" s="348" t="s">
        <v>1494</v>
      </c>
      <c r="E57" s="350"/>
      <c r="F57" s="350"/>
      <c r="G57" s="350"/>
      <c r="H57" s="350"/>
    </row>
    <row r="58" spans="2:8">
      <c r="B58" s="348">
        <v>33</v>
      </c>
      <c r="C58" s="338" t="s">
        <v>893</v>
      </c>
      <c r="D58" s="348" t="s">
        <v>1494</v>
      </c>
      <c r="E58" s="350"/>
      <c r="F58" s="350"/>
      <c r="G58" s="350"/>
      <c r="H58" s="350"/>
    </row>
    <row r="59" spans="2:8">
      <c r="B59" s="348">
        <v>34</v>
      </c>
      <c r="C59" s="338" t="s">
        <v>1336</v>
      </c>
      <c r="D59" s="348" t="s">
        <v>1494</v>
      </c>
      <c r="E59" s="350"/>
      <c r="F59" s="350"/>
      <c r="G59" s="350"/>
      <c r="H59" s="350"/>
    </row>
    <row r="60" spans="2:8">
      <c r="B60" s="348">
        <v>35</v>
      </c>
      <c r="C60" s="338" t="s">
        <v>1339</v>
      </c>
      <c r="D60" s="348" t="s">
        <v>1494</v>
      </c>
      <c r="E60" s="350"/>
      <c r="F60" s="350"/>
      <c r="G60" s="350"/>
      <c r="H60" s="350"/>
    </row>
    <row r="61" spans="2:8">
      <c r="B61" s="348">
        <v>36</v>
      </c>
      <c r="C61" s="338" t="s">
        <v>1337</v>
      </c>
      <c r="D61" s="348" t="s">
        <v>1494</v>
      </c>
      <c r="E61" s="350"/>
      <c r="F61" s="350"/>
      <c r="G61" s="350"/>
      <c r="H61" s="350"/>
    </row>
    <row r="62" spans="2:8">
      <c r="B62" s="348">
        <v>37</v>
      </c>
      <c r="C62" s="338" t="s">
        <v>646</v>
      </c>
      <c r="D62" s="348"/>
      <c r="E62" s="350"/>
      <c r="F62" s="350"/>
      <c r="G62" s="350"/>
      <c r="H62" s="350"/>
    </row>
    <row r="63" spans="2:8" s="337" customFormat="1" ht="13">
      <c r="B63" s="351"/>
      <c r="C63" s="339" t="s">
        <v>1265</v>
      </c>
      <c r="D63" s="345"/>
      <c r="E63" s="340">
        <f>SUM(E54:E62)</f>
        <v>86.08</v>
      </c>
      <c r="F63" s="340">
        <f>SUM(F54:F62)</f>
        <v>23.869999999999997</v>
      </c>
      <c r="G63" s="340">
        <f>SUM(G54:G62)</f>
        <v>0</v>
      </c>
      <c r="H63" s="340">
        <f>SUM(H54:H62)</f>
        <v>1.18</v>
      </c>
    </row>
    <row r="64" spans="2:8" s="337" customFormat="1" ht="13">
      <c r="B64" s="352"/>
      <c r="C64" s="352" t="s">
        <v>1584</v>
      </c>
      <c r="D64" s="345"/>
      <c r="E64" s="340">
        <f>E34+E52+E63</f>
        <v>469.65000000000003</v>
      </c>
      <c r="F64" s="340">
        <f>F34+F52+F63</f>
        <v>44.95</v>
      </c>
      <c r="G64" s="340">
        <f>G34+G52+G63</f>
        <v>47.13000000000001</v>
      </c>
      <c r="H64" s="340">
        <f>H34+H52+H63</f>
        <v>88.87</v>
      </c>
    </row>
    <row r="65" spans="2:4" ht="13">
      <c r="B65" s="353"/>
      <c r="C65" s="337"/>
      <c r="D65" s="353"/>
    </row>
  </sheetData>
  <mergeCells count="1">
    <mergeCell ref="E4:H4"/>
  </mergeCells>
  <phoneticPr fontId="0" type="noConversion"/>
  <printOptions horizontalCentered="1" verticalCentered="1"/>
  <pageMargins left="0.25" right="0.25" top="0.5" bottom="0.25" header="0.5" footer="0.5"/>
  <pageSetup paperSize="9" scale="90" orientation="portrait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61">
    <tabColor rgb="FF92D050"/>
  </sheetPr>
  <dimension ref="A1:V60"/>
  <sheetViews>
    <sheetView showGridLines="0" topLeftCell="B1" zoomScale="80" zoomScaleNormal="80" zoomScaleSheetLayoutView="90" workbookViewId="0">
      <pane xSplit="1" ySplit="6" topLeftCell="N7" activePane="bottomRight" state="frozen"/>
      <selection activeCell="D13" sqref="D13"/>
      <selection pane="topRight" activeCell="D13" sqref="D13"/>
      <selection pane="bottomLeft" activeCell="D13" sqref="D13"/>
      <selection pane="bottomRight" activeCell="N15" sqref="N15"/>
    </sheetView>
  </sheetViews>
  <sheetFormatPr defaultColWidth="14.7265625" defaultRowHeight="12.75" customHeight="1"/>
  <cols>
    <col min="1" max="1" width="6.453125" style="691" hidden="1" customWidth="1"/>
    <col min="2" max="2" width="49.81640625" style="718" customWidth="1"/>
    <col min="3" max="3" width="11" style="718" customWidth="1"/>
    <col min="4" max="4" width="11.81640625" style="718" bestFit="1" customWidth="1"/>
    <col min="5" max="5" width="12.7265625" style="718" bestFit="1" customWidth="1"/>
    <col min="6" max="9" width="12.7265625" style="718" customWidth="1"/>
    <col min="10" max="13" width="11.453125" style="718" customWidth="1"/>
    <col min="14" max="14" width="13.26953125" style="718" customWidth="1"/>
    <col min="15" max="15" width="16.26953125" style="718" hidden="1" customWidth="1"/>
    <col min="16" max="16" width="14.7265625" style="718" hidden="1" customWidth="1"/>
    <col min="17" max="17" width="17.54296875" style="691" bestFit="1" customWidth="1"/>
    <col min="18" max="16384" width="14.7265625" style="691"/>
  </cols>
  <sheetData>
    <row r="1" spans="1:22" ht="16.5" customHeight="1">
      <c r="A1" s="1580" t="s">
        <v>5525</v>
      </c>
      <c r="B1" s="1580" t="s">
        <v>5525</v>
      </c>
      <c r="C1" s="630"/>
    </row>
    <row r="2" spans="1:22" s="683" customFormat="1" ht="15.5"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5"/>
    </row>
    <row r="3" spans="1:22" s="683" customFormat="1" ht="21.75" customHeight="1">
      <c r="B3" s="3379" t="s">
        <v>3895</v>
      </c>
      <c r="C3" s="3379"/>
      <c r="D3" s="3379"/>
      <c r="E3" s="3379"/>
      <c r="F3" s="3379"/>
      <c r="G3" s="3379"/>
      <c r="H3" s="3379"/>
      <c r="I3" s="3379"/>
      <c r="J3" s="3379"/>
      <c r="K3" s="3379"/>
      <c r="L3" s="3379"/>
      <c r="M3" s="3379"/>
      <c r="N3" s="3379"/>
      <c r="O3" s="684"/>
      <c r="P3" s="685"/>
    </row>
    <row r="4" spans="1:22" s="683" customFormat="1" ht="15.75" customHeight="1">
      <c r="B4" s="3380" t="s">
        <v>4057</v>
      </c>
      <c r="C4" s="3380"/>
      <c r="D4" s="3380"/>
      <c r="E4" s="3380"/>
      <c r="F4" s="3380"/>
      <c r="G4" s="3380"/>
      <c r="H4" s="3380"/>
      <c r="I4" s="3380"/>
      <c r="J4" s="3380"/>
      <c r="K4" s="3380"/>
      <c r="L4" s="3380"/>
      <c r="M4" s="3380"/>
      <c r="N4" s="3380"/>
      <c r="O4" s="684"/>
      <c r="P4" s="684"/>
    </row>
    <row r="5" spans="1:22" s="686" customFormat="1" ht="25.5" customHeight="1">
      <c r="B5" s="687" t="s">
        <v>1414</v>
      </c>
      <c r="C5" s="3381" t="s">
        <v>8078</v>
      </c>
      <c r="D5" s="3381"/>
      <c r="E5" s="3381"/>
      <c r="F5" s="3381"/>
      <c r="G5" s="3381" t="s">
        <v>8076</v>
      </c>
      <c r="H5" s="3381"/>
      <c r="I5" s="3381"/>
      <c r="J5" s="3381"/>
      <c r="K5" s="3381" t="s">
        <v>8077</v>
      </c>
      <c r="L5" s="3381"/>
      <c r="M5" s="3381"/>
      <c r="N5" s="3381"/>
      <c r="O5" s="688" t="s">
        <v>85</v>
      </c>
      <c r="P5" s="689" t="s">
        <v>835</v>
      </c>
    </row>
    <row r="6" spans="1:22" s="686" customFormat="1" ht="15.5">
      <c r="B6" s="634"/>
      <c r="C6" s="634" t="s">
        <v>1494</v>
      </c>
      <c r="D6" s="634" t="s">
        <v>169</v>
      </c>
      <c r="E6" s="634" t="s">
        <v>1496</v>
      </c>
      <c r="F6" s="2289" t="s">
        <v>1101</v>
      </c>
      <c r="G6" s="634" t="s">
        <v>1494</v>
      </c>
      <c r="H6" s="634" t="s">
        <v>169</v>
      </c>
      <c r="I6" s="634" t="s">
        <v>1496</v>
      </c>
      <c r="J6" s="2289" t="s">
        <v>1101</v>
      </c>
      <c r="K6" s="634" t="s">
        <v>1494</v>
      </c>
      <c r="L6" s="634" t="s">
        <v>169</v>
      </c>
      <c r="M6" s="634" t="s">
        <v>1496</v>
      </c>
      <c r="N6" s="2289" t="s">
        <v>1101</v>
      </c>
      <c r="O6" s="688"/>
      <c r="P6" s="689"/>
    </row>
    <row r="7" spans="1:22" s="686" customFormat="1" ht="18" customHeight="1">
      <c r="B7" s="690" t="s">
        <v>3726</v>
      </c>
      <c r="C7" s="2289"/>
      <c r="D7" s="2289"/>
      <c r="E7" s="2289"/>
      <c r="F7" s="2289"/>
      <c r="G7" s="2289"/>
      <c r="H7" s="2289"/>
      <c r="I7" s="2289"/>
      <c r="J7" s="2289"/>
      <c r="K7" s="2289"/>
      <c r="L7" s="2289"/>
      <c r="M7" s="2289"/>
      <c r="N7" s="2289"/>
      <c r="O7" s="688"/>
      <c r="P7" s="689"/>
    </row>
    <row r="8" spans="1:22" ht="18" customHeight="1">
      <c r="B8" s="692" t="s">
        <v>306</v>
      </c>
      <c r="C8" s="693">
        <f>$F$55/$F$54*C54</f>
        <v>145.23971091364822</v>
      </c>
      <c r="D8" s="693">
        <f>$F$55/$F$54*D54</f>
        <v>87.927343900161588</v>
      </c>
      <c r="E8" s="693">
        <f>$F$55/$F$54*E54</f>
        <v>583.48003026519018</v>
      </c>
      <c r="F8" s="693">
        <f>SUM(C8:E8)</f>
        <v>816.64708507900002</v>
      </c>
      <c r="G8" s="693">
        <f>$J$55/$J$54*G54</f>
        <v>185.33776444083051</v>
      </c>
      <c r="H8" s="693">
        <f>$J$55/$J$54*H54</f>
        <v>109.89222593779584</v>
      </c>
      <c r="I8" s="693">
        <f>$J$55/$J$54*I54</f>
        <v>713.74662853386417</v>
      </c>
      <c r="J8" s="693">
        <v>1008.9766189124905</v>
      </c>
      <c r="K8" s="693">
        <f>$N$55/$N$54*K54</f>
        <v>194.42287008387385</v>
      </c>
      <c r="L8" s="693">
        <f>$N$55/$N$54*L54</f>
        <v>118.4122356829201</v>
      </c>
      <c r="M8" s="693">
        <f>$N$55/$N$54*M54</f>
        <v>772.51275762404612</v>
      </c>
      <c r="N8" s="693">
        <v>1085.3478633908401</v>
      </c>
      <c r="O8" s="695">
        <f>+N8</f>
        <v>1085.3478633908401</v>
      </c>
      <c r="P8" s="694">
        <f>+O8</f>
        <v>1085.3478633908401</v>
      </c>
      <c r="Q8" s="696">
        <f>+J8/F8</f>
        <v>1.2355111985918434</v>
      </c>
      <c r="R8" s="696">
        <f>+N8/J8</f>
        <v>1.0756917881413992</v>
      </c>
      <c r="T8" s="697">
        <f>SUM(F13:F19)</f>
        <v>693.43438715480158</v>
      </c>
    </row>
    <row r="9" spans="1:22" ht="18" customHeight="1">
      <c r="B9" s="692" t="s">
        <v>3727</v>
      </c>
      <c r="C9" s="693">
        <f>$F$56/$F$54*C54</f>
        <v>19.380627897129745</v>
      </c>
      <c r="D9" s="693">
        <f>$F$56/$F$54*D54</f>
        <v>11.732928435289656</v>
      </c>
      <c r="E9" s="693">
        <f>$F$56/$F$54*E54</f>
        <v>77.858935967580592</v>
      </c>
      <c r="F9" s="693">
        <f>SUM(C9:E9)</f>
        <v>108.9724923</v>
      </c>
      <c r="G9" s="693">
        <f>$J$56/$J$54*G54</f>
        <v>23.12093481320014</v>
      </c>
      <c r="H9" s="693">
        <f>$J$56/$J$54*H54</f>
        <v>13.709084060935671</v>
      </c>
      <c r="I9" s="693">
        <f>$J$56/$J$54*I54</f>
        <v>89.040079453107396</v>
      </c>
      <c r="J9" s="693">
        <f>'F-4'!G41</f>
        <v>125.8700983272432</v>
      </c>
      <c r="K9" s="693">
        <f>$N$56/$N$54*K54</f>
        <v>23.98167560505933</v>
      </c>
      <c r="L9" s="693">
        <f>$N$56/$N$54*L54</f>
        <v>14.605914533576049</v>
      </c>
      <c r="M9" s="693">
        <f>$N$56/$N$54*M54</f>
        <v>95.287917239970469</v>
      </c>
      <c r="N9" s="693">
        <f>'F-4'!I41</f>
        <v>133.87550737860585</v>
      </c>
      <c r="O9" s="695"/>
      <c r="P9" s="694"/>
      <c r="Q9" s="696"/>
      <c r="R9" s="696"/>
      <c r="T9" s="697"/>
    </row>
    <row r="10" spans="1:22" ht="18" customHeight="1">
      <c r="B10" s="692" t="s">
        <v>3728</v>
      </c>
      <c r="C10" s="693">
        <f>$F$57/$F$54*C54</f>
        <v>0.12578250260389456</v>
      </c>
      <c r="D10" s="693">
        <f>$F$57/$F$54*D54</f>
        <v>7.6148054092803355E-2</v>
      </c>
      <c r="E10" s="693">
        <f>$F$57/$F$54*E54</f>
        <v>0.50531344330330208</v>
      </c>
      <c r="F10" s="693">
        <f>SUM(C10:E10)</f>
        <v>0.70724399999999998</v>
      </c>
      <c r="G10" s="693">
        <f>$J$57/$J$54*G54</f>
        <v>9.8530704262715776E-2</v>
      </c>
      <c r="H10" s="693">
        <f>$J$57/$J$54*H54</f>
        <v>5.8421760116272967E-2</v>
      </c>
      <c r="I10" s="693">
        <f>$J$57/$J$54*I54</f>
        <v>0.37944753562101124</v>
      </c>
      <c r="J10" s="693">
        <f>'F-4'!G42</f>
        <v>0.70800000000000007</v>
      </c>
      <c r="K10" s="693">
        <f>$N$57/$N$54*K54</f>
        <v>9.608755960247839E-2</v>
      </c>
      <c r="L10" s="693">
        <f>$N$57/$N$54*L54</f>
        <v>5.8521627362752487E-2</v>
      </c>
      <c r="M10" s="693">
        <f>$N$57/$N$54*M54</f>
        <v>0.38179081303476908</v>
      </c>
      <c r="N10" s="693">
        <f>'F-4'!I42</f>
        <v>0.70800000000000007</v>
      </c>
      <c r="O10" s="695"/>
      <c r="P10" s="694"/>
      <c r="Q10" s="696"/>
      <c r="R10" s="696"/>
      <c r="T10" s="697"/>
    </row>
    <row r="11" spans="1:22" s="698" customFormat="1" ht="18" customHeight="1">
      <c r="B11" s="699" t="s">
        <v>421</v>
      </c>
      <c r="C11" s="700">
        <f t="shared" ref="C11:N11" si="0">SUM(C8:C10)</f>
        <v>164.74612131338188</v>
      </c>
      <c r="D11" s="700">
        <f t="shared" si="0"/>
        <v>99.736420389544037</v>
      </c>
      <c r="E11" s="700">
        <f t="shared" si="0"/>
        <v>661.84427967607405</v>
      </c>
      <c r="F11" s="700">
        <f t="shared" si="0"/>
        <v>926.32682137899997</v>
      </c>
      <c r="G11" s="700">
        <f t="shared" si="0"/>
        <v>208.55722995829336</v>
      </c>
      <c r="H11" s="700">
        <f t="shared" si="0"/>
        <v>123.65973175884778</v>
      </c>
      <c r="I11" s="700">
        <f t="shared" si="0"/>
        <v>803.16615552259259</v>
      </c>
      <c r="J11" s="700">
        <f t="shared" si="0"/>
        <v>1135.5547172397337</v>
      </c>
      <c r="K11" s="700">
        <f t="shared" si="0"/>
        <v>218.50063324853565</v>
      </c>
      <c r="L11" s="700">
        <f t="shared" si="0"/>
        <v>133.07667184385889</v>
      </c>
      <c r="M11" s="700">
        <f t="shared" si="0"/>
        <v>868.18246567705137</v>
      </c>
      <c r="N11" s="3158">
        <f t="shared" si="0"/>
        <v>1219.9313707694459</v>
      </c>
      <c r="O11" s="701"/>
      <c r="P11" s="702"/>
      <c r="Q11" s="3162"/>
    </row>
    <row r="12" spans="1:22" ht="18" customHeight="1">
      <c r="B12" s="699" t="s">
        <v>3733</v>
      </c>
      <c r="C12" s="692"/>
      <c r="D12" s="692"/>
      <c r="E12" s="692"/>
      <c r="F12" s="692"/>
      <c r="G12" s="692"/>
      <c r="H12" s="692"/>
      <c r="I12" s="692"/>
      <c r="J12" s="692"/>
      <c r="K12" s="692"/>
      <c r="L12" s="692"/>
      <c r="M12" s="692"/>
      <c r="N12" s="1280"/>
      <c r="O12" s="704"/>
      <c r="P12" s="703"/>
      <c r="T12" s="691">
        <v>17109.702566100001</v>
      </c>
    </row>
    <row r="13" spans="1:22" ht="18" customHeight="1">
      <c r="B13" s="692" t="s">
        <v>517</v>
      </c>
      <c r="C13" s="693">
        <f>$F$13*'F-12-A '!C82</f>
        <v>22.978343542936148</v>
      </c>
      <c r="D13" s="693">
        <f>$F$13*'F-12-A '!D82</f>
        <v>57.668366624323077</v>
      </c>
      <c r="E13" s="693">
        <f>$F$13*'F-12-A '!E82</f>
        <v>382.68346126218285</v>
      </c>
      <c r="F13" s="693">
        <f>'F-12-C'!G10+'F-12-A '!G40</f>
        <v>463.33017142944203</v>
      </c>
      <c r="G13" s="693">
        <f>$J$13*'F-12-A '!H82</f>
        <v>31.381788180972666</v>
      </c>
      <c r="H13" s="693">
        <f>$J$13*'F-12-A '!I82</f>
        <v>68.641659460148674</v>
      </c>
      <c r="I13" s="693">
        <f>$J$13*'F-12-A '!J82</f>
        <v>445.82546762118488</v>
      </c>
      <c r="J13" s="693">
        <f>'F-12-C'!L10+'F-12-A '!L40</f>
        <v>545.84891526230615</v>
      </c>
      <c r="K13" s="693">
        <f>$N$13*'F-12-A '!M82</f>
        <v>35.409720529576624</v>
      </c>
      <c r="L13" s="693">
        <f>$N$13*'F-12-A '!N82</f>
        <v>80.241136109635363</v>
      </c>
      <c r="M13" s="693">
        <f>$N$13*'F-12-A '!O82</f>
        <v>523.48729819550181</v>
      </c>
      <c r="N13" s="3159">
        <f>'F-12-C'!Q10+'F-12-A '!Q40</f>
        <v>639.13815483471387</v>
      </c>
      <c r="O13" s="695">
        <f>+N13</f>
        <v>639.13815483471387</v>
      </c>
      <c r="P13" s="694">
        <f>+N13</f>
        <v>639.13815483471387</v>
      </c>
      <c r="Q13" s="3163">
        <f t="shared" ref="Q13:Q24" si="1">+J13/F13</f>
        <v>1.1780992236665304</v>
      </c>
      <c r="R13" s="696">
        <f t="shared" ref="R13:R24" si="2">+N13/J13</f>
        <v>1.1709067050679727</v>
      </c>
      <c r="T13" s="697">
        <f>T8-T12</f>
        <v>-16416.2681789452</v>
      </c>
      <c r="V13" s="691">
        <f>2033514+1035362+6331145+10265288</f>
        <v>19665309</v>
      </c>
    </row>
    <row r="14" spans="1:22" ht="18" customHeight="1">
      <c r="B14" s="692" t="s">
        <v>1120</v>
      </c>
      <c r="C14" s="693"/>
      <c r="D14" s="693">
        <f>F14*0.6</f>
        <v>54.405397628595587</v>
      </c>
      <c r="E14" s="693">
        <f>F14*0.4</f>
        <v>36.270265085730394</v>
      </c>
      <c r="F14" s="693">
        <f>+'F-13-B'!C16</f>
        <v>90.675662714325981</v>
      </c>
      <c r="G14" s="693"/>
      <c r="H14" s="693">
        <f>J14*0.6</f>
        <v>87.238987806985037</v>
      </c>
      <c r="I14" s="693">
        <f>J14*0.4</f>
        <v>58.159325204656696</v>
      </c>
      <c r="J14" s="693">
        <f>+'F-13-B'!E16</f>
        <v>145.39831301164173</v>
      </c>
      <c r="K14" s="693"/>
      <c r="L14" s="693">
        <f>N14*0.6</f>
        <v>93.242605578142388</v>
      </c>
      <c r="M14" s="693">
        <f>N14*0.4</f>
        <v>62.161737052094935</v>
      </c>
      <c r="N14" s="3159">
        <f>'F-13-B'!F16</f>
        <v>155.40434263023732</v>
      </c>
      <c r="O14" s="695">
        <f t="shared" ref="O14:O21" si="3">+N14</f>
        <v>155.40434263023732</v>
      </c>
      <c r="P14" s="694">
        <f t="shared" ref="P14:P21" si="4">+N14</f>
        <v>155.40434263023732</v>
      </c>
      <c r="Q14" s="696">
        <f t="shared" si="1"/>
        <v>1.6034987631655879</v>
      </c>
      <c r="R14" s="696">
        <f t="shared" si="2"/>
        <v>1.0688180585547402</v>
      </c>
    </row>
    <row r="15" spans="1:22" ht="18" customHeight="1">
      <c r="B15" s="692" t="s">
        <v>520</v>
      </c>
      <c r="C15" s="693">
        <f>F15*2%</f>
        <v>1.9352737372806734</v>
      </c>
      <c r="D15" s="693">
        <f>($F$15-$C$15)/($D$54+$E$54)*D54</f>
        <v>12.418705562875086</v>
      </c>
      <c r="E15" s="693">
        <f>($F$15-$C$15)/($D$54+$E$54)*E54</f>
        <v>82.409707563877916</v>
      </c>
      <c r="F15" s="693">
        <f>'F-14  '!C77</f>
        <v>96.763686864033673</v>
      </c>
      <c r="G15" s="693">
        <f>$J$15*'F-14  '!B87</f>
        <v>2.4680116243207495</v>
      </c>
      <c r="H15" s="693">
        <f>$J$15*'F-14  '!C87</f>
        <v>16.135165538464069</v>
      </c>
      <c r="I15" s="693">
        <f>$J$15*'F-14  '!E87</f>
        <v>104.79740405325263</v>
      </c>
      <c r="J15" s="693">
        <f>+'F-14  '!E77</f>
        <v>123.40058121603747</v>
      </c>
      <c r="K15" s="693">
        <f>$N$15*'F-14  '!B95</f>
        <v>2.7493724380232014</v>
      </c>
      <c r="L15" s="693">
        <f>$N$15*'F-14  '!C95</f>
        <v>17.905443935568996</v>
      </c>
      <c r="M15" s="693">
        <f>$N$15*'F-14  '!E95</f>
        <v>116.81380552756787</v>
      </c>
      <c r="N15" s="3159">
        <f>+'F-14  '!F77</f>
        <v>137.46862190116008</v>
      </c>
      <c r="O15" s="695">
        <f t="shared" si="3"/>
        <v>137.46862190116008</v>
      </c>
      <c r="P15" s="694">
        <f t="shared" si="4"/>
        <v>137.46862190116008</v>
      </c>
      <c r="Q15" s="696">
        <f t="shared" si="1"/>
        <v>1.2752777949586842</v>
      </c>
      <c r="R15" s="696">
        <f t="shared" si="2"/>
        <v>1.1140030342360681</v>
      </c>
      <c r="V15" s="691">
        <f>2368124924+152242997+5133262</f>
        <v>2525501183</v>
      </c>
    </row>
    <row r="16" spans="1:22" ht="18" customHeight="1">
      <c r="B16" s="692" t="s">
        <v>1524</v>
      </c>
      <c r="C16" s="692"/>
      <c r="D16" s="692"/>
      <c r="E16" s="693">
        <f>F16</f>
        <v>16.546298806999999</v>
      </c>
      <c r="F16" s="693">
        <f>'F-22'!B17</f>
        <v>16.546298806999999</v>
      </c>
      <c r="G16" s="693"/>
      <c r="H16" s="693"/>
      <c r="I16" s="693">
        <f>J16</f>
        <v>18.693517058126908</v>
      </c>
      <c r="J16" s="693">
        <v>18.693517058126908</v>
      </c>
      <c r="K16" s="693"/>
      <c r="L16" s="693"/>
      <c r="M16" s="693">
        <f>N16</f>
        <v>19.857064074586116</v>
      </c>
      <c r="N16" s="3159">
        <v>19.857064074586116</v>
      </c>
      <c r="O16" s="695">
        <f t="shared" si="3"/>
        <v>19.857064074586116</v>
      </c>
      <c r="P16" s="694">
        <f t="shared" si="4"/>
        <v>19.857064074586116</v>
      </c>
      <c r="Q16" s="696">
        <f t="shared" si="1"/>
        <v>1.1297703055029151</v>
      </c>
      <c r="R16" s="696">
        <f t="shared" si="2"/>
        <v>1.0622433441947385</v>
      </c>
    </row>
    <row r="17" spans="2:22" ht="18" customHeight="1">
      <c r="B17" s="692" t="s">
        <v>118</v>
      </c>
      <c r="C17" s="692"/>
      <c r="D17" s="693">
        <f>F17*0.6</f>
        <v>16.971694516200003</v>
      </c>
      <c r="E17" s="693">
        <f>F17*0.4</f>
        <v>11.314463010800003</v>
      </c>
      <c r="F17" s="693">
        <f>+'F-22'!B16</f>
        <v>28.286157527000004</v>
      </c>
      <c r="G17" s="693"/>
      <c r="H17" s="693">
        <f>J17*0.6</f>
        <v>31.337243444671433</v>
      </c>
      <c r="I17" s="693">
        <f>J17*0.4</f>
        <v>20.891495629780959</v>
      </c>
      <c r="J17" s="693">
        <f>'F-19-A'!K22</f>
        <v>52.228739074452392</v>
      </c>
      <c r="K17" s="693"/>
      <c r="L17" s="693">
        <f>N17*0.6</f>
        <v>37.256111861212837</v>
      </c>
      <c r="M17" s="693">
        <f>N17*0.4</f>
        <v>24.837407907475228</v>
      </c>
      <c r="N17" s="3159">
        <f>+'F-22'!D16</f>
        <v>62.093519768688068</v>
      </c>
      <c r="O17" s="695">
        <f t="shared" si="3"/>
        <v>62.093519768688068</v>
      </c>
      <c r="P17" s="694">
        <f t="shared" si="4"/>
        <v>62.093519768688068</v>
      </c>
      <c r="Q17" s="696">
        <f t="shared" si="1"/>
        <v>1.846441639328299</v>
      </c>
      <c r="R17" s="696">
        <f t="shared" si="2"/>
        <v>1.1888764858016843</v>
      </c>
    </row>
    <row r="18" spans="2:22" ht="18" customHeight="1">
      <c r="B18" s="692" t="s">
        <v>799</v>
      </c>
      <c r="C18" s="692"/>
      <c r="D18" s="693">
        <f>F18*0.6</f>
        <v>0</v>
      </c>
      <c r="E18" s="693">
        <f>F18*0.4</f>
        <v>0</v>
      </c>
      <c r="F18" s="693">
        <v>0</v>
      </c>
      <c r="G18" s="693"/>
      <c r="H18" s="693"/>
      <c r="I18" s="693"/>
      <c r="J18" s="693">
        <v>0</v>
      </c>
      <c r="K18" s="693"/>
      <c r="L18" s="693"/>
      <c r="M18" s="693"/>
      <c r="N18" s="3159">
        <v>0</v>
      </c>
      <c r="O18" s="695">
        <f t="shared" si="3"/>
        <v>0</v>
      </c>
      <c r="P18" s="694">
        <f t="shared" si="4"/>
        <v>0</v>
      </c>
      <c r="Q18" s="696" t="e">
        <f t="shared" si="1"/>
        <v>#DIV/0!</v>
      </c>
      <c r="R18" s="696" t="e">
        <f t="shared" si="2"/>
        <v>#DIV/0!</v>
      </c>
    </row>
    <row r="19" spans="2:22" ht="31">
      <c r="B19" s="692" t="s">
        <v>3730</v>
      </c>
      <c r="C19" s="692"/>
      <c r="D19" s="705">
        <f>F19*0.6</f>
        <v>-1.3005541121999999</v>
      </c>
      <c r="E19" s="705">
        <f>F19*0.4</f>
        <v>-0.86703607480000011</v>
      </c>
      <c r="F19" s="705">
        <f>-'OERC 14,15 &amp; 16'!C50/10^7</f>
        <v>-2.1675901870000001</v>
      </c>
      <c r="G19" s="705"/>
      <c r="H19" s="705">
        <f>J19*0.6</f>
        <v>-16.962</v>
      </c>
      <c r="I19" s="705">
        <f>J19*0.4</f>
        <v>-11.308</v>
      </c>
      <c r="J19" s="705">
        <f>'WF-10(Rev RQ-Cur)'!G54</f>
        <v>-28.27</v>
      </c>
      <c r="K19" s="705"/>
      <c r="L19" s="705">
        <f>N19*0.6</f>
        <v>-18.144000000000002</v>
      </c>
      <c r="M19" s="705">
        <f>N19*0.4</f>
        <v>-12.096000000000002</v>
      </c>
      <c r="N19" s="3160">
        <f>'WF-12(RevRQEns)'!G56</f>
        <v>-30.240000000000002</v>
      </c>
      <c r="O19" s="707">
        <f t="shared" si="3"/>
        <v>-30.240000000000002</v>
      </c>
      <c r="P19" s="706">
        <f t="shared" si="4"/>
        <v>-30.240000000000002</v>
      </c>
      <c r="Q19" s="696">
        <f t="shared" si="1"/>
        <v>13.042133226819226</v>
      </c>
      <c r="R19" s="696">
        <f t="shared" si="2"/>
        <v>1.0696851786345951</v>
      </c>
      <c r="S19" s="2288">
        <f>N13+N19</f>
        <v>608.89815483471386</v>
      </c>
    </row>
    <row r="20" spans="2:22" ht="18" customHeight="1">
      <c r="B20" s="692" t="s">
        <v>3731</v>
      </c>
      <c r="C20" s="692"/>
      <c r="D20" s="693">
        <f>F20*0.6</f>
        <v>9.0681180575999978</v>
      </c>
      <c r="E20" s="693">
        <f>F20*0.4</f>
        <v>6.0454120383999994</v>
      </c>
      <c r="F20" s="693">
        <f>'F-22'!B19-F22</f>
        <v>15.113530095999998</v>
      </c>
      <c r="G20" s="693"/>
      <c r="H20" s="693">
        <f>J20*0.6</f>
        <v>26.26690839742886</v>
      </c>
      <c r="I20" s="693">
        <f>J20*0.4</f>
        <v>17.511272264952577</v>
      </c>
      <c r="J20" s="693">
        <v>43.778180662381438</v>
      </c>
      <c r="K20" s="693"/>
      <c r="L20" s="693">
        <f>N20*0.6</f>
        <v>29.16920663182632</v>
      </c>
      <c r="M20" s="693">
        <f>N20*0.4</f>
        <v>19.446137754550882</v>
      </c>
      <c r="N20" s="3159">
        <v>48.615344386377203</v>
      </c>
      <c r="O20" s="695">
        <f t="shared" si="3"/>
        <v>48.615344386377203</v>
      </c>
      <c r="P20" s="694">
        <f t="shared" si="4"/>
        <v>48.615344386377203</v>
      </c>
      <c r="Q20" s="696">
        <f t="shared" si="1"/>
        <v>2.8966217941345107</v>
      </c>
      <c r="R20" s="696">
        <f t="shared" si="2"/>
        <v>1.1104925707466033</v>
      </c>
    </row>
    <row r="21" spans="2:22" ht="18" customHeight="1">
      <c r="B21" s="692" t="s">
        <v>3732</v>
      </c>
      <c r="C21" s="692"/>
      <c r="D21" s="692"/>
      <c r="E21" s="692"/>
      <c r="F21" s="705">
        <f>-'F-22'!B20</f>
        <v>0</v>
      </c>
      <c r="G21" s="705"/>
      <c r="H21" s="705">
        <f>J21*0.6</f>
        <v>0</v>
      </c>
      <c r="I21" s="705">
        <f>J21*0.4</f>
        <v>0</v>
      </c>
      <c r="J21" s="705"/>
      <c r="K21" s="705"/>
      <c r="L21" s="705">
        <f>N21*0.6</f>
        <v>0</v>
      </c>
      <c r="M21" s="705">
        <f>N21*0.4</f>
        <v>0</v>
      </c>
      <c r="N21" s="3160">
        <v>0</v>
      </c>
      <c r="O21" s="707">
        <f t="shared" si="3"/>
        <v>0</v>
      </c>
      <c r="P21" s="706">
        <f t="shared" si="4"/>
        <v>0</v>
      </c>
      <c r="Q21" s="2439">
        <f>SUM('WF-12(RevRQEns)'!G20:G36)</f>
        <v>81.416016348830993</v>
      </c>
      <c r="R21" s="2439">
        <f>'WF-INTEREST'!W45</f>
        <v>7.8810464243845262</v>
      </c>
      <c r="S21" s="697">
        <f>N22</f>
        <v>18.129630420640474</v>
      </c>
    </row>
    <row r="22" spans="2:22" ht="18" customHeight="1">
      <c r="B22" s="692" t="s">
        <v>3729</v>
      </c>
      <c r="C22" s="692">
        <v>2.1800000000000002</v>
      </c>
      <c r="D22" s="2111">
        <f>+F22-E22-C22</f>
        <v>6.8181331230000009</v>
      </c>
      <c r="E22" s="692">
        <v>2.92</v>
      </c>
      <c r="F22" s="705">
        <f>'OERC 17 &amp; 18'!D19/10^7</f>
        <v>11.918133123</v>
      </c>
      <c r="G22" s="705">
        <v>2.93</v>
      </c>
      <c r="H22" s="693">
        <f>+J22-G22-I22</f>
        <v>6.2286063882474805</v>
      </c>
      <c r="I22" s="693">
        <v>3.37</v>
      </c>
      <c r="J22" s="705">
        <v>12.52860638824748</v>
      </c>
      <c r="K22" s="705">
        <v>2.93</v>
      </c>
      <c r="L22" s="693">
        <f>N22*0.55-K22</f>
        <v>7.0412967313522614</v>
      </c>
      <c r="M22" s="693">
        <f>N22*0.45</f>
        <v>8.158333689288213</v>
      </c>
      <c r="N22" s="3161">
        <v>18.129630420640474</v>
      </c>
      <c r="O22" s="707"/>
      <c r="P22" s="706"/>
      <c r="Q22" s="2439">
        <f>N22+N20</f>
        <v>66.744974807017684</v>
      </c>
      <c r="R22" s="696"/>
      <c r="S22" s="697">
        <f>R21+Q21-S21</f>
        <v>71.167432352575048</v>
      </c>
    </row>
    <row r="23" spans="2:22" ht="18" customHeight="1">
      <c r="B23" s="692" t="s">
        <v>6945</v>
      </c>
      <c r="C23" s="692"/>
      <c r="D23" s="693">
        <f>F23*0.6</f>
        <v>21.289612140465604</v>
      </c>
      <c r="E23" s="693">
        <f>F23*0.4</f>
        <v>14.193074760310404</v>
      </c>
      <c r="F23" s="693">
        <v>35.48268690077601</v>
      </c>
      <c r="G23" s="693"/>
      <c r="H23" s="693">
        <f>J23*0.6</f>
        <v>26.398669847224344</v>
      </c>
      <c r="I23" s="693">
        <f>J23*0.4</f>
        <v>17.5991132314829</v>
      </c>
      <c r="J23" s="693">
        <v>43.997783078707243</v>
      </c>
      <c r="K23" s="693"/>
      <c r="L23" s="693">
        <f>N23*0.6</f>
        <v>32.482303337459626</v>
      </c>
      <c r="M23" s="693">
        <f>N23*0.4</f>
        <v>21.654868891639751</v>
      </c>
      <c r="N23" s="3159">
        <v>54.137172229099377</v>
      </c>
      <c r="O23" s="707"/>
      <c r="P23" s="706"/>
      <c r="Q23" s="696"/>
      <c r="R23" s="696"/>
    </row>
    <row r="24" spans="2:22" ht="18" customHeight="1">
      <c r="B24" s="699" t="s">
        <v>3734</v>
      </c>
      <c r="C24" s="700">
        <f t="shared" ref="C24:M24" si="5">SUM(C13:C23)</f>
        <v>27.093617280216822</v>
      </c>
      <c r="D24" s="700">
        <f t="shared" si="5"/>
        <v>177.33947354085936</v>
      </c>
      <c r="E24" s="700">
        <f t="shared" si="5"/>
        <v>551.5156464535014</v>
      </c>
      <c r="F24" s="700">
        <f t="shared" si="5"/>
        <v>755.94873727457752</v>
      </c>
      <c r="G24" s="700">
        <f t="shared" si="5"/>
        <v>36.779799805293415</v>
      </c>
      <c r="H24" s="700">
        <f t="shared" si="5"/>
        <v>245.28524088316991</v>
      </c>
      <c r="I24" s="700">
        <f t="shared" si="5"/>
        <v>675.53959506343745</v>
      </c>
      <c r="J24" s="700">
        <f t="shared" si="5"/>
        <v>957.6046357519009</v>
      </c>
      <c r="K24" s="700">
        <f t="shared" si="5"/>
        <v>41.089092967599825</v>
      </c>
      <c r="L24" s="700">
        <f t="shared" si="5"/>
        <v>279.19410418519783</v>
      </c>
      <c r="M24" s="700">
        <f t="shared" si="5"/>
        <v>784.32065309270502</v>
      </c>
      <c r="N24" s="3158">
        <f>SUM(N13:N23)</f>
        <v>1104.6038502455026</v>
      </c>
      <c r="O24" s="710">
        <f>SUM(O13:O21)</f>
        <v>1032.3370475957627</v>
      </c>
      <c r="P24" s="709">
        <f>SUM(P13:P21)</f>
        <v>1032.3370475957627</v>
      </c>
      <c r="Q24" s="696">
        <f t="shared" si="1"/>
        <v>1.2667586947818095</v>
      </c>
      <c r="R24" s="696">
        <f t="shared" si="2"/>
        <v>1.153507208513229</v>
      </c>
      <c r="S24" s="691">
        <f>+(1475898962+142156987+153957589)/100000</f>
        <v>17720.13538</v>
      </c>
      <c r="T24" s="697">
        <f>+F24-S24</f>
        <v>-16964.186642725421</v>
      </c>
    </row>
    <row r="25" spans="2:22" ht="18" customHeight="1">
      <c r="B25" s="699" t="s">
        <v>3735</v>
      </c>
      <c r="C25" s="692"/>
      <c r="D25" s="692"/>
      <c r="E25" s="692"/>
      <c r="F25" s="693"/>
      <c r="G25" s="693"/>
      <c r="H25" s="693"/>
      <c r="I25" s="693"/>
      <c r="J25" s="693"/>
      <c r="K25" s="692"/>
      <c r="L25" s="692"/>
      <c r="M25" s="692"/>
      <c r="N25" s="693"/>
      <c r="O25" s="704"/>
      <c r="P25" s="703"/>
      <c r="R25" s="697"/>
      <c r="V25" s="697">
        <f>+(F24+F8)-'F-22'!B12-'F-22'!B13-'F-22'!B16-'F-22'!B19+'F-22'!B20-'F-22'!B25</f>
        <v>109.19311482613553</v>
      </c>
    </row>
    <row r="26" spans="2:22" ht="18" customHeight="1">
      <c r="B26" s="711" t="s">
        <v>1217</v>
      </c>
      <c r="C26" s="711"/>
      <c r="D26" s="711"/>
      <c r="E26" s="711"/>
      <c r="F26" s="705">
        <f>-'F-22'!B23</f>
        <v>-3.3497167430000001</v>
      </c>
      <c r="G26" s="692"/>
      <c r="H26" s="692"/>
      <c r="I26" s="692"/>
      <c r="J26" s="693"/>
      <c r="K26" s="693"/>
      <c r="L26" s="693"/>
      <c r="M26" s="693"/>
      <c r="N26" s="705">
        <v>0</v>
      </c>
      <c r="O26" s="704"/>
      <c r="P26" s="703"/>
      <c r="R26" s="697">
        <f>+I22/J22</f>
        <v>0.26898442616580603</v>
      </c>
      <c r="V26" s="697"/>
    </row>
    <row r="27" spans="2:22" ht="18" customHeight="1">
      <c r="B27" s="692" t="s">
        <v>3736</v>
      </c>
      <c r="C27" s="692"/>
      <c r="D27" s="692"/>
      <c r="E27" s="692"/>
      <c r="F27" s="693"/>
      <c r="G27" s="693"/>
      <c r="H27" s="693"/>
      <c r="I27" s="693"/>
      <c r="J27" s="692"/>
      <c r="K27" s="692"/>
      <c r="L27" s="693">
        <f>N27*0.6</f>
        <v>0</v>
      </c>
      <c r="M27" s="693">
        <f>N27*0.4</f>
        <v>0</v>
      </c>
      <c r="N27" s="693">
        <f>+Sheet2!C124*0</f>
        <v>0</v>
      </c>
      <c r="O27" s="704"/>
      <c r="P27" s="703"/>
      <c r="R27" s="697"/>
      <c r="V27" s="697"/>
    </row>
    <row r="28" spans="2:22" ht="18" customHeight="1">
      <c r="B28" s="692" t="s">
        <v>1530</v>
      </c>
      <c r="C28" s="692"/>
      <c r="D28" s="693">
        <f>F28*0.6</f>
        <v>0</v>
      </c>
      <c r="E28" s="693">
        <f>F28*0.4</f>
        <v>0</v>
      </c>
      <c r="F28" s="693">
        <f>'OERC 17 &amp; 18'!D32/10^7</f>
        <v>0</v>
      </c>
      <c r="G28" s="693"/>
      <c r="H28" s="693">
        <f>J28*0.6</f>
        <v>0</v>
      </c>
      <c r="I28" s="693">
        <f>J28*0.4</f>
        <v>0</v>
      </c>
      <c r="J28" s="693">
        <f>+'WF-10(Rev RQ-Cur)'!G69</f>
        <v>0</v>
      </c>
      <c r="K28" s="693"/>
      <c r="L28" s="693">
        <f>N28*0.6</f>
        <v>0</v>
      </c>
      <c r="M28" s="693">
        <f>N28*0.4</f>
        <v>0</v>
      </c>
      <c r="N28" s="693">
        <f>+'WF-12(RevRQEns)'!G69</f>
        <v>0</v>
      </c>
      <c r="O28" s="695">
        <f>+N28</f>
        <v>0</v>
      </c>
      <c r="P28" s="694">
        <f>+O28</f>
        <v>0</v>
      </c>
      <c r="Q28" s="697"/>
      <c r="R28" s="697"/>
    </row>
    <row r="29" spans="2:22" ht="18" customHeight="1">
      <c r="B29" s="692" t="s">
        <v>8507</v>
      </c>
      <c r="C29" s="692"/>
      <c r="D29" s="692"/>
      <c r="E29" s="692"/>
      <c r="F29" s="693">
        <f>'F-22'!B25</f>
        <v>20.595484159999998</v>
      </c>
      <c r="G29" s="692"/>
      <c r="H29" s="692"/>
      <c r="I29" s="692"/>
      <c r="J29" s="693">
        <v>20.796263820232149</v>
      </c>
      <c r="K29" s="692"/>
      <c r="L29" s="692"/>
      <c r="M29" s="692"/>
      <c r="N29" s="693">
        <v>20.796263820232149</v>
      </c>
      <c r="O29" s="704"/>
      <c r="P29" s="703"/>
    </row>
    <row r="30" spans="2:22" s="698" customFormat="1" ht="18" customHeight="1">
      <c r="B30" s="731" t="s">
        <v>3738</v>
      </c>
      <c r="C30" s="882">
        <f t="shared" ref="C30:N30" si="6">SUM(C26:C29)</f>
        <v>0</v>
      </c>
      <c r="D30" s="882">
        <f t="shared" si="6"/>
        <v>0</v>
      </c>
      <c r="E30" s="882">
        <f t="shared" si="6"/>
        <v>0</v>
      </c>
      <c r="F30" s="732">
        <f t="shared" si="6"/>
        <v>17.245767416999996</v>
      </c>
      <c r="G30" s="882">
        <f t="shared" si="6"/>
        <v>0</v>
      </c>
      <c r="H30" s="882">
        <f t="shared" si="6"/>
        <v>0</v>
      </c>
      <c r="I30" s="882">
        <f t="shared" si="6"/>
        <v>0</v>
      </c>
      <c r="J30" s="732">
        <f t="shared" si="6"/>
        <v>20.796263820232149</v>
      </c>
      <c r="K30" s="882">
        <f t="shared" si="6"/>
        <v>0</v>
      </c>
      <c r="L30" s="882">
        <f t="shared" si="6"/>
        <v>0</v>
      </c>
      <c r="M30" s="882">
        <f t="shared" si="6"/>
        <v>0</v>
      </c>
      <c r="N30" s="732">
        <f t="shared" si="6"/>
        <v>20.796263820232149</v>
      </c>
      <c r="O30" s="701">
        <f>+'RoE(AF-40)'!F11</f>
        <v>63.383205814771401</v>
      </c>
      <c r="P30" s="702">
        <f>O30</f>
        <v>63.383205814771401</v>
      </c>
    </row>
    <row r="31" spans="2:22" ht="18" customHeight="1">
      <c r="B31" s="692"/>
      <c r="C31" s="692"/>
      <c r="D31" s="692"/>
      <c r="E31" s="692"/>
      <c r="F31" s="692"/>
      <c r="G31" s="692"/>
      <c r="H31" s="692"/>
      <c r="I31" s="692"/>
      <c r="J31" s="692"/>
      <c r="K31" s="692"/>
      <c r="L31" s="692"/>
      <c r="M31" s="692"/>
      <c r="N31" s="692"/>
      <c r="O31" s="704"/>
      <c r="P31" s="703"/>
      <c r="Q31" s="697">
        <f>N32-N23</f>
        <v>2291.1943126060814</v>
      </c>
    </row>
    <row r="32" spans="2:22" ht="17.25" customHeight="1">
      <c r="B32" s="699" t="s">
        <v>3739</v>
      </c>
      <c r="C32" s="700">
        <f t="shared" ref="C32:N32" si="7">C11+C24+C30</f>
        <v>191.8397385935987</v>
      </c>
      <c r="D32" s="700">
        <f t="shared" si="7"/>
        <v>277.07589393040337</v>
      </c>
      <c r="E32" s="700">
        <f t="shared" si="7"/>
        <v>1213.3599261295753</v>
      </c>
      <c r="F32" s="700">
        <f t="shared" si="7"/>
        <v>1699.5213260705775</v>
      </c>
      <c r="G32" s="700">
        <f t="shared" si="7"/>
        <v>245.33702976358677</v>
      </c>
      <c r="H32" s="700">
        <f t="shared" si="7"/>
        <v>368.94497264201766</v>
      </c>
      <c r="I32" s="700">
        <f t="shared" si="7"/>
        <v>1478.70575058603</v>
      </c>
      <c r="J32" s="700">
        <f>J11+J24+J30</f>
        <v>2113.9556168118665</v>
      </c>
      <c r="K32" s="700">
        <f t="shared" si="7"/>
        <v>259.58972621613549</v>
      </c>
      <c r="L32" s="700">
        <f t="shared" si="7"/>
        <v>412.27077602905672</v>
      </c>
      <c r="M32" s="700">
        <f t="shared" si="7"/>
        <v>1652.5031187697564</v>
      </c>
      <c r="N32" s="700">
        <f t="shared" si="7"/>
        <v>2345.3314848351806</v>
      </c>
      <c r="O32" s="710">
        <f>O8+O24+O28+O30</f>
        <v>2181.0681168013739</v>
      </c>
      <c r="P32" s="709">
        <f>P8+P24+P28+P30</f>
        <v>2181.0681168013739</v>
      </c>
      <c r="Q32" s="696">
        <f>+J32/F32</f>
        <v>1.2438535394548373</v>
      </c>
      <c r="R32" s="696">
        <f>+N32/J32</f>
        <v>1.1094516205464429</v>
      </c>
      <c r="S32" s="712">
        <f>+N32-N23</f>
        <v>2291.1943126060814</v>
      </c>
      <c r="T32" s="713">
        <f>N32-N23</f>
        <v>2291.1943126060814</v>
      </c>
    </row>
    <row r="33" spans="2:19" ht="18" customHeight="1">
      <c r="B33" s="692"/>
      <c r="C33" s="692"/>
      <c r="D33" s="692"/>
      <c r="E33" s="692"/>
      <c r="F33" s="692"/>
      <c r="G33" s="692"/>
      <c r="H33" s="692"/>
      <c r="I33" s="692"/>
      <c r="J33" s="692"/>
      <c r="K33" s="692"/>
      <c r="L33" s="692"/>
      <c r="M33" s="692"/>
      <c r="N33" s="692"/>
      <c r="O33" s="704"/>
      <c r="P33" s="703"/>
    </row>
    <row r="34" spans="2:19" ht="18" customHeight="1">
      <c r="B34" s="692" t="s">
        <v>3740</v>
      </c>
      <c r="C34" s="693">
        <f>+$F$34/$F$11*C11</f>
        <v>16.527515542441137</v>
      </c>
      <c r="D34" s="693">
        <f>+$F$34/$F$11*D11</f>
        <v>10.005669480983025</v>
      </c>
      <c r="E34" s="693">
        <f>+$F$34/$F$11*E11</f>
        <v>66.396959951575852</v>
      </c>
      <c r="F34" s="693">
        <f>'F-22'!B8</f>
        <v>92.930144975000005</v>
      </c>
      <c r="G34" s="693">
        <f>+$J$34/$J$11*G11</f>
        <v>9.6400440346210754</v>
      </c>
      <c r="H34" s="693">
        <f>+$J$34/$J$11*H11</f>
        <v>5.7158663821106197</v>
      </c>
      <c r="I34" s="693">
        <f>+$J$34/$J$11*I11</f>
        <v>37.124376402119665</v>
      </c>
      <c r="J34" s="693">
        <f>+'F-23 '!C11</f>
        <v>52.488218606000011</v>
      </c>
      <c r="K34" s="693">
        <f>+$N$34/$N$11*K11</f>
        <v>9.952417321467939</v>
      </c>
      <c r="L34" s="693">
        <f>+$N$34/$N$11*L11</f>
        <v>6.0614678971462537</v>
      </c>
      <c r="M34" s="693">
        <f>+$N$34/$N$11*M11</f>
        <v>39.544572851515696</v>
      </c>
      <c r="N34" s="693">
        <v>55.566274225108359</v>
      </c>
      <c r="O34" s="695">
        <f>+N34</f>
        <v>55.566274225108359</v>
      </c>
      <c r="P34" s="694">
        <f>+N34</f>
        <v>55.566274225108359</v>
      </c>
      <c r="Q34" s="696">
        <f>+J34/F34</f>
        <v>0.56481369549267735</v>
      </c>
      <c r="R34" s="696">
        <f>+N34/J34</f>
        <v>1.0586427907224973</v>
      </c>
    </row>
    <row r="35" spans="2:19" ht="18" customHeight="1">
      <c r="B35" s="692"/>
      <c r="C35" s="692"/>
      <c r="D35" s="692"/>
      <c r="E35" s="692"/>
      <c r="F35" s="692"/>
      <c r="G35" s="692"/>
      <c r="H35" s="692"/>
      <c r="I35" s="692"/>
      <c r="J35" s="692"/>
      <c r="K35" s="692"/>
      <c r="L35" s="692"/>
      <c r="M35" s="692"/>
      <c r="N35" s="692"/>
      <c r="O35" s="704"/>
      <c r="P35" s="703"/>
    </row>
    <row r="36" spans="2:19" ht="18" customHeight="1">
      <c r="B36" s="692" t="s">
        <v>3</v>
      </c>
      <c r="C36" s="692"/>
      <c r="D36" s="692"/>
      <c r="E36" s="692"/>
      <c r="F36" s="692">
        <v>0</v>
      </c>
      <c r="G36" s="692"/>
      <c r="H36" s="692"/>
      <c r="I36" s="692"/>
      <c r="J36" s="692"/>
      <c r="K36" s="692"/>
      <c r="L36" s="692"/>
      <c r="M36" s="692"/>
      <c r="N36" s="692"/>
      <c r="O36" s="704"/>
      <c r="P36" s="703"/>
    </row>
    <row r="37" spans="2:19" ht="18" customHeight="1">
      <c r="B37" s="692"/>
      <c r="C37" s="692"/>
      <c r="D37" s="692"/>
      <c r="E37" s="692"/>
      <c r="F37" s="692"/>
      <c r="G37" s="692"/>
      <c r="H37" s="692"/>
      <c r="I37" s="692"/>
      <c r="J37" s="692"/>
      <c r="K37" s="692"/>
      <c r="L37" s="692"/>
      <c r="M37" s="692"/>
      <c r="N37" s="692"/>
      <c r="O37" s="704"/>
      <c r="P37" s="703"/>
    </row>
    <row r="38" spans="2:19" ht="18" customHeight="1">
      <c r="B38" s="699" t="s">
        <v>4</v>
      </c>
      <c r="C38" s="700">
        <f t="shared" ref="C38:P38" si="8">C32-C34-C36</f>
        <v>175.31222305115756</v>
      </c>
      <c r="D38" s="700">
        <f t="shared" si="8"/>
        <v>267.07022444942032</v>
      </c>
      <c r="E38" s="700">
        <f t="shared" si="8"/>
        <v>1146.9629661779995</v>
      </c>
      <c r="F38" s="700">
        <f t="shared" si="8"/>
        <v>1606.5911810955774</v>
      </c>
      <c r="G38" s="700">
        <f t="shared" si="8"/>
        <v>235.6969857289657</v>
      </c>
      <c r="H38" s="700">
        <f t="shared" si="8"/>
        <v>363.22910625990704</v>
      </c>
      <c r="I38" s="700">
        <f t="shared" si="8"/>
        <v>1441.5813741839104</v>
      </c>
      <c r="J38" s="700">
        <f t="shared" si="8"/>
        <v>2061.4673982058666</v>
      </c>
      <c r="K38" s="700">
        <f t="shared" si="8"/>
        <v>249.63730889466754</v>
      </c>
      <c r="L38" s="700">
        <f t="shared" si="8"/>
        <v>406.20930813191046</v>
      </c>
      <c r="M38" s="700">
        <f t="shared" si="8"/>
        <v>1612.9585459182406</v>
      </c>
      <c r="N38" s="700">
        <f t="shared" si="8"/>
        <v>2289.7652106100722</v>
      </c>
      <c r="O38" s="710">
        <f t="shared" si="8"/>
        <v>2125.5018425762655</v>
      </c>
      <c r="P38" s="709">
        <f t="shared" si="8"/>
        <v>2125.5018425762655</v>
      </c>
      <c r="Q38" s="696">
        <f>+J38/F38</f>
        <v>1.2831312797323442</v>
      </c>
      <c r="R38" s="696">
        <f>+N38/J38</f>
        <v>1.1107452936694013</v>
      </c>
    </row>
    <row r="39" spans="2:19" ht="18" customHeight="1">
      <c r="B39" s="692"/>
      <c r="C39" s="692"/>
      <c r="D39" s="692"/>
      <c r="E39" s="692"/>
      <c r="F39" s="692"/>
      <c r="G39" s="692"/>
      <c r="H39" s="692"/>
      <c r="I39" s="692"/>
      <c r="J39" s="692"/>
      <c r="K39" s="692"/>
      <c r="L39" s="692"/>
      <c r="M39" s="692"/>
      <c r="N39" s="692"/>
      <c r="O39" s="704"/>
      <c r="P39" s="703"/>
    </row>
    <row r="40" spans="2:19" ht="21" customHeight="1">
      <c r="B40" s="692" t="s">
        <v>3741</v>
      </c>
      <c r="C40" s="692">
        <f>C60</f>
        <v>211.48</v>
      </c>
      <c r="D40" s="692">
        <f t="shared" ref="D40:E40" si="9">D60</f>
        <v>108.71</v>
      </c>
      <c r="E40" s="693">
        <f t="shared" si="9"/>
        <v>1319.7269955799998</v>
      </c>
      <c r="F40" s="693">
        <f>+'F-22'!B7</f>
        <v>1639.9169955799998</v>
      </c>
      <c r="G40" s="693">
        <f>G60</f>
        <v>404.13758796843166</v>
      </c>
      <c r="H40" s="693">
        <f t="shared" ref="H40:M40" si="10">H60</f>
        <v>263.08207392936953</v>
      </c>
      <c r="I40" s="693">
        <f t="shared" si="10"/>
        <v>1183.4538849619064</v>
      </c>
      <c r="J40" s="693">
        <f>'T-7(CUR)'!AA65</f>
        <v>1850.6735468597076</v>
      </c>
      <c r="K40" s="693">
        <f t="shared" si="10"/>
        <v>418.86513025789475</v>
      </c>
      <c r="L40" s="693">
        <f t="shared" si="10"/>
        <v>280.24107704850201</v>
      </c>
      <c r="M40" s="693">
        <f t="shared" si="10"/>
        <v>1266.8184936309649</v>
      </c>
      <c r="N40" s="693">
        <f>'T-7(ENS)'!U65</f>
        <v>1985.8102454011964</v>
      </c>
      <c r="O40" s="695">
        <f>+N40</f>
        <v>1985.8102454011964</v>
      </c>
      <c r="P40" s="694">
        <f>+O40</f>
        <v>1985.8102454011964</v>
      </c>
      <c r="Q40" s="696">
        <f>+J40/F40</f>
        <v>1.1285165967837099</v>
      </c>
      <c r="R40" s="696">
        <f>+N40/J40</f>
        <v>1.0730202788983469</v>
      </c>
      <c r="S40" s="697">
        <f>N38-N40</f>
        <v>303.95496520887582</v>
      </c>
    </row>
    <row r="41" spans="2:19" ht="15.5">
      <c r="B41" s="711"/>
      <c r="C41" s="692"/>
      <c r="D41" s="692"/>
      <c r="E41" s="692"/>
      <c r="F41" s="692"/>
      <c r="G41" s="692"/>
      <c r="H41" s="692"/>
      <c r="I41" s="692"/>
      <c r="J41" s="692"/>
      <c r="K41" s="692"/>
      <c r="L41" s="692"/>
      <c r="M41" s="692"/>
      <c r="N41" s="693"/>
      <c r="O41" s="714"/>
      <c r="P41" s="715"/>
    </row>
    <row r="42" spans="2:19" ht="24.75" customHeight="1" thickBot="1">
      <c r="B42" s="639" t="s">
        <v>4433</v>
      </c>
      <c r="C42" s="1281">
        <f t="shared" ref="C42:M42" si="11">+C40-C38</f>
        <v>36.16777694884243</v>
      </c>
      <c r="D42" s="1281">
        <f t="shared" si="11"/>
        <v>-158.36022444942034</v>
      </c>
      <c r="E42" s="1281">
        <f t="shared" si="11"/>
        <v>172.76402940200023</v>
      </c>
      <c r="F42" s="1281">
        <f>+F40-F38</f>
        <v>33.325814484422381</v>
      </c>
      <c r="G42" s="1281">
        <f t="shared" si="11"/>
        <v>168.44060223946596</v>
      </c>
      <c r="H42" s="1281">
        <f t="shared" si="11"/>
        <v>-100.14703233053751</v>
      </c>
      <c r="I42" s="1281">
        <f t="shared" si="11"/>
        <v>-258.12748922200399</v>
      </c>
      <c r="J42" s="1281">
        <f>+J40-J38</f>
        <v>-210.79385134615904</v>
      </c>
      <c r="K42" s="1281">
        <f t="shared" si="11"/>
        <v>169.22782136322721</v>
      </c>
      <c r="L42" s="1281">
        <f t="shared" si="11"/>
        <v>-125.96823108340845</v>
      </c>
      <c r="M42" s="1281">
        <f t="shared" si="11"/>
        <v>-346.14005228727569</v>
      </c>
      <c r="N42" s="1281">
        <f>+N40-N38</f>
        <v>-303.95496520887582</v>
      </c>
      <c r="O42" s="716" t="e">
        <f>O38-O40+#REF!</f>
        <v>#REF!</v>
      </c>
      <c r="P42" s="717" t="e">
        <f>P38-P40+#REF!</f>
        <v>#REF!</v>
      </c>
      <c r="Q42" s="712">
        <f>+Sheet2!E44</f>
        <v>200.56980444721967</v>
      </c>
      <c r="R42" s="697">
        <f>+N42+Q42</f>
        <v>-103.38516076165615</v>
      </c>
    </row>
    <row r="43" spans="2:19" ht="15.5">
      <c r="B43" s="690" t="s">
        <v>4043</v>
      </c>
      <c r="C43" s="690"/>
      <c r="D43" s="690"/>
      <c r="E43" s="690"/>
      <c r="F43" s="1569">
        <v>0</v>
      </c>
      <c r="G43" s="1569"/>
      <c r="H43" s="1569"/>
      <c r="I43" s="1569"/>
      <c r="J43" s="705">
        <v>0</v>
      </c>
      <c r="K43" s="705"/>
      <c r="L43" s="705"/>
      <c r="M43" s="705"/>
      <c r="N43" s="705">
        <v>0</v>
      </c>
      <c r="Q43" s="2067">
        <f>N44+Q44</f>
        <v>-167.86720913650225</v>
      </c>
    </row>
    <row r="44" spans="2:19" ht="15.5">
      <c r="B44" s="639" t="s">
        <v>4434</v>
      </c>
      <c r="C44" s="699"/>
      <c r="D44" s="699"/>
      <c r="E44" s="699"/>
      <c r="F44" s="1281">
        <f>+F42-F43</f>
        <v>33.325814484422381</v>
      </c>
      <c r="G44" s="700"/>
      <c r="H44" s="700"/>
      <c r="I44" s="700"/>
      <c r="J44" s="1281">
        <f>+J42+J43</f>
        <v>-210.79385134615904</v>
      </c>
      <c r="K44" s="700"/>
      <c r="L44" s="700"/>
      <c r="M44" s="700"/>
      <c r="N44" s="1281">
        <f>+N42+N43</f>
        <v>-303.95496520887582</v>
      </c>
      <c r="O44" s="719"/>
      <c r="Q44" s="697">
        <f>N17+N16+N23</f>
        <v>136.08775607237357</v>
      </c>
    </row>
    <row r="45" spans="2:19" ht="15.5">
      <c r="B45" s="699" t="s">
        <v>4634</v>
      </c>
      <c r="C45" s="699"/>
      <c r="D45" s="699"/>
      <c r="E45" s="699"/>
      <c r="F45" s="700"/>
      <c r="G45" s="700"/>
      <c r="H45" s="700"/>
      <c r="I45" s="700"/>
      <c r="J45" s="700"/>
      <c r="K45" s="700"/>
      <c r="L45" s="700"/>
      <c r="M45" s="700"/>
      <c r="N45" s="1281">
        <f>N44-N26</f>
        <v>-303.95496520887582</v>
      </c>
      <c r="O45" s="719"/>
      <c r="Q45" s="697">
        <f>+Sheet2!C130+'F-6'!N45</f>
        <v>-20.79626382023207</v>
      </c>
      <c r="R45" s="697"/>
    </row>
    <row r="46" spans="2:19" ht="20.25" customHeight="1">
      <c r="B46" s="721" t="s">
        <v>1012</v>
      </c>
      <c r="C46" s="721"/>
      <c r="D46" s="721"/>
      <c r="E46" s="721"/>
      <c r="F46" s="722"/>
      <c r="G46" s="722"/>
      <c r="H46" s="722"/>
      <c r="I46" s="722"/>
      <c r="J46" s="722"/>
      <c r="K46" s="723"/>
      <c r="L46" s="723"/>
      <c r="M46" s="723"/>
      <c r="N46" s="724">
        <f>Sheet2!C129*100</f>
        <v>0</v>
      </c>
      <c r="O46" s="719"/>
    </row>
    <row r="47" spans="2:19" ht="16.5" customHeight="1">
      <c r="B47" s="699" t="s">
        <v>1013</v>
      </c>
      <c r="C47" s="699"/>
      <c r="D47" s="699"/>
      <c r="E47" s="699"/>
      <c r="F47" s="700"/>
      <c r="G47" s="700"/>
      <c r="H47" s="700"/>
      <c r="I47" s="700"/>
      <c r="J47" s="700"/>
      <c r="K47" s="708"/>
      <c r="L47" s="708"/>
      <c r="M47" s="708"/>
      <c r="N47" s="1281">
        <f>N44-N46</f>
        <v>-303.95496520887582</v>
      </c>
      <c r="O47" s="719"/>
    </row>
    <row r="48" spans="2:19" ht="16.5" customHeight="1">
      <c r="B48" s="699" t="s">
        <v>1015</v>
      </c>
      <c r="C48" s="699"/>
      <c r="D48" s="699"/>
      <c r="E48" s="699"/>
      <c r="F48" s="700"/>
      <c r="G48" s="700"/>
      <c r="H48" s="700"/>
      <c r="I48" s="700"/>
      <c r="J48" s="700"/>
      <c r="K48" s="708"/>
      <c r="L48" s="708"/>
      <c r="M48" s="708"/>
      <c r="N48" s="1281">
        <f>N47-N26</f>
        <v>-303.95496520887582</v>
      </c>
      <c r="O48" s="719"/>
    </row>
    <row r="49" spans="2:17" ht="17.25" customHeight="1" thickBot="1">
      <c r="B49" s="720" t="s">
        <v>1014</v>
      </c>
      <c r="C49" s="720"/>
      <c r="D49" s="720"/>
      <c r="E49" s="720"/>
      <c r="F49" s="725"/>
      <c r="G49" s="725"/>
      <c r="H49" s="725"/>
      <c r="I49" s="725"/>
      <c r="J49" s="725"/>
      <c r="K49" s="726"/>
      <c r="L49" s="726"/>
      <c r="M49" s="726"/>
      <c r="N49" s="727">
        <f>N38-N26</f>
        <v>2289.7652106100722</v>
      </c>
      <c r="O49" s="719"/>
    </row>
    <row r="50" spans="2:17" ht="12.75" customHeight="1">
      <c r="N50" s="719"/>
      <c r="O50" s="719"/>
    </row>
    <row r="51" spans="2:17" ht="15.5">
      <c r="N51" s="719">
        <f>+N32-N23</f>
        <v>2291.1943126060814</v>
      </c>
      <c r="O51" s="719"/>
      <c r="Q51" s="697">
        <f>N40-N38</f>
        <v>-303.95496520887582</v>
      </c>
    </row>
    <row r="52" spans="2:17" ht="12.75" customHeight="1">
      <c r="B52" s="718" t="s">
        <v>1432</v>
      </c>
      <c r="N52" s="719"/>
      <c r="O52" s="728"/>
      <c r="P52" s="729"/>
      <c r="Q52" s="730"/>
    </row>
    <row r="53" spans="2:17" ht="12.75" customHeight="1">
      <c r="F53" s="719"/>
      <c r="G53" s="719"/>
      <c r="H53" s="719"/>
      <c r="I53" s="719"/>
      <c r="N53" s="719"/>
      <c r="O53" s="719"/>
      <c r="P53" s="719"/>
    </row>
    <row r="54" spans="2:17" ht="12.75" customHeight="1">
      <c r="C54" s="718">
        <f>'T-1'!F59</f>
        <v>537.37774300000001</v>
      </c>
      <c r="D54" s="2112">
        <f>'T-1'!F49</f>
        <v>325.32561043960004</v>
      </c>
      <c r="E54" s="2112">
        <f>'T-1'!F32</f>
        <v>2158.8392029773399</v>
      </c>
      <c r="F54" s="2112">
        <f>SUM(C54:E54)</f>
        <v>3021.54255641694</v>
      </c>
      <c r="G54" s="719">
        <f>'T-1'!K59</f>
        <v>619.3351813104</v>
      </c>
      <c r="H54" s="2113">
        <f>'T-1'!K49</f>
        <v>367.22209249219998</v>
      </c>
      <c r="I54" s="719">
        <f>'T-1'!K32</f>
        <v>2385.0961995057</v>
      </c>
      <c r="J54" s="719">
        <f>SUM(G54:I54)</f>
        <v>3371.6534733082999</v>
      </c>
      <c r="K54" s="2112">
        <f>'T-1'!O59</f>
        <v>642.47199999999998</v>
      </c>
      <c r="L54" s="2112">
        <f>'T-1'!O49</f>
        <v>391.29422300399995</v>
      </c>
      <c r="M54" s="2112">
        <f>'T-1'!O32</f>
        <v>2552.77486749437</v>
      </c>
      <c r="N54" s="2114">
        <f>SUM(K54:M54)</f>
        <v>3586.5410904983701</v>
      </c>
    </row>
    <row r="55" spans="2:17" ht="12.75" customHeight="1">
      <c r="B55" s="718" t="s">
        <v>542</v>
      </c>
      <c r="F55" s="2115">
        <f>'TB FY-2021-22'!G1097/10^7</f>
        <v>816.64708507900002</v>
      </c>
      <c r="J55" s="719">
        <f>J8</f>
        <v>1008.9766189124905</v>
      </c>
      <c r="N55" s="719">
        <f>N8</f>
        <v>1085.3478633908401</v>
      </c>
    </row>
    <row r="56" spans="2:17" ht="12.75" customHeight="1">
      <c r="B56" s="718" t="s">
        <v>3896</v>
      </c>
      <c r="F56" s="2115">
        <f>'TB FY-2021-22'!G1098/10^7</f>
        <v>108.9724923</v>
      </c>
      <c r="J56" s="719">
        <f>J9</f>
        <v>125.8700983272432</v>
      </c>
      <c r="N56" s="719">
        <f>N9</f>
        <v>133.87550737860585</v>
      </c>
    </row>
    <row r="57" spans="2:17" ht="12.75" customHeight="1">
      <c r="B57" s="718" t="s">
        <v>3897</v>
      </c>
      <c r="F57" s="2115">
        <f>'TB FY-2021-22'!G1099/10^7</f>
        <v>0.70724399999999998</v>
      </c>
      <c r="J57" s="718">
        <f>0.0447*12</f>
        <v>0.53639999999999999</v>
      </c>
      <c r="N57" s="718">
        <f>0.0447*12</f>
        <v>0.53639999999999999</v>
      </c>
    </row>
    <row r="60" spans="2:17" ht="12.75" customHeight="1">
      <c r="C60" s="718">
        <v>211.48</v>
      </c>
      <c r="D60" s="718">
        <v>108.71</v>
      </c>
      <c r="E60" s="719">
        <f>F60-C60-D60</f>
        <v>1319.7269955799998</v>
      </c>
      <c r="F60" s="719">
        <f>F40</f>
        <v>1639.9169955799998</v>
      </c>
      <c r="G60" s="719">
        <f>'T-7(CUR)'!AA64</f>
        <v>404.13758796843166</v>
      </c>
      <c r="H60" s="719">
        <f>'T-7(CUR)'!AA54</f>
        <v>263.08207392936953</v>
      </c>
      <c r="I60" s="719">
        <f>'T-7(CUR)'!AA37</f>
        <v>1183.4538849619064</v>
      </c>
      <c r="J60" s="719">
        <f>SUM(G60:I60)</f>
        <v>1850.6735468597076</v>
      </c>
      <c r="K60" s="719">
        <f>'T-7(ENS)'!AA64</f>
        <v>418.86513025789475</v>
      </c>
      <c r="L60" s="719">
        <f>'T-7(ENS)'!AA54</f>
        <v>280.24107704850201</v>
      </c>
      <c r="M60" s="719">
        <f>'T-7(ENS)'!AA37</f>
        <v>1266.8184936309649</v>
      </c>
      <c r="N60" s="719">
        <f>SUM(K60:M60)</f>
        <v>1965.9247009373616</v>
      </c>
    </row>
  </sheetData>
  <mergeCells count="5">
    <mergeCell ref="B3:N3"/>
    <mergeCell ref="B4:N4"/>
    <mergeCell ref="C5:F5"/>
    <mergeCell ref="G5:J5"/>
    <mergeCell ref="K5:N5"/>
  </mergeCells>
  <phoneticPr fontId="50" type="noConversion"/>
  <conditionalFormatting sqref="B4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 verticalCentered="1"/>
  <pageMargins left="0" right="0" top="0" bottom="0.39370078740157499" header="0" footer="0"/>
  <pageSetup paperSize="9" scale="66" orientation="landscape" r:id="rId1"/>
  <headerFooter alignWithMargins="0">
    <oddFooter>&amp;C&amp;ROERC FORM -F-6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>
    <tabColor rgb="FF92D050"/>
    <pageSetUpPr fitToPage="1"/>
  </sheetPr>
  <dimension ref="A1:M48"/>
  <sheetViews>
    <sheetView showGridLines="0" zoomScale="77" zoomScaleNormal="77" zoomScaleSheetLayoutView="100" workbookViewId="0">
      <pane xSplit="1" ySplit="9" topLeftCell="B25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14.7265625" defaultRowHeight="15.5"/>
  <cols>
    <col min="1" max="1" width="43" style="630" bestFit="1" customWidth="1"/>
    <col min="2" max="2" width="10.54296875" style="630" customWidth="1"/>
    <col min="3" max="3" width="10.81640625" style="630" customWidth="1"/>
    <col min="4" max="4" width="10.7265625" style="630" customWidth="1"/>
    <col min="5" max="5" width="9.453125" style="630" customWidth="1"/>
    <col min="6" max="6" width="9.54296875" style="630" customWidth="1"/>
    <col min="7" max="7" width="9.7265625" style="630" customWidth="1"/>
    <col min="8" max="8" width="9.81640625" style="630" customWidth="1"/>
    <col min="9" max="9" width="10.26953125" style="630" customWidth="1"/>
    <col min="10" max="10" width="10.1796875" style="630" customWidth="1"/>
    <col min="11" max="11" width="9.54296875" style="630" customWidth="1"/>
    <col min="12" max="12" width="10.1796875" style="630" customWidth="1"/>
    <col min="13" max="13" width="10.26953125" style="630" customWidth="1"/>
    <col min="14" max="16384" width="14.7265625" style="630"/>
  </cols>
  <sheetData>
    <row r="1" spans="1:13">
      <c r="A1" s="1580" t="s">
        <v>5525</v>
      </c>
      <c r="K1" s="631"/>
      <c r="L1" s="632"/>
    </row>
    <row r="2" spans="1:13">
      <c r="A2" s="629"/>
      <c r="K2" s="631"/>
      <c r="L2" s="632"/>
    </row>
    <row r="3" spans="1:13">
      <c r="A3" s="3383" t="s">
        <v>3742</v>
      </c>
      <c r="B3" s="3383"/>
      <c r="C3" s="3383"/>
      <c r="D3" s="3383"/>
      <c r="E3" s="3383"/>
      <c r="F3" s="3383"/>
      <c r="G3" s="3383"/>
      <c r="H3" s="3383"/>
      <c r="I3" s="3383"/>
      <c r="J3" s="3383"/>
      <c r="K3" s="3383"/>
      <c r="L3" s="3383"/>
      <c r="M3" s="3383"/>
    </row>
    <row r="4" spans="1:13">
      <c r="A4" s="679" t="s">
        <v>1016</v>
      </c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626"/>
      <c r="M4" s="626"/>
    </row>
    <row r="5" spans="1:13">
      <c r="K5" s="625"/>
    </row>
    <row r="6" spans="1:13">
      <c r="A6" s="639"/>
      <c r="B6" s="3384" t="s">
        <v>1494</v>
      </c>
      <c r="C6" s="3384"/>
      <c r="D6" s="3384"/>
      <c r="E6" s="3384" t="s">
        <v>169</v>
      </c>
      <c r="F6" s="3384"/>
      <c r="G6" s="3384"/>
      <c r="H6" s="3384" t="s">
        <v>1496</v>
      </c>
      <c r="I6" s="3384"/>
      <c r="J6" s="3384"/>
      <c r="K6" s="3384" t="s">
        <v>1101</v>
      </c>
      <c r="L6" s="3384"/>
      <c r="M6" s="3384"/>
    </row>
    <row r="7" spans="1:13">
      <c r="A7" s="634"/>
      <c r="B7" s="3382" t="s">
        <v>638</v>
      </c>
      <c r="C7" s="3382" t="s">
        <v>1464</v>
      </c>
      <c r="D7" s="3382" t="s">
        <v>686</v>
      </c>
      <c r="E7" s="3382" t="s">
        <v>638</v>
      </c>
      <c r="F7" s="3382" t="s">
        <v>1464</v>
      </c>
      <c r="G7" s="3382" t="s">
        <v>686</v>
      </c>
      <c r="H7" s="3382" t="s">
        <v>638</v>
      </c>
      <c r="I7" s="3382" t="s">
        <v>1464</v>
      </c>
      <c r="J7" s="3382" t="s">
        <v>686</v>
      </c>
      <c r="K7" s="3382" t="s">
        <v>638</v>
      </c>
      <c r="L7" s="3382" t="s">
        <v>1464</v>
      </c>
      <c r="M7" s="3382" t="s">
        <v>686</v>
      </c>
    </row>
    <row r="8" spans="1:13">
      <c r="A8" s="634"/>
      <c r="B8" s="3382"/>
      <c r="C8" s="3382" t="s">
        <v>665</v>
      </c>
      <c r="D8" s="3382" t="s">
        <v>687</v>
      </c>
      <c r="E8" s="3382"/>
      <c r="F8" s="3382" t="s">
        <v>665</v>
      </c>
      <c r="G8" s="3382" t="s">
        <v>687</v>
      </c>
      <c r="H8" s="3382"/>
      <c r="I8" s="3382" t="s">
        <v>665</v>
      </c>
      <c r="J8" s="3382" t="s">
        <v>687</v>
      </c>
      <c r="K8" s="3382"/>
      <c r="L8" s="3382" t="s">
        <v>665</v>
      </c>
      <c r="M8" s="3382" t="s">
        <v>687</v>
      </c>
    </row>
    <row r="9" spans="1:13">
      <c r="A9" s="634"/>
      <c r="B9" s="3382"/>
      <c r="C9" s="3382"/>
      <c r="D9" s="3382"/>
      <c r="E9" s="3382"/>
      <c r="F9" s="3382"/>
      <c r="G9" s="3382"/>
      <c r="H9" s="3382"/>
      <c r="I9" s="3382"/>
      <c r="J9" s="3382"/>
      <c r="K9" s="3382"/>
      <c r="L9" s="3382"/>
      <c r="M9" s="3382"/>
    </row>
    <row r="10" spans="1:13">
      <c r="A10" s="628" t="s">
        <v>688</v>
      </c>
      <c r="B10" s="634"/>
      <c r="C10" s="634"/>
      <c r="D10" s="634"/>
      <c r="E10" s="634"/>
      <c r="F10" s="634"/>
      <c r="G10" s="634"/>
      <c r="H10" s="634"/>
      <c r="I10" s="634"/>
      <c r="J10" s="634"/>
      <c r="K10" s="634"/>
      <c r="L10" s="634"/>
      <c r="M10" s="634"/>
    </row>
    <row r="11" spans="1:13">
      <c r="A11" s="634"/>
      <c r="B11" s="634"/>
      <c r="C11" s="634"/>
      <c r="D11" s="634"/>
      <c r="E11" s="634"/>
      <c r="F11" s="634"/>
      <c r="G11" s="634"/>
      <c r="H11" s="634"/>
      <c r="I11" s="634"/>
      <c r="J11" s="634"/>
      <c r="K11" s="634"/>
      <c r="L11" s="634"/>
      <c r="M11" s="634"/>
    </row>
    <row r="12" spans="1:13">
      <c r="A12" s="634" t="s">
        <v>666</v>
      </c>
      <c r="B12" s="1362"/>
      <c r="C12" s="1362"/>
      <c r="D12" s="1362"/>
      <c r="E12" s="2244">
        <f>'T-8'!BA38</f>
        <v>1.3015633223994187</v>
      </c>
      <c r="F12" s="636">
        <f>'T-8'!BG38</f>
        <v>-1.2429529515511741</v>
      </c>
      <c r="G12" s="636">
        <f>'T-8'!BH38</f>
        <v>-1.827871987575256</v>
      </c>
      <c r="H12" s="2244">
        <f>'T-8'!BA19</f>
        <v>0.5902847068067214</v>
      </c>
      <c r="I12" s="636">
        <f>'T-8'!BG19</f>
        <v>382.84262226330839</v>
      </c>
      <c r="J12" s="636">
        <f>'T-8'!BH19</f>
        <v>2.0087905023556134</v>
      </c>
      <c r="K12" s="636"/>
      <c r="L12" s="636">
        <f>C12+F12+I12</f>
        <v>381.59966931175722</v>
      </c>
      <c r="M12" s="636"/>
    </row>
    <row r="13" spans="1:13">
      <c r="A13" s="634" t="s">
        <v>989</v>
      </c>
      <c r="B13" s="1362"/>
      <c r="C13" s="1362"/>
      <c r="D13" s="1362"/>
      <c r="E13" s="2244"/>
      <c r="F13" s="636"/>
      <c r="G13" s="636"/>
      <c r="H13" s="2244">
        <f>'T-8'!BA24</f>
        <v>0.9470000942651754</v>
      </c>
      <c r="I13" s="636">
        <f>'T-8'!BG24</f>
        <v>-24.195660540861752</v>
      </c>
      <c r="J13" s="636">
        <f>'T-8'!BH24</f>
        <v>-0.79329883333303097</v>
      </c>
      <c r="K13" s="636"/>
      <c r="L13" s="636">
        <f>C13+F13+I13</f>
        <v>-24.195660540861752</v>
      </c>
      <c r="M13" s="636">
        <f>+J13</f>
        <v>-0.79329883333303097</v>
      </c>
    </row>
    <row r="14" spans="1:13">
      <c r="A14" s="634" t="s">
        <v>667</v>
      </c>
      <c r="B14" s="1362"/>
      <c r="C14" s="1362"/>
      <c r="D14" s="1362"/>
      <c r="E14" s="636"/>
      <c r="F14" s="636"/>
      <c r="G14" s="636"/>
      <c r="H14" s="2244">
        <f>'T-8'!BA25</f>
        <v>0.20525189048640322</v>
      </c>
      <c r="I14" s="636">
        <f>'T-8'!BG25</f>
        <v>61.156180517827153</v>
      </c>
      <c r="J14" s="636">
        <f>'T-8'!BH25</f>
        <v>5.0333203836940932</v>
      </c>
      <c r="K14" s="636"/>
      <c r="L14" s="636">
        <f>C14+F14+I14</f>
        <v>61.156180517827153</v>
      </c>
      <c r="M14" s="636">
        <f>+J14</f>
        <v>5.0333203836940932</v>
      </c>
    </row>
    <row r="15" spans="1:13">
      <c r="A15" s="634" t="s">
        <v>1367</v>
      </c>
      <c r="B15" s="1362"/>
      <c r="C15" s="1362"/>
      <c r="D15" s="1362"/>
      <c r="E15" s="2244">
        <f>'T-8'!BA40</f>
        <v>0.5761280269749216</v>
      </c>
      <c r="F15" s="636">
        <f>'T-8'!BG40</f>
        <v>1.8136457693809773</v>
      </c>
      <c r="G15" s="636">
        <f>'T-8'!BH40</f>
        <v>1.0828821385333678</v>
      </c>
      <c r="H15" s="2244">
        <f>'T-8'!BA26</f>
        <v>0.20153435094010694</v>
      </c>
      <c r="I15" s="636">
        <f>'T-8'!BG26</f>
        <v>10.574847194839286</v>
      </c>
      <c r="J15" s="636">
        <f>'T-8'!BH26</f>
        <v>5.0625225944310515</v>
      </c>
      <c r="K15" s="636"/>
      <c r="L15" s="636">
        <f>C15+F15+I15</f>
        <v>12.388492964220264</v>
      </c>
      <c r="M15" s="636"/>
    </row>
    <row r="16" spans="1:13">
      <c r="A16" s="634" t="s">
        <v>1368</v>
      </c>
      <c r="B16" s="1362"/>
      <c r="C16" s="1362"/>
      <c r="D16" s="1362"/>
      <c r="E16" s="2244">
        <f>'T-8'!BA41</f>
        <v>1.350545092077774</v>
      </c>
      <c r="F16" s="636">
        <f>'T-8'!BG41</f>
        <v>-0.35427133437468938</v>
      </c>
      <c r="G16" s="636">
        <f>'T-8'!BH41</f>
        <v>-2.0244076249982252</v>
      </c>
      <c r="H16" s="2244">
        <f>'T-8'!BA27</f>
        <v>1.0071891997061007</v>
      </c>
      <c r="I16" s="636">
        <f>'T-8'!BG27</f>
        <v>-0.22734559289011758</v>
      </c>
      <c r="J16" s="636">
        <f>'T-8'!BH27</f>
        <v>-1.2660994368682488</v>
      </c>
      <c r="K16" s="636"/>
      <c r="L16" s="636">
        <f>C16+F16+I16</f>
        <v>-0.58161692726480696</v>
      </c>
      <c r="M16" s="636"/>
    </row>
    <row r="17" spans="1:13">
      <c r="A17" s="634" t="s">
        <v>668</v>
      </c>
      <c r="B17" s="1362"/>
      <c r="C17" s="1362"/>
      <c r="D17" s="1362"/>
      <c r="E17" s="2244">
        <v>0</v>
      </c>
      <c r="F17" s="636">
        <v>0</v>
      </c>
      <c r="G17" s="634"/>
      <c r="H17" s="2244">
        <f>'T-8'!BA28</f>
        <v>0.79586580963773823</v>
      </c>
      <c r="I17" s="636">
        <f>'T-8'!BG28</f>
        <v>1.365966259820496</v>
      </c>
      <c r="J17" s="636">
        <f>'T-8'!BH28</f>
        <v>0.39389908999960649</v>
      </c>
      <c r="K17" s="636"/>
      <c r="L17" s="636">
        <f t="shared" ref="L17:L27" si="0">C17+F17+I17</f>
        <v>1.365966259820496</v>
      </c>
      <c r="M17" s="636">
        <f>+J17</f>
        <v>0.39389908999960649</v>
      </c>
    </row>
    <row r="18" spans="1:13">
      <c r="A18" s="634" t="s">
        <v>884</v>
      </c>
      <c r="B18" s="1362"/>
      <c r="C18" s="1362"/>
      <c r="D18" s="1362"/>
      <c r="E18" s="2244">
        <v>0</v>
      </c>
      <c r="F18" s="636">
        <v>0</v>
      </c>
      <c r="G18" s="634"/>
      <c r="H18" s="2244">
        <f>'T-8'!BA29</f>
        <v>0.89871207239817863</v>
      </c>
      <c r="I18" s="636">
        <f>'T-8'!BG29</f>
        <v>-0.60178692476703866</v>
      </c>
      <c r="J18" s="636">
        <f>'T-8'!BH29</f>
        <v>-0.4139842428437972</v>
      </c>
      <c r="K18" s="636"/>
      <c r="L18" s="636">
        <f t="shared" si="0"/>
        <v>-0.60178692476703866</v>
      </c>
      <c r="M18" s="636">
        <f>+J18</f>
        <v>-0.4139842428437972</v>
      </c>
    </row>
    <row r="19" spans="1:13">
      <c r="A19" s="634" t="s">
        <v>3687</v>
      </c>
      <c r="B19" s="1362"/>
      <c r="C19" s="1362"/>
      <c r="D19" s="1362"/>
      <c r="E19" s="2244">
        <f>'T-8'!BA43</f>
        <v>2.26202966948432</v>
      </c>
      <c r="F19" s="636">
        <f>'T-8'!BG43</f>
        <v>-7.1074371134697527</v>
      </c>
      <c r="G19" s="636">
        <f>'T-8'!BH43</f>
        <v>-5.6816703902707379</v>
      </c>
      <c r="H19" s="2244"/>
      <c r="I19" s="636"/>
      <c r="J19" s="636"/>
      <c r="K19" s="636"/>
      <c r="L19" s="636">
        <f t="shared" si="0"/>
        <v>-7.1074371134697527</v>
      </c>
      <c r="M19" s="636"/>
    </row>
    <row r="20" spans="1:13">
      <c r="A20" s="634" t="s">
        <v>885</v>
      </c>
      <c r="B20" s="1362"/>
      <c r="C20" s="1362"/>
      <c r="D20" s="1362"/>
      <c r="E20" s="2244">
        <f>'T-8'!BA45</f>
        <v>1.6731824150686212</v>
      </c>
      <c r="F20" s="636">
        <f>'T-8'!BG45</f>
        <v>-15.212849411013558</v>
      </c>
      <c r="G20" s="636">
        <f>'T-8'!BH45</f>
        <v>-3.3189654236819983</v>
      </c>
      <c r="H20" s="2244">
        <f>'T-8'!BA30</f>
        <v>0.97889641637596092</v>
      </c>
      <c r="I20" s="636">
        <f>'T-8'!BG30</f>
        <v>-3.0202358839443342</v>
      </c>
      <c r="J20" s="636">
        <f>'T-8'!BH30</f>
        <v>-1.0438524880859565</v>
      </c>
      <c r="K20" s="636"/>
      <c r="L20" s="636">
        <f t="shared" si="0"/>
        <v>-18.233085294957892</v>
      </c>
      <c r="M20" s="636"/>
    </row>
    <row r="21" spans="1:13">
      <c r="A21" s="634" t="s">
        <v>988</v>
      </c>
      <c r="B21" s="1362"/>
      <c r="C21" s="1362"/>
      <c r="D21" s="1362"/>
      <c r="E21" s="2244">
        <v>0</v>
      </c>
      <c r="F21" s="634"/>
      <c r="G21" s="634"/>
      <c r="H21" s="2244">
        <f>'T-8'!BA31</f>
        <v>0.84431847585639397</v>
      </c>
      <c r="I21" s="636">
        <f>'T-8'!BG31</f>
        <v>6.380052863306318E-2</v>
      </c>
      <c r="J21" s="636">
        <f>'T-8'!BH31</f>
        <v>1.3291176603133451E-2</v>
      </c>
      <c r="K21" s="636"/>
      <c r="L21" s="636">
        <f t="shared" si="0"/>
        <v>6.380052863306318E-2</v>
      </c>
      <c r="M21" s="636">
        <f>+J21</f>
        <v>1.3291176603133451E-2</v>
      </c>
    </row>
    <row r="22" spans="1:13">
      <c r="A22" s="634" t="s">
        <v>887</v>
      </c>
      <c r="B22" s="1362"/>
      <c r="C22" s="1362"/>
      <c r="D22" s="1362"/>
      <c r="E22" s="2244">
        <f>'T-8'!BA42</f>
        <v>2.020006555714867</v>
      </c>
      <c r="F22" s="636">
        <f>'T-8'!BG42</f>
        <v>-11.506040711298379</v>
      </c>
      <c r="G22" s="636">
        <f>'T-8'!BH42</f>
        <v>-4.7105709945543186</v>
      </c>
      <c r="H22" s="2244"/>
      <c r="I22" s="636"/>
      <c r="J22" s="636"/>
      <c r="K22" s="636"/>
      <c r="L22" s="636">
        <f t="shared" si="0"/>
        <v>-11.506040711298379</v>
      </c>
      <c r="M22" s="636">
        <f>+G22</f>
        <v>-4.7105709945543186</v>
      </c>
    </row>
    <row r="23" spans="1:13">
      <c r="A23" s="634" t="s">
        <v>886</v>
      </c>
      <c r="B23" s="1362"/>
      <c r="C23" s="1362"/>
      <c r="D23" s="1362"/>
      <c r="E23" s="2244">
        <f>'T-8'!BA44</f>
        <v>2.3566213242092973</v>
      </c>
      <c r="F23" s="636">
        <f>'T-8'!BG44</f>
        <v>-27.679737907462187</v>
      </c>
      <c r="G23" s="636">
        <f>'T-8'!BH44</f>
        <v>-6.0612122336615473</v>
      </c>
      <c r="H23" s="2244">
        <f>'T-8'!BA34</f>
        <v>0.98057475355839929</v>
      </c>
      <c r="I23" s="636">
        <f>'T-8'!BG34</f>
        <v>-8.4562899995799912E-2</v>
      </c>
      <c r="J23" s="636">
        <f>'T-8'!BH34</f>
        <v>-1.0570362499474988</v>
      </c>
      <c r="K23" s="636"/>
      <c r="L23" s="636">
        <f t="shared" si="0"/>
        <v>-27.764300807457985</v>
      </c>
      <c r="M23" s="636"/>
    </row>
    <row r="24" spans="1:13">
      <c r="A24" s="634" t="s">
        <v>990</v>
      </c>
      <c r="B24" s="1362"/>
      <c r="C24" s="1362"/>
      <c r="D24" s="1362"/>
      <c r="E24" s="2244"/>
      <c r="F24" s="636"/>
      <c r="G24" s="636"/>
      <c r="H24" s="2244">
        <f>'T-8'!BA32</f>
        <v>0.81091412634810633</v>
      </c>
      <c r="I24" s="636">
        <f>'T-8'!BG32</f>
        <v>1.8899605149880188</v>
      </c>
      <c r="J24" s="636">
        <f>'T-8'!BH32</f>
        <v>0.27569076690309108</v>
      </c>
      <c r="K24" s="636">
        <f>+H24</f>
        <v>0.81091412634810633</v>
      </c>
      <c r="L24" s="636">
        <f t="shared" si="0"/>
        <v>1.8899605149880188</v>
      </c>
      <c r="M24" s="636">
        <f>+J24</f>
        <v>0.27569076690309108</v>
      </c>
    </row>
    <row r="25" spans="1:13">
      <c r="A25" s="634" t="s">
        <v>1189</v>
      </c>
      <c r="B25" s="1362"/>
      <c r="C25" s="1362"/>
      <c r="D25" s="1362"/>
      <c r="E25" s="2244">
        <f>'T-8'!BA46</f>
        <v>1.8327659547220414</v>
      </c>
      <c r="F25" s="636">
        <f>'T-8'!BG46</f>
        <v>-10.993884910300025</v>
      </c>
      <c r="G25" s="636">
        <f>'T-8'!BH46</f>
        <v>-3.9592822781760977</v>
      </c>
      <c r="H25" s="2244">
        <f>'T-8'!BA33</f>
        <v>0.9044903846375435</v>
      </c>
      <c r="I25" s="636">
        <f>'T-8'!BG33</f>
        <v>-0.10325332533287801</v>
      </c>
      <c r="J25" s="636">
        <f>'T-8'!BH33</f>
        <v>-0.45937434283237433</v>
      </c>
      <c r="K25" s="636"/>
      <c r="L25" s="636">
        <f t="shared" si="0"/>
        <v>-11.097138235632903</v>
      </c>
      <c r="M25" s="636"/>
    </row>
    <row r="26" spans="1:13">
      <c r="A26" s="634" t="s">
        <v>890</v>
      </c>
      <c r="B26" s="2245">
        <f>'T-8'!BA56</f>
        <v>1.8647432581927454</v>
      </c>
      <c r="C26" s="650">
        <f>'T-8'!BG56</f>
        <v>-97.264012948798324</v>
      </c>
      <c r="D26" s="650">
        <f>'T-8'!BH56</f>
        <v>-6.7078629619860921</v>
      </c>
      <c r="E26" s="2244">
        <f>'T-8'!BA47</f>
        <v>1.7534861273471429</v>
      </c>
      <c r="F26" s="636">
        <f>'T-8'!BG47</f>
        <v>-74.644148614712847</v>
      </c>
      <c r="G26" s="636">
        <f>'T-8'!BH47</f>
        <v>-3.6411779812055043</v>
      </c>
      <c r="H26" s="2244" t="e">
        <f>'T-8'!BA35</f>
        <v>#DIV/0!</v>
      </c>
      <c r="I26" s="636">
        <f>'T-8'!BG35</f>
        <v>0</v>
      </c>
      <c r="J26" s="636" t="e">
        <f>'T-8'!BH35</f>
        <v>#DIV/0!</v>
      </c>
      <c r="K26" s="636"/>
      <c r="L26" s="636">
        <f t="shared" si="0"/>
        <v>-171.90816156351116</v>
      </c>
      <c r="M26" s="636"/>
    </row>
    <row r="27" spans="1:13">
      <c r="A27" s="634" t="s">
        <v>891</v>
      </c>
      <c r="B27" s="2245">
        <f>'T-8'!BA57</f>
        <v>2.199758196416977</v>
      </c>
      <c r="C27" s="650">
        <f>'T-8'!BG57</f>
        <v>-126.35212728396932</v>
      </c>
      <c r="D27" s="650">
        <f>'T-8'!BH57</f>
        <v>-4.6797084179247896</v>
      </c>
      <c r="E27" s="2244"/>
      <c r="F27" s="636"/>
      <c r="G27" s="636"/>
      <c r="H27" s="2244"/>
      <c r="I27" s="636"/>
      <c r="J27" s="636"/>
      <c r="K27" s="636">
        <f>+B27</f>
        <v>2.199758196416977</v>
      </c>
      <c r="L27" s="636">
        <f t="shared" si="0"/>
        <v>-126.35212728396932</v>
      </c>
      <c r="M27" s="636">
        <f>+D27</f>
        <v>-4.6797084179247896</v>
      </c>
    </row>
    <row r="28" spans="1:13">
      <c r="A28" s="634" t="s">
        <v>892</v>
      </c>
      <c r="B28" s="2245"/>
      <c r="C28" s="650"/>
      <c r="D28" s="650"/>
      <c r="E28" s="2244"/>
      <c r="F28" s="636"/>
      <c r="G28" s="636"/>
      <c r="H28" s="2244"/>
      <c r="I28" s="636"/>
      <c r="J28" s="636"/>
      <c r="K28" s="634"/>
      <c r="L28" s="636"/>
      <c r="M28" s="634"/>
    </row>
    <row r="29" spans="1:13">
      <c r="A29" s="634" t="s">
        <v>893</v>
      </c>
      <c r="B29" s="2245">
        <f>'T-8'!BA59</f>
        <v>1.9459349114905202</v>
      </c>
      <c r="C29" s="650">
        <f>'T-8'!BG59</f>
        <v>-52.136156799879394</v>
      </c>
      <c r="D29" s="650">
        <f>'T-8'!BH59</f>
        <v>-3.8619375407318071</v>
      </c>
      <c r="E29" s="2244"/>
      <c r="F29" s="636"/>
      <c r="G29" s="636"/>
      <c r="H29" s="2244"/>
      <c r="I29" s="636"/>
      <c r="J29" s="636"/>
      <c r="K29" s="636">
        <f>+E29</f>
        <v>0</v>
      </c>
      <c r="L29" s="636">
        <f>C29+F29+I29</f>
        <v>-52.136156799879394</v>
      </c>
      <c r="M29" s="636">
        <f>+G29</f>
        <v>0</v>
      </c>
    </row>
    <row r="30" spans="1:13">
      <c r="A30" s="634" t="s">
        <v>689</v>
      </c>
      <c r="B30" s="2245"/>
      <c r="C30" s="650"/>
      <c r="D30" s="650"/>
      <c r="E30" s="2244"/>
      <c r="F30" s="636"/>
      <c r="G30" s="636"/>
      <c r="H30" s="2244"/>
      <c r="I30" s="636"/>
      <c r="J30" s="636"/>
      <c r="K30" s="634"/>
      <c r="L30" s="636"/>
      <c r="M30" s="634"/>
    </row>
    <row r="31" spans="1:13">
      <c r="A31" s="634" t="s">
        <v>690</v>
      </c>
      <c r="B31" s="2245">
        <f>'T-8'!BA62</f>
        <v>1.4903104727300986</v>
      </c>
      <c r="C31" s="650">
        <f>'T-8'!BG62</f>
        <v>-2.2288152166435355</v>
      </c>
      <c r="D31" s="650">
        <f>'T-8'!BH62</f>
        <v>-2.3940013068136792</v>
      </c>
      <c r="E31" s="2244">
        <f>'T-8'!BA52</f>
        <v>1.2089948053458195</v>
      </c>
      <c r="F31" s="636">
        <f>'T-8'!BG52</f>
        <v>-7.282239153562553E-2</v>
      </c>
      <c r="G31" s="636">
        <f>'T-8'!BG52</f>
        <v>-7.282239153562553E-2</v>
      </c>
      <c r="H31" s="2244"/>
      <c r="I31" s="636"/>
      <c r="J31" s="636"/>
      <c r="K31" s="636"/>
      <c r="L31" s="636">
        <f>C31+F31+I31</f>
        <v>-2.3016376081791612</v>
      </c>
      <c r="M31" s="636"/>
    </row>
    <row r="32" spans="1:13">
      <c r="A32" s="634" t="s">
        <v>646</v>
      </c>
      <c r="B32" s="2245"/>
      <c r="C32" s="650"/>
      <c r="D32" s="650"/>
      <c r="E32" s="2244"/>
      <c r="F32" s="636"/>
      <c r="G32" s="636"/>
      <c r="H32" s="2244"/>
      <c r="I32" s="636"/>
      <c r="J32" s="636"/>
      <c r="K32" s="636"/>
      <c r="L32" s="636"/>
      <c r="M32" s="636"/>
    </row>
    <row r="33" spans="1:13">
      <c r="A33" s="634" t="s">
        <v>1553</v>
      </c>
      <c r="B33" s="2245">
        <f>'T-8'!BA61</f>
        <v>2.3692223323969746</v>
      </c>
      <c r="C33" s="650">
        <f>'T-8'!BG61</f>
        <v>-4.265208166621326</v>
      </c>
      <c r="D33" s="650">
        <f>'T-8'!BH61</f>
        <v>-5.2256899860589634</v>
      </c>
      <c r="E33" s="2244"/>
      <c r="F33" s="636"/>
      <c r="G33" s="636"/>
      <c r="H33" s="2244"/>
      <c r="I33" s="636"/>
      <c r="J33" s="636"/>
      <c r="K33" s="636"/>
      <c r="L33" s="636">
        <f>C33+F33+I33</f>
        <v>-4.265208166621326</v>
      </c>
      <c r="M33" s="636"/>
    </row>
    <row r="34" spans="1:13">
      <c r="A34" s="634" t="s">
        <v>1556</v>
      </c>
      <c r="B34" s="2245"/>
      <c r="C34" s="650"/>
      <c r="D34" s="650"/>
      <c r="E34" s="2244"/>
      <c r="F34" s="636"/>
      <c r="G34" s="636"/>
      <c r="H34" s="2244"/>
      <c r="I34" s="636"/>
      <c r="J34" s="636"/>
      <c r="K34" s="636"/>
      <c r="L34" s="636"/>
      <c r="M34" s="636"/>
    </row>
    <row r="35" spans="1:13">
      <c r="A35" s="634"/>
      <c r="B35" s="2245"/>
      <c r="C35" s="650"/>
      <c r="D35" s="650"/>
      <c r="E35" s="2244"/>
      <c r="F35" s="636"/>
      <c r="G35" s="636"/>
      <c r="H35" s="2244"/>
      <c r="I35" s="636"/>
      <c r="J35" s="636"/>
      <c r="K35" s="636"/>
      <c r="L35" s="636"/>
      <c r="M35" s="636"/>
    </row>
    <row r="36" spans="1:13">
      <c r="A36" s="634"/>
      <c r="B36" s="2245"/>
      <c r="C36" s="650"/>
      <c r="D36" s="650"/>
      <c r="E36" s="2244"/>
      <c r="F36" s="636"/>
      <c r="G36" s="636"/>
      <c r="H36" s="2244"/>
      <c r="I36" s="636"/>
      <c r="J36" s="636"/>
      <c r="K36" s="636"/>
      <c r="L36" s="636"/>
      <c r="M36" s="636"/>
    </row>
    <row r="37" spans="1:13">
      <c r="A37" s="628" t="s">
        <v>1101</v>
      </c>
      <c r="B37" s="2246">
        <f>'T-8'!BA63</f>
        <v>2.0235774104775763</v>
      </c>
      <c r="C37" s="640">
        <f>'T-8'!BG63</f>
        <v>-282.2463204159119</v>
      </c>
      <c r="D37" s="640">
        <f>'T-8'!BH63</f>
        <v>-4.9737488442762263</v>
      </c>
      <c r="E37" s="2246">
        <f>'T-8'!BA53</f>
        <v>1.7849313504869211</v>
      </c>
      <c r="F37" s="640">
        <f>'T-8'!BG53</f>
        <v>-147.41421169571294</v>
      </c>
      <c r="G37" s="640">
        <f>'T-8'!BH53</f>
        <v>-3.7673495551250706</v>
      </c>
      <c r="H37" s="2246">
        <f>'T-8'!BA36</f>
        <v>0.63174475773057925</v>
      </c>
      <c r="I37" s="640">
        <f>'T-8'!BG36</f>
        <v>429.66053211162443</v>
      </c>
      <c r="J37" s="640">
        <f>'T-8'!BH36</f>
        <v>1.6831113457075662</v>
      </c>
      <c r="K37" s="640">
        <f>'T-8'!BA64</f>
        <v>0.83831090553790488</v>
      </c>
      <c r="L37" s="640">
        <f>'T-8'!BG64</f>
        <v>-6.2059173288848797</v>
      </c>
      <c r="M37" s="640">
        <f>'T-8'!BH64</f>
        <v>-1.7672913804521594E-2</v>
      </c>
    </row>
    <row r="38" spans="1:13">
      <c r="A38" s="634"/>
      <c r="B38" s="634"/>
      <c r="C38" s="634"/>
      <c r="D38" s="634"/>
      <c r="E38" s="636"/>
      <c r="F38" s="636"/>
      <c r="G38" s="636"/>
      <c r="H38" s="636"/>
      <c r="I38" s="636"/>
      <c r="J38" s="636"/>
      <c r="K38" s="636"/>
      <c r="L38" s="636"/>
      <c r="M38" s="636"/>
    </row>
    <row r="39" spans="1:13">
      <c r="F39" s="630">
        <f>72.53</f>
        <v>72.53</v>
      </c>
      <c r="I39" s="638"/>
      <c r="L39" s="638"/>
      <c r="M39" s="638"/>
    </row>
    <row r="40" spans="1:13">
      <c r="F40" s="638">
        <f>F37+F39</f>
        <v>-74.884211695712935</v>
      </c>
      <c r="L40" s="638"/>
    </row>
    <row r="41" spans="1:13">
      <c r="F41" s="638"/>
      <c r="L41" s="638"/>
    </row>
    <row r="42" spans="1:13">
      <c r="A42" s="625"/>
      <c r="C42" s="638"/>
      <c r="D42" s="638"/>
      <c r="E42" s="638"/>
      <c r="F42" s="638"/>
      <c r="G42" s="638"/>
      <c r="H42" s="638"/>
      <c r="I42" s="638"/>
      <c r="J42" s="638"/>
      <c r="K42" s="638"/>
      <c r="L42" s="638"/>
    </row>
    <row r="43" spans="1:13">
      <c r="B43" s="638"/>
    </row>
    <row r="44" spans="1:13">
      <c r="B44" s="638"/>
      <c r="L44" s="638"/>
    </row>
    <row r="45" spans="1:13">
      <c r="B45" s="735"/>
      <c r="L45" s="638"/>
    </row>
    <row r="46" spans="1:13">
      <c r="B46" s="638"/>
      <c r="L46" s="736"/>
    </row>
    <row r="47" spans="1:13">
      <c r="B47" s="638"/>
    </row>
    <row r="48" spans="1:13">
      <c r="A48" s="737"/>
      <c r="B48" s="642"/>
    </row>
  </sheetData>
  <mergeCells count="17">
    <mergeCell ref="F7:F9"/>
    <mergeCell ref="G7:G9"/>
    <mergeCell ref="H7:H9"/>
    <mergeCell ref="I7:I9"/>
    <mergeCell ref="A3:M3"/>
    <mergeCell ref="H6:J6"/>
    <mergeCell ref="K6:M6"/>
    <mergeCell ref="B7:B9"/>
    <mergeCell ref="C7:C9"/>
    <mergeCell ref="D7:D9"/>
    <mergeCell ref="E7:E9"/>
    <mergeCell ref="B6:D6"/>
    <mergeCell ref="E6:G6"/>
    <mergeCell ref="J7:J9"/>
    <mergeCell ref="K7:K9"/>
    <mergeCell ref="L7:L9"/>
    <mergeCell ref="M7:M9"/>
  </mergeCells>
  <phoneticPr fontId="0" type="noConversion"/>
  <printOptions horizontalCentered="1" verticalCentered="1"/>
  <pageMargins left="0" right="0" top="0" bottom="0.39370078740157483" header="0" footer="0"/>
  <pageSetup paperSize="9" scale="90" orientation="landscape" r:id="rId1"/>
  <headerFooter alignWithMargins="0">
    <oddFooter>&amp;ROERC FORM  F-7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>
    <tabColor rgb="FF92D050"/>
    <pageSetUpPr fitToPage="1"/>
  </sheetPr>
  <dimension ref="A1:E41"/>
  <sheetViews>
    <sheetView showGridLines="0" zoomScale="82" zoomScaleNormal="82" workbookViewId="0">
      <selection activeCell="E15" sqref="E15"/>
    </sheetView>
  </sheetViews>
  <sheetFormatPr defaultColWidth="9.1796875" defaultRowHeight="15.5"/>
  <cols>
    <col min="1" max="1" width="9.1796875" style="2128"/>
    <col min="2" max="2" width="59.81640625" style="2128" customWidth="1"/>
    <col min="3" max="3" width="18" style="2128" customWidth="1"/>
    <col min="4" max="4" width="15.7265625" style="3147" customWidth="1"/>
    <col min="5" max="16384" width="9.1796875" style="2128"/>
  </cols>
  <sheetData>
    <row r="1" spans="1:5">
      <c r="A1" s="3142" t="s">
        <v>5525</v>
      </c>
      <c r="C1" s="3143"/>
      <c r="D1" s="3144"/>
    </row>
    <row r="2" spans="1:5">
      <c r="A2" s="3145"/>
      <c r="C2" s="3146"/>
    </row>
    <row r="3" spans="1:5">
      <c r="A3" s="3385" t="s">
        <v>3745</v>
      </c>
      <c r="B3" s="3385"/>
      <c r="C3" s="3385"/>
      <c r="D3" s="3385"/>
      <c r="E3" s="3148"/>
    </row>
    <row r="4" spans="1:5">
      <c r="A4" s="3145" t="s">
        <v>3743</v>
      </c>
      <c r="B4" s="3145"/>
      <c r="C4" s="3147"/>
    </row>
    <row r="5" spans="1:5">
      <c r="C5" s="3147"/>
      <c r="D5" s="3148" t="s">
        <v>3744</v>
      </c>
    </row>
    <row r="6" spans="1:5">
      <c r="A6" s="3149" t="s">
        <v>1420</v>
      </c>
      <c r="B6" s="3150" t="s">
        <v>146</v>
      </c>
      <c r="C6" s="738" t="s">
        <v>147</v>
      </c>
      <c r="D6" s="738" t="s">
        <v>8372</v>
      </c>
    </row>
    <row r="7" spans="1:5">
      <c r="A7" s="3151">
        <v>1</v>
      </c>
      <c r="B7" s="3037" t="s">
        <v>926</v>
      </c>
      <c r="C7" s="3152">
        <v>20</v>
      </c>
      <c r="D7" s="3152"/>
    </row>
    <row r="8" spans="1:5">
      <c r="A8" s="3151">
        <v>2</v>
      </c>
      <c r="B8" s="3037" t="s">
        <v>927</v>
      </c>
      <c r="C8" s="3152">
        <v>40</v>
      </c>
      <c r="D8" s="3152"/>
    </row>
    <row r="9" spans="1:5">
      <c r="A9" s="3151">
        <v>3</v>
      </c>
      <c r="B9" s="3037" t="s">
        <v>928</v>
      </c>
      <c r="C9" s="3152">
        <v>1000</v>
      </c>
      <c r="D9" s="3152"/>
    </row>
    <row r="10" spans="1:5">
      <c r="A10" s="3151">
        <v>4</v>
      </c>
      <c r="B10" s="3037" t="s">
        <v>929</v>
      </c>
      <c r="C10" s="3152">
        <v>1000</v>
      </c>
      <c r="D10" s="3152"/>
    </row>
    <row r="11" spans="1:5">
      <c r="A11" s="3151">
        <v>5</v>
      </c>
      <c r="B11" s="3037" t="s">
        <v>1067</v>
      </c>
      <c r="C11" s="3152">
        <v>40</v>
      </c>
      <c r="D11" s="3152"/>
    </row>
    <row r="12" spans="1:5">
      <c r="A12" s="3151">
        <v>6</v>
      </c>
      <c r="B12" s="3037" t="s">
        <v>1068</v>
      </c>
      <c r="C12" s="3152">
        <v>150</v>
      </c>
      <c r="D12" s="3152"/>
    </row>
    <row r="13" spans="1:5">
      <c r="A13" s="3151">
        <v>7</v>
      </c>
      <c r="B13" s="3037" t="s">
        <v>349</v>
      </c>
      <c r="C13" s="3152">
        <v>1000</v>
      </c>
      <c r="D13" s="3152"/>
    </row>
    <row r="14" spans="1:5">
      <c r="A14" s="3151">
        <v>8</v>
      </c>
      <c r="B14" s="3037" t="s">
        <v>350</v>
      </c>
      <c r="C14" s="3152">
        <v>1000</v>
      </c>
      <c r="D14" s="3152"/>
    </row>
    <row r="15" spans="1:5">
      <c r="A15" s="3151">
        <v>9</v>
      </c>
      <c r="B15" s="3037" t="s">
        <v>8373</v>
      </c>
      <c r="C15" s="3152">
        <v>60</v>
      </c>
      <c r="D15" s="3153" t="s">
        <v>8513</v>
      </c>
      <c r="E15" s="3157">
        <v>84.086978157139143</v>
      </c>
    </row>
    <row r="16" spans="1:5">
      <c r="A16" s="3151">
        <v>10</v>
      </c>
      <c r="B16" s="3037" t="s">
        <v>3331</v>
      </c>
      <c r="C16" s="3152">
        <v>150</v>
      </c>
      <c r="D16" s="3152"/>
    </row>
    <row r="17" spans="1:4">
      <c r="A17" s="3151">
        <v>11</v>
      </c>
      <c r="B17" s="3037" t="s">
        <v>1065</v>
      </c>
      <c r="C17" s="3152"/>
      <c r="D17" s="3152"/>
    </row>
    <row r="18" spans="1:4">
      <c r="A18" s="3151">
        <v>12</v>
      </c>
      <c r="B18" s="3037" t="s">
        <v>6</v>
      </c>
      <c r="C18" s="3152"/>
      <c r="D18" s="3152"/>
    </row>
    <row r="19" spans="1:4">
      <c r="A19" s="3037"/>
      <c r="B19" s="3037"/>
      <c r="C19" s="3152"/>
      <c r="D19" s="3152"/>
    </row>
    <row r="20" spans="1:4">
      <c r="A20" s="738" t="s">
        <v>724</v>
      </c>
      <c r="B20" s="3149" t="s">
        <v>7</v>
      </c>
      <c r="C20" s="3152"/>
      <c r="D20" s="3152"/>
    </row>
    <row r="21" spans="1:4">
      <c r="A21" s="3037"/>
      <c r="B21" s="3037"/>
      <c r="C21" s="3152"/>
      <c r="D21" s="3152"/>
    </row>
    <row r="22" spans="1:4">
      <c r="A22" s="3151">
        <v>1</v>
      </c>
      <c r="B22" s="3037" t="s">
        <v>4680</v>
      </c>
      <c r="C22" s="3152">
        <v>150</v>
      </c>
      <c r="D22" s="3154"/>
    </row>
    <row r="23" spans="1:4">
      <c r="A23" s="3151">
        <v>2</v>
      </c>
      <c r="B23" s="3037" t="s">
        <v>4681</v>
      </c>
      <c r="C23" s="3152">
        <v>400</v>
      </c>
      <c r="D23" s="3154"/>
    </row>
    <row r="24" spans="1:4">
      <c r="A24" s="3151">
        <v>3</v>
      </c>
      <c r="B24" s="3037" t="s">
        <v>8</v>
      </c>
      <c r="C24" s="3152">
        <v>600</v>
      </c>
      <c r="D24" s="3154"/>
    </row>
    <row r="25" spans="1:4">
      <c r="A25" s="3151">
        <v>4</v>
      </c>
      <c r="B25" s="3037" t="s">
        <v>4682</v>
      </c>
      <c r="C25" s="3152">
        <v>3000</v>
      </c>
      <c r="D25" s="3154"/>
    </row>
    <row r="26" spans="1:4">
      <c r="A26" s="3037"/>
      <c r="B26" s="3037"/>
      <c r="C26" s="3152"/>
      <c r="D26" s="3152"/>
    </row>
    <row r="27" spans="1:4" ht="31">
      <c r="A27" s="738" t="s">
        <v>1193</v>
      </c>
      <c r="B27" s="739" t="s">
        <v>9</v>
      </c>
      <c r="C27" s="3152"/>
      <c r="D27" s="3155" t="s">
        <v>8374</v>
      </c>
    </row>
    <row r="28" spans="1:4">
      <c r="A28" s="3037"/>
      <c r="B28" s="3037"/>
      <c r="C28" s="3152"/>
      <c r="D28" s="3152"/>
    </row>
    <row r="29" spans="1:4">
      <c r="A29" s="3037"/>
      <c r="B29" s="3156" t="s">
        <v>10</v>
      </c>
      <c r="C29" s="3037"/>
      <c r="D29" s="3151"/>
    </row>
    <row r="30" spans="1:4">
      <c r="A30" s="3037"/>
      <c r="B30" s="3037"/>
      <c r="C30" s="3037"/>
      <c r="D30" s="3151"/>
    </row>
    <row r="31" spans="1:4" ht="46.5">
      <c r="A31" s="738" t="s">
        <v>11</v>
      </c>
      <c r="B31" s="739" t="s">
        <v>1121</v>
      </c>
      <c r="C31" s="3037"/>
      <c r="D31" s="1391" t="s">
        <v>267</v>
      </c>
    </row>
    <row r="32" spans="1:4">
      <c r="A32" s="3037"/>
      <c r="B32" s="3037"/>
      <c r="C32" s="3037"/>
      <c r="D32" s="3151"/>
    </row>
    <row r="33" spans="1:4" ht="31">
      <c r="A33" s="738" t="s">
        <v>1122</v>
      </c>
      <c r="B33" s="3037" t="s">
        <v>1123</v>
      </c>
      <c r="C33" s="3037"/>
      <c r="D33" s="1391" t="s">
        <v>267</v>
      </c>
    </row>
    <row r="34" spans="1:4">
      <c r="A34" s="3037"/>
      <c r="B34" s="3037"/>
      <c r="C34" s="3037"/>
      <c r="D34" s="3151"/>
    </row>
    <row r="35" spans="1:4" ht="31">
      <c r="A35" s="738" t="s">
        <v>1124</v>
      </c>
      <c r="B35" s="739" t="s">
        <v>1125</v>
      </c>
      <c r="C35" s="3037"/>
      <c r="D35" s="1391" t="s">
        <v>267</v>
      </c>
    </row>
    <row r="36" spans="1:4">
      <c r="A36" s="3037"/>
      <c r="B36" s="3037"/>
      <c r="C36" s="3037"/>
      <c r="D36" s="3151"/>
    </row>
    <row r="37" spans="1:4" ht="31">
      <c r="A37" s="738" t="s">
        <v>268</v>
      </c>
      <c r="B37" s="739" t="s">
        <v>935</v>
      </c>
      <c r="C37" s="3037"/>
      <c r="D37" s="1391" t="s">
        <v>267</v>
      </c>
    </row>
    <row r="38" spans="1:4">
      <c r="A38" s="3037"/>
      <c r="B38" s="3037"/>
      <c r="C38" s="3037"/>
      <c r="D38" s="3151"/>
    </row>
    <row r="39" spans="1:4" ht="31">
      <c r="A39" s="738" t="s">
        <v>936</v>
      </c>
      <c r="B39" s="739" t="s">
        <v>937</v>
      </c>
      <c r="C39" s="3037"/>
      <c r="D39" s="1391" t="s">
        <v>267</v>
      </c>
    </row>
    <row r="40" spans="1:4">
      <c r="A40" s="3037"/>
      <c r="B40" s="3037"/>
      <c r="C40" s="3037"/>
      <c r="D40" s="3151"/>
    </row>
    <row r="41" spans="1:4" ht="31">
      <c r="A41" s="738" t="s">
        <v>938</v>
      </c>
      <c r="B41" s="739" t="s">
        <v>1216</v>
      </c>
      <c r="C41" s="3037"/>
      <c r="D41" s="1391" t="s">
        <v>267</v>
      </c>
    </row>
  </sheetData>
  <mergeCells count="1">
    <mergeCell ref="A3:D3"/>
  </mergeCells>
  <phoneticPr fontId="0" type="noConversion"/>
  <printOptions horizontalCentered="1"/>
  <pageMargins left="0" right="0" top="0.78740157480314965" bottom="0" header="0" footer="0"/>
  <pageSetup paperSize="9" orientation="portrait" r:id="rId1"/>
  <headerFooter alignWithMargins="0">
    <oddFooter>&amp;ROERC FROM  No. F-8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94EAE-85A6-4CFB-9A9F-86ADC448A6A8}">
  <sheetPr>
    <tabColor rgb="FF92D050"/>
    <pageSetUpPr fitToPage="1"/>
  </sheetPr>
  <dimension ref="A1:S31"/>
  <sheetViews>
    <sheetView zoomScale="72" zoomScaleNormal="72" workbookViewId="0">
      <selection activeCell="A13" sqref="A13:N13"/>
    </sheetView>
  </sheetViews>
  <sheetFormatPr defaultRowHeight="12.5"/>
  <cols>
    <col min="1" max="1" width="5.08984375" style="4" customWidth="1"/>
    <col min="2" max="2" width="34.1796875" customWidth="1"/>
    <col min="3" max="11" width="10.90625" style="4" customWidth="1"/>
    <col min="12" max="15" width="10.90625" customWidth="1"/>
  </cols>
  <sheetData>
    <row r="1" spans="1:19" ht="15.5">
      <c r="A1" s="3386" t="s">
        <v>5525</v>
      </c>
      <c r="B1" s="3386"/>
      <c r="C1" s="674"/>
      <c r="D1" s="660"/>
      <c r="E1" s="627"/>
    </row>
    <row r="2" spans="1:19" ht="15">
      <c r="A2" s="3383" t="s">
        <v>8339</v>
      </c>
      <c r="B2" s="3383"/>
      <c r="C2" s="3383"/>
      <c r="D2" s="3383"/>
      <c r="E2" s="3383"/>
    </row>
    <row r="3" spans="1:19" ht="13">
      <c r="A3" s="3311" t="s">
        <v>8512</v>
      </c>
      <c r="B3" s="3311"/>
      <c r="C3" s="3311"/>
      <c r="D3" s="3311"/>
      <c r="E3" s="3311"/>
      <c r="F3" s="3311"/>
      <c r="G3" s="3311"/>
      <c r="H3" s="3311"/>
      <c r="I3" s="3311"/>
      <c r="J3" s="3311"/>
      <c r="K3" s="3311"/>
      <c r="L3" s="3311"/>
      <c r="M3" s="3311"/>
      <c r="N3" s="3311"/>
      <c r="O3" s="3311"/>
    </row>
    <row r="4" spans="1:19" ht="13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9" ht="1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</row>
    <row r="6" spans="1:19" ht="13">
      <c r="A6" s="3390" t="s">
        <v>8457</v>
      </c>
      <c r="B6" s="3390"/>
      <c r="C6" s="3390"/>
      <c r="D6" s="3390"/>
      <c r="E6" s="3390"/>
      <c r="F6" s="3390"/>
      <c r="G6" s="3390"/>
      <c r="H6" s="3390"/>
      <c r="I6" s="3390"/>
      <c r="J6" s="3390"/>
      <c r="K6" s="3390"/>
      <c r="L6" s="3390"/>
      <c r="M6" s="3390"/>
      <c r="N6" s="3390"/>
      <c r="O6" s="624" t="s">
        <v>102</v>
      </c>
      <c r="S6">
        <f>10^7</f>
        <v>10000000</v>
      </c>
    </row>
    <row r="7" spans="1:19" ht="13">
      <c r="A7" s="876" t="s">
        <v>347</v>
      </c>
      <c r="B7" s="624" t="s">
        <v>895</v>
      </c>
      <c r="C7" s="876" t="s">
        <v>954</v>
      </c>
      <c r="D7" s="876" t="s">
        <v>3858</v>
      </c>
      <c r="E7" s="876" t="s">
        <v>3859</v>
      </c>
      <c r="F7" s="876" t="s">
        <v>3860</v>
      </c>
      <c r="G7" s="876" t="s">
        <v>3861</v>
      </c>
      <c r="H7" s="876" t="s">
        <v>3862</v>
      </c>
      <c r="I7" s="876" t="s">
        <v>3863</v>
      </c>
      <c r="J7" s="876" t="s">
        <v>3864</v>
      </c>
      <c r="K7" s="876" t="s">
        <v>3865</v>
      </c>
      <c r="L7" s="624" t="s">
        <v>3866</v>
      </c>
      <c r="M7" s="624" t="s">
        <v>3867</v>
      </c>
      <c r="N7" s="624" t="s">
        <v>3868</v>
      </c>
      <c r="O7" s="16" t="s">
        <v>1101</v>
      </c>
    </row>
    <row r="8" spans="1:19">
      <c r="A8" s="15">
        <v>1</v>
      </c>
      <c r="B8" s="624" t="s">
        <v>8379</v>
      </c>
      <c r="C8" s="127"/>
      <c r="D8" s="127"/>
      <c r="E8" s="127"/>
      <c r="F8" s="127"/>
      <c r="G8" s="127"/>
      <c r="H8" s="127"/>
      <c r="I8" s="127"/>
      <c r="J8" s="127"/>
      <c r="K8" s="127"/>
      <c r="L8" s="127">
        <f>92408553/(10^7)</f>
        <v>9.2408552999999998</v>
      </c>
      <c r="M8" s="127">
        <f>74369222/(10^7)</f>
        <v>7.4369221999999997</v>
      </c>
      <c r="N8" s="127">
        <f>263091187/(10^7)</f>
        <v>26.309118699999999</v>
      </c>
      <c r="O8" s="19">
        <f>SUM(C8:N8)</f>
        <v>42.986896199999997</v>
      </c>
    </row>
    <row r="9" spans="1:19">
      <c r="A9" s="15">
        <v>2</v>
      </c>
      <c r="B9" s="12"/>
      <c r="C9" s="15"/>
      <c r="D9" s="15"/>
      <c r="E9" s="15"/>
      <c r="F9" s="15"/>
      <c r="G9" s="15"/>
      <c r="H9" s="15"/>
      <c r="I9" s="15"/>
      <c r="J9" s="15"/>
      <c r="K9" s="15"/>
      <c r="L9" s="12"/>
      <c r="M9" s="12"/>
      <c r="N9" s="12"/>
      <c r="O9" s="12"/>
    </row>
    <row r="10" spans="1:19">
      <c r="A10" s="15">
        <v>3</v>
      </c>
      <c r="B10" s="12"/>
      <c r="C10" s="15"/>
      <c r="D10" s="15"/>
      <c r="E10" s="15"/>
      <c r="F10" s="15"/>
      <c r="G10" s="15"/>
      <c r="H10" s="15"/>
      <c r="I10" s="15"/>
      <c r="J10" s="15"/>
      <c r="K10" s="15"/>
      <c r="L10" s="12"/>
      <c r="M10" s="12"/>
      <c r="N10" s="12"/>
      <c r="O10" s="12"/>
    </row>
    <row r="11" spans="1:19">
      <c r="A11" s="15"/>
      <c r="B11" s="12"/>
      <c r="C11" s="15"/>
      <c r="D11" s="15"/>
      <c r="E11" s="15"/>
      <c r="F11" s="15"/>
      <c r="G11" s="15"/>
      <c r="H11" s="15"/>
      <c r="I11" s="15"/>
      <c r="J11" s="15"/>
      <c r="K11" s="15"/>
      <c r="L11" s="12"/>
      <c r="M11" s="12"/>
      <c r="N11" s="12"/>
      <c r="O11" s="12"/>
    </row>
    <row r="12" spans="1:19">
      <c r="A12" s="15"/>
      <c r="B12" s="12"/>
      <c r="C12" s="15"/>
      <c r="D12" s="15"/>
      <c r="E12" s="15"/>
      <c r="F12" s="15"/>
      <c r="G12" s="15"/>
      <c r="H12" s="15"/>
      <c r="I12" s="15"/>
      <c r="J12" s="15"/>
      <c r="K12" s="15"/>
      <c r="L12" s="12"/>
      <c r="M12" s="12"/>
      <c r="N12" s="12"/>
      <c r="O12" s="12"/>
    </row>
    <row r="13" spans="1:19" ht="13">
      <c r="A13" s="3390" t="s">
        <v>897</v>
      </c>
      <c r="B13" s="3390"/>
      <c r="C13" s="3390"/>
      <c r="D13" s="3390"/>
      <c r="E13" s="3390"/>
      <c r="F13" s="3390"/>
      <c r="G13" s="3390"/>
      <c r="H13" s="3390"/>
      <c r="I13" s="3390"/>
      <c r="J13" s="3390"/>
      <c r="K13" s="3390"/>
      <c r="L13" s="3390"/>
      <c r="M13" s="3390"/>
      <c r="N13" s="3390"/>
      <c r="O13" s="624" t="s">
        <v>102</v>
      </c>
      <c r="S13">
        <f>10^7</f>
        <v>10000000</v>
      </c>
    </row>
    <row r="14" spans="1:19" ht="13">
      <c r="A14" s="876" t="s">
        <v>347</v>
      </c>
      <c r="B14" s="624" t="s">
        <v>895</v>
      </c>
      <c r="C14" s="876" t="s">
        <v>954</v>
      </c>
      <c r="D14" s="876" t="s">
        <v>3858</v>
      </c>
      <c r="E14" s="876" t="s">
        <v>3859</v>
      </c>
      <c r="F14" s="876" t="s">
        <v>3860</v>
      </c>
      <c r="G14" s="876" t="s">
        <v>3861</v>
      </c>
      <c r="H14" s="876" t="s">
        <v>3862</v>
      </c>
      <c r="I14" s="876" t="s">
        <v>3863</v>
      </c>
      <c r="J14" s="876" t="s">
        <v>3864</v>
      </c>
      <c r="K14" s="876" t="s">
        <v>3865</v>
      </c>
      <c r="L14" s="624" t="s">
        <v>3866</v>
      </c>
      <c r="M14" s="624" t="s">
        <v>3867</v>
      </c>
      <c r="N14" s="624" t="s">
        <v>3868</v>
      </c>
      <c r="O14" s="16" t="s">
        <v>1101</v>
      </c>
    </row>
    <row r="15" spans="1:19">
      <c r="A15" s="15">
        <v>1</v>
      </c>
      <c r="B15" s="624" t="s">
        <v>8379</v>
      </c>
      <c r="C15" s="232">
        <f>32948626/(10^7)</f>
        <v>3.2948626000000001</v>
      </c>
      <c r="D15" s="232">
        <f>11799042/(10^7)</f>
        <v>1.1799042</v>
      </c>
      <c r="E15" s="232">
        <f>22383821/(10^7)</f>
        <v>2.2383820999999999</v>
      </c>
      <c r="F15" s="232">
        <f>34913336/(10^7)</f>
        <v>3.4913335999999999</v>
      </c>
      <c r="G15" s="232">
        <f>34549684/(10^7)</f>
        <v>3.4549683999999998</v>
      </c>
      <c r="H15" s="232">
        <f>40326741/(10^7)</f>
        <v>4.0326741000000004</v>
      </c>
      <c r="I15" s="232">
        <f>36027134/(10^7)</f>
        <v>3.6027133999999998</v>
      </c>
      <c r="J15" s="232">
        <f>55913203/(10^7)</f>
        <v>5.5913202999999996</v>
      </c>
      <c r="K15" s="232">
        <f>71585291/(10^7)</f>
        <v>7.1585291</v>
      </c>
      <c r="L15" s="232">
        <f>64837993/(10^7)</f>
        <v>6.4837993000000003</v>
      </c>
      <c r="M15" s="232">
        <f>100008547/(10^7)</f>
        <v>10.0008547</v>
      </c>
      <c r="N15" s="232">
        <f>337631664/(10^7)</f>
        <v>33.763166400000003</v>
      </c>
      <c r="O15" s="19">
        <f>SUM(C15:N15)</f>
        <v>84.2925082</v>
      </c>
    </row>
    <row r="16" spans="1:19">
      <c r="A16" s="15">
        <v>2</v>
      </c>
      <c r="B16" s="12"/>
      <c r="C16" s="15"/>
      <c r="D16" s="15"/>
      <c r="E16" s="15"/>
      <c r="F16" s="15"/>
      <c r="G16" s="15"/>
      <c r="H16" s="15"/>
      <c r="I16" s="15"/>
      <c r="J16" s="15"/>
      <c r="K16" s="15"/>
      <c r="L16" s="12"/>
      <c r="M16" s="12"/>
      <c r="N16" s="12"/>
      <c r="O16" s="12"/>
    </row>
    <row r="17" spans="1:15">
      <c r="A17" s="15">
        <v>3</v>
      </c>
      <c r="B17" s="12"/>
      <c r="C17" s="15"/>
      <c r="D17" s="15"/>
      <c r="E17" s="15"/>
      <c r="F17" s="15"/>
      <c r="G17" s="15"/>
      <c r="H17" s="15"/>
      <c r="I17" s="15"/>
      <c r="J17" s="15"/>
      <c r="K17" s="15"/>
      <c r="L17" s="12"/>
      <c r="M17" s="12"/>
      <c r="N17" s="12"/>
      <c r="O17" s="12"/>
    </row>
    <row r="20" spans="1:15" ht="13">
      <c r="A20" s="3387" t="s">
        <v>8340</v>
      </c>
      <c r="B20" s="3388"/>
      <c r="C20" s="3388"/>
      <c r="D20" s="3388"/>
      <c r="E20" s="3388"/>
      <c r="F20" s="3388"/>
      <c r="G20" s="3388"/>
      <c r="H20" s="3388"/>
      <c r="I20" s="3388"/>
      <c r="J20" s="3388"/>
      <c r="K20" s="3388"/>
      <c r="L20" s="3388"/>
      <c r="M20" s="3388"/>
      <c r="N20" s="3389"/>
      <c r="O20" s="624" t="s">
        <v>102</v>
      </c>
    </row>
    <row r="21" spans="1:15" ht="13">
      <c r="A21" s="876" t="s">
        <v>347</v>
      </c>
      <c r="B21" s="624" t="s">
        <v>895</v>
      </c>
      <c r="C21" s="876" t="s">
        <v>954</v>
      </c>
      <c r="D21" s="876" t="s">
        <v>3858</v>
      </c>
      <c r="E21" s="876" t="s">
        <v>3859</v>
      </c>
      <c r="F21" s="876" t="s">
        <v>3860</v>
      </c>
      <c r="G21" s="876" t="s">
        <v>3861</v>
      </c>
      <c r="H21" s="876" t="s">
        <v>3862</v>
      </c>
      <c r="I21" s="876" t="s">
        <v>3863</v>
      </c>
      <c r="J21" s="876" t="s">
        <v>3864</v>
      </c>
      <c r="K21" s="876" t="s">
        <v>3865</v>
      </c>
      <c r="L21" s="624" t="s">
        <v>3866</v>
      </c>
      <c r="M21" s="624" t="s">
        <v>3867</v>
      </c>
      <c r="N21" s="624" t="s">
        <v>3868</v>
      </c>
      <c r="O21" s="16" t="s">
        <v>1101</v>
      </c>
    </row>
    <row r="22" spans="1:15">
      <c r="A22" s="15">
        <v>1</v>
      </c>
      <c r="B22" s="624" t="s">
        <v>8379</v>
      </c>
      <c r="C22" s="127">
        <f>111627171.2965/(10^7)</f>
        <v>11.16271712965</v>
      </c>
      <c r="D22" s="127">
        <f>38373864.3377/(10^7)</f>
        <v>3.8373864337700003</v>
      </c>
      <c r="E22" s="127">
        <f>43955691.9297/(10^7)</f>
        <v>4.39556919297</v>
      </c>
      <c r="F22" s="127">
        <f>45295134.0514/(10^7)</f>
        <v>4.5295134051399994</v>
      </c>
      <c r="G22" s="127">
        <f>45808103.7017001/(10^7)</f>
        <v>4.5808103701700098</v>
      </c>
      <c r="H22" s="127">
        <f>55073910.8209/(10^7)</f>
        <v>5.5073910820899998</v>
      </c>
      <c r="I22" s="15"/>
      <c r="J22" s="15"/>
      <c r="K22" s="15"/>
      <c r="L22" s="12"/>
      <c r="M22" s="12"/>
      <c r="N22" s="12"/>
      <c r="O22" s="19">
        <f>SUM(C22:N22)</f>
        <v>34.013387613790009</v>
      </c>
    </row>
    <row r="23" spans="1:15">
      <c r="A23" s="15">
        <v>2</v>
      </c>
      <c r="B23" s="12"/>
      <c r="C23" s="15"/>
      <c r="D23" s="15"/>
      <c r="E23" s="15"/>
      <c r="F23" s="15"/>
      <c r="G23" s="15"/>
      <c r="H23" s="15"/>
      <c r="I23" s="15"/>
      <c r="J23" s="15"/>
      <c r="K23" s="15"/>
      <c r="L23" s="12"/>
      <c r="M23" s="12"/>
      <c r="N23" s="12"/>
      <c r="O23" s="12"/>
    </row>
    <row r="24" spans="1:15">
      <c r="A24" s="15">
        <v>3</v>
      </c>
      <c r="B24" s="12"/>
      <c r="C24" s="15"/>
      <c r="D24" s="15"/>
      <c r="E24" s="15"/>
      <c r="F24" s="15"/>
      <c r="G24" s="15"/>
      <c r="H24" s="15"/>
      <c r="I24" s="15"/>
      <c r="J24" s="15"/>
      <c r="K24" s="15"/>
      <c r="L24" s="12"/>
      <c r="M24" s="12"/>
      <c r="N24" s="12"/>
      <c r="O24" s="12"/>
    </row>
    <row r="27" spans="1:15" ht="13">
      <c r="A27" s="3387" t="s">
        <v>8341</v>
      </c>
      <c r="B27" s="3388"/>
      <c r="C27" s="3388"/>
      <c r="D27" s="3388"/>
      <c r="E27" s="3388"/>
      <c r="F27" s="3388"/>
      <c r="G27" s="3388"/>
      <c r="H27" s="3388"/>
      <c r="I27" s="3388"/>
      <c r="J27" s="3388"/>
      <c r="K27" s="3388"/>
      <c r="L27" s="3388"/>
      <c r="M27" s="3388"/>
      <c r="N27" s="3389"/>
      <c r="O27" s="624" t="s">
        <v>102</v>
      </c>
    </row>
    <row r="28" spans="1:15" ht="13">
      <c r="A28" s="876" t="s">
        <v>347</v>
      </c>
      <c r="B28" s="624" t="s">
        <v>895</v>
      </c>
      <c r="C28" s="876" t="s">
        <v>954</v>
      </c>
      <c r="D28" s="876" t="s">
        <v>3858</v>
      </c>
      <c r="E28" s="876" t="s">
        <v>3859</v>
      </c>
      <c r="F28" s="876" t="s">
        <v>3860</v>
      </c>
      <c r="G28" s="876" t="s">
        <v>3861</v>
      </c>
      <c r="H28" s="876" t="s">
        <v>3862</v>
      </c>
      <c r="I28" s="876" t="s">
        <v>3863</v>
      </c>
      <c r="J28" s="876" t="s">
        <v>3864</v>
      </c>
      <c r="K28" s="876" t="s">
        <v>3865</v>
      </c>
      <c r="L28" s="624" t="s">
        <v>3866</v>
      </c>
      <c r="M28" s="624" t="s">
        <v>3867</v>
      </c>
      <c r="N28" s="624" t="s">
        <v>3868</v>
      </c>
      <c r="O28" s="16" t="s">
        <v>1101</v>
      </c>
    </row>
    <row r="29" spans="1:15">
      <c r="A29" s="15">
        <v>1</v>
      </c>
      <c r="B29" s="12"/>
      <c r="C29" s="15"/>
      <c r="D29" s="15"/>
      <c r="E29" s="15"/>
      <c r="F29" s="15"/>
      <c r="G29" s="15"/>
      <c r="H29" s="15"/>
      <c r="I29" s="15"/>
      <c r="J29" s="15"/>
      <c r="K29" s="15"/>
      <c r="L29" s="12"/>
      <c r="M29" s="12"/>
      <c r="N29" s="12"/>
      <c r="O29" s="12"/>
    </row>
    <row r="30" spans="1:15">
      <c r="A30" s="15">
        <v>2</v>
      </c>
      <c r="B30" s="12"/>
      <c r="C30" s="15"/>
      <c r="D30" s="15"/>
      <c r="E30" s="15"/>
      <c r="F30" s="15"/>
      <c r="G30" s="15"/>
      <c r="H30" s="15"/>
      <c r="I30" s="15"/>
      <c r="J30" s="15"/>
      <c r="K30" s="15"/>
      <c r="L30" s="12"/>
      <c r="M30" s="12"/>
      <c r="N30" s="12"/>
      <c r="O30" s="12"/>
    </row>
    <row r="31" spans="1:15">
      <c r="A31" s="15">
        <v>3</v>
      </c>
      <c r="B31" s="12"/>
      <c r="C31" s="15"/>
      <c r="D31" s="15"/>
      <c r="E31" s="15"/>
      <c r="F31" s="15"/>
      <c r="G31" s="15"/>
      <c r="H31" s="15"/>
      <c r="I31" s="15"/>
      <c r="J31" s="15"/>
      <c r="K31" s="15"/>
      <c r="L31" s="12"/>
      <c r="M31" s="12"/>
      <c r="N31" s="12"/>
      <c r="O31" s="12"/>
    </row>
  </sheetData>
  <mergeCells count="7">
    <mergeCell ref="A1:B1"/>
    <mergeCell ref="A27:N27"/>
    <mergeCell ref="A2:E2"/>
    <mergeCell ref="A3:O3"/>
    <mergeCell ref="A13:N13"/>
    <mergeCell ref="A20:N20"/>
    <mergeCell ref="A6:N6"/>
  </mergeCells>
  <phoneticPr fontId="30" type="noConversion"/>
  <pageMargins left="0.7" right="0.7" top="0.75" bottom="0.75" header="0.3" footer="0.3"/>
  <pageSetup scale="6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tabColor rgb="FF92D050"/>
    <pageSetUpPr fitToPage="1"/>
  </sheetPr>
  <dimension ref="A1:J43"/>
  <sheetViews>
    <sheetView showGridLines="0" topLeftCell="A20" zoomScale="80" zoomScaleNormal="80" workbookViewId="0">
      <selection activeCell="D13" sqref="D13"/>
    </sheetView>
  </sheetViews>
  <sheetFormatPr defaultColWidth="14.7265625" defaultRowHeight="15.5"/>
  <cols>
    <col min="1" max="1" width="8.26953125" style="630" customWidth="1"/>
    <col min="2" max="2" width="45.54296875" style="630" customWidth="1"/>
    <col min="3" max="5" width="19.54296875" style="630" customWidth="1"/>
    <col min="6" max="6" width="17.54296875" style="630" bestFit="1" customWidth="1"/>
    <col min="7" max="7" width="15.81640625" style="630" bestFit="1" customWidth="1"/>
    <col min="8" max="8" width="14.81640625" style="630" bestFit="1" customWidth="1"/>
    <col min="9" max="9" width="14.7265625" style="630"/>
    <col min="10" max="10" width="14.81640625" style="630" bestFit="1" customWidth="1"/>
    <col min="11" max="16384" width="14.7265625" style="630"/>
  </cols>
  <sheetData>
    <row r="1" spans="1:10">
      <c r="A1" s="1580" t="s">
        <v>5525</v>
      </c>
      <c r="D1" s="631"/>
      <c r="E1" s="645"/>
    </row>
    <row r="2" spans="1:10">
      <c r="A2" s="3383" t="s">
        <v>8338</v>
      </c>
      <c r="B2" s="3383"/>
      <c r="C2" s="3383"/>
      <c r="D2" s="3383"/>
      <c r="E2" s="3383"/>
    </row>
    <row r="3" spans="1:10">
      <c r="A3" s="3383" t="s">
        <v>3746</v>
      </c>
      <c r="B3" s="3383"/>
      <c r="C3" s="3383"/>
      <c r="D3" s="3383"/>
      <c r="E3" s="3383"/>
    </row>
    <row r="4" spans="1:10">
      <c r="E4" s="1002" t="s">
        <v>4056</v>
      </c>
    </row>
    <row r="5" spans="1:10" ht="18" customHeight="1">
      <c r="A5" s="747" t="s">
        <v>894</v>
      </c>
      <c r="B5" s="747" t="s">
        <v>895</v>
      </c>
      <c r="C5" s="747" t="s">
        <v>897</v>
      </c>
      <c r="D5" s="747" t="s">
        <v>898</v>
      </c>
      <c r="E5" s="747" t="s">
        <v>899</v>
      </c>
    </row>
    <row r="6" spans="1:10" ht="20.25" customHeight="1">
      <c r="A6" s="747" t="s">
        <v>900</v>
      </c>
      <c r="B6" s="747"/>
      <c r="C6" s="747" t="s">
        <v>5329</v>
      </c>
      <c r="D6" s="747" t="s">
        <v>5482</v>
      </c>
      <c r="E6" s="747" t="s">
        <v>7996</v>
      </c>
    </row>
    <row r="7" spans="1:10">
      <c r="A7" s="634"/>
      <c r="B7" s="634"/>
      <c r="C7" s="634"/>
      <c r="D7" s="634"/>
      <c r="E7" s="634"/>
    </row>
    <row r="8" spans="1:10" ht="31">
      <c r="A8" s="680">
        <v>1</v>
      </c>
      <c r="B8" s="658" t="s">
        <v>3747</v>
      </c>
      <c r="C8" s="636">
        <f>'OERC 4,5,7,8'!E62/10^7</f>
        <v>279.18619963000003</v>
      </c>
      <c r="D8" s="636">
        <f>C16</f>
        <v>556.24491207599988</v>
      </c>
      <c r="E8" s="636">
        <f>+D16</f>
        <v>574.93842913412664</v>
      </c>
      <c r="G8" s="630">
        <v>2432141029.5</v>
      </c>
    </row>
    <row r="9" spans="1:10">
      <c r="A9" s="680"/>
      <c r="B9" s="634"/>
      <c r="C9" s="634"/>
      <c r="D9" s="634"/>
      <c r="E9" s="634"/>
    </row>
    <row r="10" spans="1:10">
      <c r="A10" s="680">
        <v>2</v>
      </c>
      <c r="B10" s="634" t="s">
        <v>597</v>
      </c>
      <c r="C10" s="636">
        <f>+'F-22'!B7</f>
        <v>1639.9169955799998</v>
      </c>
      <c r="D10" s="636">
        <v>1869.3517058126909</v>
      </c>
      <c r="E10" s="636">
        <v>1985.7064074586117</v>
      </c>
      <c r="F10" s="638">
        <f>782.85+43.12</f>
        <v>825.97</v>
      </c>
      <c r="G10" s="638">
        <f>45959.91+645.25+61.08+216.6-544.71</f>
        <v>46338.130000000005</v>
      </c>
      <c r="H10" s="638"/>
    </row>
    <row r="11" spans="1:10">
      <c r="A11" s="680"/>
      <c r="B11" s="634"/>
      <c r="C11" s="636"/>
      <c r="D11" s="653"/>
      <c r="E11" s="634"/>
      <c r="F11" s="638"/>
      <c r="G11" s="638"/>
      <c r="H11" s="638">
        <f>C8+C10-C12</f>
        <v>556.24491207599976</v>
      </c>
    </row>
    <row r="12" spans="1:10">
      <c r="A12" s="680">
        <v>3</v>
      </c>
      <c r="B12" s="634" t="s">
        <v>598</v>
      </c>
      <c r="C12" s="669">
        <f>C8+C10-C16</f>
        <v>1362.858283134</v>
      </c>
      <c r="D12" s="650">
        <f>+D10*99%</f>
        <v>1850.658188754564</v>
      </c>
      <c r="E12" s="650">
        <f>+E10*99%</f>
        <v>1965.8493433840256</v>
      </c>
      <c r="J12" s="638">
        <f>C8+74804.48+814.7+207.43-2294.38-69032.44-C27</f>
        <v>4758.8968657229789</v>
      </c>
    </row>
    <row r="13" spans="1:10">
      <c r="A13" s="680"/>
      <c r="B13" s="634" t="s">
        <v>599</v>
      </c>
      <c r="C13" s="636"/>
      <c r="D13" s="636"/>
      <c r="E13" s="636"/>
    </row>
    <row r="14" spans="1:10">
      <c r="A14" s="680"/>
      <c r="B14" s="741" t="s">
        <v>3748</v>
      </c>
      <c r="C14" s="636"/>
      <c r="D14" s="636"/>
      <c r="E14" s="636"/>
      <c r="F14" s="638"/>
      <c r="J14" s="638">
        <f>C39-J12</f>
        <v>-4222.7312875539792</v>
      </c>
    </row>
    <row r="15" spans="1:10">
      <c r="A15" s="680"/>
      <c r="B15" s="634"/>
      <c r="C15" s="634"/>
      <c r="D15" s="634"/>
      <c r="E15" s="634"/>
    </row>
    <row r="16" spans="1:10" s="625" customFormat="1" ht="30">
      <c r="A16" s="747">
        <v>4</v>
      </c>
      <c r="B16" s="743" t="s">
        <v>3749</v>
      </c>
      <c r="C16" s="640">
        <f>('OERC 4,5,7,8'!C48+'OERC 4,5,7,8'!C49+'OERC 4,5,7,8'!D57+'OERC 4,5,7,8'!D59)/10^7</f>
        <v>556.24491207599988</v>
      </c>
      <c r="D16" s="640">
        <f>D8+D10-D12</f>
        <v>574.93842913412664</v>
      </c>
      <c r="E16" s="640">
        <f>E8+E10-E12</f>
        <v>594.79549320871251</v>
      </c>
      <c r="F16" s="742">
        <v>228.42072657859998</v>
      </c>
      <c r="G16" s="625">
        <f>22512.91+2887.04</f>
        <v>25399.95</v>
      </c>
    </row>
    <row r="17" spans="1:8">
      <c r="A17" s="680"/>
      <c r="B17" s="634"/>
      <c r="C17" s="634"/>
      <c r="D17" s="634"/>
      <c r="E17" s="634"/>
      <c r="F17" s="651">
        <f>+C16-F16</f>
        <v>327.82418549739987</v>
      </c>
      <c r="G17" s="638">
        <f>C16-G16</f>
        <v>-24843.705087924001</v>
      </c>
    </row>
    <row r="18" spans="1:8">
      <c r="A18" s="680">
        <v>5</v>
      </c>
      <c r="B18" s="634" t="s">
        <v>3750</v>
      </c>
      <c r="C18" s="750"/>
      <c r="D18" s="750"/>
      <c r="E18" s="750"/>
    </row>
    <row r="19" spans="1:8">
      <c r="A19" s="680"/>
      <c r="B19" s="634"/>
      <c r="C19" s="634"/>
      <c r="D19" s="634"/>
      <c r="E19" s="634"/>
    </row>
    <row r="20" spans="1:8" ht="31">
      <c r="A20" s="680">
        <v>6</v>
      </c>
      <c r="B20" s="658" t="s">
        <v>3751</v>
      </c>
      <c r="C20" s="636"/>
      <c r="D20" s="634"/>
      <c r="E20" s="634"/>
    </row>
    <row r="21" spans="1:8">
      <c r="A21" s="680"/>
      <c r="B21" s="658"/>
      <c r="C21" s="634"/>
      <c r="D21" s="634"/>
      <c r="E21" s="634"/>
    </row>
    <row r="22" spans="1:8">
      <c r="A22" s="680">
        <v>7</v>
      </c>
      <c r="B22" s="658" t="s">
        <v>3752</v>
      </c>
      <c r="C22" s="636"/>
      <c r="D22" s="653"/>
      <c r="E22" s="653"/>
    </row>
    <row r="23" spans="1:8">
      <c r="A23" s="680"/>
      <c r="B23" s="634"/>
      <c r="C23" s="636"/>
      <c r="D23" s="634"/>
      <c r="E23" s="634"/>
    </row>
    <row r="24" spans="1:8">
      <c r="A24" s="680">
        <v>8</v>
      </c>
      <c r="B24" s="634" t="s">
        <v>3754</v>
      </c>
      <c r="C24" s="634"/>
      <c r="D24" s="634"/>
      <c r="E24" s="634"/>
    </row>
    <row r="25" spans="1:8">
      <c r="A25" s="680"/>
      <c r="B25" s="634"/>
      <c r="C25" s="634"/>
      <c r="D25" s="634"/>
      <c r="E25" s="634"/>
    </row>
    <row r="26" spans="1:8">
      <c r="A26" s="680"/>
      <c r="B26" s="634"/>
      <c r="C26" s="634"/>
      <c r="D26" s="634"/>
      <c r="E26" s="634"/>
    </row>
    <row r="27" spans="1:8">
      <c r="A27" s="680">
        <v>9</v>
      </c>
      <c r="B27" s="634" t="s">
        <v>3753</v>
      </c>
      <c r="C27" s="636">
        <f>-'OERC 4,5,7,8'!C50/10^7</f>
        <v>20.079333906999999</v>
      </c>
      <c r="D27" s="650">
        <f>(D10)*0.01+C27</f>
        <v>38.772850965126906</v>
      </c>
      <c r="E27" s="650">
        <f>(E10)*0.01+D27</f>
        <v>58.629915039713026</v>
      </c>
      <c r="F27" s="644">
        <f>D27-C27</f>
        <v>18.693517058126908</v>
      </c>
      <c r="G27" s="644">
        <f>+E27-D27</f>
        <v>19.85706407458612</v>
      </c>
      <c r="H27" s="644"/>
    </row>
    <row r="28" spans="1:8">
      <c r="A28" s="680"/>
      <c r="B28" s="634"/>
      <c r="C28" s="636"/>
      <c r="D28" s="636"/>
      <c r="E28" s="634"/>
      <c r="G28" s="630">
        <f>199.31+4.24-6.2</f>
        <v>197.35000000000002</v>
      </c>
    </row>
    <row r="29" spans="1:8">
      <c r="A29" s="680"/>
      <c r="B29" s="634"/>
      <c r="C29" s="634"/>
      <c r="D29" s="634"/>
      <c r="E29" s="634"/>
    </row>
    <row r="30" spans="1:8">
      <c r="A30" s="680">
        <v>10</v>
      </c>
      <c r="B30" s="877" t="s">
        <v>4513</v>
      </c>
      <c r="C30" s="682">
        <f>+C27/(C16)</f>
        <v>3.6098009116273144E-2</v>
      </c>
      <c r="D30" s="682">
        <f>+D27/(D16+D27)</f>
        <v>6.3177673642981269E-2</v>
      </c>
      <c r="E30" s="682">
        <f>+E27/(E16+E27)</f>
        <v>8.9727020559051379E-2</v>
      </c>
    </row>
    <row r="31" spans="1:8" hidden="1"/>
    <row r="32" spans="1:8" hidden="1"/>
    <row r="33" spans="1:5" hidden="1"/>
    <row r="34" spans="1:5" hidden="1"/>
    <row r="35" spans="1:5" hidden="1"/>
    <row r="36" spans="1:5" hidden="1"/>
    <row r="37" spans="1:5">
      <c r="A37" s="680"/>
      <c r="B37" s="634" t="s">
        <v>4492</v>
      </c>
      <c r="C37" s="636">
        <f>+C16-C20-C22-C24</f>
        <v>556.24491207599988</v>
      </c>
      <c r="D37" s="636">
        <f>+D16-D20-D22-D24</f>
        <v>574.93842913412664</v>
      </c>
      <c r="E37" s="636">
        <f>+E16-E20-E22-E24</f>
        <v>594.79549320871251</v>
      </c>
    </row>
    <row r="38" spans="1:5">
      <c r="A38" s="634"/>
      <c r="B38" s="634"/>
      <c r="C38" s="636"/>
      <c r="D38" s="636"/>
      <c r="E38" s="634"/>
    </row>
    <row r="39" spans="1:5">
      <c r="A39" s="1355"/>
      <c r="B39" s="639" t="s">
        <v>649</v>
      </c>
      <c r="C39" s="640">
        <f>+C16-C27</f>
        <v>536.1655781689999</v>
      </c>
      <c r="D39" s="640">
        <f>+D16-D27</f>
        <v>536.16557816899967</v>
      </c>
      <c r="E39" s="640">
        <f>+E16-E27</f>
        <v>536.16557816899945</v>
      </c>
    </row>
    <row r="42" spans="1:5">
      <c r="B42" s="737" t="s">
        <v>3650</v>
      </c>
      <c r="C42" s="638">
        <f>+'F-21'!C28</f>
        <v>536.1655781689999</v>
      </c>
      <c r="D42" s="638">
        <f>+'F-21'!D28</f>
        <v>536.16557816899967</v>
      </c>
      <c r="E42" s="638">
        <f>+'F-21'!E28</f>
        <v>536.16557816899945</v>
      </c>
    </row>
    <row r="43" spans="1:5">
      <c r="C43" s="638">
        <f>+C39-C42</f>
        <v>0</v>
      </c>
      <c r="D43" s="638">
        <f>+D39-D42</f>
        <v>0</v>
      </c>
      <c r="E43" s="638">
        <f>+E39-E42</f>
        <v>0</v>
      </c>
    </row>
  </sheetData>
  <mergeCells count="2">
    <mergeCell ref="A2:E2"/>
    <mergeCell ref="A3:E3"/>
  </mergeCells>
  <phoneticPr fontId="0" type="noConversion"/>
  <pageMargins left="0" right="0" top="1.1811023622047245" bottom="0" header="0" footer="0"/>
  <pageSetup paperSize="9" scale="91" orientation="portrait" r:id="rId1"/>
  <headerFooter alignWithMargins="0">
    <oddFooter>&amp;ROERC FORM -F-9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">
    <tabColor theme="1"/>
    <pageSetUpPr fitToPage="1"/>
  </sheetPr>
  <dimension ref="A1:X69"/>
  <sheetViews>
    <sheetView showGridLines="0" view="pageBreakPreview" zoomScale="60" zoomScaleNormal="60" workbookViewId="0">
      <selection activeCell="F15" sqref="F15"/>
    </sheetView>
  </sheetViews>
  <sheetFormatPr defaultColWidth="14.7265625" defaultRowHeight="18"/>
  <cols>
    <col min="1" max="1" width="6" style="1311" customWidth="1"/>
    <col min="2" max="2" width="50" style="1311" customWidth="1"/>
    <col min="3" max="14" width="14.7265625" style="1311" customWidth="1"/>
    <col min="15" max="15" width="16.1796875" style="1311" customWidth="1"/>
    <col min="16" max="17" width="14.7265625" style="1311" customWidth="1"/>
    <col min="18" max="18" width="3.81640625" style="1311" customWidth="1"/>
    <col min="19" max="19" width="15.54296875" style="1311" customWidth="1"/>
    <col min="20" max="20" width="13.90625" style="1311" customWidth="1"/>
    <col min="21" max="21" width="11.54296875" style="1311" customWidth="1"/>
    <col min="22" max="22" width="13.6328125" style="1311" customWidth="1"/>
    <col min="23" max="16384" width="14.7265625" style="1311"/>
  </cols>
  <sheetData>
    <row r="1" spans="1:24">
      <c r="A1" s="1580" t="s">
        <v>5525</v>
      </c>
      <c r="N1" s="1312"/>
      <c r="O1" s="1313"/>
    </row>
    <row r="2" spans="1:24">
      <c r="A2" s="3392"/>
      <c r="B2" s="3392"/>
      <c r="C2" s="3392"/>
      <c r="D2" s="3392"/>
      <c r="E2" s="3392"/>
      <c r="F2" s="3392"/>
      <c r="G2" s="3392"/>
      <c r="H2" s="3392"/>
      <c r="I2" s="3392"/>
      <c r="J2" s="3392"/>
      <c r="K2" s="3392"/>
      <c r="L2" s="3392"/>
      <c r="M2" s="3392"/>
      <c r="N2" s="3392"/>
      <c r="O2" s="3392"/>
      <c r="P2" s="3392"/>
      <c r="Q2" s="1314"/>
      <c r="R2" s="1314"/>
    </row>
    <row r="3" spans="1:24">
      <c r="A3" s="3393" t="s">
        <v>3756</v>
      </c>
      <c r="B3" s="3393"/>
      <c r="C3" s="3393"/>
      <c r="D3" s="3393"/>
      <c r="E3" s="3393"/>
      <c r="F3" s="3393"/>
      <c r="G3" s="3393"/>
      <c r="H3" s="3393"/>
      <c r="I3" s="3393"/>
      <c r="J3" s="3393"/>
      <c r="K3" s="3393"/>
      <c r="L3" s="3393"/>
      <c r="M3" s="3393"/>
      <c r="N3" s="3393"/>
      <c r="O3" s="3393"/>
      <c r="P3" s="3393"/>
    </row>
    <row r="4" spans="1:24">
      <c r="A4" s="1315"/>
      <c r="B4" s="1315"/>
      <c r="C4" s="1315"/>
      <c r="D4" s="1315"/>
      <c r="E4" s="1315"/>
      <c r="F4" s="1315"/>
      <c r="G4" s="1315"/>
      <c r="H4" s="1315"/>
      <c r="I4" s="1315"/>
      <c r="J4" s="1315"/>
      <c r="K4" s="1315"/>
      <c r="L4" s="1315"/>
      <c r="M4" s="1315"/>
      <c r="N4" s="1315"/>
      <c r="O4" s="1315"/>
      <c r="P4" s="1315"/>
    </row>
    <row r="5" spans="1:24">
      <c r="A5" s="3393" t="s">
        <v>3755</v>
      </c>
      <c r="B5" s="3393"/>
      <c r="C5" s="3393"/>
      <c r="D5" s="3393"/>
      <c r="E5" s="3393"/>
      <c r="F5" s="3393"/>
      <c r="G5" s="3393"/>
      <c r="H5" s="3393"/>
      <c r="I5" s="3393"/>
      <c r="J5" s="3393"/>
      <c r="K5" s="3393"/>
      <c r="L5" s="3393"/>
      <c r="M5" s="3393"/>
      <c r="N5" s="3393"/>
      <c r="O5" s="3393"/>
      <c r="P5" s="3393"/>
      <c r="Q5" s="1315"/>
      <c r="R5" s="1315"/>
    </row>
    <row r="6" spans="1:24">
      <c r="A6" s="3393" t="s">
        <v>8095</v>
      </c>
      <c r="B6" s="3393"/>
      <c r="C6" s="3393"/>
      <c r="D6" s="3393"/>
      <c r="E6" s="3393"/>
      <c r="F6" s="3393"/>
      <c r="G6" s="3393"/>
      <c r="H6" s="3393"/>
      <c r="I6" s="3393"/>
      <c r="J6" s="3393"/>
      <c r="K6" s="3393"/>
      <c r="L6" s="3393"/>
      <c r="M6" s="3393"/>
      <c r="N6" s="3393"/>
      <c r="O6" s="3393"/>
      <c r="P6" s="3393"/>
      <c r="Q6" s="1315"/>
      <c r="R6" s="1315"/>
      <c r="X6" s="1311">
        <f>10^7</f>
        <v>10000000</v>
      </c>
    </row>
    <row r="7" spans="1:24">
      <c r="A7" s="1315"/>
      <c r="B7" s="1315"/>
      <c r="C7" s="1315"/>
      <c r="D7" s="1315"/>
      <c r="E7" s="1315"/>
      <c r="F7" s="1315"/>
      <c r="G7" s="1315"/>
      <c r="H7" s="1315"/>
      <c r="I7" s="1315"/>
      <c r="J7" s="1315"/>
      <c r="K7" s="1315"/>
      <c r="L7" s="1315"/>
      <c r="M7" s="1315"/>
      <c r="N7" s="1310" t="s">
        <v>4053</v>
      </c>
      <c r="O7" s="1315"/>
      <c r="P7" s="1315"/>
      <c r="Q7" s="1315"/>
      <c r="R7" s="1315"/>
      <c r="U7" s="1315" t="s">
        <v>8098</v>
      </c>
      <c r="V7" s="1315" t="s">
        <v>570</v>
      </c>
    </row>
    <row r="8" spans="1:24" ht="18.5" thickBot="1">
      <c r="A8" s="1315"/>
      <c r="B8" s="1315"/>
      <c r="C8" s="1315"/>
      <c r="D8" s="1315"/>
      <c r="E8" s="1315"/>
      <c r="F8" s="1315"/>
      <c r="G8" s="1315"/>
      <c r="H8" s="1315"/>
      <c r="I8" s="1315"/>
      <c r="J8" s="1315"/>
      <c r="K8" s="1315"/>
      <c r="L8" s="1315"/>
      <c r="M8" s="1315"/>
      <c r="N8" s="1316"/>
      <c r="O8" s="1315"/>
      <c r="P8" s="1315"/>
      <c r="Q8" s="1315"/>
      <c r="R8" s="1315"/>
      <c r="T8" s="1311" t="s">
        <v>3858</v>
      </c>
      <c r="U8" s="2955">
        <f>25445251.1/(10^7)</f>
        <v>2.5445251100000004</v>
      </c>
      <c r="V8" s="2955">
        <f>1860281.83/(10^7)</f>
        <v>0.18602818300000001</v>
      </c>
    </row>
    <row r="9" spans="1:24">
      <c r="A9" s="3039" t="s">
        <v>894</v>
      </c>
      <c r="B9" s="3040" t="s">
        <v>895</v>
      </c>
      <c r="C9" s="3041">
        <v>44287</v>
      </c>
      <c r="D9" s="3041">
        <v>44317</v>
      </c>
      <c r="E9" s="3041">
        <v>44348</v>
      </c>
      <c r="F9" s="3041">
        <v>44378</v>
      </c>
      <c r="G9" s="3041">
        <v>44409</v>
      </c>
      <c r="H9" s="3041">
        <v>44440</v>
      </c>
      <c r="I9" s="3041">
        <v>44470</v>
      </c>
      <c r="J9" s="3041">
        <v>44501</v>
      </c>
      <c r="K9" s="3041">
        <v>44531</v>
      </c>
      <c r="L9" s="3041">
        <v>44562</v>
      </c>
      <c r="M9" s="3041">
        <v>44593</v>
      </c>
      <c r="N9" s="3041">
        <v>44621</v>
      </c>
      <c r="O9" s="3042" t="s">
        <v>1100</v>
      </c>
      <c r="P9" s="3043" t="s">
        <v>1290</v>
      </c>
      <c r="Q9" s="1315"/>
      <c r="R9" s="1315"/>
      <c r="T9" s="1311" t="s">
        <v>3859</v>
      </c>
      <c r="U9" s="2955">
        <f>5904993.55/(10^7)</f>
        <v>0.59049935499999995</v>
      </c>
      <c r="V9" s="2955">
        <f>28541840.7/(10^7)</f>
        <v>2.8541840700000001</v>
      </c>
    </row>
    <row r="10" spans="1:24">
      <c r="A10" s="3044" t="s">
        <v>900</v>
      </c>
      <c r="B10" s="3045"/>
      <c r="C10" s="3045"/>
      <c r="D10" s="3045"/>
      <c r="E10" s="3045"/>
      <c r="F10" s="3045"/>
      <c r="G10" s="3045"/>
      <c r="H10" s="3045"/>
      <c r="I10" s="3045"/>
      <c r="J10" s="3045"/>
      <c r="K10" s="3045"/>
      <c r="L10" s="3045"/>
      <c r="M10" s="3045"/>
      <c r="N10" s="3045"/>
      <c r="O10" s="3045"/>
      <c r="P10" s="3046"/>
      <c r="Q10" s="1315"/>
      <c r="R10" s="1315"/>
      <c r="T10" s="1311" t="s">
        <v>3860</v>
      </c>
      <c r="U10" s="2955">
        <f>68054694.41/(10^7)</f>
        <v>6.8054694409999996</v>
      </c>
      <c r="V10" s="2955">
        <f>6568934.55/(10^7)</f>
        <v>0.65689345499999996</v>
      </c>
    </row>
    <row r="11" spans="1:24">
      <c r="A11" s="3047"/>
      <c r="B11" s="3048"/>
      <c r="C11" s="3048"/>
      <c r="D11" s="3048"/>
      <c r="E11" s="3048"/>
      <c r="F11" s="3048"/>
      <c r="G11" s="3048"/>
      <c r="H11" s="3048"/>
      <c r="I11" s="3048"/>
      <c r="J11" s="3048"/>
      <c r="K11" s="3048"/>
      <c r="L11" s="3048"/>
      <c r="M11" s="3048"/>
      <c r="N11" s="3048"/>
      <c r="O11" s="3048"/>
      <c r="P11" s="3049"/>
      <c r="Q11" s="1315"/>
      <c r="R11" s="1315"/>
      <c r="T11" s="1311" t="s">
        <v>3861</v>
      </c>
      <c r="U11" s="2955">
        <f>20526164.93/(10^7)</f>
        <v>2.0526164929999999</v>
      </c>
      <c r="V11" s="2955">
        <f>2815760.63/(10^7)</f>
        <v>0.28157606299999999</v>
      </c>
    </row>
    <row r="12" spans="1:24">
      <c r="A12" s="3050">
        <v>1</v>
      </c>
      <c r="B12" s="3048" t="s">
        <v>1282</v>
      </c>
      <c r="C12" s="3051">
        <f>+S32</f>
        <v>8.2519512059999993</v>
      </c>
      <c r="D12" s="3051">
        <f t="shared" ref="D12:N12" si="0">+C24</f>
        <v>8.2519512059999993</v>
      </c>
      <c r="E12" s="3051">
        <f t="shared" si="0"/>
        <v>10.610448133</v>
      </c>
      <c r="F12" s="3051">
        <f t="shared" si="0"/>
        <v>8.3467634180000001</v>
      </c>
      <c r="G12" s="3051">
        <f t="shared" si="0"/>
        <v>14.495339403999999</v>
      </c>
      <c r="H12" s="3051">
        <f t="shared" si="0"/>
        <v>16.266379833999999</v>
      </c>
      <c r="I12" s="3051">
        <f t="shared" si="0"/>
        <v>19.813415151000001</v>
      </c>
      <c r="J12" s="3051">
        <f t="shared" si="0"/>
        <v>21.558594687999999</v>
      </c>
      <c r="K12" s="3051">
        <f t="shared" si="0"/>
        <v>24.141430268999997</v>
      </c>
      <c r="L12" s="3051">
        <f t="shared" si="0"/>
        <v>25.944524909999998</v>
      </c>
      <c r="M12" s="3051">
        <f t="shared" si="0"/>
        <v>31.695086331999999</v>
      </c>
      <c r="N12" s="3051">
        <f t="shared" si="0"/>
        <v>36.337668124000004</v>
      </c>
      <c r="O12" s="3051">
        <f>C12</f>
        <v>8.2519512059999993</v>
      </c>
      <c r="P12" s="3052"/>
      <c r="Q12" s="1315"/>
      <c r="R12" s="1315"/>
      <c r="T12" s="1311" t="s">
        <v>3862</v>
      </c>
      <c r="U12" s="2955">
        <f>38855696.97/(10^7)</f>
        <v>3.8855696969999998</v>
      </c>
      <c r="V12" s="2955">
        <f>3385343.8/(10^7)</f>
        <v>0.33853437999999997</v>
      </c>
    </row>
    <row r="13" spans="1:24">
      <c r="A13" s="3050"/>
      <c r="B13" s="3048"/>
      <c r="C13" s="3051"/>
      <c r="D13" s="3051"/>
      <c r="E13" s="3051"/>
      <c r="F13" s="3051"/>
      <c r="G13" s="3051"/>
      <c r="H13" s="3051"/>
      <c r="I13" s="3051"/>
      <c r="J13" s="3051"/>
      <c r="K13" s="3051"/>
      <c r="L13" s="3051"/>
      <c r="M13" s="3051"/>
      <c r="N13" s="3051"/>
      <c r="O13" s="3051"/>
      <c r="P13" s="3052"/>
      <c r="Q13" s="1315"/>
      <c r="R13" s="1315"/>
      <c r="T13" s="1311" t="s">
        <v>3863</v>
      </c>
      <c r="U13" s="2955">
        <f>20009076.29/(10^7)</f>
        <v>2.0009076289999999</v>
      </c>
      <c r="V13" s="2955">
        <f>2557280.92/(10^7)</f>
        <v>0.25572809200000002</v>
      </c>
    </row>
    <row r="14" spans="1:24">
      <c r="A14" s="3050">
        <v>2</v>
      </c>
      <c r="B14" s="3048" t="s">
        <v>1283</v>
      </c>
      <c r="C14" s="3051">
        <v>0</v>
      </c>
      <c r="D14" s="3051">
        <f>U8</f>
        <v>2.5445251100000004</v>
      </c>
      <c r="E14" s="3051">
        <f>U9</f>
        <v>0.59049935499999995</v>
      </c>
      <c r="F14" s="3051">
        <f>U10</f>
        <v>6.8054694409999996</v>
      </c>
      <c r="G14" s="3051">
        <f>U11</f>
        <v>2.0526164929999999</v>
      </c>
      <c r="H14" s="3051">
        <f>U12</f>
        <v>3.8855696969999998</v>
      </c>
      <c r="I14" s="3051">
        <f>U13</f>
        <v>2.0009076289999999</v>
      </c>
      <c r="J14" s="3051">
        <f>U14</f>
        <v>3.1911164530000002</v>
      </c>
      <c r="K14" s="3051">
        <f>U17</f>
        <v>3.2628880469999997</v>
      </c>
      <c r="L14" s="3051">
        <f>U18</f>
        <v>20.784873851</v>
      </c>
      <c r="M14" s="3051">
        <f>U19</f>
        <v>9.483098870000001</v>
      </c>
      <c r="N14" s="3051">
        <f>U20</f>
        <v>10.762843728</v>
      </c>
      <c r="O14" s="3051">
        <f>SUM(C14:N14)</f>
        <v>65.364408674000003</v>
      </c>
      <c r="P14" s="3052"/>
      <c r="Q14" s="1315"/>
      <c r="R14" s="1315"/>
      <c r="T14" s="1311" t="s">
        <v>3864</v>
      </c>
      <c r="U14" s="2955">
        <f>31911164.53/(10^7)</f>
        <v>3.1911164530000002</v>
      </c>
      <c r="V14" s="2955">
        <f>6082808.72/(10^7)</f>
        <v>0.60828087200000003</v>
      </c>
    </row>
    <row r="15" spans="1:24">
      <c r="A15" s="3050"/>
      <c r="B15" s="3048"/>
      <c r="C15" s="3051"/>
      <c r="D15" s="3051"/>
      <c r="E15" s="3051"/>
      <c r="F15" s="3051"/>
      <c r="G15" s="3051"/>
      <c r="H15" s="3051"/>
      <c r="I15" s="3051"/>
      <c r="J15" s="3051"/>
      <c r="K15" s="3051"/>
      <c r="L15" s="3051"/>
      <c r="M15" s="3051"/>
      <c r="N15" s="3051"/>
      <c r="O15" s="3051"/>
      <c r="P15" s="3052"/>
      <c r="Q15" s="1315"/>
      <c r="R15" s="1315"/>
      <c r="U15" s="2955"/>
      <c r="V15" s="2955"/>
    </row>
    <row r="16" spans="1:24">
      <c r="A16" s="3050">
        <v>3</v>
      </c>
      <c r="B16" s="3048" t="s">
        <v>8342</v>
      </c>
      <c r="C16" s="3051"/>
      <c r="D16" s="3051"/>
      <c r="E16" s="3051"/>
      <c r="F16" s="3051"/>
      <c r="G16" s="3051"/>
      <c r="H16" s="3051"/>
      <c r="I16" s="3051"/>
      <c r="J16" s="3051"/>
      <c r="K16" s="3051"/>
      <c r="L16" s="3051"/>
      <c r="M16" s="3051"/>
      <c r="N16" s="3051"/>
      <c r="O16" s="3051"/>
      <c r="P16" s="3052"/>
      <c r="Q16" s="1315"/>
      <c r="R16" s="1315"/>
      <c r="U16" s="2955"/>
      <c r="V16" s="2955"/>
    </row>
    <row r="17" spans="1:22">
      <c r="A17" s="3050"/>
      <c r="B17" s="3048"/>
      <c r="C17" s="3051"/>
      <c r="D17" s="3051"/>
      <c r="E17" s="3051"/>
      <c r="F17" s="3051"/>
      <c r="G17" s="3051"/>
      <c r="H17" s="3051"/>
      <c r="I17" s="3051"/>
      <c r="J17" s="3051"/>
      <c r="K17" s="3051"/>
      <c r="L17" s="3051"/>
      <c r="M17" s="3051"/>
      <c r="N17" s="3051"/>
      <c r="O17" s="3051"/>
      <c r="P17" s="3052"/>
      <c r="Q17" s="1315"/>
      <c r="R17" s="1315"/>
      <c r="T17" s="1311" t="s">
        <v>3865</v>
      </c>
      <c r="U17" s="2955">
        <f>32628880.47/(10^7)</f>
        <v>3.2628880469999997</v>
      </c>
      <c r="V17" s="2955">
        <f>14597934.06/(10^7)</f>
        <v>1.459793406</v>
      </c>
    </row>
    <row r="18" spans="1:22">
      <c r="A18" s="3050">
        <v>4</v>
      </c>
      <c r="B18" s="3048" t="s">
        <v>8343</v>
      </c>
      <c r="C18" s="3051">
        <v>0</v>
      </c>
      <c r="D18" s="3051">
        <f>V8</f>
        <v>0.18602818300000001</v>
      </c>
      <c r="E18" s="3051">
        <f>V9</f>
        <v>2.8541840700000001</v>
      </c>
      <c r="F18" s="3051">
        <f>V10</f>
        <v>0.65689345499999996</v>
      </c>
      <c r="G18" s="3051">
        <f>V11</f>
        <v>0.28157606299999999</v>
      </c>
      <c r="H18" s="3051">
        <f>V12</f>
        <v>0.33853437999999997</v>
      </c>
      <c r="I18" s="3051">
        <f>V13</f>
        <v>0.25572809200000002</v>
      </c>
      <c r="J18" s="3051">
        <f>V14</f>
        <v>0.60828087200000003</v>
      </c>
      <c r="K18" s="3051">
        <f>V17</f>
        <v>1.459793406</v>
      </c>
      <c r="L18" s="3051">
        <f>V18</f>
        <v>15.034312429</v>
      </c>
      <c r="M18" s="3051">
        <f>V19</f>
        <v>4.8405170780000004</v>
      </c>
      <c r="N18" s="3051">
        <f>V20</f>
        <v>18.798211317</v>
      </c>
      <c r="O18" s="3051">
        <f>SUM(C18:N18)</f>
        <v>45.314059345000004</v>
      </c>
      <c r="P18" s="3052"/>
      <c r="Q18" s="1315"/>
      <c r="R18" s="1315"/>
      <c r="T18" s="1311" t="s">
        <v>3866</v>
      </c>
      <c r="U18" s="2955">
        <f>207848738.51/(10^7)</f>
        <v>20.784873851</v>
      </c>
      <c r="V18" s="2955">
        <f>150343124.29/(10^7)</f>
        <v>15.034312429</v>
      </c>
    </row>
    <row r="19" spans="1:22">
      <c r="A19" s="3050"/>
      <c r="B19" s="3048"/>
      <c r="C19" s="3051"/>
      <c r="D19" s="3051"/>
      <c r="E19" s="3051"/>
      <c r="F19" s="3051"/>
      <c r="G19" s="3051"/>
      <c r="H19" s="3051"/>
      <c r="I19" s="3051"/>
      <c r="J19" s="3051"/>
      <c r="K19" s="3051"/>
      <c r="L19" s="3051"/>
      <c r="M19" s="3051"/>
      <c r="N19" s="3051"/>
      <c r="O19" s="3051"/>
      <c r="P19" s="3052"/>
      <c r="Q19" s="1315"/>
      <c r="R19" s="1315"/>
      <c r="T19" s="1311" t="s">
        <v>3867</v>
      </c>
      <c r="U19" s="2955">
        <f>94830988.7/(10^7)</f>
        <v>9.483098870000001</v>
      </c>
      <c r="V19" s="2955">
        <f>48405170.78/(10^7)</f>
        <v>4.8405170780000004</v>
      </c>
    </row>
    <row r="20" spans="1:22">
      <c r="A20" s="3050">
        <v>5</v>
      </c>
      <c r="B20" s="3048" t="s">
        <v>1286</v>
      </c>
      <c r="C20" s="3051"/>
      <c r="D20" s="3051"/>
      <c r="E20" s="3051"/>
      <c r="F20" s="3051"/>
      <c r="G20" s="3051"/>
      <c r="H20" s="3051"/>
      <c r="I20" s="3051"/>
      <c r="J20" s="3051"/>
      <c r="K20" s="3051"/>
      <c r="L20" s="3051"/>
      <c r="M20" s="3051"/>
      <c r="N20" s="3051"/>
      <c r="O20" s="3051"/>
      <c r="P20" s="3052"/>
      <c r="Q20" s="1315"/>
      <c r="R20" s="1315"/>
      <c r="T20" s="1311" t="s">
        <v>3868</v>
      </c>
      <c r="U20" s="2955">
        <f>107628437.28/(10^7)</f>
        <v>10.762843728</v>
      </c>
      <c r="V20" s="2955">
        <f>187982113.17/(10^7)</f>
        <v>18.798211317</v>
      </c>
    </row>
    <row r="21" spans="1:22">
      <c r="A21" s="3050"/>
      <c r="B21" s="3048"/>
      <c r="C21" s="3051"/>
      <c r="D21" s="3051"/>
      <c r="E21" s="3051"/>
      <c r="F21" s="3051"/>
      <c r="G21" s="3051"/>
      <c r="H21" s="3051"/>
      <c r="I21" s="3051"/>
      <c r="J21" s="3051"/>
      <c r="K21" s="3051"/>
      <c r="L21" s="3051"/>
      <c r="M21" s="3051"/>
      <c r="N21" s="3051"/>
      <c r="O21" s="3051"/>
      <c r="P21" s="3052"/>
      <c r="Q21" s="1315"/>
      <c r="R21" s="1315"/>
      <c r="U21" s="2955"/>
      <c r="V21" s="2955"/>
    </row>
    <row r="22" spans="1:22">
      <c r="A22" s="3050">
        <v>6</v>
      </c>
      <c r="B22" s="3048" t="s">
        <v>1287</v>
      </c>
      <c r="C22" s="3051"/>
      <c r="D22" s="3051"/>
      <c r="E22" s="3051"/>
      <c r="F22" s="3051"/>
      <c r="G22" s="3051"/>
      <c r="H22" s="3051"/>
      <c r="I22" s="3051"/>
      <c r="J22" s="3051"/>
      <c r="K22" s="3051"/>
      <c r="L22" s="3051"/>
      <c r="M22" s="3051"/>
      <c r="N22" s="3051"/>
      <c r="O22" s="3051"/>
      <c r="P22" s="3052"/>
      <c r="Q22" s="1315"/>
      <c r="R22" s="1315"/>
    </row>
    <row r="23" spans="1:22">
      <c r="A23" s="3050"/>
      <c r="B23" s="3048"/>
      <c r="C23" s="3051"/>
      <c r="D23" s="3051"/>
      <c r="E23" s="3051"/>
      <c r="F23" s="3051"/>
      <c r="G23" s="3051"/>
      <c r="H23" s="3051"/>
      <c r="I23" s="3051"/>
      <c r="J23" s="3051"/>
      <c r="K23" s="3051"/>
      <c r="L23" s="3051"/>
      <c r="M23" s="3051"/>
      <c r="N23" s="3051"/>
      <c r="O23" s="3051"/>
      <c r="P23" s="3052"/>
      <c r="Q23" s="1315"/>
      <c r="R23" s="1315"/>
    </row>
    <row r="24" spans="1:22">
      <c r="A24" s="3050">
        <v>7</v>
      </c>
      <c r="B24" s="3048" t="s">
        <v>8344</v>
      </c>
      <c r="C24" s="3051">
        <f t="shared" ref="C24:N24" si="1">+C12+C14-C18</f>
        <v>8.2519512059999993</v>
      </c>
      <c r="D24" s="3051">
        <f t="shared" si="1"/>
        <v>10.610448133</v>
      </c>
      <c r="E24" s="3051">
        <f t="shared" si="1"/>
        <v>8.3467634180000001</v>
      </c>
      <c r="F24" s="3051">
        <f t="shared" si="1"/>
        <v>14.495339403999999</v>
      </c>
      <c r="G24" s="3051">
        <f t="shared" si="1"/>
        <v>16.266379833999999</v>
      </c>
      <c r="H24" s="3051">
        <f t="shared" si="1"/>
        <v>19.813415151000001</v>
      </c>
      <c r="I24" s="3051">
        <f t="shared" si="1"/>
        <v>21.558594687999999</v>
      </c>
      <c r="J24" s="3051">
        <f t="shared" si="1"/>
        <v>24.141430268999997</v>
      </c>
      <c r="K24" s="3051">
        <f t="shared" si="1"/>
        <v>25.944524909999998</v>
      </c>
      <c r="L24" s="3051">
        <f t="shared" si="1"/>
        <v>31.695086331999999</v>
      </c>
      <c r="M24" s="3051">
        <f t="shared" si="1"/>
        <v>36.337668124000004</v>
      </c>
      <c r="N24" s="3051">
        <f t="shared" si="1"/>
        <v>28.302300535000004</v>
      </c>
      <c r="O24" s="3053">
        <f>C12+O14-O18+O20</f>
        <v>28.302300535000001</v>
      </c>
      <c r="P24" s="3054">
        <f>SUM(C24:N24)/12</f>
        <v>20.480325167</v>
      </c>
      <c r="Q24" s="1315"/>
      <c r="R24" s="1315"/>
    </row>
    <row r="25" spans="1:22" ht="18.5" thickBot="1">
      <c r="A25" s="3055"/>
      <c r="B25" s="3056"/>
      <c r="C25" s="3056"/>
      <c r="D25" s="3056"/>
      <c r="E25" s="3056"/>
      <c r="F25" s="3056"/>
      <c r="G25" s="3056"/>
      <c r="H25" s="3056"/>
      <c r="I25" s="3056"/>
      <c r="J25" s="3056"/>
      <c r="K25" s="3056"/>
      <c r="L25" s="3056"/>
      <c r="M25" s="3056"/>
      <c r="N25" s="3056"/>
      <c r="O25" s="3056"/>
      <c r="P25" s="3057"/>
      <c r="Q25" s="1315"/>
      <c r="R25" s="1315"/>
    </row>
    <row r="26" spans="1:22">
      <c r="A26" s="1315"/>
      <c r="B26" s="1315"/>
      <c r="C26" s="1315"/>
      <c r="D26" s="1315"/>
      <c r="E26" s="1315"/>
      <c r="F26" s="1315"/>
      <c r="G26" s="1315"/>
      <c r="H26" s="1315"/>
      <c r="I26" s="1315"/>
      <c r="J26" s="1315"/>
      <c r="K26" s="1315"/>
      <c r="L26" s="1315"/>
      <c r="M26" s="1315"/>
      <c r="N26" s="1316"/>
      <c r="O26" s="1315"/>
      <c r="P26" s="1315"/>
      <c r="Q26" s="1315"/>
      <c r="R26" s="1315"/>
    </row>
    <row r="27" spans="1:22" hidden="1">
      <c r="A27" s="3393" t="s">
        <v>8096</v>
      </c>
      <c r="B27" s="3393"/>
      <c r="C27" s="3393"/>
      <c r="D27" s="3393"/>
      <c r="E27" s="3393"/>
      <c r="F27" s="3393"/>
      <c r="G27" s="3393"/>
      <c r="H27" s="3393"/>
      <c r="I27" s="3393"/>
      <c r="J27" s="3393"/>
      <c r="K27" s="3393"/>
      <c r="L27" s="3393"/>
      <c r="M27" s="3393"/>
      <c r="N27" s="3393"/>
      <c r="O27" s="3393"/>
      <c r="P27" s="3393"/>
      <c r="Q27" s="1315"/>
      <c r="R27" s="1315"/>
    </row>
    <row r="28" spans="1:22" ht="18.5" hidden="1" thickBot="1">
      <c r="A28" s="1315"/>
      <c r="B28" s="1315"/>
      <c r="C28" s="1315"/>
      <c r="D28" s="1315"/>
      <c r="E28" s="1315"/>
      <c r="F28" s="1315"/>
      <c r="G28" s="1315"/>
      <c r="H28" s="1315"/>
      <c r="I28" s="1315"/>
      <c r="J28" s="1315"/>
      <c r="K28" s="1315"/>
      <c r="L28" s="1315"/>
      <c r="M28" s="1315"/>
      <c r="N28" s="1310" t="s">
        <v>4053</v>
      </c>
      <c r="O28" s="1315"/>
      <c r="P28" s="1315"/>
      <c r="Q28" s="1315"/>
      <c r="R28" s="1315"/>
    </row>
    <row r="29" spans="1:22" hidden="1">
      <c r="A29" s="1317" t="s">
        <v>894</v>
      </c>
      <c r="B29" s="1318" t="s">
        <v>895</v>
      </c>
      <c r="C29" s="1319">
        <v>44652</v>
      </c>
      <c r="D29" s="1319">
        <v>44682</v>
      </c>
      <c r="E29" s="1319">
        <v>44713</v>
      </c>
      <c r="F29" s="1319">
        <v>44743</v>
      </c>
      <c r="G29" s="1319">
        <v>44774</v>
      </c>
      <c r="H29" s="1319">
        <v>44805</v>
      </c>
      <c r="I29" s="1319">
        <v>44835</v>
      </c>
      <c r="J29" s="1319">
        <v>44866</v>
      </c>
      <c r="K29" s="1319">
        <v>44896</v>
      </c>
      <c r="L29" s="1319">
        <v>44927</v>
      </c>
      <c r="M29" s="1319">
        <v>44958</v>
      </c>
      <c r="N29" s="1319">
        <v>44986</v>
      </c>
      <c r="O29" s="1320" t="s">
        <v>1100</v>
      </c>
      <c r="P29" s="1321" t="s">
        <v>1290</v>
      </c>
      <c r="Q29" s="1322"/>
      <c r="R29" s="1322"/>
    </row>
    <row r="30" spans="1:22" ht="18.5" hidden="1" thickBot="1">
      <c r="A30" s="1323" t="s">
        <v>900</v>
      </c>
      <c r="B30" s="1324"/>
      <c r="C30" s="1324"/>
      <c r="D30" s="1324"/>
      <c r="E30" s="1324"/>
      <c r="F30" s="1324"/>
      <c r="G30" s="1324"/>
      <c r="H30" s="1324"/>
      <c r="I30" s="1324"/>
      <c r="J30" s="1324"/>
      <c r="K30" s="1324"/>
      <c r="L30" s="1324"/>
      <c r="M30" s="1324"/>
      <c r="N30" s="1324"/>
      <c r="O30" s="1324"/>
      <c r="P30" s="1325"/>
      <c r="Q30" s="1315"/>
      <c r="R30" s="1315"/>
      <c r="V30" s="3391"/>
    </row>
    <row r="31" spans="1:22" hidden="1">
      <c r="A31" s="1326"/>
      <c r="B31" s="1327"/>
      <c r="C31" s="1327"/>
      <c r="D31" s="1327"/>
      <c r="E31" s="1327"/>
      <c r="F31" s="1327"/>
      <c r="G31" s="1327"/>
      <c r="H31" s="1327"/>
      <c r="I31" s="1327"/>
      <c r="J31" s="1327"/>
      <c r="K31" s="1327"/>
      <c r="L31" s="1327"/>
      <c r="M31" s="1327"/>
      <c r="N31" s="1327"/>
      <c r="O31" s="1327"/>
      <c r="P31" s="1328"/>
      <c r="R31" s="1329"/>
      <c r="S31" s="1330" t="s">
        <v>5329</v>
      </c>
      <c r="T31" s="1331" t="s">
        <v>5482</v>
      </c>
      <c r="U31" s="1331" t="s">
        <v>7996</v>
      </c>
      <c r="V31" s="3391"/>
    </row>
    <row r="32" spans="1:22" hidden="1">
      <c r="A32" s="1332">
        <v>1</v>
      </c>
      <c r="B32" s="1327" t="s">
        <v>1282</v>
      </c>
      <c r="C32" s="1333">
        <f>+T32</f>
        <v>28.302300535000001</v>
      </c>
      <c r="D32" s="1333">
        <f>+C44</f>
        <v>28.302300535000001</v>
      </c>
      <c r="E32" s="1333">
        <f t="shared" ref="E32:N32" si="2">+D44</f>
        <v>28.302300535000001</v>
      </c>
      <c r="F32" s="1333">
        <f t="shared" si="2"/>
        <v>28.302300534999997</v>
      </c>
      <c r="G32" s="1333">
        <f t="shared" si="2"/>
        <v>28.302300535000001</v>
      </c>
      <c r="H32" s="1333">
        <f t="shared" si="2"/>
        <v>28.302300535000001</v>
      </c>
      <c r="I32" s="1333">
        <f t="shared" si="2"/>
        <v>28.302300535000001</v>
      </c>
      <c r="J32" s="1333">
        <f t="shared" si="2"/>
        <v>28.302300535000001</v>
      </c>
      <c r="K32" s="1333">
        <f t="shared" si="2"/>
        <v>28.302300535000001</v>
      </c>
      <c r="L32" s="1333">
        <f t="shared" si="2"/>
        <v>28.302300535000001</v>
      </c>
      <c r="M32" s="1333">
        <f t="shared" si="2"/>
        <v>28.302300534999997</v>
      </c>
      <c r="N32" s="1333">
        <f t="shared" si="2"/>
        <v>28.302300534999993</v>
      </c>
      <c r="O32" s="1333">
        <f>C32</f>
        <v>28.302300535000001</v>
      </c>
      <c r="P32" s="1334"/>
      <c r="Q32" s="1335"/>
      <c r="R32" s="1336" t="s">
        <v>3607</v>
      </c>
      <c r="S32" s="2952">
        <f>'OERC 09 ,10 &amp; 11'!E11/10^7</f>
        <v>8.2519512059999993</v>
      </c>
      <c r="T32" s="2953">
        <f>+S44</f>
        <v>28.302300535000001</v>
      </c>
      <c r="U32" s="2956">
        <f>+T44</f>
        <v>28.302300534999997</v>
      </c>
      <c r="V32" s="3391"/>
    </row>
    <row r="33" spans="1:22" hidden="1">
      <c r="A33" s="1332"/>
      <c r="B33" s="1327"/>
      <c r="C33" s="1333"/>
      <c r="D33" s="1333"/>
      <c r="E33" s="1333"/>
      <c r="F33" s="1333"/>
      <c r="G33" s="1333"/>
      <c r="H33" s="1333"/>
      <c r="I33" s="1333"/>
      <c r="J33" s="1333"/>
      <c r="K33" s="1333"/>
      <c r="L33" s="1333"/>
      <c r="M33" s="1333"/>
      <c r="N33" s="1333"/>
      <c r="O33" s="1333"/>
      <c r="P33" s="1334"/>
      <c r="Q33" s="1335"/>
      <c r="R33" s="1336"/>
      <c r="S33" s="2953"/>
      <c r="T33" s="2953"/>
      <c r="U33" s="2956"/>
      <c r="V33" s="3391"/>
    </row>
    <row r="34" spans="1:22" hidden="1">
      <c r="A34" s="1332">
        <v>2</v>
      </c>
      <c r="B34" s="1327" t="s">
        <v>1283</v>
      </c>
      <c r="C34" s="1333">
        <f>+$T$34/12</f>
        <v>12.116526084303478</v>
      </c>
      <c r="D34" s="1333">
        <f>+$T$34/12*1.01</f>
        <v>12.237691345146514</v>
      </c>
      <c r="E34" s="1333">
        <f>+$T$34/12*1.02</f>
        <v>12.358856605989548</v>
      </c>
      <c r="F34" s="1333">
        <f>+$T$34/12*1.05</f>
        <v>12.722352388518653</v>
      </c>
      <c r="G34" s="1333">
        <f>+$T$34/12*1.06</f>
        <v>12.843517649361688</v>
      </c>
      <c r="H34" s="1333">
        <f>+$T$34/12*0.99</f>
        <v>11.995360823460443</v>
      </c>
      <c r="I34" s="1333">
        <f>+$T$34/12*0.98</f>
        <v>11.874195562617409</v>
      </c>
      <c r="J34" s="1333">
        <f>+$T$34/12*0.95</f>
        <v>11.510699780088304</v>
      </c>
      <c r="K34" s="1333">
        <f>+$T$34/12*0.94</f>
        <v>11.389534519245268</v>
      </c>
      <c r="L34" s="1333">
        <f>+$T$34/12*1.02</f>
        <v>12.358856605989548</v>
      </c>
      <c r="M34" s="1333">
        <f>+$T$34/12*0.91</f>
        <v>11.026038736716165</v>
      </c>
      <c r="N34" s="1333">
        <f>+$T$34/12*1.07</f>
        <v>12.964682910204722</v>
      </c>
      <c r="O34" s="1333">
        <f>SUM(C34:N34)</f>
        <v>145.39831301164173</v>
      </c>
      <c r="P34" s="1334"/>
      <c r="Q34" s="1335"/>
      <c r="R34" s="1336" t="s">
        <v>569</v>
      </c>
      <c r="S34" s="2953">
        <f>O14</f>
        <v>65.364408674000003</v>
      </c>
      <c r="T34" s="2953">
        <f>+T44+T38-T32</f>
        <v>145.39831301164173</v>
      </c>
      <c r="U34" s="2953">
        <f>+U44+U38-U32</f>
        <v>155.40434263023732</v>
      </c>
      <c r="V34" s="3391"/>
    </row>
    <row r="35" spans="1:22" hidden="1">
      <c r="A35" s="1332"/>
      <c r="B35" s="1327"/>
      <c r="C35" s="1333"/>
      <c r="D35" s="1333"/>
      <c r="E35" s="1333"/>
      <c r="F35" s="1333"/>
      <c r="G35" s="1333"/>
      <c r="H35" s="1333"/>
      <c r="I35" s="1333"/>
      <c r="J35" s="1333"/>
      <c r="K35" s="1333"/>
      <c r="L35" s="1333"/>
      <c r="M35" s="1333"/>
      <c r="N35" s="1333"/>
      <c r="O35" s="1333"/>
      <c r="P35" s="1334"/>
      <c r="Q35" s="1335"/>
      <c r="R35" s="1336"/>
      <c r="S35" s="2953"/>
      <c r="T35" s="2953"/>
      <c r="U35" s="3028"/>
      <c r="V35" s="3391"/>
    </row>
    <row r="36" spans="1:22" hidden="1">
      <c r="A36" s="3029">
        <v>3</v>
      </c>
      <c r="B36" s="3030" t="s">
        <v>8342</v>
      </c>
      <c r="C36" s="1333"/>
      <c r="D36" s="1333"/>
      <c r="E36" s="1333"/>
      <c r="F36" s="1333"/>
      <c r="G36" s="1333"/>
      <c r="H36" s="1333"/>
      <c r="I36" s="1333"/>
      <c r="J36" s="1333"/>
      <c r="K36" s="1333"/>
      <c r="L36" s="1333"/>
      <c r="M36" s="1333"/>
      <c r="N36" s="1333"/>
      <c r="O36" s="1333"/>
      <c r="P36" s="1334"/>
      <c r="Q36" s="1335"/>
      <c r="R36" s="1336"/>
      <c r="S36" s="2953"/>
      <c r="T36" s="2953"/>
      <c r="U36" s="3028"/>
      <c r="V36" s="3391"/>
    </row>
    <row r="37" spans="1:22" hidden="1">
      <c r="A37" s="1332"/>
      <c r="B37" s="1327"/>
      <c r="C37" s="1333"/>
      <c r="D37" s="1333"/>
      <c r="E37" s="1333"/>
      <c r="F37" s="1333"/>
      <c r="G37" s="1333"/>
      <c r="H37" s="1333"/>
      <c r="I37" s="1333"/>
      <c r="J37" s="1333"/>
      <c r="K37" s="1333"/>
      <c r="L37" s="1333"/>
      <c r="M37" s="1333"/>
      <c r="N37" s="1333"/>
      <c r="O37" s="1333"/>
      <c r="P37" s="1334"/>
      <c r="Q37" s="1335"/>
      <c r="R37" s="1336"/>
      <c r="S37" s="2953"/>
      <c r="T37" s="1536"/>
      <c r="U37" s="1537"/>
      <c r="V37" s="3391"/>
    </row>
    <row r="38" spans="1:22" hidden="1">
      <c r="A38" s="1332">
        <v>4</v>
      </c>
      <c r="B38" s="1327" t="s">
        <v>1285</v>
      </c>
      <c r="C38" s="1333">
        <f>+$T$38/12</f>
        <v>12.116526084303478</v>
      </c>
      <c r="D38" s="1333">
        <f>+$T$38/12*1.01</f>
        <v>12.237691345146514</v>
      </c>
      <c r="E38" s="1333">
        <f>+$T$38/12*1.02</f>
        <v>12.358856605989548</v>
      </c>
      <c r="F38" s="1333">
        <f>+$T$38/12*1.05</f>
        <v>12.722352388518653</v>
      </c>
      <c r="G38" s="1333">
        <f>+$T$38/12*1.06</f>
        <v>12.843517649361688</v>
      </c>
      <c r="H38" s="1333">
        <f>+$T$38/12*0.99</f>
        <v>11.995360823460443</v>
      </c>
      <c r="I38" s="1333">
        <f>+$T$38/12*0.98</f>
        <v>11.874195562617409</v>
      </c>
      <c r="J38" s="1333">
        <f>+$T$38/12*0.95</f>
        <v>11.510699780088304</v>
      </c>
      <c r="K38" s="1333">
        <f>+$T$38/12*0.94</f>
        <v>11.389534519245268</v>
      </c>
      <c r="L38" s="1333">
        <f>+$T$38/12*1.02</f>
        <v>12.358856605989548</v>
      </c>
      <c r="M38" s="1333">
        <f>+$T$38/12*0.91</f>
        <v>11.026038736716165</v>
      </c>
      <c r="N38" s="1333">
        <f>+$T$38/12*1.07</f>
        <v>12.964682910204722</v>
      </c>
      <c r="O38" s="1333">
        <f>SUM(C38:N38)</f>
        <v>145.39831301164173</v>
      </c>
      <c r="P38" s="1334"/>
      <c r="Q38" s="1335"/>
      <c r="R38" s="1336" t="s">
        <v>570</v>
      </c>
      <c r="S38" s="2953">
        <f>O18</f>
        <v>45.314059345000004</v>
      </c>
      <c r="T38" s="1536">
        <f>+'F-13-B'!E16</f>
        <v>145.39831301164173</v>
      </c>
      <c r="U38" s="1536">
        <f>+'F-13-B'!F16</f>
        <v>155.40434263023732</v>
      </c>
      <c r="V38" s="3391"/>
    </row>
    <row r="39" spans="1:22" hidden="1">
      <c r="A39" s="1332"/>
      <c r="B39" s="1327"/>
      <c r="C39" s="1333"/>
      <c r="D39" s="1333"/>
      <c r="E39" s="1333"/>
      <c r="F39" s="1333"/>
      <c r="G39" s="1333"/>
      <c r="H39" s="1333"/>
      <c r="I39" s="1333"/>
      <c r="J39" s="1333"/>
      <c r="K39" s="1333"/>
      <c r="L39" s="1333"/>
      <c r="M39" s="1333"/>
      <c r="N39" s="1333"/>
      <c r="O39" s="1333"/>
      <c r="P39" s="1334"/>
      <c r="Q39" s="1335"/>
      <c r="R39" s="1336"/>
      <c r="S39" s="2953"/>
      <c r="T39" s="1536"/>
      <c r="U39" s="1537"/>
      <c r="V39" s="3391"/>
    </row>
    <row r="40" spans="1:22" hidden="1">
      <c r="A40" s="1332">
        <v>5</v>
      </c>
      <c r="B40" s="1327" t="s">
        <v>1286</v>
      </c>
      <c r="C40" s="1333"/>
      <c r="D40" s="1333"/>
      <c r="E40" s="1333"/>
      <c r="F40" s="1333"/>
      <c r="G40" s="1333"/>
      <c r="H40" s="1333"/>
      <c r="I40" s="1333"/>
      <c r="J40" s="1333"/>
      <c r="K40" s="1333"/>
      <c r="L40" s="1333"/>
      <c r="M40" s="1333"/>
      <c r="N40" s="1333"/>
      <c r="O40" s="1333"/>
      <c r="P40" s="1334"/>
      <c r="Q40" s="1335"/>
      <c r="R40" s="1336"/>
      <c r="S40" s="2953"/>
      <c r="T40" s="1536"/>
      <c r="U40" s="1537"/>
      <c r="V40" s="3391"/>
    </row>
    <row r="41" spans="1:22" hidden="1">
      <c r="A41" s="1332"/>
      <c r="B41" s="1327"/>
      <c r="C41" s="1333"/>
      <c r="D41" s="1333"/>
      <c r="E41" s="1333"/>
      <c r="F41" s="1333"/>
      <c r="G41" s="1333"/>
      <c r="H41" s="1333"/>
      <c r="I41" s="1333"/>
      <c r="J41" s="1333"/>
      <c r="K41" s="1333"/>
      <c r="L41" s="1333"/>
      <c r="M41" s="1333"/>
      <c r="N41" s="1333"/>
      <c r="O41" s="1333"/>
      <c r="P41" s="1334"/>
      <c r="Q41" s="1335"/>
      <c r="R41" s="1336"/>
      <c r="S41" s="2953"/>
      <c r="T41" s="1536"/>
      <c r="U41" s="1537"/>
      <c r="V41" s="3391"/>
    </row>
    <row r="42" spans="1:22" hidden="1">
      <c r="A42" s="1332">
        <v>6</v>
      </c>
      <c r="B42" s="1327" t="s">
        <v>1287</v>
      </c>
      <c r="C42" s="1333"/>
      <c r="D42" s="1333"/>
      <c r="E42" s="1333"/>
      <c r="F42" s="1333"/>
      <c r="G42" s="1333"/>
      <c r="H42" s="1333"/>
      <c r="I42" s="1333"/>
      <c r="J42" s="1333"/>
      <c r="K42" s="1333"/>
      <c r="L42" s="1333"/>
      <c r="M42" s="1333"/>
      <c r="N42" s="1333"/>
      <c r="O42" s="1333"/>
      <c r="P42" s="1334"/>
      <c r="Q42" s="1335"/>
      <c r="R42" s="1336"/>
      <c r="S42" s="2953"/>
      <c r="T42" s="1536"/>
      <c r="U42" s="1537"/>
      <c r="V42" s="3391"/>
    </row>
    <row r="43" spans="1:22" hidden="1">
      <c r="A43" s="1332"/>
      <c r="B43" s="1327"/>
      <c r="C43" s="1333"/>
      <c r="D43" s="1333"/>
      <c r="E43" s="1333"/>
      <c r="F43" s="1333"/>
      <c r="G43" s="1333"/>
      <c r="H43" s="1333"/>
      <c r="I43" s="1333"/>
      <c r="J43" s="1333"/>
      <c r="K43" s="1333"/>
      <c r="L43" s="1333"/>
      <c r="M43" s="1333"/>
      <c r="N43" s="1333"/>
      <c r="O43" s="1333"/>
      <c r="P43" s="1334"/>
      <c r="Q43" s="1335"/>
      <c r="R43" s="1336"/>
      <c r="S43" s="2953"/>
      <c r="T43" s="1536"/>
      <c r="U43" s="1537"/>
      <c r="V43" s="3391"/>
    </row>
    <row r="44" spans="1:22" ht="18.5" hidden="1" thickBot="1">
      <c r="A44" s="1332">
        <v>7</v>
      </c>
      <c r="B44" s="1327" t="s">
        <v>8344</v>
      </c>
      <c r="C44" s="1333">
        <f t="shared" ref="C44:N44" si="3">+C32+C34-C38</f>
        <v>28.302300535000001</v>
      </c>
      <c r="D44" s="1333">
        <f t="shared" si="3"/>
        <v>28.302300535000001</v>
      </c>
      <c r="E44" s="1333">
        <f t="shared" si="3"/>
        <v>28.302300534999997</v>
      </c>
      <c r="F44" s="1333">
        <f t="shared" si="3"/>
        <v>28.302300535000001</v>
      </c>
      <c r="G44" s="1333">
        <f t="shared" si="3"/>
        <v>28.302300535000001</v>
      </c>
      <c r="H44" s="1333">
        <f t="shared" si="3"/>
        <v>28.302300535000001</v>
      </c>
      <c r="I44" s="1333">
        <f t="shared" si="3"/>
        <v>28.302300535000001</v>
      </c>
      <c r="J44" s="1333">
        <f t="shared" si="3"/>
        <v>28.302300535000001</v>
      </c>
      <c r="K44" s="1333">
        <f t="shared" si="3"/>
        <v>28.302300535000001</v>
      </c>
      <c r="L44" s="1333">
        <f t="shared" si="3"/>
        <v>28.302300534999997</v>
      </c>
      <c r="M44" s="1333">
        <f t="shared" si="3"/>
        <v>28.302300534999993</v>
      </c>
      <c r="N44" s="1333">
        <f t="shared" si="3"/>
        <v>28.302300534999993</v>
      </c>
      <c r="O44" s="1337">
        <f>C32+O34-O38+O40</f>
        <v>28.302300535000001</v>
      </c>
      <c r="P44" s="1338">
        <f>SUM(C44:N44)/12</f>
        <v>28.302300534999997</v>
      </c>
      <c r="Q44" s="1339"/>
      <c r="R44" s="1340" t="s">
        <v>3608</v>
      </c>
      <c r="S44" s="2954">
        <f>S32+S34-S38</f>
        <v>28.302300535000001</v>
      </c>
      <c r="T44" s="1538">
        <f>+'F-21'!D29</f>
        <v>28.302300534999997</v>
      </c>
      <c r="U44" s="1538">
        <f>+'F-21'!E29</f>
        <v>28.302300534999997</v>
      </c>
      <c r="V44" s="3391"/>
    </row>
    <row r="45" spans="1:22" ht="18.5" hidden="1" thickBot="1">
      <c r="A45" s="1341"/>
      <c r="B45" s="1342"/>
      <c r="C45" s="1342"/>
      <c r="D45" s="1342"/>
      <c r="E45" s="1342"/>
      <c r="F45" s="1342"/>
      <c r="G45" s="1342"/>
      <c r="H45" s="1342"/>
      <c r="I45" s="1342"/>
      <c r="J45" s="1342"/>
      <c r="K45" s="1342"/>
      <c r="L45" s="1342"/>
      <c r="M45" s="1342"/>
      <c r="N45" s="1342"/>
      <c r="O45" s="1342"/>
      <c r="P45" s="1343"/>
      <c r="T45" s="1344"/>
      <c r="U45" s="1344"/>
      <c r="V45" s="3391"/>
    </row>
    <row r="46" spans="1:22" hidden="1">
      <c r="N46" s="1335"/>
      <c r="O46" s="1335"/>
      <c r="P46" s="1335"/>
      <c r="Q46" s="1335"/>
      <c r="R46" s="1335"/>
      <c r="S46" s="1345">
        <f>+S44/S38</f>
        <v>0.62458100077769574</v>
      </c>
      <c r="T46" s="1345">
        <f>+T44/T38</f>
        <v>0.19465356886729415</v>
      </c>
      <c r="U46" s="1345">
        <f>+U44/U38</f>
        <v>0.18212039674040076</v>
      </c>
    </row>
    <row r="47" spans="1:22" hidden="1">
      <c r="N47" s="1335"/>
      <c r="O47" s="1335"/>
      <c r="T47" s="1344"/>
      <c r="U47" s="1344"/>
    </row>
    <row r="48" spans="1:22" hidden="1">
      <c r="A48" s="3393" t="s">
        <v>8097</v>
      </c>
      <c r="B48" s="3393"/>
      <c r="C48" s="3393"/>
      <c r="D48" s="3393"/>
      <c r="E48" s="3393"/>
      <c r="F48" s="3393"/>
      <c r="G48" s="3393"/>
      <c r="H48" s="3393"/>
      <c r="I48" s="3393"/>
      <c r="J48" s="3393"/>
      <c r="K48" s="3393"/>
      <c r="L48" s="3393"/>
      <c r="M48" s="3393"/>
      <c r="N48" s="3393"/>
      <c r="O48" s="3393"/>
      <c r="P48" s="3393"/>
      <c r="Q48" s="1315"/>
      <c r="R48" s="1315"/>
      <c r="U48" s="1344"/>
    </row>
    <row r="49" spans="1:21" ht="18.5" hidden="1" thickBot="1">
      <c r="C49" s="1335"/>
      <c r="D49" s="1335"/>
      <c r="E49" s="1335"/>
      <c r="N49" s="1310" t="s">
        <v>4053</v>
      </c>
      <c r="O49" s="1316"/>
    </row>
    <row r="50" spans="1:21" hidden="1">
      <c r="A50" s="1317" t="s">
        <v>894</v>
      </c>
      <c r="B50" s="1318" t="s">
        <v>895</v>
      </c>
      <c r="C50" s="1319">
        <v>45017</v>
      </c>
      <c r="D50" s="1319">
        <v>45047</v>
      </c>
      <c r="E50" s="1319">
        <v>45078</v>
      </c>
      <c r="F50" s="1319">
        <v>45108</v>
      </c>
      <c r="G50" s="1319">
        <v>45139</v>
      </c>
      <c r="H50" s="1319">
        <v>45170</v>
      </c>
      <c r="I50" s="1319">
        <v>45200</v>
      </c>
      <c r="J50" s="1319">
        <v>45231</v>
      </c>
      <c r="K50" s="1319">
        <v>45261</v>
      </c>
      <c r="L50" s="1319">
        <v>45292</v>
      </c>
      <c r="M50" s="1319">
        <v>45323</v>
      </c>
      <c r="N50" s="1319">
        <v>45352</v>
      </c>
      <c r="O50" s="1320" t="s">
        <v>1100</v>
      </c>
      <c r="P50" s="1321" t="s">
        <v>1290</v>
      </c>
      <c r="Q50" s="1322"/>
      <c r="R50" s="1322"/>
    </row>
    <row r="51" spans="1:21" hidden="1">
      <c r="A51" s="1323" t="s">
        <v>900</v>
      </c>
      <c r="B51" s="1324"/>
      <c r="C51" s="1324"/>
      <c r="D51" s="1324"/>
      <c r="E51" s="1324"/>
      <c r="F51" s="1324"/>
      <c r="G51" s="1324"/>
      <c r="H51" s="1324"/>
      <c r="I51" s="1324"/>
      <c r="J51" s="1324"/>
      <c r="K51" s="1324"/>
      <c r="L51" s="1324"/>
      <c r="M51" s="1324"/>
      <c r="N51" s="1324"/>
      <c r="O51" s="1324"/>
      <c r="P51" s="1325"/>
      <c r="Q51" s="1315"/>
      <c r="R51" s="1315"/>
    </row>
    <row r="52" spans="1:21" hidden="1">
      <c r="A52" s="1326"/>
      <c r="B52" s="1327"/>
      <c r="C52" s="1327"/>
      <c r="D52" s="1327"/>
      <c r="E52" s="1327"/>
      <c r="F52" s="1327"/>
      <c r="G52" s="1327"/>
      <c r="H52" s="1327"/>
      <c r="I52" s="1327"/>
      <c r="J52" s="1327"/>
      <c r="K52" s="1327"/>
      <c r="L52" s="1327"/>
      <c r="M52" s="1327"/>
      <c r="N52" s="1327"/>
      <c r="O52" s="1327"/>
      <c r="P52" s="1328"/>
    </row>
    <row r="53" spans="1:21" hidden="1">
      <c r="A53" s="1332">
        <v>1</v>
      </c>
      <c r="B53" s="1327" t="s">
        <v>1282</v>
      </c>
      <c r="C53" s="1333">
        <f>+O44</f>
        <v>28.302300535000001</v>
      </c>
      <c r="D53" s="1333">
        <f t="shared" ref="D53:N53" si="4">+C65</f>
        <v>28.302300535000001</v>
      </c>
      <c r="E53" s="1333">
        <f t="shared" si="4"/>
        <v>28.302300535000001</v>
      </c>
      <c r="F53" s="1333">
        <f t="shared" si="4"/>
        <v>28.302300534999997</v>
      </c>
      <c r="G53" s="1333">
        <f t="shared" si="4"/>
        <v>28.302300534999997</v>
      </c>
      <c r="H53" s="1333">
        <f t="shared" si="4"/>
        <v>28.302300535000001</v>
      </c>
      <c r="I53" s="1333">
        <f t="shared" si="4"/>
        <v>28.302300534999997</v>
      </c>
      <c r="J53" s="1333">
        <f t="shared" si="4"/>
        <v>28.302300534999993</v>
      </c>
      <c r="K53" s="1333">
        <f t="shared" si="4"/>
        <v>28.302300534999993</v>
      </c>
      <c r="L53" s="1333">
        <f t="shared" si="4"/>
        <v>28.30230053499999</v>
      </c>
      <c r="M53" s="1333">
        <f t="shared" si="4"/>
        <v>28.30230053499999</v>
      </c>
      <c r="N53" s="1333">
        <f t="shared" si="4"/>
        <v>28.30230053499999</v>
      </c>
      <c r="O53" s="1333">
        <f>C53</f>
        <v>28.302300535000001</v>
      </c>
      <c r="P53" s="1334"/>
      <c r="Q53" s="1335"/>
      <c r="R53" s="1335"/>
    </row>
    <row r="54" spans="1:21" hidden="1">
      <c r="A54" s="1332"/>
      <c r="B54" s="1327"/>
      <c r="C54" s="1333"/>
      <c r="D54" s="1333"/>
      <c r="E54" s="1333"/>
      <c r="F54" s="1333"/>
      <c r="G54" s="1333"/>
      <c r="H54" s="1333"/>
      <c r="I54" s="1333"/>
      <c r="J54" s="1333"/>
      <c r="K54" s="1333"/>
      <c r="L54" s="1333"/>
      <c r="M54" s="1333"/>
      <c r="N54" s="1333"/>
      <c r="O54" s="1333"/>
      <c r="P54" s="1334"/>
      <c r="Q54" s="1335"/>
      <c r="R54" s="1335"/>
    </row>
    <row r="55" spans="1:21" hidden="1">
      <c r="A55" s="1332">
        <v>2</v>
      </c>
      <c r="B55" s="1327" t="s">
        <v>1283</v>
      </c>
      <c r="C55" s="1333">
        <f>+$U$34/12</f>
        <v>12.950361885853111</v>
      </c>
      <c r="D55" s="1333">
        <f>+$U$34/12*1.01</f>
        <v>13.079865504711641</v>
      </c>
      <c r="E55" s="1333">
        <f>+$U$34/12*1.02</f>
        <v>13.209369123570173</v>
      </c>
      <c r="F55" s="1333">
        <f>+$U$34/12*1.05</f>
        <v>13.597879980145766</v>
      </c>
      <c r="G55" s="1333">
        <f>+$U$34/12*1.06</f>
        <v>13.727383599004298</v>
      </c>
      <c r="H55" s="1333">
        <f>+$U$34/12*0.99</f>
        <v>12.820858266994581</v>
      </c>
      <c r="I55" s="1333">
        <f>+$U$34/12*0.98</f>
        <v>12.691354648136048</v>
      </c>
      <c r="J55" s="1333">
        <f>+$U$34/12*0.95</f>
        <v>12.302843791560456</v>
      </c>
      <c r="K55" s="1333">
        <f>+$U$34/12*0.94</f>
        <v>12.173340172701923</v>
      </c>
      <c r="L55" s="1333">
        <f>+$U$34/12*1.02</f>
        <v>13.209369123570173</v>
      </c>
      <c r="M55" s="1333">
        <f>+$U$34/12*0.91</f>
        <v>11.784829316126331</v>
      </c>
      <c r="N55" s="1333">
        <f>+$U$34/12*1.07</f>
        <v>13.856887217862829</v>
      </c>
      <c r="O55" s="1333">
        <f>SUM(C55:N55)</f>
        <v>155.40434263023735</v>
      </c>
      <c r="P55" s="1334"/>
      <c r="Q55" s="1335"/>
      <c r="R55" s="1335"/>
      <c r="S55" s="1335"/>
      <c r="U55" s="1335"/>
    </row>
    <row r="56" spans="1:21" hidden="1">
      <c r="A56" s="1332"/>
      <c r="B56" s="1327"/>
      <c r="C56" s="1333"/>
      <c r="D56" s="1333"/>
      <c r="E56" s="1333"/>
      <c r="F56" s="1333"/>
      <c r="G56" s="1333"/>
      <c r="H56" s="1333"/>
      <c r="I56" s="1333"/>
      <c r="J56" s="1333"/>
      <c r="K56" s="1333"/>
      <c r="L56" s="1333"/>
      <c r="M56" s="1333"/>
      <c r="N56" s="1333"/>
      <c r="O56" s="1333"/>
      <c r="P56" s="1334"/>
      <c r="Q56" s="1335"/>
      <c r="R56" s="1335"/>
      <c r="S56" s="1335"/>
      <c r="U56" s="1335"/>
    </row>
    <row r="57" spans="1:21" hidden="1">
      <c r="A57" s="3029">
        <v>3</v>
      </c>
      <c r="B57" s="3030" t="s">
        <v>8342</v>
      </c>
      <c r="C57" s="1333"/>
      <c r="D57" s="1333"/>
      <c r="E57" s="1333"/>
      <c r="F57" s="1333"/>
      <c r="G57" s="1333"/>
      <c r="H57" s="1333"/>
      <c r="I57" s="1333"/>
      <c r="J57" s="1333"/>
      <c r="K57" s="1333"/>
      <c r="L57" s="1333"/>
      <c r="M57" s="1333"/>
      <c r="N57" s="1333"/>
      <c r="O57" s="1333"/>
      <c r="P57" s="1334"/>
      <c r="Q57" s="1335"/>
      <c r="R57" s="1335"/>
      <c r="S57" s="1335"/>
      <c r="U57" s="1335"/>
    </row>
    <row r="58" spans="1:21" hidden="1">
      <c r="A58" s="1332"/>
      <c r="B58" s="1327"/>
      <c r="C58" s="1333"/>
      <c r="D58" s="1333"/>
      <c r="E58" s="1333"/>
      <c r="F58" s="1333"/>
      <c r="G58" s="1333"/>
      <c r="H58" s="1333"/>
      <c r="I58" s="1333"/>
      <c r="J58" s="1333"/>
      <c r="K58" s="1333"/>
      <c r="L58" s="1333"/>
      <c r="M58" s="1333"/>
      <c r="N58" s="1333"/>
      <c r="O58" s="1333"/>
      <c r="P58" s="1334"/>
      <c r="Q58" s="1335"/>
      <c r="R58" s="1335"/>
    </row>
    <row r="59" spans="1:21" hidden="1">
      <c r="A59" s="1332">
        <v>4</v>
      </c>
      <c r="B59" s="1327" t="s">
        <v>1285</v>
      </c>
      <c r="C59" s="1333">
        <f>+$U$38/12</f>
        <v>12.950361885853111</v>
      </c>
      <c r="D59" s="1333">
        <f>+$U$38/12*1.01</f>
        <v>13.079865504711641</v>
      </c>
      <c r="E59" s="1333">
        <f>+$U$38/12*1.02</f>
        <v>13.209369123570173</v>
      </c>
      <c r="F59" s="1333">
        <f>+$U$38/12*1.05</f>
        <v>13.597879980145766</v>
      </c>
      <c r="G59" s="1333">
        <f>+$U$38/12*1.06</f>
        <v>13.727383599004298</v>
      </c>
      <c r="H59" s="1333">
        <f>+$U$38/12*0.99</f>
        <v>12.820858266994581</v>
      </c>
      <c r="I59" s="1333">
        <f>+$U$38/12*0.98</f>
        <v>12.691354648136048</v>
      </c>
      <c r="J59" s="1333">
        <f>+$U$38/12*0.95</f>
        <v>12.302843791560456</v>
      </c>
      <c r="K59" s="1333">
        <f>+$U$38/12*0.94</f>
        <v>12.173340172701923</v>
      </c>
      <c r="L59" s="1333">
        <f>+$U$38/12*1.02</f>
        <v>13.209369123570173</v>
      </c>
      <c r="M59" s="1333">
        <f>+$U$38/12*0.91</f>
        <v>11.784829316126331</v>
      </c>
      <c r="N59" s="1333">
        <f>+$U$38/12*1.07</f>
        <v>13.856887217862829</v>
      </c>
      <c r="O59" s="1333">
        <f>SUM(C59:N59)</f>
        <v>155.40434263023735</v>
      </c>
      <c r="P59" s="1334"/>
      <c r="Q59" s="1335"/>
      <c r="R59" s="1335"/>
      <c r="S59" s="1335"/>
      <c r="T59" s="1335"/>
    </row>
    <row r="60" spans="1:21" hidden="1">
      <c r="A60" s="1332"/>
      <c r="B60" s="1327"/>
      <c r="C60" s="1333"/>
      <c r="D60" s="1333"/>
      <c r="E60" s="1333"/>
      <c r="F60" s="1333"/>
      <c r="G60" s="1333"/>
      <c r="H60" s="1333"/>
      <c r="I60" s="1333"/>
      <c r="J60" s="1333"/>
      <c r="K60" s="1333"/>
      <c r="L60" s="1333"/>
      <c r="M60" s="1333"/>
      <c r="N60" s="1333"/>
      <c r="O60" s="1333"/>
      <c r="P60" s="1334"/>
      <c r="Q60" s="1335"/>
      <c r="R60" s="1335"/>
    </row>
    <row r="61" spans="1:21" hidden="1">
      <c r="A61" s="1332">
        <v>5</v>
      </c>
      <c r="B61" s="1327" t="s">
        <v>1286</v>
      </c>
      <c r="C61" s="1333"/>
      <c r="D61" s="1333"/>
      <c r="E61" s="1333"/>
      <c r="F61" s="1333"/>
      <c r="G61" s="1333"/>
      <c r="H61" s="1333"/>
      <c r="I61" s="1333"/>
      <c r="J61" s="1333"/>
      <c r="K61" s="1333"/>
      <c r="L61" s="1333"/>
      <c r="M61" s="1333"/>
      <c r="N61" s="1333"/>
      <c r="O61" s="1333"/>
      <c r="P61" s="1334"/>
      <c r="Q61" s="1335"/>
      <c r="R61" s="1335"/>
    </row>
    <row r="62" spans="1:21" hidden="1">
      <c r="A62" s="1332"/>
      <c r="B62" s="1327"/>
      <c r="C62" s="1333"/>
      <c r="D62" s="1333"/>
      <c r="E62" s="1333"/>
      <c r="F62" s="1333"/>
      <c r="G62" s="1333"/>
      <c r="H62" s="1333"/>
      <c r="I62" s="1333"/>
      <c r="J62" s="1333"/>
      <c r="K62" s="1333"/>
      <c r="L62" s="1333"/>
      <c r="M62" s="1333"/>
      <c r="N62" s="1333"/>
      <c r="O62" s="1333"/>
      <c r="P62" s="1334"/>
      <c r="Q62" s="1335"/>
      <c r="R62" s="1335"/>
    </row>
    <row r="63" spans="1:21" hidden="1">
      <c r="A63" s="1332">
        <v>6</v>
      </c>
      <c r="B63" s="1327" t="s">
        <v>1287</v>
      </c>
      <c r="C63" s="1333"/>
      <c r="D63" s="1333"/>
      <c r="E63" s="1333"/>
      <c r="F63" s="1333"/>
      <c r="G63" s="1333"/>
      <c r="H63" s="1333"/>
      <c r="I63" s="1333"/>
      <c r="J63" s="1333"/>
      <c r="K63" s="1333"/>
      <c r="L63" s="1333"/>
      <c r="M63" s="1333"/>
      <c r="N63" s="1333"/>
      <c r="O63" s="1333"/>
      <c r="P63" s="1334"/>
      <c r="Q63" s="1335"/>
      <c r="R63" s="1335"/>
    </row>
    <row r="64" spans="1:21" hidden="1">
      <c r="A64" s="1332"/>
      <c r="B64" s="1327"/>
      <c r="C64" s="1333"/>
      <c r="D64" s="1333"/>
      <c r="E64" s="1333"/>
      <c r="F64" s="1333"/>
      <c r="G64" s="1333"/>
      <c r="H64" s="1333"/>
      <c r="I64" s="1333"/>
      <c r="J64" s="1333"/>
      <c r="K64" s="1333"/>
      <c r="L64" s="1333"/>
      <c r="M64" s="1333"/>
      <c r="N64" s="1333"/>
      <c r="O64" s="1333"/>
      <c r="P64" s="1334"/>
      <c r="Q64" s="1335"/>
      <c r="R64" s="1335"/>
    </row>
    <row r="65" spans="1:19" hidden="1">
      <c r="A65" s="1332">
        <v>7</v>
      </c>
      <c r="B65" s="1327" t="s">
        <v>8344</v>
      </c>
      <c r="C65" s="1333">
        <f>+C53+C55-C59</f>
        <v>28.302300535000001</v>
      </c>
      <c r="D65" s="1333">
        <f t="shared" ref="D65:N65" si="5">+D53+D55-D59</f>
        <v>28.302300535000001</v>
      </c>
      <c r="E65" s="1333">
        <f t="shared" si="5"/>
        <v>28.302300534999997</v>
      </c>
      <c r="F65" s="1333">
        <f t="shared" si="5"/>
        <v>28.302300534999997</v>
      </c>
      <c r="G65" s="1333">
        <f t="shared" si="5"/>
        <v>28.302300535000001</v>
      </c>
      <c r="H65" s="1333">
        <f t="shared" si="5"/>
        <v>28.302300534999997</v>
      </c>
      <c r="I65" s="1333">
        <f t="shared" si="5"/>
        <v>28.302300534999993</v>
      </c>
      <c r="J65" s="1333">
        <f t="shared" si="5"/>
        <v>28.302300534999993</v>
      </c>
      <c r="K65" s="1333">
        <f t="shared" si="5"/>
        <v>28.30230053499999</v>
      </c>
      <c r="L65" s="1333">
        <f t="shared" si="5"/>
        <v>28.30230053499999</v>
      </c>
      <c r="M65" s="1333">
        <f t="shared" si="5"/>
        <v>28.30230053499999</v>
      </c>
      <c r="N65" s="1333">
        <f t="shared" si="5"/>
        <v>28.302300534999993</v>
      </c>
      <c r="O65" s="1337">
        <f>C53+O55-O59-O61</f>
        <v>28.302300535000001</v>
      </c>
      <c r="P65" s="1338">
        <f>SUM(C65:N65)/12</f>
        <v>28.302300534999997</v>
      </c>
      <c r="Q65" s="1339"/>
      <c r="R65" s="1339"/>
      <c r="S65" s="1335"/>
    </row>
    <row r="66" spans="1:19" ht="18.5" hidden="1" thickBot="1">
      <c r="A66" s="1341"/>
      <c r="B66" s="1342"/>
      <c r="C66" s="1342"/>
      <c r="D66" s="1342"/>
      <c r="E66" s="1342"/>
      <c r="F66" s="1342"/>
      <c r="G66" s="1342"/>
      <c r="H66" s="1342"/>
      <c r="I66" s="1342"/>
      <c r="J66" s="1342"/>
      <c r="K66" s="1342"/>
      <c r="L66" s="1342"/>
      <c r="M66" s="1342"/>
      <c r="N66" s="1342"/>
      <c r="O66" s="1346"/>
      <c r="P66" s="1343"/>
    </row>
    <row r="67" spans="1:19" hidden="1">
      <c r="N67" s="1335"/>
      <c r="O67" s="1335"/>
      <c r="P67" s="1335"/>
      <c r="Q67" s="1335"/>
      <c r="R67" s="1335"/>
    </row>
    <row r="68" spans="1:19" hidden="1">
      <c r="N68" s="1335"/>
      <c r="O68" s="1335"/>
    </row>
    <row r="69" spans="1:19">
      <c r="N69" s="1335"/>
      <c r="O69" s="1335"/>
    </row>
  </sheetData>
  <mergeCells count="7">
    <mergeCell ref="V30:V45"/>
    <mergeCell ref="A2:P2"/>
    <mergeCell ref="A5:P5"/>
    <mergeCell ref="A48:P48"/>
    <mergeCell ref="A3:P3"/>
    <mergeCell ref="A6:P6"/>
    <mergeCell ref="A27:P27"/>
  </mergeCells>
  <phoneticPr fontId="0" type="noConversion"/>
  <printOptions horizontalCentered="1" verticalCentered="1"/>
  <pageMargins left="0" right="0" top="0" bottom="0.39370078740157483" header="0" footer="0"/>
  <pageSetup paperSize="9" scale="56" orientation="landscape" r:id="rId1"/>
  <headerFooter alignWithMargins="0">
    <oddFooter>&amp;R&amp;12OERC FORM No. F-10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>
    <tabColor rgb="FF92D050"/>
    <pageSetUpPr fitToPage="1"/>
  </sheetPr>
  <dimension ref="A1:J118"/>
  <sheetViews>
    <sheetView showGridLines="0" topLeftCell="A98" zoomScale="65" zoomScaleNormal="65" zoomScaleSheetLayoutView="100" workbookViewId="0">
      <selection activeCell="D117" sqref="D117"/>
    </sheetView>
  </sheetViews>
  <sheetFormatPr defaultColWidth="9.1796875" defaultRowHeight="15.5"/>
  <cols>
    <col min="1" max="1" width="6.54296875" style="630" customWidth="1"/>
    <col min="2" max="2" width="42.453125" style="630" customWidth="1"/>
    <col min="3" max="3" width="21.453125" style="630" bestFit="1" customWidth="1"/>
    <col min="4" max="5" width="15.54296875" style="630" bestFit="1" customWidth="1"/>
    <col min="6" max="6" width="15.453125" style="630" customWidth="1"/>
    <col min="7" max="7" width="23.54296875" style="630" customWidth="1"/>
    <col min="8" max="16384" width="9.1796875" style="630"/>
  </cols>
  <sheetData>
    <row r="1" spans="1:10">
      <c r="A1" s="1580" t="s">
        <v>5525</v>
      </c>
      <c r="E1" s="745"/>
      <c r="F1" s="746"/>
    </row>
    <row r="2" spans="1:10">
      <c r="A2" s="3394" t="s">
        <v>3757</v>
      </c>
      <c r="B2" s="3394"/>
      <c r="C2" s="3394"/>
      <c r="D2" s="3394"/>
      <c r="E2" s="3394"/>
      <c r="F2" s="3394"/>
      <c r="G2" s="3394"/>
    </row>
    <row r="3" spans="1:10" ht="10" customHeight="1">
      <c r="A3" s="660"/>
      <c r="B3" s="660"/>
      <c r="C3" s="660"/>
      <c r="D3" s="660"/>
      <c r="E3" s="660"/>
      <c r="F3" s="660"/>
      <c r="G3" s="660"/>
    </row>
    <row r="4" spans="1:10">
      <c r="A4" s="3394" t="s">
        <v>127</v>
      </c>
      <c r="B4" s="3394"/>
      <c r="C4" s="3394"/>
      <c r="D4" s="3394"/>
      <c r="E4" s="3394"/>
      <c r="F4" s="3394"/>
      <c r="G4" s="3394"/>
    </row>
    <row r="5" spans="1:10">
      <c r="A5" s="3396"/>
      <c r="B5" s="3396"/>
      <c r="C5" s="3396"/>
      <c r="D5" s="3396"/>
      <c r="E5" s="3396"/>
      <c r="F5" s="3396"/>
      <c r="G5" s="3396"/>
    </row>
    <row r="6" spans="1:10">
      <c r="A6" s="1347"/>
      <c r="B6" s="1347"/>
      <c r="C6" s="1347"/>
      <c r="D6" s="1347"/>
      <c r="E6" s="1347"/>
      <c r="F6" s="1347"/>
      <c r="G6" s="1348" t="s">
        <v>4052</v>
      </c>
    </row>
    <row r="7" spans="1:10" ht="30.5" hidden="1">
      <c r="A7" s="2843"/>
      <c r="B7" s="2844" t="s">
        <v>128</v>
      </c>
      <c r="C7" s="2845" t="s">
        <v>129</v>
      </c>
      <c r="D7" s="2845" t="s">
        <v>130</v>
      </c>
      <c r="E7" s="2845" t="s">
        <v>131</v>
      </c>
      <c r="F7" s="2845" t="s">
        <v>370</v>
      </c>
      <c r="G7" s="2845" t="s">
        <v>371</v>
      </c>
    </row>
    <row r="8" spans="1:10" hidden="1">
      <c r="A8" s="2846"/>
      <c r="B8" s="2844">
        <v>1</v>
      </c>
      <c r="C8" s="2844">
        <v>2</v>
      </c>
      <c r="D8" s="2844">
        <v>3</v>
      </c>
      <c r="E8" s="2844">
        <v>4</v>
      </c>
      <c r="F8" s="2844">
        <v>5</v>
      </c>
      <c r="G8" s="2844">
        <v>6</v>
      </c>
    </row>
    <row r="9" spans="1:10" hidden="1">
      <c r="A9" s="2843"/>
      <c r="B9" s="2847" t="s">
        <v>372</v>
      </c>
      <c r="C9" s="2843"/>
      <c r="D9" s="2843"/>
      <c r="E9" s="2843"/>
      <c r="F9" s="2843"/>
      <c r="G9" s="2843"/>
    </row>
    <row r="10" spans="1:10" hidden="1">
      <c r="A10" s="2843"/>
      <c r="B10" s="2848" t="s">
        <v>373</v>
      </c>
      <c r="C10" s="2849">
        <f>'OERC 1 &amp; 2'!E13/10^7</f>
        <v>1000</v>
      </c>
      <c r="D10" s="2849">
        <f>1000-C10</f>
        <v>0</v>
      </c>
      <c r="E10" s="2849">
        <v>0</v>
      </c>
      <c r="F10" s="2849">
        <f>C10+D10-E10</f>
        <v>1000</v>
      </c>
      <c r="G10" s="2843"/>
      <c r="I10" s="630">
        <v>200</v>
      </c>
      <c r="J10" s="638">
        <f>I10-C10</f>
        <v>-800</v>
      </c>
    </row>
    <row r="11" spans="1:10" hidden="1">
      <c r="A11" s="2843"/>
      <c r="B11" s="2848" t="s">
        <v>374</v>
      </c>
      <c r="C11" s="2850">
        <f>C10*1000000</f>
        <v>1000000000</v>
      </c>
      <c r="D11" s="2850">
        <f>(D10/10)*10000000</f>
        <v>0</v>
      </c>
      <c r="E11" s="2849">
        <v>0</v>
      </c>
      <c r="F11" s="2850">
        <f>C11+D11-E11</f>
        <v>1000000000</v>
      </c>
      <c r="G11" s="2843"/>
    </row>
    <row r="12" spans="1:10" hidden="1">
      <c r="A12" s="2843"/>
      <c r="B12" s="2848" t="s">
        <v>375</v>
      </c>
      <c r="C12" s="2849"/>
      <c r="D12" s="2849"/>
      <c r="E12" s="2849"/>
      <c r="F12" s="2849"/>
      <c r="G12" s="2843"/>
    </row>
    <row r="13" spans="1:10" hidden="1">
      <c r="A13" s="2843"/>
      <c r="B13" s="2848" t="s">
        <v>376</v>
      </c>
      <c r="C13" s="2849"/>
      <c r="D13" s="2849"/>
      <c r="E13" s="2849"/>
      <c r="F13" s="2849"/>
      <c r="G13" s="2843"/>
    </row>
    <row r="14" spans="1:10" hidden="1">
      <c r="A14" s="2843"/>
      <c r="B14" s="2848" t="s">
        <v>377</v>
      </c>
      <c r="C14" s="2849"/>
      <c r="D14" s="2849"/>
      <c r="E14" s="2849"/>
      <c r="F14" s="2849"/>
      <c r="G14" s="2843"/>
    </row>
    <row r="15" spans="1:10" hidden="1">
      <c r="A15" s="2843"/>
      <c r="B15" s="2848" t="s">
        <v>375</v>
      </c>
      <c r="C15" s="2850"/>
      <c r="D15" s="2849"/>
      <c r="E15" s="2849"/>
      <c r="F15" s="2849"/>
      <c r="G15" s="2843"/>
    </row>
    <row r="16" spans="1:10" hidden="1">
      <c r="A16" s="2843"/>
      <c r="B16" s="2848" t="s">
        <v>378</v>
      </c>
      <c r="C16" s="2849">
        <f>'OERC 1 &amp; 2'!E16/10^7</f>
        <v>200</v>
      </c>
      <c r="D16" s="2849">
        <f>('OERC 1 &amp; 2'!C16-'OERC 1 &amp; 2'!E16)/10^7</f>
        <v>47.94</v>
      </c>
      <c r="E16" s="2849">
        <v>0</v>
      </c>
      <c r="F16" s="2849">
        <f>C16+D16-E16</f>
        <v>247.94</v>
      </c>
      <c r="G16" s="2843"/>
    </row>
    <row r="17" spans="1:7" hidden="1">
      <c r="A17" s="2843"/>
      <c r="B17" s="2848" t="s">
        <v>374</v>
      </c>
      <c r="C17" s="2850">
        <f>(C16/10)*10000000</f>
        <v>200000000</v>
      </c>
      <c r="D17" s="2850">
        <f>(D16/10)*10000000</f>
        <v>47939999.999999993</v>
      </c>
      <c r="E17" s="2849">
        <v>0</v>
      </c>
      <c r="F17" s="2850">
        <f>C17+D17-E17</f>
        <v>247940000</v>
      </c>
      <c r="G17" s="2843"/>
    </row>
    <row r="18" spans="1:7" hidden="1">
      <c r="A18" s="2843"/>
      <c r="B18" s="2848" t="s">
        <v>375</v>
      </c>
      <c r="C18" s="2849"/>
      <c r="D18" s="2849"/>
      <c r="E18" s="2849"/>
      <c r="F18" s="2849"/>
      <c r="G18" s="2843"/>
    </row>
    <row r="19" spans="1:7" hidden="1">
      <c r="A19" s="2843"/>
      <c r="B19" s="2848" t="s">
        <v>379</v>
      </c>
      <c r="C19" s="2849"/>
      <c r="D19" s="2849"/>
      <c r="E19" s="2849"/>
      <c r="F19" s="2849"/>
      <c r="G19" s="2843"/>
    </row>
    <row r="20" spans="1:7" hidden="1">
      <c r="A20" s="2843"/>
      <c r="B20" s="2848" t="s">
        <v>377</v>
      </c>
      <c r="C20" s="2849"/>
      <c r="D20" s="2849"/>
      <c r="E20" s="2849"/>
      <c r="F20" s="2849"/>
      <c r="G20" s="2843"/>
    </row>
    <row r="21" spans="1:7" hidden="1">
      <c r="A21" s="2843"/>
      <c r="B21" s="2848" t="s">
        <v>375</v>
      </c>
      <c r="C21" s="2849"/>
      <c r="D21" s="2849"/>
      <c r="E21" s="2849"/>
      <c r="F21" s="2849"/>
      <c r="G21" s="2843"/>
    </row>
    <row r="22" spans="1:7" hidden="1">
      <c r="A22" s="2843"/>
      <c r="B22" s="2848" t="s">
        <v>380</v>
      </c>
      <c r="C22" s="2849"/>
      <c r="D22" s="2849"/>
      <c r="E22" s="2849"/>
      <c r="F22" s="2849"/>
      <c r="G22" s="2843"/>
    </row>
    <row r="23" spans="1:7" hidden="1">
      <c r="A23" s="2843"/>
      <c r="B23" s="2848" t="s">
        <v>381</v>
      </c>
      <c r="C23" s="2849"/>
      <c r="D23" s="2849"/>
      <c r="E23" s="2849"/>
      <c r="F23" s="2849"/>
      <c r="G23" s="2843"/>
    </row>
    <row r="24" spans="1:7" hidden="1">
      <c r="A24" s="2843"/>
      <c r="B24" s="2848" t="s">
        <v>377</v>
      </c>
      <c r="C24" s="2849"/>
      <c r="D24" s="2849"/>
      <c r="E24" s="2849"/>
      <c r="F24" s="2849"/>
      <c r="G24" s="2843"/>
    </row>
    <row r="25" spans="1:7" hidden="1">
      <c r="A25" s="2843"/>
      <c r="B25" s="2848" t="s">
        <v>375</v>
      </c>
      <c r="C25" s="2849"/>
      <c r="D25" s="2849"/>
      <c r="E25" s="2849"/>
      <c r="F25" s="2849"/>
      <c r="G25" s="2843"/>
    </row>
    <row r="26" spans="1:7" ht="18" hidden="1" customHeight="1">
      <c r="A26" s="2843"/>
      <c r="B26" s="2847" t="s">
        <v>382</v>
      </c>
      <c r="C26" s="2851">
        <f>C16</f>
        <v>200</v>
      </c>
      <c r="D26" s="2851">
        <f>D16</f>
        <v>47.94</v>
      </c>
      <c r="E26" s="2851">
        <v>0</v>
      </c>
      <c r="F26" s="2851">
        <f>C26+D26-E26</f>
        <v>247.94</v>
      </c>
      <c r="G26" s="2843"/>
    </row>
    <row r="27" spans="1:7" hidden="1">
      <c r="G27" s="625"/>
    </row>
    <row r="28" spans="1:7" hidden="1">
      <c r="G28" s="625"/>
    </row>
    <row r="29" spans="1:7" hidden="1">
      <c r="A29" s="3395" t="s">
        <v>8055</v>
      </c>
      <c r="B29" s="3395"/>
      <c r="C29" s="3395"/>
      <c r="D29" s="3395"/>
      <c r="E29" s="3395"/>
      <c r="F29" s="3395"/>
      <c r="G29" s="3395"/>
    </row>
    <row r="30" spans="1:7" hidden="1">
      <c r="A30" s="3394" t="s">
        <v>127</v>
      </c>
      <c r="B30" s="3394"/>
      <c r="C30" s="3394"/>
      <c r="D30" s="3394"/>
      <c r="E30" s="3394"/>
      <c r="F30" s="3394"/>
      <c r="G30" s="3394"/>
    </row>
    <row r="31" spans="1:7" hidden="1">
      <c r="A31" s="660"/>
      <c r="B31" s="660"/>
      <c r="C31" s="660"/>
      <c r="D31" s="660"/>
      <c r="E31" s="660"/>
      <c r="F31" s="660"/>
      <c r="G31" s="1348" t="s">
        <v>4052</v>
      </c>
    </row>
    <row r="32" spans="1:7" ht="41.25" hidden="1" customHeight="1">
      <c r="A32" s="634"/>
      <c r="B32" s="747" t="s">
        <v>128</v>
      </c>
      <c r="C32" s="748" t="s">
        <v>129</v>
      </c>
      <c r="D32" s="748" t="s">
        <v>130</v>
      </c>
      <c r="E32" s="748" t="s">
        <v>131</v>
      </c>
      <c r="F32" s="748" t="s">
        <v>370</v>
      </c>
      <c r="G32" s="748" t="s">
        <v>371</v>
      </c>
    </row>
    <row r="33" spans="1:7" s="674" customFormat="1" hidden="1">
      <c r="A33" s="680"/>
      <c r="B33" s="747">
        <v>1</v>
      </c>
      <c r="C33" s="747">
        <v>2</v>
      </c>
      <c r="D33" s="747">
        <v>3</v>
      </c>
      <c r="E33" s="747">
        <v>4</v>
      </c>
      <c r="F33" s="747">
        <v>5</v>
      </c>
      <c r="G33" s="747">
        <v>6</v>
      </c>
    </row>
    <row r="34" spans="1:7" hidden="1">
      <c r="A34" s="634"/>
      <c r="B34" s="639" t="s">
        <v>372</v>
      </c>
      <c r="C34" s="634"/>
      <c r="D34" s="634"/>
      <c r="E34" s="634"/>
      <c r="F34" s="634"/>
      <c r="G34" s="634"/>
    </row>
    <row r="35" spans="1:7" hidden="1">
      <c r="A35" s="634"/>
      <c r="B35" s="749" t="s">
        <v>373</v>
      </c>
      <c r="C35" s="636">
        <f>F10</f>
        <v>1000</v>
      </c>
      <c r="D35" s="636">
        <v>0</v>
      </c>
      <c r="E35" s="636">
        <v>0</v>
      </c>
      <c r="F35" s="636">
        <f>C35+D35-E35</f>
        <v>1000</v>
      </c>
      <c r="G35" s="634"/>
    </row>
    <row r="36" spans="1:7" hidden="1">
      <c r="A36" s="634"/>
      <c r="B36" s="749" t="s">
        <v>374</v>
      </c>
      <c r="C36" s="1349">
        <f>(C35/10)*10000000</f>
        <v>1000000000</v>
      </c>
      <c r="D36" s="750">
        <f>D35*1000000</f>
        <v>0</v>
      </c>
      <c r="E36" s="636">
        <v>0</v>
      </c>
      <c r="F36" s="750">
        <f>C36+D36-E36</f>
        <v>1000000000</v>
      </c>
      <c r="G36" s="634"/>
    </row>
    <row r="37" spans="1:7" hidden="1">
      <c r="A37" s="634"/>
      <c r="B37" s="749" t="s">
        <v>375</v>
      </c>
      <c r="C37" s="636"/>
      <c r="D37" s="636"/>
      <c r="E37" s="636"/>
      <c r="F37" s="636"/>
      <c r="G37" s="634"/>
    </row>
    <row r="38" spans="1:7" hidden="1">
      <c r="A38" s="634"/>
      <c r="B38" s="749" t="s">
        <v>376</v>
      </c>
      <c r="C38" s="636"/>
      <c r="D38" s="636"/>
      <c r="E38" s="636"/>
      <c r="F38" s="636"/>
      <c r="G38" s="634"/>
    </row>
    <row r="39" spans="1:7" hidden="1">
      <c r="A39" s="634"/>
      <c r="B39" s="749" t="s">
        <v>377</v>
      </c>
      <c r="C39" s="636"/>
      <c r="D39" s="636"/>
      <c r="E39" s="636"/>
      <c r="F39" s="636"/>
      <c r="G39" s="634"/>
    </row>
    <row r="40" spans="1:7" hidden="1">
      <c r="A40" s="634"/>
      <c r="B40" s="749" t="s">
        <v>375</v>
      </c>
      <c r="C40" s="636"/>
      <c r="D40" s="636"/>
      <c r="E40" s="636"/>
      <c r="F40" s="636"/>
      <c r="G40" s="634"/>
    </row>
    <row r="41" spans="1:7" hidden="1">
      <c r="A41" s="634"/>
      <c r="B41" s="749" t="s">
        <v>378</v>
      </c>
      <c r="C41" s="636">
        <f>F26</f>
        <v>247.94</v>
      </c>
      <c r="D41" s="636">
        <f>'F-23 '!C14</f>
        <v>54.678383352872217</v>
      </c>
      <c r="E41" s="636">
        <v>0</v>
      </c>
      <c r="F41" s="636">
        <f>C41+D41-E41</f>
        <v>302.61838335287223</v>
      </c>
      <c r="G41" s="634"/>
    </row>
    <row r="42" spans="1:7" hidden="1">
      <c r="A42" s="634"/>
      <c r="B42" s="749" t="s">
        <v>374</v>
      </c>
      <c r="C42" s="1349">
        <f>(C41/10)*10000000</f>
        <v>247940000</v>
      </c>
      <c r="D42" s="1349">
        <f>(D41/10)*10000000</f>
        <v>54678383.352872215</v>
      </c>
      <c r="E42" s="636">
        <v>0</v>
      </c>
      <c r="F42" s="750">
        <f>C42+D42-E42</f>
        <v>302618383.35287219</v>
      </c>
      <c r="G42" s="634"/>
    </row>
    <row r="43" spans="1:7" hidden="1">
      <c r="A43" s="634"/>
      <c r="B43" s="749" t="s">
        <v>375</v>
      </c>
      <c r="C43" s="636"/>
      <c r="D43" s="636"/>
      <c r="E43" s="636"/>
      <c r="F43" s="636"/>
      <c r="G43" s="634"/>
    </row>
    <row r="44" spans="1:7" hidden="1">
      <c r="A44" s="634"/>
      <c r="B44" s="749" t="s">
        <v>379</v>
      </c>
      <c r="C44" s="636"/>
      <c r="D44" s="636"/>
      <c r="E44" s="636"/>
      <c r="F44" s="636"/>
      <c r="G44" s="634"/>
    </row>
    <row r="45" spans="1:7" hidden="1">
      <c r="A45" s="634"/>
      <c r="B45" s="749" t="s">
        <v>377</v>
      </c>
      <c r="C45" s="636"/>
      <c r="D45" s="636"/>
      <c r="E45" s="636"/>
      <c r="F45" s="636"/>
      <c r="G45" s="634"/>
    </row>
    <row r="46" spans="1:7" hidden="1">
      <c r="A46" s="634"/>
      <c r="B46" s="749" t="s">
        <v>375</v>
      </c>
      <c r="C46" s="636"/>
      <c r="D46" s="636"/>
      <c r="E46" s="636"/>
      <c r="F46" s="636"/>
      <c r="G46" s="634"/>
    </row>
    <row r="47" spans="1:7" hidden="1">
      <c r="A47" s="634"/>
      <c r="B47" s="749" t="s">
        <v>380</v>
      </c>
      <c r="C47" s="636"/>
      <c r="D47" s="636"/>
      <c r="E47" s="636"/>
      <c r="F47" s="636"/>
      <c r="G47" s="634"/>
    </row>
    <row r="48" spans="1:7" hidden="1">
      <c r="A48" s="634"/>
      <c r="B48" s="749" t="s">
        <v>381</v>
      </c>
      <c r="C48" s="636"/>
      <c r="D48" s="636"/>
      <c r="E48" s="636"/>
      <c r="F48" s="636"/>
      <c r="G48" s="634"/>
    </row>
    <row r="49" spans="1:7" hidden="1">
      <c r="A49" s="634"/>
      <c r="B49" s="749" t="s">
        <v>377</v>
      </c>
      <c r="C49" s="636"/>
      <c r="D49" s="636"/>
      <c r="E49" s="636"/>
      <c r="F49" s="636"/>
      <c r="G49" s="634"/>
    </row>
    <row r="50" spans="1:7" hidden="1">
      <c r="A50" s="634"/>
      <c r="B50" s="749" t="s">
        <v>375</v>
      </c>
      <c r="C50" s="636"/>
      <c r="D50" s="636"/>
      <c r="E50" s="636"/>
      <c r="F50" s="636"/>
      <c r="G50" s="634"/>
    </row>
    <row r="51" spans="1:7" ht="18.75" hidden="1" customHeight="1">
      <c r="A51" s="634"/>
      <c r="B51" s="639" t="s">
        <v>382</v>
      </c>
      <c r="C51" s="640">
        <f>C41</f>
        <v>247.94</v>
      </c>
      <c r="D51" s="640">
        <f>D41</f>
        <v>54.678383352872217</v>
      </c>
      <c r="E51" s="640">
        <v>0</v>
      </c>
      <c r="F51" s="640">
        <f>C51+D51-E51</f>
        <v>302.61838335287223</v>
      </c>
      <c r="G51" s="634"/>
    </row>
    <row r="52" spans="1:7" hidden="1">
      <c r="B52" s="625"/>
      <c r="C52" s="642"/>
      <c r="D52" s="642"/>
      <c r="E52" s="642"/>
      <c r="F52" s="642"/>
    </row>
    <row r="53" spans="1:7" ht="6.75" hidden="1" customHeight="1">
      <c r="C53" s="638"/>
      <c r="D53" s="638"/>
      <c r="E53" s="638"/>
      <c r="F53" s="638"/>
    </row>
    <row r="54" spans="1:7" hidden="1">
      <c r="A54" s="3394" t="s">
        <v>127</v>
      </c>
      <c r="B54" s="3394"/>
      <c r="C54" s="3394"/>
      <c r="D54" s="3394"/>
      <c r="E54" s="3394"/>
      <c r="F54" s="3394"/>
      <c r="G54" s="3394"/>
    </row>
    <row r="55" spans="1:7" hidden="1">
      <c r="A55" s="3395" t="s">
        <v>8056</v>
      </c>
      <c r="B55" s="3395"/>
      <c r="C55" s="3395"/>
      <c r="D55" s="3395"/>
      <c r="E55" s="3395"/>
      <c r="F55" s="3395"/>
      <c r="G55" s="3395"/>
    </row>
    <row r="56" spans="1:7" ht="12" hidden="1" customHeight="1">
      <c r="G56" s="1348" t="s">
        <v>4052</v>
      </c>
    </row>
    <row r="57" spans="1:7" ht="4.5" hidden="1" customHeight="1"/>
    <row r="58" spans="1:7" ht="41.25" hidden="1" customHeight="1">
      <c r="A58" s="634"/>
      <c r="B58" s="747" t="s">
        <v>128</v>
      </c>
      <c r="C58" s="748" t="s">
        <v>129</v>
      </c>
      <c r="D58" s="748" t="s">
        <v>130</v>
      </c>
      <c r="E58" s="748" t="s">
        <v>131</v>
      </c>
      <c r="F58" s="748" t="s">
        <v>370</v>
      </c>
      <c r="G58" s="748" t="s">
        <v>371</v>
      </c>
    </row>
    <row r="59" spans="1:7" s="674" customFormat="1" hidden="1">
      <c r="A59" s="680"/>
      <c r="B59" s="747">
        <v>1</v>
      </c>
      <c r="C59" s="747">
        <v>2</v>
      </c>
      <c r="D59" s="747">
        <v>3</v>
      </c>
      <c r="E59" s="747">
        <v>4</v>
      </c>
      <c r="F59" s="747">
        <v>5</v>
      </c>
      <c r="G59" s="747">
        <v>6</v>
      </c>
    </row>
    <row r="60" spans="1:7" hidden="1">
      <c r="A60" s="634"/>
      <c r="B60" s="639" t="s">
        <v>372</v>
      </c>
      <c r="C60" s="634"/>
      <c r="D60" s="634"/>
      <c r="E60" s="634"/>
      <c r="F60" s="634"/>
      <c r="G60" s="634"/>
    </row>
    <row r="61" spans="1:7" hidden="1">
      <c r="A61" s="634"/>
      <c r="B61" s="749" t="s">
        <v>373</v>
      </c>
      <c r="C61" s="636">
        <f>F35</f>
        <v>1000</v>
      </c>
      <c r="D61" s="636">
        <v>0</v>
      </c>
      <c r="E61" s="636">
        <v>0</v>
      </c>
      <c r="F61" s="636">
        <f>C61+D61-E61</f>
        <v>1000</v>
      </c>
      <c r="G61" s="634"/>
    </row>
    <row r="62" spans="1:7" hidden="1">
      <c r="A62" s="634"/>
      <c r="B62" s="749" t="s">
        <v>374</v>
      </c>
      <c r="C62" s="1349">
        <f>(C61/10)*10000000</f>
        <v>1000000000</v>
      </c>
      <c r="D62" s="636">
        <v>0</v>
      </c>
      <c r="E62" s="636">
        <v>0</v>
      </c>
      <c r="F62" s="634">
        <f>C62+D62-E62</f>
        <v>1000000000</v>
      </c>
      <c r="G62" s="634"/>
    </row>
    <row r="63" spans="1:7" hidden="1">
      <c r="A63" s="634"/>
      <c r="B63" s="749" t="s">
        <v>375</v>
      </c>
      <c r="C63" s="634"/>
      <c r="D63" s="634"/>
      <c r="E63" s="634"/>
      <c r="F63" s="634"/>
      <c r="G63" s="634"/>
    </row>
    <row r="64" spans="1:7" hidden="1">
      <c r="A64" s="634"/>
      <c r="B64" s="749" t="s">
        <v>376</v>
      </c>
      <c r="C64" s="634"/>
      <c r="D64" s="634"/>
      <c r="E64" s="634"/>
      <c r="F64" s="634"/>
      <c r="G64" s="634"/>
    </row>
    <row r="65" spans="1:7" hidden="1">
      <c r="A65" s="634"/>
      <c r="B65" s="749" t="s">
        <v>377</v>
      </c>
      <c r="C65" s="634"/>
      <c r="D65" s="634"/>
      <c r="E65" s="634"/>
      <c r="F65" s="634"/>
      <c r="G65" s="634"/>
    </row>
    <row r="66" spans="1:7" hidden="1">
      <c r="A66" s="634"/>
      <c r="B66" s="749" t="s">
        <v>375</v>
      </c>
      <c r="C66" s="634"/>
      <c r="D66" s="634"/>
      <c r="E66" s="634"/>
      <c r="F66" s="634"/>
      <c r="G66" s="634"/>
    </row>
    <row r="67" spans="1:7" hidden="1">
      <c r="A67" s="634"/>
      <c r="B67" s="749" t="s">
        <v>378</v>
      </c>
      <c r="C67" s="636">
        <f>F51</f>
        <v>302.61838335287223</v>
      </c>
      <c r="D67" s="636">
        <f>'F-23 '!D14</f>
        <v>93.526652989449005</v>
      </c>
      <c r="E67" s="636">
        <v>0</v>
      </c>
      <c r="F67" s="636">
        <f>C67+D67-E67</f>
        <v>396.14503634232125</v>
      </c>
      <c r="G67" s="634"/>
    </row>
    <row r="68" spans="1:7" hidden="1">
      <c r="A68" s="634"/>
      <c r="B68" s="749" t="s">
        <v>374</v>
      </c>
      <c r="C68" s="1349">
        <f>(C67/10)*10000000</f>
        <v>302618383.35287225</v>
      </c>
      <c r="D68" s="1349">
        <f>(D67/10)*10000000</f>
        <v>93526652.989449009</v>
      </c>
      <c r="E68" s="636">
        <v>0</v>
      </c>
      <c r="F68" s="750">
        <f>C68+D68-E68</f>
        <v>396145036.34232128</v>
      </c>
      <c r="G68" s="634"/>
    </row>
    <row r="69" spans="1:7" hidden="1">
      <c r="A69" s="634"/>
      <c r="B69" s="749" t="s">
        <v>375</v>
      </c>
      <c r="C69" s="634"/>
      <c r="D69" s="634"/>
      <c r="E69" s="634"/>
      <c r="F69" s="634"/>
      <c r="G69" s="634"/>
    </row>
    <row r="70" spans="1:7" hidden="1">
      <c r="A70" s="634"/>
      <c r="B70" s="749" t="s">
        <v>379</v>
      </c>
      <c r="C70" s="634"/>
      <c r="D70" s="634"/>
      <c r="E70" s="634"/>
      <c r="F70" s="634"/>
      <c r="G70" s="634"/>
    </row>
    <row r="71" spans="1:7" hidden="1">
      <c r="A71" s="634"/>
      <c r="B71" s="749" t="s">
        <v>377</v>
      </c>
      <c r="C71" s="634"/>
      <c r="D71" s="634"/>
      <c r="E71" s="634"/>
      <c r="F71" s="634"/>
      <c r="G71" s="634"/>
    </row>
    <row r="72" spans="1:7" hidden="1">
      <c r="A72" s="634"/>
      <c r="B72" s="749" t="s">
        <v>375</v>
      </c>
      <c r="C72" s="634"/>
      <c r="D72" s="634"/>
      <c r="E72" s="634"/>
      <c r="F72" s="634"/>
      <c r="G72" s="634"/>
    </row>
    <row r="73" spans="1:7" hidden="1">
      <c r="A73" s="634"/>
      <c r="B73" s="749" t="s">
        <v>380</v>
      </c>
      <c r="C73" s="634"/>
      <c r="D73" s="634"/>
      <c r="E73" s="634"/>
      <c r="F73" s="634"/>
      <c r="G73" s="634"/>
    </row>
    <row r="74" spans="1:7" hidden="1">
      <c r="A74" s="634"/>
      <c r="B74" s="749" t="s">
        <v>381</v>
      </c>
      <c r="C74" s="634"/>
      <c r="D74" s="634"/>
      <c r="E74" s="634"/>
      <c r="F74" s="634"/>
      <c r="G74" s="634"/>
    </row>
    <row r="75" spans="1:7" hidden="1">
      <c r="A75" s="634"/>
      <c r="B75" s="749" t="s">
        <v>377</v>
      </c>
      <c r="C75" s="634"/>
      <c r="D75" s="634"/>
      <c r="E75" s="634"/>
      <c r="F75" s="634"/>
      <c r="G75" s="634"/>
    </row>
    <row r="76" spans="1:7" hidden="1">
      <c r="A76" s="634"/>
      <c r="B76" s="749" t="s">
        <v>375</v>
      </c>
      <c r="C76" s="634"/>
      <c r="D76" s="634"/>
      <c r="E76" s="634"/>
      <c r="F76" s="634"/>
      <c r="G76" s="634"/>
    </row>
    <row r="77" spans="1:7" ht="21" hidden="1" customHeight="1">
      <c r="A77" s="634"/>
      <c r="B77" s="639" t="s">
        <v>382</v>
      </c>
      <c r="C77" s="640">
        <f>C67</f>
        <v>302.61838335287223</v>
      </c>
      <c r="D77" s="640">
        <f>D67</f>
        <v>93.526652989449005</v>
      </c>
      <c r="E77" s="636">
        <v>0</v>
      </c>
      <c r="F77" s="640">
        <f>C77+D77-E77</f>
        <v>396.14503634232125</v>
      </c>
      <c r="G77" s="634"/>
    </row>
    <row r="78" spans="1:7" hidden="1"/>
    <row r="79" spans="1:7" hidden="1"/>
    <row r="80" spans="1:7" hidden="1"/>
    <row r="81" spans="2:7" hidden="1"/>
    <row r="82" spans="2:7" hidden="1"/>
    <row r="83" spans="2:7" hidden="1"/>
    <row r="84" spans="2:7" hidden="1"/>
    <row r="85" spans="2:7" hidden="1"/>
    <row r="86" spans="2:7" hidden="1"/>
    <row r="87" spans="2:7" hidden="1"/>
    <row r="88" spans="2:7" hidden="1"/>
    <row r="89" spans="2:7" hidden="1"/>
    <row r="90" spans="2:7" ht="8.5" customHeight="1"/>
    <row r="91" spans="2:7">
      <c r="B91" s="625" t="s">
        <v>7129</v>
      </c>
    </row>
    <row r="92" spans="2:7" ht="31">
      <c r="B92" s="639" t="s">
        <v>8345</v>
      </c>
      <c r="C92" s="658" t="s">
        <v>129</v>
      </c>
      <c r="D92" s="658" t="s">
        <v>8349</v>
      </c>
      <c r="E92" s="658" t="s">
        <v>370</v>
      </c>
      <c r="F92" s="3031" t="s">
        <v>315</v>
      </c>
      <c r="G92" s="799" t="s">
        <v>371</v>
      </c>
    </row>
    <row r="93" spans="2:7" ht="33.5" customHeight="1">
      <c r="B93" s="634" t="s">
        <v>8370</v>
      </c>
      <c r="C93" s="634"/>
      <c r="D93" s="634"/>
      <c r="E93" s="634"/>
      <c r="F93" s="634"/>
      <c r="G93" s="634"/>
    </row>
    <row r="94" spans="2:7">
      <c r="B94" s="634" t="s">
        <v>8346</v>
      </c>
      <c r="C94" s="634">
        <v>1000</v>
      </c>
      <c r="D94" s="795">
        <v>0</v>
      </c>
      <c r="E94" s="2147">
        <f>C94+D94</f>
        <v>1000</v>
      </c>
      <c r="F94" s="795">
        <v>0</v>
      </c>
      <c r="G94" s="634"/>
    </row>
    <row r="95" spans="2:7">
      <c r="B95" s="634"/>
      <c r="C95" s="634"/>
      <c r="D95" s="634"/>
      <c r="E95" s="634"/>
      <c r="F95" s="634"/>
      <c r="G95" s="634"/>
    </row>
    <row r="96" spans="2:7">
      <c r="B96" s="639" t="s">
        <v>8347</v>
      </c>
      <c r="C96" s="634"/>
      <c r="D96" s="634"/>
      <c r="E96" s="634"/>
      <c r="F96" s="634"/>
      <c r="G96" s="634"/>
    </row>
    <row r="97" spans="2:7" s="2128" customFormat="1" ht="46.5">
      <c r="B97" s="3037" t="s">
        <v>8348</v>
      </c>
      <c r="C97" s="3037">
        <v>200</v>
      </c>
      <c r="D97" s="3038">
        <v>43.533586259700094</v>
      </c>
      <c r="E97" s="3038">
        <f>C97+D97</f>
        <v>243.53358625970009</v>
      </c>
      <c r="F97" s="3038">
        <v>35.48268690077601</v>
      </c>
      <c r="G97" s="877" t="s">
        <v>8371</v>
      </c>
    </row>
    <row r="98" spans="2:7">
      <c r="B98" s="634" t="s">
        <v>1100</v>
      </c>
      <c r="C98" s="639">
        <f>SUM(C97)</f>
        <v>200</v>
      </c>
      <c r="D98" s="838">
        <f t="shared" ref="D98:F98" si="0">SUM(D97)</f>
        <v>43.533586259700094</v>
      </c>
      <c r="E98" s="838">
        <f t="shared" si="0"/>
        <v>243.53358625970009</v>
      </c>
      <c r="F98" s="838">
        <f t="shared" si="0"/>
        <v>35.48268690077601</v>
      </c>
      <c r="G98" s="634"/>
    </row>
    <row r="101" spans="2:7">
      <c r="B101" s="625" t="s">
        <v>7130</v>
      </c>
    </row>
    <row r="102" spans="2:7" ht="31">
      <c r="B102" s="796" t="s">
        <v>8350</v>
      </c>
      <c r="C102" s="658" t="s">
        <v>129</v>
      </c>
      <c r="D102" s="658" t="s">
        <v>8349</v>
      </c>
      <c r="E102" s="658" t="s">
        <v>370</v>
      </c>
      <c r="F102" s="3031" t="s">
        <v>315</v>
      </c>
      <c r="G102" s="799" t="s">
        <v>371</v>
      </c>
    </row>
    <row r="103" spans="2:7">
      <c r="B103" s="634" t="s">
        <v>49</v>
      </c>
      <c r="C103" s="634"/>
      <c r="D103" s="634"/>
      <c r="E103" s="634"/>
      <c r="F103" s="634"/>
      <c r="G103" s="634"/>
    </row>
    <row r="104" spans="2:7">
      <c r="B104" s="634" t="s">
        <v>8346</v>
      </c>
      <c r="C104" s="2147">
        <f>E94</f>
        <v>1000</v>
      </c>
      <c r="D104" s="795">
        <v>0</v>
      </c>
      <c r="E104" s="2147">
        <f>C104+D104</f>
        <v>1000</v>
      </c>
      <c r="F104" s="795">
        <v>0</v>
      </c>
      <c r="G104" s="634"/>
    </row>
    <row r="105" spans="2:7">
      <c r="B105" s="634"/>
      <c r="C105" s="634"/>
      <c r="D105" s="634"/>
      <c r="E105" s="634"/>
      <c r="F105" s="634"/>
      <c r="G105" s="634"/>
    </row>
    <row r="106" spans="2:7">
      <c r="B106" s="639" t="s">
        <v>8347</v>
      </c>
      <c r="C106" s="634"/>
      <c r="D106" s="634"/>
      <c r="E106" s="634"/>
      <c r="F106" s="634"/>
      <c r="G106" s="634"/>
    </row>
    <row r="107" spans="2:7" s="2128" customFormat="1" ht="46.5">
      <c r="B107" s="3037" t="s">
        <v>8348</v>
      </c>
      <c r="C107" s="3038">
        <f>E97</f>
        <v>243.53358625970009</v>
      </c>
      <c r="D107" s="3038">
        <v>106.43870222414039</v>
      </c>
      <c r="E107" s="3038">
        <f>C107+D107</f>
        <v>349.97228848384049</v>
      </c>
      <c r="F107" s="3038">
        <v>43.997783078707243</v>
      </c>
      <c r="G107" s="877" t="s">
        <v>8371</v>
      </c>
    </row>
    <row r="108" spans="2:7">
      <c r="B108" s="634" t="s">
        <v>1100</v>
      </c>
      <c r="C108" s="634"/>
      <c r="D108" s="634"/>
      <c r="E108" s="634"/>
      <c r="F108" s="634"/>
      <c r="G108" s="634"/>
    </row>
    <row r="111" spans="2:7">
      <c r="B111" s="625" t="s">
        <v>8145</v>
      </c>
    </row>
    <row r="112" spans="2:7" ht="31">
      <c r="B112" s="796" t="s">
        <v>8350</v>
      </c>
      <c r="C112" s="658" t="s">
        <v>129</v>
      </c>
      <c r="D112" s="658" t="s">
        <v>8349</v>
      </c>
      <c r="E112" s="658" t="s">
        <v>370</v>
      </c>
      <c r="F112" s="3031" t="s">
        <v>315</v>
      </c>
      <c r="G112" s="799" t="s">
        <v>371</v>
      </c>
    </row>
    <row r="113" spans="2:7">
      <c r="B113" s="634" t="s">
        <v>49</v>
      </c>
      <c r="C113" s="634"/>
      <c r="D113" s="634"/>
      <c r="E113" s="634"/>
      <c r="F113" s="634"/>
      <c r="G113" s="634"/>
    </row>
    <row r="114" spans="2:7">
      <c r="B114" s="634" t="s">
        <v>8346</v>
      </c>
      <c r="C114" s="2147">
        <f>E104</f>
        <v>1000</v>
      </c>
      <c r="D114" s="795">
        <v>0</v>
      </c>
      <c r="E114" s="2147">
        <f>C114+D114</f>
        <v>1000</v>
      </c>
      <c r="F114" s="795">
        <v>0</v>
      </c>
      <c r="G114" s="634"/>
    </row>
    <row r="115" spans="2:7">
      <c r="B115" s="634"/>
      <c r="C115" s="634"/>
      <c r="D115" s="634"/>
      <c r="E115" s="634"/>
      <c r="F115" s="634"/>
      <c r="G115" s="634"/>
    </row>
    <row r="116" spans="2:7">
      <c r="B116" s="639" t="s">
        <v>8347</v>
      </c>
      <c r="C116" s="634"/>
      <c r="D116" s="634"/>
      <c r="E116" s="634"/>
      <c r="F116" s="634"/>
      <c r="G116" s="634"/>
    </row>
    <row r="117" spans="2:7" ht="46.5">
      <c r="B117" s="3037" t="s">
        <v>8348</v>
      </c>
      <c r="C117" s="3038">
        <v>349.97228848384049</v>
      </c>
      <c r="D117" s="3038">
        <v>126.74236437990162</v>
      </c>
      <c r="E117" s="3038">
        <f>C117+D117</f>
        <v>476.71465286374212</v>
      </c>
      <c r="F117" s="3038">
        <v>54.137172229099377</v>
      </c>
      <c r="G117" s="877" t="s">
        <v>8371</v>
      </c>
    </row>
    <row r="118" spans="2:7">
      <c r="B118" s="634" t="s">
        <v>1100</v>
      </c>
      <c r="C118" s="634"/>
      <c r="D118" s="634"/>
      <c r="E118" s="634"/>
      <c r="F118" s="634"/>
      <c r="G118" s="634"/>
    </row>
  </sheetData>
  <mergeCells count="7">
    <mergeCell ref="A4:G4"/>
    <mergeCell ref="A29:G29"/>
    <mergeCell ref="A54:G54"/>
    <mergeCell ref="A55:G55"/>
    <mergeCell ref="A2:G2"/>
    <mergeCell ref="A30:G30"/>
    <mergeCell ref="A5:G5"/>
  </mergeCells>
  <phoneticPr fontId="0" type="noConversion"/>
  <printOptions horizontalCentered="1" verticalCentered="1"/>
  <pageMargins left="0" right="0" top="0.39370078740157499" bottom="0.39370078740157499" header="0" footer="0"/>
  <pageSetup paperSize="9" scale="79" orientation="landscape" r:id="rId1"/>
  <headerFooter alignWithMargins="0">
    <oddFooter>&amp;ROERC FORM No. F-11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>
    <tabColor rgb="FF92D050"/>
    <pageSetUpPr fitToPage="1"/>
  </sheetPr>
  <dimension ref="A1:CK364"/>
  <sheetViews>
    <sheetView showGridLines="0" zoomScale="59" zoomScaleNormal="59" zoomScaleSheetLayoutView="55" workbookViewId="0">
      <selection activeCell="D13" sqref="D13"/>
    </sheetView>
  </sheetViews>
  <sheetFormatPr defaultColWidth="9.1796875" defaultRowHeight="15.5"/>
  <cols>
    <col min="1" max="1" width="8" style="674" customWidth="1"/>
    <col min="2" max="2" width="47.1796875" style="630" customWidth="1"/>
    <col min="3" max="3" width="13.26953125" style="630" customWidth="1"/>
    <col min="4" max="4" width="12.7265625" style="630" customWidth="1"/>
    <col min="5" max="5" width="12.81640625" style="630" bestFit="1" customWidth="1"/>
    <col min="6" max="6" width="12.36328125" style="630" customWidth="1"/>
    <col min="7" max="7" width="13.54296875" style="630" customWidth="1"/>
    <col min="8" max="17" width="12.36328125" style="630" customWidth="1"/>
    <col min="18" max="18" width="11.26953125" style="630" customWidth="1"/>
    <col min="19" max="19" width="16.54296875" style="630" customWidth="1"/>
    <col min="20" max="20" width="15.7265625" style="630" customWidth="1"/>
    <col min="21" max="21" width="15.1796875" style="630" bestFit="1" customWidth="1"/>
    <col min="22" max="22" width="9.54296875" style="630" customWidth="1"/>
    <col min="23" max="23" width="11.453125" style="630" customWidth="1"/>
    <col min="24" max="24" width="10.54296875" style="630" customWidth="1"/>
    <col min="25" max="25" width="14.1796875" style="630" customWidth="1"/>
    <col min="26" max="26" width="11.81640625" style="630" customWidth="1"/>
    <col min="27" max="27" width="12.81640625" style="630" customWidth="1"/>
    <col min="28" max="29" width="9.1796875" style="630" customWidth="1"/>
    <col min="30" max="30" width="19" style="630" customWidth="1"/>
    <col min="31" max="37" width="9.1796875" style="630"/>
    <col min="38" max="38" width="13.1796875" style="630" customWidth="1"/>
    <col min="39" max="39" width="9.26953125" style="630" bestFit="1" customWidth="1"/>
    <col min="40" max="40" width="6.453125" style="630" bestFit="1" customWidth="1"/>
    <col min="41" max="41" width="12.453125" style="630" bestFit="1" customWidth="1"/>
    <col min="42" max="42" width="9.26953125" style="630" bestFit="1" customWidth="1"/>
    <col min="43" max="43" width="6.453125" style="630" bestFit="1" customWidth="1"/>
    <col min="44" max="44" width="16.453125" style="630" bestFit="1" customWidth="1"/>
    <col min="45" max="45" width="35.1796875" style="630" bestFit="1" customWidth="1"/>
    <col min="46" max="46" width="28.54296875" style="630" bestFit="1" customWidth="1"/>
    <col min="47" max="47" width="9.26953125" style="630" bestFit="1" customWidth="1"/>
    <col min="48" max="48" width="6.453125" style="630" bestFit="1" customWidth="1"/>
    <col min="49" max="49" width="16.81640625" style="630" customWidth="1"/>
    <col min="50" max="50" width="23.26953125" style="630" bestFit="1" customWidth="1"/>
    <col min="51" max="51" width="39.1796875" style="630" bestFit="1" customWidth="1"/>
    <col min="52" max="52" width="42.1796875" style="630" bestFit="1" customWidth="1"/>
    <col min="53" max="53" width="18.81640625" style="630" bestFit="1" customWidth="1"/>
    <col min="54" max="54" width="9.26953125" style="630" bestFit="1" customWidth="1"/>
    <col min="55" max="55" width="6.453125" style="630" bestFit="1" customWidth="1"/>
    <col min="56" max="56" width="13.54296875" style="630" bestFit="1" customWidth="1"/>
    <col min="57" max="57" width="26.7265625" style="630" bestFit="1" customWidth="1"/>
    <col min="58" max="58" width="27.7265625" style="630" bestFit="1" customWidth="1"/>
    <col min="59" max="63" width="9.1796875" style="630"/>
    <col min="64" max="64" width="41" style="630" bestFit="1" customWidth="1"/>
    <col min="65" max="65" width="15.81640625" style="630" bestFit="1" customWidth="1"/>
    <col min="66" max="66" width="11.54296875" style="630" bestFit="1" customWidth="1"/>
    <col min="67" max="67" width="9.453125" style="630" bestFit="1" customWidth="1"/>
    <col min="68" max="68" width="15.54296875" style="630" bestFit="1" customWidth="1"/>
    <col min="69" max="69" width="41.7265625" style="630" bestFit="1" customWidth="1"/>
    <col min="70" max="70" width="11.453125" style="630" bestFit="1" customWidth="1"/>
    <col min="71" max="71" width="6.1796875" style="630" bestFit="1" customWidth="1"/>
    <col min="72" max="72" width="19.54296875" style="630" bestFit="1" customWidth="1"/>
    <col min="73" max="73" width="28.81640625" style="630" bestFit="1" customWidth="1"/>
    <col min="74" max="74" width="34.1796875" style="630" bestFit="1" customWidth="1"/>
    <col min="75" max="75" width="40.81640625" style="630" bestFit="1" customWidth="1"/>
    <col min="76" max="76" width="11.54296875" style="630" bestFit="1" customWidth="1"/>
    <col min="77" max="77" width="6.1796875" style="630" bestFit="1" customWidth="1"/>
    <col min="78" max="78" width="19.54296875" style="630" bestFit="1" customWidth="1"/>
    <col min="79" max="79" width="28.81640625" style="630" bestFit="1" customWidth="1"/>
    <col min="80" max="80" width="38.7265625" style="630" bestFit="1" customWidth="1"/>
    <col min="81" max="81" width="26.81640625" style="630" bestFit="1" customWidth="1"/>
    <col min="82" max="82" width="41.7265625" style="630" bestFit="1" customWidth="1"/>
    <col min="83" max="83" width="11.453125" style="630" bestFit="1" customWidth="1"/>
    <col min="84" max="84" width="6.1796875" style="630" bestFit="1" customWidth="1"/>
    <col min="85" max="85" width="13.81640625" style="630" bestFit="1" customWidth="1"/>
    <col min="86" max="86" width="28.81640625" style="630" bestFit="1" customWidth="1"/>
    <col min="87" max="87" width="66.54296875" style="630" bestFit="1" customWidth="1"/>
    <col min="88" max="88" width="9.1796875" style="630"/>
    <col min="89" max="89" width="11" style="630" bestFit="1" customWidth="1"/>
    <col min="90" max="16384" width="9.1796875" style="630"/>
  </cols>
  <sheetData>
    <row r="1" spans="1:87">
      <c r="A1" s="1580" t="s">
        <v>5525</v>
      </c>
      <c r="B1" s="629"/>
      <c r="C1" s="625"/>
      <c r="D1" s="625"/>
      <c r="E1" s="625"/>
      <c r="F1" s="625"/>
      <c r="G1" s="2117"/>
      <c r="H1" s="2118"/>
      <c r="L1" s="638"/>
      <c r="O1" s="631"/>
      <c r="P1" s="625"/>
    </row>
    <row r="2" spans="1:87">
      <c r="A2" s="3394" t="s">
        <v>8357</v>
      </c>
      <c r="B2" s="3394"/>
      <c r="C2" s="3394"/>
      <c r="D2" s="3394"/>
      <c r="E2" s="3394"/>
      <c r="F2" s="3394"/>
      <c r="G2" s="3394"/>
      <c r="H2" s="3394"/>
      <c r="I2" s="3394"/>
      <c r="J2" s="3394"/>
      <c r="K2" s="3394"/>
      <c r="L2" s="3394"/>
      <c r="M2" s="3394"/>
      <c r="N2" s="3394"/>
      <c r="O2" s="3394"/>
      <c r="P2" s="3394"/>
      <c r="Q2" s="3394"/>
    </row>
    <row r="3" spans="1:87"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</row>
    <row r="4" spans="1:87" ht="15" customHeight="1">
      <c r="A4" s="3394" t="s">
        <v>8358</v>
      </c>
      <c r="B4" s="3394"/>
      <c r="C4" s="3394"/>
      <c r="D4" s="3394"/>
      <c r="E4" s="3394"/>
      <c r="F4" s="3394"/>
      <c r="G4" s="3394"/>
      <c r="H4" s="3394"/>
      <c r="I4" s="3394"/>
      <c r="J4" s="3394"/>
      <c r="K4" s="3394"/>
      <c r="L4" s="3394"/>
      <c r="M4" s="3394"/>
      <c r="N4" s="3394"/>
      <c r="O4" s="3394"/>
      <c r="P4" s="3394"/>
      <c r="Q4" s="3394"/>
    </row>
    <row r="5" spans="1:87" ht="16" thickBot="1">
      <c r="B5" s="625"/>
      <c r="G5" s="2117"/>
      <c r="H5" s="651"/>
      <c r="K5" s="651"/>
      <c r="L5" s="651"/>
      <c r="P5" s="625" t="s">
        <v>4044</v>
      </c>
    </row>
    <row r="6" spans="1:87" ht="20.25" customHeight="1">
      <c r="A6" s="2119"/>
      <c r="B6" s="2120"/>
      <c r="C6" s="3419" t="s">
        <v>8351</v>
      </c>
      <c r="D6" s="3419"/>
      <c r="E6" s="3419"/>
      <c r="F6" s="3419"/>
      <c r="G6" s="3419"/>
      <c r="H6" s="3419" t="s">
        <v>8352</v>
      </c>
      <c r="I6" s="3419"/>
      <c r="J6" s="3419"/>
      <c r="K6" s="3419"/>
      <c r="L6" s="3419"/>
      <c r="M6" s="3419" t="s">
        <v>8353</v>
      </c>
      <c r="N6" s="3419"/>
      <c r="O6" s="3419"/>
      <c r="P6" s="3419"/>
      <c r="Q6" s="3422"/>
      <c r="S6" s="3420" t="s">
        <v>895</v>
      </c>
      <c r="T6" s="3416" t="s">
        <v>5104</v>
      </c>
      <c r="U6" s="3417"/>
      <c r="V6" s="3417"/>
      <c r="W6" s="3417"/>
      <c r="X6" s="3418"/>
      <c r="Y6" s="3368" t="s">
        <v>1554</v>
      </c>
      <c r="Z6" s="3368"/>
      <c r="AA6" s="3368"/>
      <c r="AB6" s="3368"/>
      <c r="AC6" s="3368"/>
    </row>
    <row r="7" spans="1:87" s="660" customFormat="1" ht="20.25" customHeight="1">
      <c r="A7" s="2121" t="s">
        <v>615</v>
      </c>
      <c r="B7" s="747" t="s">
        <v>895</v>
      </c>
      <c r="C7" s="3325" t="s">
        <v>616</v>
      </c>
      <c r="D7" s="3325"/>
      <c r="E7" s="3325" t="s">
        <v>617</v>
      </c>
      <c r="F7" s="3325"/>
      <c r="G7" s="3126" t="s">
        <v>1100</v>
      </c>
      <c r="H7" s="3325" t="s">
        <v>616</v>
      </c>
      <c r="I7" s="3325"/>
      <c r="J7" s="3325" t="s">
        <v>617</v>
      </c>
      <c r="K7" s="3325"/>
      <c r="L7" s="747" t="s">
        <v>1100</v>
      </c>
      <c r="M7" s="3325" t="s">
        <v>616</v>
      </c>
      <c r="N7" s="3325"/>
      <c r="O7" s="3325" t="s">
        <v>617</v>
      </c>
      <c r="P7" s="3325"/>
      <c r="Q7" s="678" t="s">
        <v>1100</v>
      </c>
      <c r="S7" s="3421"/>
      <c r="T7" s="3325" t="s">
        <v>616</v>
      </c>
      <c r="U7" s="3325"/>
      <c r="V7" s="3325" t="s">
        <v>617</v>
      </c>
      <c r="W7" s="3325"/>
      <c r="X7" s="2122" t="s">
        <v>1100</v>
      </c>
      <c r="Y7" s="3394" t="s">
        <v>616</v>
      </c>
      <c r="Z7" s="3394"/>
      <c r="AA7" s="3394" t="s">
        <v>617</v>
      </c>
      <c r="AB7" s="3394"/>
      <c r="AC7" s="751" t="s">
        <v>1100</v>
      </c>
      <c r="AD7" s="660" t="s">
        <v>6900</v>
      </c>
    </row>
    <row r="8" spans="1:87" s="674" customFormat="1" ht="20.25" customHeight="1">
      <c r="A8" s="646"/>
      <c r="B8" s="2093" t="s">
        <v>8354</v>
      </c>
      <c r="C8" s="2123" t="s">
        <v>5113</v>
      </c>
      <c r="D8" s="747" t="s">
        <v>619</v>
      </c>
      <c r="E8" s="2123" t="s">
        <v>5114</v>
      </c>
      <c r="F8" s="747" t="s">
        <v>619</v>
      </c>
      <c r="G8" s="2123" t="s">
        <v>5329</v>
      </c>
      <c r="H8" s="2123" t="s">
        <v>5113</v>
      </c>
      <c r="I8" s="747" t="s">
        <v>619</v>
      </c>
      <c r="J8" s="2123" t="s">
        <v>5113</v>
      </c>
      <c r="K8" s="747" t="s">
        <v>619</v>
      </c>
      <c r="L8" s="747" t="s">
        <v>5482</v>
      </c>
      <c r="M8" s="639" t="s">
        <v>5113</v>
      </c>
      <c r="N8" s="747" t="s">
        <v>619</v>
      </c>
      <c r="O8" s="2123" t="s">
        <v>5113</v>
      </c>
      <c r="P8" s="747" t="s">
        <v>619</v>
      </c>
      <c r="Q8" s="678" t="s">
        <v>7996</v>
      </c>
      <c r="S8" s="3421"/>
      <c r="T8" s="2093" t="s">
        <v>5111</v>
      </c>
      <c r="U8" s="747" t="s">
        <v>619</v>
      </c>
      <c r="V8" s="2093" t="s">
        <v>5112</v>
      </c>
      <c r="W8" s="747" t="s">
        <v>619</v>
      </c>
      <c r="X8" s="678"/>
      <c r="Y8" s="821" t="s">
        <v>618</v>
      </c>
      <c r="Z8" s="747" t="s">
        <v>619</v>
      </c>
      <c r="AA8" s="747" t="s">
        <v>620</v>
      </c>
      <c r="AB8" s="747" t="s">
        <v>619</v>
      </c>
      <c r="AC8" s="747" t="s">
        <v>1554</v>
      </c>
    </row>
    <row r="9" spans="1:87" s="674" customFormat="1" ht="20.25" customHeight="1">
      <c r="A9" s="646"/>
      <c r="B9" s="747"/>
      <c r="C9" s="2123"/>
      <c r="D9" s="747"/>
      <c r="E9" s="2123"/>
      <c r="F9" s="747"/>
      <c r="G9" s="2123"/>
      <c r="H9" s="2123"/>
      <c r="I9" s="747"/>
      <c r="J9" s="2123"/>
      <c r="K9" s="747"/>
      <c r="L9" s="747"/>
      <c r="M9" s="639"/>
      <c r="N9" s="747"/>
      <c r="O9" s="2123"/>
      <c r="P9" s="747"/>
      <c r="Q9" s="678"/>
      <c r="S9" s="633"/>
      <c r="T9" s="2093"/>
      <c r="U9" s="747"/>
      <c r="V9" s="2093"/>
      <c r="W9" s="747"/>
      <c r="X9" s="678"/>
      <c r="Y9" s="821"/>
      <c r="Z9" s="747"/>
      <c r="AA9" s="747"/>
      <c r="AB9" s="747"/>
      <c r="AC9" s="747"/>
    </row>
    <row r="10" spans="1:87" s="674" customFormat="1" ht="20.25" customHeight="1">
      <c r="A10" s="646"/>
      <c r="B10" s="2093" t="s">
        <v>8355</v>
      </c>
      <c r="C10" s="2123">
        <v>291</v>
      </c>
      <c r="D10" s="747">
        <v>88</v>
      </c>
      <c r="E10" s="2123">
        <v>1052</v>
      </c>
      <c r="F10" s="747">
        <v>427</v>
      </c>
      <c r="G10" s="2123">
        <v>1858</v>
      </c>
      <c r="H10" s="2123">
        <v>288</v>
      </c>
      <c r="I10" s="747">
        <v>87</v>
      </c>
      <c r="J10" s="2123">
        <v>996</v>
      </c>
      <c r="K10" s="747">
        <v>408</v>
      </c>
      <c r="L10" s="747">
        <v>1779</v>
      </c>
      <c r="M10" s="639">
        <v>288</v>
      </c>
      <c r="N10" s="747">
        <v>87</v>
      </c>
      <c r="O10" s="2123">
        <v>1001</v>
      </c>
      <c r="P10" s="747">
        <v>408</v>
      </c>
      <c r="Q10" s="678">
        <v>1703</v>
      </c>
      <c r="S10" s="633"/>
      <c r="T10" s="2093"/>
      <c r="U10" s="747"/>
      <c r="V10" s="2093"/>
      <c r="W10" s="747"/>
      <c r="X10" s="678"/>
      <c r="Y10" s="821"/>
      <c r="Z10" s="747"/>
      <c r="AA10" s="747"/>
      <c r="AB10" s="747"/>
      <c r="AC10" s="747"/>
    </row>
    <row r="11" spans="1:87" s="674" customFormat="1" ht="20.25" customHeight="1">
      <c r="A11" s="646"/>
      <c r="B11" s="747"/>
      <c r="C11" s="2123"/>
      <c r="D11" s="747"/>
      <c r="E11" s="2123"/>
      <c r="F11" s="747"/>
      <c r="G11" s="2123"/>
      <c r="H11" s="2123"/>
      <c r="I11" s="747"/>
      <c r="J11" s="2123"/>
      <c r="K11" s="747"/>
      <c r="L11" s="747"/>
      <c r="M11" s="639"/>
      <c r="N11" s="747"/>
      <c r="O11" s="2123"/>
      <c r="P11" s="747"/>
      <c r="Q11" s="678"/>
      <c r="S11" s="633"/>
      <c r="T11" s="2093"/>
      <c r="U11" s="747"/>
      <c r="V11" s="2093"/>
      <c r="W11" s="747"/>
      <c r="X11" s="678"/>
      <c r="Y11" s="821"/>
      <c r="Z11" s="747"/>
      <c r="AA11" s="747"/>
      <c r="AB11" s="747"/>
      <c r="AC11" s="747"/>
    </row>
    <row r="12" spans="1:87" ht="20.25" customHeight="1">
      <c r="A12" s="646">
        <v>1</v>
      </c>
      <c r="B12" s="634" t="s">
        <v>4054</v>
      </c>
      <c r="C12" s="636">
        <f>G12*28%*$C$64/($C$64+$D$64)</f>
        <v>21.93070395071399</v>
      </c>
      <c r="D12" s="636">
        <f>G12*28%*$D$64/($C$64+$D$64)</f>
        <v>6.631965455886017</v>
      </c>
      <c r="E12" s="636">
        <f>G12*72%*$E$64/($E$64+$F$64)</f>
        <v>52.24212381757728</v>
      </c>
      <c r="F12" s="636">
        <f>G12*72%*$F$64/($E$64+$F$64)</f>
        <v>21.204740370822716</v>
      </c>
      <c r="G12" s="636">
        <f>('TB FY-2021-22'!G1103+'TB FY-2021-22'!G1104)/10^7</f>
        <v>102.00953359500001</v>
      </c>
      <c r="H12" s="636">
        <f>K89*H67*12/10000000-H13</f>
        <v>24.74573054976744</v>
      </c>
      <c r="I12" s="636">
        <f>K89*I67*12/10000000-I13</f>
        <v>7.4792795271317809</v>
      </c>
      <c r="J12" s="636">
        <f>K90*J67*12/10000000-J13</f>
        <v>42.840014262857153</v>
      </c>
      <c r="K12" s="636">
        <f>+K90*K67*12/10000000-K13</f>
        <v>17.466509721428572</v>
      </c>
      <c r="L12" s="636">
        <v>94.68429215127999</v>
      </c>
      <c r="M12" s="636">
        <f>P89*M67*12/10000000-M13</f>
        <v>25.356672</v>
      </c>
      <c r="N12" s="636">
        <f>P89*N67*12/10000000-N13</f>
        <v>7.6598280000000001</v>
      </c>
      <c r="O12" s="636">
        <f>P90*O67*12/10000000-O13</f>
        <v>43.027361999999997</v>
      </c>
      <c r="P12" s="636">
        <f>+P90*P67*12/10000000-P13</f>
        <v>17.581536</v>
      </c>
      <c r="Q12" s="637">
        <v>94.483960923318975</v>
      </c>
      <c r="R12" s="2124" t="s">
        <v>6857</v>
      </c>
      <c r="S12" s="633" t="s">
        <v>261</v>
      </c>
      <c r="T12" s="2125">
        <v>295</v>
      </c>
      <c r="U12" s="2125">
        <v>92</v>
      </c>
      <c r="V12" s="2125">
        <v>1128</v>
      </c>
      <c r="W12" s="2125">
        <v>454</v>
      </c>
      <c r="X12" s="2126">
        <f>SUM(T12:W12)</f>
        <v>1969</v>
      </c>
      <c r="Y12" s="2127"/>
      <c r="Z12" s="634"/>
      <c r="AA12" s="636"/>
      <c r="AB12" s="634"/>
      <c r="AC12" s="634"/>
      <c r="AD12" s="2128">
        <f>BO19</f>
        <v>130</v>
      </c>
    </row>
    <row r="13" spans="1:87" ht="20.25" customHeight="1">
      <c r="A13" s="646">
        <v>2</v>
      </c>
      <c r="B13" s="634" t="s">
        <v>3759</v>
      </c>
      <c r="C13" s="636">
        <f>G13*28%*$C$64/($C$64+$D$64)</f>
        <v>0</v>
      </c>
      <c r="D13" s="636">
        <f>G13*28%*$D$64/($C$64+$D$64)</f>
        <v>0</v>
      </c>
      <c r="E13" s="636">
        <f>G13*72%*$E$64/($E$64+$F$64)</f>
        <v>0</v>
      </c>
      <c r="F13" s="636">
        <f>G13*72%*$F$64/($E$64+$F$64)</f>
        <v>0</v>
      </c>
      <c r="G13" s="636">
        <v>0</v>
      </c>
      <c r="H13" s="636">
        <v>0</v>
      </c>
      <c r="I13" s="636">
        <v>0</v>
      </c>
      <c r="J13" s="636">
        <v>0</v>
      </c>
      <c r="K13" s="636">
        <v>0</v>
      </c>
      <c r="L13" s="636">
        <f>SUM(H13:K13)</f>
        <v>0</v>
      </c>
      <c r="M13" s="636">
        <v>0</v>
      </c>
      <c r="N13" s="636">
        <v>0</v>
      </c>
      <c r="O13" s="636">
        <v>0</v>
      </c>
      <c r="P13" s="636">
        <v>0</v>
      </c>
      <c r="Q13" s="637">
        <f>SUM(M13:P13)</f>
        <v>0</v>
      </c>
      <c r="R13" s="2124"/>
      <c r="S13" s="633"/>
      <c r="T13" s="2125"/>
      <c r="U13" s="2125"/>
      <c r="V13" s="2125"/>
      <c r="W13" s="2125"/>
      <c r="X13" s="2126"/>
      <c r="Y13" s="2127"/>
      <c r="Z13" s="634"/>
      <c r="AA13" s="636"/>
      <c r="AB13" s="634"/>
      <c r="AC13" s="634"/>
      <c r="AL13" s="2129"/>
      <c r="AM13" s="2129"/>
      <c r="AN13" s="2129"/>
      <c r="AO13" s="2129"/>
      <c r="AP13" s="2129"/>
      <c r="AQ13" s="2129"/>
      <c r="AR13" s="2129"/>
      <c r="AS13" s="2129"/>
      <c r="AT13" s="2129"/>
      <c r="AU13" s="2129"/>
      <c r="AV13" s="2129"/>
      <c r="AW13" s="2129"/>
      <c r="AX13" s="2129"/>
      <c r="AY13" s="2129"/>
      <c r="AZ13" s="2129"/>
      <c r="BA13" s="2130"/>
      <c r="BB13" s="3405"/>
      <c r="BC13" s="3405"/>
      <c r="BD13" s="3405"/>
      <c r="BE13" s="3405"/>
      <c r="BF13" s="3405"/>
      <c r="BL13" s="2131" t="s">
        <v>6905</v>
      </c>
      <c r="BM13" s="2131"/>
      <c r="BN13" s="2131"/>
      <c r="BO13" s="2132"/>
      <c r="BP13" s="2132"/>
      <c r="BQ13" s="2132"/>
      <c r="BR13" s="2132"/>
      <c r="BS13" s="2132"/>
      <c r="BT13" s="2132"/>
      <c r="BU13" s="2132"/>
      <c r="BV13" s="2132"/>
      <c r="BW13" s="2132"/>
      <c r="BX13" s="2132"/>
      <c r="BY13" s="2132"/>
      <c r="BZ13" s="2132"/>
      <c r="CA13" s="2132"/>
      <c r="CB13" s="2132"/>
      <c r="CC13" s="2132"/>
      <c r="CD13" s="2132"/>
      <c r="CE13" s="2132"/>
      <c r="CF13" s="2132"/>
      <c r="CG13" s="2132"/>
      <c r="CH13" s="2132"/>
      <c r="CI13" s="2132"/>
    </row>
    <row r="14" spans="1:87" ht="20.25" customHeight="1">
      <c r="A14" s="646">
        <v>3</v>
      </c>
      <c r="B14" s="634" t="s">
        <v>1446</v>
      </c>
      <c r="C14" s="636">
        <f>G14*28%*$C$64/($C$64+$D$64)</f>
        <v>4.8879214938193147</v>
      </c>
      <c r="D14" s="636">
        <f>G14*28%*$D$64/($C$64+$D$64)</f>
        <v>1.4781343349006864</v>
      </c>
      <c r="E14" s="636">
        <f>G14*72%*$E$64/($E$64+$F$64)</f>
        <v>11.643739319293147</v>
      </c>
      <c r="F14" s="636">
        <f>G14*72%*$F$64/($E$64+$F$64)</f>
        <v>4.7261185259868563</v>
      </c>
      <c r="G14" s="636">
        <f>'TB FY-2021-22'!G1105/10^7</f>
        <v>22.735913674000003</v>
      </c>
      <c r="H14" s="636">
        <f>+((H12+H13)*28.25%)</f>
        <v>6.9906688803093013</v>
      </c>
      <c r="I14" s="636">
        <f>+((I12+I13)*28.25%)</f>
        <v>2.1128964664147278</v>
      </c>
      <c r="J14" s="636">
        <f>+((J12+J13)*28.25%)</f>
        <v>12.102304029257144</v>
      </c>
      <c r="K14" s="636">
        <f>+((K12+K13)*28.25%)</f>
        <v>4.9342889963035708</v>
      </c>
      <c r="L14" s="636">
        <v>33.476696469717766</v>
      </c>
      <c r="M14" s="636">
        <f>+((M12+M13)*37%)</f>
        <v>9.3819686400000002</v>
      </c>
      <c r="N14" s="636">
        <f>+((N12+N13)*37%)</f>
        <v>2.83413636</v>
      </c>
      <c r="O14" s="636">
        <f>+((O12+O13)*37%)</f>
        <v>15.920123939999998</v>
      </c>
      <c r="P14" s="636">
        <f>+((P12+P13)*37%)</f>
        <v>6.5051683200000001</v>
      </c>
      <c r="Q14" s="637">
        <v>41.572942806260343</v>
      </c>
      <c r="R14" s="638"/>
      <c r="S14" s="648" t="s">
        <v>1115</v>
      </c>
      <c r="T14" s="2125">
        <v>0</v>
      </c>
      <c r="U14" s="2125">
        <v>0</v>
      </c>
      <c r="V14" s="2125"/>
      <c r="W14" s="2125"/>
      <c r="X14" s="2126">
        <f t="shared" ref="X14:X21" si="0">SUM(T14:W14)</f>
        <v>0</v>
      </c>
      <c r="Y14" s="2127"/>
      <c r="Z14" s="634"/>
      <c r="AA14" s="636"/>
      <c r="AB14" s="634"/>
      <c r="AC14" s="634"/>
      <c r="AL14" s="3406"/>
      <c r="AM14" s="3405"/>
      <c r="AN14" s="3405"/>
      <c r="AO14" s="3405"/>
      <c r="AP14" s="3405"/>
      <c r="AQ14" s="3405"/>
      <c r="AR14" s="3405"/>
      <c r="AS14" s="2133"/>
      <c r="AT14" s="2133"/>
      <c r="AU14" s="3405"/>
      <c r="AV14" s="3405"/>
      <c r="AW14" s="3405"/>
      <c r="AX14" s="2133"/>
      <c r="AY14" s="2133"/>
      <c r="AZ14" s="2133"/>
      <c r="BA14" s="2133"/>
      <c r="BB14" s="3405"/>
      <c r="BC14" s="3405"/>
      <c r="BD14" s="3405"/>
      <c r="BE14" s="2133"/>
      <c r="BF14" s="2133"/>
      <c r="BL14" s="3397"/>
      <c r="BM14" s="2134" t="s">
        <v>6906</v>
      </c>
      <c r="BN14" s="2134" t="s">
        <v>6907</v>
      </c>
      <c r="BO14" s="3398" t="s">
        <v>6891</v>
      </c>
      <c r="BP14" s="3398"/>
      <c r="BQ14" s="3398" t="s">
        <v>6892</v>
      </c>
      <c r="BR14" s="3398"/>
      <c r="BS14" s="3398"/>
      <c r="BT14" s="3398"/>
      <c r="BU14" s="3398"/>
      <c r="BV14" s="3398"/>
      <c r="BW14" s="3398" t="s">
        <v>6893</v>
      </c>
      <c r="BX14" s="3398"/>
      <c r="BY14" s="3398"/>
      <c r="BZ14" s="3398"/>
      <c r="CA14" s="3398"/>
      <c r="CB14" s="3398"/>
      <c r="CC14" s="2135" t="s">
        <v>6908</v>
      </c>
      <c r="CD14" s="3398" t="s">
        <v>6909</v>
      </c>
      <c r="CE14" s="3398"/>
      <c r="CF14" s="3398"/>
      <c r="CG14" s="3398"/>
      <c r="CH14" s="3398"/>
      <c r="CI14" s="3398"/>
    </row>
    <row r="15" spans="1:87" ht="20.25" customHeight="1">
      <c r="A15" s="646">
        <v>4</v>
      </c>
      <c r="B15" s="634" t="s">
        <v>574</v>
      </c>
      <c r="C15" s="636">
        <f>G15*28%*$C$64/($C$64+$D$64)</f>
        <v>6.9692863405864918</v>
      </c>
      <c r="D15" s="636">
        <f>G15*28%*$D$64/($C$64+$D$64)</f>
        <v>2.1075505084935093</v>
      </c>
      <c r="E15" s="636">
        <f>G15*72%*$E$64/($E$64+$F$64)</f>
        <v>16.601852851751072</v>
      </c>
      <c r="F15" s="636">
        <f>G15*72%*$F$64/($E$64+$F$64)</f>
        <v>6.7385847601689246</v>
      </c>
      <c r="G15" s="636">
        <f>'TB FY-2021-22'!G1106/10^7+'TB FY-2021-22'!G1140/10^7</f>
        <v>32.417274460999998</v>
      </c>
      <c r="H15" s="636">
        <f>H12*0.19</f>
        <v>4.7016888044558138</v>
      </c>
      <c r="I15" s="636">
        <f t="shared" ref="I15:P15" si="1">I12*0.19</f>
        <v>1.4210631101550384</v>
      </c>
      <c r="J15" s="636">
        <f t="shared" si="1"/>
        <v>8.1396027099428583</v>
      </c>
      <c r="K15" s="636">
        <f t="shared" si="1"/>
        <v>3.3186368470714287</v>
      </c>
      <c r="L15" s="636">
        <v>17.5778775958632</v>
      </c>
      <c r="M15" s="636">
        <f>M12*0.19</f>
        <v>4.8177676800000002</v>
      </c>
      <c r="N15" s="636">
        <f t="shared" si="1"/>
        <v>1.4553673200000001</v>
      </c>
      <c r="O15" s="636">
        <f t="shared" si="1"/>
        <v>8.1751987799999988</v>
      </c>
      <c r="P15" s="636">
        <f t="shared" si="1"/>
        <v>3.3404918399999999</v>
      </c>
      <c r="Q15" s="637">
        <v>18.896792184663795</v>
      </c>
      <c r="R15" s="638"/>
      <c r="S15" s="648"/>
      <c r="T15" s="2125"/>
      <c r="U15" s="2125"/>
      <c r="V15" s="2125"/>
      <c r="W15" s="2125"/>
      <c r="X15" s="2126"/>
      <c r="Y15" s="2127"/>
      <c r="Z15" s="634"/>
      <c r="AA15" s="636"/>
      <c r="AB15" s="634"/>
      <c r="AC15" s="634"/>
      <c r="AL15" s="3406"/>
      <c r="AM15" s="2136"/>
      <c r="AN15" s="2136"/>
      <c r="AO15" s="2136"/>
      <c r="AP15" s="2136"/>
      <c r="AQ15" s="2136"/>
      <c r="AR15" s="2136"/>
      <c r="AS15" s="2137"/>
      <c r="AT15" s="2136"/>
      <c r="AU15" s="2136"/>
      <c r="AV15" s="2136"/>
      <c r="AW15" s="2136"/>
      <c r="AX15" s="2136"/>
      <c r="AY15" s="2136"/>
      <c r="AZ15" s="2136"/>
      <c r="BA15" s="2136"/>
      <c r="BB15" s="2136"/>
      <c r="BC15" s="2136"/>
      <c r="BD15" s="2136"/>
      <c r="BE15" s="2136"/>
      <c r="BF15" s="2136"/>
      <c r="BL15" s="3397"/>
      <c r="BM15" s="2134"/>
      <c r="BN15" s="2134"/>
      <c r="BO15" s="2138" t="s">
        <v>6894</v>
      </c>
      <c r="BP15" s="2138" t="s">
        <v>6896</v>
      </c>
      <c r="BQ15" s="2139" t="s">
        <v>6910</v>
      </c>
      <c r="BR15" s="2140" t="s">
        <v>6911</v>
      </c>
      <c r="BS15" s="2140" t="s">
        <v>6895</v>
      </c>
      <c r="BT15" s="2140" t="s">
        <v>6912</v>
      </c>
      <c r="BU15" s="2140" t="s">
        <v>6913</v>
      </c>
      <c r="BV15" s="2139" t="s">
        <v>6914</v>
      </c>
      <c r="BW15" s="2139" t="s">
        <v>6915</v>
      </c>
      <c r="BX15" s="2140" t="s">
        <v>6916</v>
      </c>
      <c r="BY15" s="2140" t="s">
        <v>6895</v>
      </c>
      <c r="BZ15" s="2140" t="s">
        <v>6912</v>
      </c>
      <c r="CA15" s="2140" t="s">
        <v>6913</v>
      </c>
      <c r="CB15" s="2139" t="s">
        <v>6917</v>
      </c>
      <c r="CC15" s="2135"/>
      <c r="CD15" s="2139" t="s">
        <v>6918</v>
      </c>
      <c r="CE15" s="2140" t="s">
        <v>6911</v>
      </c>
      <c r="CF15" s="2140" t="s">
        <v>6895</v>
      </c>
      <c r="CG15" s="2140" t="s">
        <v>6919</v>
      </c>
      <c r="CH15" s="2140" t="s">
        <v>6913</v>
      </c>
      <c r="CI15" s="2139" t="s">
        <v>7147</v>
      </c>
    </row>
    <row r="16" spans="1:87" ht="20.25" customHeight="1">
      <c r="A16" s="646">
        <v>5</v>
      </c>
      <c r="B16" s="634" t="s">
        <v>1311</v>
      </c>
      <c r="C16" s="636">
        <f>G16*28%*$C$64/($C$64+$D$64)</f>
        <v>2.0619539659060688</v>
      </c>
      <c r="D16" s="636">
        <f>G16*28%*$D$64/($C$64+$D$64)</f>
        <v>0.62354621649393149</v>
      </c>
      <c r="E16" s="636">
        <f>G16*72%*$E$64/($E$64+$F$64)</f>
        <v>4.9118739934247468</v>
      </c>
      <c r="F16" s="636">
        <f>G16*72%*$F$64/($E$64+$F$64)</f>
        <v>1.9936979041752536</v>
      </c>
      <c r="G16" s="636">
        <f>('TB FY-2021-22'!G1107+'TB FY-2021-22'!G1108+'TB FY-2021-22'!G1109+'TB FY-2021-22'!G1110+'TB FY-2021-22'!G1111+'TB FY-2021-22'!G1112+'TB FY-2021-22'!G1176+'TB FY-2021-22'!G1130+'TB FY-2021-22'!G1129)/10^7</f>
        <v>9.59107208</v>
      </c>
      <c r="H16" s="636">
        <f>+C16/C64*H64</f>
        <v>2.0406967085255938</v>
      </c>
      <c r="I16" s="636">
        <f>+D16/D64*I64</f>
        <v>0.61646046403377319</v>
      </c>
      <c r="J16" s="636">
        <f>+E16/E64*J64</f>
        <v>4.6504054158279917</v>
      </c>
      <c r="K16" s="636">
        <f>+F16/F64*K64</f>
        <v>1.9049853510620691</v>
      </c>
      <c r="L16" s="636">
        <v>12.437439182964001</v>
      </c>
      <c r="M16" s="636">
        <f>+C16/C64*M64</f>
        <v>2.0406967085255938</v>
      </c>
      <c r="N16" s="636">
        <f>+D16/D64*N64</f>
        <v>0.61646046403377319</v>
      </c>
      <c r="O16" s="636">
        <f>+E16/E64*O64</f>
        <v>4.6737508245419876</v>
      </c>
      <c r="P16" s="636">
        <f>+F16/F64*P64</f>
        <v>1.9049853510620691</v>
      </c>
      <c r="Q16" s="637">
        <v>12.467364346165949</v>
      </c>
      <c r="R16" s="638"/>
      <c r="S16" s="648" t="s">
        <v>262</v>
      </c>
      <c r="T16" s="2125">
        <v>0</v>
      </c>
      <c r="U16" s="2125"/>
      <c r="V16" s="2125"/>
      <c r="W16" s="2125"/>
      <c r="X16" s="2126">
        <f t="shared" si="0"/>
        <v>0</v>
      </c>
      <c r="Y16" s="2127"/>
      <c r="Z16" s="634"/>
      <c r="AA16" s="636"/>
      <c r="AB16" s="634"/>
      <c r="AC16" s="634"/>
      <c r="AF16" s="638">
        <v>23.54</v>
      </c>
      <c r="AG16" s="630">
        <v>16.829999999999998</v>
      </c>
      <c r="AH16" s="630">
        <f>SUM(AF16:AG16)</f>
        <v>40.369999999999997</v>
      </c>
      <c r="AL16" s="2136"/>
      <c r="AM16" s="2136"/>
      <c r="AN16" s="2136"/>
      <c r="AO16" s="2141"/>
      <c r="AP16" s="2142"/>
      <c r="AQ16" s="2136"/>
      <c r="AR16" s="2141"/>
      <c r="AS16" s="2137"/>
      <c r="AT16" s="2141"/>
      <c r="AU16" s="2143"/>
      <c r="AV16" s="2143"/>
      <c r="AW16" s="2141"/>
      <c r="AX16" s="2137"/>
      <c r="AY16" s="2141"/>
      <c r="AZ16" s="2141"/>
      <c r="BA16" s="2141"/>
      <c r="BB16" s="2136"/>
      <c r="BC16" s="2136"/>
      <c r="BD16" s="2141"/>
      <c r="BE16" s="2137"/>
      <c r="BF16" s="2141"/>
      <c r="BL16" s="2138" t="s">
        <v>6897</v>
      </c>
      <c r="BM16" s="2138">
        <v>6500000</v>
      </c>
      <c r="BN16" s="2138"/>
      <c r="BO16" s="2138">
        <v>7</v>
      </c>
      <c r="BP16" s="2144">
        <f>BO16*BM16/12*3</f>
        <v>11375000</v>
      </c>
      <c r="BQ16" s="2138">
        <f>BO16</f>
        <v>7</v>
      </c>
      <c r="BR16" s="2145">
        <v>6</v>
      </c>
      <c r="BS16" s="2138">
        <v>0</v>
      </c>
      <c r="BT16" s="2138">
        <f>BQ16+BR16-BS16</f>
        <v>13</v>
      </c>
      <c r="BU16" s="2138">
        <f>BM16*BR16/12*7</f>
        <v>22750000</v>
      </c>
      <c r="BV16" s="2146">
        <f>BT16*BM16/12*7</f>
        <v>49291666.666666672</v>
      </c>
      <c r="BW16" s="2138">
        <f>BT16</f>
        <v>13</v>
      </c>
      <c r="BX16" s="2138">
        <v>0</v>
      </c>
      <c r="BY16" s="2138">
        <v>0</v>
      </c>
      <c r="BZ16" s="2138">
        <f>BW16+BX16-BY16</f>
        <v>13</v>
      </c>
      <c r="CA16" s="2138">
        <f>BS16*BX16/12*7</f>
        <v>0</v>
      </c>
      <c r="CB16" s="2146">
        <f>BZ16*BM16/12*5</f>
        <v>35208333.333333336</v>
      </c>
      <c r="CC16" s="2144">
        <f>CB16+BV16</f>
        <v>84500000</v>
      </c>
      <c r="CD16" s="2138">
        <f>BZ16</f>
        <v>13</v>
      </c>
      <c r="CE16" s="2138">
        <v>0</v>
      </c>
      <c r="CF16" s="2138">
        <v>0</v>
      </c>
      <c r="CG16" s="2138">
        <f>CD16+CE16-CF16</f>
        <v>13</v>
      </c>
      <c r="CH16" s="2144">
        <f>CE16*BM16</f>
        <v>0</v>
      </c>
      <c r="CI16" s="2144">
        <f>(CD16*BM16)*1.05+CH16</f>
        <v>88725000</v>
      </c>
    </row>
    <row r="17" spans="1:89" ht="20.25" hidden="1" customHeight="1">
      <c r="A17" s="646">
        <v>6</v>
      </c>
      <c r="B17" s="634" t="s">
        <v>6890</v>
      </c>
      <c r="C17" s="636"/>
      <c r="D17" s="636"/>
      <c r="E17" s="636"/>
      <c r="F17" s="636"/>
      <c r="G17" s="636">
        <f>((SUM('TB FY-2021-22'!G1113:G1128)+'TB FY-2021-22'!G1143+'TB FY-2021-22'!G1144+'TB FY-2021-22'!G1145+'TB FY-2021-22'!G1146+'TB FY-2021-22'!G1147+'TB FY-2021-22'!G1148+'TB FY-2021-22'!G1149+'TB FY-2021-22'!G1150+'TB FY-2021-22'!G1151+'TB FY-2021-22'!G1152+'TB FY-2021-22'!G1153+'TB FY-2021-22'!G1154+'TB FY-2021-22'!G1155+'TB FY-2021-22'!G1156+'TB FY-2021-22'!G1174)/10^7+'TB FY-2021-22'!G1136/10^7)*0</f>
        <v>0</v>
      </c>
      <c r="H17" s="636"/>
      <c r="I17" s="636"/>
      <c r="J17" s="636"/>
      <c r="K17" s="636"/>
      <c r="L17" s="636"/>
      <c r="M17" s="636"/>
      <c r="N17" s="636"/>
      <c r="O17" s="636"/>
      <c r="P17" s="636"/>
      <c r="Q17" s="637"/>
      <c r="R17" s="638"/>
      <c r="S17" s="648" t="s">
        <v>263</v>
      </c>
      <c r="T17" s="2125"/>
      <c r="U17" s="2125"/>
      <c r="V17" s="2125"/>
      <c r="W17" s="2125"/>
      <c r="X17" s="2126">
        <f t="shared" si="0"/>
        <v>0</v>
      </c>
      <c r="Y17" s="2127"/>
      <c r="Z17" s="634"/>
      <c r="AA17" s="636"/>
      <c r="AB17" s="634"/>
      <c r="AC17" s="634"/>
      <c r="AF17" s="638">
        <v>6.7</v>
      </c>
      <c r="AH17" s="630">
        <f>SUM(AF17:AG17)</f>
        <v>6.7</v>
      </c>
      <c r="AL17" s="2136"/>
      <c r="AM17" s="2136"/>
      <c r="AN17" s="2136"/>
      <c r="AO17" s="2141"/>
      <c r="AP17" s="2142"/>
      <c r="AQ17" s="2136"/>
      <c r="AR17" s="2141"/>
      <c r="AS17" s="2137"/>
      <c r="AT17" s="2141"/>
      <c r="AU17" s="2143"/>
      <c r="AV17" s="2143"/>
      <c r="AW17" s="2141"/>
      <c r="AX17" s="2137"/>
      <c r="AY17" s="2141"/>
      <c r="AZ17" s="2141"/>
      <c r="BA17" s="2141"/>
      <c r="BB17" s="2136"/>
      <c r="BC17" s="2136"/>
      <c r="BD17" s="2141"/>
      <c r="BE17" s="2137"/>
      <c r="BF17" s="2141"/>
      <c r="BL17" s="2138" t="s">
        <v>6898</v>
      </c>
      <c r="BM17" s="2138">
        <v>2500000</v>
      </c>
      <c r="BN17" s="2138"/>
      <c r="BO17" s="2138">
        <v>23</v>
      </c>
      <c r="BP17" s="2144">
        <f>BO17*BM17/12*3</f>
        <v>14375000</v>
      </c>
      <c r="BQ17" s="2138">
        <f>BO17</f>
        <v>23</v>
      </c>
      <c r="BR17" s="2145">
        <v>11</v>
      </c>
      <c r="BS17" s="2138">
        <v>2</v>
      </c>
      <c r="BT17" s="2138">
        <f t="shared" ref="BT17:BT18" si="2">BQ17+BR17-BS17</f>
        <v>32</v>
      </c>
      <c r="BU17" s="2138">
        <f>BM17*BR17/12*7</f>
        <v>16041666.666666666</v>
      </c>
      <c r="BV17" s="2146">
        <f t="shared" ref="BV17:BV18" si="3">BT17*BM17/12*7</f>
        <v>46666666.666666672</v>
      </c>
      <c r="BW17" s="2138">
        <f t="shared" ref="BW17:BW18" si="4">BT17</f>
        <v>32</v>
      </c>
      <c r="BX17" s="2138">
        <v>0</v>
      </c>
      <c r="BY17" s="2138">
        <v>0</v>
      </c>
      <c r="BZ17" s="2138">
        <f t="shared" ref="BZ17:BZ18" si="5">BW17+BX17-BY17</f>
        <v>32</v>
      </c>
      <c r="CA17" s="2138">
        <f>BS17*BX17/12*7</f>
        <v>0</v>
      </c>
      <c r="CB17" s="2146">
        <f t="shared" ref="CB17:CB18" si="6">BZ17*BM17/12*5</f>
        <v>33333333.333333336</v>
      </c>
      <c r="CC17" s="2144">
        <f t="shared" ref="CC17:CC18" si="7">CB17+BV17</f>
        <v>80000000</v>
      </c>
      <c r="CD17" s="2138">
        <f t="shared" ref="CD17:CD19" si="8">BZ17</f>
        <v>32</v>
      </c>
      <c r="CE17" s="2138">
        <v>0</v>
      </c>
      <c r="CF17" s="2138">
        <v>0</v>
      </c>
      <c r="CG17" s="2138">
        <f t="shared" ref="CG17:CG22" si="9">CD17+CE17-CF17</f>
        <v>32</v>
      </c>
      <c r="CH17" s="2144">
        <f>CE17*BM17</f>
        <v>0</v>
      </c>
      <c r="CI17" s="2144">
        <f>(CD17*BM17)*1.05+CH17</f>
        <v>84000000</v>
      </c>
    </row>
    <row r="18" spans="1:89" s="2153" customFormat="1" ht="20.25" customHeight="1">
      <c r="A18" s="646">
        <v>7</v>
      </c>
      <c r="B18" s="634" t="s">
        <v>804</v>
      </c>
      <c r="C18" s="653">
        <v>0</v>
      </c>
      <c r="D18" s="653">
        <v>0</v>
      </c>
      <c r="E18" s="636">
        <f>G18*100%*$E$64/($E$64+$F$64)</f>
        <v>0</v>
      </c>
      <c r="F18" s="636">
        <f>G18*100%*$F$64/($E$64+$F$64)</f>
        <v>0</v>
      </c>
      <c r="G18" s="2147"/>
      <c r="H18" s="653">
        <v>0</v>
      </c>
      <c r="I18" s="653">
        <v>0</v>
      </c>
      <c r="J18" s="636">
        <v>0</v>
      </c>
      <c r="K18" s="636">
        <v>0</v>
      </c>
      <c r="L18" s="636">
        <f>SUM(H18:K18)</f>
        <v>0</v>
      </c>
      <c r="M18" s="653">
        <v>0</v>
      </c>
      <c r="N18" s="653">
        <v>0</v>
      </c>
      <c r="O18" s="653">
        <f>J18*1.1</f>
        <v>0</v>
      </c>
      <c r="P18" s="636">
        <f>K18*1.1</f>
        <v>0</v>
      </c>
      <c r="Q18" s="637">
        <f>SUM(M18:P18)</f>
        <v>0</v>
      </c>
      <c r="R18" s="2148"/>
      <c r="S18" s="2149" t="s">
        <v>962</v>
      </c>
      <c r="T18" s="2150"/>
      <c r="U18" s="2150"/>
      <c r="V18" s="2150"/>
      <c r="W18" s="2150"/>
      <c r="X18" s="2151">
        <f t="shared" si="0"/>
        <v>0</v>
      </c>
      <c r="Y18" s="2152"/>
      <c r="Z18" s="752"/>
      <c r="AA18" s="1778"/>
      <c r="AB18" s="752"/>
      <c r="AC18" s="752"/>
      <c r="AF18" s="2148">
        <v>1.8</v>
      </c>
      <c r="AH18" s="2153">
        <f>SUM(AF18:AG18)</f>
        <v>1.8</v>
      </c>
      <c r="AL18" s="2136"/>
      <c r="AM18" s="2136"/>
      <c r="AN18" s="2136"/>
      <c r="AO18" s="2141"/>
      <c r="AP18" s="2136"/>
      <c r="AQ18" s="2136"/>
      <c r="AR18" s="2141"/>
      <c r="AS18" s="2137"/>
      <c r="AT18" s="2141"/>
      <c r="AU18" s="2143"/>
      <c r="AV18" s="2143"/>
      <c r="AW18" s="2141"/>
      <c r="AX18" s="2137"/>
      <c r="AY18" s="2141"/>
      <c r="AZ18" s="2141"/>
      <c r="BA18" s="2141"/>
      <c r="BB18" s="2136"/>
      <c r="BC18" s="2136"/>
      <c r="BD18" s="2141"/>
      <c r="BE18" s="2137"/>
      <c r="BF18" s="2141"/>
      <c r="BL18" s="2138" t="s">
        <v>6899</v>
      </c>
      <c r="BM18" s="2138">
        <v>900000</v>
      </c>
      <c r="BN18" s="2138"/>
      <c r="BO18" s="2138">
        <v>100</v>
      </c>
      <c r="BP18" s="2144">
        <f>BO18*BM18/12*3</f>
        <v>22500000</v>
      </c>
      <c r="BQ18" s="2138">
        <f>BO18</f>
        <v>100</v>
      </c>
      <c r="BR18" s="2138">
        <v>293</v>
      </c>
      <c r="BS18" s="2138">
        <v>12</v>
      </c>
      <c r="BT18" s="2138">
        <f t="shared" si="2"/>
        <v>381</v>
      </c>
      <c r="BU18" s="2138">
        <f>BM18*BR18/12*7</f>
        <v>153825000</v>
      </c>
      <c r="BV18" s="2146">
        <f t="shared" si="3"/>
        <v>200025000</v>
      </c>
      <c r="BW18" s="2138">
        <f t="shared" si="4"/>
        <v>381</v>
      </c>
      <c r="BX18" s="2138">
        <v>0</v>
      </c>
      <c r="BY18" s="2138">
        <v>0</v>
      </c>
      <c r="BZ18" s="2138">
        <f t="shared" si="5"/>
        <v>381</v>
      </c>
      <c r="CA18" s="2138">
        <f>BS18*BX18/12*7</f>
        <v>0</v>
      </c>
      <c r="CB18" s="2146">
        <f t="shared" si="6"/>
        <v>142875000</v>
      </c>
      <c r="CC18" s="2144">
        <f t="shared" si="7"/>
        <v>342900000</v>
      </c>
      <c r="CD18" s="2138">
        <f t="shared" si="8"/>
        <v>381</v>
      </c>
      <c r="CE18" s="2138">
        <f>237+20+12</f>
        <v>269</v>
      </c>
      <c r="CF18" s="2138">
        <v>0</v>
      </c>
      <c r="CG18" s="2138">
        <f t="shared" si="9"/>
        <v>650</v>
      </c>
      <c r="CH18" s="2144">
        <f>CE18*BM18</f>
        <v>242100000</v>
      </c>
      <c r="CI18" s="2144">
        <f>(CD18*BM18)*1.05+CH18</f>
        <v>602145000</v>
      </c>
    </row>
    <row r="19" spans="1:89" ht="20.25" customHeight="1">
      <c r="A19" s="646">
        <v>8</v>
      </c>
      <c r="B19" s="639" t="s">
        <v>3760</v>
      </c>
      <c r="C19" s="640">
        <f>SUM(C12:C18)</f>
        <v>35.849865751025867</v>
      </c>
      <c r="D19" s="640">
        <f>SUM(D12:D18)</f>
        <v>10.841196515774143</v>
      </c>
      <c r="E19" s="640">
        <f>SUM(E12:E18)</f>
        <v>85.399589982046251</v>
      </c>
      <c r="F19" s="640">
        <f>SUM(F12:F18)</f>
        <v>34.663141561153751</v>
      </c>
      <c r="G19" s="640">
        <f>SUM(G12:G18)</f>
        <v>166.75379381000002</v>
      </c>
      <c r="H19" s="640">
        <f t="shared" ref="H19:Q19" si="10">SUM(H12:H18)</f>
        <v>38.478784943058152</v>
      </c>
      <c r="I19" s="640">
        <f t="shared" si="10"/>
        <v>11.629699567735321</v>
      </c>
      <c r="J19" s="640">
        <f t="shared" si="10"/>
        <v>67.732326417885147</v>
      </c>
      <c r="K19" s="640">
        <f t="shared" si="10"/>
        <v>27.624420915865642</v>
      </c>
      <c r="L19" s="640">
        <f>SUM(L12:L18)</f>
        <v>158.17630539982497</v>
      </c>
      <c r="M19" s="640">
        <f t="shared" si="10"/>
        <v>41.597105028525597</v>
      </c>
      <c r="N19" s="640">
        <f t="shared" si="10"/>
        <v>12.565792144033773</v>
      </c>
      <c r="O19" s="640">
        <f t="shared" si="10"/>
        <v>71.796435544541978</v>
      </c>
      <c r="P19" s="640">
        <f t="shared" si="10"/>
        <v>29.332181511062068</v>
      </c>
      <c r="Q19" s="641">
        <f t="shared" si="10"/>
        <v>167.42106026040904</v>
      </c>
      <c r="R19" s="638"/>
      <c r="S19" s="648" t="s">
        <v>963</v>
      </c>
      <c r="T19" s="2125"/>
      <c r="U19" s="2125"/>
      <c r="V19" s="2125"/>
      <c r="W19" s="2125"/>
      <c r="X19" s="2126">
        <f t="shared" si="0"/>
        <v>0</v>
      </c>
      <c r="Y19" s="2127"/>
      <c r="Z19" s="634"/>
      <c r="AA19" s="636"/>
      <c r="AB19" s="634"/>
      <c r="AC19" s="634"/>
      <c r="AF19" s="638">
        <v>10.210000000000001</v>
      </c>
      <c r="AH19" s="630">
        <f>SUM(AF19:AG19)</f>
        <v>10.210000000000001</v>
      </c>
      <c r="AL19" s="2154"/>
      <c r="AM19" s="2154"/>
      <c r="AN19" s="2154"/>
      <c r="AO19" s="2155"/>
      <c r="AP19" s="2154"/>
      <c r="AQ19" s="2154"/>
      <c r="AR19" s="2155"/>
      <c r="AS19" s="2156"/>
      <c r="AT19" s="2155"/>
      <c r="AU19" s="2157"/>
      <c r="AV19" s="2157"/>
      <c r="AW19" s="2155"/>
      <c r="AX19" s="2156"/>
      <c r="AY19" s="2155"/>
      <c r="AZ19" s="2155"/>
      <c r="BA19" s="2155"/>
      <c r="BB19" s="2154"/>
      <c r="BC19" s="2154"/>
      <c r="BD19" s="2155"/>
      <c r="BE19" s="2156"/>
      <c r="BF19" s="2155"/>
      <c r="BL19" s="2158" t="s">
        <v>6920</v>
      </c>
      <c r="BM19" s="2134"/>
      <c r="BN19" s="2134"/>
      <c r="BO19" s="2134">
        <v>130</v>
      </c>
      <c r="BP19" s="2159">
        <f>SUM(BP16:BP18)</f>
        <v>48250000</v>
      </c>
      <c r="BQ19" s="2134">
        <f>SUM(BQ16:BQ18)</f>
        <v>130</v>
      </c>
      <c r="BR19" s="2134">
        <v>310</v>
      </c>
      <c r="BS19" s="2134">
        <v>14</v>
      </c>
      <c r="BT19" s="2134">
        <f>SUM(BT16:BT18)</f>
        <v>426</v>
      </c>
      <c r="BU19" s="2134">
        <f>SUM(BU16:BU18)</f>
        <v>192616666.66666666</v>
      </c>
      <c r="BV19" s="2160">
        <f>SUM(BV16:BV18)</f>
        <v>295983333.33333337</v>
      </c>
      <c r="BW19" s="2134">
        <f>SUM(BW16:BW18)</f>
        <v>426</v>
      </c>
      <c r="BX19" s="2134">
        <v>0</v>
      </c>
      <c r="BY19" s="2134">
        <v>0</v>
      </c>
      <c r="BZ19" s="2134">
        <f>SUM(BZ16:BZ18)</f>
        <v>426</v>
      </c>
      <c r="CA19" s="2159">
        <f>SUM(CA16:CA18)</f>
        <v>0</v>
      </c>
      <c r="CB19" s="2160">
        <f>SUM(CB16:CB18)</f>
        <v>211416666.66666669</v>
      </c>
      <c r="CC19" s="2159">
        <f>SUM(CC16:CC18)</f>
        <v>507400000</v>
      </c>
      <c r="CD19" s="2138">
        <f t="shared" si="8"/>
        <v>426</v>
      </c>
      <c r="CE19" s="2134">
        <f>SUM(CE16:CE18)</f>
        <v>269</v>
      </c>
      <c r="CF19" s="2134">
        <v>0</v>
      </c>
      <c r="CG19" s="2138">
        <f t="shared" si="9"/>
        <v>695</v>
      </c>
      <c r="CH19" s="2144">
        <f>SUM(CH16:CH18)</f>
        <v>242100000</v>
      </c>
      <c r="CI19" s="2159">
        <f>SUM(CI16:CI18)</f>
        <v>774870000</v>
      </c>
      <c r="CK19" s="630">
        <f>269*900000</f>
        <v>242100000</v>
      </c>
    </row>
    <row r="20" spans="1:89" ht="20.25" customHeight="1">
      <c r="A20" s="646"/>
      <c r="B20" s="639" t="s">
        <v>3761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1"/>
      <c r="R20" s="638"/>
      <c r="S20" s="648" t="s">
        <v>3338</v>
      </c>
      <c r="T20" s="2125"/>
      <c r="U20" s="2125"/>
      <c r="V20" s="2125"/>
      <c r="W20" s="2125"/>
      <c r="X20" s="2126">
        <f t="shared" si="0"/>
        <v>0</v>
      </c>
      <c r="Y20" s="2127"/>
      <c r="Z20" s="634"/>
      <c r="AA20" s="636"/>
      <c r="AB20" s="634"/>
      <c r="AC20" s="634"/>
      <c r="AF20" s="630">
        <f>SUM(AF16:AF19)</f>
        <v>42.25</v>
      </c>
      <c r="AG20" s="630">
        <f>SUM(AG16:AG19)</f>
        <v>16.829999999999998</v>
      </c>
      <c r="AH20" s="630">
        <f>SUM(AF20:AG20)</f>
        <v>59.08</v>
      </c>
      <c r="BL20" s="2161" t="s">
        <v>6921</v>
      </c>
      <c r="BM20" s="2144">
        <f>29151</f>
        <v>29151</v>
      </c>
      <c r="BN20" s="2144">
        <f>BM20*1.18</f>
        <v>34398.18</v>
      </c>
      <c r="BO20" s="2132">
        <v>130</v>
      </c>
      <c r="BP20" s="2144">
        <f>BN20*BO20/12*3</f>
        <v>1117940.8500000001</v>
      </c>
      <c r="BQ20" s="2132">
        <v>130</v>
      </c>
      <c r="BR20" s="2132">
        <v>310</v>
      </c>
      <c r="BS20" s="2132">
        <v>14</v>
      </c>
      <c r="BT20" s="2132">
        <f>BQ20+BR20-BS20</f>
        <v>426</v>
      </c>
      <c r="BU20" s="2162"/>
      <c r="BV20" s="2162">
        <f>BT20*BN20/12*7</f>
        <v>8547947.7299999986</v>
      </c>
      <c r="BW20" s="2132">
        <v>426</v>
      </c>
      <c r="BX20" s="2138">
        <v>0</v>
      </c>
      <c r="BY20" s="2138">
        <v>0</v>
      </c>
      <c r="BZ20" s="2138">
        <f t="shared" ref="BZ20:BZ22" si="11">BW20+BX20-BY20</f>
        <v>426</v>
      </c>
      <c r="CA20" s="2132"/>
      <c r="CB20" s="2162">
        <f>BZ20*BN20/12*5</f>
        <v>6105676.9499999993</v>
      </c>
      <c r="CC20" s="2144">
        <f>BZ20*BN20</f>
        <v>14653624.68</v>
      </c>
      <c r="CD20" s="2138">
        <v>426</v>
      </c>
      <c r="CE20" s="2138">
        <v>257</v>
      </c>
      <c r="CF20" s="2138">
        <v>0</v>
      </c>
      <c r="CG20" s="2138">
        <f t="shared" si="9"/>
        <v>683</v>
      </c>
      <c r="CH20" s="2144">
        <f>CE20*BN20*1.1</f>
        <v>9724365.4860000014</v>
      </c>
      <c r="CI20" s="2162">
        <f>CG20*BN20*1.1</f>
        <v>25843352.634000003</v>
      </c>
    </row>
    <row r="21" spans="1:89" ht="20.25" customHeight="1">
      <c r="A21" s="646">
        <v>9</v>
      </c>
      <c r="B21" s="752" t="s">
        <v>4062</v>
      </c>
      <c r="C21" s="653">
        <f>G21*23%*$C$64/($C$64+$D$64)</f>
        <v>0.30977914753298158</v>
      </c>
      <c r="D21" s="653">
        <f>G21*23%*$D$64/($C$64+$D$64)</f>
        <v>9.367891746701848E-2</v>
      </c>
      <c r="E21" s="653">
        <f>G21*77%*$E$64/($E$64+$F$64)</f>
        <v>0.96074660014874935</v>
      </c>
      <c r="F21" s="653">
        <f>G21*77%*$F$64/($E$64+$F$64)</f>
        <v>0.38996083485125088</v>
      </c>
      <c r="G21" s="2163">
        <f>'TB FY-2021-22'!G1131/10^7+'TB FY-2021-22'!G1132/10^7</f>
        <v>1.7541655</v>
      </c>
      <c r="H21" s="636"/>
      <c r="I21" s="653"/>
      <c r="J21" s="636"/>
      <c r="K21" s="636"/>
      <c r="L21" s="636"/>
      <c r="M21" s="636"/>
      <c r="N21" s="653"/>
      <c r="O21" s="636"/>
      <c r="P21" s="636"/>
      <c r="Q21" s="637">
        <f>SUM(M21:P21)</f>
        <v>0</v>
      </c>
      <c r="R21" s="638"/>
      <c r="S21" s="648" t="s">
        <v>358</v>
      </c>
      <c r="T21" s="2125"/>
      <c r="U21" s="2125"/>
      <c r="V21" s="2125"/>
      <c r="W21" s="2125">
        <v>0</v>
      </c>
      <c r="X21" s="2126">
        <f t="shared" si="0"/>
        <v>0</v>
      </c>
      <c r="Y21" s="2127"/>
      <c r="Z21" s="636"/>
      <c r="AA21" s="634"/>
      <c r="AB21" s="634"/>
      <c r="AC21" s="634"/>
      <c r="BL21" s="2161" t="s">
        <v>6922</v>
      </c>
      <c r="BM21" s="2144">
        <v>22480</v>
      </c>
      <c r="BN21" s="2144">
        <f t="shared" ref="BN21:BN22" si="12">BM21*1.18</f>
        <v>26526.399999999998</v>
      </c>
      <c r="BO21" s="2132">
        <v>130</v>
      </c>
      <c r="BP21" s="2144">
        <f>BN21*BO21/12*3</f>
        <v>862108</v>
      </c>
      <c r="BQ21" s="2132">
        <v>130</v>
      </c>
      <c r="BR21" s="2132">
        <v>310</v>
      </c>
      <c r="BS21" s="2132">
        <v>14</v>
      </c>
      <c r="BT21" s="2132">
        <f t="shared" ref="BT21:BT22" si="13">BQ21+BR21-BS21</f>
        <v>426</v>
      </c>
      <c r="BU21" s="2162"/>
      <c r="BV21" s="2162">
        <f t="shared" ref="BV21:BV22" si="14">BT21*BN21/12*7</f>
        <v>6591810.3999999985</v>
      </c>
      <c r="BW21" s="2132">
        <v>426</v>
      </c>
      <c r="BX21" s="2138">
        <v>0</v>
      </c>
      <c r="BY21" s="2138">
        <v>0</v>
      </c>
      <c r="BZ21" s="2138">
        <f t="shared" si="11"/>
        <v>426</v>
      </c>
      <c r="CA21" s="2132"/>
      <c r="CB21" s="2162">
        <f t="shared" ref="CB21:CB22" si="15">BZ21*BN21/12*5</f>
        <v>4708435.9999999991</v>
      </c>
      <c r="CC21" s="2144">
        <f t="shared" ref="CC21:CC22" si="16">BZ21*BN21</f>
        <v>11300246.399999999</v>
      </c>
      <c r="CD21" s="2138">
        <v>426</v>
      </c>
      <c r="CE21" s="2138">
        <v>257</v>
      </c>
      <c r="CF21" s="2138">
        <v>0</v>
      </c>
      <c r="CG21" s="2138">
        <f t="shared" si="9"/>
        <v>683</v>
      </c>
      <c r="CH21" s="2144">
        <f t="shared" ref="CH21:CH22" si="17">CE21*BN21*1.1</f>
        <v>7499013.2800000003</v>
      </c>
      <c r="CI21" s="2162">
        <f t="shared" ref="CI21:CI22" si="18">CG21*BN21*1.1</f>
        <v>19929284.32</v>
      </c>
    </row>
    <row r="22" spans="1:89" ht="20.25" customHeight="1" thickBot="1">
      <c r="A22" s="646">
        <v>10</v>
      </c>
      <c r="B22" s="753" t="s">
        <v>3762</v>
      </c>
      <c r="C22" s="636">
        <f>G22*28%*$C$64/($C$64+$D$64)</f>
        <v>14.04629428270864</v>
      </c>
      <c r="D22" s="636">
        <f>G22*28%*$D$64/($C$64+$D$64)</f>
        <v>4.2476766215751214</v>
      </c>
      <c r="E22" s="636">
        <f>G22*72%*$E$64/($E$64+$F$64)</f>
        <v>33.460314212645336</v>
      </c>
      <c r="F22" s="636">
        <f>G22*72%*$F$64/($E$64+$F$64)</f>
        <v>13.581325255512889</v>
      </c>
      <c r="G22" s="2163">
        <v>65.335610372441991</v>
      </c>
      <c r="H22" s="636"/>
      <c r="I22" s="653"/>
      <c r="J22" s="636"/>
      <c r="K22" s="636"/>
      <c r="L22" s="636">
        <v>166.28836286885229</v>
      </c>
      <c r="M22" s="2163"/>
      <c r="N22" s="1778"/>
      <c r="O22" s="1778"/>
      <c r="P22" s="1778"/>
      <c r="Q22" s="637">
        <v>200.80392000000001</v>
      </c>
      <c r="R22" s="638"/>
      <c r="S22" s="2164" t="s">
        <v>1100</v>
      </c>
      <c r="T22" s="2165">
        <f>SUM(T12:T21)</f>
        <v>295</v>
      </c>
      <c r="U22" s="2165">
        <f>SUM(U12:U21)</f>
        <v>92</v>
      </c>
      <c r="V22" s="2165">
        <f>SUM(V12:V21)</f>
        <v>1128</v>
      </c>
      <c r="W22" s="2165">
        <f>SUM(W12:W21)</f>
        <v>454</v>
      </c>
      <c r="X22" s="2166">
        <f>SUM(X12:X21)</f>
        <v>1969</v>
      </c>
      <c r="Y22" s="2167" t="e">
        <f>+#REF!/T22</f>
        <v>#REF!</v>
      </c>
      <c r="Z22" s="656" t="e">
        <f>+#REF!/U22</f>
        <v>#REF!</v>
      </c>
      <c r="AA22" s="656" t="e">
        <f>+#REF!/V22</f>
        <v>#REF!</v>
      </c>
      <c r="AB22" s="656" t="e">
        <f>+#REF!/W22</f>
        <v>#REF!</v>
      </c>
      <c r="AC22" s="656" t="e">
        <f>+#REF!/X22</f>
        <v>#REF!</v>
      </c>
      <c r="AD22" s="2166">
        <f>SUM(AD12:AD21)</f>
        <v>130</v>
      </c>
      <c r="AF22" s="630">
        <v>6.36</v>
      </c>
      <c r="BL22" s="2161" t="s">
        <v>6923</v>
      </c>
      <c r="BM22" s="2144">
        <f>284*12</f>
        <v>3408</v>
      </c>
      <c r="BN22" s="2144">
        <f t="shared" si="12"/>
        <v>4021.4399999999996</v>
      </c>
      <c r="BO22" s="2132">
        <v>130</v>
      </c>
      <c r="BP22" s="2144">
        <f>BN22*BO22</f>
        <v>522787.19999999995</v>
      </c>
      <c r="BQ22" s="2132">
        <v>130</v>
      </c>
      <c r="BR22" s="2132">
        <v>310</v>
      </c>
      <c r="BS22" s="2132">
        <v>14</v>
      </c>
      <c r="BT22" s="2132">
        <f t="shared" si="13"/>
        <v>426</v>
      </c>
      <c r="BU22" s="2162"/>
      <c r="BV22" s="2162">
        <f t="shared" si="14"/>
        <v>999327.84</v>
      </c>
      <c r="BW22" s="2132">
        <v>426</v>
      </c>
      <c r="BX22" s="2138">
        <v>0</v>
      </c>
      <c r="BY22" s="2138">
        <v>0</v>
      </c>
      <c r="BZ22" s="2138">
        <f t="shared" si="11"/>
        <v>426</v>
      </c>
      <c r="CA22" s="2132"/>
      <c r="CB22" s="2162">
        <f t="shared" si="15"/>
        <v>713805.6</v>
      </c>
      <c r="CC22" s="2144">
        <f t="shared" si="16"/>
        <v>1713133.44</v>
      </c>
      <c r="CD22" s="2138">
        <v>426</v>
      </c>
      <c r="CE22" s="2138">
        <v>257</v>
      </c>
      <c r="CF22" s="2138">
        <v>0</v>
      </c>
      <c r="CG22" s="2138">
        <f t="shared" si="9"/>
        <v>683</v>
      </c>
      <c r="CH22" s="2144">
        <f t="shared" si="17"/>
        <v>1136861.088</v>
      </c>
      <c r="CI22" s="2162">
        <f t="shared" si="18"/>
        <v>3021307.872</v>
      </c>
    </row>
    <row r="23" spans="1:89" ht="20.25" customHeight="1">
      <c r="A23" s="646">
        <v>11</v>
      </c>
      <c r="B23" s="2168" t="s">
        <v>8356</v>
      </c>
      <c r="C23" s="2163"/>
      <c r="D23" s="2163"/>
      <c r="E23" s="2163">
        <v>0</v>
      </c>
      <c r="F23" s="2163"/>
      <c r="G23" s="2163">
        <v>0</v>
      </c>
      <c r="H23" s="1778"/>
      <c r="I23" s="1778"/>
      <c r="J23" s="1778"/>
      <c r="K23" s="1778"/>
      <c r="L23" s="636"/>
      <c r="M23" s="2163">
        <v>0</v>
      </c>
      <c r="N23" s="1778"/>
      <c r="O23" s="1778"/>
      <c r="P23" s="1778"/>
      <c r="Q23" s="637"/>
      <c r="R23" s="638"/>
      <c r="S23" s="2169" t="s">
        <v>1276</v>
      </c>
      <c r="T23" s="2170"/>
      <c r="U23" s="2170"/>
      <c r="V23" s="2170"/>
      <c r="W23" s="2170"/>
      <c r="X23" s="2171"/>
      <c r="Y23" s="2172"/>
      <c r="Z23" s="754"/>
      <c r="AA23" s="754"/>
      <c r="AB23" s="754"/>
      <c r="AC23" s="754"/>
      <c r="AF23" s="630">
        <v>25.03</v>
      </c>
      <c r="BL23" s="2161" t="s">
        <v>6924</v>
      </c>
      <c r="BM23" s="2161"/>
      <c r="BN23" s="2161"/>
      <c r="BO23" s="2173"/>
      <c r="BP23" s="2174">
        <f>SUM(BP20:BP22)</f>
        <v>2502836.0499999998</v>
      </c>
      <c r="BQ23" s="2173"/>
      <c r="BR23" s="2173"/>
      <c r="BS23" s="2173"/>
      <c r="BT23" s="2173"/>
      <c r="BU23" s="2174"/>
      <c r="BV23" s="2174">
        <f>SUM(BV20:BV22)</f>
        <v>16139085.969999997</v>
      </c>
      <c r="BW23" s="2173"/>
      <c r="BX23" s="2173"/>
      <c r="BY23" s="2173"/>
      <c r="BZ23" s="2173"/>
      <c r="CA23" s="2173"/>
      <c r="CB23" s="2174">
        <f>SUM(CB20:CB22)</f>
        <v>11527918.549999999</v>
      </c>
      <c r="CC23" s="2174">
        <f>SUM(CC20:CC22)</f>
        <v>27667004.52</v>
      </c>
      <c r="CD23" s="2174"/>
      <c r="CE23" s="2174"/>
      <c r="CF23" s="2174"/>
      <c r="CG23" s="2174"/>
      <c r="CH23" s="2174">
        <f>SUM(CH20:CH22)</f>
        <v>18360239.854000002</v>
      </c>
      <c r="CI23" s="2174">
        <f>SUM(CI20:CI22)</f>
        <v>48793944.826000005</v>
      </c>
    </row>
    <row r="24" spans="1:89" ht="30.75" customHeight="1">
      <c r="A24" s="646">
        <v>12</v>
      </c>
      <c r="B24" s="755" t="s">
        <v>5126</v>
      </c>
      <c r="C24" s="2059">
        <f>SUM(C21:C23)</f>
        <v>14.356073430241622</v>
      </c>
      <c r="D24" s="2059">
        <f t="shared" ref="D24:Q24" si="19">SUM(D21:D23)</f>
        <v>4.3413555390421399</v>
      </c>
      <c r="E24" s="2059">
        <f t="shared" si="19"/>
        <v>34.421060812794089</v>
      </c>
      <c r="F24" s="2059">
        <f t="shared" si="19"/>
        <v>13.97128609036414</v>
      </c>
      <c r="G24" s="2059">
        <f t="shared" si="19"/>
        <v>67.08977587244199</v>
      </c>
      <c r="H24" s="2059">
        <f t="shared" si="19"/>
        <v>0</v>
      </c>
      <c r="I24" s="2059">
        <f t="shared" si="19"/>
        <v>0</v>
      </c>
      <c r="J24" s="2059">
        <f t="shared" si="19"/>
        <v>0</v>
      </c>
      <c r="K24" s="2059">
        <f t="shared" si="19"/>
        <v>0</v>
      </c>
      <c r="L24" s="2059">
        <f>SUM(L21:L23)</f>
        <v>166.28836286885229</v>
      </c>
      <c r="M24" s="2059">
        <f t="shared" si="19"/>
        <v>0</v>
      </c>
      <c r="N24" s="2059">
        <f t="shared" si="19"/>
        <v>0</v>
      </c>
      <c r="O24" s="2059">
        <f t="shared" si="19"/>
        <v>0</v>
      </c>
      <c r="P24" s="2059">
        <f t="shared" si="19"/>
        <v>0</v>
      </c>
      <c r="Q24" s="2175">
        <f t="shared" si="19"/>
        <v>200.80392000000001</v>
      </c>
      <c r="R24" s="638"/>
      <c r="S24" s="633" t="s">
        <v>261</v>
      </c>
      <c r="T24" s="2125">
        <v>0</v>
      </c>
      <c r="U24" s="2125"/>
      <c r="V24" s="2125"/>
      <c r="W24" s="2125">
        <v>3</v>
      </c>
      <c r="X24" s="2126">
        <f t="shared" ref="X24:X72" si="20">SUM(T24:W24)</f>
        <v>3</v>
      </c>
      <c r="Y24" s="2127"/>
      <c r="Z24" s="634"/>
      <c r="AA24" s="634"/>
      <c r="AB24" s="634"/>
      <c r="AC24" s="634"/>
      <c r="AD24" s="762">
        <f>BR19</f>
        <v>310</v>
      </c>
      <c r="AF24" s="630">
        <f>SUM(AF22:AF23)</f>
        <v>31.39</v>
      </c>
      <c r="BL24" s="2131" t="s">
        <v>6925</v>
      </c>
      <c r="BM24" s="2131"/>
      <c r="BN24" s="2131"/>
      <c r="BO24" s="2132"/>
      <c r="BP24" s="2132"/>
      <c r="BQ24" s="2132"/>
      <c r="BR24" s="2132"/>
      <c r="BS24" s="2132"/>
      <c r="BT24" s="2132"/>
      <c r="BU24" s="2132"/>
      <c r="BV24" s="2132"/>
      <c r="BW24" s="2132"/>
      <c r="BX24" s="2132"/>
      <c r="BY24" s="2132"/>
      <c r="BZ24" s="2132"/>
      <c r="CA24" s="2132"/>
      <c r="CB24" s="2162"/>
      <c r="CC24" s="2132"/>
      <c r="CD24" s="2132"/>
      <c r="CE24" s="2132"/>
      <c r="CF24" s="2132"/>
      <c r="CG24" s="2132"/>
      <c r="CH24" s="2132"/>
      <c r="CI24" s="2132"/>
    </row>
    <row r="25" spans="1:89" ht="20.25" customHeight="1">
      <c r="A25" s="646"/>
      <c r="B25" s="639" t="s">
        <v>1312</v>
      </c>
      <c r="C25" s="636"/>
      <c r="D25" s="636"/>
      <c r="E25" s="636"/>
      <c r="F25" s="636"/>
      <c r="G25" s="636"/>
      <c r="H25" s="636"/>
      <c r="I25" s="636"/>
      <c r="J25" s="636"/>
      <c r="K25" s="636"/>
      <c r="L25" s="636"/>
      <c r="M25" s="636"/>
      <c r="N25" s="636"/>
      <c r="O25" s="636"/>
      <c r="P25" s="636"/>
      <c r="Q25" s="637"/>
      <c r="R25" s="638"/>
      <c r="S25" s="648" t="s">
        <v>1115</v>
      </c>
      <c r="T25" s="2125">
        <v>0</v>
      </c>
      <c r="U25" s="2125">
        <v>0</v>
      </c>
      <c r="V25" s="2125"/>
      <c r="W25" s="2125"/>
      <c r="X25" s="2126">
        <f t="shared" si="20"/>
        <v>0</v>
      </c>
      <c r="Y25" s="2127">
        <f>-(17*6500)/100000</f>
        <v>-1.105</v>
      </c>
      <c r="Z25" s="634"/>
      <c r="AA25" s="634"/>
      <c r="AB25" s="634"/>
      <c r="AC25" s="634"/>
      <c r="AF25" s="630">
        <f>AF20+AF24</f>
        <v>73.64</v>
      </c>
      <c r="BL25" s="2176" t="s">
        <v>6926</v>
      </c>
      <c r="BM25" s="2173">
        <v>54281.25</v>
      </c>
      <c r="BN25" s="2161"/>
      <c r="BO25" s="2173"/>
      <c r="BP25" s="2173"/>
      <c r="BQ25" s="2173"/>
      <c r="BR25" s="2173"/>
      <c r="BS25" s="2173"/>
      <c r="BT25" s="2173"/>
      <c r="BU25" s="2173"/>
      <c r="BV25" s="2173"/>
      <c r="BW25" s="2173"/>
      <c r="BX25" s="2173"/>
      <c r="BY25" s="2173"/>
      <c r="BZ25" s="2173">
        <f>426-55</f>
        <v>371</v>
      </c>
      <c r="CA25" s="2173"/>
      <c r="CB25" s="2173"/>
      <c r="CC25" s="2177">
        <f>BM25*BZ25</f>
        <v>20138343.75</v>
      </c>
      <c r="CD25" s="2174"/>
      <c r="CE25" s="2178">
        <v>257</v>
      </c>
      <c r="CF25" s="2174"/>
      <c r="CG25" s="2174"/>
      <c r="CH25" s="2174">
        <f>BM25*CE25</f>
        <v>13950281.25</v>
      </c>
      <c r="CI25" s="2174">
        <f>CH25</f>
        <v>13950281.25</v>
      </c>
    </row>
    <row r="26" spans="1:89" ht="20.25" customHeight="1">
      <c r="A26" s="646">
        <v>13</v>
      </c>
      <c r="B26" s="634" t="s">
        <v>572</v>
      </c>
      <c r="C26" s="636">
        <f>G26*21%*$C$64/($C$64+$D$64)</f>
        <v>0.24833042545250658</v>
      </c>
      <c r="D26" s="636">
        <f>G26*21%*$D$64/($C$64+$D$64)</f>
        <v>7.5096486047493388E-2</v>
      </c>
      <c r="E26" s="636">
        <f>G26*79%*$E$64/($E$64+$F$64)</f>
        <v>0.86542914327383369</v>
      </c>
      <c r="F26" s="636">
        <f>G26*79%*$F$64/($E$64+$F$64)</f>
        <v>0.35127209522616631</v>
      </c>
      <c r="G26" s="636">
        <f>'TB FY-2021-22'!G1137/10^7</f>
        <v>1.5401281499999999</v>
      </c>
      <c r="H26" s="636"/>
      <c r="I26" s="636"/>
      <c r="J26" s="636"/>
      <c r="K26" s="636"/>
      <c r="L26" s="636"/>
      <c r="M26" s="636"/>
      <c r="N26" s="636"/>
      <c r="O26" s="636"/>
      <c r="P26" s="636"/>
      <c r="Q26" s="637">
        <v>0</v>
      </c>
      <c r="R26" s="638"/>
      <c r="S26" s="648" t="s">
        <v>262</v>
      </c>
      <c r="T26" s="2125">
        <v>0</v>
      </c>
      <c r="U26" s="2125"/>
      <c r="V26" s="2179"/>
      <c r="W26" s="2125"/>
      <c r="X26" s="2126">
        <f t="shared" si="20"/>
        <v>0</v>
      </c>
      <c r="Y26" s="2127"/>
      <c r="Z26" s="634"/>
      <c r="AA26" s="634"/>
      <c r="AB26" s="634"/>
      <c r="AC26" s="634"/>
      <c r="BL26" s="634"/>
      <c r="BM26" s="747" t="s">
        <v>5482</v>
      </c>
    </row>
    <row r="27" spans="1:89" ht="20.25" customHeight="1">
      <c r="A27" s="646">
        <v>14</v>
      </c>
      <c r="B27" s="634" t="s">
        <v>573</v>
      </c>
      <c r="C27" s="636">
        <f>G27*21%*$C$64/($C$64+$D$64)</f>
        <v>4.0481485888654353E-3</v>
      </c>
      <c r="D27" s="636">
        <f>G27*21%*$D$64/($C$64+$D$64)</f>
        <v>1.2241823911345645E-3</v>
      </c>
      <c r="E27" s="636">
        <f>G27*79%*$E$64/($E$64+$F$64)</f>
        <v>1.4107758881027721E-2</v>
      </c>
      <c r="F27" s="636">
        <f>G27*79%*$F$64/($E$64+$F$64)</f>
        <v>5.7262481389722779E-3</v>
      </c>
      <c r="G27" s="636">
        <f>('TB FY-2021-22'!G1138+'TB FY-2021-22'!G1139)/10^7</f>
        <v>2.5106337999999999E-2</v>
      </c>
      <c r="H27" s="636"/>
      <c r="I27" s="636"/>
      <c r="J27" s="636"/>
      <c r="K27" s="636"/>
      <c r="L27" s="636"/>
      <c r="M27" s="636"/>
      <c r="N27" s="636"/>
      <c r="O27" s="636"/>
      <c r="P27" s="636"/>
      <c r="Q27" s="637">
        <v>0</v>
      </c>
      <c r="R27" s="638"/>
      <c r="S27" s="648" t="s">
        <v>263</v>
      </c>
      <c r="T27" s="2125"/>
      <c r="U27" s="2125"/>
      <c r="V27" s="2125"/>
      <c r="W27" s="2125"/>
      <c r="X27" s="2126">
        <f t="shared" si="20"/>
        <v>0</v>
      </c>
      <c r="Y27" s="2127"/>
      <c r="Z27" s="634"/>
      <c r="AA27" s="634"/>
      <c r="AB27" s="634"/>
      <c r="AC27" s="634"/>
      <c r="BL27" s="2161" t="s">
        <v>6921</v>
      </c>
      <c r="BM27" s="653">
        <f>CI20/10^7</f>
        <v>2.5843352634000003</v>
      </c>
    </row>
    <row r="28" spans="1:89" ht="20.25" customHeight="1">
      <c r="A28" s="646">
        <v>15</v>
      </c>
      <c r="B28" s="634" t="s">
        <v>579</v>
      </c>
      <c r="C28" s="636"/>
      <c r="D28" s="636"/>
      <c r="E28" s="636"/>
      <c r="F28" s="636"/>
      <c r="G28" s="636"/>
      <c r="H28" s="636"/>
      <c r="I28" s="636"/>
      <c r="J28" s="636"/>
      <c r="K28" s="636"/>
      <c r="L28" s="636"/>
      <c r="M28" s="636"/>
      <c r="N28" s="636"/>
      <c r="O28" s="636"/>
      <c r="P28" s="636"/>
      <c r="Q28" s="637"/>
      <c r="R28" s="638"/>
      <c r="S28" s="648" t="s">
        <v>962</v>
      </c>
      <c r="T28" s="2125"/>
      <c r="U28" s="2125"/>
      <c r="V28" s="2125"/>
      <c r="W28" s="2125"/>
      <c r="X28" s="2126">
        <f t="shared" si="20"/>
        <v>0</v>
      </c>
      <c r="Y28" s="2127"/>
      <c r="Z28" s="634"/>
      <c r="AA28" s="634"/>
      <c r="AB28" s="634"/>
      <c r="AC28" s="634"/>
      <c r="BL28" s="2161" t="s">
        <v>6922</v>
      </c>
      <c r="BM28" s="653">
        <f>CI21/10^7</f>
        <v>1.992928432</v>
      </c>
    </row>
    <row r="29" spans="1:89" ht="20.25" customHeight="1">
      <c r="A29" s="646">
        <v>16</v>
      </c>
      <c r="B29" s="634" t="s">
        <v>3765</v>
      </c>
      <c r="C29" s="636">
        <f>G29*21%*$C$64/($C$64+$D$64)</f>
        <v>0</v>
      </c>
      <c r="D29" s="636">
        <f>G29*21%*$D$64/($C$64+$D$64)</f>
        <v>0</v>
      </c>
      <c r="E29" s="636">
        <f>G29*79%*$E$64/($E$64+$F$64)</f>
        <v>0</v>
      </c>
      <c r="F29" s="636">
        <f>G29*79%*$F$64/($E$64+$F$64)</f>
        <v>0</v>
      </c>
      <c r="G29" s="636">
        <v>0</v>
      </c>
      <c r="H29" s="636"/>
      <c r="I29" s="636"/>
      <c r="J29" s="636"/>
      <c r="K29" s="636"/>
      <c r="L29" s="636"/>
      <c r="M29" s="636"/>
      <c r="N29" s="636"/>
      <c r="O29" s="636"/>
      <c r="P29" s="636"/>
      <c r="Q29" s="637">
        <f t="shared" ref="Q29:Q33" si="21">SUM(M29:P29)</f>
        <v>0</v>
      </c>
      <c r="R29" s="638"/>
      <c r="S29" s="648" t="s">
        <v>963</v>
      </c>
      <c r="T29" s="2125"/>
      <c r="U29" s="2125"/>
      <c r="V29" s="2125"/>
      <c r="W29" s="2125"/>
      <c r="X29" s="2126">
        <f t="shared" si="20"/>
        <v>0</v>
      </c>
      <c r="Y29" s="2127"/>
      <c r="Z29" s="634"/>
      <c r="AA29" s="634"/>
      <c r="AB29" s="634"/>
      <c r="AC29" s="634"/>
      <c r="BL29" s="2161" t="s">
        <v>6923</v>
      </c>
      <c r="BM29" s="653">
        <f>CI22/10^7</f>
        <v>0.30213078719999997</v>
      </c>
    </row>
    <row r="30" spans="1:89" ht="20.25" customHeight="1">
      <c r="A30" s="646">
        <v>17</v>
      </c>
      <c r="B30" s="634" t="s">
        <v>580</v>
      </c>
      <c r="C30" s="636">
        <v>0.01</v>
      </c>
      <c r="D30" s="653">
        <v>0</v>
      </c>
      <c r="E30" s="653">
        <v>0</v>
      </c>
      <c r="F30" s="653">
        <v>0</v>
      </c>
      <c r="G30" s="636">
        <f>'TB FY-2021-22'!G1142/10^7</f>
        <v>3.3699199999999999E-2</v>
      </c>
      <c r="H30" s="636"/>
      <c r="I30" s="653"/>
      <c r="J30" s="653"/>
      <c r="K30" s="653"/>
      <c r="L30" s="636"/>
      <c r="M30" s="636"/>
      <c r="N30" s="653"/>
      <c r="O30" s="653"/>
      <c r="P30" s="653"/>
      <c r="Q30" s="637">
        <f t="shared" si="21"/>
        <v>0</v>
      </c>
      <c r="R30" s="638"/>
      <c r="S30" s="648" t="s">
        <v>3338</v>
      </c>
      <c r="T30" s="2125"/>
      <c r="U30" s="2125"/>
      <c r="V30" s="2125"/>
      <c r="W30" s="2125"/>
      <c r="X30" s="2126">
        <f t="shared" si="20"/>
        <v>0</v>
      </c>
      <c r="Y30" s="2127"/>
      <c r="Z30" s="634"/>
      <c r="AA30" s="634"/>
      <c r="AB30" s="634"/>
      <c r="AC30" s="634"/>
      <c r="BL30" s="2131" t="s">
        <v>6925</v>
      </c>
      <c r="BM30" s="653">
        <f>CI25/10^7</f>
        <v>1.3950281250000001</v>
      </c>
    </row>
    <row r="31" spans="1:89" ht="20.25" customHeight="1">
      <c r="A31" s="646">
        <v>18</v>
      </c>
      <c r="B31" s="634" t="s">
        <v>581</v>
      </c>
      <c r="C31" s="636">
        <f>G31*21%*$C$64/($C$64+$D$64)</f>
        <v>2.0773659229551451E-2</v>
      </c>
      <c r="D31" s="636">
        <f>G31*21%*$D$64/($C$64+$D$64)</f>
        <v>6.2820687704485479E-3</v>
      </c>
      <c r="E31" s="636">
        <f>G31*79%*$E$64/($E$64+$F$64)</f>
        <v>7.2396002531440157E-2</v>
      </c>
      <c r="F31" s="636">
        <f>G31*79%*$F$64/($E$64+$F$64)</f>
        <v>2.9385069468559837E-2</v>
      </c>
      <c r="G31" s="636">
        <f>'TB FY-2021-22'!G1171/10^7</f>
        <v>0.1288368</v>
      </c>
      <c r="H31" s="653"/>
      <c r="I31" s="653"/>
      <c r="J31" s="636"/>
      <c r="K31" s="636"/>
      <c r="L31" s="636"/>
      <c r="M31" s="653"/>
      <c r="N31" s="653"/>
      <c r="O31" s="636"/>
      <c r="P31" s="653"/>
      <c r="Q31" s="637">
        <f t="shared" si="21"/>
        <v>0</v>
      </c>
      <c r="R31" s="638"/>
      <c r="S31" s="648" t="s">
        <v>358</v>
      </c>
      <c r="T31" s="2125"/>
      <c r="U31" s="2125"/>
      <c r="V31" s="2125"/>
      <c r="W31" s="2125"/>
      <c r="X31" s="2126">
        <f t="shared" si="20"/>
        <v>0</v>
      </c>
      <c r="Y31" s="2127"/>
      <c r="Z31" s="634"/>
      <c r="AA31" s="634"/>
      <c r="AB31" s="634"/>
      <c r="AC31" s="634"/>
      <c r="BL31" s="634" t="s">
        <v>7134</v>
      </c>
      <c r="BM31" s="653">
        <v>2.08</v>
      </c>
    </row>
    <row r="32" spans="1:89" ht="20.25" customHeight="1">
      <c r="A32" s="646">
        <v>19</v>
      </c>
      <c r="B32" s="634" t="s">
        <v>8368</v>
      </c>
      <c r="C32" s="653">
        <f>G32*20%*$C$64/($C$64+$D$64)</f>
        <v>0</v>
      </c>
      <c r="D32" s="653">
        <f>G32*20%*$D$64/($C$64+$D$64)</f>
        <v>0</v>
      </c>
      <c r="E32" s="653">
        <f>G32*80%*$E$64/($E$64+$F$64)</f>
        <v>0</v>
      </c>
      <c r="F32" s="653">
        <f>G32*80%*$F$64/($E$64+$F$64)</f>
        <v>0</v>
      </c>
      <c r="G32" s="3105"/>
      <c r="H32" s="653"/>
      <c r="I32" s="653"/>
      <c r="J32" s="653"/>
      <c r="K32" s="653"/>
      <c r="L32" s="653"/>
      <c r="M32" s="653"/>
      <c r="N32" s="653"/>
      <c r="O32" s="653"/>
      <c r="P32" s="653"/>
      <c r="Q32" s="655">
        <f t="shared" si="21"/>
        <v>0</v>
      </c>
      <c r="R32" s="638"/>
      <c r="S32" s="734" t="s">
        <v>1100</v>
      </c>
      <c r="T32" s="2180">
        <f>SUM(T24:T31)</f>
        <v>0</v>
      </c>
      <c r="U32" s="2180">
        <f t="shared" ref="U32:X32" si="22">SUM(U24:U31)</f>
        <v>0</v>
      </c>
      <c r="V32" s="2180">
        <f t="shared" si="22"/>
        <v>0</v>
      </c>
      <c r="W32" s="2180">
        <f t="shared" si="22"/>
        <v>3</v>
      </c>
      <c r="X32" s="2180">
        <f t="shared" si="22"/>
        <v>3</v>
      </c>
      <c r="Y32" s="2127"/>
      <c r="Z32" s="634"/>
      <c r="AA32" s="634"/>
      <c r="AB32" s="634"/>
      <c r="AC32" s="634"/>
      <c r="AD32" s="2180">
        <f t="shared" ref="AD32" si="23">SUM(AD24:AD31)</f>
        <v>310</v>
      </c>
      <c r="BL32" s="634" t="s">
        <v>7135</v>
      </c>
      <c r="BM32" s="653">
        <v>1.5</v>
      </c>
    </row>
    <row r="33" spans="1:65" ht="20.25" customHeight="1">
      <c r="A33" s="646">
        <v>20</v>
      </c>
      <c r="B33" s="634" t="s">
        <v>1170</v>
      </c>
      <c r="C33" s="636">
        <f>G33*21%*$C$64/($C$64+$D$64)</f>
        <v>0.17580232798622689</v>
      </c>
      <c r="D33" s="636">
        <f>G33*21%*$D$64/($C$64+$D$64)</f>
        <v>5.3163590593773083E-2</v>
      </c>
      <c r="E33" s="636">
        <f>G33*79%*$E$64/($E$64+$F$64)</f>
        <v>0.61266942146709946</v>
      </c>
      <c r="F33" s="636">
        <f>G33*79%*$F$64/($E$64+$F$64)</f>
        <v>0.24867855795290061</v>
      </c>
      <c r="G33" s="636">
        <f>('TB FY-2021-22'!G1135+'TB FY-2021-22'!G1157+'TB FY-2021-22'!G1158+'TB FY-2021-22'!G1177+'TB FY-2021-22'!G1178+'TB FY-2021-22'!G1179+'TB FY-2021-22'!G1180+'TB FY-2021-22'!G1175+'TB FY-2021-22'!G1181)/10^7</f>
        <v>1.090313898</v>
      </c>
      <c r="H33" s="636"/>
      <c r="I33" s="636"/>
      <c r="J33" s="636"/>
      <c r="K33" s="636"/>
      <c r="L33" s="636"/>
      <c r="M33" s="636"/>
      <c r="N33" s="636"/>
      <c r="O33" s="636"/>
      <c r="P33" s="636"/>
      <c r="Q33" s="637">
        <f t="shared" si="21"/>
        <v>0</v>
      </c>
      <c r="R33" s="638"/>
      <c r="S33" s="734" t="s">
        <v>1277</v>
      </c>
      <c r="T33" s="2125"/>
      <c r="U33" s="2125"/>
      <c r="V33" s="2125"/>
      <c r="W33" s="2125"/>
      <c r="X33" s="2181"/>
      <c r="Y33" s="2127"/>
      <c r="Z33" s="634"/>
      <c r="AA33" s="634"/>
      <c r="AB33" s="634"/>
      <c r="AC33" s="634"/>
      <c r="BL33" s="634" t="s">
        <v>7136</v>
      </c>
      <c r="BM33" s="653">
        <v>0.6</v>
      </c>
    </row>
    <row r="34" spans="1:65" s="625" customFormat="1" ht="20.25" customHeight="1">
      <c r="A34" s="646"/>
      <c r="B34" s="634"/>
      <c r="C34" s="634"/>
      <c r="D34" s="634"/>
      <c r="E34" s="634"/>
      <c r="F34" s="634"/>
      <c r="G34" s="634"/>
      <c r="H34" s="634"/>
      <c r="I34" s="634"/>
      <c r="J34" s="634"/>
      <c r="K34" s="634"/>
      <c r="L34" s="634"/>
      <c r="M34" s="634"/>
      <c r="N34" s="634"/>
      <c r="O34" s="634"/>
      <c r="P34" s="634"/>
      <c r="Q34" s="635"/>
      <c r="R34" s="642"/>
      <c r="S34" s="633" t="s">
        <v>261</v>
      </c>
      <c r="T34" s="2125">
        <v>3</v>
      </c>
      <c r="U34" s="2125">
        <v>2</v>
      </c>
      <c r="V34" s="2125">
        <v>50</v>
      </c>
      <c r="W34" s="2125">
        <v>26</v>
      </c>
      <c r="X34" s="2126">
        <f t="shared" si="20"/>
        <v>81</v>
      </c>
      <c r="Y34" s="860"/>
      <c r="Z34" s="639"/>
      <c r="AA34" s="639"/>
      <c r="AB34" s="639"/>
      <c r="AC34" s="639"/>
      <c r="AD34" s="2182">
        <f>BS19</f>
        <v>14</v>
      </c>
      <c r="BL34" s="634" t="s">
        <v>7137</v>
      </c>
      <c r="BM34" s="653">
        <v>0.15</v>
      </c>
    </row>
    <row r="35" spans="1:65" ht="20.25" customHeight="1">
      <c r="A35" s="646">
        <v>21</v>
      </c>
      <c r="B35" s="639" t="s">
        <v>3766</v>
      </c>
      <c r="C35" s="640">
        <f>SUM(C26:C33)</f>
        <v>0.4589545612571504</v>
      </c>
      <c r="D35" s="640">
        <f t="shared" ref="D35:Q35" si="24">SUM(D26:D33)</f>
        <v>0.13576632780284958</v>
      </c>
      <c r="E35" s="640">
        <f t="shared" si="24"/>
        <v>1.564602326153401</v>
      </c>
      <c r="F35" s="640">
        <f t="shared" si="24"/>
        <v>0.63506197078659898</v>
      </c>
      <c r="G35" s="640">
        <f t="shared" si="24"/>
        <v>2.8180843859999998</v>
      </c>
      <c r="H35" s="640">
        <f t="shared" si="24"/>
        <v>0</v>
      </c>
      <c r="I35" s="640">
        <f t="shared" si="24"/>
        <v>0</v>
      </c>
      <c r="J35" s="640">
        <f t="shared" si="24"/>
        <v>0</v>
      </c>
      <c r="K35" s="640">
        <f t="shared" si="24"/>
        <v>0</v>
      </c>
      <c r="L35" s="640">
        <f t="shared" si="24"/>
        <v>0</v>
      </c>
      <c r="M35" s="640">
        <f t="shared" si="24"/>
        <v>0</v>
      </c>
      <c r="N35" s="640">
        <f t="shared" si="24"/>
        <v>0</v>
      </c>
      <c r="O35" s="640">
        <f t="shared" si="24"/>
        <v>0</v>
      </c>
      <c r="P35" s="640">
        <f t="shared" si="24"/>
        <v>0</v>
      </c>
      <c r="Q35" s="641">
        <f t="shared" si="24"/>
        <v>0</v>
      </c>
      <c r="R35" s="638"/>
      <c r="S35" s="648" t="s">
        <v>1115</v>
      </c>
      <c r="T35" s="2125"/>
      <c r="U35" s="2125"/>
      <c r="V35" s="2125"/>
      <c r="W35" s="2125"/>
      <c r="X35" s="2126">
        <f t="shared" si="20"/>
        <v>0</v>
      </c>
      <c r="Y35" s="2127"/>
      <c r="Z35" s="634"/>
      <c r="AA35" s="634"/>
      <c r="AB35" s="634"/>
      <c r="AC35" s="634"/>
      <c r="BL35" s="634" t="s">
        <v>7138</v>
      </c>
      <c r="BM35" s="653">
        <v>0.6</v>
      </c>
    </row>
    <row r="36" spans="1:65" ht="20.25" customHeight="1">
      <c r="A36" s="646">
        <v>22</v>
      </c>
      <c r="B36" s="634" t="s">
        <v>546</v>
      </c>
      <c r="C36" s="636">
        <f>G36*21%*$C$64/($C$64+$D$64)</f>
        <v>0.48749052951451183</v>
      </c>
      <c r="D36" s="636">
        <f>G36*21%*$D$64/($C$64+$D$64)</f>
        <v>0.1474198164854881</v>
      </c>
      <c r="E36" s="636">
        <f>G36*79%*$E$64/($E$64+$F$64)</f>
        <v>1.698899804738337</v>
      </c>
      <c r="F36" s="636">
        <f>G36*79%*$F$64/($E$64+$F$64)</f>
        <v>0.68957244926166339</v>
      </c>
      <c r="G36" s="636">
        <f>'TB FY-2021-22'!G1186/10^7</f>
        <v>3.0233826000000001</v>
      </c>
      <c r="H36" s="636">
        <f>L36*23%*$H$64/($H$64+$I$64)</f>
        <v>0.58641067491840004</v>
      </c>
      <c r="I36" s="636">
        <f>L36*23%*$I$64/($H$64+$I$64)</f>
        <v>0.17714489138160003</v>
      </c>
      <c r="J36" s="636">
        <f>L36*77%*$J$64/($J$64+$K$64)</f>
        <v>1.8134090019410256</v>
      </c>
      <c r="K36" s="636">
        <f>L36*77%*$K$64/($J$64+$K$64)</f>
        <v>0.7428422417589744</v>
      </c>
      <c r="L36" s="636">
        <v>3.3198068100000002</v>
      </c>
      <c r="M36" s="636">
        <f>Q36*23%*$H$64/($H$64+$I$64)</f>
        <v>3.5913383928422409</v>
      </c>
      <c r="N36" s="636">
        <f>Q36*23%*$I$64/($H$64+$I$64)</f>
        <v>1.0848834728377603</v>
      </c>
      <c r="O36" s="636">
        <f>Q36*77%*$J$64/($J$64+$K$64)</f>
        <v>11.105809715184275</v>
      </c>
      <c r="P36" s="636">
        <f>Q36*77%*$K$64/($J$64+$K$64)</f>
        <v>4.5493678351357278</v>
      </c>
      <c r="Q36" s="637">
        <v>20.331399416000004</v>
      </c>
      <c r="R36" s="638"/>
      <c r="S36" s="648" t="s">
        <v>262</v>
      </c>
      <c r="T36" s="2125"/>
      <c r="U36" s="2125"/>
      <c r="V36" s="2179"/>
      <c r="W36" s="2125"/>
      <c r="X36" s="2126">
        <f t="shared" si="20"/>
        <v>0</v>
      </c>
      <c r="Y36" s="2127"/>
      <c r="Z36" s="634"/>
      <c r="AA36" s="634"/>
      <c r="AB36" s="634"/>
      <c r="AC36" s="634"/>
      <c r="BL36" s="634" t="s">
        <v>7139</v>
      </c>
      <c r="BM36" s="653">
        <v>0.4</v>
      </c>
    </row>
    <row r="37" spans="1:65" ht="20.25" customHeight="1">
      <c r="A37" s="646">
        <v>23</v>
      </c>
      <c r="B37" s="634" t="s">
        <v>4049</v>
      </c>
      <c r="C37" s="636">
        <f>G37*28%*$C$64/($C$64+$D$64)</f>
        <v>39.861016100999059</v>
      </c>
      <c r="D37" s="636">
        <f>G37*28%*$D$64/($C$64+$D$64)</f>
        <v>12.054190436040951</v>
      </c>
      <c r="E37" s="636">
        <f>G37*72%*$E$64/($E$64+$F$64)</f>
        <v>94.95473302283294</v>
      </c>
      <c r="F37" s="636">
        <f>G37*72%*$F$64/($E$64+$F$64)</f>
        <v>38.541512358127058</v>
      </c>
      <c r="G37" s="636">
        <f>('TB FY-2021-22'!G1060+'TB FY-2021-22'!G1160+'TB FY-2021-22'!G1169+'TB FY-2021-22'!G1170+'TB FY-2021-22'!G1172+'TB FY-2021-22'!G1173+'TB FY-2021-22'!G1182+'TB FY-2021-22'!G1185+'TB FY-2021-22'!G1190+'TB FY-2021-22'!G1191+'TB FY-2021-22'!G1141)/10^7+('TB FY-2021-22'!G1161+'TB FY-2021-22'!G1162+'TB FY-2021-22'!G1163+'TB FY-2021-22'!G1164+'TB FY-2021-22'!G1165+'TB FY-2021-22'!G1166+'TB FY-2021-22'!G1167+'TB FY-2021-22'!G1183+'TB FY-2021-22'!G1184+'TB FY-2021-22'!G1168)/10^7-9.654964</f>
        <v>185.41145191800001</v>
      </c>
      <c r="H37" s="636">
        <f>L37*28%*$H$64/($H$64+$I$64)</f>
        <v>28.064252371734611</v>
      </c>
      <c r="I37" s="636">
        <f>L37*28%*$I$64/($H$64+$I$64)</f>
        <v>8.4777429039614969</v>
      </c>
      <c r="J37" s="636">
        <f>L37*72%*$J$64/($J$64+$K$64)</f>
        <v>66.659024349072013</v>
      </c>
      <c r="K37" s="636">
        <f>L37*72%*$K$64/($J$64+$K$64)</f>
        <v>27.306106359860827</v>
      </c>
      <c r="L37" s="636">
        <v>130.50712598462894</v>
      </c>
      <c r="M37" s="636">
        <f>Q37*28%*$M$64/($M$64+$N$64)</f>
        <v>29.896595554840587</v>
      </c>
      <c r="N37" s="636">
        <f>Q37*28%*$N$64/($M$64+$N$64)</f>
        <v>9.0312632405247601</v>
      </c>
      <c r="O37" s="636">
        <f>Q37*72%*$O$64/($O$64+$P$64)</f>
        <v>71.11448441396054</v>
      </c>
      <c r="P37" s="636">
        <f>Q37*72%*$P$64/($O$64+$P$64)</f>
        <v>28.98572391697892</v>
      </c>
      <c r="Q37" s="637">
        <v>139.02806712630479</v>
      </c>
      <c r="R37" s="638"/>
      <c r="S37" s="648" t="s">
        <v>263</v>
      </c>
      <c r="T37" s="2125"/>
      <c r="U37" s="2125"/>
      <c r="V37" s="2125"/>
      <c r="W37" s="2125"/>
      <c r="X37" s="2126">
        <f t="shared" si="20"/>
        <v>0</v>
      </c>
      <c r="Y37" s="2127"/>
      <c r="Z37" s="634"/>
      <c r="AA37" s="634"/>
      <c r="AB37" s="634"/>
      <c r="AC37" s="634"/>
      <c r="BL37" s="634" t="s">
        <v>7140</v>
      </c>
      <c r="BM37" s="653">
        <v>8</v>
      </c>
    </row>
    <row r="38" spans="1:65" s="625" customFormat="1" ht="32.25" customHeight="1">
      <c r="A38" s="646">
        <v>24</v>
      </c>
      <c r="B38" s="743" t="s">
        <v>4793</v>
      </c>
      <c r="C38" s="640">
        <f>G38*28%*$C$64/($C$64+$D$64)</f>
        <v>0</v>
      </c>
      <c r="D38" s="640">
        <f>G38*28%*$D$64/($C$64+$D$64)</f>
        <v>0</v>
      </c>
      <c r="E38" s="640">
        <f>G38*72%*$E$64/($E$64+$F$64)</f>
        <v>0</v>
      </c>
      <c r="F38" s="640">
        <f>G38*72%*$F$64/($E$64+$F$64)</f>
        <v>0</v>
      </c>
      <c r="G38" s="640">
        <v>0</v>
      </c>
      <c r="H38" s="636">
        <f>L38*28%*$H$64/($H$64+$I$64)</f>
        <v>0</v>
      </c>
      <c r="I38" s="636">
        <f>L38*28%*$I$64/($H$64+$I$64)</f>
        <v>0</v>
      </c>
      <c r="J38" s="636">
        <f>L38*72%*$J$64/($J$64+$K$64)</f>
        <v>0</v>
      </c>
      <c r="K38" s="636">
        <f>L38*72%*$K$64/($J$64+$K$64)</f>
        <v>0</v>
      </c>
      <c r="L38" s="636">
        <f>(P170/10000000)</f>
        <v>0</v>
      </c>
      <c r="M38" s="636">
        <f>Q38*28%*$M$64/($M$64+$N$64)</f>
        <v>0</v>
      </c>
      <c r="N38" s="636">
        <f>Q38*28%*$N$64/($M$64+$N$64)</f>
        <v>0</v>
      </c>
      <c r="O38" s="636">
        <f>Q38*72%*$O$64/($O$64+$P$64)</f>
        <v>0</v>
      </c>
      <c r="P38" s="636">
        <f>Q38*72%*$P$64/($O$64+$P$64)</f>
        <v>0</v>
      </c>
      <c r="Q38" s="641">
        <v>0</v>
      </c>
      <c r="R38" s="642"/>
      <c r="S38" s="648" t="s">
        <v>962</v>
      </c>
      <c r="T38" s="2125"/>
      <c r="U38" s="2125"/>
      <c r="V38" s="2125"/>
      <c r="W38" s="2125"/>
      <c r="X38" s="2126">
        <f t="shared" si="20"/>
        <v>0</v>
      </c>
      <c r="Y38" s="860"/>
      <c r="Z38" s="639"/>
      <c r="AA38" s="639"/>
      <c r="AB38" s="639"/>
      <c r="AC38" s="639"/>
      <c r="BL38" s="639"/>
      <c r="BM38" s="664">
        <f>SUM(BM27:BM37)</f>
        <v>19.6044226076</v>
      </c>
    </row>
    <row r="39" spans="1:65" ht="20.25" customHeight="1">
      <c r="A39" s="2121">
        <v>25</v>
      </c>
      <c r="B39" s="639" t="s">
        <v>3767</v>
      </c>
      <c r="C39" s="640">
        <f>C19+C24+C35+C36+C37+C38</f>
        <v>91.013400373038209</v>
      </c>
      <c r="D39" s="640">
        <f t="shared" ref="D39:Q39" si="25">D19+D24+D35+D36+D37+D38</f>
        <v>27.519928635145575</v>
      </c>
      <c r="E39" s="640">
        <f t="shared" si="25"/>
        <v>218.038885948565</v>
      </c>
      <c r="F39" s="640">
        <f t="shared" si="25"/>
        <v>88.500574429693216</v>
      </c>
      <c r="G39" s="640">
        <f t="shared" si="25"/>
        <v>425.09648858644204</v>
      </c>
      <c r="H39" s="640">
        <f t="shared" si="25"/>
        <v>67.129447989711167</v>
      </c>
      <c r="I39" s="640">
        <f t="shared" si="25"/>
        <v>20.284587363078415</v>
      </c>
      <c r="J39" s="640">
        <f t="shared" si="25"/>
        <v>136.20475976889819</v>
      </c>
      <c r="K39" s="640">
        <f t="shared" si="25"/>
        <v>55.67336951748544</v>
      </c>
      <c r="L39" s="640">
        <f>L19+L24+L35+L36+L37+L38</f>
        <v>458.29160106330619</v>
      </c>
      <c r="M39" s="640">
        <f t="shared" si="25"/>
        <v>75.085038976208423</v>
      </c>
      <c r="N39" s="640">
        <f t="shared" si="25"/>
        <v>22.681938857396293</v>
      </c>
      <c r="O39" s="640">
        <f t="shared" si="25"/>
        <v>154.0167296736868</v>
      </c>
      <c r="P39" s="640">
        <f t="shared" si="25"/>
        <v>62.867273263176713</v>
      </c>
      <c r="Q39" s="641">
        <f t="shared" si="25"/>
        <v>527.58444680271384</v>
      </c>
      <c r="R39" s="2183">
        <f>399.51</f>
        <v>399.51</v>
      </c>
      <c r="S39" s="648" t="s">
        <v>963</v>
      </c>
      <c r="T39" s="2125"/>
      <c r="U39" s="2125"/>
      <c r="V39" s="2125"/>
      <c r="W39" s="2125"/>
      <c r="X39" s="2126">
        <f t="shared" si="20"/>
        <v>0</v>
      </c>
      <c r="Y39" s="2127"/>
      <c r="Z39" s="634"/>
      <c r="AA39" s="634"/>
      <c r="AB39" s="634"/>
      <c r="AC39" s="634"/>
    </row>
    <row r="40" spans="1:65" ht="20.25" customHeight="1">
      <c r="A40" s="646">
        <v>26</v>
      </c>
      <c r="B40" s="634" t="s">
        <v>3768</v>
      </c>
      <c r="C40" s="636">
        <f>$G$40/$G$39*C39</f>
        <v>0.46408229385781796</v>
      </c>
      <c r="D40" s="636">
        <f>$G$40/$G$39*D39</f>
        <v>0.14032561749648942</v>
      </c>
      <c r="E40" s="636">
        <f>$G$40/$G$39*E39</f>
        <v>1.1117921748497719</v>
      </c>
      <c r="F40" s="636">
        <f>$G$40/$G$39*F39</f>
        <v>0.45126925728217937</v>
      </c>
      <c r="G40" s="636">
        <f>-'TB FY-2021-22'!G1159/10^7</f>
        <v>2.1675901870000001</v>
      </c>
      <c r="H40" s="636">
        <f>$L$40/$L$39*H39</f>
        <v>4.1409213921138139</v>
      </c>
      <c r="I40" s="636">
        <f>$L$40/$L$39*I39</f>
        <v>1.2512672792251627</v>
      </c>
      <c r="J40" s="636">
        <f>$L$40/$L$39*J39</f>
        <v>8.4018745919257221</v>
      </c>
      <c r="K40" s="636">
        <f>$L$40/$L$39*K39</f>
        <v>3.4342461275913809</v>
      </c>
      <c r="L40" s="636">
        <v>28.27</v>
      </c>
      <c r="M40" s="636">
        <f>SUM(M19,M35,M38,M36)*10%</f>
        <v>4.5188443421367834</v>
      </c>
      <c r="N40" s="636">
        <f>SUM(N19,N35,N38,N36)*10%</f>
        <v>1.3650675616871535</v>
      </c>
      <c r="O40" s="636">
        <f t="shared" ref="O40" si="26">SUM(O19,O35,O38,O36)*10%</f>
        <v>8.2902245259726257</v>
      </c>
      <c r="P40" s="636">
        <f>SUM(P19,P35,P38,P36)*10%</f>
        <v>3.3881549346197795</v>
      </c>
      <c r="Q40" s="637">
        <v>30.240000000000002</v>
      </c>
      <c r="R40" s="630">
        <f>367.63</f>
        <v>367.63</v>
      </c>
      <c r="S40" s="648" t="s">
        <v>3338</v>
      </c>
      <c r="T40" s="2125"/>
      <c r="U40" s="2125"/>
      <c r="V40" s="2125"/>
      <c r="W40" s="2125"/>
      <c r="X40" s="2126">
        <f t="shared" si="20"/>
        <v>0</v>
      </c>
      <c r="Y40" s="2127"/>
      <c r="Z40" s="634"/>
      <c r="AA40" s="634"/>
      <c r="AB40" s="634"/>
      <c r="AC40" s="634"/>
    </row>
    <row r="41" spans="1:65" ht="20.25" customHeight="1">
      <c r="A41" s="2121">
        <v>27</v>
      </c>
      <c r="B41" s="639" t="s">
        <v>3772</v>
      </c>
      <c r="C41" s="640">
        <f>C39-C40</f>
        <v>90.549318079180395</v>
      </c>
      <c r="D41" s="640">
        <f>D39-D40</f>
        <v>27.379603017649085</v>
      </c>
      <c r="E41" s="640">
        <f>E39-E40</f>
        <v>216.92709377371523</v>
      </c>
      <c r="F41" s="640">
        <f>F39-F40</f>
        <v>88.049305172411039</v>
      </c>
      <c r="G41" s="640">
        <f>G39-G40</f>
        <v>422.92889839944206</v>
      </c>
      <c r="H41" s="640">
        <f t="shared" ref="H41:Q41" si="27">H39-H40</f>
        <v>62.988526597597357</v>
      </c>
      <c r="I41" s="640">
        <f t="shared" si="27"/>
        <v>19.033320083853251</v>
      </c>
      <c r="J41" s="640">
        <f t="shared" si="27"/>
        <v>127.80288517697247</v>
      </c>
      <c r="K41" s="640">
        <f t="shared" si="27"/>
        <v>52.239123389894061</v>
      </c>
      <c r="L41" s="640">
        <f t="shared" si="27"/>
        <v>430.02160106330621</v>
      </c>
      <c r="M41" s="640">
        <f t="shared" si="27"/>
        <v>70.566194634071636</v>
      </c>
      <c r="N41" s="640">
        <f t="shared" si="27"/>
        <v>21.316871295709142</v>
      </c>
      <c r="O41" s="640">
        <f t="shared" si="27"/>
        <v>145.72650514771416</v>
      </c>
      <c r="P41" s="640">
        <f t="shared" si="27"/>
        <v>59.479118328556936</v>
      </c>
      <c r="Q41" s="641">
        <f t="shared" si="27"/>
        <v>497.34444680271383</v>
      </c>
      <c r="R41" s="638">
        <f>R39-Q39</f>
        <v>-128.07444680271385</v>
      </c>
      <c r="S41" s="648" t="s">
        <v>358</v>
      </c>
      <c r="T41" s="2125"/>
      <c r="U41" s="2125"/>
      <c r="V41" s="2125"/>
      <c r="W41" s="2125"/>
      <c r="X41" s="2126">
        <f t="shared" si="20"/>
        <v>0</v>
      </c>
      <c r="Y41" s="2127"/>
      <c r="Z41" s="634"/>
      <c r="AA41" s="634"/>
      <c r="AB41" s="634"/>
      <c r="AC41" s="634"/>
    </row>
    <row r="42" spans="1:65" ht="20.25" customHeight="1" thickBot="1">
      <c r="A42" s="2186"/>
      <c r="B42" s="2326"/>
      <c r="C42" s="2187"/>
      <c r="D42" s="2187"/>
      <c r="E42" s="2187"/>
      <c r="F42" s="656"/>
      <c r="G42" s="2187"/>
      <c r="H42" s="656"/>
      <c r="I42" s="656"/>
      <c r="J42" s="656"/>
      <c r="K42" s="656"/>
      <c r="L42" s="656"/>
      <c r="M42" s="2187"/>
      <c r="N42" s="2187"/>
      <c r="O42" s="2187"/>
      <c r="P42" s="656"/>
      <c r="Q42" s="2348"/>
      <c r="S42" s="734" t="s">
        <v>1100</v>
      </c>
      <c r="T42" s="2180">
        <f>SUM(T34:T41)</f>
        <v>3</v>
      </c>
      <c r="U42" s="2180">
        <f>SUM(U34:U41)</f>
        <v>2</v>
      </c>
      <c r="V42" s="2180">
        <f>SUM(V34:V41)</f>
        <v>50</v>
      </c>
      <c r="W42" s="2180">
        <f>SUM(W34:W41)</f>
        <v>26</v>
      </c>
      <c r="X42" s="2126">
        <f>SUM(X34:X41)</f>
        <v>81</v>
      </c>
      <c r="Y42" s="2127"/>
      <c r="Z42" s="634"/>
      <c r="AA42" s="634"/>
      <c r="AB42" s="634"/>
      <c r="AC42" s="634"/>
      <c r="AD42" s="2126">
        <f>SUM(AD34:AD41)</f>
        <v>14</v>
      </c>
    </row>
    <row r="43" spans="1:65" ht="20.25" customHeight="1">
      <c r="B43" s="625"/>
      <c r="C43" s="1357"/>
      <c r="D43" s="1357"/>
      <c r="E43" s="1357"/>
      <c r="F43" s="997"/>
      <c r="G43" s="1357"/>
      <c r="H43" s="638"/>
      <c r="I43" s="638"/>
      <c r="J43" s="638"/>
      <c r="K43" s="638"/>
      <c r="L43" s="638"/>
      <c r="P43" s="638"/>
      <c r="S43" s="734"/>
      <c r="T43" s="2180"/>
      <c r="U43" s="2180"/>
      <c r="V43" s="2180"/>
      <c r="W43" s="2180"/>
      <c r="X43" s="2126"/>
      <c r="Y43" s="2127"/>
      <c r="Z43" s="634"/>
      <c r="AA43" s="634"/>
      <c r="AB43" s="634"/>
      <c r="AC43" s="634"/>
      <c r="AD43" s="2357"/>
    </row>
    <row r="44" spans="1:65" ht="20.25" customHeight="1">
      <c r="B44" s="625"/>
      <c r="C44" s="1357"/>
      <c r="D44" s="1357"/>
      <c r="E44" s="1357"/>
      <c r="F44" s="997"/>
      <c r="G44" s="1357"/>
      <c r="H44" s="638"/>
      <c r="I44" s="638"/>
      <c r="J44" s="638"/>
      <c r="K44" s="638"/>
      <c r="L44" s="638"/>
      <c r="P44" s="638"/>
      <c r="S44" s="734"/>
      <c r="T44" s="2180"/>
      <c r="U44" s="2180"/>
      <c r="V44" s="2180"/>
      <c r="W44" s="2180"/>
      <c r="X44" s="2126"/>
      <c r="Y44" s="2127"/>
      <c r="Z44" s="634"/>
      <c r="AA44" s="634"/>
      <c r="AB44" s="634"/>
      <c r="AC44" s="634"/>
      <c r="AD44" s="2357"/>
    </row>
    <row r="45" spans="1:65" ht="20.25" customHeight="1">
      <c r="B45" s="625"/>
      <c r="C45" s="1357"/>
      <c r="D45" s="1357"/>
      <c r="E45" s="1357"/>
      <c r="F45" s="997"/>
      <c r="G45" s="1378">
        <f>G41+'F-12-B'!G17</f>
        <v>461.16258124244206</v>
      </c>
      <c r="H45" s="638"/>
      <c r="I45" s="638"/>
      <c r="J45" s="638"/>
      <c r="K45" s="638"/>
      <c r="L45" s="638">
        <v>430.02160106330626</v>
      </c>
      <c r="P45" s="638"/>
      <c r="Q45" s="638">
        <v>497.34444680271389</v>
      </c>
      <c r="S45" s="734"/>
      <c r="T45" s="2180"/>
      <c r="U45" s="2180"/>
      <c r="V45" s="2180"/>
      <c r="W45" s="2180"/>
      <c r="X45" s="2126"/>
      <c r="Y45" s="2127"/>
      <c r="Z45" s="634"/>
      <c r="AA45" s="634"/>
      <c r="AB45" s="634"/>
      <c r="AC45" s="634"/>
      <c r="AD45" s="2357"/>
    </row>
    <row r="46" spans="1:65" ht="20.25" customHeight="1">
      <c r="B46" s="625"/>
      <c r="C46" s="1357"/>
      <c r="D46" s="1357"/>
      <c r="E46" s="1357"/>
      <c r="F46" s="997"/>
      <c r="G46" s="1379">
        <f>'OERC 14,15 &amp; 16'!D51/10^7</f>
        <v>528.14994101600007</v>
      </c>
      <c r="H46" s="638"/>
      <c r="I46" s="638"/>
      <c r="J46" s="638"/>
      <c r="K46" s="638"/>
      <c r="L46" s="638">
        <f>L41-L45</f>
        <v>0</v>
      </c>
      <c r="P46" s="638"/>
      <c r="Q46" s="638">
        <f>Q41-Q45</f>
        <v>0</v>
      </c>
      <c r="S46" s="734"/>
      <c r="T46" s="2180"/>
      <c r="U46" s="2180"/>
      <c r="V46" s="2180"/>
      <c r="W46" s="2180"/>
      <c r="X46" s="2126"/>
      <c r="Y46" s="2127"/>
      <c r="Z46" s="634"/>
      <c r="AA46" s="634"/>
      <c r="AB46" s="634"/>
      <c r="AC46" s="634"/>
      <c r="AD46" s="2357"/>
    </row>
    <row r="47" spans="1:65" ht="20.25" customHeight="1">
      <c r="B47" s="625"/>
      <c r="C47" s="1357"/>
      <c r="D47" s="1357"/>
      <c r="E47" s="1357"/>
      <c r="F47" s="997"/>
      <c r="G47" s="1378">
        <f>G46-G45</f>
        <v>66.987359773558012</v>
      </c>
      <c r="H47" s="638"/>
      <c r="I47" s="638"/>
      <c r="J47" s="638"/>
      <c r="K47" s="638"/>
      <c r="L47" s="638"/>
      <c r="P47" s="638"/>
      <c r="S47" s="734"/>
      <c r="T47" s="2180"/>
      <c r="U47" s="2180"/>
      <c r="V47" s="2180"/>
      <c r="W47" s="2180"/>
      <c r="X47" s="2126"/>
      <c r="Y47" s="2127"/>
      <c r="Z47" s="634"/>
      <c r="AA47" s="634"/>
      <c r="AB47" s="634"/>
      <c r="AC47" s="634"/>
      <c r="AD47" s="2357"/>
    </row>
    <row r="48" spans="1:65" ht="20.25" customHeight="1">
      <c r="B48" s="625"/>
      <c r="C48" s="1357"/>
      <c r="D48" s="1357"/>
      <c r="E48" s="1357"/>
      <c r="F48" s="997"/>
      <c r="G48" s="1379"/>
      <c r="H48" s="638"/>
      <c r="I48" s="638"/>
      <c r="J48" s="638"/>
      <c r="K48" s="638"/>
      <c r="L48" s="638"/>
      <c r="P48" s="638"/>
      <c r="S48" s="734"/>
      <c r="T48" s="2180"/>
      <c r="U48" s="2180"/>
      <c r="V48" s="2180"/>
      <c r="W48" s="2180"/>
      <c r="X48" s="2126"/>
      <c r="Y48" s="2127"/>
      <c r="Z48" s="634"/>
      <c r="AA48" s="634"/>
      <c r="AB48" s="634"/>
      <c r="AC48" s="634"/>
      <c r="AD48" s="2357"/>
    </row>
    <row r="49" spans="1:30" ht="20.25" customHeight="1">
      <c r="B49" s="625"/>
      <c r="C49" s="1357"/>
      <c r="D49" s="1357"/>
      <c r="E49" s="1357"/>
      <c r="F49" s="997"/>
      <c r="G49" s="1378"/>
      <c r="H49" s="638"/>
      <c r="I49" s="638"/>
      <c r="J49" s="638"/>
      <c r="K49" s="638"/>
      <c r="L49" s="638"/>
      <c r="P49" s="638"/>
      <c r="S49" s="734"/>
      <c r="T49" s="2180"/>
      <c r="U49" s="2180"/>
      <c r="V49" s="2180"/>
      <c r="W49" s="2180"/>
      <c r="X49" s="2126"/>
      <c r="Y49" s="2127"/>
      <c r="Z49" s="634"/>
      <c r="AA49" s="634"/>
      <c r="AB49" s="634"/>
      <c r="AC49" s="634"/>
      <c r="AD49" s="2357"/>
    </row>
    <row r="50" spans="1:30" ht="20.25" customHeight="1">
      <c r="B50" s="625"/>
      <c r="C50" s="1357"/>
      <c r="D50" s="1357"/>
      <c r="E50" s="1357"/>
      <c r="F50" s="997"/>
      <c r="G50" s="1357"/>
      <c r="H50" s="638"/>
      <c r="I50" s="638"/>
      <c r="J50" s="638"/>
      <c r="K50" s="638"/>
      <c r="L50" s="638"/>
      <c r="P50" s="638"/>
      <c r="S50" s="734"/>
      <c r="T50" s="2180"/>
      <c r="U50" s="2180"/>
      <c r="V50" s="2180"/>
      <c r="W50" s="2180"/>
      <c r="X50" s="2126"/>
      <c r="Y50" s="2127"/>
      <c r="Z50" s="634"/>
      <c r="AA50" s="634"/>
      <c r="AB50" s="634"/>
      <c r="AC50" s="634"/>
      <c r="AD50" s="2357"/>
    </row>
    <row r="51" spans="1:30" ht="20.25" customHeight="1">
      <c r="B51" s="625"/>
      <c r="C51" s="1357"/>
      <c r="D51" s="1357"/>
      <c r="E51" s="1357"/>
      <c r="F51" s="997"/>
      <c r="G51" s="1378">
        <f>G45+'F-13-B'!C16+'F-14  '!C77</f>
        <v>648.60193082080173</v>
      </c>
      <c r="H51" s="638"/>
      <c r="I51" s="638"/>
      <c r="J51" s="638"/>
      <c r="K51" s="638"/>
      <c r="L51" s="638"/>
      <c r="P51" s="638"/>
      <c r="S51" s="734"/>
      <c r="T51" s="2180"/>
      <c r="U51" s="2180"/>
      <c r="V51" s="2180"/>
      <c r="W51" s="2180"/>
      <c r="X51" s="2126"/>
      <c r="Y51" s="2127"/>
      <c r="Z51" s="634"/>
      <c r="AA51" s="634"/>
      <c r="AB51" s="634"/>
      <c r="AC51" s="634"/>
      <c r="AD51" s="2357"/>
    </row>
    <row r="52" spans="1:30" ht="20.25" customHeight="1">
      <c r="B52" s="625"/>
      <c r="C52" s="1357"/>
      <c r="D52" s="1357"/>
      <c r="E52" s="1357"/>
      <c r="F52" s="997"/>
      <c r="G52" s="997">
        <f>'F-22'!B13+'F-22'!B14+'F-22'!B15</f>
        <v>648.60193082080173</v>
      </c>
      <c r="H52" s="638"/>
      <c r="I52" s="638"/>
      <c r="J52" s="638"/>
      <c r="K52" s="638"/>
      <c r="L52" s="638"/>
      <c r="P52" s="638"/>
      <c r="S52" s="734"/>
      <c r="T52" s="2180"/>
      <c r="U52" s="2180"/>
      <c r="V52" s="2180"/>
      <c r="W52" s="2180"/>
      <c r="X52" s="2126"/>
      <c r="Y52" s="2127"/>
      <c r="Z52" s="634"/>
      <c r="AA52" s="634"/>
      <c r="AB52" s="634"/>
      <c r="AC52" s="634"/>
      <c r="AD52" s="2357"/>
    </row>
    <row r="53" spans="1:30" ht="20.25" customHeight="1">
      <c r="B53" s="625"/>
      <c r="C53" s="1357"/>
      <c r="D53" s="1357"/>
      <c r="E53" s="1357"/>
      <c r="F53" s="997"/>
      <c r="G53" s="1379">
        <f>G51-G52</f>
        <v>0</v>
      </c>
      <c r="H53" s="638"/>
      <c r="I53" s="638"/>
      <c r="J53" s="638"/>
      <c r="K53" s="638"/>
      <c r="L53" s="638"/>
      <c r="P53" s="638"/>
      <c r="S53" s="734"/>
      <c r="T53" s="2180"/>
      <c r="U53" s="2180"/>
      <c r="V53" s="2180"/>
      <c r="W53" s="2180"/>
      <c r="X53" s="2126"/>
      <c r="Y53" s="2127"/>
      <c r="Z53" s="634"/>
      <c r="AA53" s="634"/>
      <c r="AB53" s="634"/>
      <c r="AC53" s="634"/>
      <c r="AD53" s="2357"/>
    </row>
    <row r="54" spans="1:30" ht="20.25" customHeight="1">
      <c r="B54" s="625"/>
      <c r="C54" s="1357"/>
      <c r="D54" s="1357"/>
      <c r="E54" s="1357"/>
      <c r="F54" s="997"/>
      <c r="G54" s="1357"/>
      <c r="H54" s="638"/>
      <c r="I54" s="638"/>
      <c r="J54" s="638"/>
      <c r="K54" s="638"/>
      <c r="L54" s="638"/>
      <c r="P54" s="638"/>
      <c r="S54" s="734"/>
      <c r="T54" s="2180"/>
      <c r="U54" s="2180"/>
      <c r="V54" s="2180"/>
      <c r="W54" s="2180"/>
      <c r="X54" s="2126"/>
      <c r="Y54" s="2127"/>
      <c r="Z54" s="634"/>
      <c r="AA54" s="634"/>
      <c r="AB54" s="634"/>
      <c r="AC54" s="634"/>
      <c r="AD54" s="2357"/>
    </row>
    <row r="55" spans="1:30" ht="20.25" customHeight="1">
      <c r="B55" s="625"/>
      <c r="C55" s="1357"/>
      <c r="D55" s="1357"/>
      <c r="E55" s="1357"/>
      <c r="F55" s="997"/>
      <c r="G55" s="997">
        <v>48.733967917999991</v>
      </c>
      <c r="H55" s="638"/>
      <c r="I55" s="638"/>
      <c r="J55" s="638"/>
      <c r="K55" s="638"/>
      <c r="L55" s="638"/>
      <c r="P55" s="638"/>
      <c r="S55" s="734"/>
      <c r="T55" s="2180"/>
      <c r="U55" s="2180"/>
      <c r="V55" s="2180"/>
      <c r="W55" s="2180"/>
      <c r="X55" s="2126"/>
      <c r="Y55" s="2127"/>
      <c r="Z55" s="634"/>
      <c r="AA55" s="634"/>
      <c r="AB55" s="634"/>
      <c r="AC55" s="634"/>
      <c r="AD55" s="2357"/>
    </row>
    <row r="56" spans="1:30" ht="20.25" customHeight="1">
      <c r="B56" s="625"/>
      <c r="C56" s="1357"/>
      <c r="D56" s="1357"/>
      <c r="E56" s="1357"/>
      <c r="F56" s="997"/>
      <c r="G56" s="1357"/>
      <c r="H56" s="638"/>
      <c r="I56" s="638"/>
      <c r="J56" s="638"/>
      <c r="K56" s="638"/>
      <c r="L56" s="638"/>
      <c r="P56" s="638"/>
      <c r="S56" s="734"/>
      <c r="T56" s="2180"/>
      <c r="U56" s="2180"/>
      <c r="V56" s="2180"/>
      <c r="W56" s="2180"/>
      <c r="X56" s="2126"/>
      <c r="Y56" s="2127"/>
      <c r="Z56" s="634"/>
      <c r="AA56" s="634"/>
      <c r="AB56" s="634"/>
      <c r="AC56" s="634"/>
      <c r="AD56" s="2357"/>
    </row>
    <row r="57" spans="1:30" ht="20.25" customHeight="1">
      <c r="B57" s="625"/>
      <c r="C57" s="1357"/>
      <c r="D57" s="1357"/>
      <c r="E57" s="1357"/>
      <c r="F57" s="997"/>
      <c r="G57" s="1378"/>
      <c r="H57" s="638"/>
      <c r="I57" s="638"/>
      <c r="J57" s="638"/>
      <c r="K57" s="638"/>
      <c r="L57" s="638"/>
      <c r="P57" s="638"/>
      <c r="S57" s="734"/>
      <c r="T57" s="2180"/>
      <c r="U57" s="2180"/>
      <c r="V57" s="2180"/>
      <c r="W57" s="2180"/>
      <c r="X57" s="2126"/>
      <c r="Y57" s="2127"/>
      <c r="Z57" s="634"/>
      <c r="AA57" s="634"/>
      <c r="AB57" s="634"/>
      <c r="AC57" s="634"/>
      <c r="AD57" s="2357"/>
    </row>
    <row r="58" spans="1:30" ht="20.25" customHeight="1">
      <c r="B58" s="625"/>
      <c r="C58" s="1357"/>
      <c r="D58" s="1357"/>
      <c r="E58" s="1357"/>
      <c r="F58" s="997"/>
      <c r="G58" s="1357"/>
      <c r="H58" s="638"/>
      <c r="I58" s="638"/>
      <c r="J58" s="638"/>
      <c r="K58" s="638"/>
      <c r="L58" s="638"/>
      <c r="P58" s="638"/>
      <c r="S58" s="734"/>
      <c r="T58" s="2180"/>
      <c r="U58" s="2180"/>
      <c r="V58" s="2180"/>
      <c r="W58" s="2180"/>
      <c r="X58" s="2126"/>
      <c r="Y58" s="2127"/>
      <c r="Z58" s="634"/>
      <c r="AA58" s="634"/>
      <c r="AB58" s="634"/>
      <c r="AC58" s="634"/>
      <c r="AD58" s="2357"/>
    </row>
    <row r="59" spans="1:30" ht="20.25" customHeight="1">
      <c r="B59" s="625"/>
      <c r="C59" s="1357"/>
      <c r="D59" s="1357"/>
      <c r="E59" s="1357"/>
      <c r="F59" s="997"/>
      <c r="G59" s="1357"/>
      <c r="H59" s="638"/>
      <c r="I59" s="638"/>
      <c r="J59" s="638"/>
      <c r="K59" s="638"/>
      <c r="L59" s="638"/>
      <c r="P59" s="638"/>
      <c r="S59" s="734"/>
      <c r="T59" s="2180"/>
      <c r="U59" s="2180"/>
      <c r="V59" s="2180"/>
      <c r="W59" s="2180"/>
      <c r="X59" s="2126"/>
      <c r="Y59" s="2127"/>
      <c r="Z59" s="634"/>
      <c r="AA59" s="634"/>
      <c r="AB59" s="634"/>
      <c r="AC59" s="634"/>
      <c r="AD59" s="2357"/>
    </row>
    <row r="60" spans="1:30" ht="20.25" customHeight="1">
      <c r="B60" s="625"/>
      <c r="C60" s="1357"/>
      <c r="D60" s="1357"/>
      <c r="E60" s="1357"/>
      <c r="F60" s="997"/>
      <c r="G60" s="1357"/>
      <c r="H60" s="638"/>
      <c r="I60" s="638"/>
      <c r="J60" s="638"/>
      <c r="K60" s="638"/>
      <c r="L60" s="638"/>
      <c r="P60" s="638"/>
      <c r="S60" s="734"/>
      <c r="T60" s="2180"/>
      <c r="U60" s="2180"/>
      <c r="V60" s="2180"/>
      <c r="W60" s="2180"/>
      <c r="X60" s="2126"/>
      <c r="Y60" s="2127"/>
      <c r="Z60" s="634"/>
      <c r="AA60" s="634"/>
      <c r="AB60" s="634"/>
      <c r="AC60" s="634"/>
      <c r="AD60" s="2357"/>
    </row>
    <row r="61" spans="1:30" ht="20.25" customHeight="1">
      <c r="B61" s="625"/>
      <c r="C61" s="1357"/>
      <c r="D61" s="1357"/>
      <c r="E61" s="1357"/>
      <c r="F61" s="997"/>
      <c r="G61" s="1357"/>
      <c r="H61" s="638"/>
      <c r="I61" s="638"/>
      <c r="J61" s="638"/>
      <c r="K61" s="638"/>
      <c r="L61" s="638"/>
      <c r="P61" s="638"/>
      <c r="S61" s="734"/>
      <c r="T61" s="2180"/>
      <c r="U61" s="2180"/>
      <c r="V61" s="2180"/>
      <c r="W61" s="2180"/>
      <c r="X61" s="2126"/>
      <c r="Y61" s="2127"/>
      <c r="Z61" s="634"/>
      <c r="AA61" s="634"/>
      <c r="AB61" s="634"/>
      <c r="AC61" s="634"/>
      <c r="AD61" s="2357"/>
    </row>
    <row r="62" spans="1:30" ht="20.25" customHeight="1">
      <c r="B62" s="625"/>
      <c r="C62" s="1357"/>
      <c r="D62" s="1357"/>
      <c r="E62" s="1357"/>
      <c r="F62" s="997"/>
      <c r="G62" s="1357"/>
      <c r="H62" s="638"/>
      <c r="I62" s="638"/>
      <c r="J62" s="638"/>
      <c r="K62" s="638"/>
      <c r="L62" s="638"/>
      <c r="P62" s="638"/>
      <c r="S62" s="734"/>
      <c r="T62" s="2180"/>
      <c r="U62" s="2180"/>
      <c r="V62" s="2180"/>
      <c r="W62" s="2180"/>
      <c r="X62" s="2126"/>
      <c r="Y62" s="2127"/>
      <c r="Z62" s="634"/>
      <c r="AA62" s="634"/>
      <c r="AB62" s="634"/>
      <c r="AC62" s="634"/>
      <c r="AD62" s="2357"/>
    </row>
    <row r="63" spans="1:30" ht="20.25" customHeight="1">
      <c r="B63" s="625"/>
      <c r="C63" s="1357"/>
      <c r="D63" s="1357"/>
      <c r="E63" s="1357"/>
      <c r="F63" s="997"/>
      <c r="G63" s="1357"/>
      <c r="H63" s="638"/>
      <c r="I63" s="638"/>
      <c r="J63" s="638"/>
      <c r="K63" s="638"/>
      <c r="L63" s="638"/>
      <c r="P63" s="638"/>
      <c r="S63" s="734"/>
      <c r="T63" s="2180"/>
      <c r="U63" s="2180"/>
      <c r="V63" s="2180"/>
      <c r="W63" s="2180"/>
      <c r="X63" s="2126"/>
      <c r="Y63" s="2127"/>
      <c r="Z63" s="634"/>
      <c r="AA63" s="634"/>
      <c r="AB63" s="634"/>
      <c r="AC63" s="634"/>
      <c r="AD63" s="2357"/>
    </row>
    <row r="64" spans="1:30" ht="20.25" customHeight="1">
      <c r="A64" s="3032">
        <v>1</v>
      </c>
      <c r="B64" s="754" t="s">
        <v>624</v>
      </c>
      <c r="C64" s="3033">
        <v>291</v>
      </c>
      <c r="D64" s="3033">
        <v>88</v>
      </c>
      <c r="E64" s="3033">
        <v>1052</v>
      </c>
      <c r="F64" s="3033">
        <v>427</v>
      </c>
      <c r="G64" s="3033">
        <v>1858</v>
      </c>
      <c r="H64" s="3034">
        <v>288</v>
      </c>
      <c r="I64" s="3034">
        <v>87</v>
      </c>
      <c r="J64" s="3034">
        <f>1001-5</f>
        <v>996</v>
      </c>
      <c r="K64" s="3034">
        <v>408</v>
      </c>
      <c r="L64" s="754">
        <v>1779</v>
      </c>
      <c r="M64" s="3034">
        <f>+T135</f>
        <v>288</v>
      </c>
      <c r="N64" s="3034">
        <f>+U135</f>
        <v>87</v>
      </c>
      <c r="O64" s="3034">
        <f>+V135</f>
        <v>1001</v>
      </c>
      <c r="P64" s="3034">
        <f>+W135</f>
        <v>408</v>
      </c>
      <c r="Q64" s="3035">
        <v>1703</v>
      </c>
      <c r="S64" s="734" t="s">
        <v>6901</v>
      </c>
      <c r="T64" s="2180"/>
      <c r="U64" s="2125"/>
      <c r="V64" s="2125"/>
      <c r="W64" s="2125"/>
      <c r="X64" s="2126">
        <f t="shared" si="20"/>
        <v>0</v>
      </c>
      <c r="Y64" s="2127"/>
      <c r="Z64" s="634"/>
      <c r="AA64" s="634"/>
      <c r="AB64" s="634"/>
      <c r="AC64" s="634"/>
    </row>
    <row r="65" spans="1:30" ht="20.25" customHeight="1">
      <c r="A65" s="646">
        <v>2</v>
      </c>
      <c r="B65" s="634" t="s">
        <v>3769</v>
      </c>
      <c r="C65" s="2971"/>
      <c r="D65" s="2971"/>
      <c r="E65" s="2971"/>
      <c r="F65" s="2971"/>
      <c r="G65" s="2971">
        <f>SUM(C65:F65)</f>
        <v>0</v>
      </c>
      <c r="H65" s="756"/>
      <c r="I65" s="756"/>
      <c r="J65" s="756"/>
      <c r="K65" s="756"/>
      <c r="L65" s="634">
        <f>SUM(H65:K65)</f>
        <v>0</v>
      </c>
      <c r="M65" s="756">
        <f>T113</f>
        <v>0</v>
      </c>
      <c r="N65" s="756">
        <f>U113</f>
        <v>0</v>
      </c>
      <c r="O65" s="756">
        <f>V113</f>
        <v>0</v>
      </c>
      <c r="P65" s="756">
        <f>W113</f>
        <v>0</v>
      </c>
      <c r="Q65" s="2184">
        <f>SUM(M65:P65)</f>
        <v>0</v>
      </c>
      <c r="S65" s="633" t="s">
        <v>261</v>
      </c>
      <c r="T65" s="2125">
        <f>+T12+T24-T34</f>
        <v>292</v>
      </c>
      <c r="U65" s="2125">
        <f>+U12+U24-U34</f>
        <v>90</v>
      </c>
      <c r="V65" s="2125">
        <f>+V12+V24-V34</f>
        <v>1078</v>
      </c>
      <c r="W65" s="2125">
        <f>+W12+W24-W34</f>
        <v>431</v>
      </c>
      <c r="X65" s="2126">
        <f>SUM(T65:W65)</f>
        <v>1891</v>
      </c>
      <c r="Y65" s="2127"/>
      <c r="Z65" s="634"/>
      <c r="AA65" s="634"/>
      <c r="AB65" s="634"/>
      <c r="AC65" s="634"/>
      <c r="AD65" s="2125">
        <f>+AD12+AD24-AD34</f>
        <v>426</v>
      </c>
    </row>
    <row r="66" spans="1:30" s="760" customFormat="1" ht="20.25" customHeight="1">
      <c r="A66" s="646">
        <v>3</v>
      </c>
      <c r="B66" s="634" t="s">
        <v>3770</v>
      </c>
      <c r="C66" s="2971">
        <v>4</v>
      </c>
      <c r="D66" s="2971">
        <v>4</v>
      </c>
      <c r="E66" s="2971">
        <v>74</v>
      </c>
      <c r="F66" s="2971">
        <v>30</v>
      </c>
      <c r="G66" s="2971">
        <v>112</v>
      </c>
      <c r="H66" s="756">
        <v>3</v>
      </c>
      <c r="I66" s="756">
        <v>1</v>
      </c>
      <c r="J66" s="756">
        <v>56</v>
      </c>
      <c r="K66" s="756">
        <v>19</v>
      </c>
      <c r="L66" s="634">
        <v>79</v>
      </c>
      <c r="M66" s="756"/>
      <c r="N66" s="756"/>
      <c r="O66" s="756"/>
      <c r="P66" s="756"/>
      <c r="Q66" s="2184">
        <v>76</v>
      </c>
      <c r="S66" s="648" t="s">
        <v>1115</v>
      </c>
      <c r="T66" s="2125">
        <f>+T14+T25-T35</f>
        <v>0</v>
      </c>
      <c r="U66" s="2125">
        <f>+U14+U25-U35</f>
        <v>0</v>
      </c>
      <c r="V66" s="2125">
        <f>+V14+V25-V35</f>
        <v>0</v>
      </c>
      <c r="W66" s="2125">
        <f>+W14+W25-W35</f>
        <v>0</v>
      </c>
      <c r="X66" s="2126">
        <f t="shared" si="20"/>
        <v>0</v>
      </c>
      <c r="Y66" s="2185"/>
      <c r="Z66" s="1355"/>
      <c r="AA66" s="1355"/>
      <c r="AB66" s="1355"/>
      <c r="AC66" s="1355"/>
    </row>
    <row r="67" spans="1:30" ht="20.25" customHeight="1">
      <c r="A67" s="646">
        <v>4</v>
      </c>
      <c r="B67" s="634" t="s">
        <v>3771</v>
      </c>
      <c r="C67" s="2971">
        <f>(C64+310)/2</f>
        <v>300.5</v>
      </c>
      <c r="D67" s="2971">
        <f>(D64+93)/2</f>
        <v>90.5</v>
      </c>
      <c r="E67" s="2971">
        <f>(E64+1428)/2</f>
        <v>1240</v>
      </c>
      <c r="F67" s="2971">
        <f>(F64+552)/2</f>
        <v>489.5</v>
      </c>
      <c r="G67" s="2971">
        <f>SUM(C67:F67)</f>
        <v>2120.5</v>
      </c>
      <c r="H67" s="756">
        <f>(H64+C64)/2</f>
        <v>289.5</v>
      </c>
      <c r="I67" s="756">
        <f>(I64+D64)/2</f>
        <v>87.5</v>
      </c>
      <c r="J67" s="756">
        <f>(J64+E64)/2</f>
        <v>1024</v>
      </c>
      <c r="K67" s="756">
        <f>(K64+F64)/2</f>
        <v>417.5</v>
      </c>
      <c r="L67" s="756">
        <f xml:space="preserve"> ROUND(SUM(H67:K67),0)</f>
        <v>1819</v>
      </c>
      <c r="M67" s="756">
        <f>(M64+H64)/2</f>
        <v>288</v>
      </c>
      <c r="N67" s="756">
        <f>(N64+I64)/2</f>
        <v>87</v>
      </c>
      <c r="O67" s="756">
        <f>(O64+J64)/2</f>
        <v>998.5</v>
      </c>
      <c r="P67" s="756">
        <f>(P64+K64)/2</f>
        <v>408</v>
      </c>
      <c r="Q67" s="2184">
        <f>SUM(M67:P67)</f>
        <v>1781.5</v>
      </c>
      <c r="S67" s="648" t="s">
        <v>262</v>
      </c>
      <c r="T67" s="2125">
        <f t="shared" ref="T67:W72" si="28">+T16+T26-T36</f>
        <v>0</v>
      </c>
      <c r="U67" s="2125">
        <f t="shared" si="28"/>
        <v>0</v>
      </c>
      <c r="V67" s="2125">
        <f t="shared" si="28"/>
        <v>0</v>
      </c>
      <c r="W67" s="2125">
        <f t="shared" si="28"/>
        <v>0</v>
      </c>
      <c r="X67" s="2126">
        <f t="shared" si="20"/>
        <v>0</v>
      </c>
      <c r="Y67" s="2127"/>
      <c r="Z67" s="634"/>
      <c r="AA67" s="634"/>
      <c r="AB67" s="634"/>
      <c r="AC67" s="634"/>
    </row>
    <row r="68" spans="1:30" ht="20.25" customHeight="1">
      <c r="A68" s="646">
        <v>5</v>
      </c>
      <c r="B68" s="634" t="s">
        <v>6904</v>
      </c>
      <c r="C68" s="2971">
        <f>AD22</f>
        <v>130</v>
      </c>
      <c r="D68" s="2971"/>
      <c r="E68" s="2971"/>
      <c r="F68" s="2971"/>
      <c r="G68" s="2971">
        <f>SUM(C68:F68)</f>
        <v>130</v>
      </c>
      <c r="H68" s="756">
        <f>AD95</f>
        <v>426</v>
      </c>
      <c r="I68" s="756"/>
      <c r="J68" s="756"/>
      <c r="K68" s="756"/>
      <c r="L68" s="756">
        <f xml:space="preserve"> ROUND(SUM(H68:K68),0)</f>
        <v>426</v>
      </c>
      <c r="M68" s="756">
        <f>AD135</f>
        <v>695</v>
      </c>
      <c r="N68" s="756"/>
      <c r="O68" s="756"/>
      <c r="P68" s="756"/>
      <c r="Q68" s="2184">
        <f>SUM(M68:P68)</f>
        <v>695</v>
      </c>
      <c r="S68" s="648" t="s">
        <v>263</v>
      </c>
      <c r="T68" s="2125">
        <f t="shared" si="28"/>
        <v>0</v>
      </c>
      <c r="U68" s="2125">
        <f t="shared" si="28"/>
        <v>0</v>
      </c>
      <c r="V68" s="2125">
        <f t="shared" si="28"/>
        <v>0</v>
      </c>
      <c r="W68" s="2125">
        <f t="shared" si="28"/>
        <v>0</v>
      </c>
      <c r="X68" s="2126">
        <f t="shared" si="20"/>
        <v>0</v>
      </c>
      <c r="Y68" s="2127"/>
      <c r="Z68" s="634"/>
      <c r="AA68" s="634"/>
      <c r="AB68" s="634"/>
      <c r="AC68" s="634"/>
    </row>
    <row r="69" spans="1:30" ht="20.25" customHeight="1">
      <c r="A69" s="646">
        <v>6</v>
      </c>
      <c r="B69" s="634" t="s">
        <v>582</v>
      </c>
      <c r="C69" s="1362"/>
      <c r="D69" s="2971"/>
      <c r="E69" s="1362"/>
      <c r="F69" s="1518"/>
      <c r="G69" s="650">
        <f>(+G64+G68)/F78</f>
        <v>0.65794208186081149</v>
      </c>
      <c r="H69" s="634"/>
      <c r="I69" s="634"/>
      <c r="J69" s="634"/>
      <c r="K69" s="634"/>
      <c r="L69" s="636">
        <f>(+L64+L68)/K78</f>
        <v>0.65398179779027887</v>
      </c>
      <c r="M69" s="634"/>
      <c r="N69" s="634"/>
      <c r="O69" s="634"/>
      <c r="P69" s="634"/>
      <c r="Q69" s="637">
        <f>(+Q64+Q68)/P78</f>
        <v>0.6686107699568512</v>
      </c>
      <c r="S69" s="648" t="s">
        <v>962</v>
      </c>
      <c r="T69" s="2125">
        <f t="shared" si="28"/>
        <v>0</v>
      </c>
      <c r="U69" s="2125">
        <f t="shared" si="28"/>
        <v>0</v>
      </c>
      <c r="V69" s="2125">
        <f t="shared" si="28"/>
        <v>0</v>
      </c>
      <c r="W69" s="2125">
        <f t="shared" si="28"/>
        <v>0</v>
      </c>
      <c r="X69" s="2126">
        <f t="shared" si="20"/>
        <v>0</v>
      </c>
      <c r="Y69" s="856"/>
      <c r="Z69" s="634"/>
      <c r="AA69" s="634"/>
      <c r="AB69" s="634"/>
      <c r="AC69" s="634"/>
    </row>
    <row r="70" spans="1:30" ht="20.25" customHeight="1">
      <c r="A70" s="646">
        <v>7</v>
      </c>
      <c r="B70" s="634" t="s">
        <v>7146</v>
      </c>
      <c r="C70" s="1362"/>
      <c r="D70" s="1362"/>
      <c r="E70" s="1362"/>
      <c r="F70" s="1362"/>
      <c r="G70" s="1518">
        <f>'T-1'!D61</f>
        <v>2341116</v>
      </c>
      <c r="H70" s="636"/>
      <c r="I70" s="634"/>
      <c r="J70" s="634"/>
      <c r="K70" s="634"/>
      <c r="L70" s="750">
        <f>'T-1'!G61</f>
        <v>2386112</v>
      </c>
      <c r="M70" s="750"/>
      <c r="N70" s="634"/>
      <c r="O70" s="634"/>
      <c r="P70" s="634"/>
      <c r="Q70" s="2184">
        <f>'T-1'!M61</f>
        <v>2425073</v>
      </c>
      <c r="S70" s="648" t="s">
        <v>963</v>
      </c>
      <c r="T70" s="2125">
        <f t="shared" si="28"/>
        <v>0</v>
      </c>
      <c r="U70" s="2125">
        <f t="shared" si="28"/>
        <v>0</v>
      </c>
      <c r="V70" s="2125">
        <f t="shared" si="28"/>
        <v>0</v>
      </c>
      <c r="W70" s="2125">
        <f t="shared" si="28"/>
        <v>0</v>
      </c>
      <c r="X70" s="2126">
        <f t="shared" si="20"/>
        <v>0</v>
      </c>
      <c r="Y70" s="856"/>
      <c r="Z70" s="634"/>
      <c r="AA70" s="634"/>
      <c r="AB70" s="634"/>
      <c r="AC70" s="634"/>
    </row>
    <row r="71" spans="1:30" ht="20.25" customHeight="1" thickBot="1">
      <c r="A71" s="2186">
        <v>8</v>
      </c>
      <c r="B71" s="2187" t="s">
        <v>583</v>
      </c>
      <c r="C71" s="1398"/>
      <c r="D71" s="1398"/>
      <c r="E71" s="1398"/>
      <c r="F71" s="1398"/>
      <c r="G71" s="1399">
        <f>(+G64+G68)/2279</f>
        <v>0.87231241772707324</v>
      </c>
      <c r="H71" s="2187"/>
      <c r="I71" s="2187"/>
      <c r="J71" s="2187"/>
      <c r="K71" s="2187"/>
      <c r="L71" s="656">
        <f>(+L64+L68)/2341</f>
        <v>0.94190516873131136</v>
      </c>
      <c r="M71" s="656"/>
      <c r="N71" s="2187"/>
      <c r="O71" s="2187"/>
      <c r="P71" s="2187"/>
      <c r="Q71" s="663">
        <f>(+Q64+Q68)/2453</f>
        <v>0.97757847533632292</v>
      </c>
      <c r="R71" s="772"/>
      <c r="S71" s="648" t="s">
        <v>3338</v>
      </c>
      <c r="T71" s="2125">
        <f t="shared" si="28"/>
        <v>0</v>
      </c>
      <c r="U71" s="2125">
        <f t="shared" si="28"/>
        <v>0</v>
      </c>
      <c r="V71" s="2125">
        <f t="shared" si="28"/>
        <v>0</v>
      </c>
      <c r="W71" s="2125">
        <f t="shared" si="28"/>
        <v>0</v>
      </c>
      <c r="X71" s="2126">
        <f t="shared" si="20"/>
        <v>0</v>
      </c>
      <c r="Y71" s="856"/>
      <c r="Z71" s="634"/>
      <c r="AA71" s="634"/>
      <c r="AB71" s="634"/>
      <c r="AC71" s="634"/>
    </row>
    <row r="72" spans="1:30">
      <c r="C72" s="1357"/>
      <c r="D72" s="1357"/>
      <c r="E72" s="1357"/>
      <c r="F72" s="1357"/>
      <c r="G72" s="1357"/>
      <c r="R72" s="2188"/>
      <c r="S72" s="648" t="s">
        <v>358</v>
      </c>
      <c r="T72" s="2125">
        <f t="shared" si="28"/>
        <v>0</v>
      </c>
      <c r="U72" s="2125">
        <f t="shared" si="28"/>
        <v>0</v>
      </c>
      <c r="V72" s="2125">
        <f t="shared" si="28"/>
        <v>0</v>
      </c>
      <c r="W72" s="2125">
        <f t="shared" si="28"/>
        <v>0</v>
      </c>
      <c r="X72" s="2126">
        <f t="shared" si="20"/>
        <v>0</v>
      </c>
      <c r="Y72" s="856"/>
      <c r="Z72" s="634"/>
      <c r="AA72" s="634"/>
      <c r="AB72" s="634"/>
      <c r="AC72" s="634"/>
    </row>
    <row r="73" spans="1:30" s="757" customFormat="1">
      <c r="A73" s="674"/>
      <c r="B73" s="630"/>
      <c r="C73" s="1378">
        <f>(C12+C13)/C67*10000000/12</f>
        <v>60817.259985341072</v>
      </c>
      <c r="D73" s="1378">
        <f t="shared" ref="D73:F73" si="29">(D12+D13)/D67*10000000/12</f>
        <v>61067.821877403469</v>
      </c>
      <c r="E73" s="1378">
        <f t="shared" si="29"/>
        <v>35108.954178479355</v>
      </c>
      <c r="F73" s="1378">
        <f t="shared" si="29"/>
        <v>36099.319664321956</v>
      </c>
      <c r="G73" s="2972"/>
      <c r="H73" s="630"/>
      <c r="I73" s="630"/>
      <c r="J73" s="630"/>
      <c r="K73" s="630"/>
      <c r="L73" s="630"/>
      <c r="M73" s="630"/>
      <c r="N73" s="630"/>
      <c r="O73" s="630"/>
      <c r="P73" s="630"/>
      <c r="Q73" s="630"/>
      <c r="S73" s="2189" t="s">
        <v>1100</v>
      </c>
      <c r="T73" s="2190">
        <f>SUM(T65:T72)</f>
        <v>292</v>
      </c>
      <c r="U73" s="2190">
        <f>SUM(U65:U72)</f>
        <v>90</v>
      </c>
      <c r="V73" s="2190">
        <f>SUM(V65:V72)</f>
        <v>1078</v>
      </c>
      <c r="W73" s="2190">
        <f>SUM(W65:W72)</f>
        <v>431</v>
      </c>
      <c r="X73" s="2191">
        <f>SUM(X65:X72)</f>
        <v>1891</v>
      </c>
      <c r="Y73" s="2192"/>
      <c r="Z73" s="2193"/>
      <c r="AA73" s="2193"/>
      <c r="AB73" s="2193"/>
      <c r="AC73" s="2193"/>
      <c r="AD73" s="2191">
        <f>SUM(AD65:AD72)</f>
        <v>426</v>
      </c>
    </row>
    <row r="74" spans="1:30" s="757" customFormat="1">
      <c r="A74" s="674"/>
      <c r="B74" s="630" t="s">
        <v>4037</v>
      </c>
      <c r="C74" s="1357"/>
      <c r="D74" s="1357"/>
      <c r="E74" s="1357"/>
      <c r="F74" s="1357"/>
      <c r="G74" s="997">
        <f>'F-22'!B13</f>
        <v>461.16258124244206</v>
      </c>
      <c r="H74" s="630"/>
      <c r="I74" s="630"/>
      <c r="J74" s="630"/>
      <c r="K74" s="665"/>
      <c r="L74" s="638">
        <f>'F-22'!C13</f>
        <v>517.57891526230617</v>
      </c>
      <c r="M74" s="758"/>
      <c r="N74" s="630"/>
      <c r="O74" s="630"/>
      <c r="P74" s="665"/>
      <c r="Q74" s="638">
        <f>'F-22'!D13</f>
        <v>497.34444680271383</v>
      </c>
      <c r="S74" s="734" t="s">
        <v>1276</v>
      </c>
      <c r="T74" s="2125"/>
      <c r="U74" s="2125"/>
      <c r="V74" s="2125"/>
      <c r="W74" s="2125"/>
      <c r="X74" s="2181"/>
      <c r="Y74" s="1389"/>
      <c r="Z74" s="759"/>
      <c r="AA74" s="759"/>
      <c r="AB74" s="759"/>
      <c r="AC74" s="759"/>
    </row>
    <row r="75" spans="1:30" s="757" customFormat="1" ht="16" thickBot="1">
      <c r="A75" s="2194"/>
      <c r="B75" s="760"/>
      <c r="C75" s="2973"/>
      <c r="D75" s="2973"/>
      <c r="E75" s="2974"/>
      <c r="F75" s="2973"/>
      <c r="G75" s="2975">
        <f>G41-G74</f>
        <v>-38.233682842999997</v>
      </c>
      <c r="H75" s="652"/>
      <c r="I75" s="760"/>
      <c r="J75" s="760"/>
      <c r="K75" s="760"/>
      <c r="L75" s="652">
        <f>L41-L74</f>
        <v>-87.557314198999961</v>
      </c>
      <c r="M75" s="758"/>
      <c r="N75" s="760"/>
      <c r="O75" s="760"/>
      <c r="P75" s="760"/>
      <c r="Q75" s="652">
        <f>Q41-Q74</f>
        <v>0</v>
      </c>
      <c r="S75" s="633" t="s">
        <v>261</v>
      </c>
      <c r="T75" s="2125">
        <v>0</v>
      </c>
      <c r="U75" s="2125">
        <v>0</v>
      </c>
      <c r="V75" s="2125">
        <v>0</v>
      </c>
      <c r="W75" s="2125">
        <v>0</v>
      </c>
      <c r="X75" s="2126">
        <v>0</v>
      </c>
      <c r="Y75" s="1389"/>
      <c r="Z75" s="759"/>
      <c r="AA75" s="759"/>
      <c r="AB75" s="759"/>
      <c r="AC75" s="759"/>
      <c r="AD75" s="2000"/>
    </row>
    <row r="76" spans="1:30" s="757" customFormat="1">
      <c r="A76" s="674"/>
      <c r="B76" s="761"/>
      <c r="C76" s="3423" t="s">
        <v>4792</v>
      </c>
      <c r="D76" s="3417"/>
      <c r="E76" s="3417"/>
      <c r="F76" s="3418"/>
      <c r="G76" s="630"/>
      <c r="H76" s="3412" t="s">
        <v>5353</v>
      </c>
      <c r="I76" s="3424"/>
      <c r="J76" s="3424"/>
      <c r="K76" s="3413"/>
      <c r="L76" s="2060"/>
      <c r="M76" s="3412" t="s">
        <v>5354</v>
      </c>
      <c r="N76" s="3424"/>
      <c r="O76" s="3424"/>
      <c r="P76" s="3413"/>
      <c r="Q76" s="660"/>
      <c r="S76" s="648" t="s">
        <v>4516</v>
      </c>
      <c r="T76" s="2125">
        <v>0</v>
      </c>
      <c r="U76" s="2125">
        <v>0</v>
      </c>
      <c r="V76" s="2125"/>
      <c r="W76" s="2125"/>
      <c r="X76" s="2126">
        <f t="shared" ref="X76:X82" si="30">SUM(T76:W76)</f>
        <v>0</v>
      </c>
      <c r="Y76" s="1389"/>
      <c r="Z76" s="759"/>
      <c r="AA76" s="759"/>
      <c r="AB76" s="759"/>
      <c r="AC76" s="759"/>
      <c r="AD76" s="762"/>
    </row>
    <row r="77" spans="1:30">
      <c r="B77" s="763"/>
      <c r="C77" s="646" t="s">
        <v>1494</v>
      </c>
      <c r="D77" s="680" t="s">
        <v>169</v>
      </c>
      <c r="E77" s="680" t="s">
        <v>1496</v>
      </c>
      <c r="F77" s="647" t="s">
        <v>1100</v>
      </c>
      <c r="H77" s="646" t="s">
        <v>1494</v>
      </c>
      <c r="I77" s="680" t="s">
        <v>169</v>
      </c>
      <c r="J77" s="680" t="s">
        <v>1496</v>
      </c>
      <c r="K77" s="647" t="s">
        <v>1100</v>
      </c>
      <c r="L77" s="674"/>
      <c r="M77" s="646" t="s">
        <v>1494</v>
      </c>
      <c r="N77" s="680" t="s">
        <v>169</v>
      </c>
      <c r="O77" s="680" t="s">
        <v>1496</v>
      </c>
      <c r="P77" s="647" t="s">
        <v>1100</v>
      </c>
      <c r="S77" s="648" t="s">
        <v>262</v>
      </c>
      <c r="T77" s="2125">
        <v>0</v>
      </c>
      <c r="U77" s="2125"/>
      <c r="V77" s="2125"/>
      <c r="W77" s="2125"/>
      <c r="X77" s="2126">
        <f t="shared" si="30"/>
        <v>0</v>
      </c>
      <c r="Y77" s="856"/>
      <c r="Z77" s="634"/>
      <c r="AA77" s="634"/>
      <c r="AB77" s="634"/>
      <c r="AC77" s="634"/>
    </row>
    <row r="78" spans="1:30">
      <c r="B78" s="763" t="s">
        <v>584</v>
      </c>
      <c r="C78" s="633">
        <f>'T-1'!F59</f>
        <v>537.37774300000001</v>
      </c>
      <c r="D78" s="634">
        <f>'T-1'!F49</f>
        <v>325.32561043960004</v>
      </c>
      <c r="E78" s="636">
        <f>'T-1'!F32</f>
        <v>2158.8392029773399</v>
      </c>
      <c r="F78" s="637">
        <f>SUM(C78:E78)</f>
        <v>3021.54255641694</v>
      </c>
      <c r="G78" s="638"/>
      <c r="H78" s="648">
        <f>'T-1'!K59</f>
        <v>619.3351813104</v>
      </c>
      <c r="I78" s="636">
        <f>'T-1'!K49</f>
        <v>367.22209249219998</v>
      </c>
      <c r="J78" s="636">
        <f>'T-1'!K32</f>
        <v>2385.0961995057</v>
      </c>
      <c r="K78" s="637">
        <f>SUM(H78:J78)</f>
        <v>3371.6534733082999</v>
      </c>
      <c r="L78" s="667"/>
      <c r="M78" s="764">
        <f>'T-1'!O59</f>
        <v>642.47199999999998</v>
      </c>
      <c r="N78" s="673">
        <f>'T-1'!O49</f>
        <v>391.29422300399995</v>
      </c>
      <c r="O78" s="673">
        <f>'T-1'!O32</f>
        <v>2552.77486749437</v>
      </c>
      <c r="P78" s="681">
        <f>SUM(M78:O78)</f>
        <v>3586.5410904983701</v>
      </c>
      <c r="S78" s="648" t="s">
        <v>263</v>
      </c>
      <c r="T78" s="2125">
        <v>0</v>
      </c>
      <c r="U78" s="2125"/>
      <c r="V78" s="2125"/>
      <c r="W78" s="2125">
        <v>0</v>
      </c>
      <c r="X78" s="2126">
        <f t="shared" si="30"/>
        <v>0</v>
      </c>
      <c r="Y78" s="856"/>
      <c r="Z78" s="634"/>
      <c r="AA78" s="634"/>
      <c r="AB78" s="634"/>
      <c r="AC78" s="634"/>
    </row>
    <row r="79" spans="1:30">
      <c r="B79" s="763" t="s">
        <v>585</v>
      </c>
      <c r="C79" s="648">
        <f>F79/$F$78*C78</f>
        <v>20.973518085606145</v>
      </c>
      <c r="D79" s="636">
        <f>F79/$F$78*D78</f>
        <v>12.697255632832954</v>
      </c>
      <c r="E79" s="636">
        <f>F79/$F$78*E78</f>
        <v>84.258147378390376</v>
      </c>
      <c r="F79" s="637">
        <f>C41+D41</f>
        <v>117.92892109682948</v>
      </c>
      <c r="H79" s="648">
        <f>K79/$K$78*H78</f>
        <v>15.066499475115261</v>
      </c>
      <c r="I79" s="636">
        <f>K79/$K$78*I78</f>
        <v>8.9333718328065395</v>
      </c>
      <c r="J79" s="636">
        <f>K79/$K$78*J78</f>
        <v>58.021975373528818</v>
      </c>
      <c r="K79" s="637">
        <f>H41+I41</f>
        <v>82.021846681450612</v>
      </c>
      <c r="L79" s="638"/>
      <c r="M79" s="648">
        <f>P79/$P$78*M78</f>
        <v>16.459395178945307</v>
      </c>
      <c r="N79" s="636">
        <f>P79/$P$78*N78</f>
        <v>10.024508846550802</v>
      </c>
      <c r="O79" s="636">
        <f>P79/$P$78*O78</f>
        <v>65.399161904284668</v>
      </c>
      <c r="P79" s="637">
        <f>+M41+N41</f>
        <v>91.88306592978077</v>
      </c>
      <c r="R79" s="651"/>
      <c r="S79" s="648" t="s">
        <v>962</v>
      </c>
      <c r="T79" s="2125"/>
      <c r="U79" s="2125"/>
      <c r="V79" s="2125"/>
      <c r="W79" s="2125"/>
      <c r="X79" s="2126">
        <f t="shared" si="30"/>
        <v>0</v>
      </c>
      <c r="Y79" s="856"/>
      <c r="Z79" s="634"/>
      <c r="AA79" s="634"/>
      <c r="AB79" s="634"/>
      <c r="AC79" s="634"/>
    </row>
    <row r="80" spans="1:30">
      <c r="B80" s="763" t="s">
        <v>586</v>
      </c>
      <c r="C80" s="633"/>
      <c r="D80" s="636">
        <f>F80/SUM(D78:E78)*D78</f>
        <v>39.939633884576359</v>
      </c>
      <c r="E80" s="636">
        <f>F80/SUM(D78:E78)*E78</f>
        <v>265.03676506154994</v>
      </c>
      <c r="F80" s="637">
        <f>+E41+F41</f>
        <v>304.97639894612627</v>
      </c>
      <c r="H80" s="633"/>
      <c r="I80" s="636">
        <f>K80/SUM(I78:J78)*I78</f>
        <v>24.021714099945303</v>
      </c>
      <c r="J80" s="636">
        <f>K80/SUM(I78:J78)*J78</f>
        <v>156.02029446692123</v>
      </c>
      <c r="K80" s="637">
        <f>J41+K41</f>
        <v>180.04200856686651</v>
      </c>
      <c r="L80" s="638"/>
      <c r="M80" s="633"/>
      <c r="N80" s="636">
        <f>P80/SUM(N78:O78)*N78</f>
        <v>27.273740026463329</v>
      </c>
      <c r="O80" s="636">
        <f>P80/SUM(N78:O78)*O78</f>
        <v>177.9318834498078</v>
      </c>
      <c r="P80" s="637">
        <f>+O41+P41</f>
        <v>205.20562347627111</v>
      </c>
      <c r="S80" s="648" t="s">
        <v>963</v>
      </c>
      <c r="T80" s="2125"/>
      <c r="U80" s="2125"/>
      <c r="V80" s="2125"/>
      <c r="W80" s="2125"/>
      <c r="X80" s="2126">
        <f t="shared" si="30"/>
        <v>0</v>
      </c>
      <c r="Y80" s="856"/>
      <c r="Z80" s="634"/>
      <c r="AA80" s="634"/>
      <c r="AB80" s="634"/>
      <c r="AC80" s="634"/>
    </row>
    <row r="81" spans="1:30">
      <c r="B81" s="763" t="s">
        <v>1100</v>
      </c>
      <c r="C81" s="734">
        <f>SUM(C79:C80)</f>
        <v>20.973518085606145</v>
      </c>
      <c r="D81" s="640">
        <f>SUM(D79:D80)</f>
        <v>52.636889517409315</v>
      </c>
      <c r="E81" s="640">
        <f>SUM(E79:E80)</f>
        <v>349.29491243994033</v>
      </c>
      <c r="F81" s="641">
        <f>SUM(F79:F80)</f>
        <v>422.90532004295574</v>
      </c>
      <c r="H81" s="734">
        <f>SUM(H79:H80)</f>
        <v>15.066499475115261</v>
      </c>
      <c r="I81" s="640">
        <f>SUM(I79:I80)</f>
        <v>32.955085932751842</v>
      </c>
      <c r="J81" s="640">
        <f>SUM(J79:J80)</f>
        <v>214.04226984045005</v>
      </c>
      <c r="K81" s="641">
        <f>SUM(K79:K80)</f>
        <v>262.06385524831711</v>
      </c>
      <c r="L81" s="642"/>
      <c r="M81" s="734">
        <f>SUM(M79:M80)</f>
        <v>16.459395178945307</v>
      </c>
      <c r="N81" s="640">
        <f>SUM(N79:N80)</f>
        <v>37.298248873014131</v>
      </c>
      <c r="O81" s="640">
        <f>SUM(O79:O80)</f>
        <v>243.33104535409245</v>
      </c>
      <c r="P81" s="641">
        <f>SUM(P79:P80)</f>
        <v>297.08868940605191</v>
      </c>
      <c r="S81" s="648" t="s">
        <v>3338</v>
      </c>
      <c r="T81" s="2125"/>
      <c r="U81" s="2125"/>
      <c r="V81" s="2125"/>
      <c r="W81" s="2125">
        <v>0</v>
      </c>
      <c r="X81" s="2126">
        <f t="shared" si="30"/>
        <v>0</v>
      </c>
      <c r="Y81" s="856"/>
      <c r="Z81" s="634"/>
      <c r="AA81" s="634"/>
      <c r="AB81" s="634"/>
      <c r="AC81" s="634"/>
    </row>
    <row r="82" spans="1:30" ht="16" thickBot="1">
      <c r="A82" s="765"/>
      <c r="B82" s="766"/>
      <c r="C82" s="767">
        <f>C81/$F$81</f>
        <v>4.9593885656193215E-2</v>
      </c>
      <c r="D82" s="768">
        <f>D81/$F$81</f>
        <v>0.12446495000834426</v>
      </c>
      <c r="E82" s="768">
        <f>E81/$F$81</f>
        <v>0.82594116433546261</v>
      </c>
      <c r="F82" s="769">
        <f>SUM(C82:E82)</f>
        <v>1</v>
      </c>
      <c r="G82" s="757"/>
      <c r="H82" s="767">
        <f>H81/$K$81</f>
        <v>5.7491711174130003E-2</v>
      </c>
      <c r="I82" s="768">
        <f>I81/$K$81</f>
        <v>0.12575212213651302</v>
      </c>
      <c r="J82" s="768">
        <f>J81/$K$81</f>
        <v>0.81675616668935713</v>
      </c>
      <c r="K82" s="770">
        <f>K81/$K$81</f>
        <v>1</v>
      </c>
      <c r="L82" s="771"/>
      <c r="M82" s="767">
        <f>M81/$P$81</f>
        <v>5.5402294889958265E-2</v>
      </c>
      <c r="N82" s="768">
        <f>N81/$P$81</f>
        <v>0.12554583935047087</v>
      </c>
      <c r="O82" s="768">
        <f>O81/$P$81</f>
        <v>0.81905186575957079</v>
      </c>
      <c r="P82" s="770">
        <f>P81/$P$81</f>
        <v>1</v>
      </c>
      <c r="Q82" s="757"/>
      <c r="S82" s="648" t="s">
        <v>358</v>
      </c>
      <c r="T82" s="2125"/>
      <c r="U82" s="2125"/>
      <c r="V82" s="2125">
        <v>0</v>
      </c>
      <c r="W82" s="2125"/>
      <c r="X82" s="2126">
        <f t="shared" si="30"/>
        <v>0</v>
      </c>
      <c r="Y82" s="856"/>
      <c r="Z82" s="634"/>
      <c r="AA82" s="634"/>
      <c r="AB82" s="634"/>
      <c r="AC82" s="634"/>
    </row>
    <row r="83" spans="1:30" ht="28.5" customHeight="1">
      <c r="A83" s="765"/>
      <c r="B83" s="757"/>
      <c r="C83" s="772"/>
      <c r="D83" s="772"/>
      <c r="E83" s="772"/>
      <c r="F83" s="757"/>
      <c r="G83" s="638"/>
      <c r="H83" s="772"/>
      <c r="I83" s="772"/>
      <c r="J83" s="772"/>
      <c r="K83" s="771"/>
      <c r="L83" s="771"/>
      <c r="M83" s="772"/>
      <c r="N83" s="772"/>
      <c r="O83" s="772"/>
      <c r="P83" s="771"/>
      <c r="Q83" s="757"/>
      <c r="S83" s="734" t="s">
        <v>1100</v>
      </c>
      <c r="T83" s="2125">
        <f>SUM(T75:T82)</f>
        <v>0</v>
      </c>
      <c r="U83" s="2125">
        <f>SUM(U75:U82)</f>
        <v>0</v>
      </c>
      <c r="V83" s="2125">
        <f>SUM(V75:V82)</f>
        <v>0</v>
      </c>
      <c r="W83" s="2125">
        <f>SUM(W75:W82)</f>
        <v>0</v>
      </c>
      <c r="X83" s="2181">
        <f>SUM(X75:X82)</f>
        <v>0</v>
      </c>
      <c r="Y83" s="856"/>
      <c r="Z83" s="634"/>
      <c r="AA83" s="634"/>
      <c r="AB83" s="634"/>
      <c r="AC83" s="634"/>
      <c r="AD83" s="2000">
        <f>AD75</f>
        <v>0</v>
      </c>
    </row>
    <row r="84" spans="1:30">
      <c r="A84" s="765"/>
      <c r="B84" s="757"/>
      <c r="C84" s="773"/>
      <c r="D84" s="773"/>
      <c r="E84" s="773"/>
      <c r="F84" s="773"/>
      <c r="G84" s="773"/>
      <c r="H84" s="772"/>
      <c r="I84" s="772"/>
      <c r="J84" s="772"/>
      <c r="K84" s="771"/>
      <c r="L84" s="771"/>
      <c r="M84" s="772"/>
      <c r="N84" s="772"/>
      <c r="O84" s="772"/>
      <c r="P84" s="771"/>
      <c r="Q84" s="757"/>
      <c r="S84" s="734" t="s">
        <v>1277</v>
      </c>
      <c r="T84" s="2125"/>
      <c r="U84" s="2125"/>
      <c r="V84" s="2125"/>
      <c r="W84" s="2125"/>
      <c r="X84" s="2181"/>
      <c r="Y84" s="856"/>
      <c r="Z84" s="634"/>
      <c r="AA84" s="634"/>
      <c r="AB84" s="634"/>
      <c r="AC84" s="634"/>
    </row>
    <row r="85" spans="1:30">
      <c r="A85" s="765"/>
      <c r="B85" s="757"/>
      <c r="C85" s="772"/>
      <c r="D85" s="772"/>
      <c r="E85" s="772"/>
      <c r="F85" s="757"/>
      <c r="G85" s="638"/>
      <c r="H85" s="630" t="s">
        <v>5118</v>
      </c>
      <c r="L85" s="771"/>
      <c r="M85" s="630" t="s">
        <v>5367</v>
      </c>
      <c r="Q85" s="757"/>
      <c r="S85" s="633" t="s">
        <v>261</v>
      </c>
      <c r="T85" s="2125">
        <v>1</v>
      </c>
      <c r="U85" s="2125">
        <v>2</v>
      </c>
      <c r="V85" s="2125">
        <v>22</v>
      </c>
      <c r="W85" s="2125">
        <v>4</v>
      </c>
      <c r="X85" s="2126">
        <f t="shared" ref="X85:X92" si="31">SUM(T85:W85)</f>
        <v>29</v>
      </c>
      <c r="Y85" s="856"/>
      <c r="Z85" s="634"/>
      <c r="AA85" s="634"/>
      <c r="AB85" s="634"/>
      <c r="AC85" s="634"/>
      <c r="AD85" s="630">
        <v>0</v>
      </c>
    </row>
    <row r="86" spans="1:30">
      <c r="A86" s="765"/>
      <c r="B86" s="757"/>
      <c r="C86" s="772" t="s">
        <v>616</v>
      </c>
      <c r="D86" s="772" t="s">
        <v>617</v>
      </c>
      <c r="E86" s="772"/>
      <c r="F86" s="757"/>
      <c r="G86" s="638"/>
      <c r="H86" s="660" t="s">
        <v>616</v>
      </c>
      <c r="I86" s="660"/>
      <c r="K86" s="2000">
        <f>+K146</f>
        <v>8</v>
      </c>
      <c r="L86" s="771"/>
      <c r="M86" s="660" t="s">
        <v>616</v>
      </c>
      <c r="N86" s="660"/>
      <c r="P86" s="2000">
        <f>T123+U123</f>
        <v>4</v>
      </c>
      <c r="Q86" s="757"/>
      <c r="S86" s="648" t="s">
        <v>4516</v>
      </c>
      <c r="T86" s="2125"/>
      <c r="U86" s="2125"/>
      <c r="V86" s="2125"/>
      <c r="W86" s="2125"/>
      <c r="X86" s="2126">
        <f t="shared" si="31"/>
        <v>0</v>
      </c>
      <c r="Y86" s="856"/>
      <c r="Z86" s="634"/>
      <c r="AA86" s="634"/>
      <c r="AB86" s="634"/>
      <c r="AC86" s="634"/>
    </row>
    <row r="87" spans="1:30">
      <c r="A87" s="765"/>
      <c r="B87" s="757" t="s">
        <v>3623</v>
      </c>
      <c r="C87" s="774">
        <f>C67+D67</f>
        <v>391</v>
      </c>
      <c r="D87" s="774">
        <f>E67+F67</f>
        <v>1729.5</v>
      </c>
      <c r="E87" s="775"/>
      <c r="F87" s="757"/>
      <c r="G87" s="638"/>
      <c r="H87" s="789" t="s">
        <v>617</v>
      </c>
      <c r="I87" s="660"/>
      <c r="K87" s="2000">
        <f>+K147</f>
        <v>102</v>
      </c>
      <c r="L87" s="771"/>
      <c r="M87" s="789" t="s">
        <v>617</v>
      </c>
      <c r="N87" s="660"/>
      <c r="P87" s="2000">
        <f>V123+W123</f>
        <v>74</v>
      </c>
      <c r="Q87" s="757"/>
      <c r="S87" s="648" t="s">
        <v>262</v>
      </c>
      <c r="T87" s="2125"/>
      <c r="U87" s="2125"/>
      <c r="V87" s="2125"/>
      <c r="W87" s="2125"/>
      <c r="X87" s="2126">
        <f t="shared" si="31"/>
        <v>0</v>
      </c>
      <c r="Y87" s="856"/>
      <c r="Z87" s="634"/>
      <c r="AA87" s="634"/>
      <c r="AB87" s="634"/>
      <c r="AC87" s="634"/>
    </row>
    <row r="88" spans="1:30">
      <c r="A88" s="765"/>
      <c r="B88" s="757" t="s">
        <v>3624</v>
      </c>
      <c r="C88" s="775">
        <f>(C12+D12+C13+D13+C38+D38)*100</f>
        <v>2856.2669406600007</v>
      </c>
      <c r="D88" s="775">
        <f>(E12+F12+E13+F13+E38+F38)*100</f>
        <v>7344.6864188399995</v>
      </c>
      <c r="E88" s="775">
        <f>C88+D88</f>
        <v>10200.953359499999</v>
      </c>
      <c r="F88" s="757"/>
      <c r="G88" s="638"/>
      <c r="J88" s="630" t="s">
        <v>1100</v>
      </c>
      <c r="K88" s="625">
        <f>K87+K86</f>
        <v>110</v>
      </c>
      <c r="L88" s="771"/>
      <c r="O88" s="630" t="s">
        <v>1100</v>
      </c>
      <c r="P88" s="625">
        <f>P87+P86</f>
        <v>78</v>
      </c>
      <c r="Q88" s="757"/>
      <c r="S88" s="648" t="s">
        <v>263</v>
      </c>
      <c r="T88" s="2125"/>
      <c r="U88" s="2125"/>
      <c r="V88" s="2125"/>
      <c r="W88" s="2125"/>
      <c r="X88" s="2126">
        <f t="shared" si="31"/>
        <v>0</v>
      </c>
      <c r="Y88" s="856"/>
      <c r="Z88" s="634"/>
      <c r="AA88" s="634"/>
      <c r="AB88" s="634"/>
      <c r="AC88" s="634"/>
    </row>
    <row r="89" spans="1:30">
      <c r="A89" s="765"/>
      <c r="B89" s="757"/>
      <c r="C89" s="771">
        <f>C88/E88</f>
        <v>0.28000000000000008</v>
      </c>
      <c r="D89" s="771">
        <f>D88/E88</f>
        <v>0.72</v>
      </c>
      <c r="E89" s="775"/>
      <c r="F89" s="638"/>
      <c r="G89" s="638"/>
      <c r="H89" s="630" t="s">
        <v>5124</v>
      </c>
      <c r="K89" s="638">
        <f>H323*1.03*100000</f>
        <v>71231.233591731259</v>
      </c>
      <c r="L89" s="771"/>
      <c r="M89" s="630" t="s">
        <v>3625</v>
      </c>
      <c r="P89" s="630">
        <f>ROUND(K89*1.03,-1)</f>
        <v>73370</v>
      </c>
      <c r="Q89" s="757"/>
      <c r="S89" s="648" t="s">
        <v>962</v>
      </c>
      <c r="T89" s="2125"/>
      <c r="U89" s="2125"/>
      <c r="V89" s="2125"/>
      <c r="W89" s="2125"/>
      <c r="X89" s="2126">
        <f t="shared" si="31"/>
        <v>0</v>
      </c>
      <c r="Y89" s="856"/>
      <c r="Z89" s="634"/>
      <c r="AA89" s="634"/>
      <c r="AB89" s="634"/>
      <c r="AC89" s="634"/>
    </row>
    <row r="90" spans="1:30">
      <c r="A90" s="765"/>
      <c r="B90" s="757"/>
      <c r="C90" s="775"/>
      <c r="D90" s="776"/>
      <c r="E90" s="775"/>
      <c r="F90" s="638"/>
      <c r="G90" s="638"/>
      <c r="H90" s="630" t="s">
        <v>5125</v>
      </c>
      <c r="K90" s="638">
        <f>H354*1.03*100000</f>
        <v>34863.292857142864</v>
      </c>
      <c r="L90" s="771"/>
      <c r="M90" s="630" t="s">
        <v>3626</v>
      </c>
      <c r="P90" s="630">
        <f>ROUND(K90*1.03,-1)</f>
        <v>35910</v>
      </c>
      <c r="Q90" s="757"/>
      <c r="S90" s="648" t="s">
        <v>963</v>
      </c>
      <c r="T90" s="2125"/>
      <c r="U90" s="2125"/>
      <c r="V90" s="2125"/>
      <c r="W90" s="2125"/>
      <c r="X90" s="2126">
        <f t="shared" si="31"/>
        <v>0</v>
      </c>
      <c r="Y90" s="856"/>
      <c r="Z90" s="634"/>
      <c r="AA90" s="634"/>
      <c r="AB90" s="634"/>
      <c r="AC90" s="634"/>
    </row>
    <row r="91" spans="1:30">
      <c r="A91" s="765"/>
      <c r="B91" s="757" t="s">
        <v>4055</v>
      </c>
      <c r="C91" s="775">
        <f>ROUND(C88/C87/12*100000,-1)</f>
        <v>60880</v>
      </c>
      <c r="D91" s="775">
        <f>ROUND(D88/D87/12*100000,-1)</f>
        <v>35390</v>
      </c>
      <c r="E91" s="775"/>
      <c r="F91" s="757"/>
      <c r="G91" s="638"/>
      <c r="H91" s="630" t="s">
        <v>3627</v>
      </c>
      <c r="L91" s="771"/>
      <c r="M91" s="630" t="s">
        <v>3627</v>
      </c>
      <c r="Q91" s="757"/>
      <c r="S91" s="648" t="s">
        <v>3338</v>
      </c>
      <c r="T91" s="2125"/>
      <c r="U91" s="2125"/>
      <c r="V91" s="2125"/>
      <c r="W91" s="2125"/>
      <c r="X91" s="2126">
        <f t="shared" si="31"/>
        <v>0</v>
      </c>
      <c r="Y91" s="856"/>
      <c r="Z91" s="634"/>
      <c r="AA91" s="634"/>
      <c r="AB91" s="634"/>
      <c r="AC91" s="634"/>
    </row>
    <row r="92" spans="1:30">
      <c r="A92" s="765"/>
      <c r="B92" s="757" t="s">
        <v>3638</v>
      </c>
      <c r="C92" s="775">
        <f>C91*1.03</f>
        <v>62706.400000000001</v>
      </c>
      <c r="D92" s="775">
        <f>D91*1.03</f>
        <v>36451.700000000004</v>
      </c>
      <c r="E92" s="775"/>
      <c r="F92" s="757"/>
      <c r="G92" s="638"/>
      <c r="H92" s="630" t="s">
        <v>616</v>
      </c>
      <c r="K92" s="2000">
        <f>K86*K89*6</f>
        <v>3419099.2124031004</v>
      </c>
      <c r="L92" s="771"/>
      <c r="M92" s="630" t="s">
        <v>616</v>
      </c>
      <c r="P92" s="630">
        <f>P86*P89*6</f>
        <v>1760880</v>
      </c>
      <c r="Q92" s="757"/>
      <c r="R92" s="2000"/>
      <c r="S92" s="648" t="s">
        <v>358</v>
      </c>
      <c r="T92" s="2125"/>
      <c r="U92" s="2125"/>
      <c r="V92" s="2125"/>
      <c r="W92" s="2125"/>
      <c r="X92" s="2126">
        <f t="shared" si="31"/>
        <v>0</v>
      </c>
      <c r="Y92" s="856"/>
      <c r="Z92" s="634"/>
      <c r="AA92" s="634"/>
      <c r="AB92" s="634"/>
      <c r="AC92" s="634"/>
    </row>
    <row r="93" spans="1:30">
      <c r="A93" s="765"/>
      <c r="B93" s="757"/>
      <c r="C93" s="775"/>
      <c r="D93" s="775"/>
      <c r="E93" s="775"/>
      <c r="F93" s="757"/>
      <c r="G93" s="638"/>
      <c r="H93" s="630" t="s">
        <v>3628</v>
      </c>
      <c r="K93" s="2000">
        <f>K87*K90*6</f>
        <v>21336335.228571434</v>
      </c>
      <c r="L93" s="771"/>
      <c r="M93" s="630" t="s">
        <v>3628</v>
      </c>
      <c r="P93" s="630">
        <f>P87*P90*6</f>
        <v>15944040</v>
      </c>
      <c r="Q93" s="757"/>
      <c r="S93" s="734" t="s">
        <v>1100</v>
      </c>
      <c r="T93" s="2180">
        <f>SUM(T85:T92)</f>
        <v>1</v>
      </c>
      <c r="U93" s="2180">
        <f>SUM(U85:U92)</f>
        <v>2</v>
      </c>
      <c r="V93" s="2180">
        <f>SUM(V85:V92)</f>
        <v>22</v>
      </c>
      <c r="W93" s="2180">
        <f>SUM(W85:W92)</f>
        <v>4</v>
      </c>
      <c r="X93" s="2126">
        <f>SUM(X85:X92)</f>
        <v>29</v>
      </c>
      <c r="Y93" s="856"/>
      <c r="Z93" s="634"/>
      <c r="AA93" s="634"/>
      <c r="AB93" s="634"/>
      <c r="AC93" s="634"/>
      <c r="AD93" s="2126">
        <f>SUM(AD85:AD92)</f>
        <v>0</v>
      </c>
    </row>
    <row r="94" spans="1:30">
      <c r="A94" s="765"/>
      <c r="B94" s="757"/>
      <c r="C94" s="775"/>
      <c r="D94" s="775"/>
      <c r="E94" s="775"/>
      <c r="F94" s="757"/>
      <c r="G94" s="638"/>
      <c r="J94" s="630" t="s">
        <v>865</v>
      </c>
      <c r="K94" s="2000">
        <f>K93+K92</f>
        <v>24755434.440974534</v>
      </c>
      <c r="L94" s="771"/>
      <c r="O94" s="630" t="s">
        <v>865</v>
      </c>
      <c r="P94" s="630">
        <f>P93+P92</f>
        <v>17704920</v>
      </c>
      <c r="Q94" s="757"/>
      <c r="S94" s="734" t="s">
        <v>6902</v>
      </c>
      <c r="T94" s="2125"/>
      <c r="U94" s="2125"/>
      <c r="V94" s="2125"/>
      <c r="W94" s="2125"/>
      <c r="X94" s="2126">
        <f t="shared" ref="X94:X102" si="32">SUM(T94:W94)</f>
        <v>0</v>
      </c>
      <c r="Y94" s="856"/>
      <c r="Z94" s="634"/>
      <c r="AA94" s="634"/>
      <c r="AB94" s="634"/>
      <c r="AC94" s="634"/>
      <c r="AD94" s="630">
        <f>+AD93/2</f>
        <v>0</v>
      </c>
    </row>
    <row r="95" spans="1:30">
      <c r="A95" s="765"/>
      <c r="B95" s="757"/>
      <c r="C95" s="775"/>
      <c r="D95" s="776"/>
      <c r="E95" s="775"/>
      <c r="F95" s="757"/>
      <c r="G95" s="638"/>
      <c r="H95" s="630" t="s">
        <v>3629</v>
      </c>
      <c r="L95" s="771"/>
      <c r="M95" s="630" t="s">
        <v>3629</v>
      </c>
      <c r="Q95" s="757"/>
      <c r="S95" s="633" t="s">
        <v>261</v>
      </c>
      <c r="T95" s="2125">
        <f>+T65+T75-T85</f>
        <v>291</v>
      </c>
      <c r="U95" s="2125">
        <f>+U65+U75-U85</f>
        <v>88</v>
      </c>
      <c r="V95" s="2125">
        <f>+V65+V75-V85</f>
        <v>1056</v>
      </c>
      <c r="W95" s="2125">
        <f>+W65+W75-W85</f>
        <v>427</v>
      </c>
      <c r="X95" s="2126">
        <f t="shared" si="32"/>
        <v>1862</v>
      </c>
      <c r="Y95" s="856"/>
      <c r="Z95" s="634"/>
      <c r="AA95" s="634"/>
      <c r="AB95" s="634"/>
      <c r="AC95" s="634"/>
      <c r="AD95" s="2125">
        <f>+AD65+AD75-AD85</f>
        <v>426</v>
      </c>
    </row>
    <row r="96" spans="1:30">
      <c r="A96" s="765"/>
      <c r="B96" s="757"/>
      <c r="C96" s="775"/>
      <c r="D96" s="776"/>
      <c r="E96" s="775"/>
      <c r="F96" s="757"/>
      <c r="G96" s="638"/>
      <c r="H96" s="630" t="s">
        <v>3630</v>
      </c>
      <c r="L96" s="771"/>
      <c r="M96" s="630" t="s">
        <v>3630</v>
      </c>
      <c r="Q96" s="757"/>
      <c r="S96" s="648" t="s">
        <v>1115</v>
      </c>
      <c r="T96" s="2125">
        <f>+T66+T76-T86</f>
        <v>0</v>
      </c>
      <c r="U96" s="2125">
        <f t="shared" ref="T96:W102" si="33">+U66+U76-U86</f>
        <v>0</v>
      </c>
      <c r="V96" s="2125">
        <f t="shared" si="33"/>
        <v>0</v>
      </c>
      <c r="W96" s="2125">
        <f t="shared" si="33"/>
        <v>0</v>
      </c>
      <c r="X96" s="2126">
        <f t="shared" si="32"/>
        <v>0</v>
      </c>
      <c r="Y96" s="856"/>
      <c r="Z96" s="634"/>
      <c r="AA96" s="634"/>
      <c r="AB96" s="634"/>
      <c r="AC96" s="634"/>
    </row>
    <row r="97" spans="1:30">
      <c r="A97" s="765"/>
      <c r="B97" s="757"/>
      <c r="C97" s="775"/>
      <c r="D97" s="776"/>
      <c r="E97" s="775"/>
      <c r="F97" s="757"/>
      <c r="G97" s="638"/>
      <c r="H97" s="630" t="s">
        <v>3631</v>
      </c>
      <c r="K97" s="644">
        <f>K89/2</f>
        <v>35615.61679586563</v>
      </c>
      <c r="L97" s="771"/>
      <c r="M97" s="630" t="s">
        <v>3631</v>
      </c>
      <c r="P97" s="630">
        <f>P89/2</f>
        <v>36685</v>
      </c>
      <c r="Q97" s="757"/>
      <c r="S97" s="648" t="s">
        <v>262</v>
      </c>
      <c r="T97" s="2125">
        <f>+T67+T77-T87</f>
        <v>0</v>
      </c>
      <c r="U97" s="2125">
        <f t="shared" si="33"/>
        <v>0</v>
      </c>
      <c r="V97" s="2125">
        <f t="shared" si="33"/>
        <v>0</v>
      </c>
      <c r="W97" s="2125">
        <f t="shared" si="33"/>
        <v>0</v>
      </c>
      <c r="X97" s="2126">
        <f t="shared" si="32"/>
        <v>0</v>
      </c>
      <c r="Y97" s="856"/>
      <c r="Z97" s="634"/>
      <c r="AA97" s="634"/>
      <c r="AB97" s="634"/>
      <c r="AC97" s="634"/>
    </row>
    <row r="98" spans="1:30">
      <c r="A98" s="765"/>
      <c r="B98" s="777" t="s">
        <v>4063</v>
      </c>
      <c r="C98" s="778" t="s">
        <v>193</v>
      </c>
      <c r="D98" s="779" t="s">
        <v>426</v>
      </c>
      <c r="E98" s="778" t="s">
        <v>4068</v>
      </c>
      <c r="F98" s="757"/>
      <c r="G98" s="638"/>
      <c r="H98" s="630" t="s">
        <v>3632</v>
      </c>
      <c r="K98" s="644">
        <f>K90/2</f>
        <v>17431.646428571432</v>
      </c>
      <c r="L98" s="771"/>
      <c r="M98" s="630" t="s">
        <v>3632</v>
      </c>
      <c r="P98" s="630">
        <f>P90/2</f>
        <v>17955</v>
      </c>
      <c r="Q98" s="757"/>
      <c r="S98" s="648" t="s">
        <v>263</v>
      </c>
      <c r="T98" s="2125">
        <f>+T68+T78-T88</f>
        <v>0</v>
      </c>
      <c r="U98" s="2125">
        <f t="shared" si="33"/>
        <v>0</v>
      </c>
      <c r="V98" s="2125">
        <f t="shared" si="33"/>
        <v>0</v>
      </c>
      <c r="W98" s="2125">
        <f t="shared" si="33"/>
        <v>0</v>
      </c>
      <c r="X98" s="2126">
        <f t="shared" si="32"/>
        <v>0</v>
      </c>
      <c r="Y98" s="856"/>
      <c r="Z98" s="634"/>
      <c r="AA98" s="634"/>
      <c r="AB98" s="634"/>
      <c r="AC98" s="634"/>
    </row>
    <row r="99" spans="1:30">
      <c r="A99" s="765"/>
      <c r="B99" s="759"/>
      <c r="C99" s="780"/>
      <c r="D99" s="781"/>
      <c r="E99" s="993"/>
      <c r="F99" s="757"/>
      <c r="G99" s="638"/>
      <c r="H99" s="630" t="s">
        <v>616</v>
      </c>
      <c r="K99" s="2000">
        <f>K97*K86*6</f>
        <v>1709549.6062015502</v>
      </c>
      <c r="L99" s="771"/>
      <c r="M99" s="630" t="s">
        <v>616</v>
      </c>
      <c r="P99" s="630">
        <f>P97*P86*6</f>
        <v>880440</v>
      </c>
      <c r="Q99" s="757"/>
      <c r="S99" s="648" t="s">
        <v>962</v>
      </c>
      <c r="T99" s="2125">
        <f>+T69+T79-T89</f>
        <v>0</v>
      </c>
      <c r="U99" s="2125">
        <f t="shared" si="33"/>
        <v>0</v>
      </c>
      <c r="V99" s="2125">
        <f t="shared" si="33"/>
        <v>0</v>
      </c>
      <c r="W99" s="2125">
        <f t="shared" si="33"/>
        <v>0</v>
      </c>
      <c r="X99" s="2126">
        <f t="shared" si="32"/>
        <v>0</v>
      </c>
      <c r="Y99" s="856"/>
      <c r="Z99" s="634"/>
      <c r="AA99" s="634"/>
      <c r="AB99" s="634"/>
      <c r="AC99" s="634"/>
    </row>
    <row r="100" spans="1:30">
      <c r="A100" s="765"/>
      <c r="B100" s="759" t="s">
        <v>112</v>
      </c>
      <c r="C100" s="780">
        <v>993</v>
      </c>
      <c r="D100" s="781">
        <f>+ROUND(200*365*1.32/12,0)</f>
        <v>8030</v>
      </c>
      <c r="E100" s="1005">
        <f>C100*D100*12/10000000</f>
        <v>9.5685479999999998</v>
      </c>
      <c r="F100" s="776">
        <f>+ROUND(D100*1.1,0)</f>
        <v>8833</v>
      </c>
      <c r="G100" s="638">
        <f>530*F100*12</f>
        <v>56177880</v>
      </c>
      <c r="H100" s="630" t="s">
        <v>3628</v>
      </c>
      <c r="K100" s="2000">
        <f>K98*K87*6</f>
        <v>10668167.614285717</v>
      </c>
      <c r="L100" s="771"/>
      <c r="M100" s="630" t="s">
        <v>3628</v>
      </c>
      <c r="P100" s="630">
        <f>P98*P87*6</f>
        <v>7972020</v>
      </c>
      <c r="Q100" s="757"/>
      <c r="S100" s="648" t="s">
        <v>963</v>
      </c>
      <c r="T100" s="2125">
        <f t="shared" si="33"/>
        <v>0</v>
      </c>
      <c r="U100" s="2125">
        <f t="shared" si="33"/>
        <v>0</v>
      </c>
      <c r="V100" s="2125">
        <f t="shared" si="33"/>
        <v>0</v>
      </c>
      <c r="W100" s="2125">
        <f t="shared" si="33"/>
        <v>0</v>
      </c>
      <c r="X100" s="2126">
        <f t="shared" si="32"/>
        <v>0</v>
      </c>
      <c r="Y100" s="856"/>
      <c r="Z100" s="634"/>
      <c r="AA100" s="634"/>
      <c r="AB100" s="634"/>
      <c r="AC100" s="634"/>
    </row>
    <row r="101" spans="1:30">
      <c r="A101" s="765"/>
      <c r="B101" s="759" t="s">
        <v>463</v>
      </c>
      <c r="C101" s="780">
        <v>27</v>
      </c>
      <c r="D101" s="781">
        <f>+ROUND((240*365*1.32+300)/12,0)</f>
        <v>9661</v>
      </c>
      <c r="E101" s="1005">
        <f>C101*D101*12/10000000</f>
        <v>0.31301639999999997</v>
      </c>
      <c r="F101" s="776">
        <f>+ROUND(D101*1.1,0)</f>
        <v>10627</v>
      </c>
      <c r="G101" s="638">
        <f>+C101*F101*12</f>
        <v>3443148</v>
      </c>
      <c r="J101" s="630" t="s">
        <v>870</v>
      </c>
      <c r="K101" s="2000">
        <f>SUM(K99:K100)</f>
        <v>12377717.220487267</v>
      </c>
      <c r="L101" s="771"/>
      <c r="O101" s="630" t="s">
        <v>870</v>
      </c>
      <c r="P101" s="630">
        <f>SUM(P99:P100)</f>
        <v>8852460</v>
      </c>
      <c r="Q101" s="757"/>
      <c r="S101" s="648" t="s">
        <v>3338</v>
      </c>
      <c r="T101" s="2125">
        <f t="shared" si="33"/>
        <v>0</v>
      </c>
      <c r="U101" s="2125">
        <f t="shared" si="33"/>
        <v>0</v>
      </c>
      <c r="V101" s="2125">
        <f t="shared" si="33"/>
        <v>0</v>
      </c>
      <c r="W101" s="2125">
        <f t="shared" si="33"/>
        <v>0</v>
      </c>
      <c r="X101" s="2126">
        <f t="shared" si="32"/>
        <v>0</v>
      </c>
      <c r="Y101" s="856"/>
      <c r="Z101" s="634"/>
      <c r="AA101" s="634"/>
      <c r="AB101" s="634"/>
      <c r="AC101" s="634"/>
    </row>
    <row r="102" spans="1:30">
      <c r="A102" s="765"/>
      <c r="B102" s="759" t="s">
        <v>3639</v>
      </c>
      <c r="C102" s="780">
        <v>21</v>
      </c>
      <c r="D102" s="781">
        <f>+ROUND((260*365*1.32+300)/12,0)</f>
        <v>10464</v>
      </c>
      <c r="E102" s="1005">
        <f>C102*D102*12/10000000</f>
        <v>0.2636928</v>
      </c>
      <c r="F102" s="776">
        <f>+ROUND(D102*1.1,0)</f>
        <v>11510</v>
      </c>
      <c r="G102" s="638">
        <f>+C102*F102*12</f>
        <v>2900520</v>
      </c>
      <c r="H102" s="630" t="s">
        <v>4685</v>
      </c>
      <c r="L102" s="771"/>
      <c r="M102" s="630" t="s">
        <v>4685</v>
      </c>
      <c r="Q102" s="757"/>
      <c r="S102" s="648" t="s">
        <v>358</v>
      </c>
      <c r="T102" s="2125">
        <f t="shared" si="33"/>
        <v>0</v>
      </c>
      <c r="U102" s="2125">
        <f t="shared" si="33"/>
        <v>0</v>
      </c>
      <c r="V102" s="2125">
        <v>0</v>
      </c>
      <c r="W102" s="2125">
        <f t="shared" si="33"/>
        <v>0</v>
      </c>
      <c r="X102" s="2126">
        <f t="shared" si="32"/>
        <v>0</v>
      </c>
      <c r="Y102" s="856"/>
      <c r="Z102" s="634"/>
      <c r="AA102" s="634"/>
      <c r="AB102" s="634"/>
      <c r="AC102" s="634"/>
    </row>
    <row r="103" spans="1:30">
      <c r="A103" s="765"/>
      <c r="B103" s="759" t="s">
        <v>3640</v>
      </c>
      <c r="C103" s="780">
        <f>69+53</f>
        <v>122</v>
      </c>
      <c r="D103" s="781">
        <f>+ROUND((240*365*1.32+300)/12,0)</f>
        <v>9661</v>
      </c>
      <c r="E103" s="1005">
        <f>C103*D103*12/10000000</f>
        <v>1.4143703999999999</v>
      </c>
      <c r="F103" s="776">
        <f>+ROUND(D103*1.1,0)</f>
        <v>10627</v>
      </c>
      <c r="G103" s="638">
        <f>+C103*F103*12</f>
        <v>15557928</v>
      </c>
      <c r="J103" s="630" t="s">
        <v>3633</v>
      </c>
      <c r="K103" s="625">
        <f>K94-K101</f>
        <v>12377717.220487267</v>
      </c>
      <c r="L103" s="771"/>
      <c r="O103" s="630" t="s">
        <v>3633</v>
      </c>
      <c r="P103" s="625">
        <f>P94-P101</f>
        <v>8852460</v>
      </c>
      <c r="Q103" s="757"/>
      <c r="S103" s="734" t="s">
        <v>1100</v>
      </c>
      <c r="T103" s="2180">
        <f>SUM(T95:T102)</f>
        <v>291</v>
      </c>
      <c r="U103" s="2180">
        <f>SUM(U95:U102)</f>
        <v>88</v>
      </c>
      <c r="V103" s="2180">
        <f>SUM(V95:V102)</f>
        <v>1056</v>
      </c>
      <c r="W103" s="2180">
        <f>SUM(W95:W102)</f>
        <v>427</v>
      </c>
      <c r="X103" s="2126">
        <f>SUM(X95:X102)</f>
        <v>1862</v>
      </c>
      <c r="Y103" s="2195">
        <f>+X103-X73</f>
        <v>-29</v>
      </c>
      <c r="Z103" s="634"/>
      <c r="AA103" s="634"/>
      <c r="AB103" s="634"/>
      <c r="AC103" s="634"/>
      <c r="AD103" s="2000">
        <f>SUM(AD95:AD102)</f>
        <v>426</v>
      </c>
    </row>
    <row r="104" spans="1:30">
      <c r="B104" s="777" t="s">
        <v>1100</v>
      </c>
      <c r="C104" s="782">
        <f>SUM(C99:C103)</f>
        <v>1163</v>
      </c>
      <c r="D104" s="783"/>
      <c r="E104" s="784">
        <f>SUM(E99:E103)</f>
        <v>11.559627599999999</v>
      </c>
      <c r="F104" s="757"/>
      <c r="G104" s="665">
        <f>SUM(G100:G103)</f>
        <v>78079476</v>
      </c>
      <c r="H104" s="625" t="s">
        <v>3634</v>
      </c>
      <c r="L104" s="771"/>
      <c r="M104" s="625" t="s">
        <v>3637</v>
      </c>
      <c r="Q104" s="757"/>
      <c r="S104" s="2169" t="s">
        <v>1276</v>
      </c>
      <c r="T104" s="2170"/>
      <c r="U104" s="2170"/>
      <c r="V104" s="2170"/>
      <c r="W104" s="2170"/>
      <c r="X104" s="2171"/>
      <c r="Y104" s="2196"/>
      <c r="Z104" s="754"/>
      <c r="AA104" s="754"/>
      <c r="AB104" s="754"/>
      <c r="AC104" s="754"/>
    </row>
    <row r="105" spans="1:30">
      <c r="B105" s="757" t="s">
        <v>4683</v>
      </c>
      <c r="C105" s="772"/>
      <c r="D105" s="772"/>
      <c r="E105" s="772"/>
      <c r="F105" s="757"/>
      <c r="G105" s="638"/>
      <c r="H105" s="630" t="s">
        <v>616</v>
      </c>
      <c r="I105" s="625"/>
      <c r="K105" s="2000">
        <f>T83+U83</f>
        <v>0</v>
      </c>
      <c r="L105" s="771"/>
      <c r="M105" s="630" t="s">
        <v>616</v>
      </c>
      <c r="N105" s="625"/>
      <c r="P105" s="2000">
        <f>T113+U113</f>
        <v>0</v>
      </c>
      <c r="Q105" s="757"/>
      <c r="S105" s="633" t="s">
        <v>261</v>
      </c>
      <c r="T105" s="2125">
        <v>0</v>
      </c>
      <c r="U105" s="2125">
        <v>0</v>
      </c>
      <c r="V105" s="2125">
        <v>0</v>
      </c>
      <c r="W105" s="2125">
        <v>0</v>
      </c>
      <c r="X105" s="2126">
        <f t="shared" ref="X105:X112" si="34">SUM(T105:W105)</f>
        <v>0</v>
      </c>
      <c r="Y105" s="856"/>
      <c r="Z105" s="634"/>
      <c r="AA105" s="634"/>
      <c r="AB105" s="634"/>
      <c r="AC105" s="634"/>
      <c r="AD105" s="630">
        <f>CE19</f>
        <v>269</v>
      </c>
    </row>
    <row r="106" spans="1:30">
      <c r="B106" s="757"/>
      <c r="C106" s="772"/>
      <c r="D106" s="772"/>
      <c r="E106" s="772"/>
      <c r="F106" s="757"/>
      <c r="G106" s="638"/>
      <c r="H106" s="630" t="s">
        <v>617</v>
      </c>
      <c r="K106" s="2000">
        <f>V83+W83</f>
        <v>0</v>
      </c>
      <c r="L106" s="771"/>
      <c r="M106" s="630" t="s">
        <v>617</v>
      </c>
      <c r="P106" s="2000">
        <f>V113+W113</f>
        <v>0</v>
      </c>
      <c r="Q106" s="757"/>
      <c r="S106" s="648" t="s">
        <v>1115</v>
      </c>
      <c r="T106" s="2125"/>
      <c r="U106" s="2125"/>
      <c r="V106" s="2125"/>
      <c r="W106" s="2125"/>
      <c r="X106" s="2126">
        <f t="shared" si="34"/>
        <v>0</v>
      </c>
      <c r="Y106" s="856"/>
      <c r="Z106" s="634"/>
      <c r="AA106" s="634"/>
      <c r="AB106" s="634"/>
      <c r="AC106" s="634"/>
    </row>
    <row r="107" spans="1:30">
      <c r="B107" s="777" t="s">
        <v>4067</v>
      </c>
      <c r="C107" s="778" t="s">
        <v>193</v>
      </c>
      <c r="D107" s="779" t="s">
        <v>426</v>
      </c>
      <c r="E107" s="778" t="s">
        <v>4068</v>
      </c>
      <c r="F107" s="757"/>
      <c r="G107" s="638"/>
      <c r="J107" s="630" t="s">
        <v>1100</v>
      </c>
      <c r="K107" s="625">
        <f>K106+K105</f>
        <v>0</v>
      </c>
      <c r="L107" s="771"/>
      <c r="O107" s="630" t="s">
        <v>1100</v>
      </c>
      <c r="P107" s="625">
        <f>P106+P105</f>
        <v>0</v>
      </c>
      <c r="Q107" s="757"/>
      <c r="S107" s="648" t="s">
        <v>262</v>
      </c>
      <c r="T107" s="2125"/>
      <c r="U107" s="2125"/>
      <c r="V107" s="2125"/>
      <c r="W107" s="2125"/>
      <c r="X107" s="2126">
        <f t="shared" si="34"/>
        <v>0</v>
      </c>
      <c r="Y107" s="856"/>
      <c r="Z107" s="634"/>
      <c r="AA107" s="634"/>
      <c r="AB107" s="634"/>
      <c r="AC107" s="634"/>
    </row>
    <row r="108" spans="1:30">
      <c r="B108" s="759" t="s">
        <v>4065</v>
      </c>
      <c r="C108" s="780">
        <v>15</v>
      </c>
      <c r="D108" s="781">
        <f>ROUND(449000/15,0)</f>
        <v>29933</v>
      </c>
      <c r="E108" s="1005">
        <f>C108*D108*12/10000000</f>
        <v>0.538794</v>
      </c>
      <c r="F108" s="776">
        <f>+D108*1.1</f>
        <v>32926.300000000003</v>
      </c>
      <c r="G108" s="638">
        <f>+C108*F108*12</f>
        <v>5926734.0000000009</v>
      </c>
      <c r="H108" s="630" t="s">
        <v>3635</v>
      </c>
      <c r="L108" s="771"/>
      <c r="M108" s="630" t="s">
        <v>3635</v>
      </c>
      <c r="Q108" s="757"/>
      <c r="S108" s="648" t="s">
        <v>263</v>
      </c>
      <c r="T108" s="2125"/>
      <c r="U108" s="2125"/>
      <c r="V108" s="2125"/>
      <c r="W108" s="2125"/>
      <c r="X108" s="2126">
        <f t="shared" si="34"/>
        <v>0</v>
      </c>
      <c r="Y108" s="856"/>
      <c r="Z108" s="634"/>
      <c r="AA108" s="634"/>
      <c r="AB108" s="634"/>
      <c r="AC108" s="634"/>
    </row>
    <row r="109" spans="1:30">
      <c r="B109" s="759" t="s">
        <v>4064</v>
      </c>
      <c r="C109" s="780">
        <v>0</v>
      </c>
      <c r="D109" s="781">
        <v>31500</v>
      </c>
      <c r="E109" s="1005">
        <f>C109*D109*12/10000000</f>
        <v>0</v>
      </c>
      <c r="F109" s="776">
        <f>+D109*1.1</f>
        <v>34650</v>
      </c>
      <c r="G109" s="638">
        <f>+C109*F109*12</f>
        <v>0</v>
      </c>
      <c r="H109" s="630" t="s">
        <v>616</v>
      </c>
      <c r="K109" s="2000">
        <f>12000*K105*6</f>
        <v>0</v>
      </c>
      <c r="L109" s="771"/>
      <c r="M109" s="630" t="s">
        <v>616</v>
      </c>
      <c r="P109" s="630">
        <f>12000*P105*6</f>
        <v>0</v>
      </c>
      <c r="Q109" s="757"/>
      <c r="S109" s="648" t="s">
        <v>962</v>
      </c>
      <c r="T109" s="2125"/>
      <c r="U109" s="2125"/>
      <c r="V109" s="2125"/>
      <c r="W109" s="2125"/>
      <c r="X109" s="2126">
        <f t="shared" si="34"/>
        <v>0</v>
      </c>
      <c r="Y109" s="856"/>
      <c r="Z109" s="634"/>
      <c r="AA109" s="634"/>
      <c r="AB109" s="634"/>
      <c r="AC109" s="634"/>
    </row>
    <row r="110" spans="1:30">
      <c r="B110" s="759" t="s">
        <v>4066</v>
      </c>
      <c r="C110" s="780">
        <v>21</v>
      </c>
      <c r="D110" s="781">
        <f>+ROUND(200*365*1.32/12,0)</f>
        <v>8030</v>
      </c>
      <c r="E110" s="1005">
        <f>C110*D110*12/10000000</f>
        <v>0.20235600000000001</v>
      </c>
      <c r="F110" s="776">
        <f>+D110*1.1</f>
        <v>8833</v>
      </c>
      <c r="G110" s="638">
        <f>+C110*F110*12</f>
        <v>2225916</v>
      </c>
      <c r="H110" s="630" t="s">
        <v>617</v>
      </c>
      <c r="K110" s="2000">
        <f>7710*K106*6</f>
        <v>0</v>
      </c>
      <c r="L110" s="771"/>
      <c r="M110" s="630" t="s">
        <v>617</v>
      </c>
      <c r="P110" s="2000">
        <f>7710*P106*6</f>
        <v>0</v>
      </c>
      <c r="Q110" s="757"/>
      <c r="S110" s="648" t="s">
        <v>963</v>
      </c>
      <c r="T110" s="2125"/>
      <c r="U110" s="2125"/>
      <c r="V110" s="2125"/>
      <c r="W110" s="2125"/>
      <c r="X110" s="2126">
        <f t="shared" si="34"/>
        <v>0</v>
      </c>
      <c r="Y110" s="856"/>
      <c r="Z110" s="634"/>
      <c r="AA110" s="634"/>
      <c r="AB110" s="634"/>
      <c r="AC110" s="634"/>
    </row>
    <row r="111" spans="1:30">
      <c r="B111" s="777" t="s">
        <v>1100</v>
      </c>
      <c r="C111" s="782">
        <f>SUM(C108:C110)</f>
        <v>36</v>
      </c>
      <c r="D111" s="682"/>
      <c r="E111" s="784">
        <f>SUM(E108:E110)</f>
        <v>0.74114999999999998</v>
      </c>
      <c r="F111" s="757"/>
      <c r="G111" s="665">
        <f>SUM(G108:G110)</f>
        <v>8152650.0000000009</v>
      </c>
      <c r="J111" s="630" t="s">
        <v>3636</v>
      </c>
      <c r="K111" s="625">
        <f>SUM(K109:K110)</f>
        <v>0</v>
      </c>
      <c r="L111" s="771"/>
      <c r="O111" s="630" t="s">
        <v>1100</v>
      </c>
      <c r="P111" s="625">
        <f>SUM(P109:P110)</f>
        <v>0</v>
      </c>
      <c r="Q111" s="757"/>
      <c r="S111" s="648" t="s">
        <v>3338</v>
      </c>
      <c r="T111" s="2125"/>
      <c r="U111" s="2125"/>
      <c r="V111" s="2125"/>
      <c r="W111" s="2125">
        <v>0</v>
      </c>
      <c r="X111" s="2126">
        <f t="shared" si="34"/>
        <v>0</v>
      </c>
      <c r="Y111" s="856"/>
      <c r="Z111" s="634"/>
      <c r="AA111" s="634"/>
      <c r="AB111" s="634"/>
      <c r="AC111" s="634"/>
    </row>
    <row r="112" spans="1:30">
      <c r="C112" s="638"/>
      <c r="D112" s="638"/>
      <c r="E112" s="638"/>
      <c r="F112" s="638"/>
      <c r="G112" s="638"/>
      <c r="H112" s="630">
        <f>35110*21*12</f>
        <v>8847720</v>
      </c>
      <c r="S112" s="648" t="s">
        <v>358</v>
      </c>
      <c r="T112" s="2125"/>
      <c r="U112" s="2125"/>
      <c r="V112" s="2125"/>
      <c r="W112" s="2125"/>
      <c r="X112" s="2181">
        <f t="shared" si="34"/>
        <v>0</v>
      </c>
      <c r="Y112" s="856"/>
      <c r="Z112" s="634"/>
      <c r="AA112" s="634"/>
      <c r="AB112" s="634"/>
      <c r="AC112" s="634"/>
    </row>
    <row r="113" spans="2:30">
      <c r="B113" s="2197" t="s">
        <v>437</v>
      </c>
      <c r="C113" s="790"/>
      <c r="D113" s="2198">
        <v>0.18809999999999999</v>
      </c>
      <c r="H113" s="660"/>
      <c r="I113" s="660"/>
      <c r="J113" s="660"/>
      <c r="K113" s="660"/>
      <c r="S113" s="734" t="s">
        <v>1100</v>
      </c>
      <c r="T113" s="2180">
        <f>SUM(T105:T112)</f>
        <v>0</v>
      </c>
      <c r="U113" s="2180">
        <f>SUM(U105:U112)</f>
        <v>0</v>
      </c>
      <c r="V113" s="2180">
        <f>SUM(V105:V112)</f>
        <v>0</v>
      </c>
      <c r="W113" s="2180">
        <f>SUM(W105:W112)</f>
        <v>0</v>
      </c>
      <c r="X113" s="2126">
        <f>SUM(X105:X112)</f>
        <v>0</v>
      </c>
      <c r="Y113" s="854"/>
      <c r="Z113" s="639"/>
      <c r="AA113" s="639"/>
      <c r="AB113" s="639"/>
      <c r="AC113" s="639"/>
      <c r="AD113" s="630">
        <f>AD105</f>
        <v>269</v>
      </c>
    </row>
    <row r="114" spans="2:30">
      <c r="B114" s="2197" t="s">
        <v>438</v>
      </c>
      <c r="C114" s="790"/>
      <c r="D114" s="2198">
        <v>4.2900000000000001E-2</v>
      </c>
      <c r="E114" s="638"/>
      <c r="F114" s="638"/>
      <c r="G114" s="638">
        <f>+G111+G104</f>
        <v>86232126</v>
      </c>
      <c r="S114" s="734" t="s">
        <v>4724</v>
      </c>
      <c r="T114" s="2125"/>
      <c r="U114" s="2125"/>
      <c r="V114" s="2125"/>
      <c r="W114" s="2125"/>
      <c r="X114" s="2181"/>
      <c r="Y114" s="856"/>
      <c r="Z114" s="634"/>
      <c r="AA114" s="634"/>
      <c r="AB114" s="634"/>
      <c r="AC114" s="634"/>
    </row>
    <row r="115" spans="2:30">
      <c r="B115" s="2197" t="s">
        <v>439</v>
      </c>
      <c r="C115" s="790"/>
      <c r="D115" s="2198">
        <v>1.9800000000000002E-2</v>
      </c>
      <c r="E115" s="638"/>
      <c r="F115" s="638"/>
      <c r="G115" s="630">
        <v>111341213</v>
      </c>
      <c r="S115" s="633" t="s">
        <v>261</v>
      </c>
      <c r="T115" s="2125">
        <v>3</v>
      </c>
      <c r="U115" s="2125">
        <v>1</v>
      </c>
      <c r="V115" s="2125">
        <v>55</v>
      </c>
      <c r="W115" s="2125">
        <v>19</v>
      </c>
      <c r="X115" s="2126">
        <f t="shared" ref="X115:X122" si="35">SUM(T115:W115)</f>
        <v>78</v>
      </c>
      <c r="Y115" s="856"/>
      <c r="Z115" s="634"/>
      <c r="AA115" s="634"/>
      <c r="AB115" s="634"/>
      <c r="AC115" s="634"/>
      <c r="AD115" s="2126"/>
    </row>
    <row r="116" spans="2:30">
      <c r="C116" s="638"/>
      <c r="D116" s="638"/>
      <c r="E116" s="638"/>
      <c r="F116" s="638"/>
      <c r="G116" s="638">
        <f>+G114+G115</f>
        <v>197573339</v>
      </c>
      <c r="Q116" s="630" t="s">
        <v>1138</v>
      </c>
      <c r="S116" s="648" t="s">
        <v>1115</v>
      </c>
      <c r="T116" s="2125"/>
      <c r="U116" s="2125"/>
      <c r="V116" s="2125"/>
      <c r="W116" s="2125"/>
      <c r="X116" s="2126">
        <f t="shared" si="35"/>
        <v>0</v>
      </c>
      <c r="Y116" s="856"/>
      <c r="Z116" s="634"/>
      <c r="AA116" s="634"/>
      <c r="AB116" s="634"/>
      <c r="AC116" s="634"/>
    </row>
    <row r="117" spans="2:30">
      <c r="C117" s="638"/>
      <c r="D117" s="638"/>
      <c r="E117" s="638"/>
      <c r="F117" s="638"/>
      <c r="G117" s="630">
        <f>26*12000*12</f>
        <v>3744000</v>
      </c>
      <c r="J117" s="3368" t="s">
        <v>1052</v>
      </c>
      <c r="K117" s="3368"/>
      <c r="L117" s="3368"/>
      <c r="M117" s="3368"/>
      <c r="O117" s="3429" t="s">
        <v>5355</v>
      </c>
      <c r="P117" s="3429"/>
      <c r="Q117" s="3429"/>
      <c r="S117" s="648" t="s">
        <v>262</v>
      </c>
      <c r="T117" s="2125"/>
      <c r="U117" s="2125"/>
      <c r="V117" s="2125"/>
      <c r="W117" s="2125"/>
      <c r="X117" s="2126">
        <f t="shared" si="35"/>
        <v>0</v>
      </c>
      <c r="Y117" s="856"/>
      <c r="Z117" s="634"/>
      <c r="AA117" s="634"/>
      <c r="AB117" s="634"/>
      <c r="AC117" s="634"/>
    </row>
    <row r="118" spans="2:30">
      <c r="G118" s="638">
        <f>+G116+G117</f>
        <v>201317339</v>
      </c>
      <c r="J118" s="634"/>
      <c r="K118" s="785" t="s">
        <v>4790</v>
      </c>
      <c r="L118" s="785" t="s">
        <v>5104</v>
      </c>
      <c r="M118" s="785" t="s">
        <v>5329</v>
      </c>
      <c r="P118" s="630" t="s">
        <v>5356</v>
      </c>
      <c r="Q118" s="630" t="s">
        <v>5357</v>
      </c>
      <c r="S118" s="648" t="s">
        <v>263</v>
      </c>
      <c r="T118" s="2125"/>
      <c r="U118" s="2125"/>
      <c r="V118" s="2125"/>
      <c r="W118" s="2125"/>
      <c r="X118" s="2126">
        <f t="shared" si="35"/>
        <v>0</v>
      </c>
      <c r="Y118" s="856"/>
      <c r="Z118" s="634"/>
      <c r="AA118" s="634"/>
      <c r="AB118" s="634"/>
      <c r="AC118" s="634"/>
    </row>
    <row r="119" spans="2:30" ht="77.5">
      <c r="B119" s="660" t="s">
        <v>1050</v>
      </c>
      <c r="C119" s="674" t="s">
        <v>1051</v>
      </c>
      <c r="J119" s="634" t="s">
        <v>735</v>
      </c>
      <c r="K119" s="2199">
        <f>G37</f>
        <v>185.41145191800001</v>
      </c>
      <c r="L119" s="991">
        <f>L123/K123*K119</f>
        <v>144.01703619999967</v>
      </c>
      <c r="M119" s="991">
        <f>M123/K123*K119</f>
        <v>158.41572149771014</v>
      </c>
      <c r="O119" s="658" t="s">
        <v>4740</v>
      </c>
      <c r="P119" s="2200">
        <f>Terminal!J17</f>
        <v>1250.6799999999998</v>
      </c>
      <c r="Q119" s="636">
        <f>Terminal!K17</f>
        <v>1266.1600000000001</v>
      </c>
      <c r="S119" s="648" t="s">
        <v>962</v>
      </c>
      <c r="T119" s="2125"/>
      <c r="U119" s="2125"/>
      <c r="V119" s="2125"/>
      <c r="W119" s="2125"/>
      <c r="X119" s="2126">
        <f t="shared" si="35"/>
        <v>0</v>
      </c>
      <c r="Y119" s="856"/>
      <c r="Z119" s="634"/>
      <c r="AA119" s="634"/>
      <c r="AB119" s="634"/>
      <c r="AC119" s="634"/>
    </row>
    <row r="120" spans="2:30" ht="77.5">
      <c r="B120" s="2201">
        <v>38899</v>
      </c>
      <c r="C120" s="2202">
        <v>0.02</v>
      </c>
      <c r="D120" s="638"/>
      <c r="E120" s="638"/>
      <c r="F120" s="638"/>
      <c r="H120" s="630">
        <f>+(48.39+53.23)</f>
        <v>101.62</v>
      </c>
      <c r="J120" s="634"/>
      <c r="K120" s="992"/>
      <c r="L120" s="991">
        <f>$L$123/$K$123*K120</f>
        <v>0</v>
      </c>
      <c r="M120" s="991">
        <f>$M$123/$K$123*K120</f>
        <v>0</v>
      </c>
      <c r="O120" s="658" t="s">
        <v>4741</v>
      </c>
      <c r="P120" s="2200">
        <f>Terminal!I17</f>
        <v>1228.48</v>
      </c>
      <c r="Q120" s="636">
        <f>P119</f>
        <v>1250.6799999999998</v>
      </c>
      <c r="S120" s="648" t="s">
        <v>963</v>
      </c>
      <c r="T120" s="2125"/>
      <c r="U120" s="2125"/>
      <c r="V120" s="2125"/>
      <c r="W120" s="2125"/>
      <c r="X120" s="2126">
        <f t="shared" si="35"/>
        <v>0</v>
      </c>
      <c r="Y120" s="856"/>
      <c r="Z120" s="634"/>
      <c r="AA120" s="634"/>
      <c r="AB120" s="634"/>
      <c r="AC120" s="634"/>
    </row>
    <row r="121" spans="2:30" ht="108.5">
      <c r="B121" s="2201">
        <v>39083</v>
      </c>
      <c r="C121" s="2202">
        <v>0.06</v>
      </c>
      <c r="D121" s="638"/>
      <c r="E121" s="638"/>
      <c r="F121" s="638"/>
      <c r="J121" s="634" t="s">
        <v>801</v>
      </c>
      <c r="K121" s="2199">
        <f>G38</f>
        <v>0</v>
      </c>
      <c r="L121" s="991">
        <f>L123/K123*K121</f>
        <v>0</v>
      </c>
      <c r="M121" s="991">
        <f>M123/K123*K121</f>
        <v>0</v>
      </c>
      <c r="O121" s="658" t="s">
        <v>4742</v>
      </c>
      <c r="P121" s="2200">
        <f>Terminal!M17</f>
        <v>2.0267999999999997</v>
      </c>
      <c r="Q121" s="636">
        <f>Terminal!Q17</f>
        <v>2.1484079999999999</v>
      </c>
      <c r="S121" s="648" t="s">
        <v>3338</v>
      </c>
      <c r="T121" s="2125"/>
      <c r="U121" s="2125"/>
      <c r="V121" s="2125"/>
      <c r="W121" s="2125"/>
      <c r="X121" s="2126">
        <f t="shared" si="35"/>
        <v>0</v>
      </c>
      <c r="Y121" s="856"/>
      <c r="Z121" s="634"/>
      <c r="AA121" s="634"/>
      <c r="AB121" s="634"/>
      <c r="AC121" s="634"/>
    </row>
    <row r="122" spans="2:30" ht="62">
      <c r="B122" s="2201">
        <v>39264</v>
      </c>
      <c r="C122" s="2202">
        <v>0.09</v>
      </c>
      <c r="J122" s="634"/>
      <c r="K122" s="785"/>
      <c r="L122" s="785"/>
      <c r="M122" s="785"/>
      <c r="O122" s="658" t="s">
        <v>4743</v>
      </c>
      <c r="P122" s="2200">
        <f>Terminal!N17</f>
        <v>123.8438362</v>
      </c>
      <c r="Q122" s="636">
        <f>Terminal!R17</f>
        <v>145.08412949770994</v>
      </c>
      <c r="S122" s="648" t="s">
        <v>358</v>
      </c>
      <c r="T122" s="2125"/>
      <c r="U122" s="2125"/>
      <c r="V122" s="2125"/>
      <c r="W122" s="2125"/>
      <c r="X122" s="2126">
        <f t="shared" si="35"/>
        <v>0</v>
      </c>
      <c r="Y122" s="856"/>
      <c r="Z122" s="634"/>
      <c r="AA122" s="634"/>
      <c r="AB122" s="634"/>
      <c r="AC122" s="634"/>
    </row>
    <row r="123" spans="2:30" ht="77.5">
      <c r="B123" s="2201">
        <v>39448</v>
      </c>
      <c r="C123" s="2202">
        <v>0.12</v>
      </c>
      <c r="G123" s="644"/>
      <c r="J123" s="634" t="s">
        <v>1101</v>
      </c>
      <c r="K123" s="2199">
        <f>K121+K119</f>
        <v>185.41145191800001</v>
      </c>
      <c r="L123" s="991">
        <f>Terminal!J28</f>
        <v>144.01703619999967</v>
      </c>
      <c r="M123" s="991">
        <f>Terminal!I28</f>
        <v>158.41572149771014</v>
      </c>
      <c r="O123" s="658" t="s">
        <v>4744</v>
      </c>
      <c r="P123" s="2203">
        <f>P119-(P120+P121-P122)</f>
        <v>144.01703619999967</v>
      </c>
      <c r="Q123" s="2203">
        <f>Q119-(Q120+Q121-Q122)</f>
        <v>158.41572149771014</v>
      </c>
      <c r="S123" s="734" t="s">
        <v>1100</v>
      </c>
      <c r="T123" s="2180">
        <f>SUM(T115:T122)</f>
        <v>3</v>
      </c>
      <c r="U123" s="2180">
        <f>SUM(U115:U122)</f>
        <v>1</v>
      </c>
      <c r="V123" s="2180">
        <f>SUM(V115:V122)</f>
        <v>55</v>
      </c>
      <c r="W123" s="2180">
        <f>SUM(W115:W122)</f>
        <v>19</v>
      </c>
      <c r="X123" s="2126">
        <f>SUM(X115:X122)</f>
        <v>78</v>
      </c>
      <c r="Y123" s="856"/>
      <c r="Z123" s="634"/>
      <c r="AA123" s="634"/>
      <c r="AB123" s="634"/>
      <c r="AC123" s="634"/>
      <c r="AD123" s="2126">
        <f>SUM(AD115:AD122)</f>
        <v>0</v>
      </c>
    </row>
    <row r="124" spans="2:30">
      <c r="B124" s="2201">
        <v>39630</v>
      </c>
      <c r="C124" s="2202">
        <v>0.16</v>
      </c>
      <c r="D124" s="638"/>
      <c r="E124" s="638"/>
      <c r="F124" s="638"/>
      <c r="S124" s="734" t="s">
        <v>6903</v>
      </c>
      <c r="T124" s="2125"/>
      <c r="U124" s="2125"/>
      <c r="V124" s="2125"/>
      <c r="W124" s="2125"/>
      <c r="X124" s="2126">
        <f t="shared" ref="X124:X132" si="36">SUM(T124:W124)</f>
        <v>0</v>
      </c>
      <c r="Y124" s="856"/>
      <c r="Z124" s="634"/>
      <c r="AA124" s="634"/>
      <c r="AB124" s="634"/>
      <c r="AC124" s="634"/>
    </row>
    <row r="125" spans="2:30">
      <c r="B125" s="2201">
        <v>39814</v>
      </c>
      <c r="C125" s="2202">
        <v>0.22</v>
      </c>
      <c r="F125" s="638"/>
      <c r="G125" s="651"/>
      <c r="O125" s="638"/>
      <c r="S125" s="633" t="s">
        <v>261</v>
      </c>
      <c r="T125" s="2125">
        <f t="shared" ref="T125:W132" si="37">+T95+T105-T115</f>
        <v>288</v>
      </c>
      <c r="U125" s="2125">
        <f t="shared" si="37"/>
        <v>87</v>
      </c>
      <c r="V125" s="2125">
        <f t="shared" si="37"/>
        <v>1001</v>
      </c>
      <c r="W125" s="2125">
        <f t="shared" si="37"/>
        <v>408</v>
      </c>
      <c r="X125" s="2126">
        <f>SUM(T125:W125)</f>
        <v>1784</v>
      </c>
      <c r="Y125" s="856"/>
      <c r="Z125" s="634"/>
      <c r="AA125" s="634"/>
      <c r="AB125" s="634"/>
      <c r="AC125" s="634"/>
      <c r="AD125" s="2125">
        <f t="shared" ref="AD125" si="38">+AD95+AD105-AD115</f>
        <v>695</v>
      </c>
    </row>
    <row r="126" spans="2:30">
      <c r="B126" s="2201">
        <v>39995</v>
      </c>
      <c r="C126" s="2202">
        <v>0.27</v>
      </c>
      <c r="F126" s="638"/>
      <c r="H126" s="3415"/>
      <c r="I126" s="3415"/>
      <c r="J126" s="3415" t="s">
        <v>498</v>
      </c>
      <c r="K126" s="3415"/>
      <c r="L126" s="3415" t="s">
        <v>501</v>
      </c>
      <c r="M126" s="3415"/>
      <c r="N126" s="785" t="s">
        <v>1101</v>
      </c>
      <c r="O126" s="638"/>
      <c r="S126" s="648" t="s">
        <v>1115</v>
      </c>
      <c r="T126" s="2125">
        <f t="shared" si="37"/>
        <v>0</v>
      </c>
      <c r="U126" s="2125">
        <f t="shared" si="37"/>
        <v>0</v>
      </c>
      <c r="V126" s="2125">
        <f t="shared" si="37"/>
        <v>0</v>
      </c>
      <c r="W126" s="2125">
        <f t="shared" si="37"/>
        <v>0</v>
      </c>
      <c r="X126" s="2126">
        <f t="shared" si="36"/>
        <v>0</v>
      </c>
      <c r="Y126" s="856"/>
      <c r="Z126" s="634"/>
      <c r="AA126" s="634"/>
      <c r="AB126" s="634"/>
      <c r="AC126" s="634"/>
    </row>
    <row r="127" spans="2:30">
      <c r="B127" s="2201">
        <v>40179</v>
      </c>
      <c r="C127" s="2202">
        <v>0.35</v>
      </c>
      <c r="D127" s="638"/>
      <c r="E127" s="638">
        <f>+(35*3+45*6+51*3)/12</f>
        <v>44</v>
      </c>
      <c r="F127" s="638"/>
      <c r="H127" s="3415"/>
      <c r="I127" s="3415"/>
      <c r="J127" s="785" t="s">
        <v>499</v>
      </c>
      <c r="K127" s="785" t="s">
        <v>500</v>
      </c>
      <c r="L127" s="785" t="s">
        <v>499</v>
      </c>
      <c r="M127" s="785" t="s">
        <v>500</v>
      </c>
      <c r="N127" s="785"/>
      <c r="O127" s="638"/>
      <c r="S127" s="648" t="s">
        <v>262</v>
      </c>
      <c r="T127" s="2125">
        <f t="shared" si="37"/>
        <v>0</v>
      </c>
      <c r="U127" s="2125">
        <f t="shared" si="37"/>
        <v>0</v>
      </c>
      <c r="V127" s="2125">
        <f t="shared" si="37"/>
        <v>0</v>
      </c>
      <c r="W127" s="2125">
        <f t="shared" si="37"/>
        <v>0</v>
      </c>
      <c r="X127" s="2126">
        <f t="shared" si="36"/>
        <v>0</v>
      </c>
      <c r="Y127" s="856"/>
      <c r="Z127" s="634"/>
      <c r="AA127" s="634"/>
      <c r="AB127" s="634"/>
      <c r="AC127" s="634"/>
    </row>
    <row r="128" spans="2:30">
      <c r="B128" s="2201">
        <v>40360</v>
      </c>
      <c r="C128" s="2202">
        <v>0.45</v>
      </c>
      <c r="H128" s="639" t="s">
        <v>4791</v>
      </c>
      <c r="I128" s="634"/>
      <c r="J128" s="786">
        <f>T22</f>
        <v>295</v>
      </c>
      <c r="K128" s="786">
        <f>U22</f>
        <v>92</v>
      </c>
      <c r="L128" s="786">
        <f>V22</f>
        <v>1128</v>
      </c>
      <c r="M128" s="786">
        <f>W22</f>
        <v>454</v>
      </c>
      <c r="N128" s="786">
        <f>SUM(J128:M128)</f>
        <v>1969</v>
      </c>
      <c r="O128" s="638"/>
      <c r="S128" s="648" t="s">
        <v>263</v>
      </c>
      <c r="T128" s="2125">
        <f t="shared" si="37"/>
        <v>0</v>
      </c>
      <c r="U128" s="2125">
        <f t="shared" si="37"/>
        <v>0</v>
      </c>
      <c r="V128" s="2125">
        <f t="shared" si="37"/>
        <v>0</v>
      </c>
      <c r="W128" s="2125">
        <f t="shared" si="37"/>
        <v>0</v>
      </c>
      <c r="X128" s="2126">
        <f t="shared" si="36"/>
        <v>0</v>
      </c>
      <c r="Y128" s="856"/>
      <c r="Z128" s="634"/>
      <c r="AA128" s="634"/>
      <c r="AB128" s="634"/>
      <c r="AC128" s="634"/>
    </row>
    <row r="129" spans="2:30">
      <c r="B129" s="2201">
        <v>40544</v>
      </c>
      <c r="C129" s="2202">
        <v>0.51</v>
      </c>
      <c r="H129" s="634" t="s">
        <v>5115</v>
      </c>
      <c r="I129" s="634"/>
      <c r="J129" s="756">
        <f>T32+T83</f>
        <v>0</v>
      </c>
      <c r="K129" s="756">
        <f>U32+U83</f>
        <v>0</v>
      </c>
      <c r="L129" s="756">
        <f>V32+V83</f>
        <v>0</v>
      </c>
      <c r="M129" s="756">
        <f>W32+W83</f>
        <v>3</v>
      </c>
      <c r="N129" s="787">
        <f>SUM(J129:M129)</f>
        <v>3</v>
      </c>
      <c r="S129" s="648" t="s">
        <v>962</v>
      </c>
      <c r="T129" s="2125">
        <f t="shared" si="37"/>
        <v>0</v>
      </c>
      <c r="U129" s="2125">
        <f t="shared" si="37"/>
        <v>0</v>
      </c>
      <c r="V129" s="2125">
        <f>+V99+V109-V119</f>
        <v>0</v>
      </c>
      <c r="W129" s="2125">
        <f>+W99+W109-W119</f>
        <v>0</v>
      </c>
      <c r="X129" s="2126">
        <f t="shared" si="36"/>
        <v>0</v>
      </c>
      <c r="Y129" s="856"/>
      <c r="Z129" s="634"/>
      <c r="AA129" s="634"/>
      <c r="AB129" s="634"/>
      <c r="AC129" s="634"/>
    </row>
    <row r="130" spans="2:30">
      <c r="B130" s="2201">
        <v>40725</v>
      </c>
      <c r="C130" s="2202">
        <v>0.57999999999999996</v>
      </c>
      <c r="E130" s="630">
        <f>(51*3+58*6+66*3)/12</f>
        <v>58.25</v>
      </c>
      <c r="H130" s="634" t="s">
        <v>5116</v>
      </c>
      <c r="I130" s="634"/>
      <c r="J130" s="756">
        <f>T42+T93</f>
        <v>4</v>
      </c>
      <c r="K130" s="756">
        <f>U42+U93</f>
        <v>4</v>
      </c>
      <c r="L130" s="756">
        <f>V42+V93</f>
        <v>72</v>
      </c>
      <c r="M130" s="756">
        <f>W42+W93</f>
        <v>30</v>
      </c>
      <c r="N130" s="787">
        <f>SUM(J130:M130)</f>
        <v>110</v>
      </c>
      <c r="O130" s="638"/>
      <c r="S130" s="648" t="s">
        <v>963</v>
      </c>
      <c r="T130" s="2125">
        <f t="shared" si="37"/>
        <v>0</v>
      </c>
      <c r="U130" s="2125">
        <f t="shared" si="37"/>
        <v>0</v>
      </c>
      <c r="V130" s="2125">
        <f t="shared" si="37"/>
        <v>0</v>
      </c>
      <c r="W130" s="2125">
        <f t="shared" si="37"/>
        <v>0</v>
      </c>
      <c r="X130" s="2126">
        <f t="shared" si="36"/>
        <v>0</v>
      </c>
      <c r="Y130" s="856"/>
      <c r="Z130" s="634"/>
      <c r="AA130" s="634"/>
      <c r="AB130" s="634"/>
      <c r="AC130" s="634"/>
    </row>
    <row r="131" spans="2:30">
      <c r="B131" s="2201">
        <v>40909</v>
      </c>
      <c r="C131" s="2202">
        <v>0.65</v>
      </c>
      <c r="E131" s="638"/>
      <c r="F131" s="638"/>
      <c r="H131" s="639" t="s">
        <v>5117</v>
      </c>
      <c r="I131" s="634"/>
      <c r="J131" s="788">
        <f>J128+J129-J130</f>
        <v>291</v>
      </c>
      <c r="K131" s="788">
        <f>K128+K129-K130</f>
        <v>88</v>
      </c>
      <c r="L131" s="788">
        <f>L128+L129-L130</f>
        <v>1056</v>
      </c>
      <c r="M131" s="788">
        <f>M128+M129-M130</f>
        <v>427</v>
      </c>
      <c r="N131" s="788">
        <f>N128+N129-N130</f>
        <v>1862</v>
      </c>
      <c r="S131" s="648" t="s">
        <v>3338</v>
      </c>
      <c r="T131" s="2125">
        <f t="shared" si="37"/>
        <v>0</v>
      </c>
      <c r="U131" s="2125">
        <f t="shared" si="37"/>
        <v>0</v>
      </c>
      <c r="V131" s="2125">
        <f t="shared" si="37"/>
        <v>0</v>
      </c>
      <c r="W131" s="2125">
        <f t="shared" si="37"/>
        <v>0</v>
      </c>
      <c r="X131" s="2126">
        <f t="shared" si="36"/>
        <v>0</v>
      </c>
      <c r="Y131" s="856"/>
      <c r="Z131" s="634"/>
      <c r="AA131" s="634"/>
      <c r="AB131" s="634"/>
      <c r="AC131" s="634"/>
    </row>
    <row r="132" spans="2:30">
      <c r="B132" s="2201">
        <v>41091</v>
      </c>
      <c r="C132" s="2202">
        <v>0.72</v>
      </c>
      <c r="E132" s="630">
        <f>(65*3+72*6+80*3)/12</f>
        <v>72.25</v>
      </c>
      <c r="H132" s="634" t="s">
        <v>5375</v>
      </c>
      <c r="I132" s="634"/>
      <c r="J132" s="756">
        <f>T113</f>
        <v>0</v>
      </c>
      <c r="K132" s="756">
        <f>U113</f>
        <v>0</v>
      </c>
      <c r="L132" s="756">
        <f>V113</f>
        <v>0</v>
      </c>
      <c r="M132" s="756">
        <f>W113</f>
        <v>0</v>
      </c>
      <c r="N132" s="787">
        <f>SUM(J132:M132)</f>
        <v>0</v>
      </c>
      <c r="S132" s="648" t="s">
        <v>358</v>
      </c>
      <c r="T132" s="2125">
        <f t="shared" si="37"/>
        <v>0</v>
      </c>
      <c r="U132" s="2125">
        <f t="shared" si="37"/>
        <v>0</v>
      </c>
      <c r="V132" s="2125">
        <f t="shared" si="37"/>
        <v>0</v>
      </c>
      <c r="W132" s="2125">
        <f t="shared" si="37"/>
        <v>0</v>
      </c>
      <c r="X132" s="2126">
        <f t="shared" si="36"/>
        <v>0</v>
      </c>
      <c r="Y132" s="856"/>
      <c r="Z132" s="634"/>
      <c r="AA132" s="634"/>
      <c r="AB132" s="634"/>
      <c r="AC132" s="634"/>
    </row>
    <row r="133" spans="2:30">
      <c r="B133" s="2201">
        <v>41275</v>
      </c>
      <c r="C133" s="2202">
        <v>0.8</v>
      </c>
      <c r="D133" s="638"/>
      <c r="H133" s="634" t="s">
        <v>5376</v>
      </c>
      <c r="I133" s="634"/>
      <c r="J133" s="756">
        <f>T123</f>
        <v>3</v>
      </c>
      <c r="K133" s="756">
        <f>U123</f>
        <v>1</v>
      </c>
      <c r="L133" s="756">
        <f>V123</f>
        <v>55</v>
      </c>
      <c r="M133" s="756">
        <f>W123</f>
        <v>19</v>
      </c>
      <c r="N133" s="787">
        <f>SUM(J133:M133)</f>
        <v>78</v>
      </c>
      <c r="S133" s="2204"/>
      <c r="T133" s="2205"/>
      <c r="U133" s="2205"/>
      <c r="V133" s="2205"/>
      <c r="W133" s="2205"/>
      <c r="X133" s="2191"/>
      <c r="Y133" s="2206"/>
      <c r="Z133" s="2207"/>
      <c r="AA133" s="2207"/>
      <c r="AB133" s="2207"/>
      <c r="AC133" s="2207"/>
    </row>
    <row r="134" spans="2:30">
      <c r="B134" s="2201">
        <v>41456</v>
      </c>
      <c r="C134" s="2202">
        <v>0.9</v>
      </c>
      <c r="D134" s="638"/>
      <c r="F134" s="625"/>
      <c r="H134" s="639" t="s">
        <v>5117</v>
      </c>
      <c r="I134" s="634"/>
      <c r="J134" s="1642">
        <f>J131+J132-J133</f>
        <v>288</v>
      </c>
      <c r="K134" s="1642">
        <f>K131+K132-K133</f>
        <v>87</v>
      </c>
      <c r="L134" s="1642">
        <f>L131+L132-L133</f>
        <v>1001</v>
      </c>
      <c r="M134" s="1642">
        <f>M131+M132-M133</f>
        <v>408</v>
      </c>
      <c r="N134" s="1642">
        <f>N131+N132-N133</f>
        <v>1784</v>
      </c>
      <c r="S134" s="2204"/>
      <c r="T134" s="2205"/>
      <c r="U134" s="2205"/>
      <c r="V134" s="2205"/>
      <c r="W134" s="2205"/>
      <c r="X134" s="2191"/>
      <c r="Y134" s="2206"/>
      <c r="Z134" s="2207"/>
      <c r="AA134" s="2207"/>
      <c r="AB134" s="2207"/>
      <c r="AC134" s="2207"/>
    </row>
    <row r="135" spans="2:30" ht="16" thickBot="1">
      <c r="B135" s="2201">
        <v>41640</v>
      </c>
      <c r="C135" s="2202">
        <v>1</v>
      </c>
      <c r="D135" s="638"/>
      <c r="E135" s="630">
        <f>(80*3+90*6+100*3)/12</f>
        <v>90</v>
      </c>
      <c r="H135" s="674"/>
      <c r="I135" s="674"/>
      <c r="J135" s="674"/>
      <c r="L135" s="674"/>
      <c r="M135" s="674"/>
      <c r="S135" s="2164" t="s">
        <v>1100</v>
      </c>
      <c r="T135" s="2165">
        <f>SUM(T125:T132)</f>
        <v>288</v>
      </c>
      <c r="U135" s="2165">
        <f>SUM(U125:U132)</f>
        <v>87</v>
      </c>
      <c r="V135" s="2165">
        <f>SUM(V125:V132)</f>
        <v>1001</v>
      </c>
      <c r="W135" s="2165">
        <f>SUM(W125:W132)</f>
        <v>408</v>
      </c>
      <c r="X135" s="2166">
        <f>SUM(X125:X132)</f>
        <v>1784</v>
      </c>
      <c r="Y135" s="2208"/>
      <c r="Z135" s="2187"/>
      <c r="AA135" s="2187"/>
      <c r="AB135" s="2187"/>
      <c r="AC135" s="2187"/>
      <c r="AD135" s="2165">
        <f>SUM(AD125:AD132)</f>
        <v>695</v>
      </c>
    </row>
    <row r="136" spans="2:30">
      <c r="B136" s="2201">
        <v>41821</v>
      </c>
      <c r="C136" s="2202">
        <v>1.07</v>
      </c>
      <c r="H136" s="674"/>
      <c r="I136" s="674"/>
      <c r="J136" s="674"/>
      <c r="L136" s="675"/>
      <c r="M136" s="675"/>
      <c r="N136" s="2000">
        <f>N134-X135</f>
        <v>0</v>
      </c>
      <c r="V136" s="2209"/>
    </row>
    <row r="137" spans="2:30" ht="46.5">
      <c r="B137" s="2201">
        <v>42005</v>
      </c>
      <c r="C137" s="2202">
        <v>1.1299999999999999</v>
      </c>
      <c r="E137" s="630">
        <f>(100*3+107*6+113*3)/12</f>
        <v>106.75</v>
      </c>
      <c r="I137" s="675" t="s">
        <v>1070</v>
      </c>
      <c r="J137" s="680" t="s">
        <v>1582</v>
      </c>
      <c r="K137" s="792" t="s">
        <v>1514</v>
      </c>
      <c r="L137" s="2061" t="s">
        <v>399</v>
      </c>
      <c r="M137" s="3427" t="s">
        <v>5358</v>
      </c>
      <c r="N137" s="3428"/>
      <c r="O137" s="3428"/>
      <c r="P137" s="3428"/>
      <c r="Q137" s="3428"/>
      <c r="R137" s="3364"/>
      <c r="S137" s="634" t="s">
        <v>1100</v>
      </c>
      <c r="T137" s="634" t="s">
        <v>616</v>
      </c>
      <c r="U137" s="634" t="s">
        <v>1073</v>
      </c>
      <c r="V137" s="2125"/>
    </row>
    <row r="138" spans="2:30">
      <c r="B138" s="2201">
        <v>42186</v>
      </c>
      <c r="C138" s="2202">
        <v>1.19</v>
      </c>
      <c r="I138" s="675" t="s">
        <v>5104</v>
      </c>
      <c r="J138" s="749" t="s">
        <v>616</v>
      </c>
      <c r="K138" s="791">
        <f>T32+U32+T83+U83</f>
        <v>0</v>
      </c>
      <c r="L138" s="2062">
        <f>K109/100000</f>
        <v>0</v>
      </c>
      <c r="M138" s="661" t="s">
        <v>4721</v>
      </c>
      <c r="N138" s="636">
        <f>(C12+C13)*2.57</f>
        <v>56.361909153334949</v>
      </c>
      <c r="O138" s="636">
        <f>(D12+D13)*2.57</f>
        <v>17.044151221627061</v>
      </c>
      <c r="P138" s="636">
        <f>(E12+E13)*2.57</f>
        <v>134.26225821117359</v>
      </c>
      <c r="Q138" s="636">
        <f>(F12+F13)*2.57</f>
        <v>54.496182753014374</v>
      </c>
      <c r="R138" s="636">
        <f t="shared" ref="R138:R144" si="39">SUM(N138:Q138)</f>
        <v>262.16450133914998</v>
      </c>
      <c r="S138" s="634"/>
      <c r="T138" s="756"/>
      <c r="U138" s="756"/>
      <c r="V138" s="2125"/>
      <c r="W138" s="2000"/>
    </row>
    <row r="139" spans="2:30">
      <c r="B139" s="2201">
        <v>42370</v>
      </c>
      <c r="C139" s="2202">
        <v>1.25</v>
      </c>
      <c r="D139" s="630" t="s">
        <v>4026</v>
      </c>
      <c r="E139" s="630">
        <f>(113*3+119*6+125*3)/12</f>
        <v>119</v>
      </c>
      <c r="I139" s="675"/>
      <c r="J139" s="749" t="s">
        <v>617</v>
      </c>
      <c r="K139" s="756">
        <f>V32+W32+V83+W83</f>
        <v>3</v>
      </c>
      <c r="L139" s="2062">
        <f>K110/100000</f>
        <v>0</v>
      </c>
      <c r="M139" s="661" t="s">
        <v>3833</v>
      </c>
      <c r="N139" s="636">
        <f>N138*0.02</f>
        <v>1.1272381830666991</v>
      </c>
      <c r="O139" s="636">
        <f t="shared" ref="O139:Q139" si="40">O138*0.02</f>
        <v>0.3408830244325412</v>
      </c>
      <c r="P139" s="636">
        <f t="shared" si="40"/>
        <v>2.6852451642234718</v>
      </c>
      <c r="Q139" s="636">
        <f t="shared" si="40"/>
        <v>1.0899236550602875</v>
      </c>
      <c r="R139" s="636">
        <f t="shared" si="39"/>
        <v>5.2432900267829998</v>
      </c>
      <c r="S139" s="634"/>
      <c r="T139" s="756"/>
      <c r="U139" s="756"/>
      <c r="V139" s="2125"/>
      <c r="W139" s="2000"/>
    </row>
    <row r="140" spans="2:30">
      <c r="B140" s="2201">
        <v>42552</v>
      </c>
      <c r="C140" s="2202">
        <v>1.32</v>
      </c>
      <c r="I140" s="675" t="s">
        <v>5329</v>
      </c>
      <c r="J140" s="749" t="s">
        <v>616</v>
      </c>
      <c r="K140" s="756">
        <f>T113+U113</f>
        <v>0</v>
      </c>
      <c r="L140" s="2062">
        <f>P109/100000</f>
        <v>0</v>
      </c>
      <c r="M140" s="661" t="s">
        <v>3834</v>
      </c>
      <c r="N140" s="636"/>
      <c r="O140" s="636"/>
      <c r="P140" s="636"/>
      <c r="Q140" s="636"/>
      <c r="R140" s="636"/>
      <c r="S140" s="634"/>
      <c r="T140" s="634"/>
      <c r="U140" s="634"/>
      <c r="V140" s="2125"/>
    </row>
    <row r="141" spans="2:30">
      <c r="B141" s="2201">
        <v>42736</v>
      </c>
      <c r="C141" s="2202">
        <v>1.36</v>
      </c>
      <c r="D141" s="630" t="s">
        <v>4515</v>
      </c>
      <c r="E141" s="630">
        <f>(125*3+131*6+137*3)/12</f>
        <v>131</v>
      </c>
      <c r="F141" s="638"/>
      <c r="H141" s="675"/>
      <c r="I141" s="675"/>
      <c r="J141" s="749" t="s">
        <v>617</v>
      </c>
      <c r="K141" s="756">
        <f>V113+W113</f>
        <v>0</v>
      </c>
      <c r="L141" s="2062">
        <f>P110/100000</f>
        <v>0</v>
      </c>
      <c r="M141" s="661" t="s">
        <v>3835</v>
      </c>
      <c r="N141" s="636"/>
      <c r="O141" s="636"/>
      <c r="P141" s="636"/>
      <c r="Q141" s="636"/>
      <c r="R141" s="636"/>
      <c r="S141" s="634"/>
      <c r="T141" s="634"/>
      <c r="U141" s="634"/>
      <c r="V141" s="2125"/>
    </row>
    <row r="142" spans="2:30">
      <c r="B142" s="2201">
        <v>42917</v>
      </c>
      <c r="C142" s="2202">
        <v>1.39</v>
      </c>
      <c r="M142" s="634" t="s">
        <v>1100</v>
      </c>
      <c r="N142" s="636">
        <f>SUM(N138:N141)</f>
        <v>57.489147336401651</v>
      </c>
      <c r="O142" s="636">
        <f>SUM(O138:O141)</f>
        <v>17.385034246059604</v>
      </c>
      <c r="P142" s="636">
        <f>SUM(P138:P141)</f>
        <v>136.94750337539705</v>
      </c>
      <c r="Q142" s="636">
        <f>SUM(Q138:Q141)</f>
        <v>55.586106408074663</v>
      </c>
      <c r="R142" s="636">
        <f t="shared" si="39"/>
        <v>267.40779136593295</v>
      </c>
      <c r="S142" s="634"/>
      <c r="T142" s="634"/>
      <c r="U142" s="634"/>
      <c r="V142" s="2125"/>
    </row>
    <row r="143" spans="2:30">
      <c r="B143" s="630" t="s">
        <v>5106</v>
      </c>
      <c r="C143" s="765">
        <v>7.0000000000000007E-2</v>
      </c>
      <c r="M143" s="634" t="s">
        <v>4722</v>
      </c>
      <c r="N143" s="636">
        <f>C12+C13+C14</f>
        <v>26.818625444533303</v>
      </c>
      <c r="O143" s="636">
        <f t="shared" ref="O143:Q143" si="41">D12+D13+D14</f>
        <v>8.1100997907867036</v>
      </c>
      <c r="P143" s="636">
        <f t="shared" si="41"/>
        <v>63.885863136870427</v>
      </c>
      <c r="Q143" s="636">
        <f t="shared" si="41"/>
        <v>25.930858896809571</v>
      </c>
      <c r="R143" s="636">
        <f t="shared" si="39"/>
        <v>124.745447269</v>
      </c>
      <c r="S143" s="634"/>
      <c r="T143" s="634"/>
      <c r="U143" s="634"/>
      <c r="V143" s="2125"/>
    </row>
    <row r="144" spans="2:30">
      <c r="B144" s="630" t="s">
        <v>5107</v>
      </c>
      <c r="C144" s="765">
        <v>0.09</v>
      </c>
      <c r="M144" s="639" t="s">
        <v>4723</v>
      </c>
      <c r="N144" s="640">
        <f>N142-N143</f>
        <v>30.670521891868347</v>
      </c>
      <c r="O144" s="640">
        <f t="shared" ref="O144:Q144" si="42">O142-O143</f>
        <v>9.2749344552729003</v>
      </c>
      <c r="P144" s="640">
        <f t="shared" si="42"/>
        <v>73.061640238526621</v>
      </c>
      <c r="Q144" s="640">
        <f t="shared" si="42"/>
        <v>29.655247511265092</v>
      </c>
      <c r="R144" s="640">
        <f t="shared" si="39"/>
        <v>142.66234409693297</v>
      </c>
      <c r="S144" s="634"/>
      <c r="T144" s="634"/>
      <c r="U144" s="634"/>
      <c r="V144" s="2125"/>
      <c r="X144" s="639" t="s">
        <v>589</v>
      </c>
      <c r="Y144" s="634"/>
      <c r="Z144" s="634"/>
      <c r="AA144" s="634"/>
      <c r="AB144" s="634"/>
      <c r="AC144" s="634"/>
    </row>
    <row r="145" spans="2:29" ht="46.5">
      <c r="B145" s="630" t="s">
        <v>5108</v>
      </c>
      <c r="C145" s="765">
        <v>0.17</v>
      </c>
      <c r="F145" s="638"/>
      <c r="I145" s="680" t="s">
        <v>1070</v>
      </c>
      <c r="J145" s="793" t="s">
        <v>1582</v>
      </c>
      <c r="K145" s="792" t="s">
        <v>939</v>
      </c>
      <c r="L145" s="2061" t="s">
        <v>940</v>
      </c>
      <c r="M145" s="634"/>
      <c r="N145" s="640">
        <f>N144/12*15</f>
        <v>38.338152364835437</v>
      </c>
      <c r="O145" s="640">
        <f t="shared" ref="O145:Q145" si="43">O144/12*15</f>
        <v>11.593668069091125</v>
      </c>
      <c r="P145" s="640">
        <f t="shared" si="43"/>
        <v>91.327050298158269</v>
      </c>
      <c r="Q145" s="640">
        <f t="shared" si="43"/>
        <v>37.069059389081367</v>
      </c>
      <c r="R145" s="640">
        <f>SUM(N145:Q145)</f>
        <v>178.32793012116619</v>
      </c>
      <c r="S145" s="636">
        <f>R145*10000000</f>
        <v>1783279301.2116618</v>
      </c>
      <c r="T145" s="636">
        <f>(P145+Q145)*10000000</f>
        <v>1283961096.8723962</v>
      </c>
      <c r="U145" s="636">
        <f>S145-T145</f>
        <v>499318204.33926558</v>
      </c>
      <c r="V145" s="2125"/>
      <c r="X145" s="625"/>
    </row>
    <row r="146" spans="2:29">
      <c r="B146" s="630" t="s">
        <v>5109</v>
      </c>
      <c r="C146" s="765">
        <v>0.17</v>
      </c>
      <c r="I146" s="3407" t="s">
        <v>5104</v>
      </c>
      <c r="J146" s="794" t="s">
        <v>616</v>
      </c>
      <c r="K146" s="791">
        <f>T93+U93+T42+U42</f>
        <v>8</v>
      </c>
      <c r="L146" s="2063">
        <f>(K92-K99)/100000</f>
        <v>17.095496062015503</v>
      </c>
      <c r="M146" s="634"/>
      <c r="N146" s="634"/>
      <c r="O146" s="634"/>
      <c r="P146" s="634"/>
      <c r="Q146" s="634"/>
      <c r="R146" s="634"/>
      <c r="S146" s="636"/>
      <c r="T146" s="636"/>
      <c r="U146" s="636"/>
      <c r="V146" s="2125"/>
      <c r="X146" s="639" t="s">
        <v>947</v>
      </c>
      <c r="Y146" s="634"/>
      <c r="Z146" s="634"/>
      <c r="AA146" s="634"/>
      <c r="AB146" s="634"/>
      <c r="AC146" s="634"/>
    </row>
    <row r="147" spans="2:29">
      <c r="B147" s="630" t="s">
        <v>5110</v>
      </c>
      <c r="C147" s="765">
        <v>0.17</v>
      </c>
      <c r="D147" s="638"/>
      <c r="E147" s="638"/>
      <c r="F147" s="638"/>
      <c r="I147" s="3408"/>
      <c r="J147" s="794" t="s">
        <v>617</v>
      </c>
      <c r="K147" s="756">
        <f>V42+W42+V93+W93</f>
        <v>102</v>
      </c>
      <c r="L147" s="2062">
        <f>(K93-K100)/100000</f>
        <v>106.68167614285717</v>
      </c>
      <c r="M147" s="3427" t="s">
        <v>5359</v>
      </c>
      <c r="N147" s="3428"/>
      <c r="O147" s="3428"/>
      <c r="P147" s="3428"/>
      <c r="Q147" s="3428"/>
      <c r="R147" s="3364"/>
      <c r="S147" s="636"/>
      <c r="T147" s="636"/>
      <c r="U147" s="636"/>
      <c r="V147" s="2125"/>
      <c r="X147" s="639"/>
      <c r="Y147" s="634"/>
      <c r="Z147" s="634"/>
      <c r="AA147" s="634"/>
      <c r="AB147" s="634"/>
      <c r="AC147" s="634"/>
    </row>
    <row r="148" spans="2:29">
      <c r="B148" s="630" t="s">
        <v>6874</v>
      </c>
      <c r="C148" s="2202">
        <v>0.31</v>
      </c>
      <c r="I148" s="3407" t="s">
        <v>5329</v>
      </c>
      <c r="J148" s="794" t="s">
        <v>616</v>
      </c>
      <c r="K148" s="756">
        <f>T123+U123</f>
        <v>4</v>
      </c>
      <c r="L148" s="2062">
        <f>(P92-P99)/100000</f>
        <v>8.8043999999999993</v>
      </c>
      <c r="M148" s="661" t="s">
        <v>4721</v>
      </c>
      <c r="N148" s="636">
        <f>N138*1.03</f>
        <v>58.052766427934998</v>
      </c>
      <c r="O148" s="636">
        <f t="shared" ref="O148:Q148" si="44">O138*1.03</f>
        <v>17.555475758275872</v>
      </c>
      <c r="P148" s="636">
        <f t="shared" si="44"/>
        <v>138.29012595750879</v>
      </c>
      <c r="Q148" s="636">
        <f t="shared" si="44"/>
        <v>56.131068235604808</v>
      </c>
      <c r="R148" s="636">
        <f t="shared" ref="R148:R153" si="45">SUM(N148:Q148)</f>
        <v>270.02943637932447</v>
      </c>
      <c r="S148" s="636"/>
      <c r="T148" s="636"/>
      <c r="U148" s="636"/>
      <c r="V148" s="2125"/>
      <c r="X148" s="639" t="s">
        <v>941</v>
      </c>
      <c r="Y148" s="634"/>
      <c r="Z148" s="634"/>
      <c r="AA148" s="634"/>
      <c r="AB148" s="634"/>
      <c r="AC148" s="634"/>
    </row>
    <row r="149" spans="2:29">
      <c r="B149" s="630" t="s">
        <v>6875</v>
      </c>
      <c r="C149" s="2210">
        <v>0.35</v>
      </c>
      <c r="I149" s="3426"/>
      <c r="J149" s="794"/>
      <c r="K149" s="756"/>
      <c r="L149" s="2062"/>
      <c r="M149" s="661"/>
      <c r="N149" s="636"/>
      <c r="O149" s="636"/>
      <c r="P149" s="636"/>
      <c r="Q149" s="636"/>
      <c r="R149" s="636"/>
      <c r="S149" s="636"/>
      <c r="T149" s="636"/>
      <c r="U149" s="636"/>
      <c r="V149" s="2125"/>
      <c r="X149" s="625"/>
    </row>
    <row r="150" spans="2:29">
      <c r="B150" s="630" t="s">
        <v>6876</v>
      </c>
      <c r="C150" s="2210">
        <v>0.38</v>
      </c>
      <c r="I150" s="3426"/>
      <c r="J150" s="794"/>
      <c r="K150" s="756"/>
      <c r="L150" s="2062"/>
      <c r="M150" s="661"/>
      <c r="N150" s="636"/>
      <c r="O150" s="636"/>
      <c r="P150" s="636"/>
      <c r="Q150" s="636"/>
      <c r="R150" s="636"/>
      <c r="S150" s="636"/>
      <c r="T150" s="636"/>
      <c r="U150" s="636"/>
      <c r="V150" s="2125"/>
      <c r="X150" s="625"/>
    </row>
    <row r="151" spans="2:29">
      <c r="B151" s="630" t="s">
        <v>6877</v>
      </c>
      <c r="C151" s="2210">
        <v>0.42</v>
      </c>
      <c r="I151" s="3426"/>
      <c r="J151" s="794"/>
      <c r="K151" s="756"/>
      <c r="L151" s="2062"/>
      <c r="M151" s="661"/>
      <c r="N151" s="636"/>
      <c r="O151" s="636"/>
      <c r="P151" s="636"/>
      <c r="Q151" s="636"/>
      <c r="R151" s="636"/>
      <c r="S151" s="636"/>
      <c r="T151" s="636"/>
      <c r="U151" s="636"/>
      <c r="V151" s="2125"/>
      <c r="X151" s="625"/>
    </row>
    <row r="152" spans="2:29">
      <c r="I152" s="3426"/>
      <c r="J152" s="794"/>
      <c r="K152" s="756"/>
      <c r="L152" s="2062"/>
      <c r="M152" s="661"/>
      <c r="N152" s="636"/>
      <c r="O152" s="636"/>
      <c r="P152" s="636"/>
      <c r="Q152" s="636"/>
      <c r="R152" s="636"/>
      <c r="S152" s="636"/>
      <c r="T152" s="636"/>
      <c r="U152" s="636"/>
      <c r="V152" s="2125"/>
      <c r="X152" s="625"/>
    </row>
    <row r="153" spans="2:29">
      <c r="B153" s="634" t="s">
        <v>1596</v>
      </c>
      <c r="C153" s="638"/>
      <c r="D153" s="638">
        <f>+Terminal!C45</f>
        <v>1081.877</v>
      </c>
      <c r="E153" s="638"/>
      <c r="F153" s="638"/>
      <c r="I153" s="3408"/>
      <c r="J153" s="794" t="s">
        <v>617</v>
      </c>
      <c r="K153" s="756">
        <f>V123+W123</f>
        <v>74</v>
      </c>
      <c r="L153" s="2062">
        <f>(P93-P100)/100000</f>
        <v>79.720200000000006</v>
      </c>
      <c r="M153" s="661" t="s">
        <v>3833</v>
      </c>
      <c r="N153" s="636">
        <f>N148*0.05</f>
        <v>2.9026383213967502</v>
      </c>
      <c r="O153" s="636">
        <f t="shared" ref="O153:Q153" si="46">O148*0.05</f>
        <v>0.87777378791379368</v>
      </c>
      <c r="P153" s="636">
        <f t="shared" si="46"/>
        <v>6.9145062978754401</v>
      </c>
      <c r="Q153" s="636">
        <f t="shared" si="46"/>
        <v>2.8065534117802406</v>
      </c>
      <c r="R153" s="636">
        <f t="shared" si="45"/>
        <v>13.501471818966225</v>
      </c>
      <c r="S153" s="636"/>
      <c r="T153" s="636"/>
      <c r="U153" s="636"/>
      <c r="V153" s="2125"/>
    </row>
    <row r="154" spans="2:29">
      <c r="B154" s="634" t="s">
        <v>1597</v>
      </c>
      <c r="D154" s="638">
        <f>+Terminal!C46</f>
        <v>2.0267999999999997</v>
      </c>
      <c r="M154" s="661" t="s">
        <v>3834</v>
      </c>
      <c r="N154" s="636"/>
      <c r="O154" s="636"/>
      <c r="P154" s="636"/>
      <c r="Q154" s="636"/>
      <c r="R154" s="636"/>
      <c r="S154" s="636"/>
      <c r="T154" s="636"/>
      <c r="U154" s="636"/>
      <c r="V154" s="2125"/>
      <c r="X154" s="639" t="s">
        <v>3317</v>
      </c>
      <c r="Y154" s="634"/>
      <c r="Z154" s="634"/>
      <c r="AA154" s="634"/>
      <c r="AB154" s="634"/>
      <c r="AC154" s="634"/>
    </row>
    <row r="155" spans="2:29">
      <c r="B155" s="634" t="s">
        <v>1598</v>
      </c>
      <c r="D155" s="638">
        <f>+Terminal!C47</f>
        <v>115.9038362</v>
      </c>
      <c r="M155" s="661" t="s">
        <v>3835</v>
      </c>
      <c r="N155" s="636"/>
      <c r="O155" s="636"/>
      <c r="P155" s="636"/>
      <c r="Q155" s="636"/>
      <c r="R155" s="636"/>
      <c r="S155" s="636"/>
      <c r="T155" s="636"/>
      <c r="U155" s="636"/>
      <c r="V155" s="2125"/>
    </row>
    <row r="156" spans="2:29">
      <c r="B156" s="634" t="s">
        <v>1599</v>
      </c>
      <c r="D156" s="653">
        <f>+D153+D154-D155</f>
        <v>967.99996380000005</v>
      </c>
      <c r="M156" s="634" t="s">
        <v>1100</v>
      </c>
      <c r="N156" s="636">
        <f>SUM(N148:N155)</f>
        <v>60.955404749331748</v>
      </c>
      <c r="O156" s="636">
        <f>SUM(O148:O155)</f>
        <v>18.433249546189664</v>
      </c>
      <c r="P156" s="636">
        <f>SUM(P148:P155)</f>
        <v>145.20463225538424</v>
      </c>
      <c r="Q156" s="636">
        <f>SUM(Q148:Q155)</f>
        <v>58.93762164738505</v>
      </c>
      <c r="R156" s="636">
        <f t="shared" ref="R156:R158" si="47">SUM(N156:Q156)</f>
        <v>283.53090819829072</v>
      </c>
      <c r="S156" s="636"/>
      <c r="T156" s="636"/>
      <c r="U156" s="636"/>
      <c r="V156" s="2125"/>
    </row>
    <row r="157" spans="2:29">
      <c r="B157" s="634" t="s">
        <v>1570</v>
      </c>
      <c r="D157" s="638">
        <v>24.49</v>
      </c>
      <c r="H157" s="625"/>
      <c r="I157" s="3425"/>
      <c r="J157" s="3425"/>
      <c r="K157" s="3425"/>
      <c r="L157" s="3425"/>
      <c r="M157" s="634" t="s">
        <v>4722</v>
      </c>
      <c r="N157" s="636">
        <f>H12+H13+H14</f>
        <v>31.736399430076741</v>
      </c>
      <c r="O157" s="636">
        <f t="shared" ref="O157:Q157" si="48">I12+I13+I14</f>
        <v>9.5921759935465083</v>
      </c>
      <c r="P157" s="636">
        <f t="shared" si="48"/>
        <v>54.942318292114294</v>
      </c>
      <c r="Q157" s="636">
        <f t="shared" si="48"/>
        <v>22.400798717732144</v>
      </c>
      <c r="R157" s="636">
        <f t="shared" si="47"/>
        <v>118.67169243346969</v>
      </c>
      <c r="S157" s="636"/>
      <c r="T157" s="636"/>
      <c r="U157" s="636"/>
      <c r="V157" s="2125"/>
    </row>
    <row r="158" spans="2:29">
      <c r="B158" s="634"/>
      <c r="D158" s="638">
        <f>+D156+D157</f>
        <v>992.48996380000006</v>
      </c>
      <c r="H158" s="625"/>
      <c r="I158" s="660"/>
      <c r="J158" s="660"/>
      <c r="K158" s="660"/>
      <c r="L158" s="660"/>
      <c r="M158" s="639" t="s">
        <v>4723</v>
      </c>
      <c r="N158" s="640">
        <f>N156-N157</f>
        <v>29.219005319255007</v>
      </c>
      <c r="O158" s="640">
        <f t="shared" ref="O158:Q158" si="49">O156-O157</f>
        <v>8.8410735526431559</v>
      </c>
      <c r="P158" s="640">
        <f t="shared" si="49"/>
        <v>90.262313963269946</v>
      </c>
      <c r="Q158" s="640">
        <f t="shared" si="49"/>
        <v>36.536822929652907</v>
      </c>
      <c r="R158" s="640">
        <f t="shared" si="47"/>
        <v>164.85921576482102</v>
      </c>
      <c r="S158" s="636">
        <f>R158*10000000</f>
        <v>1648592157.64821</v>
      </c>
      <c r="T158" s="636">
        <f>(P158+Q158)*10000000</f>
        <v>1267991368.9292285</v>
      </c>
      <c r="U158" s="636">
        <f>S158-T158</f>
        <v>380600788.7189815</v>
      </c>
      <c r="V158" s="2125"/>
    </row>
    <row r="159" spans="2:29">
      <c r="B159" s="634" t="s">
        <v>1600</v>
      </c>
      <c r="D159" s="638"/>
      <c r="H159" s="638"/>
      <c r="M159" s="639" t="s">
        <v>4773</v>
      </c>
      <c r="N159" s="640">
        <f>N145+N158</f>
        <v>67.557157684090441</v>
      </c>
      <c r="O159" s="640">
        <f t="shared" ref="O159:Q159" si="50">O145+O158</f>
        <v>20.434741621734283</v>
      </c>
      <c r="P159" s="640">
        <f t="shared" si="50"/>
        <v>181.58936426142822</v>
      </c>
      <c r="Q159" s="640">
        <f t="shared" si="50"/>
        <v>73.605882318734274</v>
      </c>
      <c r="R159" s="640">
        <f>SUM(N159:Q159)</f>
        <v>343.18714588598721</v>
      </c>
      <c r="S159" s="636">
        <f>S145+S158</f>
        <v>3431871458.8598719</v>
      </c>
      <c r="T159" s="636">
        <f>T145+T158</f>
        <v>2551952465.8016248</v>
      </c>
      <c r="U159" s="636">
        <f>U145+U158</f>
        <v>879918993.05824709</v>
      </c>
      <c r="V159" s="2125"/>
    </row>
    <row r="160" spans="2:29">
      <c r="B160" s="634" t="s">
        <v>1561</v>
      </c>
      <c r="D160" s="638"/>
      <c r="H160" s="638"/>
    </row>
    <row r="161" spans="1:18">
      <c r="B161" s="634" t="s">
        <v>1562</v>
      </c>
      <c r="D161" s="638"/>
      <c r="H161" s="638"/>
      <c r="P161" s="638"/>
    </row>
    <row r="162" spans="1:18">
      <c r="B162" s="634" t="s">
        <v>1563</v>
      </c>
      <c r="D162" s="638"/>
      <c r="H162" s="638"/>
      <c r="R162" s="674"/>
    </row>
    <row r="163" spans="1:18">
      <c r="B163" s="639" t="s">
        <v>103</v>
      </c>
      <c r="D163" s="638">
        <f>+Terminal!C53</f>
        <v>0</v>
      </c>
      <c r="H163" s="638"/>
      <c r="R163" s="674"/>
    </row>
    <row r="164" spans="1:18">
      <c r="B164" s="634" t="s">
        <v>1564</v>
      </c>
      <c r="D164" s="638">
        <f>+D158</f>
        <v>992.48996380000006</v>
      </c>
      <c r="H164" s="638"/>
      <c r="R164" s="674"/>
    </row>
    <row r="165" spans="1:18">
      <c r="B165" s="634" t="s">
        <v>1565</v>
      </c>
      <c r="D165" s="638">
        <f>+Terminal!C55</f>
        <v>2.1484079999999999</v>
      </c>
      <c r="H165" s="638"/>
      <c r="R165" s="674"/>
    </row>
    <row r="166" spans="1:18">
      <c r="B166" s="634" t="s">
        <v>1566</v>
      </c>
      <c r="D166" s="638">
        <f>+Terminal!C56</f>
        <v>145.08412949770994</v>
      </c>
      <c r="H166" s="625"/>
      <c r="I166" s="625"/>
      <c r="J166" s="625"/>
      <c r="K166" s="625"/>
      <c r="L166" s="625"/>
      <c r="M166" s="625"/>
      <c r="N166" s="625"/>
      <c r="O166" s="625"/>
      <c r="P166" s="625"/>
      <c r="R166" s="674"/>
    </row>
    <row r="167" spans="1:18">
      <c r="B167" s="634" t="s">
        <v>1567</v>
      </c>
      <c r="D167" s="653">
        <f>+D164+D165-D166</f>
        <v>849.55424230229016</v>
      </c>
      <c r="H167" s="625"/>
      <c r="I167" s="3368"/>
      <c r="J167" s="3368"/>
      <c r="K167" s="3368"/>
      <c r="L167" s="3368"/>
      <c r="M167" s="3368"/>
      <c r="N167" s="3368"/>
      <c r="O167" s="3368"/>
      <c r="P167" s="3368"/>
      <c r="R167" s="674"/>
    </row>
    <row r="168" spans="1:18">
      <c r="B168" s="634" t="s">
        <v>1568</v>
      </c>
      <c r="D168" s="638">
        <f>+Terminal!C58</f>
        <v>1266.1600000000001</v>
      </c>
      <c r="H168" s="625"/>
      <c r="I168" s="660"/>
      <c r="J168" s="660"/>
      <c r="K168" s="660"/>
      <c r="L168" s="660"/>
      <c r="M168" s="660"/>
      <c r="N168" s="660"/>
      <c r="O168" s="660"/>
      <c r="P168" s="660" t="s">
        <v>5340</v>
      </c>
      <c r="R168" s="674" t="s">
        <v>5482</v>
      </c>
    </row>
    <row r="169" spans="1:18">
      <c r="B169" s="639" t="s">
        <v>1569</v>
      </c>
      <c r="D169" s="638">
        <f>+D168-D167</f>
        <v>416.60575769770992</v>
      </c>
      <c r="H169" s="638"/>
      <c r="M169" s="638"/>
      <c r="N169" s="638"/>
      <c r="O169" s="638" t="s">
        <v>5128</v>
      </c>
      <c r="P169" s="638"/>
      <c r="R169" s="675" t="e">
        <f>P171</f>
        <v>#REF!</v>
      </c>
    </row>
    <row r="170" spans="1:18">
      <c r="B170" s="634"/>
      <c r="D170" s="638"/>
      <c r="H170" s="638"/>
      <c r="M170" s="638"/>
      <c r="N170" s="638"/>
      <c r="O170" s="638" t="s">
        <v>7133</v>
      </c>
      <c r="P170" s="638">
        <v>0</v>
      </c>
      <c r="R170" s="744" t="e">
        <f>R169</f>
        <v>#REF!</v>
      </c>
    </row>
    <row r="171" spans="1:18" ht="16" thickBot="1">
      <c r="B171" s="2187"/>
      <c r="D171" s="644">
        <v>44.4</v>
      </c>
      <c r="E171" s="644">
        <f>+D171*100</f>
        <v>4440</v>
      </c>
      <c r="H171" s="638"/>
      <c r="M171" s="638"/>
      <c r="N171" s="638"/>
      <c r="O171" s="638" t="s">
        <v>5339</v>
      </c>
      <c r="P171" s="638" t="e">
        <f>(#REF!+#REF!)/10^7</f>
        <v>#REF!</v>
      </c>
      <c r="R171" s="638" t="e">
        <f>R169-R170</f>
        <v>#REF!</v>
      </c>
    </row>
    <row r="172" spans="1:18">
      <c r="A172" s="674">
        <v>1</v>
      </c>
      <c r="D172" s="644">
        <f>D169*0.08</f>
        <v>33.328460615816795</v>
      </c>
      <c r="E172" s="644">
        <f>+D172*100</f>
        <v>3332.8460615816794</v>
      </c>
      <c r="H172" s="638"/>
      <c r="M172" s="638"/>
      <c r="N172" s="638"/>
      <c r="O172" s="638"/>
      <c r="P172" s="638"/>
      <c r="R172" s="674"/>
    </row>
    <row r="173" spans="1:18">
      <c r="A173" s="674">
        <v>2</v>
      </c>
      <c r="D173" s="644">
        <f>D174-D171-D172</f>
        <v>338.87729708189318</v>
      </c>
      <c r="E173" s="644">
        <f>+D173*100</f>
        <v>33887.729708189319</v>
      </c>
      <c r="H173" s="638"/>
      <c r="M173" s="638"/>
      <c r="N173" s="638"/>
      <c r="O173" s="638"/>
      <c r="P173" s="638"/>
      <c r="R173" s="660"/>
    </row>
    <row r="174" spans="1:18">
      <c r="A174" s="674">
        <v>3</v>
      </c>
      <c r="D174" s="644">
        <f>D169</f>
        <v>416.60575769770992</v>
      </c>
      <c r="E174" s="644">
        <f>+D174*100</f>
        <v>41660.575769770992</v>
      </c>
      <c r="H174" s="638"/>
      <c r="M174" s="638"/>
      <c r="N174" s="638"/>
      <c r="O174" s="638"/>
      <c r="P174" s="638"/>
    </row>
    <row r="175" spans="1:18">
      <c r="A175" s="674">
        <v>4</v>
      </c>
      <c r="H175" s="638"/>
      <c r="M175" s="638"/>
      <c r="N175" s="638"/>
      <c r="O175" s="638"/>
      <c r="P175" s="638"/>
      <c r="R175" s="625"/>
    </row>
    <row r="176" spans="1:18">
      <c r="A176" s="674">
        <v>5</v>
      </c>
      <c r="H176" s="625"/>
      <c r="I176" s="625"/>
      <c r="J176" s="625"/>
      <c r="K176" s="625"/>
      <c r="L176" s="625"/>
      <c r="M176" s="642"/>
      <c r="N176" s="642"/>
      <c r="O176" s="642"/>
      <c r="P176" s="642"/>
      <c r="Q176" s="638"/>
    </row>
    <row r="177" spans="1:18">
      <c r="A177" s="674">
        <v>6</v>
      </c>
    </row>
    <row r="178" spans="1:18">
      <c r="A178" s="674">
        <v>7</v>
      </c>
      <c r="N178" s="634"/>
      <c r="O178" s="749" t="s">
        <v>7149</v>
      </c>
      <c r="P178" s="634"/>
      <c r="Q178" s="634"/>
      <c r="R178" s="634" t="s">
        <v>7151</v>
      </c>
    </row>
    <row r="179" spans="1:18">
      <c r="A179" s="674">
        <v>8</v>
      </c>
      <c r="N179" s="680">
        <v>1</v>
      </c>
      <c r="O179" s="634" t="s">
        <v>7150</v>
      </c>
      <c r="P179" s="634"/>
      <c r="Q179" s="634"/>
      <c r="R179" s="653">
        <v>3</v>
      </c>
    </row>
    <row r="180" spans="1:18" ht="16" thickBot="1">
      <c r="A180" s="674">
        <v>9</v>
      </c>
      <c r="N180" s="680">
        <v>2</v>
      </c>
      <c r="O180" s="634" t="s">
        <v>7152</v>
      </c>
      <c r="P180" s="634"/>
      <c r="Q180" s="634"/>
      <c r="R180" s="653">
        <v>117.33</v>
      </c>
    </row>
    <row r="181" spans="1:18">
      <c r="B181" s="1415"/>
      <c r="C181" s="3414" t="s">
        <v>4769</v>
      </c>
      <c r="D181" s="3414"/>
      <c r="E181" s="1416"/>
      <c r="F181" s="1416"/>
      <c r="G181" s="2211"/>
      <c r="H181" s="2153"/>
      <c r="N181" s="2381">
        <v>3</v>
      </c>
      <c r="O181" s="634" t="s">
        <v>7153</v>
      </c>
      <c r="P181" s="634"/>
      <c r="Q181" s="634"/>
      <c r="R181" s="653">
        <v>14</v>
      </c>
    </row>
    <row r="182" spans="1:18">
      <c r="B182" s="2212" t="s">
        <v>1075</v>
      </c>
      <c r="F182" s="630" t="s">
        <v>5120</v>
      </c>
      <c r="G182" s="2213"/>
      <c r="I182" s="674"/>
      <c r="J182" s="674"/>
      <c r="K182" s="674"/>
      <c r="N182" s="680">
        <v>4</v>
      </c>
      <c r="O182" s="634" t="s">
        <v>7154</v>
      </c>
      <c r="P182" s="680"/>
      <c r="Q182" s="680"/>
      <c r="R182" s="653">
        <v>28.72</v>
      </c>
    </row>
    <row r="183" spans="1:18">
      <c r="B183" s="2214" t="s">
        <v>4739</v>
      </c>
      <c r="C183" s="630">
        <v>143400</v>
      </c>
      <c r="E183" s="630">
        <v>1</v>
      </c>
      <c r="F183" s="630">
        <f>+(C183+D183)*E183*12</f>
        <v>1720800</v>
      </c>
      <c r="G183" s="2213"/>
      <c r="I183" s="674"/>
      <c r="J183" s="674"/>
      <c r="K183" s="674"/>
      <c r="N183" s="634"/>
      <c r="O183" s="680"/>
      <c r="P183" s="680"/>
      <c r="Q183" s="680"/>
      <c r="R183" s="664">
        <f>SUM(R179:R182)</f>
        <v>163.04999999999998</v>
      </c>
    </row>
    <row r="184" spans="1:18">
      <c r="B184" s="2214" t="s">
        <v>5119</v>
      </c>
      <c r="C184" s="630">
        <v>138800</v>
      </c>
      <c r="E184" s="630">
        <v>1</v>
      </c>
      <c r="F184" s="630">
        <f>+(C184+D184)*E184*12</f>
        <v>1665600</v>
      </c>
      <c r="G184" s="2213"/>
      <c r="I184" s="674"/>
      <c r="J184" s="674"/>
      <c r="K184" s="674"/>
      <c r="O184" s="674"/>
      <c r="P184" s="674"/>
      <c r="Q184" s="674"/>
    </row>
    <row r="185" spans="1:18">
      <c r="B185" s="2214" t="s">
        <v>351</v>
      </c>
      <c r="C185" s="630">
        <v>129400</v>
      </c>
      <c r="E185" s="630">
        <v>3</v>
      </c>
      <c r="F185" s="630">
        <f>+(C185+D185)*E185*12</f>
        <v>4658400</v>
      </c>
      <c r="G185" s="2213"/>
      <c r="I185" s="674"/>
      <c r="J185" s="674"/>
      <c r="K185" s="674"/>
      <c r="L185" s="2064"/>
      <c r="O185" s="674"/>
      <c r="P185" s="674"/>
      <c r="Q185" s="674"/>
    </row>
    <row r="186" spans="1:18">
      <c r="B186" s="2214" t="s">
        <v>1104</v>
      </c>
      <c r="C186" s="630">
        <v>90500</v>
      </c>
      <c r="E186" s="630">
        <v>2</v>
      </c>
      <c r="F186" s="630">
        <f>+(C186+D186)*E186*12</f>
        <v>2172000</v>
      </c>
      <c r="G186" s="2213"/>
      <c r="I186" s="674"/>
      <c r="J186" s="674"/>
      <c r="K186" s="674"/>
      <c r="O186" s="674"/>
      <c r="P186" s="674"/>
      <c r="Q186" s="674"/>
    </row>
    <row r="187" spans="1:18">
      <c r="B187" s="2214" t="s">
        <v>1105</v>
      </c>
      <c r="C187" s="630">
        <v>80450</v>
      </c>
      <c r="E187" s="630">
        <v>10</v>
      </c>
      <c r="F187" s="630">
        <f t="shared" ref="F187:F191" si="51">+(C187+D187)*E187*12</f>
        <v>9654000</v>
      </c>
      <c r="G187" s="2213"/>
      <c r="I187" s="674"/>
      <c r="K187" s="674"/>
      <c r="O187" s="674"/>
      <c r="P187" s="674"/>
      <c r="Q187" s="674"/>
    </row>
    <row r="188" spans="1:18">
      <c r="B188" s="2214" t="s">
        <v>1106</v>
      </c>
      <c r="C188" s="630">
        <v>86400</v>
      </c>
      <c r="E188" s="630">
        <v>24</v>
      </c>
      <c r="F188" s="630">
        <f t="shared" si="51"/>
        <v>24883200</v>
      </c>
      <c r="G188" s="2213"/>
      <c r="I188" s="674"/>
      <c r="K188" s="674"/>
      <c r="O188" s="674"/>
      <c r="P188" s="674"/>
      <c r="Q188" s="674"/>
    </row>
    <row r="189" spans="1:18">
      <c r="B189" s="2214" t="s">
        <v>1107</v>
      </c>
      <c r="C189" s="630">
        <v>67940</v>
      </c>
      <c r="E189" s="630">
        <v>64</v>
      </c>
      <c r="F189" s="630">
        <f t="shared" si="51"/>
        <v>52177920</v>
      </c>
      <c r="G189" s="2213"/>
      <c r="I189" s="674"/>
      <c r="J189" s="674"/>
      <c r="K189" s="674"/>
      <c r="O189" s="674"/>
      <c r="P189" s="674"/>
      <c r="Q189" s="674"/>
    </row>
    <row r="190" spans="1:18">
      <c r="B190" s="2214" t="s">
        <v>1108</v>
      </c>
      <c r="C190" s="630">
        <v>64300</v>
      </c>
      <c r="E190" s="630">
        <v>119</v>
      </c>
      <c r="F190" s="630">
        <f t="shared" si="51"/>
        <v>91820400</v>
      </c>
      <c r="G190" s="2213"/>
      <c r="I190" s="674"/>
      <c r="J190" s="674"/>
      <c r="K190" s="674"/>
      <c r="O190" s="674"/>
      <c r="P190" s="674"/>
      <c r="Q190" s="674"/>
    </row>
    <row r="191" spans="1:18">
      <c r="B191" s="2214" t="s">
        <v>1109</v>
      </c>
      <c r="C191" s="630">
        <v>53700</v>
      </c>
      <c r="E191" s="630">
        <v>80</v>
      </c>
      <c r="F191" s="630">
        <f t="shared" si="51"/>
        <v>51552000</v>
      </c>
      <c r="G191" s="2213"/>
      <c r="I191" s="674"/>
      <c r="K191" s="674"/>
      <c r="N191" s="2064"/>
      <c r="O191" s="660"/>
      <c r="P191" s="660"/>
      <c r="Q191" s="660"/>
    </row>
    <row r="192" spans="1:18">
      <c r="A192" s="674">
        <v>1</v>
      </c>
      <c r="B192" s="2214"/>
      <c r="G192" s="2213"/>
      <c r="I192" s="674"/>
      <c r="K192" s="674"/>
    </row>
    <row r="193" spans="1:17">
      <c r="A193" s="674">
        <v>2</v>
      </c>
      <c r="B193" s="2214"/>
      <c r="E193" s="630">
        <f>SUM(E183:E192)</f>
        <v>304</v>
      </c>
      <c r="F193" s="625">
        <f>SUM(F183:F192)</f>
        <v>240304320</v>
      </c>
      <c r="G193" s="2213">
        <f>+F193/E193/12/100000</f>
        <v>0.65872894736842103</v>
      </c>
      <c r="H193" s="625"/>
      <c r="K193" s="674"/>
      <c r="O193" s="674"/>
      <c r="P193" s="674"/>
      <c r="Q193" s="674"/>
    </row>
    <row r="194" spans="1:17" ht="16" thickBot="1">
      <c r="A194" s="674">
        <v>3</v>
      </c>
      <c r="B194" s="2215"/>
      <c r="C194" s="2216"/>
      <c r="D194" s="2216"/>
      <c r="E194" s="2217"/>
      <c r="F194" s="2216">
        <f>F193/E193</f>
        <v>790474.73684210528</v>
      </c>
      <c r="G194" s="2218"/>
      <c r="N194" s="625"/>
      <c r="O194" s="660"/>
      <c r="P194" s="660"/>
      <c r="Q194" s="660"/>
    </row>
    <row r="195" spans="1:17">
      <c r="A195" s="674">
        <v>4</v>
      </c>
      <c r="E195" s="625"/>
      <c r="G195" s="625"/>
    </row>
    <row r="196" spans="1:17">
      <c r="A196" s="674">
        <v>5</v>
      </c>
      <c r="E196" s="625"/>
      <c r="G196" s="625"/>
      <c r="N196" s="625"/>
      <c r="O196" s="625"/>
      <c r="P196" s="625"/>
      <c r="Q196" s="625"/>
    </row>
    <row r="197" spans="1:17">
      <c r="A197" s="674">
        <v>6</v>
      </c>
      <c r="B197" s="648" t="s">
        <v>1060</v>
      </c>
      <c r="C197" s="630">
        <v>12000</v>
      </c>
      <c r="E197" s="630">
        <v>0</v>
      </c>
      <c r="F197" s="630">
        <f>+(C197+D197)*E197*12</f>
        <v>0</v>
      </c>
      <c r="G197" s="625"/>
      <c r="H197" s="630">
        <f>+(C197)*E197*12</f>
        <v>0</v>
      </c>
    </row>
    <row r="198" spans="1:17">
      <c r="A198" s="674">
        <v>7</v>
      </c>
      <c r="B198" s="648" t="s">
        <v>262</v>
      </c>
      <c r="C198" s="630">
        <v>8000</v>
      </c>
      <c r="E198" s="630">
        <v>0</v>
      </c>
      <c r="F198" s="630">
        <f>+(C198+D198)*E198*12</f>
        <v>0</v>
      </c>
      <c r="G198" s="625"/>
    </row>
    <row r="199" spans="1:17">
      <c r="A199" s="674">
        <v>8</v>
      </c>
      <c r="E199" s="630">
        <f>SUM(E197:E198)</f>
        <v>0</v>
      </c>
      <c r="F199" s="625">
        <f>SUM(F197:F198)</f>
        <v>0</v>
      </c>
      <c r="G199" s="625"/>
      <c r="H199" s="625">
        <f>SUM(H197:H198)</f>
        <v>0</v>
      </c>
    </row>
    <row r="200" spans="1:17">
      <c r="E200" s="625">
        <f>+E199+E193</f>
        <v>304</v>
      </c>
      <c r="F200" s="625">
        <f>+F199+F193</f>
        <v>240304320</v>
      </c>
      <c r="G200" s="625">
        <f>+F200/100000</f>
        <v>2403.0432000000001</v>
      </c>
      <c r="H200" s="625">
        <f>+H199+H193</f>
        <v>0</v>
      </c>
    </row>
    <row r="201" spans="1:17" ht="16" thickBot="1">
      <c r="F201" s="630">
        <f>+F200/E200/100000</f>
        <v>7.9047473684210532</v>
      </c>
    </row>
    <row r="202" spans="1:17">
      <c r="B202" s="2219" t="s">
        <v>1110</v>
      </c>
      <c r="C202" s="1416"/>
      <c r="D202" s="1416"/>
      <c r="E202" s="1416"/>
      <c r="F202" s="1416"/>
      <c r="G202" s="2211"/>
    </row>
    <row r="203" spans="1:17">
      <c r="B203" s="2214" t="s">
        <v>4736</v>
      </c>
      <c r="C203" s="630">
        <v>156300</v>
      </c>
      <c r="E203" s="630">
        <v>1</v>
      </c>
      <c r="F203" s="630">
        <f t="shared" ref="F203:F211" si="52">+(C203+D203)*E203*12</f>
        <v>1875600</v>
      </c>
      <c r="G203" s="2213"/>
      <c r="I203" s="674"/>
    </row>
    <row r="204" spans="1:17">
      <c r="B204" s="2214" t="s">
        <v>4737</v>
      </c>
      <c r="C204" s="630">
        <v>142700</v>
      </c>
      <c r="E204" s="630">
        <v>1</v>
      </c>
      <c r="F204" s="630">
        <f t="shared" si="52"/>
        <v>1712400</v>
      </c>
      <c r="G204" s="2213"/>
      <c r="I204" s="674"/>
    </row>
    <row r="205" spans="1:17">
      <c r="B205" s="2214" t="s">
        <v>4738</v>
      </c>
      <c r="C205" s="630">
        <v>100400</v>
      </c>
      <c r="E205" s="630">
        <v>3</v>
      </c>
      <c r="F205" s="630">
        <f t="shared" si="52"/>
        <v>3614400</v>
      </c>
      <c r="G205" s="2213"/>
      <c r="I205" s="674"/>
    </row>
    <row r="206" spans="1:17">
      <c r="B206" s="2214" t="s">
        <v>1278</v>
      </c>
      <c r="C206" s="630">
        <v>88400</v>
      </c>
      <c r="E206" s="630">
        <v>2</v>
      </c>
      <c r="F206" s="630">
        <f t="shared" si="52"/>
        <v>2121600</v>
      </c>
      <c r="G206" s="2213"/>
      <c r="I206" s="674"/>
    </row>
    <row r="207" spans="1:17">
      <c r="B207" s="2214" t="s">
        <v>1111</v>
      </c>
      <c r="C207" s="630">
        <v>78300</v>
      </c>
      <c r="E207" s="630">
        <v>16</v>
      </c>
      <c r="F207" s="630">
        <f t="shared" si="52"/>
        <v>15033600</v>
      </c>
      <c r="G207" s="2213"/>
      <c r="I207" s="674"/>
    </row>
    <row r="208" spans="1:17">
      <c r="B208" s="2214" t="s">
        <v>1112</v>
      </c>
      <c r="C208" s="630">
        <v>68800</v>
      </c>
      <c r="E208" s="630">
        <v>14</v>
      </c>
      <c r="F208" s="630">
        <f t="shared" si="52"/>
        <v>11558400</v>
      </c>
      <c r="G208" s="2213"/>
      <c r="I208" s="674"/>
    </row>
    <row r="209" spans="2:9">
      <c r="B209" s="2214" t="s">
        <v>1113</v>
      </c>
      <c r="C209" s="630">
        <v>62800</v>
      </c>
      <c r="E209" s="630">
        <v>32</v>
      </c>
      <c r="F209" s="630">
        <f t="shared" si="52"/>
        <v>24115200</v>
      </c>
      <c r="G209" s="2213"/>
      <c r="I209" s="674"/>
    </row>
    <row r="210" spans="2:9">
      <c r="B210" s="2214" t="s">
        <v>1114</v>
      </c>
      <c r="C210" s="630">
        <v>56260</v>
      </c>
      <c r="E210" s="630">
        <v>19</v>
      </c>
      <c r="F210" s="630">
        <f t="shared" si="52"/>
        <v>12827280</v>
      </c>
      <c r="G210" s="2213"/>
      <c r="I210" s="674"/>
    </row>
    <row r="211" spans="2:9">
      <c r="B211" s="2214" t="s">
        <v>1317</v>
      </c>
      <c r="C211" s="630">
        <v>52000</v>
      </c>
      <c r="E211" s="630">
        <v>1</v>
      </c>
      <c r="F211" s="630">
        <f t="shared" si="52"/>
        <v>624000</v>
      </c>
      <c r="G211" s="2213"/>
      <c r="I211" s="674"/>
    </row>
    <row r="212" spans="2:9">
      <c r="B212" s="2214"/>
      <c r="E212" s="630">
        <f>SUM(E203:E211)</f>
        <v>89</v>
      </c>
      <c r="F212" s="625">
        <f>SUM(F203:F211)</f>
        <v>73482480</v>
      </c>
      <c r="G212" s="2213">
        <f>+F212/E212/100000/12</f>
        <v>0.68803820224719103</v>
      </c>
      <c r="H212" s="625"/>
      <c r="I212" s="674"/>
    </row>
    <row r="213" spans="2:9" ht="16" thickBot="1">
      <c r="B213" s="2215"/>
      <c r="C213" s="2216"/>
      <c r="D213" s="2216"/>
      <c r="E213" s="2216"/>
      <c r="F213" s="2216">
        <f>+F212/E212</f>
        <v>825645.84269662923</v>
      </c>
      <c r="G213" s="2220"/>
    </row>
    <row r="215" spans="2:9">
      <c r="B215" s="648" t="s">
        <v>1059</v>
      </c>
      <c r="C215" s="630">
        <v>12000</v>
      </c>
      <c r="E215" s="630">
        <v>0</v>
      </c>
      <c r="F215" s="630">
        <f>+(C215+D215)*E215*12</f>
        <v>0</v>
      </c>
      <c r="H215" s="630">
        <f>+(C215)*E215*12</f>
        <v>0</v>
      </c>
    </row>
    <row r="216" spans="2:9">
      <c r="E216" s="630">
        <f>+E215+E212</f>
        <v>89</v>
      </c>
      <c r="F216" s="630">
        <f>+F215+F212</f>
        <v>73482480</v>
      </c>
      <c r="G216" s="630">
        <f>F216/100000</f>
        <v>734.82479999999998</v>
      </c>
      <c r="H216" s="630">
        <f>+H215+H212</f>
        <v>0</v>
      </c>
      <c r="I216" s="630">
        <f>+(H216+H200)</f>
        <v>0</v>
      </c>
    </row>
    <row r="217" spans="2:9">
      <c r="F217" s="630">
        <f>+F216/E216/100000</f>
        <v>8.256458426966292</v>
      </c>
    </row>
    <row r="219" spans="2:9" ht="16" thickBot="1"/>
    <row r="220" spans="2:9">
      <c r="B220" s="2219" t="s">
        <v>352</v>
      </c>
      <c r="C220" s="1416"/>
      <c r="D220" s="1416"/>
      <c r="E220" s="1416"/>
      <c r="F220" s="1416"/>
      <c r="G220" s="1416"/>
      <c r="H220" s="2211"/>
    </row>
    <row r="221" spans="2:9">
      <c r="B221" s="2214" t="s">
        <v>494</v>
      </c>
      <c r="C221" s="630">
        <v>58000</v>
      </c>
      <c r="E221" s="630">
        <v>3</v>
      </c>
      <c r="F221" s="630">
        <f t="shared" ref="F221:F235" si="53">+(C221+D221)*E221*12</f>
        <v>2088000</v>
      </c>
      <c r="H221" s="2213"/>
      <c r="I221" s="674"/>
    </row>
    <row r="222" spans="2:9">
      <c r="B222" s="2214" t="s">
        <v>354</v>
      </c>
      <c r="C222" s="630">
        <v>40500</v>
      </c>
      <c r="E222" s="630">
        <v>112</v>
      </c>
      <c r="F222" s="630">
        <f t="shared" si="53"/>
        <v>54432000</v>
      </c>
      <c r="H222" s="2213"/>
      <c r="I222" s="674"/>
    </row>
    <row r="223" spans="2:9">
      <c r="B223" s="2214" t="s">
        <v>355</v>
      </c>
      <c r="C223" s="630">
        <v>32500</v>
      </c>
      <c r="E223" s="630">
        <v>302</v>
      </c>
      <c r="F223" s="630">
        <f t="shared" si="53"/>
        <v>117780000</v>
      </c>
      <c r="H223" s="2213"/>
      <c r="I223" s="674"/>
    </row>
    <row r="224" spans="2:9">
      <c r="B224" s="2214" t="s">
        <v>356</v>
      </c>
      <c r="C224" s="630">
        <v>29500</v>
      </c>
      <c r="E224" s="630">
        <v>554</v>
      </c>
      <c r="F224" s="630">
        <f t="shared" si="53"/>
        <v>196116000</v>
      </c>
      <c r="H224" s="2213"/>
      <c r="I224" s="674"/>
    </row>
    <row r="225" spans="2:9">
      <c r="B225" s="2214" t="s">
        <v>357</v>
      </c>
      <c r="C225" s="630">
        <v>24800</v>
      </c>
      <c r="E225" s="630">
        <v>153</v>
      </c>
      <c r="F225" s="630">
        <f t="shared" si="53"/>
        <v>45532800</v>
      </c>
      <c r="H225" s="2213"/>
      <c r="I225" s="674"/>
    </row>
    <row r="226" spans="2:9">
      <c r="B226" s="2214" t="s">
        <v>358</v>
      </c>
      <c r="C226" s="630">
        <v>34750</v>
      </c>
      <c r="E226" s="630">
        <v>169</v>
      </c>
      <c r="F226" s="630">
        <f t="shared" si="53"/>
        <v>70473000</v>
      </c>
      <c r="H226" s="2213"/>
      <c r="I226" s="674"/>
    </row>
    <row r="227" spans="2:9">
      <c r="B227" s="2214" t="s">
        <v>495</v>
      </c>
      <c r="E227" s="630">
        <v>0</v>
      </c>
      <c r="F227" s="630">
        <f t="shared" si="53"/>
        <v>0</v>
      </c>
      <c r="H227" s="2213"/>
      <c r="I227" s="674"/>
    </row>
    <row r="228" spans="2:9">
      <c r="B228" s="2214" t="s">
        <v>5121</v>
      </c>
      <c r="C228" s="630">
        <v>30500</v>
      </c>
      <c r="E228" s="630">
        <v>1</v>
      </c>
      <c r="F228" s="630">
        <f t="shared" si="53"/>
        <v>366000</v>
      </c>
      <c r="H228" s="2213"/>
      <c r="I228" s="674"/>
    </row>
    <row r="229" spans="2:9">
      <c r="B229" s="2214" t="s">
        <v>5122</v>
      </c>
      <c r="C229" s="630">
        <v>43500</v>
      </c>
      <c r="E229" s="630">
        <v>1</v>
      </c>
      <c r="F229" s="630">
        <f t="shared" si="53"/>
        <v>522000</v>
      </c>
      <c r="H229" s="2213"/>
      <c r="I229" s="674"/>
    </row>
    <row r="230" spans="2:9">
      <c r="B230" s="2214" t="s">
        <v>5123</v>
      </c>
      <c r="C230" s="630">
        <v>38000</v>
      </c>
      <c r="E230" s="630">
        <v>4</v>
      </c>
      <c r="F230" s="630">
        <f t="shared" si="53"/>
        <v>1824000</v>
      </c>
      <c r="H230" s="2213"/>
      <c r="I230" s="674"/>
    </row>
    <row r="231" spans="2:9">
      <c r="B231" s="2214" t="s">
        <v>496</v>
      </c>
      <c r="C231" s="630">
        <v>0</v>
      </c>
      <c r="E231" s="630">
        <v>0</v>
      </c>
      <c r="F231" s="630">
        <f t="shared" si="53"/>
        <v>0</v>
      </c>
      <c r="H231" s="2213"/>
      <c r="I231" s="674"/>
    </row>
    <row r="232" spans="2:9">
      <c r="B232" s="2214" t="s">
        <v>1055</v>
      </c>
      <c r="E232" s="630">
        <v>0</v>
      </c>
      <c r="F232" s="630">
        <f t="shared" si="53"/>
        <v>0</v>
      </c>
      <c r="H232" s="2213"/>
      <c r="I232" s="674"/>
    </row>
    <row r="233" spans="2:9">
      <c r="B233" s="2214" t="s">
        <v>1056</v>
      </c>
      <c r="C233" s="630">
        <v>40500</v>
      </c>
      <c r="E233" s="630">
        <v>3</v>
      </c>
      <c r="F233" s="630">
        <f t="shared" si="53"/>
        <v>1458000</v>
      </c>
      <c r="H233" s="2213"/>
      <c r="I233" s="674"/>
    </row>
    <row r="234" spans="2:9">
      <c r="B234" s="2214" t="s">
        <v>1057</v>
      </c>
      <c r="C234" s="630">
        <v>45500</v>
      </c>
      <c r="E234" s="630">
        <v>6</v>
      </c>
      <c r="F234" s="630">
        <f t="shared" si="53"/>
        <v>3276000</v>
      </c>
      <c r="H234" s="2213"/>
      <c r="I234" s="674"/>
    </row>
    <row r="235" spans="2:9">
      <c r="B235" s="2214" t="s">
        <v>1058</v>
      </c>
      <c r="C235" s="630">
        <v>12840</v>
      </c>
      <c r="F235" s="630">
        <f t="shared" si="53"/>
        <v>0</v>
      </c>
      <c r="H235" s="2213"/>
      <c r="I235" s="674"/>
    </row>
    <row r="236" spans="2:9">
      <c r="B236" s="2212"/>
      <c r="C236" s="625"/>
      <c r="D236" s="625" t="s">
        <v>1100</v>
      </c>
      <c r="E236" s="625">
        <f>SUM(E221:E235)</f>
        <v>1308</v>
      </c>
      <c r="F236" s="625">
        <f>SUM(F221:F235)</f>
        <v>493867800</v>
      </c>
      <c r="G236" s="630">
        <f>+F236/E236/100000/12</f>
        <v>0.31464564220183483</v>
      </c>
      <c r="H236" s="2213"/>
    </row>
    <row r="237" spans="2:9">
      <c r="B237" s="2214"/>
      <c r="F237" s="630">
        <f>+F236/E236</f>
        <v>377574.77064220182</v>
      </c>
      <c r="H237" s="2213"/>
    </row>
    <row r="238" spans="2:9">
      <c r="B238" s="648"/>
      <c r="H238" s="2213"/>
    </row>
    <row r="239" spans="2:9">
      <c r="B239" s="648" t="s">
        <v>1116</v>
      </c>
      <c r="C239" s="630">
        <v>2850</v>
      </c>
      <c r="F239" s="630">
        <f>+(C239+D239)*E239*12</f>
        <v>0</v>
      </c>
      <c r="H239" s="2213">
        <f>+(C239)*E239*12</f>
        <v>0</v>
      </c>
    </row>
    <row r="240" spans="2:9">
      <c r="B240" s="2214"/>
      <c r="E240" s="630">
        <f>+E239+E236</f>
        <v>1308</v>
      </c>
      <c r="F240" s="630">
        <f>+F239+F236</f>
        <v>493867800</v>
      </c>
      <c r="G240" s="630">
        <f>+F240/100000</f>
        <v>4938.6779999999999</v>
      </c>
      <c r="H240" s="2213">
        <f>+H239+H236</f>
        <v>0</v>
      </c>
    </row>
    <row r="241" spans="2:9">
      <c r="B241" s="2214"/>
      <c r="F241" s="630">
        <f>+F240/E240/100000</f>
        <v>3.7757477064220182</v>
      </c>
      <c r="H241" s="2213"/>
    </row>
    <row r="242" spans="2:9">
      <c r="B242" s="2214"/>
      <c r="H242" s="2213"/>
    </row>
    <row r="243" spans="2:9">
      <c r="B243" s="2214"/>
      <c r="H243" s="2213"/>
    </row>
    <row r="244" spans="2:9">
      <c r="B244" s="2212" t="s">
        <v>353</v>
      </c>
      <c r="H244" s="2213"/>
    </row>
    <row r="245" spans="2:9">
      <c r="B245" s="2214" t="s">
        <v>359</v>
      </c>
      <c r="C245" s="630">
        <v>45900</v>
      </c>
      <c r="E245" s="630">
        <v>15</v>
      </c>
      <c r="F245" s="630">
        <f t="shared" ref="F245:F256" si="54">+(C245+D245)*E245*12</f>
        <v>8262000</v>
      </c>
      <c r="H245" s="2213"/>
      <c r="I245" s="674"/>
    </row>
    <row r="246" spans="2:9">
      <c r="B246" s="2214" t="s">
        <v>360</v>
      </c>
      <c r="C246" s="630">
        <v>44000</v>
      </c>
      <c r="E246" s="630">
        <v>7</v>
      </c>
      <c r="F246" s="630">
        <f t="shared" si="54"/>
        <v>3696000</v>
      </c>
      <c r="H246" s="2213"/>
      <c r="I246" s="674"/>
    </row>
    <row r="247" spans="2:9">
      <c r="B247" s="2214" t="s">
        <v>361</v>
      </c>
      <c r="C247" s="630">
        <v>24370</v>
      </c>
      <c r="F247" s="630">
        <f t="shared" si="54"/>
        <v>0</v>
      </c>
      <c r="H247" s="2213"/>
      <c r="I247" s="674"/>
    </row>
    <row r="248" spans="2:9">
      <c r="B248" s="2214" t="s">
        <v>362</v>
      </c>
      <c r="C248" s="630">
        <f>45940/2</f>
        <v>22970</v>
      </c>
      <c r="E248" s="630">
        <v>0</v>
      </c>
      <c r="F248" s="630">
        <f t="shared" si="54"/>
        <v>0</v>
      </c>
      <c r="H248" s="2213"/>
      <c r="I248" s="674"/>
    </row>
    <row r="249" spans="2:9">
      <c r="B249" s="2214" t="s">
        <v>132</v>
      </c>
      <c r="C249" s="630">
        <v>47500</v>
      </c>
      <c r="E249" s="630">
        <v>34</v>
      </c>
      <c r="F249" s="630">
        <f t="shared" si="54"/>
        <v>19380000</v>
      </c>
      <c r="H249" s="2213"/>
      <c r="I249" s="674"/>
    </row>
    <row r="250" spans="2:9">
      <c r="B250" s="2214" t="s">
        <v>133</v>
      </c>
      <c r="C250" s="630">
        <v>10890</v>
      </c>
      <c r="F250" s="630">
        <f t="shared" si="54"/>
        <v>0</v>
      </c>
      <c r="H250" s="2213"/>
      <c r="I250" s="674"/>
    </row>
    <row r="251" spans="2:9">
      <c r="B251" s="2214" t="s">
        <v>3773</v>
      </c>
      <c r="C251" s="630">
        <v>32050</v>
      </c>
      <c r="E251" s="630">
        <v>343</v>
      </c>
      <c r="F251" s="630">
        <f t="shared" si="54"/>
        <v>131917800</v>
      </c>
      <c r="H251" s="2213"/>
      <c r="I251" s="674"/>
    </row>
    <row r="252" spans="2:9">
      <c r="B252" s="2214" t="s">
        <v>134</v>
      </c>
      <c r="C252" s="630">
        <v>51000</v>
      </c>
      <c r="E252" s="630">
        <v>34</v>
      </c>
      <c r="F252" s="630">
        <f t="shared" si="54"/>
        <v>20808000</v>
      </c>
      <c r="H252" s="2213"/>
      <c r="I252" s="674"/>
    </row>
    <row r="253" spans="2:9">
      <c r="B253" s="2214" t="s">
        <v>135</v>
      </c>
      <c r="C253" s="630">
        <v>35200</v>
      </c>
      <c r="E253" s="630">
        <v>6</v>
      </c>
      <c r="F253" s="630">
        <f t="shared" si="54"/>
        <v>2534400</v>
      </c>
      <c r="H253" s="2213"/>
      <c r="I253" s="674"/>
    </row>
    <row r="254" spans="2:9">
      <c r="B254" s="2214" t="s">
        <v>492</v>
      </c>
      <c r="C254" s="630">
        <v>32700</v>
      </c>
      <c r="E254" s="630">
        <v>66</v>
      </c>
      <c r="F254" s="630">
        <f t="shared" si="54"/>
        <v>25898400</v>
      </c>
      <c r="H254" s="2213"/>
      <c r="I254" s="674"/>
    </row>
    <row r="255" spans="2:9">
      <c r="B255" s="2214" t="s">
        <v>358</v>
      </c>
      <c r="C255" s="630">
        <v>17200</v>
      </c>
      <c r="E255" s="630">
        <v>21</v>
      </c>
      <c r="F255" s="630">
        <f t="shared" si="54"/>
        <v>4334400</v>
      </c>
      <c r="H255" s="2213"/>
      <c r="I255" s="674"/>
    </row>
    <row r="256" spans="2:9" ht="16" thickBot="1">
      <c r="B256" s="2215" t="s">
        <v>493</v>
      </c>
      <c r="C256" s="2216">
        <v>36000</v>
      </c>
      <c r="D256" s="2216"/>
      <c r="E256" s="2216">
        <v>13</v>
      </c>
      <c r="F256" s="2216">
        <f t="shared" si="54"/>
        <v>5616000</v>
      </c>
      <c r="G256" s="2216"/>
      <c r="H256" s="2220"/>
      <c r="I256" s="674"/>
    </row>
    <row r="257" spans="2:9">
      <c r="D257" s="625" t="s">
        <v>1100</v>
      </c>
      <c r="E257" s="625">
        <f>SUM(E245:E256)</f>
        <v>539</v>
      </c>
      <c r="F257" s="625">
        <f>SUM(F245:F256)</f>
        <v>222447000</v>
      </c>
      <c r="G257" s="630">
        <f>+F257/E257/100000/12</f>
        <v>0.34391929499072355</v>
      </c>
    </row>
    <row r="258" spans="2:9">
      <c r="F258" s="638">
        <f>+F257/E257</f>
        <v>412703.15398886829</v>
      </c>
    </row>
    <row r="260" spans="2:9">
      <c r="B260" s="648" t="s">
        <v>263</v>
      </c>
      <c r="C260" s="630">
        <v>8000</v>
      </c>
      <c r="E260" s="630">
        <v>0</v>
      </c>
      <c r="F260" s="630">
        <f>+(C260+D260)*E260*12</f>
        <v>0</v>
      </c>
    </row>
    <row r="261" spans="2:9">
      <c r="B261" s="648"/>
      <c r="E261" s="630">
        <f>+E260+E257</f>
        <v>539</v>
      </c>
      <c r="F261" s="630">
        <f>+F260+F257</f>
        <v>222447000</v>
      </c>
      <c r="G261" s="630">
        <f>+F261/100000</f>
        <v>2224.4699999999998</v>
      </c>
      <c r="H261" s="630">
        <f>+H260+H257</f>
        <v>0</v>
      </c>
      <c r="I261" s="674">
        <f t="shared" ref="I261" si="55">F261-H261</f>
        <v>222447000</v>
      </c>
    </row>
    <row r="263" spans="2:9">
      <c r="E263" s="630">
        <f>E261+E240+E216+E200</f>
        <v>2240</v>
      </c>
      <c r="F263" s="630">
        <f>+F261/E261/100000</f>
        <v>4.1270315398886828</v>
      </c>
      <c r="G263" s="630">
        <f>+(+F261+F240+F216+F200)</f>
        <v>1030101600</v>
      </c>
      <c r="H263" s="630">
        <f>+H261+H240+H216+H200</f>
        <v>0</v>
      </c>
      <c r="I263" s="638">
        <f>+(I261+I240+I216+I200)/10000000/2522*2613</f>
        <v>23.047343814432992</v>
      </c>
    </row>
    <row r="264" spans="2:9">
      <c r="G264" s="638">
        <f>+G12</f>
        <v>102.00953359500001</v>
      </c>
      <c r="H264" s="630">
        <f>+H263/E263</f>
        <v>0</v>
      </c>
      <c r="I264" s="638">
        <f>+H263/10000000</f>
        <v>0</v>
      </c>
    </row>
    <row r="266" spans="2:9">
      <c r="G266" s="674" t="s">
        <v>946</v>
      </c>
      <c r="H266" s="674" t="s">
        <v>946</v>
      </c>
    </row>
    <row r="267" spans="2:9">
      <c r="B267" s="630" t="s">
        <v>1061</v>
      </c>
      <c r="C267" s="638">
        <f>+G200</f>
        <v>2403.0432000000001</v>
      </c>
      <c r="D267" s="638">
        <f>C267*$C$273/$C$271</f>
        <v>23.79700371697669</v>
      </c>
      <c r="E267" s="651">
        <f>D267/C64</f>
        <v>8.1776645075521265E-2</v>
      </c>
      <c r="F267" s="630">
        <f>+E200</f>
        <v>304</v>
      </c>
      <c r="G267" s="675">
        <f>+H267/1</f>
        <v>7.8279617490054895E-2</v>
      </c>
      <c r="H267" s="675">
        <f>+D267/F267</f>
        <v>7.8279617490054895E-2</v>
      </c>
    </row>
    <row r="268" spans="2:9">
      <c r="B268" s="630" t="s">
        <v>1062</v>
      </c>
      <c r="C268" s="638">
        <f>+G216</f>
        <v>734.82479999999998</v>
      </c>
      <c r="D268" s="638">
        <f>C268*$C$273/$C$271</f>
        <v>7.2768681382534668</v>
      </c>
      <c r="E268" s="651">
        <f>D268/D64</f>
        <v>8.2691683389243945E-2</v>
      </c>
      <c r="F268" s="630">
        <f>+E216</f>
        <v>89</v>
      </c>
      <c r="G268" s="675">
        <f>+H268/1</f>
        <v>8.1762563351162554E-2</v>
      </c>
      <c r="H268" s="675">
        <f>+D268/F268</f>
        <v>8.1762563351162554E-2</v>
      </c>
    </row>
    <row r="269" spans="2:9">
      <c r="B269" s="630" t="s">
        <v>1063</v>
      </c>
      <c r="C269" s="638">
        <f>+G240</f>
        <v>4938.6779999999999</v>
      </c>
      <c r="D269" s="638">
        <f>C269*$C$273/$C$271</f>
        <v>48.907043669856208</v>
      </c>
      <c r="E269" s="651">
        <f>D269/E64</f>
        <v>4.6489585237505904E-2</v>
      </c>
      <c r="F269" s="630">
        <f>+E240</f>
        <v>1308</v>
      </c>
      <c r="G269" s="675">
        <f>+H269/1</f>
        <v>3.7390706169614839E-2</v>
      </c>
      <c r="H269" s="675">
        <f>+D269/F269</f>
        <v>3.7390706169614839E-2</v>
      </c>
    </row>
    <row r="270" spans="2:9">
      <c r="B270" s="630" t="s">
        <v>1064</v>
      </c>
      <c r="C270" s="638">
        <f>G261</f>
        <v>2224.4699999999998</v>
      </c>
      <c r="D270" s="638">
        <f>C270*$C$273/$C$271</f>
        <v>22.028618069913652</v>
      </c>
      <c r="E270" s="651">
        <f>D270/F64</f>
        <v>5.1589269484575297E-2</v>
      </c>
      <c r="F270" s="630">
        <f>+E261</f>
        <v>539</v>
      </c>
      <c r="G270" s="675">
        <f>+H270/1</f>
        <v>4.0869421279988223E-2</v>
      </c>
      <c r="H270" s="675">
        <f>+D270/F270</f>
        <v>4.0869421279988223E-2</v>
      </c>
    </row>
    <row r="271" spans="2:9">
      <c r="C271" s="642">
        <f>SUM(C267:C270)</f>
        <v>10301.016</v>
      </c>
      <c r="D271" s="642">
        <f>C271*$C$273/$C$271</f>
        <v>102.00953359500001</v>
      </c>
      <c r="F271" s="625">
        <f>SUM(F267:F270)</f>
        <v>2240</v>
      </c>
    </row>
    <row r="273" spans="3:11">
      <c r="C273" s="666">
        <f>+G12</f>
        <v>102.00953359500001</v>
      </c>
      <c r="D273" s="638">
        <f>D271-C271</f>
        <v>-10199.006466404999</v>
      </c>
    </row>
    <row r="275" spans="3:11">
      <c r="C275" s="630" t="s">
        <v>5344</v>
      </c>
    </row>
    <row r="277" spans="3:11">
      <c r="C277" s="777" t="s">
        <v>4063</v>
      </c>
      <c r="D277" s="778" t="s">
        <v>193</v>
      </c>
      <c r="E277" s="779" t="s">
        <v>426</v>
      </c>
      <c r="F277" s="778" t="s">
        <v>4068</v>
      </c>
    </row>
    <row r="278" spans="3:11">
      <c r="C278" s="759" t="s">
        <v>4684</v>
      </c>
      <c r="D278" s="780">
        <v>154</v>
      </c>
      <c r="E278" s="781">
        <v>14430</v>
      </c>
      <c r="F278" s="1005">
        <f>D278*E278*12/10000000</f>
        <v>2.6666639999999999</v>
      </c>
      <c r="G278" s="630">
        <f>1321662/D278</f>
        <v>8582.2207792207791</v>
      </c>
      <c r="H278" s="630">
        <f>G278-E278</f>
        <v>-5847.7792207792209</v>
      </c>
    </row>
    <row r="279" spans="3:11">
      <c r="C279" s="759" t="s">
        <v>112</v>
      </c>
      <c r="D279" s="780">
        <v>993</v>
      </c>
      <c r="E279" s="781">
        <v>12812</v>
      </c>
      <c r="F279" s="1005">
        <f>D279*E279*12/10000000</f>
        <v>15.2667792</v>
      </c>
      <c r="G279" s="630">
        <f>9198078/D279</f>
        <v>9262.9184290030207</v>
      </c>
      <c r="H279" s="630">
        <f t="shared" ref="H279:H282" si="56">G279-E279</f>
        <v>-3549.0815709969793</v>
      </c>
    </row>
    <row r="280" spans="3:11">
      <c r="C280" s="759" t="s">
        <v>463</v>
      </c>
      <c r="D280" s="780">
        <v>208</v>
      </c>
      <c r="E280" s="781">
        <v>16589</v>
      </c>
      <c r="F280" s="1005">
        <f>D280*E280*12/10000000</f>
        <v>4.1406143999999996</v>
      </c>
      <c r="G280" s="630">
        <f>816088/D280</f>
        <v>3923.5</v>
      </c>
      <c r="H280" s="630">
        <f t="shared" si="56"/>
        <v>-12665.5</v>
      </c>
    </row>
    <row r="281" spans="3:11">
      <c r="C281" s="759" t="s">
        <v>3639</v>
      </c>
      <c r="D281" s="780">
        <v>32</v>
      </c>
      <c r="E281" s="781">
        <v>18789</v>
      </c>
      <c r="F281" s="1005">
        <f>D281*E281*12/10000000</f>
        <v>0.72149759999999996</v>
      </c>
      <c r="G281" s="630">
        <f>381315/D281</f>
        <v>11916.09375</v>
      </c>
      <c r="H281" s="630">
        <f t="shared" si="56"/>
        <v>-6872.90625</v>
      </c>
    </row>
    <row r="282" spans="3:11">
      <c r="C282" s="759"/>
      <c r="D282" s="780"/>
      <c r="E282" s="781"/>
      <c r="F282" s="1005"/>
      <c r="G282" s="630" t="e">
        <f>(1127490+53690)/D282</f>
        <v>#DIV/0!</v>
      </c>
      <c r="H282" s="630" t="e">
        <f t="shared" si="56"/>
        <v>#DIV/0!</v>
      </c>
    </row>
    <row r="283" spans="3:11">
      <c r="C283" s="777" t="s">
        <v>1100</v>
      </c>
      <c r="D283" s="782">
        <f>SUM(D278:D282)</f>
        <v>1387</v>
      </c>
      <c r="E283" s="783"/>
      <c r="F283" s="784">
        <f>SUM(F278:F282)</f>
        <v>22.795555199999999</v>
      </c>
    </row>
    <row r="284" spans="3:11">
      <c r="C284" s="757" t="s">
        <v>4683</v>
      </c>
      <c r="D284" s="772"/>
      <c r="E284" s="772"/>
      <c r="F284" s="772"/>
    </row>
    <row r="285" spans="3:11">
      <c r="C285" s="757"/>
      <c r="D285" s="772"/>
      <c r="E285" s="772"/>
      <c r="F285" s="772"/>
      <c r="K285" s="630">
        <v>111</v>
      </c>
    </row>
    <row r="286" spans="3:11">
      <c r="C286" s="777" t="s">
        <v>4067</v>
      </c>
      <c r="D286" s="778" t="s">
        <v>193</v>
      </c>
      <c r="E286" s="779" t="s">
        <v>426</v>
      </c>
      <c r="F286" s="778" t="s">
        <v>4068</v>
      </c>
    </row>
    <row r="287" spans="3:11">
      <c r="C287" s="759" t="s">
        <v>4065</v>
      </c>
      <c r="D287" s="780">
        <v>14</v>
      </c>
      <c r="E287" s="781">
        <v>45000</v>
      </c>
      <c r="F287" s="1005">
        <f>D287*E287*12/10000000</f>
        <v>0.75600000000000001</v>
      </c>
    </row>
    <row r="288" spans="3:11">
      <c r="C288" s="759" t="s">
        <v>4064</v>
      </c>
      <c r="D288" s="780">
        <v>15</v>
      </c>
      <c r="E288" s="781">
        <v>11000</v>
      </c>
      <c r="F288" s="1005">
        <f>D288*E288*12/10000000</f>
        <v>0.19800000000000001</v>
      </c>
    </row>
    <row r="289" spans="2:11">
      <c r="C289" s="759" t="s">
        <v>4066</v>
      </c>
      <c r="D289" s="780">
        <v>200</v>
      </c>
      <c r="E289" s="781">
        <v>7700</v>
      </c>
      <c r="F289" s="1005">
        <f>D289*E289*12/10000000</f>
        <v>1.8480000000000001</v>
      </c>
      <c r="G289" s="630" t="s">
        <v>5373</v>
      </c>
    </row>
    <row r="290" spans="2:11">
      <c r="C290" s="777" t="s">
        <v>1100</v>
      </c>
      <c r="D290" s="782">
        <f>SUM(D287:D289)</f>
        <v>229</v>
      </c>
      <c r="E290" s="682"/>
      <c r="F290" s="784">
        <f>SUM(F287:F289)</f>
        <v>2.802</v>
      </c>
    </row>
    <row r="291" spans="2:11">
      <c r="C291" s="2118"/>
    </row>
    <row r="292" spans="2:11">
      <c r="B292" s="3399" t="s">
        <v>6858</v>
      </c>
      <c r="C292" s="2221" t="s">
        <v>5415</v>
      </c>
      <c r="D292" s="634"/>
      <c r="E292" s="634"/>
      <c r="F292" s="634"/>
    </row>
    <row r="293" spans="2:11">
      <c r="B293" s="3399"/>
      <c r="C293" s="634"/>
      <c r="D293" s="634"/>
      <c r="E293" s="634"/>
      <c r="F293" s="634"/>
    </row>
    <row r="294" spans="2:11">
      <c r="B294" s="3399"/>
      <c r="C294" s="634" t="s">
        <v>4686</v>
      </c>
      <c r="D294" s="634">
        <f>253*4</f>
        <v>1012</v>
      </c>
      <c r="E294" s="634">
        <v>16589</v>
      </c>
      <c r="F294" s="636">
        <f>E294*D294*12/10000000</f>
        <v>20.1456816</v>
      </c>
    </row>
    <row r="295" spans="2:11">
      <c r="B295" s="3399"/>
      <c r="C295" s="634" t="s">
        <v>4687</v>
      </c>
      <c r="D295" s="634">
        <f>253*3</f>
        <v>759</v>
      </c>
      <c r="E295" s="634">
        <v>12949</v>
      </c>
      <c r="F295" s="636">
        <f>E295*D295*12/10000000</f>
        <v>11.7939492</v>
      </c>
    </row>
    <row r="296" spans="2:11">
      <c r="B296" s="3399"/>
      <c r="C296" s="634"/>
      <c r="D296" s="639">
        <f>SUM(D294:D295)</f>
        <v>1771</v>
      </c>
      <c r="E296" s="634"/>
      <c r="F296" s="640">
        <f>SUM(F294:F295)</f>
        <v>31.9396308</v>
      </c>
    </row>
    <row r="297" spans="2:11">
      <c r="B297" s="3399"/>
    </row>
    <row r="298" spans="2:11">
      <c r="B298" s="3399"/>
      <c r="C298" s="3409" t="s">
        <v>5345</v>
      </c>
      <c r="D298" s="3410"/>
      <c r="E298" s="3410"/>
      <c r="F298" s="3410"/>
      <c r="G298" s="3411"/>
    </row>
    <row r="299" spans="2:11">
      <c r="B299" s="3399"/>
      <c r="C299" s="634"/>
      <c r="D299" s="634" t="s">
        <v>5346</v>
      </c>
      <c r="E299" s="634"/>
      <c r="F299" s="634" t="s">
        <v>5347</v>
      </c>
      <c r="G299" s="3412" t="s">
        <v>5348</v>
      </c>
      <c r="H299" s="3413"/>
    </row>
    <row r="300" spans="2:11">
      <c r="B300" s="3399"/>
      <c r="C300" s="634" t="s">
        <v>5349</v>
      </c>
      <c r="D300" s="634">
        <v>2250000</v>
      </c>
      <c r="E300" s="634">
        <f>6.1*1.18</f>
        <v>7.1979999999999995</v>
      </c>
      <c r="F300" s="636">
        <v>0</v>
      </c>
      <c r="G300" s="634">
        <v>2328000</v>
      </c>
      <c r="H300" s="636">
        <v>0</v>
      </c>
      <c r="I300" s="630">
        <f>(G300*H300*12)/10000000+4.5</f>
        <v>4.5</v>
      </c>
    </row>
    <row r="301" spans="2:11">
      <c r="B301" s="3399"/>
      <c r="C301" s="634"/>
      <c r="D301" s="634"/>
      <c r="E301" s="634"/>
      <c r="F301" s="636"/>
      <c r="G301" s="634"/>
      <c r="H301" s="634"/>
    </row>
    <row r="302" spans="2:11" ht="16" thickBot="1">
      <c r="B302" s="3399"/>
      <c r="C302" s="634"/>
      <c r="D302" s="639">
        <f>SUM(D300:D301)</f>
        <v>2250000</v>
      </c>
      <c r="E302" s="634"/>
      <c r="F302" s="640">
        <f>SUM(F300:F301)</f>
        <v>0</v>
      </c>
      <c r="G302" s="640">
        <f t="shared" ref="G302:H302" si="57">SUM(G300:G301)</f>
        <v>2328000</v>
      </c>
      <c r="H302" s="640">
        <f t="shared" si="57"/>
        <v>0</v>
      </c>
      <c r="I302" s="630">
        <f>I300</f>
        <v>4.5</v>
      </c>
    </row>
    <row r="303" spans="2:11">
      <c r="B303" s="3400" t="s">
        <v>6859</v>
      </c>
      <c r="C303" s="1416"/>
      <c r="D303" s="3414" t="s">
        <v>6860</v>
      </c>
      <c r="E303" s="3414"/>
      <c r="F303" s="1416"/>
      <c r="G303" s="1416"/>
      <c r="H303" s="2211"/>
      <c r="K303" s="638"/>
    </row>
    <row r="304" spans="2:11">
      <c r="B304" s="3400"/>
      <c r="C304" s="625" t="s">
        <v>1075</v>
      </c>
      <c r="G304" s="630" t="s">
        <v>5120</v>
      </c>
      <c r="H304" s="2213"/>
    </row>
    <row r="305" spans="2:8">
      <c r="B305" s="3400"/>
      <c r="C305" s="630" t="s">
        <v>4739</v>
      </c>
      <c r="D305" s="630">
        <v>147300</v>
      </c>
      <c r="F305" s="630">
        <v>1</v>
      </c>
      <c r="G305" s="630">
        <f>+(D305+E305)*F305*12</f>
        <v>1767600</v>
      </c>
      <c r="H305" s="2213"/>
    </row>
    <row r="306" spans="2:8">
      <c r="B306" s="3400"/>
      <c r="C306" s="630" t="s">
        <v>5119</v>
      </c>
      <c r="G306" s="630">
        <f>+(D306+E306)*F306*12</f>
        <v>0</v>
      </c>
      <c r="H306" s="2213"/>
    </row>
    <row r="307" spans="2:8">
      <c r="B307" s="3400"/>
      <c r="C307" s="630" t="s">
        <v>351</v>
      </c>
      <c r="D307" s="630">
        <v>140000</v>
      </c>
      <c r="F307" s="630">
        <v>3</v>
      </c>
      <c r="G307" s="630">
        <f>+(D307+E307)*F307*12</f>
        <v>5040000</v>
      </c>
      <c r="H307" s="2213"/>
    </row>
    <row r="308" spans="2:8">
      <c r="B308" s="3400"/>
      <c r="C308" s="630" t="s">
        <v>1104</v>
      </c>
      <c r="D308" s="630">
        <v>99000</v>
      </c>
      <c r="F308" s="630">
        <v>2</v>
      </c>
      <c r="G308" s="630">
        <f>+(D308+E308)*F308*12</f>
        <v>2376000</v>
      </c>
      <c r="H308" s="2213"/>
    </row>
    <row r="309" spans="2:8">
      <c r="B309" s="3400"/>
      <c r="C309" s="630" t="s">
        <v>1105</v>
      </c>
      <c r="D309" s="630">
        <v>83300</v>
      </c>
      <c r="F309" s="630">
        <v>10</v>
      </c>
      <c r="G309" s="630">
        <f t="shared" ref="G309:G322" si="58">+(D309+E309)*F309*12</f>
        <v>9996000</v>
      </c>
      <c r="H309" s="2213"/>
    </row>
    <row r="310" spans="2:8">
      <c r="B310" s="3400"/>
      <c r="C310" s="630" t="s">
        <v>1106</v>
      </c>
      <c r="D310" s="630">
        <v>88200</v>
      </c>
      <c r="F310" s="630">
        <v>20</v>
      </c>
      <c r="G310" s="630">
        <f t="shared" si="58"/>
        <v>21168000</v>
      </c>
      <c r="H310" s="2213"/>
    </row>
    <row r="311" spans="2:8">
      <c r="B311" s="3400"/>
      <c r="C311" s="630" t="s">
        <v>1107</v>
      </c>
      <c r="D311" s="630">
        <v>72550</v>
      </c>
      <c r="F311" s="630">
        <v>65</v>
      </c>
      <c r="G311" s="630">
        <f t="shared" si="58"/>
        <v>56589000</v>
      </c>
      <c r="H311" s="2213"/>
    </row>
    <row r="312" spans="2:8">
      <c r="B312" s="3400"/>
      <c r="C312" s="630" t="s">
        <v>1108</v>
      </c>
      <c r="D312" s="630">
        <v>67512</v>
      </c>
      <c r="F312" s="630">
        <v>115</v>
      </c>
      <c r="G312" s="630">
        <f t="shared" si="58"/>
        <v>93166560</v>
      </c>
      <c r="H312" s="2213"/>
    </row>
    <row r="313" spans="2:8">
      <c r="B313" s="3400"/>
      <c r="C313" s="630" t="s">
        <v>1109</v>
      </c>
      <c r="D313" s="630">
        <v>57650</v>
      </c>
      <c r="F313" s="630">
        <v>79</v>
      </c>
      <c r="G313" s="630">
        <f t="shared" si="58"/>
        <v>54652200</v>
      </c>
      <c r="H313" s="2213"/>
    </row>
    <row r="314" spans="2:8">
      <c r="B314" s="3400"/>
      <c r="C314" s="630" t="s">
        <v>4736</v>
      </c>
      <c r="D314" s="630">
        <v>165800</v>
      </c>
      <c r="F314" s="630">
        <v>1</v>
      </c>
      <c r="G314" s="630">
        <f t="shared" si="58"/>
        <v>1989600</v>
      </c>
      <c r="H314" s="2213"/>
    </row>
    <row r="315" spans="2:8">
      <c r="B315" s="3400"/>
      <c r="C315" s="630" t="s">
        <v>4737</v>
      </c>
      <c r="G315" s="630">
        <f t="shared" si="58"/>
        <v>0</v>
      </c>
      <c r="H315" s="2213"/>
    </row>
    <row r="316" spans="2:8">
      <c r="B316" s="3400"/>
      <c r="C316" s="630" t="s">
        <v>5330</v>
      </c>
      <c r="D316" s="630">
        <v>94150</v>
      </c>
      <c r="F316" s="630">
        <v>2</v>
      </c>
      <c r="G316" s="630">
        <f t="shared" si="58"/>
        <v>2259600</v>
      </c>
      <c r="H316" s="2213"/>
    </row>
    <row r="317" spans="2:8">
      <c r="B317" s="3400"/>
      <c r="C317" s="630" t="s">
        <v>1278</v>
      </c>
      <c r="D317" s="630">
        <v>85200</v>
      </c>
      <c r="F317" s="630">
        <v>3</v>
      </c>
      <c r="G317" s="630">
        <f t="shared" si="58"/>
        <v>3067200</v>
      </c>
      <c r="H317" s="2213"/>
    </row>
    <row r="318" spans="2:8">
      <c r="B318" s="3400"/>
      <c r="C318" s="630" t="s">
        <v>1111</v>
      </c>
      <c r="D318" s="630">
        <v>80550</v>
      </c>
      <c r="F318" s="630">
        <v>18</v>
      </c>
      <c r="G318" s="630">
        <f t="shared" si="58"/>
        <v>17398800</v>
      </c>
      <c r="H318" s="2213"/>
    </row>
    <row r="319" spans="2:8">
      <c r="B319" s="3400"/>
      <c r="C319" s="630" t="s">
        <v>1112</v>
      </c>
      <c r="D319" s="630">
        <v>69600</v>
      </c>
      <c r="F319" s="630">
        <v>16</v>
      </c>
      <c r="G319" s="630">
        <f t="shared" si="58"/>
        <v>13363200</v>
      </c>
      <c r="H319" s="2213"/>
    </row>
    <row r="320" spans="2:8">
      <c r="B320" s="3400"/>
      <c r="C320" s="630" t="s">
        <v>1113</v>
      </c>
      <c r="D320" s="630">
        <v>65000</v>
      </c>
      <c r="F320" s="630">
        <v>37</v>
      </c>
      <c r="G320" s="630">
        <f t="shared" si="58"/>
        <v>28860000</v>
      </c>
      <c r="H320" s="2213"/>
    </row>
    <row r="321" spans="2:8">
      <c r="B321" s="3400"/>
      <c r="C321" s="630" t="s">
        <v>1114</v>
      </c>
      <c r="D321" s="630">
        <v>52300</v>
      </c>
      <c r="F321" s="630">
        <v>14</v>
      </c>
      <c r="G321" s="630">
        <f t="shared" si="58"/>
        <v>8786400</v>
      </c>
      <c r="H321" s="2213"/>
    </row>
    <row r="322" spans="2:8">
      <c r="B322" s="3400"/>
      <c r="C322" s="630" t="s">
        <v>1317</v>
      </c>
      <c r="D322" s="630">
        <v>56900</v>
      </c>
      <c r="F322" s="630">
        <v>1</v>
      </c>
      <c r="G322" s="630">
        <f t="shared" si="58"/>
        <v>682800</v>
      </c>
      <c r="H322" s="2213"/>
    </row>
    <row r="323" spans="2:8">
      <c r="B323" s="3400"/>
      <c r="F323" s="625">
        <f>SUM(F305:F322)</f>
        <v>387</v>
      </c>
      <c r="G323" s="625">
        <f>SUM(G305:G322)</f>
        <v>321162960</v>
      </c>
      <c r="H323" s="2213">
        <f>+G323/F323/100000/12</f>
        <v>0.69156537467700252</v>
      </c>
    </row>
    <row r="328" spans="2:8">
      <c r="B328" s="3401" t="s">
        <v>6861</v>
      </c>
      <c r="C328" s="2214" t="s">
        <v>494</v>
      </c>
      <c r="D328" s="630">
        <v>58500</v>
      </c>
      <c r="F328" s="630">
        <v>1</v>
      </c>
      <c r="G328" s="630">
        <f t="shared" ref="G328:G353" si="59">+(D328+E328)*F328*12</f>
        <v>702000</v>
      </c>
    </row>
    <row r="329" spans="2:8">
      <c r="B329" s="3401"/>
      <c r="C329" s="2214" t="s">
        <v>354</v>
      </c>
      <c r="D329" s="630">
        <v>41300</v>
      </c>
      <c r="F329" s="630">
        <v>122</v>
      </c>
      <c r="G329" s="630">
        <f t="shared" si="59"/>
        <v>60463200</v>
      </c>
    </row>
    <row r="330" spans="2:8">
      <c r="B330" s="3401"/>
      <c r="C330" s="2214" t="s">
        <v>355</v>
      </c>
      <c r="D330" s="630">
        <v>33210</v>
      </c>
      <c r="F330" s="630">
        <v>307</v>
      </c>
      <c r="G330" s="630">
        <f t="shared" si="59"/>
        <v>122345640</v>
      </c>
    </row>
    <row r="331" spans="2:8">
      <c r="B331" s="3401"/>
      <c r="C331" s="2214" t="s">
        <v>356</v>
      </c>
      <c r="D331" s="630">
        <v>30660</v>
      </c>
      <c r="F331" s="630">
        <v>460</v>
      </c>
      <c r="G331" s="630">
        <f t="shared" si="59"/>
        <v>169243200</v>
      </c>
    </row>
    <row r="332" spans="2:8">
      <c r="B332" s="3401"/>
      <c r="C332" s="2214" t="s">
        <v>357</v>
      </c>
      <c r="D332" s="630">
        <v>27760</v>
      </c>
      <c r="F332" s="630">
        <v>109</v>
      </c>
      <c r="G332" s="630">
        <f t="shared" si="59"/>
        <v>36310080</v>
      </c>
    </row>
    <row r="333" spans="2:8">
      <c r="B333" s="3401"/>
      <c r="C333" s="2214" t="s">
        <v>358</v>
      </c>
      <c r="D333" s="630">
        <v>30800</v>
      </c>
      <c r="F333" s="630">
        <v>122</v>
      </c>
      <c r="G333" s="630">
        <f t="shared" si="59"/>
        <v>45091200</v>
      </c>
    </row>
    <row r="334" spans="2:8">
      <c r="B334" s="3401"/>
      <c r="C334" s="2214" t="s">
        <v>5121</v>
      </c>
      <c r="D334" s="630">
        <v>33400</v>
      </c>
      <c r="F334" s="630">
        <v>1</v>
      </c>
      <c r="G334" s="630">
        <f t="shared" si="59"/>
        <v>400800</v>
      </c>
    </row>
    <row r="335" spans="2:8">
      <c r="B335" s="3401"/>
      <c r="C335" s="2214" t="s">
        <v>5331</v>
      </c>
      <c r="D335" s="630">
        <v>46100</v>
      </c>
      <c r="F335" s="630">
        <v>1</v>
      </c>
      <c r="G335" s="630">
        <f t="shared" si="59"/>
        <v>553200</v>
      </c>
    </row>
    <row r="336" spans="2:8">
      <c r="B336" s="3401"/>
      <c r="C336" s="2214" t="s">
        <v>5123</v>
      </c>
      <c r="D336" s="630">
        <v>46100</v>
      </c>
      <c r="F336" s="630">
        <v>1</v>
      </c>
      <c r="G336" s="630">
        <f t="shared" si="59"/>
        <v>553200</v>
      </c>
    </row>
    <row r="337" spans="2:7">
      <c r="B337" s="3401"/>
      <c r="C337" s="2214" t="s">
        <v>496</v>
      </c>
      <c r="D337" s="630">
        <v>0</v>
      </c>
      <c r="F337" s="630">
        <v>0</v>
      </c>
      <c r="G337" s="630">
        <f t="shared" si="59"/>
        <v>0</v>
      </c>
    </row>
    <row r="338" spans="2:7">
      <c r="B338" s="3401"/>
      <c r="C338" s="2214" t="s">
        <v>1055</v>
      </c>
      <c r="D338" s="630">
        <v>0</v>
      </c>
      <c r="F338" s="630">
        <v>0</v>
      </c>
      <c r="G338" s="630">
        <f t="shared" si="59"/>
        <v>0</v>
      </c>
    </row>
    <row r="339" spans="2:7">
      <c r="B339" s="3401"/>
      <c r="C339" s="2214" t="s">
        <v>1056</v>
      </c>
      <c r="D339" s="630">
        <v>48200</v>
      </c>
      <c r="F339" s="630">
        <v>1</v>
      </c>
      <c r="G339" s="630">
        <f t="shared" si="59"/>
        <v>578400</v>
      </c>
    </row>
    <row r="340" spans="2:7">
      <c r="B340" s="3401"/>
      <c r="C340" s="2214" t="s">
        <v>1057</v>
      </c>
      <c r="D340" s="630">
        <v>49000</v>
      </c>
      <c r="F340" s="630">
        <v>3</v>
      </c>
      <c r="G340" s="630">
        <f t="shared" si="59"/>
        <v>1764000</v>
      </c>
    </row>
    <row r="341" spans="2:7">
      <c r="B341" s="3401"/>
      <c r="C341" s="2214" t="s">
        <v>358</v>
      </c>
      <c r="G341" s="630">
        <f t="shared" si="59"/>
        <v>0</v>
      </c>
    </row>
    <row r="342" spans="2:7">
      <c r="B342" s="3401"/>
      <c r="C342" s="2214" t="s">
        <v>359</v>
      </c>
      <c r="D342" s="630">
        <v>54600</v>
      </c>
      <c r="F342" s="630">
        <v>3</v>
      </c>
      <c r="G342" s="630">
        <f t="shared" si="59"/>
        <v>1965600</v>
      </c>
    </row>
    <row r="343" spans="2:7">
      <c r="B343" s="3401"/>
      <c r="C343" s="2214" t="s">
        <v>360</v>
      </c>
      <c r="D343" s="630">
        <v>47300</v>
      </c>
      <c r="F343" s="630">
        <v>7</v>
      </c>
      <c r="G343" s="630">
        <f t="shared" si="59"/>
        <v>3973200</v>
      </c>
    </row>
    <row r="344" spans="2:7">
      <c r="B344" s="3401"/>
      <c r="C344" s="2214" t="s">
        <v>361</v>
      </c>
      <c r="G344" s="630">
        <f t="shared" si="59"/>
        <v>0</v>
      </c>
    </row>
    <row r="345" spans="2:7">
      <c r="B345" s="3401"/>
      <c r="C345" s="2214" t="s">
        <v>5332</v>
      </c>
      <c r="D345" s="630">
        <v>33700</v>
      </c>
      <c r="F345" s="630">
        <v>292</v>
      </c>
      <c r="G345" s="630">
        <f t="shared" si="59"/>
        <v>118084800</v>
      </c>
    </row>
    <row r="346" spans="2:7">
      <c r="B346" s="3401"/>
      <c r="C346" s="2214" t="s">
        <v>132</v>
      </c>
      <c r="G346" s="630">
        <f t="shared" si="59"/>
        <v>0</v>
      </c>
    </row>
    <row r="347" spans="2:7">
      <c r="B347" s="3401"/>
      <c r="C347" s="2214" t="s">
        <v>5333</v>
      </c>
      <c r="D347" s="630">
        <v>60200</v>
      </c>
      <c r="F347" s="630">
        <v>6</v>
      </c>
      <c r="G347" s="630">
        <f t="shared" si="59"/>
        <v>4334400</v>
      </c>
    </row>
    <row r="348" spans="2:7">
      <c r="B348" s="3401"/>
      <c r="C348" s="2214" t="s">
        <v>5334</v>
      </c>
      <c r="D348" s="630">
        <v>47000</v>
      </c>
      <c r="F348" s="630">
        <v>41</v>
      </c>
      <c r="G348" s="630">
        <f t="shared" si="59"/>
        <v>23124000</v>
      </c>
    </row>
    <row r="349" spans="2:7">
      <c r="B349" s="3401"/>
      <c r="C349" s="2214" t="s">
        <v>134</v>
      </c>
      <c r="D349" s="630">
        <v>52200</v>
      </c>
      <c r="F349" s="630">
        <v>41</v>
      </c>
      <c r="G349" s="630">
        <f t="shared" si="59"/>
        <v>25682400</v>
      </c>
    </row>
    <row r="350" spans="2:7">
      <c r="B350" s="3401"/>
      <c r="C350" s="2214" t="s">
        <v>135</v>
      </c>
      <c r="D350" s="630">
        <v>40000</v>
      </c>
      <c r="F350" s="630">
        <v>6</v>
      </c>
      <c r="G350" s="630">
        <f t="shared" si="59"/>
        <v>2880000</v>
      </c>
    </row>
    <row r="351" spans="2:7">
      <c r="B351" s="3401"/>
      <c r="C351" s="2214" t="s">
        <v>492</v>
      </c>
      <c r="D351" s="630">
        <v>35000</v>
      </c>
      <c r="F351" s="630">
        <v>46</v>
      </c>
      <c r="G351" s="630">
        <f t="shared" si="59"/>
        <v>19320000</v>
      </c>
    </row>
    <row r="352" spans="2:7">
      <c r="B352" s="3401"/>
      <c r="C352" s="2214"/>
      <c r="F352" s="630">
        <v>0</v>
      </c>
      <c r="G352" s="630">
        <f t="shared" si="59"/>
        <v>0</v>
      </c>
    </row>
    <row r="353" spans="2:10" ht="16" thickBot="1">
      <c r="B353" s="3401"/>
      <c r="C353" s="2215" t="s">
        <v>493</v>
      </c>
      <c r="D353" s="2216">
        <v>36100</v>
      </c>
      <c r="E353" s="2216"/>
      <c r="F353" s="2216">
        <v>12</v>
      </c>
      <c r="G353" s="2216">
        <f t="shared" si="59"/>
        <v>5198400</v>
      </c>
      <c r="H353" s="2216"/>
    </row>
    <row r="354" spans="2:10">
      <c r="B354" s="3401"/>
      <c r="E354" s="625" t="s">
        <v>1100</v>
      </c>
      <c r="F354" s="625">
        <f>SUM(F328:F353)</f>
        <v>1582</v>
      </c>
      <c r="G354" s="625">
        <f>SUM(G328:G353)</f>
        <v>642567720</v>
      </c>
      <c r="H354" s="630">
        <f>+G354/F354/100000/12</f>
        <v>0.33847857142857146</v>
      </c>
    </row>
    <row r="355" spans="2:10">
      <c r="B355" s="3401"/>
      <c r="G355" s="630">
        <f>+G354/F354</f>
        <v>406174.28571428574</v>
      </c>
    </row>
    <row r="357" spans="2:10">
      <c r="B357" s="634" t="s">
        <v>6862</v>
      </c>
      <c r="C357" s="634" t="s">
        <v>428</v>
      </c>
      <c r="D357" s="634" t="s">
        <v>1247</v>
      </c>
      <c r="E357" s="634"/>
      <c r="F357" s="634"/>
      <c r="G357" s="634"/>
      <c r="H357" s="634"/>
      <c r="I357" s="634" t="s">
        <v>6863</v>
      </c>
      <c r="J357" s="634"/>
    </row>
    <row r="358" spans="2:10">
      <c r="B358" s="3402" t="s">
        <v>6864</v>
      </c>
      <c r="C358" s="634"/>
      <c r="D358" s="634" t="s">
        <v>3639</v>
      </c>
      <c r="E358" s="634" t="s">
        <v>463</v>
      </c>
      <c r="F358" s="634" t="s">
        <v>112</v>
      </c>
      <c r="G358" s="634" t="s">
        <v>672</v>
      </c>
      <c r="H358" s="634"/>
      <c r="I358" s="634" t="s">
        <v>6865</v>
      </c>
      <c r="J358" s="634" t="s">
        <v>6866</v>
      </c>
    </row>
    <row r="359" spans="2:10">
      <c r="B359" s="3403"/>
      <c r="C359" s="634"/>
      <c r="D359" s="634"/>
      <c r="E359" s="634"/>
      <c r="F359" s="634"/>
      <c r="G359" s="634" t="s">
        <v>6865</v>
      </c>
      <c r="H359" s="634" t="s">
        <v>6866</v>
      </c>
      <c r="I359" s="634"/>
      <c r="J359" s="634"/>
    </row>
    <row r="360" spans="2:10">
      <c r="B360" s="3403"/>
      <c r="C360" s="634" t="s">
        <v>6867</v>
      </c>
      <c r="D360" s="634">
        <v>25</v>
      </c>
      <c r="E360" s="634">
        <v>144</v>
      </c>
      <c r="F360" s="634">
        <v>95</v>
      </c>
      <c r="G360" s="634">
        <v>26166000</v>
      </c>
      <c r="H360" s="634">
        <v>66072113.799999997</v>
      </c>
      <c r="I360" s="634">
        <v>13083000</v>
      </c>
      <c r="J360" s="634">
        <v>33036056.899999999</v>
      </c>
    </row>
    <row r="361" spans="2:10">
      <c r="B361" s="3403"/>
      <c r="C361" s="634" t="s">
        <v>6868</v>
      </c>
      <c r="D361" s="634">
        <v>19</v>
      </c>
      <c r="E361" s="634">
        <v>972</v>
      </c>
      <c r="F361" s="634">
        <v>729</v>
      </c>
      <c r="G361" s="634">
        <v>171628893.995</v>
      </c>
      <c r="H361" s="634">
        <v>363853255.2694</v>
      </c>
      <c r="I361" s="634" t="s">
        <v>6869</v>
      </c>
      <c r="J361" s="634" t="s">
        <v>6869</v>
      </c>
    </row>
    <row r="362" spans="2:10">
      <c r="B362" s="3403"/>
      <c r="C362" s="634" t="s">
        <v>6870</v>
      </c>
      <c r="D362" s="634">
        <v>155</v>
      </c>
      <c r="E362" s="634">
        <v>1876</v>
      </c>
      <c r="F362" s="634">
        <v>1900</v>
      </c>
      <c r="G362" s="634">
        <v>354202970.30415601</v>
      </c>
      <c r="H362" s="634">
        <v>743393474.69000006</v>
      </c>
      <c r="I362" s="634">
        <v>91795054.355723858</v>
      </c>
      <c r="J362" s="634">
        <v>192656481.60811451</v>
      </c>
    </row>
    <row r="363" spans="2:10">
      <c r="B363" s="3403"/>
      <c r="C363" s="634" t="s">
        <v>6871</v>
      </c>
      <c r="D363" s="634"/>
      <c r="E363" s="634"/>
      <c r="F363" s="634"/>
      <c r="G363" s="634"/>
      <c r="H363" s="634"/>
      <c r="I363" s="634" t="s">
        <v>6872</v>
      </c>
      <c r="J363" s="634" t="s">
        <v>6873</v>
      </c>
    </row>
    <row r="364" spans="2:10">
      <c r="B364" s="3404"/>
      <c r="C364" s="634"/>
      <c r="D364" s="634"/>
      <c r="E364" s="634"/>
      <c r="F364" s="634"/>
      <c r="G364" s="634">
        <v>551997864.29915595</v>
      </c>
      <c r="H364" s="634">
        <v>1173318843.7594001</v>
      </c>
      <c r="I364" s="634">
        <v>104878054.35572386</v>
      </c>
      <c r="J364" s="634">
        <v>225692538.50811452</v>
      </c>
    </row>
  </sheetData>
  <mergeCells count="56">
    <mergeCell ref="M147:R147"/>
    <mergeCell ref="J126:K126"/>
    <mergeCell ref="H7:I7"/>
    <mergeCell ref="M7:N7"/>
    <mergeCell ref="O117:Q117"/>
    <mergeCell ref="M137:R137"/>
    <mergeCell ref="Y6:AC6"/>
    <mergeCell ref="Y7:Z7"/>
    <mergeCell ref="AA7:AB7"/>
    <mergeCell ref="C181:D181"/>
    <mergeCell ref="C76:F76"/>
    <mergeCell ref="H76:K76"/>
    <mergeCell ref="J117:M117"/>
    <mergeCell ref="M76:P76"/>
    <mergeCell ref="O167:P167"/>
    <mergeCell ref="K157:L157"/>
    <mergeCell ref="I157:J157"/>
    <mergeCell ref="M167:N167"/>
    <mergeCell ref="H127:I127"/>
    <mergeCell ref="I167:J167"/>
    <mergeCell ref="K167:L167"/>
    <mergeCell ref="I148:I153"/>
    <mergeCell ref="A4:Q4"/>
    <mergeCell ref="A2:Q2"/>
    <mergeCell ref="T6:X6"/>
    <mergeCell ref="V7:W7"/>
    <mergeCell ref="T7:U7"/>
    <mergeCell ref="C6:G6"/>
    <mergeCell ref="E7:F7"/>
    <mergeCell ref="C7:D7"/>
    <mergeCell ref="S6:S8"/>
    <mergeCell ref="M6:Q6"/>
    <mergeCell ref="O7:P7"/>
    <mergeCell ref="H6:L6"/>
    <mergeCell ref="J7:K7"/>
    <mergeCell ref="B292:B302"/>
    <mergeCell ref="B303:B323"/>
    <mergeCell ref="B328:B355"/>
    <mergeCell ref="B358:B364"/>
    <mergeCell ref="BB13:BF13"/>
    <mergeCell ref="AL14:AL15"/>
    <mergeCell ref="AM14:AO14"/>
    <mergeCell ref="AP14:AR14"/>
    <mergeCell ref="AU14:AW14"/>
    <mergeCell ref="BB14:BD14"/>
    <mergeCell ref="I146:I147"/>
    <mergeCell ref="C298:G298"/>
    <mergeCell ref="G299:H299"/>
    <mergeCell ref="D303:E303"/>
    <mergeCell ref="H126:I126"/>
    <mergeCell ref="L126:M126"/>
    <mergeCell ref="BL14:BL15"/>
    <mergeCell ref="BO14:BP14"/>
    <mergeCell ref="BQ14:BV14"/>
    <mergeCell ref="BW14:CB14"/>
    <mergeCell ref="CD14:CI14"/>
  </mergeCells>
  <phoneticPr fontId="0" type="noConversion"/>
  <printOptions horizontalCentered="1"/>
  <pageMargins left="0.43306977252843393" right="0.27558945756780401" top="0.39370078740157483" bottom="0.32" header="0.31496062992125984" footer="0.31496062992125984"/>
  <pageSetup paperSize="9" scale="58" orientation="landscape" r:id="rId1"/>
  <headerFooter alignWithMargins="0">
    <oddFooter>&amp;R&amp;12OERC FORM- No. F-12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930AA-5642-4B54-816B-324C0A5260A3}">
  <sheetPr>
    <tabColor rgb="FF92D050"/>
    <pageSetUpPr fitToPage="1"/>
  </sheetPr>
  <dimension ref="A1:Q25"/>
  <sheetViews>
    <sheetView view="pageBreakPreview" zoomScale="60" zoomScaleNormal="82" workbookViewId="0">
      <selection activeCell="D13" sqref="D13"/>
    </sheetView>
  </sheetViews>
  <sheetFormatPr defaultRowHeight="12.5"/>
  <cols>
    <col min="2" max="2" width="29.54296875" customWidth="1"/>
    <col min="3" max="17" width="13.7265625" customWidth="1"/>
  </cols>
  <sheetData>
    <row r="1" spans="1:17" ht="15.5">
      <c r="A1" s="1580" t="s">
        <v>5525</v>
      </c>
      <c r="B1" s="629"/>
      <c r="C1" s="625"/>
      <c r="D1" s="625"/>
      <c r="E1" s="625"/>
      <c r="F1" s="625"/>
      <c r="G1" s="2117"/>
      <c r="H1" s="2118"/>
      <c r="I1" s="630"/>
      <c r="J1" s="630"/>
      <c r="K1" s="630"/>
      <c r="L1" s="638"/>
      <c r="M1" s="630"/>
      <c r="N1" s="630"/>
      <c r="O1" s="631"/>
      <c r="P1" s="625"/>
      <c r="Q1" s="630"/>
    </row>
    <row r="2" spans="1:17" ht="15">
      <c r="A2" s="3394" t="s">
        <v>8357</v>
      </c>
      <c r="B2" s="3394"/>
      <c r="C2" s="3394"/>
      <c r="D2" s="3394"/>
      <c r="E2" s="3394"/>
      <c r="F2" s="3394"/>
      <c r="G2" s="3394"/>
      <c r="H2" s="3394"/>
      <c r="I2" s="3394"/>
      <c r="J2" s="3394"/>
      <c r="K2" s="3394"/>
      <c r="L2" s="3394"/>
      <c r="M2" s="3394"/>
      <c r="N2" s="3394"/>
      <c r="O2" s="3394"/>
      <c r="P2" s="3394"/>
      <c r="Q2" s="3394"/>
    </row>
    <row r="3" spans="1:17" ht="15.5">
      <c r="A3" s="674"/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</row>
    <row r="4" spans="1:17" ht="15">
      <c r="A4" s="3394" t="s">
        <v>8366</v>
      </c>
      <c r="B4" s="3394"/>
      <c r="C4" s="3394"/>
      <c r="D4" s="3394"/>
      <c r="E4" s="3394"/>
      <c r="F4" s="3394"/>
      <c r="G4" s="3394"/>
      <c r="H4" s="3394"/>
      <c r="I4" s="3394"/>
      <c r="J4" s="3394"/>
      <c r="K4" s="3394"/>
      <c r="L4" s="3394"/>
      <c r="M4" s="3394"/>
      <c r="N4" s="3394"/>
      <c r="O4" s="3394"/>
      <c r="P4" s="3394"/>
      <c r="Q4" s="3394"/>
    </row>
    <row r="5" spans="1:17" ht="16" thickBot="1">
      <c r="A5" s="674"/>
      <c r="B5" s="625"/>
      <c r="C5" s="630"/>
      <c r="D5" s="630"/>
      <c r="E5" s="630"/>
      <c r="F5" s="630"/>
      <c r="G5" s="2117"/>
      <c r="H5" s="651"/>
      <c r="I5" s="630"/>
      <c r="J5" s="630"/>
      <c r="K5" s="651"/>
      <c r="L5" s="651"/>
      <c r="M5" s="630"/>
      <c r="N5" s="630"/>
      <c r="O5" s="630"/>
      <c r="P5" s="625" t="s">
        <v>4044</v>
      </c>
      <c r="Q5" s="630"/>
    </row>
    <row r="6" spans="1:17" ht="15.5">
      <c r="A6" s="2119"/>
      <c r="B6" s="2120"/>
      <c r="C6" s="3430" t="s">
        <v>8351</v>
      </c>
      <c r="D6" s="3430"/>
      <c r="E6" s="3430"/>
      <c r="F6" s="3430"/>
      <c r="G6" s="3430"/>
      <c r="H6" s="3419" t="s">
        <v>8352</v>
      </c>
      <c r="I6" s="3419"/>
      <c r="J6" s="3419"/>
      <c r="K6" s="3419"/>
      <c r="L6" s="3419"/>
      <c r="M6" s="3419" t="s">
        <v>8353</v>
      </c>
      <c r="N6" s="3419"/>
      <c r="O6" s="3419"/>
      <c r="P6" s="3419"/>
      <c r="Q6" s="3422"/>
    </row>
    <row r="7" spans="1:17" ht="15">
      <c r="A7" s="2121" t="s">
        <v>615</v>
      </c>
      <c r="B7" s="747" t="s">
        <v>895</v>
      </c>
      <c r="C7" s="3431" t="s">
        <v>616</v>
      </c>
      <c r="D7" s="3431"/>
      <c r="E7" s="3431" t="s">
        <v>617</v>
      </c>
      <c r="F7" s="3431"/>
      <c r="G7" s="3036" t="s">
        <v>1100</v>
      </c>
      <c r="H7" s="3325" t="s">
        <v>616</v>
      </c>
      <c r="I7" s="3325"/>
      <c r="J7" s="3325" t="s">
        <v>617</v>
      </c>
      <c r="K7" s="3325"/>
      <c r="L7" s="747" t="s">
        <v>1100</v>
      </c>
      <c r="M7" s="3325" t="s">
        <v>616</v>
      </c>
      <c r="N7" s="3325"/>
      <c r="O7" s="3325" t="s">
        <v>617</v>
      </c>
      <c r="P7" s="3325"/>
      <c r="Q7" s="678" t="s">
        <v>1100</v>
      </c>
    </row>
    <row r="8" spans="1:17" ht="15.5">
      <c r="A8" s="646"/>
      <c r="B8" s="2093" t="s">
        <v>8354</v>
      </c>
      <c r="C8" s="1370" t="s">
        <v>5113</v>
      </c>
      <c r="D8" s="1370" t="s">
        <v>619</v>
      </c>
      <c r="E8" s="1370" t="s">
        <v>5114</v>
      </c>
      <c r="F8" s="1370" t="s">
        <v>619</v>
      </c>
      <c r="G8" s="1370" t="s">
        <v>5329</v>
      </c>
      <c r="H8" s="747" t="s">
        <v>5113</v>
      </c>
      <c r="I8" s="747" t="s">
        <v>619</v>
      </c>
      <c r="J8" s="747" t="s">
        <v>5113</v>
      </c>
      <c r="K8" s="747" t="s">
        <v>619</v>
      </c>
      <c r="L8" s="747" t="s">
        <v>5482</v>
      </c>
      <c r="M8" s="747" t="s">
        <v>5113</v>
      </c>
      <c r="N8" s="747" t="s">
        <v>619</v>
      </c>
      <c r="O8" s="747" t="s">
        <v>5113</v>
      </c>
      <c r="P8" s="747" t="s">
        <v>619</v>
      </c>
      <c r="Q8" s="678" t="s">
        <v>7996</v>
      </c>
    </row>
    <row r="9" spans="1:17">
      <c r="C9" s="599"/>
      <c r="D9" s="599"/>
      <c r="E9" s="599"/>
      <c r="F9" s="599"/>
      <c r="G9" s="599"/>
    </row>
    <row r="10" spans="1:17" ht="15">
      <c r="A10" s="12"/>
      <c r="B10" s="2093" t="s">
        <v>8355</v>
      </c>
      <c r="C10" s="12">
        <v>237</v>
      </c>
      <c r="D10" s="12">
        <f>G10-C10</f>
        <v>238</v>
      </c>
      <c r="E10" s="12"/>
      <c r="F10" s="12"/>
      <c r="G10" s="12">
        <v>475</v>
      </c>
      <c r="H10" s="12">
        <v>501</v>
      </c>
      <c r="I10" s="12">
        <f>L10-H10</f>
        <v>502</v>
      </c>
      <c r="J10" s="12"/>
      <c r="K10" s="12"/>
      <c r="L10" s="12">
        <v>1003</v>
      </c>
      <c r="M10" s="12">
        <v>764</v>
      </c>
      <c r="N10" s="12">
        <f>Q10-M10</f>
        <v>765</v>
      </c>
      <c r="O10" s="12"/>
      <c r="P10" s="12"/>
      <c r="Q10" s="12">
        <v>1529</v>
      </c>
    </row>
    <row r="11" spans="1:17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</row>
    <row r="12" spans="1:17" s="44" customFormat="1" ht="23.5" customHeight="1">
      <c r="A12" s="3118">
        <v>1</v>
      </c>
      <c r="B12" s="3058" t="s">
        <v>8359</v>
      </c>
      <c r="C12" s="2859"/>
      <c r="D12" s="2859"/>
      <c r="E12" s="2859"/>
      <c r="F12" s="2859"/>
      <c r="G12" s="2859"/>
      <c r="H12" s="2859"/>
      <c r="I12" s="2859"/>
      <c r="J12" s="2859"/>
      <c r="K12" s="2859"/>
      <c r="L12" s="2859"/>
      <c r="M12" s="2859"/>
      <c r="N12" s="2859"/>
      <c r="O12" s="2859"/>
      <c r="P12" s="2859"/>
      <c r="Q12" s="2859"/>
    </row>
    <row r="13" spans="1:17" s="44" customFormat="1" ht="23.5" customHeight="1">
      <c r="A13" s="3118">
        <v>2</v>
      </c>
      <c r="B13" s="3058" t="s">
        <v>8360</v>
      </c>
      <c r="C13" s="2046">
        <f>G13/G10*C10</f>
        <v>14.210607037875789</v>
      </c>
      <c r="D13" s="2860">
        <f>G13/G10*D10</f>
        <v>14.27056740512421</v>
      </c>
      <c r="E13" s="2859"/>
      <c r="F13" s="2859"/>
      <c r="G13" s="2046">
        <v>28.481174442999997</v>
      </c>
      <c r="H13" s="2046">
        <f>L13/L10*H10</f>
        <v>33.742170079061815</v>
      </c>
      <c r="I13" s="2860">
        <f>L13/L10*I10</f>
        <v>33.80951971993818</v>
      </c>
      <c r="J13" s="2860">
        <f>M13/M10*J10</f>
        <v>0</v>
      </c>
      <c r="K13" s="2859"/>
      <c r="L13" s="2860">
        <v>67.551689798999988</v>
      </c>
      <c r="M13" s="2046">
        <f>Q13/Q10*M10</f>
        <v>43.004476968613737</v>
      </c>
      <c r="N13" s="2860">
        <f>Q13/Q10*N10</f>
        <v>43.060765551033391</v>
      </c>
      <c r="O13" s="2859"/>
      <c r="P13" s="2859"/>
      <c r="Q13" s="2860">
        <v>86.065242519647128</v>
      </c>
    </row>
    <row r="14" spans="1:17" s="44" customFormat="1" ht="23.5" customHeight="1">
      <c r="A14" s="3118">
        <v>3</v>
      </c>
      <c r="B14" s="3058" t="s">
        <v>8361</v>
      </c>
      <c r="C14" s="2046">
        <f>G14/G10*C10</f>
        <v>4.865988401684211</v>
      </c>
      <c r="D14" s="2860">
        <f>G14/G10*D10</f>
        <v>4.8865199983157899</v>
      </c>
      <c r="E14" s="2859"/>
      <c r="F14" s="2859"/>
      <c r="G14" s="2046">
        <v>9.7525084</v>
      </c>
      <c r="H14" s="2046">
        <f>L14/L10*H10</f>
        <v>9.9928393064805565</v>
      </c>
      <c r="I14" s="2860">
        <f>L14/L10*I10</f>
        <v>10.01278509351944</v>
      </c>
      <c r="J14" s="2860">
        <f>M14/M10*J10</f>
        <v>0</v>
      </c>
      <c r="K14" s="2859"/>
      <c r="L14" s="2860">
        <v>20.005624399999999</v>
      </c>
      <c r="M14" s="2046">
        <f>Q14/Q10*M10</f>
        <v>12.735897744563497</v>
      </c>
      <c r="N14" s="2860">
        <f>Q14/Q10*N10</f>
        <v>12.752567767789365</v>
      </c>
      <c r="O14" s="2859"/>
      <c r="P14" s="2859"/>
      <c r="Q14" s="2046">
        <v>25.48846551235286</v>
      </c>
    </row>
    <row r="15" spans="1:17" s="44" customFormat="1" ht="23.5" customHeight="1">
      <c r="A15" s="3118">
        <v>4</v>
      </c>
      <c r="B15" s="3058" t="s">
        <v>8362</v>
      </c>
      <c r="C15" s="3127">
        <f>C13+C14</f>
        <v>19.076595439560002</v>
      </c>
      <c r="D15" s="3127">
        <f>D13+D14</f>
        <v>19.157087403439998</v>
      </c>
      <c r="E15" s="2859"/>
      <c r="F15" s="2859"/>
      <c r="G15" s="3127">
        <f>G13+G14</f>
        <v>38.233682842999997</v>
      </c>
      <c r="H15" s="3127">
        <f>H13+H14</f>
        <v>43.735009385542369</v>
      </c>
      <c r="I15" s="3127">
        <f>I13+I14</f>
        <v>43.82230481345762</v>
      </c>
      <c r="J15" s="2859"/>
      <c r="K15" s="2859"/>
      <c r="L15" s="3127">
        <f>L13+L14</f>
        <v>87.55731419899999</v>
      </c>
      <c r="M15" s="3127">
        <f>M13+M14</f>
        <v>55.740374713177232</v>
      </c>
      <c r="N15" s="3127">
        <f>N13+N14</f>
        <v>55.813333318822757</v>
      </c>
      <c r="O15" s="2859"/>
      <c r="P15" s="2859"/>
      <c r="Q15" s="3127">
        <f>Q13+Q14</f>
        <v>111.55370803199999</v>
      </c>
    </row>
    <row r="16" spans="1:17" s="44" customFormat="1" ht="23.5" customHeight="1">
      <c r="A16" s="3118">
        <v>5</v>
      </c>
      <c r="B16" s="3058" t="s">
        <v>8363</v>
      </c>
      <c r="C16" s="2046">
        <v>0</v>
      </c>
      <c r="D16" s="2046">
        <v>0</v>
      </c>
      <c r="E16" s="2859"/>
      <c r="F16" s="2859"/>
      <c r="G16" s="2046">
        <v>0</v>
      </c>
      <c r="H16" s="2046">
        <v>0</v>
      </c>
      <c r="I16" s="2046">
        <v>0</v>
      </c>
      <c r="J16" s="2859"/>
      <c r="K16" s="2859"/>
      <c r="L16" s="2046">
        <v>0</v>
      </c>
      <c r="M16" s="2046">
        <v>0</v>
      </c>
      <c r="N16" s="2046">
        <v>0</v>
      </c>
      <c r="O16" s="2859"/>
      <c r="P16" s="2859"/>
      <c r="Q16" s="2046">
        <v>0</v>
      </c>
    </row>
    <row r="17" spans="1:17" s="44" customFormat="1" ht="23.5" customHeight="1">
      <c r="A17" s="3118">
        <v>6</v>
      </c>
      <c r="B17" s="3058" t="s">
        <v>8364</v>
      </c>
      <c r="C17" s="3127">
        <f>C15-C16</f>
        <v>19.076595439560002</v>
      </c>
      <c r="D17" s="3127">
        <f>D15-D16</f>
        <v>19.157087403439998</v>
      </c>
      <c r="E17" s="2859"/>
      <c r="F17" s="2859"/>
      <c r="G17" s="3127">
        <f>G15-G16</f>
        <v>38.233682842999997</v>
      </c>
      <c r="H17" s="3127">
        <f>H15-H16</f>
        <v>43.735009385542369</v>
      </c>
      <c r="I17" s="3127">
        <f>I15-I16</f>
        <v>43.82230481345762</v>
      </c>
      <c r="J17" s="2859"/>
      <c r="K17" s="2859"/>
      <c r="L17" s="3127">
        <f>L15-L16</f>
        <v>87.55731419899999</v>
      </c>
      <c r="M17" s="3127">
        <f>M15-M16</f>
        <v>55.740374713177232</v>
      </c>
      <c r="N17" s="3127">
        <f>N15-N16</f>
        <v>55.813333318822757</v>
      </c>
      <c r="O17" s="2859"/>
      <c r="P17" s="2859"/>
      <c r="Q17" s="3127">
        <f>Q15-Q16</f>
        <v>111.55370803199999</v>
      </c>
    </row>
    <row r="25" spans="1:17" ht="13">
      <c r="F25" s="325">
        <f>F23+F24</f>
        <v>0</v>
      </c>
    </row>
  </sheetData>
  <mergeCells count="11">
    <mergeCell ref="O7:P7"/>
    <mergeCell ref="A2:Q2"/>
    <mergeCell ref="A4:Q4"/>
    <mergeCell ref="C6:G6"/>
    <mergeCell ref="H6:L6"/>
    <mergeCell ref="M6:Q6"/>
    <mergeCell ref="C7:D7"/>
    <mergeCell ref="E7:F7"/>
    <mergeCell ref="H7:I7"/>
    <mergeCell ref="J7:K7"/>
    <mergeCell ref="M7:N7"/>
  </mergeCells>
  <printOptions horizontalCentered="1"/>
  <pageMargins left="0.7" right="0.7" top="0.75" bottom="0.75" header="0.3" footer="0.3"/>
  <pageSetup scale="51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C63D-7D3A-473F-8F1B-EDD784688132}">
  <sheetPr>
    <tabColor rgb="FF92D050"/>
    <pageSetUpPr fitToPage="1"/>
  </sheetPr>
  <dimension ref="A1:Q23"/>
  <sheetViews>
    <sheetView view="pageBreakPreview" zoomScale="60" zoomScaleNormal="75" workbookViewId="0">
      <selection activeCell="D13" sqref="D13"/>
    </sheetView>
  </sheetViews>
  <sheetFormatPr defaultRowHeight="12.5"/>
  <cols>
    <col min="2" max="2" width="51.453125" customWidth="1"/>
    <col min="3" max="17" width="13.7265625" customWidth="1"/>
  </cols>
  <sheetData>
    <row r="1" spans="1:17" ht="15.5">
      <c r="A1" s="1580" t="s">
        <v>5525</v>
      </c>
      <c r="B1" s="629"/>
      <c r="C1" s="625"/>
      <c r="D1" s="625"/>
      <c r="E1" s="625"/>
      <c r="F1" s="625"/>
      <c r="G1" s="2117"/>
      <c r="H1" s="2118"/>
      <c r="I1" s="630"/>
      <c r="J1" s="630"/>
      <c r="K1" s="630"/>
      <c r="L1" s="638"/>
      <c r="M1" s="630"/>
      <c r="N1" s="630"/>
      <c r="O1" s="631"/>
      <c r="P1" s="625"/>
      <c r="Q1" s="630"/>
    </row>
    <row r="2" spans="1:17" ht="15">
      <c r="A2" s="3394" t="s">
        <v>8357</v>
      </c>
      <c r="B2" s="3394"/>
      <c r="C2" s="3394"/>
      <c r="D2" s="3394"/>
      <c r="E2" s="3394"/>
      <c r="F2" s="3394"/>
      <c r="G2" s="3394"/>
      <c r="H2" s="3394"/>
      <c r="I2" s="3394"/>
      <c r="J2" s="3394"/>
      <c r="K2" s="3394"/>
      <c r="L2" s="3394"/>
      <c r="M2" s="3394"/>
      <c r="N2" s="3394"/>
      <c r="O2" s="3394"/>
      <c r="P2" s="3394"/>
      <c r="Q2" s="3394"/>
    </row>
    <row r="3" spans="1:17" ht="15.5">
      <c r="A3" s="674"/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</row>
    <row r="4" spans="1:17" ht="15">
      <c r="A4" s="3394" t="s">
        <v>8367</v>
      </c>
      <c r="B4" s="3394"/>
      <c r="C4" s="3394"/>
      <c r="D4" s="3394"/>
      <c r="E4" s="3394"/>
      <c r="F4" s="3394"/>
      <c r="G4" s="3394"/>
      <c r="H4" s="3394"/>
      <c r="I4" s="3394"/>
      <c r="J4" s="3394"/>
      <c r="K4" s="3394"/>
      <c r="L4" s="3394"/>
      <c r="M4" s="3394"/>
      <c r="N4" s="3394"/>
      <c r="O4" s="3394"/>
      <c r="P4" s="3394"/>
      <c r="Q4" s="3394"/>
    </row>
    <row r="5" spans="1:17" ht="16" thickBot="1">
      <c r="A5" s="674"/>
      <c r="B5" s="625"/>
      <c r="C5" s="630"/>
      <c r="D5" s="630"/>
      <c r="E5" s="630"/>
      <c r="F5" s="630"/>
      <c r="G5" s="2117"/>
      <c r="H5" s="651"/>
      <c r="I5" s="630"/>
      <c r="J5" s="630"/>
      <c r="K5" s="651"/>
      <c r="L5" s="651"/>
      <c r="M5" s="630"/>
      <c r="N5" s="630"/>
      <c r="O5" s="630"/>
      <c r="P5" s="625" t="s">
        <v>4044</v>
      </c>
      <c r="Q5" s="630"/>
    </row>
    <row r="6" spans="1:17" ht="15.5">
      <c r="A6" s="2119"/>
      <c r="B6" s="2120"/>
      <c r="C6" s="3430" t="s">
        <v>8351</v>
      </c>
      <c r="D6" s="3430"/>
      <c r="E6" s="3430"/>
      <c r="F6" s="3430"/>
      <c r="G6" s="3430"/>
      <c r="H6" s="3419" t="s">
        <v>8352</v>
      </c>
      <c r="I6" s="3419"/>
      <c r="J6" s="3419"/>
      <c r="K6" s="3419"/>
      <c r="L6" s="3419"/>
      <c r="M6" s="3419" t="s">
        <v>8353</v>
      </c>
      <c r="N6" s="3419"/>
      <c r="O6" s="3419"/>
      <c r="P6" s="3419"/>
      <c r="Q6" s="3422"/>
    </row>
    <row r="7" spans="1:17" ht="15">
      <c r="A7" s="2121" t="s">
        <v>615</v>
      </c>
      <c r="B7" s="747" t="s">
        <v>895</v>
      </c>
      <c r="C7" s="3431" t="s">
        <v>616</v>
      </c>
      <c r="D7" s="3431"/>
      <c r="E7" s="3431" t="s">
        <v>617</v>
      </c>
      <c r="F7" s="3431"/>
      <c r="G7" s="3036" t="s">
        <v>1100</v>
      </c>
      <c r="H7" s="3325" t="s">
        <v>616</v>
      </c>
      <c r="I7" s="3325"/>
      <c r="J7" s="3325" t="s">
        <v>617</v>
      </c>
      <c r="K7" s="3325"/>
      <c r="L7" s="747" t="s">
        <v>1100</v>
      </c>
      <c r="M7" s="3325" t="s">
        <v>616</v>
      </c>
      <c r="N7" s="3325"/>
      <c r="O7" s="3325" t="s">
        <v>617</v>
      </c>
      <c r="P7" s="3325"/>
      <c r="Q7" s="678" t="s">
        <v>1100</v>
      </c>
    </row>
    <row r="8" spans="1:17" ht="15.5">
      <c r="A8" s="646"/>
      <c r="B8" s="2093" t="s">
        <v>8354</v>
      </c>
      <c r="C8" s="1370" t="s">
        <v>5113</v>
      </c>
      <c r="D8" s="1370" t="s">
        <v>619</v>
      </c>
      <c r="E8" s="1370" t="s">
        <v>5114</v>
      </c>
      <c r="F8" s="1370" t="s">
        <v>619</v>
      </c>
      <c r="G8" s="1370" t="s">
        <v>5329</v>
      </c>
      <c r="H8" s="747" t="s">
        <v>5113</v>
      </c>
      <c r="I8" s="747" t="s">
        <v>619</v>
      </c>
      <c r="J8" s="747" t="s">
        <v>5113</v>
      </c>
      <c r="K8" s="747" t="s">
        <v>619</v>
      </c>
      <c r="L8" s="747" t="s">
        <v>5482</v>
      </c>
      <c r="M8" s="747" t="s">
        <v>5113</v>
      </c>
      <c r="N8" s="747" t="s">
        <v>619</v>
      </c>
      <c r="O8" s="747" t="s">
        <v>5113</v>
      </c>
      <c r="P8" s="747" t="s">
        <v>619</v>
      </c>
      <c r="Q8" s="678" t="s">
        <v>7996</v>
      </c>
    </row>
    <row r="9" spans="1:17">
      <c r="C9" s="599"/>
      <c r="D9" s="599"/>
      <c r="E9" s="599"/>
      <c r="F9" s="599"/>
      <c r="G9" s="599"/>
    </row>
    <row r="10" spans="1:17" ht="18.5" customHeight="1">
      <c r="A10" s="15">
        <v>1</v>
      </c>
      <c r="B10" s="624" t="s">
        <v>8365</v>
      </c>
      <c r="C10" s="19">
        <f>'F-12-A '!C41+'F-12-B'!C17</f>
        <v>109.62591351874039</v>
      </c>
      <c r="D10" s="19">
        <f>'F-12-A '!D41+'F-12-B'!D17</f>
        <v>46.536690421089084</v>
      </c>
      <c r="E10" s="19">
        <f>'F-12-A '!E41+'F-12-B'!E17</f>
        <v>216.92709377371523</v>
      </c>
      <c r="F10" s="19">
        <f>'F-12-A '!F41+'F-12-B'!F17</f>
        <v>88.049305172411039</v>
      </c>
      <c r="G10" s="325">
        <f>'F-12-A '!G41+'F-12-B'!G17</f>
        <v>461.16258124244206</v>
      </c>
      <c r="H10" s="305">
        <f>'F-12-A '!H41+'F-12-B'!H17</f>
        <v>106.72353598313973</v>
      </c>
      <c r="I10" s="305">
        <f>'F-12-A '!I41+'F-12-B'!I17</f>
        <v>62.855624897310875</v>
      </c>
      <c r="J10" s="305">
        <f>'F-12-A '!J41+'F-12-B'!J17</f>
        <v>127.80288517697247</v>
      </c>
      <c r="K10" s="305">
        <f>'F-12-A '!K41+'F-12-B'!K17</f>
        <v>52.239123389894061</v>
      </c>
      <c r="L10" s="325">
        <f>'F-12-A '!L41+'F-12-B'!L17</f>
        <v>517.57891526230617</v>
      </c>
      <c r="M10" s="12"/>
      <c r="N10" s="12"/>
      <c r="O10" s="12"/>
      <c r="P10" s="12"/>
      <c r="Q10" s="325">
        <f>'F-12-A '!Q41+'F-12-B'!Q17</f>
        <v>608.89815483471386</v>
      </c>
    </row>
    <row r="13" spans="1:17" ht="13">
      <c r="A13" s="3390" t="s">
        <v>623</v>
      </c>
      <c r="B13" s="3390"/>
      <c r="C13" s="16" t="s">
        <v>897</v>
      </c>
      <c r="D13" s="16" t="s">
        <v>898</v>
      </c>
      <c r="E13" s="16" t="s">
        <v>8341</v>
      </c>
    </row>
    <row r="14" spans="1:17" s="44" customFormat="1" ht="33" customHeight="1">
      <c r="A14" s="3031">
        <v>1</v>
      </c>
      <c r="B14" s="799" t="s">
        <v>624</v>
      </c>
      <c r="C14" s="2859">
        <f>'F-12-A '!G10+'F-12-B'!G10</f>
        <v>2333</v>
      </c>
      <c r="D14" s="2859">
        <f>'F-12-A '!L10+'F-12-B'!L10</f>
        <v>2782</v>
      </c>
      <c r="E14" s="2859">
        <f>'F-12-A '!Q10+'F-12-B'!Q10</f>
        <v>3232</v>
      </c>
    </row>
    <row r="15" spans="1:17" s="44" customFormat="1" ht="33" customHeight="1">
      <c r="A15" s="3128">
        <v>2</v>
      </c>
      <c r="B15" s="799" t="s">
        <v>3769</v>
      </c>
      <c r="C15" s="2859">
        <v>347</v>
      </c>
      <c r="D15" s="2859">
        <v>528</v>
      </c>
      <c r="E15" s="2859">
        <v>526</v>
      </c>
    </row>
    <row r="16" spans="1:17" s="44" customFormat="1" ht="33" customHeight="1">
      <c r="A16" s="3128">
        <v>3</v>
      </c>
      <c r="B16" s="799" t="s">
        <v>3770</v>
      </c>
      <c r="C16" s="2859">
        <v>112</v>
      </c>
      <c r="D16" s="2859">
        <v>79</v>
      </c>
      <c r="E16" s="2859">
        <v>76</v>
      </c>
    </row>
    <row r="17" spans="1:5" s="44" customFormat="1" ht="33" customHeight="1">
      <c r="A17" s="3128">
        <v>4</v>
      </c>
      <c r="B17" s="799" t="s">
        <v>3771</v>
      </c>
      <c r="C17" s="3129">
        <f>((C14+C15-C16)+C14)/2</f>
        <v>2450.5</v>
      </c>
      <c r="D17" s="3129">
        <f t="shared" ref="D17:E17" si="0">((D14+D15-D16)+D14)/2</f>
        <v>3006.5</v>
      </c>
      <c r="E17" s="3129">
        <f t="shared" si="0"/>
        <v>3457</v>
      </c>
    </row>
    <row r="18" spans="1:5" s="44" customFormat="1" ht="33" customHeight="1">
      <c r="A18" s="3128">
        <v>5</v>
      </c>
      <c r="B18" s="799" t="s">
        <v>8369</v>
      </c>
      <c r="C18" s="3129">
        <v>3021.4956458326405</v>
      </c>
      <c r="D18" s="3129">
        <v>3371.5204909082995</v>
      </c>
      <c r="E18" s="3129">
        <v>3585.9510904983699</v>
      </c>
    </row>
    <row r="19" spans="1:5" s="44" customFormat="1" ht="33" customHeight="1">
      <c r="A19" s="3128">
        <v>6</v>
      </c>
      <c r="B19" s="799" t="s">
        <v>582</v>
      </c>
      <c r="C19" s="2046">
        <f>C17/C18</f>
        <v>0.81102218478448607</v>
      </c>
      <c r="D19" s="2046">
        <f t="shared" ref="D19:E19" si="1">D17/D18</f>
        <v>0.89173416211094669</v>
      </c>
      <c r="E19" s="2046">
        <f t="shared" si="1"/>
        <v>0.9640399193285013</v>
      </c>
    </row>
    <row r="20" spans="1:5" s="44" customFormat="1" ht="33" customHeight="1">
      <c r="A20" s="3128">
        <v>7</v>
      </c>
      <c r="B20" s="799" t="s">
        <v>7146</v>
      </c>
      <c r="C20" s="2859">
        <f>C23</f>
        <v>2394000</v>
      </c>
      <c r="D20" s="2859">
        <f>D23</f>
        <v>2442000</v>
      </c>
      <c r="E20" s="2859">
        <f>E23</f>
        <v>2490000</v>
      </c>
    </row>
    <row r="21" spans="1:5" s="44" customFormat="1" ht="33" customHeight="1" thickBot="1">
      <c r="A21" s="3130">
        <v>8</v>
      </c>
      <c r="B21" s="3131" t="s">
        <v>583</v>
      </c>
      <c r="C21" s="2046">
        <f>C17/C20*1000</f>
        <v>1.0236006683375105</v>
      </c>
      <c r="D21" s="2046">
        <f t="shared" ref="D21:E21" si="2">D17/D20*1000</f>
        <v>1.2311629811629812</v>
      </c>
      <c r="E21" s="2046">
        <f t="shared" si="2"/>
        <v>1.3883534136546185</v>
      </c>
    </row>
    <row r="22" spans="1:5" s="44" customFormat="1" ht="33" customHeight="1"/>
    <row r="23" spans="1:5">
      <c r="C23">
        <f>24.18*10^5-24000</f>
        <v>2394000</v>
      </c>
      <c r="D23">
        <f>24.18*10^5+24000</f>
        <v>2442000</v>
      </c>
      <c r="E23">
        <f>D23+48000</f>
        <v>2490000</v>
      </c>
    </row>
  </sheetData>
  <mergeCells count="12">
    <mergeCell ref="O7:P7"/>
    <mergeCell ref="A13:B13"/>
    <mergeCell ref="A2:Q2"/>
    <mergeCell ref="A4:Q4"/>
    <mergeCell ref="C6:G6"/>
    <mergeCell ref="H6:L6"/>
    <mergeCell ref="M6:Q6"/>
    <mergeCell ref="C7:D7"/>
    <mergeCell ref="E7:F7"/>
    <mergeCell ref="H7:I7"/>
    <mergeCell ref="J7:K7"/>
    <mergeCell ref="M7:N7"/>
  </mergeCells>
  <pageMargins left="0.7" right="0.7" top="0.75" bottom="0.75" header="0.3" footer="0.3"/>
  <pageSetup scale="4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146"/>
  <sheetViews>
    <sheetView view="pageBreakPreview" zoomScaleNormal="55" workbookViewId="0">
      <selection activeCell="K4" sqref="K4"/>
    </sheetView>
  </sheetViews>
  <sheetFormatPr defaultColWidth="9.1796875" defaultRowHeight="13"/>
  <cols>
    <col min="1" max="1" width="5.81640625" style="430" customWidth="1"/>
    <col min="2" max="2" width="13.26953125" style="431" hidden="1" customWidth="1"/>
    <col min="3" max="3" width="1.26953125" style="431" hidden="1" customWidth="1"/>
    <col min="4" max="4" width="30.54296875" style="482" customWidth="1"/>
    <col min="5" max="5" width="42.26953125" style="431" hidden="1" customWidth="1"/>
    <col min="6" max="6" width="15.453125" style="433" customWidth="1"/>
    <col min="7" max="7" width="8.81640625" style="434" customWidth="1"/>
    <col min="8" max="8" width="15.26953125" style="430" customWidth="1"/>
    <col min="9" max="9" width="12.1796875" style="434" customWidth="1"/>
    <col min="10" max="10" width="8.54296875" style="434" customWidth="1"/>
    <col min="11" max="11" width="8.453125" style="434" customWidth="1"/>
    <col min="12" max="12" width="12.81640625" style="430" customWidth="1"/>
    <col min="13" max="13" width="8.453125" style="434" customWidth="1"/>
    <col min="14" max="14" width="11" style="435" customWidth="1"/>
    <col min="15" max="15" width="9" style="435" customWidth="1"/>
    <col min="16" max="16" width="8.81640625" style="435" customWidth="1"/>
    <col min="17" max="17" width="9.453125" style="435" customWidth="1"/>
    <col min="18" max="18" width="8.453125" style="430" customWidth="1"/>
    <col min="19" max="19" width="13.453125" style="434" customWidth="1"/>
    <col min="20" max="20" width="11" style="436" customWidth="1"/>
    <col min="21" max="82" width="0" style="431" hidden="1" customWidth="1"/>
    <col min="83" max="83" width="0.1796875" style="431" hidden="1" customWidth="1"/>
    <col min="84" max="16384" width="9.1796875" style="431"/>
  </cols>
  <sheetData>
    <row r="1" spans="1:83" ht="21" customHeight="1">
      <c r="D1" s="432"/>
    </row>
    <row r="2" spans="1:83" ht="12.75" customHeight="1">
      <c r="A2" s="3165" t="s">
        <v>1465</v>
      </c>
      <c r="B2" s="3165"/>
      <c r="C2" s="3165"/>
      <c r="D2" s="3165"/>
      <c r="E2" s="3165"/>
      <c r="F2" s="3165"/>
      <c r="G2" s="3165"/>
      <c r="H2" s="3165"/>
      <c r="I2" s="3165"/>
      <c r="J2" s="3165"/>
      <c r="K2" s="3165"/>
      <c r="L2" s="3165"/>
      <c r="M2" s="3165"/>
      <c r="N2" s="3165"/>
      <c r="O2" s="3165"/>
      <c r="P2" s="3165"/>
      <c r="Q2" s="3165"/>
      <c r="R2" s="3165"/>
      <c r="S2" s="3165"/>
      <c r="T2" s="3165"/>
    </row>
    <row r="3" spans="1:83" ht="8.25" customHeight="1">
      <c r="A3" s="437"/>
      <c r="B3" s="438"/>
      <c r="C3" s="438"/>
      <c r="D3" s="439"/>
      <c r="E3" s="438"/>
      <c r="F3" s="440"/>
      <c r="G3" s="441"/>
      <c r="H3" s="437"/>
      <c r="I3" s="441"/>
      <c r="J3" s="441"/>
      <c r="K3" s="441"/>
      <c r="L3" s="437"/>
      <c r="M3" s="441"/>
      <c r="N3" s="442"/>
      <c r="O3" s="442"/>
      <c r="P3" s="442"/>
      <c r="Q3" s="442"/>
      <c r="R3" s="437"/>
      <c r="S3" s="441"/>
      <c r="T3" s="439"/>
    </row>
    <row r="4" spans="1:83" s="449" customFormat="1" ht="75" customHeight="1">
      <c r="A4" s="443" t="s">
        <v>347</v>
      </c>
      <c r="B4" s="444" t="s">
        <v>876</v>
      </c>
      <c r="C4" s="444" t="s">
        <v>877</v>
      </c>
      <c r="D4" s="444" t="s">
        <v>878</v>
      </c>
      <c r="E4" s="444" t="s">
        <v>879</v>
      </c>
      <c r="F4" s="445" t="s">
        <v>344</v>
      </c>
      <c r="G4" s="444" t="s">
        <v>880</v>
      </c>
      <c r="H4" s="446" t="s">
        <v>881</v>
      </c>
      <c r="I4" s="444" t="s">
        <v>817</v>
      </c>
      <c r="J4" s="444" t="s">
        <v>818</v>
      </c>
      <c r="K4" s="444" t="s">
        <v>819</v>
      </c>
      <c r="L4" s="443" t="s">
        <v>820</v>
      </c>
      <c r="M4" s="444" t="s">
        <v>821</v>
      </c>
      <c r="N4" s="446" t="s">
        <v>1402</v>
      </c>
      <c r="O4" s="446" t="s">
        <v>1466</v>
      </c>
      <c r="P4" s="446" t="s">
        <v>1467</v>
      </c>
      <c r="Q4" s="446" t="s">
        <v>1403</v>
      </c>
      <c r="R4" s="443" t="s">
        <v>554</v>
      </c>
      <c r="S4" s="444" t="s">
        <v>555</v>
      </c>
      <c r="T4" s="446" t="s">
        <v>556</v>
      </c>
      <c r="U4" s="447" t="s">
        <v>557</v>
      </c>
      <c r="V4" s="448" t="s">
        <v>558</v>
      </c>
      <c r="W4" s="448" t="s">
        <v>760</v>
      </c>
      <c r="X4" s="448" t="s">
        <v>761</v>
      </c>
      <c r="Y4" s="448" t="s">
        <v>762</v>
      </c>
      <c r="Z4" s="448" t="s">
        <v>763</v>
      </c>
      <c r="AA4" s="448" t="s">
        <v>764</v>
      </c>
      <c r="AB4" s="448" t="s">
        <v>765</v>
      </c>
      <c r="AC4" s="448" t="s">
        <v>766</v>
      </c>
      <c r="AD4" s="448" t="s">
        <v>767</v>
      </c>
      <c r="AE4" s="448" t="s">
        <v>768</v>
      </c>
      <c r="AF4" s="448" t="s">
        <v>769</v>
      </c>
      <c r="AG4" s="448" t="s">
        <v>770</v>
      </c>
      <c r="AH4" s="448" t="s">
        <v>771</v>
      </c>
      <c r="AI4" s="448" t="s">
        <v>772</v>
      </c>
      <c r="AJ4" s="448" t="s">
        <v>773</v>
      </c>
      <c r="AK4" s="448" t="s">
        <v>774</v>
      </c>
      <c r="AL4" s="448" t="s">
        <v>775</v>
      </c>
      <c r="AM4" s="448" t="s">
        <v>776</v>
      </c>
      <c r="AN4" s="448" t="s">
        <v>777</v>
      </c>
      <c r="AO4" s="448" t="s">
        <v>778</v>
      </c>
      <c r="AP4" s="448" t="s">
        <v>779</v>
      </c>
      <c r="AQ4" s="448" t="s">
        <v>780</v>
      </c>
      <c r="AR4" s="448" t="s">
        <v>781</v>
      </c>
      <c r="AS4" s="448" t="s">
        <v>782</v>
      </c>
      <c r="AT4" s="448" t="s">
        <v>783</v>
      </c>
      <c r="AU4" s="448" t="s">
        <v>784</v>
      </c>
      <c r="AV4" s="448" t="s">
        <v>785</v>
      </c>
      <c r="AW4" s="448" t="s">
        <v>786</v>
      </c>
      <c r="AX4" s="448" t="s">
        <v>787</v>
      </c>
      <c r="AY4" s="448" t="s">
        <v>788</v>
      </c>
      <c r="AZ4" s="448" t="s">
        <v>789</v>
      </c>
      <c r="BA4" s="448" t="s">
        <v>790</v>
      </c>
      <c r="BB4" s="448" t="s">
        <v>791</v>
      </c>
      <c r="BC4" s="448" t="s">
        <v>725</v>
      </c>
      <c r="BD4" s="448" t="s">
        <v>726</v>
      </c>
      <c r="BE4" s="448" t="s">
        <v>727</v>
      </c>
      <c r="BF4" s="448" t="s">
        <v>728</v>
      </c>
      <c r="BG4" s="448" t="s">
        <v>729</v>
      </c>
      <c r="BH4" s="448" t="s">
        <v>730</v>
      </c>
      <c r="BI4" s="448" t="s">
        <v>731</v>
      </c>
      <c r="BJ4" s="448" t="s">
        <v>732</v>
      </c>
      <c r="BK4" s="448" t="s">
        <v>733</v>
      </c>
      <c r="BL4" s="448" t="s">
        <v>734</v>
      </c>
      <c r="BM4" s="448" t="s">
        <v>432</v>
      </c>
      <c r="BN4" s="448" t="s">
        <v>433</v>
      </c>
      <c r="BO4" s="448" t="s">
        <v>698</v>
      </c>
      <c r="BP4" s="448" t="s">
        <v>699</v>
      </c>
      <c r="BQ4" s="448" t="s">
        <v>700</v>
      </c>
      <c r="BR4" s="448" t="s">
        <v>701</v>
      </c>
      <c r="BS4" s="448" t="s">
        <v>702</v>
      </c>
      <c r="BT4" s="448" t="s">
        <v>703</v>
      </c>
      <c r="BU4" s="448" t="s">
        <v>704</v>
      </c>
      <c r="BV4" s="448" t="s">
        <v>705</v>
      </c>
      <c r="BW4" s="448" t="s">
        <v>706</v>
      </c>
      <c r="BX4" s="448" t="s">
        <v>707</v>
      </c>
      <c r="BY4" s="448" t="s">
        <v>708</v>
      </c>
      <c r="BZ4" s="448" t="s">
        <v>709</v>
      </c>
      <c r="CA4" s="448" t="s">
        <v>710</v>
      </c>
      <c r="CB4" s="448" t="s">
        <v>711</v>
      </c>
      <c r="CC4" s="448" t="s">
        <v>712</v>
      </c>
      <c r="CD4" s="448" t="s">
        <v>713</v>
      </c>
      <c r="CE4" s="447" t="s">
        <v>714</v>
      </c>
    </row>
    <row r="5" spans="1:83" s="449" customFormat="1" ht="33.75" customHeight="1">
      <c r="A5" s="450">
        <v>1</v>
      </c>
      <c r="B5" s="444"/>
      <c r="C5" s="444"/>
      <c r="D5" s="451" t="s">
        <v>610</v>
      </c>
      <c r="E5" s="444"/>
      <c r="F5" s="451" t="s">
        <v>611</v>
      </c>
      <c r="G5" s="452">
        <v>132</v>
      </c>
      <c r="H5" s="453" t="s">
        <v>326</v>
      </c>
      <c r="I5" s="454">
        <v>10000</v>
      </c>
      <c r="J5" s="452"/>
      <c r="K5" s="452">
        <f t="shared" ref="K5:K16" si="0">I5+J5</f>
        <v>10000</v>
      </c>
      <c r="L5" s="455"/>
      <c r="M5" s="452">
        <v>12</v>
      </c>
      <c r="N5" s="456"/>
      <c r="O5" s="456">
        <v>29.015000000000001</v>
      </c>
      <c r="P5" s="457">
        <v>14.223000000000001</v>
      </c>
      <c r="Q5" s="457">
        <v>28.446000000000002</v>
      </c>
      <c r="R5" s="459"/>
      <c r="S5" s="460"/>
      <c r="T5" s="460"/>
      <c r="U5" s="447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8"/>
      <c r="AI5" s="448"/>
      <c r="AJ5" s="448"/>
      <c r="AK5" s="448"/>
      <c r="AL5" s="448"/>
      <c r="AM5" s="448"/>
      <c r="AN5" s="448"/>
      <c r="AO5" s="448"/>
      <c r="AP5" s="448"/>
      <c r="AQ5" s="448"/>
      <c r="AR5" s="448"/>
      <c r="AS5" s="448"/>
      <c r="AT5" s="448"/>
      <c r="AU5" s="448"/>
      <c r="AV5" s="448"/>
      <c r="AW5" s="448"/>
      <c r="AX5" s="448"/>
      <c r="AY5" s="448"/>
      <c r="AZ5" s="448"/>
      <c r="BA5" s="448"/>
      <c r="BB5" s="448"/>
      <c r="BC5" s="448"/>
      <c r="BD5" s="448"/>
      <c r="BE5" s="448"/>
      <c r="BF5" s="448"/>
      <c r="BG5" s="448"/>
      <c r="BH5" s="448"/>
      <c r="BI5" s="448"/>
      <c r="BJ5" s="448"/>
      <c r="BK5" s="448"/>
      <c r="BL5" s="448"/>
      <c r="BM5" s="448"/>
      <c r="BN5" s="448"/>
      <c r="BO5" s="448"/>
      <c r="BP5" s="448"/>
      <c r="BQ5" s="448"/>
      <c r="BR5" s="448"/>
      <c r="BS5" s="448"/>
      <c r="BT5" s="448"/>
      <c r="BU5" s="448"/>
      <c r="BV5" s="448"/>
      <c r="BW5" s="448"/>
      <c r="BX5" s="448"/>
      <c r="BY5" s="448"/>
      <c r="BZ5" s="448"/>
      <c r="CA5" s="448"/>
      <c r="CB5" s="448"/>
      <c r="CC5" s="448"/>
      <c r="CD5" s="448"/>
      <c r="CE5" s="447"/>
    </row>
    <row r="6" spans="1:83" ht="23.25" customHeight="1">
      <c r="A6" s="461">
        <v>2</v>
      </c>
      <c r="B6" s="462"/>
      <c r="C6" s="462"/>
      <c r="D6" s="451" t="s">
        <v>288</v>
      </c>
      <c r="E6" s="462"/>
      <c r="F6" s="451" t="s">
        <v>611</v>
      </c>
      <c r="G6" s="452">
        <v>132</v>
      </c>
      <c r="H6" s="453" t="s">
        <v>289</v>
      </c>
      <c r="I6" s="454">
        <v>14000</v>
      </c>
      <c r="J6" s="452"/>
      <c r="K6" s="452">
        <f t="shared" si="0"/>
        <v>14000</v>
      </c>
      <c r="L6" s="452"/>
      <c r="M6" s="452">
        <v>12</v>
      </c>
      <c r="N6" s="459"/>
      <c r="O6" s="456">
        <v>29.378</v>
      </c>
      <c r="P6" s="457">
        <v>14.401</v>
      </c>
      <c r="Q6" s="457">
        <v>28.802</v>
      </c>
      <c r="R6" s="460"/>
      <c r="S6" s="460"/>
      <c r="T6" s="460"/>
    </row>
    <row r="7" spans="1:83" ht="21" customHeight="1">
      <c r="A7" s="450">
        <v>3</v>
      </c>
      <c r="B7" s="462"/>
      <c r="C7" s="462"/>
      <c r="D7" s="451" t="s">
        <v>290</v>
      </c>
      <c r="E7" s="462"/>
      <c r="F7" s="451" t="s">
        <v>611</v>
      </c>
      <c r="G7" s="452">
        <v>132</v>
      </c>
      <c r="H7" s="3168" t="s">
        <v>291</v>
      </c>
      <c r="I7" s="454">
        <v>11000</v>
      </c>
      <c r="J7" s="452"/>
      <c r="K7" s="452">
        <f t="shared" si="0"/>
        <v>11000</v>
      </c>
      <c r="L7" s="452"/>
      <c r="M7" s="452">
        <v>12</v>
      </c>
      <c r="N7" s="459"/>
      <c r="O7" s="456">
        <v>19.646999999999998</v>
      </c>
      <c r="P7" s="457">
        <v>9.7970000000000006</v>
      </c>
      <c r="Q7" s="457">
        <v>19.262</v>
      </c>
      <c r="R7" s="460"/>
      <c r="S7" s="460"/>
      <c r="T7" s="460"/>
    </row>
    <row r="8" spans="1:83" ht="14">
      <c r="A8" s="461">
        <v>4</v>
      </c>
      <c r="B8" s="462"/>
      <c r="C8" s="462"/>
      <c r="D8" s="451" t="s">
        <v>292</v>
      </c>
      <c r="E8" s="462"/>
      <c r="F8" s="451" t="s">
        <v>611</v>
      </c>
      <c r="G8" s="452">
        <v>132</v>
      </c>
      <c r="H8" s="3169"/>
      <c r="I8" s="454">
        <v>5000</v>
      </c>
      <c r="J8" s="452"/>
      <c r="K8" s="452">
        <f t="shared" si="0"/>
        <v>5000</v>
      </c>
      <c r="L8" s="452"/>
      <c r="M8" s="452">
        <v>12</v>
      </c>
      <c r="N8" s="459"/>
      <c r="O8" s="456">
        <v>9.2880000000000003</v>
      </c>
      <c r="P8" s="457">
        <v>4.5529999999999999</v>
      </c>
      <c r="Q8" s="457">
        <v>9.1059999999999999</v>
      </c>
      <c r="R8" s="460"/>
      <c r="S8" s="460"/>
      <c r="T8" s="460"/>
    </row>
    <row r="9" spans="1:83" ht="14">
      <c r="A9" s="450">
        <v>5</v>
      </c>
      <c r="B9" s="462"/>
      <c r="C9" s="462"/>
      <c r="D9" s="451" t="s">
        <v>293</v>
      </c>
      <c r="E9" s="462"/>
      <c r="F9" s="451" t="s">
        <v>611</v>
      </c>
      <c r="G9" s="452">
        <v>132</v>
      </c>
      <c r="H9" s="3169"/>
      <c r="I9" s="454">
        <v>6000</v>
      </c>
      <c r="J9" s="452"/>
      <c r="K9" s="452">
        <f t="shared" si="0"/>
        <v>6000</v>
      </c>
      <c r="L9" s="452"/>
      <c r="M9" s="452">
        <v>12</v>
      </c>
      <c r="N9" s="459"/>
      <c r="O9" s="456">
        <v>10.135</v>
      </c>
      <c r="P9" s="457">
        <v>5.0860000000000003</v>
      </c>
      <c r="Q9" s="458">
        <v>9.9359999999999999</v>
      </c>
      <c r="R9" s="460"/>
      <c r="S9" s="460"/>
      <c r="T9" s="460"/>
    </row>
    <row r="10" spans="1:83" ht="14">
      <c r="A10" s="461">
        <v>6</v>
      </c>
      <c r="B10" s="462"/>
      <c r="C10" s="462"/>
      <c r="D10" s="451" t="s">
        <v>294</v>
      </c>
      <c r="E10" s="462"/>
      <c r="F10" s="451" t="s">
        <v>611</v>
      </c>
      <c r="G10" s="452">
        <v>132</v>
      </c>
      <c r="H10" s="3169"/>
      <c r="I10" s="454">
        <v>12000</v>
      </c>
      <c r="J10" s="452"/>
      <c r="K10" s="452">
        <f t="shared" si="0"/>
        <v>12000</v>
      </c>
      <c r="L10" s="452"/>
      <c r="M10" s="452">
        <v>12</v>
      </c>
      <c r="N10" s="459"/>
      <c r="O10" s="456">
        <v>19.202999999999999</v>
      </c>
      <c r="P10" s="457">
        <v>9.5969999999999995</v>
      </c>
      <c r="Q10" s="458">
        <v>18.826000000000001</v>
      </c>
      <c r="R10" s="460"/>
      <c r="S10" s="460"/>
      <c r="T10" s="460"/>
    </row>
    <row r="11" spans="1:83" ht="14">
      <c r="A11" s="450">
        <v>7</v>
      </c>
      <c r="B11" s="462"/>
      <c r="C11" s="462"/>
      <c r="D11" s="451" t="s">
        <v>295</v>
      </c>
      <c r="E11" s="462"/>
      <c r="F11" s="451" t="s">
        <v>611</v>
      </c>
      <c r="G11" s="452">
        <v>132</v>
      </c>
      <c r="H11" s="3169"/>
      <c r="I11" s="454">
        <v>5200</v>
      </c>
      <c r="J11" s="452"/>
      <c r="K11" s="452">
        <f t="shared" si="0"/>
        <v>5200</v>
      </c>
      <c r="L11" s="452"/>
      <c r="M11" s="452">
        <v>12</v>
      </c>
      <c r="N11" s="459"/>
      <c r="O11" s="456">
        <v>10.61</v>
      </c>
      <c r="P11" s="458">
        <v>5.2519999999999998</v>
      </c>
      <c r="Q11" s="458">
        <v>10.401999999999999</v>
      </c>
      <c r="R11" s="460"/>
      <c r="S11" s="460"/>
      <c r="T11" s="460"/>
    </row>
    <row r="12" spans="1:83" ht="14">
      <c r="A12" s="461">
        <v>8</v>
      </c>
      <c r="B12" s="462"/>
      <c r="C12" s="462"/>
      <c r="D12" s="451" t="s">
        <v>296</v>
      </c>
      <c r="E12" s="462"/>
      <c r="F12" s="451" t="s">
        <v>611</v>
      </c>
      <c r="G12" s="452">
        <v>132</v>
      </c>
      <c r="H12" s="3170"/>
      <c r="I12" s="454">
        <v>4500</v>
      </c>
      <c r="J12" s="452"/>
      <c r="K12" s="452">
        <f t="shared" si="0"/>
        <v>4500</v>
      </c>
      <c r="L12" s="452"/>
      <c r="M12" s="452">
        <v>12</v>
      </c>
      <c r="N12" s="459"/>
      <c r="O12" s="456">
        <v>9.17</v>
      </c>
      <c r="P12" s="458">
        <v>4.4950000000000001</v>
      </c>
      <c r="Q12" s="458">
        <v>8.99</v>
      </c>
      <c r="R12" s="460"/>
      <c r="S12" s="460"/>
      <c r="T12" s="460"/>
    </row>
    <row r="13" spans="1:83" ht="14">
      <c r="A13" s="450">
        <v>9</v>
      </c>
      <c r="B13" s="462"/>
      <c r="C13" s="462"/>
      <c r="D13" s="451" t="s">
        <v>297</v>
      </c>
      <c r="E13" s="462"/>
      <c r="F13" s="451" t="s">
        <v>890</v>
      </c>
      <c r="G13" s="452">
        <v>132</v>
      </c>
      <c r="H13" s="453" t="s">
        <v>298</v>
      </c>
      <c r="I13" s="454">
        <v>13445</v>
      </c>
      <c r="J13" s="452"/>
      <c r="K13" s="452">
        <f t="shared" si="0"/>
        <v>13445</v>
      </c>
      <c r="L13" s="455"/>
      <c r="M13" s="452">
        <v>12</v>
      </c>
      <c r="N13" s="456"/>
      <c r="O13" s="456">
        <v>52.16</v>
      </c>
      <c r="P13" s="458">
        <v>25.821999999999999</v>
      </c>
      <c r="Q13" s="458">
        <v>51.643999999999998</v>
      </c>
      <c r="R13" s="460"/>
      <c r="S13" s="460"/>
      <c r="T13" s="460"/>
    </row>
    <row r="14" spans="1:83" ht="14">
      <c r="A14" s="461">
        <v>10</v>
      </c>
      <c r="B14" s="462"/>
      <c r="C14" s="462"/>
      <c r="D14" s="451" t="s">
        <v>299</v>
      </c>
      <c r="E14" s="462"/>
      <c r="F14" s="451" t="s">
        <v>890</v>
      </c>
      <c r="G14" s="452">
        <v>132</v>
      </c>
      <c r="H14" s="453" t="s">
        <v>300</v>
      </c>
      <c r="I14" s="454">
        <v>10000</v>
      </c>
      <c r="J14" s="452"/>
      <c r="K14" s="452">
        <f t="shared" si="0"/>
        <v>10000</v>
      </c>
      <c r="L14" s="452"/>
      <c r="M14" s="452">
        <v>12</v>
      </c>
      <c r="N14" s="459"/>
      <c r="O14" s="459">
        <v>33.722999999999999</v>
      </c>
      <c r="P14" s="458">
        <v>16.238</v>
      </c>
      <c r="Q14" s="458">
        <v>33.389000000000003</v>
      </c>
      <c r="R14" s="460"/>
      <c r="S14" s="460"/>
      <c r="T14" s="460"/>
    </row>
    <row r="15" spans="1:83" ht="14">
      <c r="A15" s="450">
        <v>11</v>
      </c>
      <c r="B15" s="462"/>
      <c r="C15" s="462"/>
      <c r="D15" s="451" t="s">
        <v>625</v>
      </c>
      <c r="E15" s="462"/>
      <c r="F15" s="451" t="s">
        <v>890</v>
      </c>
      <c r="G15" s="452">
        <v>132</v>
      </c>
      <c r="H15" s="453" t="s">
        <v>326</v>
      </c>
      <c r="I15" s="454">
        <v>6500</v>
      </c>
      <c r="J15" s="452"/>
      <c r="K15" s="452">
        <f t="shared" si="0"/>
        <v>6500</v>
      </c>
      <c r="L15" s="452"/>
      <c r="M15" s="452">
        <v>12</v>
      </c>
      <c r="N15" s="459"/>
      <c r="O15" s="459">
        <v>34.412999999999997</v>
      </c>
      <c r="P15" s="458">
        <v>17.036000000000001</v>
      </c>
      <c r="Q15" s="458">
        <v>34.072000000000003</v>
      </c>
      <c r="R15" s="460"/>
      <c r="S15" s="460"/>
      <c r="T15" s="460"/>
    </row>
    <row r="16" spans="1:83" ht="14">
      <c r="A16" s="450">
        <v>12</v>
      </c>
      <c r="B16" s="462"/>
      <c r="C16" s="462"/>
      <c r="D16" s="451" t="s">
        <v>56</v>
      </c>
      <c r="E16" s="462"/>
      <c r="F16" s="474" t="s">
        <v>247</v>
      </c>
      <c r="G16" s="452">
        <v>132</v>
      </c>
      <c r="H16" s="453" t="s">
        <v>326</v>
      </c>
      <c r="I16" s="454"/>
      <c r="J16" s="452">
        <v>17778</v>
      </c>
      <c r="K16" s="452">
        <f t="shared" si="0"/>
        <v>17778</v>
      </c>
      <c r="L16" s="452"/>
      <c r="M16" s="452">
        <v>12</v>
      </c>
      <c r="N16" s="459"/>
      <c r="O16" s="459">
        <v>110.592</v>
      </c>
      <c r="P16" s="458">
        <v>0</v>
      </c>
      <c r="Q16" s="458">
        <v>31.364999999999998</v>
      </c>
      <c r="R16" s="459" t="s">
        <v>612</v>
      </c>
      <c r="S16" s="465">
        <v>0.8</v>
      </c>
      <c r="T16" s="460" t="s">
        <v>58</v>
      </c>
    </row>
    <row r="17" spans="1:20" s="473" customFormat="1" ht="21.75" customHeight="1">
      <c r="A17" s="467"/>
      <c r="B17" s="468"/>
      <c r="C17" s="468"/>
      <c r="D17" s="445" t="s">
        <v>1100</v>
      </c>
      <c r="E17" s="468"/>
      <c r="F17" s="445"/>
      <c r="G17" s="469"/>
      <c r="H17" s="470"/>
      <c r="I17" s="469"/>
      <c r="J17" s="469"/>
      <c r="K17" s="469"/>
      <c r="L17" s="471"/>
      <c r="M17" s="469"/>
      <c r="N17" s="446"/>
      <c r="O17" s="472">
        <f>SUM(O5:O16)</f>
        <v>367.334</v>
      </c>
      <c r="P17" s="446">
        <f>SUM(P5:P16)</f>
        <v>126.50000000000001</v>
      </c>
      <c r="Q17" s="446">
        <f>SUM(Q5:Q16)</f>
        <v>284.24</v>
      </c>
      <c r="R17" s="446"/>
      <c r="S17" s="444"/>
      <c r="T17" s="444"/>
    </row>
    <row r="18" spans="1:20" ht="14">
      <c r="A18" s="3166" t="s">
        <v>626</v>
      </c>
      <c r="B18" s="3166"/>
      <c r="C18" s="3166"/>
      <c r="D18" s="3166"/>
      <c r="E18" s="3166"/>
      <c r="F18" s="3166"/>
      <c r="G18" s="3166"/>
      <c r="H18" s="3166"/>
      <c r="I18" s="3166"/>
      <c r="J18" s="3166"/>
      <c r="K18" s="3166"/>
      <c r="L18" s="3166"/>
      <c r="M18" s="3166"/>
      <c r="N18" s="3166"/>
      <c r="O18" s="3166"/>
      <c r="P18" s="3166"/>
      <c r="Q18" s="3166"/>
      <c r="R18" s="3166"/>
      <c r="S18" s="3166"/>
      <c r="T18" s="3166"/>
    </row>
    <row r="19" spans="1:20" s="473" customFormat="1" ht="21" customHeight="1">
      <c r="A19" s="461">
        <v>1</v>
      </c>
      <c r="B19" s="468"/>
      <c r="C19" s="468"/>
      <c r="D19" s="451" t="s">
        <v>628</v>
      </c>
      <c r="E19" s="468"/>
      <c r="F19" s="474" t="s">
        <v>890</v>
      </c>
      <c r="G19" s="452">
        <v>132</v>
      </c>
      <c r="H19" s="453" t="s">
        <v>326</v>
      </c>
      <c r="I19" s="452">
        <v>22222</v>
      </c>
      <c r="J19" s="452"/>
      <c r="K19" s="452">
        <v>22222</v>
      </c>
      <c r="L19" s="475" t="s">
        <v>55</v>
      </c>
      <c r="M19" s="452">
        <v>3</v>
      </c>
      <c r="N19" s="459">
        <v>12.96</v>
      </c>
      <c r="O19" s="456">
        <f>N19</f>
        <v>12.96</v>
      </c>
      <c r="P19" s="459"/>
      <c r="Q19" s="459"/>
      <c r="R19" s="459" t="s">
        <v>718</v>
      </c>
      <c r="S19" s="465">
        <v>0.3</v>
      </c>
      <c r="T19" s="459" t="s">
        <v>287</v>
      </c>
    </row>
    <row r="20" spans="1:20" s="473" customFormat="1" ht="21" customHeight="1">
      <c r="A20" s="461">
        <v>2</v>
      </c>
      <c r="B20" s="468"/>
      <c r="C20" s="468"/>
      <c r="D20" s="451" t="s">
        <v>629</v>
      </c>
      <c r="E20" s="468"/>
      <c r="F20" s="474" t="s">
        <v>890</v>
      </c>
      <c r="G20" s="452">
        <v>132</v>
      </c>
      <c r="H20" s="453" t="s">
        <v>326</v>
      </c>
      <c r="I20" s="452">
        <v>9094</v>
      </c>
      <c r="J20" s="452"/>
      <c r="K20" s="452">
        <v>9090</v>
      </c>
      <c r="L20" s="475" t="s">
        <v>627</v>
      </c>
      <c r="M20" s="452">
        <v>3</v>
      </c>
      <c r="N20" s="459">
        <v>10.602</v>
      </c>
      <c r="O20" s="456">
        <f>N20</f>
        <v>10.602</v>
      </c>
      <c r="P20" s="459"/>
      <c r="Q20" s="459"/>
      <c r="R20" s="459" t="s">
        <v>718</v>
      </c>
      <c r="S20" s="465">
        <v>0.3</v>
      </c>
      <c r="T20" s="459" t="s">
        <v>287</v>
      </c>
    </row>
    <row r="21" spans="1:20" ht="23.25" customHeight="1">
      <c r="A21" s="461"/>
      <c r="B21" s="462"/>
      <c r="C21" s="462"/>
      <c r="D21" s="474"/>
      <c r="E21" s="462"/>
      <c r="F21" s="474"/>
      <c r="G21" s="452"/>
      <c r="H21" s="453"/>
      <c r="I21" s="452"/>
      <c r="J21" s="452"/>
      <c r="K21" s="452"/>
      <c r="L21" s="475"/>
      <c r="M21" s="452"/>
      <c r="N21" s="459"/>
      <c r="O21" s="456">
        <f>SUM(O19:O20)</f>
        <v>23.562000000000001</v>
      </c>
      <c r="P21" s="459"/>
      <c r="Q21" s="459"/>
      <c r="R21" s="459"/>
      <c r="S21" s="460"/>
      <c r="T21" s="459"/>
    </row>
    <row r="22" spans="1:20" s="473" customFormat="1" ht="10.5" customHeight="1">
      <c r="A22" s="3167"/>
      <c r="B22" s="3167"/>
      <c r="C22" s="3167"/>
      <c r="D22" s="3167"/>
      <c r="E22" s="468"/>
      <c r="F22" s="476"/>
      <c r="G22" s="469"/>
      <c r="H22" s="467"/>
      <c r="I22" s="469"/>
      <c r="J22" s="469"/>
      <c r="K22" s="469"/>
      <c r="L22" s="467"/>
      <c r="M22" s="469"/>
      <c r="N22" s="470"/>
      <c r="O22" s="470"/>
      <c r="P22" s="470"/>
      <c r="Q22" s="470"/>
      <c r="R22" s="467"/>
      <c r="S22" s="469"/>
      <c r="T22" s="477"/>
    </row>
    <row r="23" spans="1:20" ht="9.75" customHeight="1">
      <c r="A23" s="461"/>
      <c r="B23" s="462"/>
      <c r="C23" s="462"/>
      <c r="D23" s="478"/>
      <c r="E23" s="462"/>
      <c r="F23" s="479"/>
      <c r="G23" s="452"/>
      <c r="H23" s="461"/>
      <c r="I23" s="452"/>
      <c r="J23" s="452"/>
      <c r="K23" s="452"/>
      <c r="L23" s="461"/>
      <c r="M23" s="452"/>
      <c r="N23" s="453"/>
      <c r="O23" s="453"/>
      <c r="P23" s="453"/>
      <c r="Q23" s="453"/>
      <c r="R23" s="461"/>
      <c r="S23" s="452"/>
      <c r="T23" s="478"/>
    </row>
    <row r="24" spans="1:20" s="473" customFormat="1" ht="14.25" customHeight="1">
      <c r="A24" s="480" t="s">
        <v>630</v>
      </c>
      <c r="B24" s="468"/>
      <c r="C24" s="468"/>
      <c r="D24" s="477"/>
      <c r="E24" s="468"/>
      <c r="F24" s="476"/>
      <c r="G24" s="469"/>
      <c r="H24" s="467"/>
      <c r="I24" s="469"/>
      <c r="J24" s="469"/>
      <c r="K24" s="469"/>
      <c r="L24" s="467"/>
      <c r="M24" s="469"/>
      <c r="N24" s="470"/>
      <c r="O24" s="497">
        <f>O21+O17</f>
        <v>390.89600000000002</v>
      </c>
      <c r="P24" s="470"/>
      <c r="Q24" s="470"/>
      <c r="R24" s="467"/>
      <c r="S24" s="469"/>
      <c r="T24" s="477"/>
    </row>
    <row r="25" spans="1:20" s="473" customFormat="1" ht="14">
      <c r="A25" s="3166" t="s">
        <v>631</v>
      </c>
      <c r="B25" s="3166"/>
      <c r="C25" s="3166"/>
      <c r="D25" s="3166"/>
      <c r="E25" s="3166"/>
      <c r="F25" s="3166"/>
      <c r="G25" s="469"/>
      <c r="H25" s="467"/>
      <c r="I25" s="469"/>
      <c r="J25" s="469"/>
      <c r="K25" s="469"/>
      <c r="L25" s="467"/>
      <c r="M25" s="469"/>
      <c r="N25" s="470"/>
      <c r="O25" s="497">
        <f>O24</f>
        <v>390.89600000000002</v>
      </c>
      <c r="P25" s="470"/>
      <c r="Q25" s="470"/>
      <c r="R25" s="467"/>
      <c r="S25" s="469"/>
      <c r="T25" s="477"/>
    </row>
    <row r="26" spans="1:20" ht="14">
      <c r="A26" s="461"/>
      <c r="B26" s="462"/>
      <c r="C26" s="462"/>
      <c r="D26" s="478"/>
      <c r="E26" s="462"/>
      <c r="F26" s="479"/>
      <c r="G26" s="452"/>
      <c r="H26" s="461"/>
      <c r="I26" s="452"/>
      <c r="J26" s="452"/>
      <c r="K26" s="452"/>
      <c r="L26" s="461"/>
      <c r="M26" s="452"/>
      <c r="N26" s="453"/>
      <c r="O26" s="453">
        <f>O25-O24</f>
        <v>0</v>
      </c>
      <c r="P26" s="453"/>
      <c r="Q26" s="453"/>
      <c r="R26" s="461"/>
      <c r="S26" s="452"/>
      <c r="T26" s="478"/>
    </row>
    <row r="85" spans="4:4" ht="10.5" customHeight="1">
      <c r="D85" s="436"/>
    </row>
    <row r="86" spans="4:4">
      <c r="D86" s="481"/>
    </row>
    <row r="87" spans="4:4">
      <c r="D87" s="481"/>
    </row>
    <row r="88" spans="4:4">
      <c r="D88" s="481"/>
    </row>
    <row r="89" spans="4:4">
      <c r="D89" s="481"/>
    </row>
    <row r="90" spans="4:4">
      <c r="D90" s="481"/>
    </row>
    <row r="91" spans="4:4">
      <c r="D91" s="481"/>
    </row>
    <row r="92" spans="4:4">
      <c r="D92" s="481"/>
    </row>
    <row r="93" spans="4:4">
      <c r="D93" s="481"/>
    </row>
    <row r="94" spans="4:4">
      <c r="D94" s="481"/>
    </row>
    <row r="95" spans="4:4">
      <c r="D95" s="481"/>
    </row>
    <row r="96" spans="4:4">
      <c r="D96" s="481"/>
    </row>
    <row r="97" spans="4:4">
      <c r="D97" s="481"/>
    </row>
    <row r="98" spans="4:4">
      <c r="D98" s="481"/>
    </row>
    <row r="99" spans="4:4">
      <c r="D99" s="481"/>
    </row>
    <row r="100" spans="4:4">
      <c r="D100" s="481"/>
    </row>
    <row r="101" spans="4:4">
      <c r="D101" s="481"/>
    </row>
    <row r="102" spans="4:4">
      <c r="D102" s="481"/>
    </row>
    <row r="103" spans="4:4">
      <c r="D103" s="481"/>
    </row>
    <row r="104" spans="4:4">
      <c r="D104" s="481"/>
    </row>
    <row r="105" spans="4:4">
      <c r="D105" s="481"/>
    </row>
    <row r="106" spans="4:4">
      <c r="D106" s="481"/>
    </row>
    <row r="107" spans="4:4">
      <c r="D107" s="481"/>
    </row>
    <row r="108" spans="4:4">
      <c r="D108" s="481"/>
    </row>
    <row r="109" spans="4:4">
      <c r="D109" s="481"/>
    </row>
    <row r="110" spans="4:4">
      <c r="D110" s="481"/>
    </row>
    <row r="111" spans="4:4">
      <c r="D111" s="481"/>
    </row>
    <row r="112" spans="4:4">
      <c r="D112" s="481"/>
    </row>
    <row r="113" spans="4:4">
      <c r="D113" s="481"/>
    </row>
    <row r="114" spans="4:4">
      <c r="D114" s="481"/>
    </row>
    <row r="115" spans="4:4">
      <c r="D115" s="481"/>
    </row>
    <row r="116" spans="4:4">
      <c r="D116" s="481"/>
    </row>
    <row r="117" spans="4:4">
      <c r="D117" s="481"/>
    </row>
    <row r="118" spans="4:4">
      <c r="D118" s="481"/>
    </row>
    <row r="119" spans="4:4">
      <c r="D119" s="481"/>
    </row>
    <row r="120" spans="4:4">
      <c r="D120" s="481"/>
    </row>
    <row r="121" spans="4:4">
      <c r="D121" s="481"/>
    </row>
    <row r="122" spans="4:4">
      <c r="D122" s="481"/>
    </row>
    <row r="123" spans="4:4">
      <c r="D123" s="481"/>
    </row>
    <row r="124" spans="4:4">
      <c r="D124" s="481"/>
    </row>
    <row r="125" spans="4:4">
      <c r="D125" s="481"/>
    </row>
    <row r="126" spans="4:4">
      <c r="D126" s="481"/>
    </row>
    <row r="127" spans="4:4">
      <c r="D127" s="481"/>
    </row>
    <row r="128" spans="4:4">
      <c r="D128" s="481"/>
    </row>
    <row r="129" spans="4:4">
      <c r="D129" s="481"/>
    </row>
    <row r="130" spans="4:4">
      <c r="D130" s="481"/>
    </row>
    <row r="131" spans="4:4">
      <c r="D131" s="481"/>
    </row>
    <row r="132" spans="4:4">
      <c r="D132" s="481"/>
    </row>
    <row r="133" spans="4:4">
      <c r="D133" s="481"/>
    </row>
    <row r="134" spans="4:4">
      <c r="D134" s="481"/>
    </row>
    <row r="135" spans="4:4">
      <c r="D135" s="481"/>
    </row>
    <row r="136" spans="4:4">
      <c r="D136" s="481"/>
    </row>
    <row r="137" spans="4:4">
      <c r="D137" s="481"/>
    </row>
    <row r="138" spans="4:4">
      <c r="D138" s="481"/>
    </row>
    <row r="139" spans="4:4">
      <c r="D139" s="481"/>
    </row>
    <row r="140" spans="4:4">
      <c r="D140" s="481"/>
    </row>
    <row r="141" spans="4:4">
      <c r="D141" s="481"/>
    </row>
    <row r="142" spans="4:4">
      <c r="D142" s="481"/>
    </row>
    <row r="143" spans="4:4">
      <c r="D143" s="481"/>
    </row>
    <row r="144" spans="4:4">
      <c r="D144" s="481"/>
    </row>
    <row r="145" spans="4:4">
      <c r="D145" s="481"/>
    </row>
    <row r="146" spans="4:4">
      <c r="D146" s="481"/>
    </row>
  </sheetData>
  <mergeCells count="5">
    <mergeCell ref="A2:T2"/>
    <mergeCell ref="A18:T18"/>
    <mergeCell ref="A22:D22"/>
    <mergeCell ref="A25:F25"/>
    <mergeCell ref="H7:H12"/>
  </mergeCells>
  <phoneticPr fontId="63" type="noConversion"/>
  <printOptions gridLines="1"/>
  <pageMargins left="0.22" right="0.24" top="1" bottom="1" header="0.5" footer="0.5"/>
  <pageSetup scale="6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072A6-59BF-4922-86FD-74F48C162E2C}">
  <sheetPr>
    <tabColor theme="1"/>
  </sheetPr>
  <dimension ref="A3:F18"/>
  <sheetViews>
    <sheetView view="pageBreakPreview" zoomScale="60" zoomScaleNormal="76" workbookViewId="0">
      <selection activeCell="A5" sqref="A5:F5"/>
    </sheetView>
  </sheetViews>
  <sheetFormatPr defaultRowHeight="12.5"/>
  <cols>
    <col min="2" max="2" width="36.90625" bestFit="1" customWidth="1"/>
    <col min="3" max="3" width="14.1796875" bestFit="1" customWidth="1"/>
    <col min="4" max="4" width="15.08984375" customWidth="1"/>
    <col min="5" max="5" width="14.36328125" bestFit="1" customWidth="1"/>
    <col min="6" max="6" width="13.6328125" bestFit="1" customWidth="1"/>
  </cols>
  <sheetData>
    <row r="3" spans="1:6" ht="15.5">
      <c r="A3" s="1580" t="s">
        <v>5525</v>
      </c>
      <c r="B3" s="630"/>
      <c r="C3" s="630"/>
      <c r="D3" s="631"/>
      <c r="E3" s="625"/>
      <c r="F3" s="630"/>
    </row>
    <row r="4" spans="1:6" ht="15">
      <c r="A4" s="3325" t="s">
        <v>8514</v>
      </c>
      <c r="B4" s="3325"/>
      <c r="C4" s="3325"/>
      <c r="D4" s="3325"/>
      <c r="E4" s="3325"/>
      <c r="F4" s="3325"/>
    </row>
    <row r="5" spans="1:6" ht="15">
      <c r="A5" s="3325" t="s">
        <v>3774</v>
      </c>
      <c r="B5" s="3325"/>
      <c r="C5" s="3325"/>
      <c r="D5" s="3325"/>
      <c r="E5" s="3325"/>
      <c r="F5" s="3325"/>
    </row>
    <row r="6" spans="1:6" ht="15.5">
      <c r="A6" s="680"/>
      <c r="B6" s="634"/>
      <c r="C6" s="634"/>
      <c r="D6" s="634"/>
      <c r="E6" s="634"/>
      <c r="F6" s="639" t="s">
        <v>4052</v>
      </c>
    </row>
    <row r="7" spans="1:6" ht="45">
      <c r="A7" s="796" t="s">
        <v>551</v>
      </c>
      <c r="B7" s="796" t="s">
        <v>8413</v>
      </c>
      <c r="C7" s="796" t="s">
        <v>897</v>
      </c>
      <c r="D7" s="2248" t="s">
        <v>3775</v>
      </c>
      <c r="E7" s="796" t="s">
        <v>898</v>
      </c>
      <c r="F7" s="796" t="s">
        <v>899</v>
      </c>
    </row>
    <row r="8" spans="1:6" ht="15">
      <c r="A8" s="747"/>
      <c r="B8" s="796"/>
      <c r="C8" s="797" t="s">
        <v>5329</v>
      </c>
      <c r="D8" s="2100" t="s">
        <v>5482</v>
      </c>
      <c r="E8" s="797" t="s">
        <v>7995</v>
      </c>
      <c r="F8" s="1775" t="s">
        <v>7996</v>
      </c>
    </row>
    <row r="9" spans="1:6" ht="15.5">
      <c r="A9" s="680">
        <v>1</v>
      </c>
      <c r="B9" s="799" t="s">
        <v>1213</v>
      </c>
      <c r="C9" s="1807"/>
      <c r="D9" s="1807"/>
      <c r="E9" s="1807"/>
      <c r="F9" s="800"/>
    </row>
    <row r="10" spans="1:6" ht="15.5">
      <c r="A10" s="680">
        <v>2</v>
      </c>
      <c r="B10" s="799" t="s">
        <v>1214</v>
      </c>
      <c r="C10" s="2068"/>
      <c r="D10" s="1807"/>
      <c r="E10" s="1807"/>
      <c r="F10" s="804"/>
    </row>
    <row r="11" spans="1:6" ht="15.5">
      <c r="A11" s="680">
        <v>3</v>
      </c>
      <c r="B11" s="799" t="s">
        <v>502</v>
      </c>
      <c r="C11" s="1807"/>
      <c r="D11" s="1807"/>
      <c r="E11" s="1807"/>
      <c r="F11" s="800"/>
    </row>
    <row r="12" spans="1:6" ht="15.5">
      <c r="A12" s="680">
        <v>4</v>
      </c>
      <c r="B12" s="799" t="s">
        <v>264</v>
      </c>
      <c r="C12" s="1807"/>
      <c r="D12" s="1807"/>
      <c r="E12" s="1807"/>
      <c r="F12" s="800"/>
    </row>
    <row r="13" spans="1:6" ht="15.5">
      <c r="A13" s="680">
        <v>5</v>
      </c>
      <c r="B13" s="799" t="s">
        <v>265</v>
      </c>
      <c r="C13" s="2068"/>
      <c r="D13" s="1807"/>
      <c r="E13" s="1807"/>
      <c r="F13" s="804"/>
    </row>
    <row r="14" spans="1:6" ht="15.5">
      <c r="A14" s="680">
        <v>6</v>
      </c>
      <c r="B14" s="799" t="s">
        <v>1218</v>
      </c>
      <c r="C14" s="1807"/>
      <c r="D14" s="1807"/>
      <c r="E14" s="1807"/>
      <c r="F14" s="1807"/>
    </row>
    <row r="15" spans="1:6" ht="15.5">
      <c r="A15" s="680">
        <v>7</v>
      </c>
      <c r="B15" s="799" t="s">
        <v>1219</v>
      </c>
      <c r="C15" s="1807"/>
      <c r="D15" s="1807"/>
      <c r="E15" s="1807"/>
      <c r="F15" s="800"/>
    </row>
    <row r="16" spans="1:6" ht="15.5">
      <c r="A16" s="1361"/>
      <c r="B16" s="1577"/>
      <c r="C16" s="1807"/>
      <c r="D16" s="1807"/>
      <c r="E16" s="1807"/>
      <c r="F16" s="800"/>
    </row>
    <row r="17" spans="1:6" ht="31">
      <c r="A17" s="1361">
        <v>8</v>
      </c>
      <c r="B17" s="1578" t="s">
        <v>4458</v>
      </c>
      <c r="C17" s="634"/>
      <c r="D17" s="634"/>
      <c r="E17" s="636"/>
      <c r="F17" s="636"/>
    </row>
    <row r="18" spans="1:6" ht="15">
      <c r="A18" s="747"/>
      <c r="B18" s="796" t="s">
        <v>1101</v>
      </c>
      <c r="C18" s="2069">
        <f>SUM(C9:C17)</f>
        <v>0</v>
      </c>
      <c r="D18" s="2069">
        <f>SUM(D9:D17)</f>
        <v>0</v>
      </c>
      <c r="E18" s="2069">
        <f>SUM(E9:E17)</f>
        <v>0</v>
      </c>
      <c r="F18" s="806">
        <f>SUM(F9:F17)</f>
        <v>0</v>
      </c>
    </row>
  </sheetData>
  <mergeCells count="2">
    <mergeCell ref="A4:F4"/>
    <mergeCell ref="A5:F5"/>
  </mergeCells>
  <pageMargins left="0.7" right="0.7" top="0.75" bottom="0.75" header="0.3" footer="0.3"/>
  <pageSetup paperSize="9" scale="86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4">
    <tabColor theme="1"/>
    <pageSetUpPr fitToPage="1"/>
  </sheetPr>
  <dimension ref="A1:N97"/>
  <sheetViews>
    <sheetView showGridLines="0" zoomScaleNormal="100" zoomScaleSheetLayoutView="100" workbookViewId="0">
      <selection activeCell="B10" sqref="B10"/>
    </sheetView>
  </sheetViews>
  <sheetFormatPr defaultColWidth="9.1796875" defaultRowHeight="15.5"/>
  <cols>
    <col min="1" max="1" width="52.1796875" style="1439" customWidth="1"/>
    <col min="2" max="2" width="18.453125" style="1439" customWidth="1"/>
    <col min="3" max="3" width="20.7265625" style="1439" customWidth="1"/>
    <col min="4" max="4" width="21.81640625" style="1439" customWidth="1"/>
    <col min="5" max="5" width="14.81640625" style="1439" bestFit="1" customWidth="1"/>
    <col min="6" max="6" width="17" style="1439" bestFit="1" customWidth="1"/>
    <col min="7" max="7" width="9.7265625" style="1439" customWidth="1"/>
    <col min="8" max="8" width="9.1796875" style="1439"/>
    <col min="9" max="9" width="55" style="1439" bestFit="1" customWidth="1"/>
    <col min="10" max="11" width="9.1796875" style="1439"/>
    <col min="12" max="12" width="15.54296875" style="1439" bestFit="1" customWidth="1"/>
    <col min="13" max="16384" width="9.1796875" style="1439"/>
  </cols>
  <sheetData>
    <row r="1" spans="1:9">
      <c r="A1" s="3432" t="s">
        <v>5525</v>
      </c>
      <c r="B1" s="3432"/>
      <c r="C1" s="3432"/>
      <c r="D1" s="3432"/>
    </row>
    <row r="2" spans="1:9">
      <c r="A2" s="3433"/>
      <c r="B2" s="3433"/>
      <c r="C2" s="3433"/>
      <c r="D2" s="3433"/>
    </row>
    <row r="3" spans="1:9">
      <c r="A3" s="3434" t="s">
        <v>3807</v>
      </c>
      <c r="B3" s="3434"/>
      <c r="C3" s="3434"/>
      <c r="D3" s="3434"/>
    </row>
    <row r="4" spans="1:9">
      <c r="A4" s="3434" t="s">
        <v>3806</v>
      </c>
      <c r="B4" s="3434"/>
      <c r="C4" s="3434"/>
      <c r="D4" s="3434"/>
    </row>
    <row r="5" spans="1:9">
      <c r="A5" s="3434" t="s">
        <v>3808</v>
      </c>
      <c r="B5" s="3434" t="s">
        <v>4027</v>
      </c>
      <c r="C5" s="3434"/>
      <c r="D5" s="3434"/>
    </row>
    <row r="6" spans="1:9" ht="18" customHeight="1">
      <c r="A6" s="3434"/>
      <c r="B6" s="2267" t="s">
        <v>5329</v>
      </c>
      <c r="C6" s="2267" t="s">
        <v>5482</v>
      </c>
      <c r="D6" s="2267" t="s">
        <v>7996</v>
      </c>
    </row>
    <row r="7" spans="1:9" ht="18" customHeight="1">
      <c r="A7" s="1440" t="s">
        <v>1155</v>
      </c>
      <c r="B7" s="2268" t="e">
        <f>B9-B8</f>
        <v>#REF!</v>
      </c>
      <c r="C7" s="2268" t="e">
        <f>C9-C8</f>
        <v>#REF!</v>
      </c>
      <c r="D7" s="2268" t="e">
        <f>-(-D9+D8)</f>
        <v>#REF!</v>
      </c>
    </row>
    <row r="8" spans="1:9" ht="18" customHeight="1">
      <c r="A8" s="1440" t="s">
        <v>3900</v>
      </c>
      <c r="B8" s="2268" t="e">
        <f>#REF!/10^7</f>
        <v>#REF!</v>
      </c>
      <c r="C8" s="2268" t="e">
        <f>#REF!/10^7</f>
        <v>#REF!</v>
      </c>
      <c r="D8" s="2268" t="e">
        <f>+C8+C12-C70</f>
        <v>#REF!</v>
      </c>
      <c r="E8" s="2279" t="e">
        <f>C8-D8</f>
        <v>#REF!</v>
      </c>
    </row>
    <row r="9" spans="1:9" ht="18" customHeight="1">
      <c r="A9" s="1655" t="s">
        <v>1101</v>
      </c>
      <c r="B9" s="1655" t="e">
        <f>#REF!/10^7</f>
        <v>#REF!</v>
      </c>
      <c r="C9" s="1655">
        <f>+'F-21'!C30</f>
        <v>630.9827056069995</v>
      </c>
      <c r="D9" s="1655">
        <f>+C78</f>
        <v>520.47957425270579</v>
      </c>
      <c r="F9" s="1439">
        <f>+D11/'F-22'!D8</f>
        <v>1</v>
      </c>
    </row>
    <row r="10" spans="1:9" ht="18" customHeight="1">
      <c r="A10" s="1641" t="s">
        <v>3904</v>
      </c>
      <c r="B10" s="1641" t="e">
        <f>+'F 25'!C7+B54</f>
        <v>#REF!</v>
      </c>
      <c r="C10" s="1641">
        <f>(+'F-22'!C7*91%)</f>
        <v>1684.1129276423339</v>
      </c>
      <c r="D10" s="1641">
        <f>+'F-22'!D7*99%</f>
        <v>1946.2654539279881</v>
      </c>
      <c r="E10" s="1441">
        <f>+'F-22'!C7</f>
        <v>1850.6735468597076</v>
      </c>
      <c r="F10" s="1441">
        <f>+E10-C10</f>
        <v>166.56061921737364</v>
      </c>
      <c r="G10" s="1441">
        <f>+'F-22'!D7</f>
        <v>1965.9247009373616</v>
      </c>
      <c r="H10" s="1441">
        <f>+G10-D10</f>
        <v>19.65924700937353</v>
      </c>
    </row>
    <row r="11" spans="1:9" ht="18" customHeight="1">
      <c r="A11" s="1641" t="s">
        <v>896</v>
      </c>
      <c r="B11" s="1641">
        <f>+'F 25'!C9+'F 25'!C8</f>
        <v>36.04</v>
      </c>
      <c r="C11" s="1654">
        <v>52.488218606000011</v>
      </c>
      <c r="D11" s="1641">
        <f>+D96/10000000</f>
        <v>37.551313707694462</v>
      </c>
      <c r="E11" s="1441"/>
      <c r="F11" s="1441"/>
      <c r="G11" s="1441"/>
      <c r="H11" s="1441"/>
    </row>
    <row r="12" spans="1:9" ht="18" customHeight="1">
      <c r="A12" s="1641" t="s">
        <v>1156</v>
      </c>
      <c r="B12" s="1641" t="e">
        <f>(#REF!+#REF!)/10^7</f>
        <v>#REF!</v>
      </c>
      <c r="C12" s="1641">
        <f>+'WF-INTEREST'!G69</f>
        <v>15.6</v>
      </c>
      <c r="D12" s="1641">
        <f>+'WF-INTEREST'!H69</f>
        <v>18.72</v>
      </c>
      <c r="E12" s="1441">
        <f>+'F-22'!C8</f>
        <v>52.488218606000011</v>
      </c>
      <c r="F12" s="1441">
        <f>+E12-C11</f>
        <v>0</v>
      </c>
      <c r="G12" s="1441">
        <f>+'F-22'!D8</f>
        <v>37.551313707694462</v>
      </c>
      <c r="H12" s="1441">
        <f>+G12-D11</f>
        <v>0</v>
      </c>
      <c r="I12" s="1439">
        <f>2041-1581</f>
        <v>460</v>
      </c>
    </row>
    <row r="13" spans="1:9" ht="18" customHeight="1">
      <c r="A13" s="1641" t="s">
        <v>1583</v>
      </c>
      <c r="B13" s="1641">
        <v>0</v>
      </c>
      <c r="C13" s="1641">
        <v>0</v>
      </c>
      <c r="D13" s="1641">
        <v>0</v>
      </c>
      <c r="E13" s="1441">
        <f>SUM(E10:E12)</f>
        <v>1903.1617654657075</v>
      </c>
      <c r="F13" s="1441">
        <f>SUM(F10:F12)</f>
        <v>166.56061921737364</v>
      </c>
      <c r="I13" s="1439">
        <f>1913-1679</f>
        <v>234</v>
      </c>
    </row>
    <row r="14" spans="1:9" ht="18" customHeight="1">
      <c r="A14" s="1641" t="s">
        <v>7141</v>
      </c>
      <c r="B14" s="1641">
        <v>0</v>
      </c>
      <c r="C14" s="1641">
        <f>'Additional Working'!C55</f>
        <v>54.678383352872217</v>
      </c>
      <c r="D14" s="1641">
        <f>'Additional Working'!D55</f>
        <v>93.526652989449005</v>
      </c>
      <c r="E14" s="1441"/>
      <c r="F14" s="1441"/>
    </row>
    <row r="15" spans="1:9" ht="18" customHeight="1">
      <c r="A15" s="1641" t="s">
        <v>1157</v>
      </c>
      <c r="B15" s="1641" t="e">
        <f>(#REF!-#REF!)/10^7</f>
        <v>#REF!</v>
      </c>
      <c r="C15" s="1641">
        <f>+'WF-INTEREST'!G77-C16</f>
        <v>-2.9</v>
      </c>
      <c r="D15" s="1641">
        <f>+'WF-INTEREST'!H77-D16</f>
        <v>-2.9</v>
      </c>
      <c r="E15" s="1441"/>
      <c r="F15" s="1441"/>
    </row>
    <row r="16" spans="1:9" s="2271" customFormat="1" ht="18" customHeight="1">
      <c r="A16" s="1654" t="s">
        <v>4028</v>
      </c>
      <c r="B16" s="1641" t="e">
        <f>Final!F2236/10000000</f>
        <v>#REF!</v>
      </c>
      <c r="C16" s="1641">
        <v>2.9</v>
      </c>
      <c r="D16" s="1641">
        <v>2.9</v>
      </c>
      <c r="E16" s="2270"/>
      <c r="F16" s="2270"/>
    </row>
    <row r="17" spans="1:12" s="2271" customFormat="1" ht="18" customHeight="1">
      <c r="A17" s="1654" t="s">
        <v>4029</v>
      </c>
      <c r="B17" s="1641" t="e">
        <f>Final!F2224/10000000</f>
        <v>#REF!</v>
      </c>
      <c r="C17" s="1654">
        <v>0</v>
      </c>
      <c r="D17" s="2269"/>
      <c r="E17" s="2270"/>
      <c r="F17" s="2270"/>
      <c r="G17" s="2270">
        <f>+C15+C18+C33</f>
        <v>-2.9</v>
      </c>
    </row>
    <row r="18" spans="1:12" ht="18" customHeight="1">
      <c r="A18" s="1641" t="s">
        <v>1342</v>
      </c>
      <c r="B18" s="1641"/>
      <c r="C18" s="1641">
        <f>'F-3'!G9</f>
        <v>0</v>
      </c>
      <c r="D18" s="1641">
        <f>'F-3'!J6+'F-3'!J10</f>
        <v>0</v>
      </c>
    </row>
    <row r="19" spans="1:12" ht="18" customHeight="1">
      <c r="A19" s="1641" t="s">
        <v>1262</v>
      </c>
      <c r="B19" s="1641"/>
      <c r="C19" s="1641">
        <v>0</v>
      </c>
      <c r="D19" s="1641">
        <v>0</v>
      </c>
    </row>
    <row r="20" spans="1:12" ht="18" customHeight="1">
      <c r="A20" s="1641" t="s">
        <v>1128</v>
      </c>
      <c r="B20" s="1641"/>
      <c r="C20" s="1641">
        <v>0</v>
      </c>
      <c r="D20" s="1641">
        <v>0</v>
      </c>
    </row>
    <row r="21" spans="1:12" ht="18" customHeight="1">
      <c r="A21" s="1641" t="s">
        <v>3903</v>
      </c>
      <c r="B21" s="1641" t="e">
        <f>#REF!/10^7</f>
        <v>#REF!</v>
      </c>
      <c r="C21" s="1641">
        <v>0</v>
      </c>
      <c r="D21" s="1641"/>
    </row>
    <row r="22" spans="1:12" ht="14.25" customHeight="1">
      <c r="A22" s="1641" t="s">
        <v>757</v>
      </c>
      <c r="B22" s="1641"/>
      <c r="C22" s="1641">
        <v>0</v>
      </c>
      <c r="D22" s="1641"/>
    </row>
    <row r="23" spans="1:12" ht="18" customHeight="1">
      <c r="A23" s="1641" t="s">
        <v>902</v>
      </c>
      <c r="B23" s="1641"/>
      <c r="C23" s="1641">
        <v>0</v>
      </c>
      <c r="D23" s="1641"/>
    </row>
    <row r="24" spans="1:12" ht="18" hidden="1" customHeight="1">
      <c r="A24" s="1641" t="s">
        <v>1433</v>
      </c>
      <c r="B24" s="1641"/>
      <c r="C24" s="1641"/>
      <c r="D24" s="1655"/>
      <c r="F24" s="2272" t="s">
        <v>757</v>
      </c>
      <c r="G24" s="1443">
        <v>37417.5</v>
      </c>
      <c r="H24" s="1442"/>
      <c r="I24" s="1443">
        <v>4383</v>
      </c>
    </row>
    <row r="25" spans="1:12" ht="30" customHeight="1">
      <c r="A25" s="2273" t="s">
        <v>4435</v>
      </c>
      <c r="B25" s="1641">
        <v>0</v>
      </c>
      <c r="C25" s="1641">
        <v>0</v>
      </c>
      <c r="D25" s="1655"/>
      <c r="F25" s="2272"/>
      <c r="G25" s="1443"/>
      <c r="H25" s="1442"/>
      <c r="I25" s="1443"/>
    </row>
    <row r="26" spans="1:12" ht="18" customHeight="1">
      <c r="A26" s="1641" t="s">
        <v>3690</v>
      </c>
      <c r="B26" s="1641"/>
      <c r="C26" s="1641">
        <v>0</v>
      </c>
      <c r="D26" s="1641">
        <v>0</v>
      </c>
      <c r="F26" s="2272" t="s">
        <v>902</v>
      </c>
      <c r="G26" s="1443">
        <f>2353.8-141.23</f>
        <v>2212.5700000000002</v>
      </c>
      <c r="H26" s="1442"/>
      <c r="I26" s="1443">
        <f>3188.5-191.31</f>
        <v>2997.19</v>
      </c>
    </row>
    <row r="27" spans="1:12" ht="18" customHeight="1">
      <c r="A27" s="1641" t="s">
        <v>1343</v>
      </c>
      <c r="B27" s="1641"/>
      <c r="C27" s="1641">
        <v>0</v>
      </c>
      <c r="D27" s="1641">
        <v>0</v>
      </c>
    </row>
    <row r="28" spans="1:12" ht="18" customHeight="1">
      <c r="A28" s="1641" t="s">
        <v>239</v>
      </c>
      <c r="B28" s="1641"/>
      <c r="C28" s="1641">
        <f>'F-3'!G7</f>
        <v>0</v>
      </c>
      <c r="D28" s="1641">
        <f>'F-3'!J7</f>
        <v>0</v>
      </c>
      <c r="J28" s="1439">
        <v>7259.44</v>
      </c>
      <c r="K28" s="1439">
        <v>7259.44</v>
      </c>
      <c r="L28" s="1439">
        <f>J28-K28</f>
        <v>0</v>
      </c>
    </row>
    <row r="29" spans="1:12" ht="18" customHeight="1">
      <c r="A29" s="1641" t="s">
        <v>809</v>
      </c>
      <c r="B29" s="1641"/>
      <c r="C29" s="1641">
        <f>'F-3'!G11</f>
        <v>0</v>
      </c>
      <c r="D29" s="1641">
        <f>'F-3'!J11</f>
        <v>0</v>
      </c>
      <c r="E29" s="1441"/>
      <c r="J29" s="1439">
        <v>662.5</v>
      </c>
      <c r="K29" s="1439">
        <v>662.5</v>
      </c>
      <c r="L29" s="1439">
        <f t="shared" ref="L29:L35" si="0">J29-K29</f>
        <v>0</v>
      </c>
    </row>
    <row r="30" spans="1:12" ht="18" customHeight="1">
      <c r="A30" s="1641" t="s">
        <v>889</v>
      </c>
      <c r="B30" s="1641"/>
      <c r="C30" s="1641">
        <f>'F-3'!G15</f>
        <v>0</v>
      </c>
      <c r="D30" s="1641">
        <f>'F-3'!J15</f>
        <v>0</v>
      </c>
      <c r="E30" s="1441"/>
      <c r="G30" s="1439">
        <f>54259.92-53635.48</f>
        <v>624.43999999999505</v>
      </c>
      <c r="J30" s="1439">
        <v>2038.35</v>
      </c>
      <c r="L30" s="2271">
        <f t="shared" si="0"/>
        <v>2038.35</v>
      </c>
    </row>
    <row r="31" spans="1:12" ht="21" customHeight="1">
      <c r="A31" s="1641" t="s">
        <v>1162</v>
      </c>
      <c r="B31" s="1641">
        <f>+'F-3'!C17</f>
        <v>0</v>
      </c>
      <c r="C31" s="1641">
        <f>'F-3'!G17</f>
        <v>0</v>
      </c>
      <c r="D31" s="1641">
        <f>'F-3'!J17</f>
        <v>0</v>
      </c>
      <c r="E31" s="1441"/>
      <c r="J31" s="1439">
        <v>37686.04</v>
      </c>
      <c r="K31" s="1439">
        <v>39765.040000000001</v>
      </c>
      <c r="L31" s="2271">
        <f t="shared" si="0"/>
        <v>-2079</v>
      </c>
    </row>
    <row r="32" spans="1:12" ht="18" customHeight="1">
      <c r="A32" s="1641" t="s">
        <v>3668</v>
      </c>
      <c r="B32" s="1641">
        <f>+'F-3'!C12</f>
        <v>0</v>
      </c>
      <c r="C32" s="1641">
        <f>+'F-3'!G12</f>
        <v>0</v>
      </c>
      <c r="D32" s="1641">
        <f>'F-3'!J12</f>
        <v>0</v>
      </c>
      <c r="E32" s="1441"/>
      <c r="H32" s="1439">
        <f>B30+B31+B29-B60-B66</f>
        <v>-1.31</v>
      </c>
      <c r="J32" s="1439">
        <v>269.39</v>
      </c>
      <c r="K32" s="1439">
        <v>320.72000000000003</v>
      </c>
      <c r="L32" s="2271">
        <f t="shared" si="0"/>
        <v>-51.330000000000041</v>
      </c>
    </row>
    <row r="33" spans="1:14" ht="18" customHeight="1">
      <c r="A33" s="1641" t="s">
        <v>4616</v>
      </c>
      <c r="B33" s="1641" t="e">
        <f>(Final!F2240+Final!F2234)/10000000</f>
        <v>#REF!</v>
      </c>
      <c r="C33" s="1641">
        <f>'F-2'!I84</f>
        <v>0</v>
      </c>
      <c r="D33" s="1641">
        <f>'F-2'!J84</f>
        <v>0</v>
      </c>
      <c r="E33" s="1441"/>
      <c r="J33" s="1439">
        <v>790.9</v>
      </c>
      <c r="K33" s="1439">
        <v>917.13</v>
      </c>
      <c r="L33" s="2271">
        <f t="shared" si="0"/>
        <v>-126.23000000000002</v>
      </c>
      <c r="N33" s="1439">
        <f>126.23+68</f>
        <v>194.23000000000002</v>
      </c>
    </row>
    <row r="34" spans="1:14" ht="18" customHeight="1">
      <c r="A34" s="1641" t="s">
        <v>3356</v>
      </c>
      <c r="B34" s="1641"/>
      <c r="C34" s="1641">
        <v>0</v>
      </c>
      <c r="D34" s="1641">
        <v>0</v>
      </c>
      <c r="E34" s="1441"/>
      <c r="J34" s="1439">
        <v>2280.37</v>
      </c>
      <c r="K34" s="1439">
        <v>1811.7</v>
      </c>
      <c r="L34" s="2271">
        <f t="shared" si="0"/>
        <v>468.66999999999985</v>
      </c>
      <c r="N34" s="1439">
        <f>L34+27</f>
        <v>495.66999999999985</v>
      </c>
    </row>
    <row r="35" spans="1:14" ht="18" customHeight="1">
      <c r="A35" s="1641" t="s">
        <v>3667</v>
      </c>
      <c r="B35" s="1641">
        <v>0</v>
      </c>
      <c r="C35" s="1641">
        <f>'F-3'!G13+'F-3'!G8</f>
        <v>0</v>
      </c>
      <c r="D35" s="1641">
        <f>'F-3'!J13+'F-3'!J8</f>
        <v>0</v>
      </c>
      <c r="E35" s="1441"/>
      <c r="J35" s="1439">
        <v>3272.93</v>
      </c>
      <c r="K35" s="1439">
        <v>2898.96</v>
      </c>
      <c r="L35" s="2271">
        <f t="shared" si="0"/>
        <v>373.9699999999998</v>
      </c>
    </row>
    <row r="36" spans="1:14" ht="18" customHeight="1">
      <c r="A36" s="1641" t="s">
        <v>3666</v>
      </c>
      <c r="B36" s="1641">
        <v>0</v>
      </c>
      <c r="C36" s="1641">
        <f>'F-3'!G14</f>
        <v>0</v>
      </c>
      <c r="D36" s="1641">
        <f>'F-3'!J14</f>
        <v>0</v>
      </c>
      <c r="E36" s="1441"/>
      <c r="I36" s="2274" t="s">
        <v>1101</v>
      </c>
      <c r="J36" s="1439">
        <f>SUM(J28:J35)</f>
        <v>54259.920000000006</v>
      </c>
      <c r="K36" s="1439">
        <f>SUM(K28:K35)</f>
        <v>53635.49</v>
      </c>
      <c r="L36" s="1439">
        <f>SUM(L28:L35)</f>
        <v>624.4299999999995</v>
      </c>
    </row>
    <row r="37" spans="1:14" ht="18" customHeight="1">
      <c r="A37" s="1641" t="s">
        <v>7127</v>
      </c>
      <c r="B37" s="1641">
        <v>0</v>
      </c>
      <c r="C37" s="1641">
        <f>'F-3'!G20</f>
        <v>247.93315449821097</v>
      </c>
      <c r="D37" s="1641">
        <f>'F-3'!J20</f>
        <v>411.4633173467065</v>
      </c>
      <c r="E37" s="1441"/>
      <c r="I37" s="2274"/>
    </row>
    <row r="38" spans="1:14" ht="18" customHeight="1">
      <c r="A38" s="1641" t="s">
        <v>7016</v>
      </c>
      <c r="B38" s="1641"/>
      <c r="C38" s="1641">
        <f>'F-3'!G18+'F-3'!G19</f>
        <v>526.78081210000005</v>
      </c>
      <c r="D38" s="1641">
        <f>('F-3'!J18+'F-3'!J19)</f>
        <v>0</v>
      </c>
      <c r="E38" s="2379">
        <f>C38+D38-E67</f>
        <v>88.172855500000082</v>
      </c>
      <c r="F38" s="1441">
        <f>C37+C38</f>
        <v>774.71396659821107</v>
      </c>
      <c r="G38" s="2279">
        <f>C65+C66+C67+C68</f>
        <v>445.24795659999995</v>
      </c>
      <c r="H38" s="2279">
        <f>F38-G38</f>
        <v>329.46600999821112</v>
      </c>
    </row>
    <row r="39" spans="1:14" ht="18" customHeight="1">
      <c r="A39" s="1641" t="s">
        <v>3901</v>
      </c>
      <c r="B39" s="1641">
        <v>0</v>
      </c>
      <c r="C39" s="1655"/>
      <c r="D39" s="1655"/>
      <c r="E39" s="1441">
        <f>SUM(D26:D38)</f>
        <v>411.4633173467065</v>
      </c>
      <c r="F39" s="2279"/>
    </row>
    <row r="40" spans="1:14" ht="18" customHeight="1">
      <c r="A40" s="1641" t="s">
        <v>3902</v>
      </c>
      <c r="B40" s="1641"/>
      <c r="C40" s="1655"/>
      <c r="D40" s="1655"/>
      <c r="E40" s="1441"/>
    </row>
    <row r="41" spans="1:14" ht="18" customHeight="1">
      <c r="A41" s="1641" t="s">
        <v>1158</v>
      </c>
      <c r="B41" s="1641" t="e">
        <f>(#REF!-#REF!)/10^7</f>
        <v>#REF!</v>
      </c>
      <c r="C41" s="1654">
        <v>0</v>
      </c>
      <c r="D41" s="1654">
        <v>0</v>
      </c>
      <c r="E41" s="1441"/>
    </row>
    <row r="42" spans="1:14" ht="18" customHeight="1">
      <c r="A42" s="2273" t="s">
        <v>5137</v>
      </c>
      <c r="B42" s="1641">
        <v>0</v>
      </c>
      <c r="C42" s="1654"/>
      <c r="D42" s="1654"/>
      <c r="E42" s="1441"/>
      <c r="F42" s="1439">
        <v>354</v>
      </c>
    </row>
    <row r="43" spans="1:14" ht="18" customHeight="1">
      <c r="A43" s="2273" t="s">
        <v>5138</v>
      </c>
      <c r="B43" s="1641" t="e">
        <f>#REF!/10000000</f>
        <v>#REF!</v>
      </c>
      <c r="C43" s="1654"/>
      <c r="D43" s="1654"/>
      <c r="E43" s="1441"/>
    </row>
    <row r="44" spans="1:14" ht="20.25" customHeight="1">
      <c r="A44" s="2273" t="s">
        <v>6931</v>
      </c>
      <c r="B44" s="1641" t="e">
        <f>#REF!/10000000</f>
        <v>#REF!</v>
      </c>
      <c r="C44" s="1641">
        <f>'F-2'!I86</f>
        <v>0</v>
      </c>
      <c r="D44" s="1641"/>
      <c r="E44" s="1441">
        <f>+E39-E41</f>
        <v>411.4633173467065</v>
      </c>
    </row>
    <row r="45" spans="1:14" ht="18" customHeight="1">
      <c r="A45" s="2275" t="s">
        <v>1100</v>
      </c>
      <c r="B45" s="1655" t="e">
        <f>SUM(B9:B44)</f>
        <v>#REF!</v>
      </c>
      <c r="C45" s="1655">
        <f>SUM(C10:C44)</f>
        <v>2581.5934961994171</v>
      </c>
      <c r="D45" s="1655">
        <f>SUM(D10:D44)</f>
        <v>2507.526737971838</v>
      </c>
      <c r="F45" s="2380">
        <f>D45-D76</f>
        <v>-170.04131105569013</v>
      </c>
    </row>
    <row r="46" spans="1:14" ht="18" customHeight="1">
      <c r="A46" s="1641"/>
      <c r="B46" s="1641"/>
      <c r="C46" s="1641"/>
      <c r="D46" s="1641"/>
    </row>
    <row r="47" spans="1:14" ht="18" customHeight="1">
      <c r="A47" s="2276" t="s">
        <v>1159</v>
      </c>
      <c r="B47" s="2276"/>
      <c r="C47" s="1641"/>
      <c r="D47" s="1641"/>
      <c r="E47" s="1441"/>
      <c r="F47" s="1439">
        <f>'F-6'!N44</f>
        <v>-303.95496520887582</v>
      </c>
    </row>
    <row r="48" spans="1:14" ht="18" customHeight="1">
      <c r="A48" s="1641" t="s">
        <v>1527</v>
      </c>
      <c r="B48" s="1641">
        <f>+'F 25'!C15</f>
        <v>646.43000000000006</v>
      </c>
      <c r="C48" s="1641">
        <f>'F-6'!J11</f>
        <v>1135.5547172397337</v>
      </c>
      <c r="D48" s="1641">
        <f>'F-6'!N11</f>
        <v>1219.9313707694459</v>
      </c>
      <c r="E48" s="1441"/>
      <c r="F48" s="1441"/>
    </row>
    <row r="49" spans="1:11" ht="18" customHeight="1">
      <c r="A49" s="1641" t="s">
        <v>1247</v>
      </c>
      <c r="B49" s="1641">
        <f>+'F 25'!C28</f>
        <v>358.28</v>
      </c>
      <c r="C49" s="1641">
        <f>+'F-6'!J13+'F-6'!J19</f>
        <v>517.57891526230617</v>
      </c>
      <c r="D49" s="1641">
        <f>+'F-6'!N13+'F-6'!N19</f>
        <v>608.89815483471386</v>
      </c>
      <c r="E49" s="1441"/>
      <c r="F49" s="1441"/>
      <c r="G49" s="1441"/>
    </row>
    <row r="50" spans="1:11" ht="18" customHeight="1">
      <c r="A50" s="1641" t="s">
        <v>1248</v>
      </c>
      <c r="B50" s="1641">
        <f>+'F 25'!C30</f>
        <v>32.659999999999997</v>
      </c>
      <c r="C50" s="1641">
        <f>+'F-14  '!E77</f>
        <v>123.40058121603747</v>
      </c>
      <c r="D50" s="1641">
        <f>+'F-14  '!F77</f>
        <v>137.46862190116008</v>
      </c>
      <c r="E50" s="1441"/>
      <c r="F50" s="1441"/>
      <c r="G50" s="1441"/>
    </row>
    <row r="51" spans="1:11" ht="18" customHeight="1">
      <c r="A51" s="1641" t="s">
        <v>857</v>
      </c>
      <c r="B51" s="1641">
        <f>+'F 25'!C29</f>
        <v>6.59</v>
      </c>
      <c r="C51" s="1641">
        <f>+'F-13-B'!E16</f>
        <v>145.39831301164173</v>
      </c>
      <c r="D51" s="1641">
        <f>+'F-13-B'!F16</f>
        <v>155.40434263023732</v>
      </c>
      <c r="E51" s="1441"/>
      <c r="F51" s="1441"/>
    </row>
    <row r="52" spans="1:11" ht="18" customHeight="1">
      <c r="A52" s="1641" t="s">
        <v>1428</v>
      </c>
      <c r="B52" s="1641">
        <f>+'F 25'!C31</f>
        <v>11.26</v>
      </c>
      <c r="C52" s="1641">
        <f>'WF-INTEREST'!R45-'WF-INTEREST'!S45</f>
        <v>28.568008137512148</v>
      </c>
      <c r="D52" s="1641">
        <f>'WF-INTEREST'!V45-'WF-INTEREST'!W45</f>
        <v>65.081266185025981</v>
      </c>
      <c r="E52" s="1441"/>
      <c r="F52" s="1441">
        <f>+C52+C53+C54</f>
        <v>42.384270301317152</v>
      </c>
      <c r="G52" s="1441">
        <f>+'F-22'!C21</f>
        <v>56.30678705062892</v>
      </c>
      <c r="H52" s="1441">
        <f>+F52-G52</f>
        <v>-13.922516749311768</v>
      </c>
    </row>
    <row r="53" spans="1:11" ht="18" customHeight="1">
      <c r="A53" s="1641" t="s">
        <v>1236</v>
      </c>
      <c r="B53" s="1641" t="e">
        <f>#REF!/10^7</f>
        <v>#REF!</v>
      </c>
      <c r="C53" s="1641">
        <f>+'WF-10(Rev RQ-Cur)'!G32</f>
        <v>0.105</v>
      </c>
      <c r="D53" s="1641">
        <f>+'WF-12(RevRQEns)'!G34</f>
        <v>1.827888</v>
      </c>
      <c r="E53" s="1441"/>
      <c r="F53" s="1441"/>
    </row>
    <row r="54" spans="1:11" ht="18" customHeight="1">
      <c r="A54" s="1641" t="s">
        <v>575</v>
      </c>
      <c r="B54" s="1641" t="e">
        <f>#REF!/10^7</f>
        <v>#REF!</v>
      </c>
      <c r="C54" s="1654">
        <f>+'WF-10(Rev RQ-Cur)'!G34</f>
        <v>13.711262163805001</v>
      </c>
      <c r="D54" s="1654">
        <f>+'WF-12(RevRQEns)'!G36</f>
        <v>14.506862163805003</v>
      </c>
      <c r="E54" s="1441">
        <f>SUM(D48:D54)</f>
        <v>2203.118506484388</v>
      </c>
      <c r="F54" s="1441">
        <f>+E54/12</f>
        <v>183.59320887369901</v>
      </c>
      <c r="K54" s="2277">
        <f>172.89-B49</f>
        <v>-185.39</v>
      </c>
    </row>
    <row r="55" spans="1:11" ht="18" customHeight="1">
      <c r="A55" s="1641" t="s">
        <v>4059</v>
      </c>
      <c r="B55" s="1641"/>
      <c r="C55" s="1654">
        <v>0</v>
      </c>
      <c r="D55" s="1654">
        <v>0</v>
      </c>
      <c r="E55" s="1441"/>
      <c r="F55" s="1441"/>
    </row>
    <row r="56" spans="1:11" ht="18" customHeight="1">
      <c r="A56" s="1641" t="s">
        <v>1249</v>
      </c>
      <c r="B56" s="1641" t="e">
        <f>'F-2'!D89-B70-B71-B72</f>
        <v>#REF!</v>
      </c>
      <c r="C56" s="1654">
        <f>+'F-2'!I89+'F-2'!J89</f>
        <v>244.74127784290741</v>
      </c>
      <c r="D56" s="1654">
        <f>+'F-2'!N89+'F-2'!O89</f>
        <v>458.22655638921458</v>
      </c>
      <c r="E56" s="1441">
        <v>47049.07</v>
      </c>
      <c r="F56" s="1441">
        <f>D56-E56</f>
        <v>-46590.843443610785</v>
      </c>
      <c r="G56" s="1439">
        <f>+F56/4</f>
        <v>-11647.710860902696</v>
      </c>
    </row>
    <row r="57" spans="1:11" ht="18" customHeight="1">
      <c r="A57" s="1641" t="s">
        <v>86</v>
      </c>
      <c r="B57" s="1641">
        <v>0</v>
      </c>
      <c r="C57" s="1654">
        <v>0</v>
      </c>
      <c r="D57" s="1654">
        <v>0</v>
      </c>
      <c r="E57" s="1441"/>
      <c r="F57" s="1439">
        <f>+F56/4</f>
        <v>-11647.710860902696</v>
      </c>
    </row>
    <row r="58" spans="1:11" ht="18" customHeight="1">
      <c r="A58" s="1641" t="s">
        <v>1429</v>
      </c>
      <c r="B58" s="1641">
        <v>0</v>
      </c>
      <c r="C58" s="1654">
        <f>'F-3'!H9</f>
        <v>0</v>
      </c>
      <c r="D58" s="1654">
        <f>'F-3'!K9</f>
        <v>0</v>
      </c>
      <c r="E58" s="1441"/>
      <c r="F58" s="1441">
        <f>+E56+F57</f>
        <v>35401.359139097302</v>
      </c>
    </row>
    <row r="59" spans="1:11" ht="18" customHeight="1">
      <c r="A59" s="1641" t="s">
        <v>840</v>
      </c>
      <c r="B59" s="1641">
        <v>0</v>
      </c>
      <c r="C59" s="1654">
        <f>'F-3'!H7</f>
        <v>0</v>
      </c>
      <c r="D59" s="1654">
        <f>'F-3'!K7</f>
        <v>0</v>
      </c>
      <c r="E59" s="1441"/>
      <c r="F59" s="1441"/>
    </row>
    <row r="60" spans="1:11" ht="18" customHeight="1">
      <c r="A60" s="1641" t="s">
        <v>1137</v>
      </c>
      <c r="B60" s="1641">
        <f>+'F-3'!D8</f>
        <v>0</v>
      </c>
      <c r="C60" s="1641">
        <f>'F-3'!H8</f>
        <v>0</v>
      </c>
      <c r="D60" s="1641">
        <f>'F-3'!K8</f>
        <v>0</v>
      </c>
      <c r="E60" s="1441"/>
      <c r="F60" s="1441"/>
    </row>
    <row r="61" spans="1:11" ht="18" customHeight="1">
      <c r="A61" s="1641" t="s">
        <v>1130</v>
      </c>
      <c r="B61" s="1641">
        <f>+'F-3'!D11</f>
        <v>0</v>
      </c>
      <c r="C61" s="1641">
        <f>'F-3'!H11</f>
        <v>0</v>
      </c>
      <c r="D61" s="1641">
        <f>'F-3'!K11</f>
        <v>0</v>
      </c>
      <c r="E61" s="1441"/>
      <c r="F61" s="1441"/>
    </row>
    <row r="62" spans="1:11" ht="31">
      <c r="A62" s="2278" t="s">
        <v>3665</v>
      </c>
      <c r="B62" s="1641">
        <f>+'F-3'!D10+'F-3'!D9</f>
        <v>0</v>
      </c>
      <c r="C62" s="1641">
        <v>0</v>
      </c>
      <c r="D62" s="1641">
        <f>'F-3'!K6+'F-3'!K10</f>
        <v>0</v>
      </c>
      <c r="E62" s="1441"/>
      <c r="F62" s="1441">
        <f>C30+C31+C36</f>
        <v>0</v>
      </c>
      <c r="G62" s="1441">
        <f>D30+D31+D36+D32+D35</f>
        <v>0</v>
      </c>
    </row>
    <row r="63" spans="1:11" ht="18" customHeight="1">
      <c r="A63" s="1641" t="s">
        <v>12</v>
      </c>
      <c r="B63" s="1641" t="e">
        <f>(#REF!-#REF!)/10^7</f>
        <v>#REF!</v>
      </c>
      <c r="C63" s="1641">
        <v>0</v>
      </c>
      <c r="D63" s="1641">
        <v>0</v>
      </c>
      <c r="E63" s="1441"/>
      <c r="F63" s="1441">
        <f>C60+C61+C62+C66</f>
        <v>0</v>
      </c>
      <c r="G63" s="1441">
        <f>D60+D61+D62+D66+D65</f>
        <v>0</v>
      </c>
    </row>
    <row r="64" spans="1:11" ht="18" hidden="1" customHeight="1">
      <c r="A64" s="1641" t="s">
        <v>1183</v>
      </c>
      <c r="B64" s="1641">
        <v>0</v>
      </c>
      <c r="C64" s="1641">
        <v>0</v>
      </c>
      <c r="D64" s="1641">
        <v>0</v>
      </c>
      <c r="F64" s="1441">
        <f>F62-F63</f>
        <v>0</v>
      </c>
      <c r="G64" s="1441">
        <f>G62-G63</f>
        <v>0</v>
      </c>
    </row>
    <row r="65" spans="1:13" ht="18" customHeight="1">
      <c r="A65" s="1641" t="s">
        <v>336</v>
      </c>
      <c r="B65" s="1641" t="e">
        <f>(#REF!-#REF!)/10^7</f>
        <v>#REF!</v>
      </c>
      <c r="C65" s="1641">
        <f>'F-3'!H15+'F-3'!H16</f>
        <v>6.64</v>
      </c>
      <c r="D65" s="1641">
        <f>'F-3'!K15+'F-3'!K16</f>
        <v>0</v>
      </c>
    </row>
    <row r="66" spans="1:13" ht="18" customHeight="1">
      <c r="A66" s="1641" t="s">
        <v>1163</v>
      </c>
      <c r="B66" s="1641">
        <f>'F-17'!O43</f>
        <v>1.31</v>
      </c>
      <c r="C66" s="1641">
        <f>'F-3'!H17+'F-3'!H21</f>
        <v>0</v>
      </c>
      <c r="D66" s="1641">
        <f>'F-3'!K17+'F-3'!K21</f>
        <v>0</v>
      </c>
      <c r="H66" s="1439" t="s">
        <v>991</v>
      </c>
      <c r="L66" s="1439">
        <f>13436+5843</f>
        <v>19279</v>
      </c>
    </row>
    <row r="67" spans="1:13" ht="18" customHeight="1">
      <c r="A67" s="1641" t="s">
        <v>7142</v>
      </c>
      <c r="B67" s="1641"/>
      <c r="C67" s="1641">
        <f>'F-3'!H18</f>
        <v>288.60795659999997</v>
      </c>
      <c r="D67" s="1641">
        <f>'F-3'!K18</f>
        <v>0</v>
      </c>
      <c r="E67" s="2279">
        <f>C67+C68</f>
        <v>438.60795659999997</v>
      </c>
    </row>
    <row r="68" spans="1:13" ht="18" customHeight="1">
      <c r="A68" s="1641" t="s">
        <v>7143</v>
      </c>
      <c r="B68" s="1641"/>
      <c r="C68" s="1641">
        <f>'F-3'!H19</f>
        <v>150</v>
      </c>
      <c r="D68" s="1641">
        <f>'F-3'!K19</f>
        <v>0</v>
      </c>
    </row>
    <row r="69" spans="1:13" ht="18" customHeight="1">
      <c r="A69" s="1641" t="s">
        <v>4615</v>
      </c>
      <c r="B69" s="1641">
        <v>2.39</v>
      </c>
      <c r="C69" s="1654">
        <f>8.24*3</f>
        <v>24.72</v>
      </c>
      <c r="D69" s="1654">
        <v>0</v>
      </c>
      <c r="H69" s="1439" t="s">
        <v>992</v>
      </c>
      <c r="L69" s="1439">
        <v>12631</v>
      </c>
    </row>
    <row r="70" spans="1:13" ht="18" customHeight="1">
      <c r="A70" s="2273" t="s">
        <v>7128</v>
      </c>
      <c r="B70" s="1641" t="e">
        <f>(#REF!+#REF!+#REF!+#REF!)/10000000</f>
        <v>#REF!</v>
      </c>
      <c r="C70" s="1654">
        <f>(242400000+70000000+26268599)/10^7</f>
        <v>33.866859900000001</v>
      </c>
      <c r="D70" s="1654"/>
      <c r="E70" s="2277">
        <v>68.25</v>
      </c>
      <c r="F70" s="2279" t="e">
        <f>B70-E70</f>
        <v>#REF!</v>
      </c>
    </row>
    <row r="71" spans="1:13" ht="18" customHeight="1">
      <c r="A71" s="2273" t="s">
        <v>5138</v>
      </c>
      <c r="B71" s="1641" t="e">
        <f>#REF!/10000000</f>
        <v>#REF!</v>
      </c>
      <c r="C71" s="1654"/>
      <c r="D71" s="1654"/>
    </row>
    <row r="72" spans="1:13" ht="18" customHeight="1">
      <c r="A72" s="2273" t="s">
        <v>4803</v>
      </c>
      <c r="B72" s="1641" t="e">
        <f>#REF!/10000000</f>
        <v>#REF!</v>
      </c>
      <c r="C72" s="1654">
        <v>0</v>
      </c>
      <c r="D72" s="1654">
        <v>0</v>
      </c>
    </row>
    <row r="73" spans="1:13" ht="18" customHeight="1">
      <c r="A73" s="1641" t="s">
        <v>14</v>
      </c>
      <c r="B73" s="1641">
        <v>0</v>
      </c>
      <c r="C73" s="1641">
        <v>0</v>
      </c>
      <c r="D73" s="1641">
        <v>0</v>
      </c>
    </row>
    <row r="74" spans="1:13" ht="31">
      <c r="A74" s="2273" t="s">
        <v>470</v>
      </c>
      <c r="B74" s="2280">
        <v>0</v>
      </c>
      <c r="C74" s="1641">
        <v>0</v>
      </c>
      <c r="D74" s="1641">
        <f>'F-3'!H12</f>
        <v>0</v>
      </c>
      <c r="H74" s="1439" t="s">
        <v>993</v>
      </c>
      <c r="L74" s="1441">
        <f>+'F-22'!B12</f>
        <v>926.32682137900008</v>
      </c>
    </row>
    <row r="75" spans="1:13">
      <c r="A75" s="2273" t="s">
        <v>7148</v>
      </c>
      <c r="B75" s="2280"/>
      <c r="C75" s="1641">
        <f>-'F-22'!C25</f>
        <v>-20.796263820232149</v>
      </c>
      <c r="D75" s="1641">
        <f>-'F-22'!D25</f>
        <v>16.222986153925454</v>
      </c>
      <c r="L75" s="1441"/>
    </row>
    <row r="76" spans="1:13" ht="18" customHeight="1">
      <c r="A76" s="2275" t="s">
        <v>1100</v>
      </c>
      <c r="B76" s="1655" t="e">
        <f>SUM(B48:B75)</f>
        <v>#REF!</v>
      </c>
      <c r="C76" s="1655">
        <f>SUM(C48:C75)</f>
        <v>2692.0966275537107</v>
      </c>
      <c r="D76" s="1655">
        <f>SUM(D48:D75)</f>
        <v>2677.5680490275281</v>
      </c>
      <c r="E76" s="1441"/>
      <c r="H76" s="1439" t="s">
        <v>1178</v>
      </c>
      <c r="L76" s="1439">
        <f>19671.94</f>
        <v>19671.939999999999</v>
      </c>
    </row>
    <row r="77" spans="1:13" ht="18" customHeight="1">
      <c r="A77" s="2275" t="s">
        <v>3641</v>
      </c>
      <c r="B77" s="2275"/>
      <c r="C77" s="1655"/>
      <c r="D77" s="1655"/>
      <c r="E77" s="1441"/>
      <c r="H77" s="1439" t="s">
        <v>1179</v>
      </c>
      <c r="L77" s="1439">
        <v>0</v>
      </c>
    </row>
    <row r="78" spans="1:13" ht="18" customHeight="1" thickBot="1">
      <c r="A78" s="2281" t="s">
        <v>87</v>
      </c>
      <c r="B78" s="2282" t="e">
        <f>#REF!/10^7</f>
        <v>#REF!</v>
      </c>
      <c r="C78" s="2283">
        <f>C9+C45-C76-C77</f>
        <v>520.47957425270579</v>
      </c>
      <c r="D78" s="2284">
        <f>D9+D45-D76</f>
        <v>350.43826319701566</v>
      </c>
      <c r="E78" s="1441">
        <f>D78-C78</f>
        <v>-170.04131105569013</v>
      </c>
      <c r="H78" s="1439" t="s">
        <v>1180</v>
      </c>
      <c r="L78" s="1441">
        <f>+(L66+L69+L74-L76)</f>
        <v>13164.386821379001</v>
      </c>
    </row>
    <row r="79" spans="1:13">
      <c r="A79" s="1444"/>
      <c r="B79" s="1444"/>
      <c r="C79" s="1444"/>
      <c r="D79" s="1444"/>
      <c r="E79" s="2277"/>
      <c r="H79" s="1439" t="s">
        <v>1181</v>
      </c>
      <c r="L79" s="1439">
        <f>+L78/10</f>
        <v>1316.4386821379001</v>
      </c>
      <c r="M79" s="1439">
        <f>+L79*15/100</f>
        <v>197.46580232068499</v>
      </c>
    </row>
    <row r="80" spans="1:13">
      <c r="A80" s="1439" t="s">
        <v>1490</v>
      </c>
      <c r="C80" s="1441"/>
      <c r="D80" s="1441"/>
      <c r="H80" s="1439" t="s">
        <v>1182</v>
      </c>
      <c r="L80" s="1439">
        <f>+L79</f>
        <v>1316.4386821379001</v>
      </c>
    </row>
    <row r="81" spans="1:14">
      <c r="A81" s="1439" t="s">
        <v>1489</v>
      </c>
      <c r="C81" s="1441"/>
      <c r="D81" s="1441"/>
      <c r="H81" s="1439" t="s">
        <v>1186</v>
      </c>
      <c r="L81" s="1439">
        <f>+L79+L80</f>
        <v>2632.8773642758001</v>
      </c>
    </row>
    <row r="82" spans="1:14">
      <c r="A82" s="1439" t="s">
        <v>872</v>
      </c>
      <c r="C82" s="1441"/>
      <c r="D82" s="1441"/>
      <c r="H82" s="1439" t="s">
        <v>1187</v>
      </c>
      <c r="L82" s="2285">
        <f>+L69/10*2</f>
        <v>2526.1999999999998</v>
      </c>
    </row>
    <row r="83" spans="1:14">
      <c r="A83" s="1439" t="s">
        <v>1488</v>
      </c>
      <c r="C83" s="1441"/>
      <c r="D83" s="1441"/>
      <c r="H83" s="1439" t="s">
        <v>1188</v>
      </c>
      <c r="L83" s="2285">
        <f>+L81-L82</f>
        <v>106.6773642758003</v>
      </c>
    </row>
    <row r="84" spans="1:14">
      <c r="B84" s="1441" t="e">
        <f>B45-B76</f>
        <v>#REF!</v>
      </c>
      <c r="C84" s="1441">
        <f>C45-C76</f>
        <v>-110.5031313542936</v>
      </c>
      <c r="D84" s="1441">
        <f>D45-D76</f>
        <v>-170.04131105569013</v>
      </c>
      <c r="F84" s="1441"/>
      <c r="L84" s="1439">
        <f>+L81/12</f>
        <v>219.40644702298334</v>
      </c>
    </row>
    <row r="85" spans="1:14">
      <c r="B85" s="1441" t="e">
        <f>B84-B78</f>
        <v>#REF!</v>
      </c>
      <c r="C85" s="1441"/>
      <c r="D85" s="1441" t="e">
        <f>D8</f>
        <v>#REF!</v>
      </c>
    </row>
    <row r="86" spans="1:14">
      <c r="C86" s="1441"/>
      <c r="D86" s="2279" t="e">
        <f>D78-D85</f>
        <v>#REF!</v>
      </c>
    </row>
    <row r="87" spans="1:14">
      <c r="C87" s="1441"/>
      <c r="E87" s="1441"/>
    </row>
    <row r="88" spans="1:14">
      <c r="C88" s="1441" t="e">
        <f>C78-C8</f>
        <v>#REF!</v>
      </c>
      <c r="D88" s="1441" t="e">
        <f>D78-D8</f>
        <v>#REF!</v>
      </c>
    </row>
    <row r="89" spans="1:14">
      <c r="D89" s="2279" t="e">
        <f>D88-D7</f>
        <v>#REF!</v>
      </c>
    </row>
    <row r="90" spans="1:14">
      <c r="A90" s="1445" t="s">
        <v>590</v>
      </c>
      <c r="B90" s="30" t="s">
        <v>5329</v>
      </c>
      <c r="C90" s="30" t="s">
        <v>5482</v>
      </c>
      <c r="D90" s="30" t="s">
        <v>8102</v>
      </c>
    </row>
    <row r="91" spans="1:14">
      <c r="A91" s="1442" t="s">
        <v>1397</v>
      </c>
      <c r="B91" s="2958">
        <f>'OERC 14,15 &amp; 16'!D17</f>
        <v>97521850.930000007</v>
      </c>
      <c r="C91" s="2286">
        <f>+C48*0.01*10000000</f>
        <v>113555471.72397336</v>
      </c>
      <c r="D91" s="2286">
        <f>+D48*0.01*10000000</f>
        <v>121993137.07694459</v>
      </c>
    </row>
    <row r="92" spans="1:14">
      <c r="A92" s="1442" t="s">
        <v>4503</v>
      </c>
      <c r="B92" s="2958">
        <f>'OERC 14,15 &amp; 16'!D11</f>
        <v>129357741</v>
      </c>
      <c r="C92" s="2286">
        <f>170*5%*10^7</f>
        <v>85000000</v>
      </c>
      <c r="D92" s="2286">
        <f>170*5%*10^7</f>
        <v>85000000</v>
      </c>
    </row>
    <row r="93" spans="1:14">
      <c r="A93" s="1442" t="s">
        <v>4505</v>
      </c>
      <c r="B93" s="2958">
        <f>'OERC 14,15 &amp; 16'!D16</f>
        <v>31998.7</v>
      </c>
      <c r="C93" s="2286">
        <v>0</v>
      </c>
      <c r="D93" s="2286">
        <f>+C93*1.1</f>
        <v>0</v>
      </c>
      <c r="E93" s="1441"/>
      <c r="I93" s="1439" t="s">
        <v>1210</v>
      </c>
      <c r="N93" s="1444">
        <f>22637933.01/100000</f>
        <v>226.3793301</v>
      </c>
    </row>
    <row r="94" spans="1:14">
      <c r="A94" s="1442" t="s">
        <v>4504</v>
      </c>
      <c r="B94" s="2959">
        <f>'OERC 14,15 &amp; 16'!D14</f>
        <v>85115879.329999998</v>
      </c>
      <c r="C94" s="2286">
        <v>145200000</v>
      </c>
      <c r="D94" s="2286">
        <f>+C94*1.1</f>
        <v>159720000</v>
      </c>
      <c r="E94" s="2287"/>
      <c r="I94" s="1439" t="s">
        <v>1481</v>
      </c>
    </row>
    <row r="95" spans="1:14">
      <c r="A95" s="1442" t="s">
        <v>951</v>
      </c>
      <c r="B95" s="2960">
        <f>-'TB FY-2021-22'!G1067</f>
        <v>71063540.920000002</v>
      </c>
      <c r="C95" s="2286">
        <v>8000000</v>
      </c>
      <c r="D95" s="2286">
        <f>+C95*1.1</f>
        <v>8800000</v>
      </c>
      <c r="I95" s="1439" t="s">
        <v>1211</v>
      </c>
      <c r="N95" s="1444">
        <f>2519948/100000</f>
        <v>25.199480000000001</v>
      </c>
    </row>
    <row r="96" spans="1:14">
      <c r="A96" s="1445" t="s">
        <v>875</v>
      </c>
      <c r="B96" s="2268">
        <f>SUM(B91:B95)</f>
        <v>383091010.88</v>
      </c>
      <c r="C96" s="2268">
        <f>SUM(C91:C95)</f>
        <v>351755471.72397339</v>
      </c>
      <c r="D96" s="2268">
        <f>SUM(D91:D95)</f>
        <v>375513137.07694459</v>
      </c>
      <c r="I96" s="1439" t="s">
        <v>1212</v>
      </c>
      <c r="N96" s="1444">
        <f>5932415/100000</f>
        <v>59.324150000000003</v>
      </c>
    </row>
    <row r="97" spans="9:14">
      <c r="I97" s="1439" t="s">
        <v>844</v>
      </c>
      <c r="N97" s="2277">
        <f>+N93-N95-N96</f>
        <v>141.85570010000001</v>
      </c>
    </row>
  </sheetData>
  <mergeCells count="6">
    <mergeCell ref="A1:D1"/>
    <mergeCell ref="A2:D2"/>
    <mergeCell ref="A3:D3"/>
    <mergeCell ref="A4:D4"/>
    <mergeCell ref="A5:A6"/>
    <mergeCell ref="B5:D5"/>
  </mergeCells>
  <phoneticPr fontId="0" type="noConversion"/>
  <printOptions horizontalCentered="1"/>
  <pageMargins left="0.59055118110236215" right="0" top="0" bottom="0.39370078740157483" header="0" footer="0"/>
  <pageSetup paperSize="9" scale="58" orientation="portrait" r:id="rId1"/>
  <headerFooter alignWithMargins="0">
    <oddFooter>&amp;ROERC Form No.23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CA0E6-7130-4179-A226-F50950C4516E}">
  <sheetPr>
    <tabColor rgb="FF92D050"/>
    <pageSetUpPr fitToPage="1"/>
  </sheetPr>
  <dimension ref="A1:R37"/>
  <sheetViews>
    <sheetView topLeftCell="A11" zoomScale="81" zoomScaleNormal="81" workbookViewId="0">
      <selection activeCell="C24" sqref="C24"/>
    </sheetView>
  </sheetViews>
  <sheetFormatPr defaultRowHeight="12.5"/>
  <cols>
    <col min="1" max="1" width="47.36328125" customWidth="1"/>
    <col min="2" max="2" width="10.90625" customWidth="1"/>
    <col min="3" max="3" width="17.36328125" customWidth="1"/>
  </cols>
  <sheetData>
    <row r="1" spans="1:18" ht="15.5">
      <c r="A1" s="1580" t="s">
        <v>5525</v>
      </c>
      <c r="B1" s="1580"/>
      <c r="C1" s="629"/>
      <c r="D1" s="625"/>
      <c r="E1" s="625"/>
      <c r="F1" s="625"/>
      <c r="G1" s="625"/>
      <c r="H1" s="2117"/>
      <c r="I1" s="2118"/>
      <c r="J1" s="630"/>
      <c r="K1" s="630"/>
      <c r="L1" s="630"/>
      <c r="M1" s="638"/>
      <c r="N1" s="630"/>
      <c r="O1" s="630"/>
      <c r="P1" s="631"/>
      <c r="Q1" s="625"/>
      <c r="R1" s="630"/>
    </row>
    <row r="2" spans="1:18" ht="15">
      <c r="A2" s="3427" t="s">
        <v>8389</v>
      </c>
      <c r="B2" s="3428"/>
      <c r="C2" s="3364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</row>
    <row r="3" spans="1:18">
      <c r="A3" s="12"/>
      <c r="B3" s="12"/>
      <c r="C3" s="12"/>
    </row>
    <row r="4" spans="1:18" ht="13">
      <c r="A4" s="14" t="s">
        <v>8388</v>
      </c>
      <c r="B4" s="14"/>
      <c r="C4" s="12"/>
    </row>
    <row r="5" spans="1:18">
      <c r="A5" s="12"/>
      <c r="B5" s="12"/>
      <c r="C5" s="12"/>
    </row>
    <row r="6" spans="1:18" ht="13">
      <c r="A6" s="14" t="s">
        <v>8380</v>
      </c>
      <c r="B6" s="14"/>
      <c r="C6" s="16" t="s">
        <v>8381</v>
      </c>
    </row>
    <row r="7" spans="1:18" s="44" customFormat="1" ht="18.5" customHeight="1">
      <c r="A7" s="3058" t="s">
        <v>8382</v>
      </c>
      <c r="B7" s="3058" t="s">
        <v>5459</v>
      </c>
      <c r="C7" s="2859">
        <v>2098</v>
      </c>
    </row>
    <row r="8" spans="1:18" s="44" customFormat="1" ht="18.5" customHeight="1">
      <c r="A8" s="3058" t="s">
        <v>8383</v>
      </c>
      <c r="B8" s="3058" t="s">
        <v>5459</v>
      </c>
      <c r="C8" s="2859">
        <v>347</v>
      </c>
    </row>
    <row r="9" spans="1:18" s="44" customFormat="1" ht="18.5" customHeight="1">
      <c r="A9" s="3058" t="s">
        <v>8384</v>
      </c>
      <c r="B9" s="3058" t="s">
        <v>5459</v>
      </c>
      <c r="C9" s="2859">
        <v>-112</v>
      </c>
    </row>
    <row r="10" spans="1:18" s="44" customFormat="1" ht="18.5" customHeight="1">
      <c r="A10" s="3058" t="s">
        <v>8385</v>
      </c>
      <c r="B10" s="3058" t="s">
        <v>5459</v>
      </c>
      <c r="C10" s="2859">
        <f>C7+C8+C9</f>
        <v>2333</v>
      </c>
    </row>
    <row r="11" spans="1:18" s="44" customFormat="1" ht="18.5" customHeight="1">
      <c r="A11" s="3058" t="s">
        <v>8386</v>
      </c>
      <c r="B11" s="3058" t="s">
        <v>8372</v>
      </c>
      <c r="C11" s="2859">
        <v>636</v>
      </c>
    </row>
    <row r="12" spans="1:18" s="44" customFormat="1" ht="18.5" customHeight="1">
      <c r="A12" s="3058" t="s">
        <v>8387</v>
      </c>
      <c r="B12" s="3058" t="s">
        <v>8372</v>
      </c>
      <c r="C12" s="2859">
        <v>-79</v>
      </c>
    </row>
    <row r="13" spans="1:18" s="44" customFormat="1" ht="18.5" customHeight="1">
      <c r="A13" s="3058" t="s">
        <v>8421</v>
      </c>
      <c r="B13" s="3058" t="s">
        <v>8372</v>
      </c>
      <c r="C13" s="2859">
        <f>C10+C11+C12</f>
        <v>2890</v>
      </c>
    </row>
    <row r="16" spans="1:18" ht="13">
      <c r="A16" s="14" t="s">
        <v>8390</v>
      </c>
      <c r="B16" s="14"/>
      <c r="C16" s="16" t="s">
        <v>8381</v>
      </c>
    </row>
    <row r="17" spans="1:3" ht="23" customHeight="1">
      <c r="A17" s="3058" t="s">
        <v>8382</v>
      </c>
      <c r="B17" s="3058" t="s">
        <v>5459</v>
      </c>
      <c r="C17" s="2859">
        <f>C7</f>
        <v>2098</v>
      </c>
    </row>
    <row r="18" spans="1:3" ht="23" customHeight="1">
      <c r="A18" s="3058" t="s">
        <v>8383</v>
      </c>
      <c r="B18" s="3058" t="s">
        <v>5459</v>
      </c>
      <c r="C18" s="2859">
        <f t="shared" ref="C18:C20" si="0">C8</f>
        <v>347</v>
      </c>
    </row>
    <row r="19" spans="1:3" ht="23" customHeight="1">
      <c r="A19" s="3058" t="s">
        <v>8384</v>
      </c>
      <c r="B19" s="3058" t="s">
        <v>5459</v>
      </c>
      <c r="C19" s="2859">
        <f t="shared" si="0"/>
        <v>-112</v>
      </c>
    </row>
    <row r="20" spans="1:3" ht="23" customHeight="1">
      <c r="A20" s="3058" t="s">
        <v>8385</v>
      </c>
      <c r="B20" s="3058" t="s">
        <v>5459</v>
      </c>
      <c r="C20" s="2859">
        <f t="shared" si="0"/>
        <v>2333</v>
      </c>
    </row>
    <row r="21" spans="1:3" ht="23" customHeight="1">
      <c r="A21" s="3058" t="s">
        <v>8386</v>
      </c>
      <c r="B21" s="3058" t="s">
        <v>20</v>
      </c>
      <c r="C21" s="2859">
        <v>528</v>
      </c>
    </row>
    <row r="22" spans="1:3" ht="23" customHeight="1">
      <c r="A22" s="3058" t="s">
        <v>8387</v>
      </c>
      <c r="B22" s="3058" t="s">
        <v>5459</v>
      </c>
      <c r="C22" s="2859">
        <f>C12</f>
        <v>-79</v>
      </c>
    </row>
    <row r="23" spans="1:3" ht="23" customHeight="1">
      <c r="A23" s="3058" t="s">
        <v>8421</v>
      </c>
      <c r="B23" s="3058" t="s">
        <v>20</v>
      </c>
      <c r="C23" s="2859">
        <f>C20+C21+C22</f>
        <v>2782</v>
      </c>
    </row>
    <row r="24" spans="1:3" ht="20" customHeight="1">
      <c r="A24" s="3058" t="s">
        <v>8391</v>
      </c>
      <c r="B24" s="3058" t="s">
        <v>5459</v>
      </c>
      <c r="C24" s="73">
        <f>(C7+C10)/2</f>
        <v>2215.5</v>
      </c>
    </row>
    <row r="25" spans="1:3" ht="20.5" customHeight="1">
      <c r="A25" s="3058" t="s">
        <v>8392</v>
      </c>
      <c r="B25" s="3058" t="s">
        <v>20</v>
      </c>
      <c r="C25" s="73">
        <f>(C20+C23)/2</f>
        <v>2557.5</v>
      </c>
    </row>
    <row r="28" spans="1:3" ht="26">
      <c r="A28" s="3060" t="s">
        <v>8393</v>
      </c>
      <c r="B28" s="3060"/>
      <c r="C28" s="16" t="s">
        <v>8381</v>
      </c>
    </row>
    <row r="29" spans="1:3">
      <c r="A29" s="3059" t="s">
        <v>8394</v>
      </c>
      <c r="B29" s="3059"/>
      <c r="C29" s="12"/>
    </row>
    <row r="30" spans="1:3">
      <c r="A30" s="3059" t="s">
        <v>8395</v>
      </c>
      <c r="B30" s="3059"/>
      <c r="C30" s="12"/>
    </row>
    <row r="31" spans="1:3">
      <c r="A31" s="3059" t="s">
        <v>8396</v>
      </c>
      <c r="B31" s="3059"/>
      <c r="C31" s="12"/>
    </row>
    <row r="32" spans="1:3">
      <c r="A32" s="3059" t="s">
        <v>8397</v>
      </c>
      <c r="B32" s="3059"/>
      <c r="C32" s="12"/>
    </row>
    <row r="33" spans="1:3">
      <c r="A33" s="3059" t="s">
        <v>8398</v>
      </c>
      <c r="B33" s="3059"/>
      <c r="C33" s="12"/>
    </row>
    <row r="34" spans="1:3">
      <c r="A34" s="3059" t="s">
        <v>8399</v>
      </c>
      <c r="B34" s="3059"/>
      <c r="C34" s="12"/>
    </row>
    <row r="35" spans="1:3">
      <c r="A35" s="3059" t="s">
        <v>8400</v>
      </c>
      <c r="B35" s="3059"/>
      <c r="C35" s="12"/>
    </row>
    <row r="36" spans="1:3">
      <c r="A36" s="3059" t="s">
        <v>8401</v>
      </c>
      <c r="B36" s="3059"/>
      <c r="C36" s="12"/>
    </row>
    <row r="37" spans="1:3">
      <c r="A37" s="590" t="s">
        <v>8402</v>
      </c>
      <c r="B37" s="590"/>
      <c r="C37" s="12"/>
    </row>
  </sheetData>
  <mergeCells count="1">
    <mergeCell ref="A2:C2"/>
  </mergeCells>
  <printOptions horizontalCentered="1"/>
  <pageMargins left="0.7" right="0.7" top="0.75" bottom="0.75" header="0.3" footer="0.3"/>
  <pageSetup paperSize="9" scale="8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51E59-A2D9-4E94-8018-92F11708BF80}">
  <sheetPr>
    <tabColor rgb="FF92D050"/>
    <pageSetUpPr fitToPage="1"/>
  </sheetPr>
  <dimension ref="A1:T29"/>
  <sheetViews>
    <sheetView zoomScale="76" zoomScaleNormal="76" workbookViewId="0">
      <selection activeCell="L22" sqref="L22"/>
    </sheetView>
  </sheetViews>
  <sheetFormatPr defaultRowHeight="12.5"/>
  <cols>
    <col min="1" max="1" width="49.453125" customWidth="1"/>
    <col min="2" max="2" width="23.1796875" customWidth="1"/>
    <col min="12" max="12" width="13" bestFit="1" customWidth="1"/>
    <col min="13" max="13" width="11.81640625" bestFit="1" customWidth="1"/>
    <col min="15" max="15" width="13" bestFit="1" customWidth="1"/>
    <col min="16" max="16" width="12.81640625" bestFit="1" customWidth="1"/>
    <col min="17" max="17" width="12.90625" bestFit="1" customWidth="1"/>
    <col min="18" max="18" width="13.90625" bestFit="1" customWidth="1"/>
    <col min="19" max="19" width="11.26953125" bestFit="1" customWidth="1"/>
    <col min="20" max="20" width="12.1796875" bestFit="1" customWidth="1"/>
  </cols>
  <sheetData>
    <row r="1" spans="1:20" ht="15.5">
      <c r="A1" s="1580" t="s">
        <v>5525</v>
      </c>
      <c r="B1" s="629"/>
    </row>
    <row r="2" spans="1:20" ht="29" customHeight="1">
      <c r="A2" s="3435" t="s">
        <v>8403</v>
      </c>
      <c r="B2" s="3436"/>
    </row>
    <row r="3" spans="1:20" ht="18.5">
      <c r="A3" s="3060" t="s">
        <v>8404</v>
      </c>
      <c r="B3" s="16" t="s">
        <v>8381</v>
      </c>
      <c r="K3" s="3062" t="s">
        <v>8422</v>
      </c>
      <c r="L3" s="3063" t="s">
        <v>801</v>
      </c>
      <c r="M3" s="3063" t="s">
        <v>8423</v>
      </c>
      <c r="N3" s="3063" t="s">
        <v>8424</v>
      </c>
      <c r="O3" s="3063" t="s">
        <v>367</v>
      </c>
      <c r="P3" s="3063" t="s">
        <v>8430</v>
      </c>
      <c r="Q3" s="3063" t="s">
        <v>8431</v>
      </c>
      <c r="R3" s="3063" t="s">
        <v>8432</v>
      </c>
      <c r="S3" s="3063" t="s">
        <v>8433</v>
      </c>
      <c r="T3" s="3063" t="s">
        <v>8427</v>
      </c>
    </row>
    <row r="4" spans="1:20">
      <c r="A4" s="3059" t="s">
        <v>8394</v>
      </c>
      <c r="B4" s="327">
        <v>100325970.66666667</v>
      </c>
      <c r="K4" s="3066" t="s">
        <v>8394</v>
      </c>
      <c r="L4" s="3064">
        <v>9399079</v>
      </c>
      <c r="M4" s="3068">
        <v>6489057.666666667</v>
      </c>
      <c r="N4" s="3068"/>
      <c r="O4" s="3064">
        <v>76708860</v>
      </c>
      <c r="P4" s="1838">
        <v>1551622</v>
      </c>
      <c r="Q4" s="1838">
        <v>65298</v>
      </c>
      <c r="R4" s="1838">
        <v>5865256</v>
      </c>
      <c r="S4" s="1838">
        <v>246798</v>
      </c>
      <c r="T4" s="1845">
        <f>SUM(L4:S4)</f>
        <v>100325970.66666667</v>
      </c>
    </row>
    <row r="5" spans="1:20">
      <c r="A5" s="3059" t="s">
        <v>8395</v>
      </c>
      <c r="B5" s="327">
        <v>129021910.66666667</v>
      </c>
      <c r="K5" s="3067" t="s">
        <v>8395</v>
      </c>
      <c r="L5" s="3064">
        <v>25665525</v>
      </c>
      <c r="M5" s="3068">
        <v>6489057.666666667</v>
      </c>
      <c r="N5" s="3069"/>
      <c r="O5" s="3064">
        <v>84162679</v>
      </c>
      <c r="P5" s="1838">
        <v>1733596</v>
      </c>
      <c r="Q5" s="1838">
        <v>72955</v>
      </c>
      <c r="R5" s="1838">
        <v>10457991</v>
      </c>
      <c r="S5" s="1838">
        <v>440107</v>
      </c>
      <c r="T5" s="1845">
        <f t="shared" ref="T5:T10" si="0">SUM(L5:S5)</f>
        <v>129021910.66666667</v>
      </c>
    </row>
    <row r="6" spans="1:20">
      <c r="A6" s="3059" t="s">
        <v>8396</v>
      </c>
      <c r="B6" s="327">
        <v>107861560.66666667</v>
      </c>
      <c r="K6" s="3067" t="s">
        <v>8396</v>
      </c>
      <c r="L6" s="3064">
        <v>19438299</v>
      </c>
      <c r="M6" s="3068">
        <v>6489057.666666667</v>
      </c>
      <c r="N6" s="3070"/>
      <c r="O6" s="3064">
        <v>73745695</v>
      </c>
      <c r="P6" s="1838">
        <v>1926144</v>
      </c>
      <c r="Q6" s="1838">
        <v>81059</v>
      </c>
      <c r="R6" s="1838">
        <v>5931682</v>
      </c>
      <c r="S6" s="1838">
        <v>249624</v>
      </c>
      <c r="T6" s="1845">
        <f t="shared" si="0"/>
        <v>107861560.66666667</v>
      </c>
    </row>
    <row r="7" spans="1:20">
      <c r="A7" s="3059" t="s">
        <v>8397</v>
      </c>
      <c r="B7" s="327">
        <v>111826532</v>
      </c>
      <c r="K7" s="3066" t="s">
        <v>8397</v>
      </c>
      <c r="L7" s="3064">
        <v>1031884</v>
      </c>
      <c r="M7" s="3064">
        <v>5768585</v>
      </c>
      <c r="N7" s="3064"/>
      <c r="O7" s="3064">
        <v>96628804</v>
      </c>
      <c r="P7" s="1838">
        <v>2110476</v>
      </c>
      <c r="Q7" s="1838">
        <v>88815</v>
      </c>
      <c r="R7" s="1838">
        <v>5947670</v>
      </c>
      <c r="S7" s="1838">
        <v>250298</v>
      </c>
      <c r="T7" s="1845">
        <f t="shared" si="0"/>
        <v>111826532</v>
      </c>
    </row>
    <row r="8" spans="1:20">
      <c r="A8" s="3059" t="s">
        <v>8398</v>
      </c>
      <c r="B8" s="327">
        <v>101815929</v>
      </c>
      <c r="K8" s="3066" t="s">
        <v>8425</v>
      </c>
      <c r="L8" s="3064">
        <v>11116080</v>
      </c>
      <c r="M8" s="3064">
        <v>3308730</v>
      </c>
      <c r="N8" s="3064"/>
      <c r="O8" s="3064">
        <v>78710722</v>
      </c>
      <c r="P8" s="1838">
        <v>2373361</v>
      </c>
      <c r="Q8" s="1838">
        <v>99878</v>
      </c>
      <c r="R8" s="1838">
        <v>5956585</v>
      </c>
      <c r="S8" s="1838">
        <v>250573</v>
      </c>
      <c r="T8" s="1845">
        <f t="shared" si="0"/>
        <v>101815929</v>
      </c>
    </row>
    <row r="9" spans="1:20">
      <c r="A9" s="3059" t="s">
        <v>8399</v>
      </c>
      <c r="B9" s="327">
        <v>99520285.060000002</v>
      </c>
      <c r="K9" s="3066" t="s">
        <v>8426</v>
      </c>
      <c r="L9" s="3064">
        <v>12405522</v>
      </c>
      <c r="M9" s="3064">
        <v>6403953</v>
      </c>
      <c r="N9" s="3064"/>
      <c r="O9" s="3064">
        <v>71697216</v>
      </c>
      <c r="P9" s="1838">
        <v>2608493</v>
      </c>
      <c r="Q9" s="1838">
        <v>170720.04</v>
      </c>
      <c r="R9" s="1838">
        <v>5982484.0199999996</v>
      </c>
      <c r="S9" s="1838">
        <v>251897</v>
      </c>
      <c r="T9" s="1845">
        <f t="shared" si="0"/>
        <v>99520285.060000002</v>
      </c>
    </row>
    <row r="10" spans="1:20">
      <c r="A10" s="3059" t="s">
        <v>8400</v>
      </c>
      <c r="B10" s="327">
        <v>116170732.82000001</v>
      </c>
      <c r="K10" s="3071" t="s">
        <v>8428</v>
      </c>
      <c r="L10" s="32">
        <v>7921715</v>
      </c>
      <c r="M10" s="32">
        <v>4131220</v>
      </c>
      <c r="O10" s="32">
        <v>93888251</v>
      </c>
      <c r="P10" s="1838">
        <v>2718073</v>
      </c>
      <c r="Q10" s="1838">
        <v>177830.03</v>
      </c>
      <c r="R10" s="1838">
        <v>7040891</v>
      </c>
      <c r="S10" s="1838">
        <v>292752.78999999998</v>
      </c>
      <c r="T10" s="1845">
        <f t="shared" si="0"/>
        <v>116170732.82000001</v>
      </c>
    </row>
    <row r="11" spans="1:20" ht="14.5">
      <c r="A11" s="3059" t="s">
        <v>8401</v>
      </c>
      <c r="B11" s="12"/>
      <c r="K11" s="3065" t="s">
        <v>8429</v>
      </c>
      <c r="L11" s="3064"/>
      <c r="M11" s="3064"/>
      <c r="N11" s="3064"/>
      <c r="O11" s="3064"/>
    </row>
    <row r="12" spans="1:20">
      <c r="A12" s="590" t="s">
        <v>8405</v>
      </c>
      <c r="B12" s="3072">
        <f>SUM(B4:B11)</f>
        <v>766542920.88</v>
      </c>
    </row>
    <row r="13" spans="1:20">
      <c r="A13" s="590" t="s">
        <v>8406</v>
      </c>
      <c r="B13" s="12"/>
    </row>
    <row r="14" spans="1:20">
      <c r="A14" s="590" t="s">
        <v>8407</v>
      </c>
      <c r="B14" s="12"/>
    </row>
    <row r="15" spans="1:20">
      <c r="A15" s="590" t="s">
        <v>8408</v>
      </c>
      <c r="B15" s="327">
        <f>B12/7</f>
        <v>109506131.55428572</v>
      </c>
    </row>
    <row r="16" spans="1:20">
      <c r="A16" s="590" t="s">
        <v>8409</v>
      </c>
      <c r="B16" s="3072">
        <f>B15*12</f>
        <v>1314073578.6514287</v>
      </c>
    </row>
    <row r="19" spans="1:3" ht="26">
      <c r="A19" s="3060" t="s">
        <v>8410</v>
      </c>
      <c r="B19" s="16" t="s">
        <v>8381</v>
      </c>
      <c r="C19" s="608" t="s">
        <v>8434</v>
      </c>
    </row>
    <row r="20" spans="1:3">
      <c r="A20" s="3059" t="s">
        <v>8394</v>
      </c>
      <c r="B20" s="12"/>
    </row>
    <row r="21" spans="1:3">
      <c r="A21" s="3059" t="s">
        <v>8395</v>
      </c>
      <c r="B21" s="12"/>
    </row>
    <row r="22" spans="1:3">
      <c r="A22" s="3059" t="s">
        <v>8396</v>
      </c>
      <c r="B22" s="12"/>
    </row>
    <row r="23" spans="1:3">
      <c r="A23" s="3059" t="s">
        <v>8397</v>
      </c>
      <c r="B23" s="12"/>
    </row>
    <row r="24" spans="1:3">
      <c r="A24" s="3059" t="s">
        <v>8398</v>
      </c>
      <c r="B24" s="12"/>
    </row>
    <row r="25" spans="1:3">
      <c r="A25" s="3059" t="s">
        <v>8399</v>
      </c>
      <c r="B25" s="12"/>
    </row>
    <row r="26" spans="1:3">
      <c r="A26" s="3059" t="s">
        <v>8400</v>
      </c>
      <c r="B26" s="12"/>
    </row>
    <row r="27" spans="1:3">
      <c r="A27" s="3059" t="s">
        <v>8401</v>
      </c>
      <c r="B27" s="12"/>
    </row>
    <row r="28" spans="1:3">
      <c r="A28" s="590" t="s">
        <v>8411</v>
      </c>
      <c r="B28" s="12"/>
    </row>
    <row r="29" spans="1:3">
      <c r="A29" s="590"/>
      <c r="B29" s="12"/>
    </row>
  </sheetData>
  <mergeCells count="1">
    <mergeCell ref="A2:B2"/>
  </mergeCells>
  <printOptions horizontalCentered="1"/>
  <pageMargins left="0.7" right="0.7" top="0.75" bottom="0.75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D055-6DEC-41B7-BB96-590CC8CFB84F}">
  <sheetPr>
    <tabColor rgb="FF92D050"/>
    <pageSetUpPr fitToPage="1"/>
  </sheetPr>
  <dimension ref="A1:K27"/>
  <sheetViews>
    <sheetView view="pageBreakPreview" zoomScale="60" zoomScaleNormal="78" workbookViewId="0">
      <selection activeCell="D13" sqref="D13"/>
    </sheetView>
  </sheetViews>
  <sheetFormatPr defaultRowHeight="12.5"/>
  <cols>
    <col min="1" max="1" width="41.90625" customWidth="1"/>
    <col min="2" max="2" width="21.36328125" customWidth="1"/>
    <col min="3" max="3" width="21.54296875" customWidth="1"/>
    <col min="10" max="10" width="42.7265625" bestFit="1" customWidth="1"/>
    <col min="11" max="11" width="6.81640625" bestFit="1" customWidth="1"/>
  </cols>
  <sheetData>
    <row r="1" spans="1:3" ht="15.5">
      <c r="A1" s="1580" t="s">
        <v>5525</v>
      </c>
      <c r="B1" s="630"/>
      <c r="C1" s="630"/>
    </row>
    <row r="2" spans="1:3" ht="15">
      <c r="A2" s="3325" t="s">
        <v>8436</v>
      </c>
      <c r="B2" s="3325"/>
      <c r="C2" s="3325"/>
    </row>
    <row r="3" spans="1:3" ht="15">
      <c r="A3" s="3325" t="s">
        <v>3774</v>
      </c>
      <c r="B3" s="3325"/>
      <c r="C3" s="3325"/>
    </row>
    <row r="4" spans="1:3" ht="15.5">
      <c r="A4" s="680"/>
      <c r="B4" s="3427" t="s">
        <v>4052</v>
      </c>
      <c r="C4" s="3364"/>
    </row>
    <row r="5" spans="1:3" ht="15">
      <c r="A5" s="796" t="s">
        <v>8435</v>
      </c>
      <c r="B5" s="3437" t="s">
        <v>7155</v>
      </c>
      <c r="C5" s="3437"/>
    </row>
    <row r="6" spans="1:3" ht="15">
      <c r="B6" s="3073" t="s">
        <v>8437</v>
      </c>
      <c r="C6" s="3073" t="s">
        <v>20</v>
      </c>
    </row>
    <row r="7" spans="1:3" s="44" customFormat="1" ht="27" customHeight="1">
      <c r="A7" s="3074" t="s">
        <v>8438</v>
      </c>
      <c r="B7" s="2046">
        <v>1499.0824420334682</v>
      </c>
      <c r="C7" s="2859"/>
    </row>
    <row r="8" spans="1:3" s="44" customFormat="1" ht="27" customHeight="1">
      <c r="A8" s="3058" t="s">
        <v>8439</v>
      </c>
      <c r="B8" s="3081">
        <v>5.3999999999999999E-2</v>
      </c>
      <c r="C8" s="2859"/>
    </row>
    <row r="9" spans="1:3" s="44" customFormat="1" ht="27" customHeight="1">
      <c r="A9" s="3058" t="s">
        <v>8440</v>
      </c>
      <c r="B9" s="2046">
        <f>B7*B8</f>
        <v>80.950451869807281</v>
      </c>
      <c r="C9" s="2859"/>
    </row>
    <row r="10" spans="1:3" s="44" customFormat="1" ht="27" customHeight="1">
      <c r="A10" s="3058" t="s">
        <v>8441</v>
      </c>
      <c r="B10" s="2046">
        <f>K27</f>
        <v>2406.38</v>
      </c>
      <c r="C10" s="2859"/>
    </row>
    <row r="11" spans="1:3" s="44" customFormat="1" ht="27" customHeight="1">
      <c r="A11" s="3074" t="s">
        <v>8442</v>
      </c>
      <c r="B11" s="3082">
        <v>0.03</v>
      </c>
      <c r="C11" s="3058" t="s">
        <v>460</v>
      </c>
    </row>
    <row r="12" spans="1:3" s="44" customFormat="1" ht="27" customHeight="1">
      <c r="A12" s="3058" t="s">
        <v>8443</v>
      </c>
      <c r="B12" s="2046">
        <f>B10*B11</f>
        <v>72.191400000000002</v>
      </c>
      <c r="C12" s="2859"/>
    </row>
    <row r="13" spans="1:3" s="44" customFormat="1" ht="27" customHeight="1">
      <c r="A13" s="2859"/>
      <c r="B13" s="2046"/>
      <c r="C13" s="2859"/>
    </row>
    <row r="14" spans="1:3" s="44" customFormat="1" ht="27" customHeight="1">
      <c r="A14" s="3058" t="s">
        <v>8444</v>
      </c>
      <c r="B14" s="2046">
        <f>B9+B12</f>
        <v>153.14185186980728</v>
      </c>
      <c r="C14" s="2859"/>
    </row>
    <row r="15" spans="1:3" s="44" customFormat="1" ht="27" customHeight="1">
      <c r="A15" s="2859"/>
      <c r="B15" s="2859"/>
      <c r="C15" s="2859"/>
    </row>
    <row r="17" spans="10:11" ht="13" thickBot="1"/>
    <row r="18" spans="10:11" ht="23.5" thickBot="1">
      <c r="J18" s="3075" t="s">
        <v>8445</v>
      </c>
      <c r="K18" s="3076" t="s">
        <v>8446</v>
      </c>
    </row>
    <row r="19" spans="10:11" ht="23.5" thickBot="1">
      <c r="J19" s="3077" t="s">
        <v>8447</v>
      </c>
      <c r="K19" s="3078">
        <v>748.3</v>
      </c>
    </row>
    <row r="20" spans="10:11" ht="23.5" thickBot="1">
      <c r="J20" s="3077" t="s">
        <v>8448</v>
      </c>
      <c r="K20" s="3078">
        <v>273.20999999999998</v>
      </c>
    </row>
    <row r="21" spans="10:11" ht="13" thickBot="1">
      <c r="J21" s="3077" t="s">
        <v>8449</v>
      </c>
      <c r="K21" s="3078">
        <v>211.86</v>
      </c>
    </row>
    <row r="22" spans="10:11" ht="23.5" thickBot="1">
      <c r="J22" s="3077" t="s">
        <v>8450</v>
      </c>
      <c r="K22" s="3078">
        <v>272.89</v>
      </c>
    </row>
    <row r="23" spans="10:11" ht="23.5" thickBot="1">
      <c r="J23" s="3077" t="s">
        <v>8451</v>
      </c>
      <c r="K23" s="3078">
        <v>6.55</v>
      </c>
    </row>
    <row r="24" spans="10:11" ht="23.5" thickBot="1">
      <c r="J24" s="3077" t="s">
        <v>8452</v>
      </c>
      <c r="K24" s="3078">
        <v>331.84</v>
      </c>
    </row>
    <row r="25" spans="10:11" ht="23.5" thickBot="1">
      <c r="J25" s="3077" t="s">
        <v>8453</v>
      </c>
      <c r="K25" s="3078">
        <v>26.38</v>
      </c>
    </row>
    <row r="26" spans="10:11" ht="13" thickBot="1">
      <c r="J26" s="3077" t="s">
        <v>8454</v>
      </c>
      <c r="K26" s="3078">
        <v>535.35</v>
      </c>
    </row>
    <row r="27" spans="10:11" ht="13" thickBot="1">
      <c r="J27" s="3079" t="s">
        <v>1100</v>
      </c>
      <c r="K27" s="3080">
        <v>2406.38</v>
      </c>
    </row>
  </sheetData>
  <mergeCells count="4">
    <mergeCell ref="A2:C2"/>
    <mergeCell ref="A3:C3"/>
    <mergeCell ref="B4:C4"/>
    <mergeCell ref="B5:C5"/>
  </mergeCells>
  <printOptions horizontalCentered="1"/>
  <pageMargins left="0.7" right="0.7" top="0.75" bottom="0.75" header="0.3" footer="0.3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4">
    <tabColor rgb="FF92D050"/>
    <pageSetUpPr fitToPage="1"/>
  </sheetPr>
  <dimension ref="A1:T53"/>
  <sheetViews>
    <sheetView showGridLines="0" showWhiteSpace="0" view="pageBreakPreview" topLeftCell="A2" zoomScale="60" zoomScaleNormal="81" workbookViewId="0">
      <selection activeCell="H2" sqref="H1:I1048576"/>
    </sheetView>
  </sheetViews>
  <sheetFormatPr defaultColWidth="9.1796875" defaultRowHeight="15.5"/>
  <cols>
    <col min="1" max="1" width="10.1796875" style="674" customWidth="1"/>
    <col min="2" max="2" width="37.54296875" style="630" bestFit="1" customWidth="1"/>
    <col min="3" max="3" width="14.453125" style="630" bestFit="1" customWidth="1"/>
    <col min="4" max="4" width="18.26953125" style="630" bestFit="1" customWidth="1"/>
    <col min="5" max="5" width="16.54296875" style="630" bestFit="1" customWidth="1"/>
    <col min="6" max="6" width="17" style="630" bestFit="1" customWidth="1"/>
    <col min="7" max="7" width="25.7265625" style="630" customWidth="1"/>
    <col min="8" max="8" width="32.26953125" style="630" customWidth="1"/>
    <col min="9" max="9" width="35.26953125" style="630" customWidth="1"/>
    <col min="10" max="10" width="18" style="630" customWidth="1"/>
    <col min="11" max="11" width="11.81640625" style="630" bestFit="1" customWidth="1"/>
    <col min="12" max="12" width="9.81640625" style="630" bestFit="1" customWidth="1"/>
    <col min="13" max="13" width="17.54296875" style="630" customWidth="1"/>
    <col min="14" max="14" width="9.1796875" style="630"/>
    <col min="15" max="15" width="9.26953125" style="630" bestFit="1" customWidth="1"/>
    <col min="16" max="19" width="9.1796875" style="630"/>
    <col min="20" max="20" width="10.81640625" style="630" bestFit="1" customWidth="1"/>
    <col min="21" max="16384" width="9.1796875" style="630"/>
  </cols>
  <sheetData>
    <row r="1" spans="1:20">
      <c r="A1" s="1580" t="s">
        <v>5525</v>
      </c>
      <c r="D1" s="631"/>
      <c r="E1" s="625"/>
      <c r="G1" s="1357"/>
    </row>
    <row r="2" spans="1:20">
      <c r="A2" s="3325" t="s">
        <v>8412</v>
      </c>
      <c r="B2" s="3325"/>
      <c r="C2" s="3325"/>
      <c r="D2" s="3325"/>
      <c r="E2" s="3325"/>
      <c r="F2" s="3325"/>
      <c r="G2" s="1373"/>
    </row>
    <row r="3" spans="1:20">
      <c r="A3" s="3325" t="s">
        <v>3774</v>
      </c>
      <c r="B3" s="3325"/>
      <c r="C3" s="3325"/>
      <c r="D3" s="3325"/>
      <c r="E3" s="3325"/>
      <c r="F3" s="3325"/>
      <c r="G3" s="1373"/>
      <c r="H3" s="638">
        <f>'F-19-A'!D22</f>
        <v>1186.913874004</v>
      </c>
    </row>
    <row r="4" spans="1:20">
      <c r="A4" s="680"/>
      <c r="B4" s="634"/>
      <c r="C4" s="634"/>
      <c r="D4" s="634"/>
      <c r="E4" s="634"/>
      <c r="F4" s="639" t="s">
        <v>4052</v>
      </c>
      <c r="G4" s="1369"/>
    </row>
    <row r="5" spans="1:20" ht="45.5" thickBot="1">
      <c r="A5" s="796" t="s">
        <v>551</v>
      </c>
      <c r="B5" s="796" t="s">
        <v>8455</v>
      </c>
      <c r="C5" s="796" t="s">
        <v>897</v>
      </c>
      <c r="D5" s="2248" t="s">
        <v>3775</v>
      </c>
      <c r="E5" s="796" t="s">
        <v>898</v>
      </c>
      <c r="F5" s="796" t="s">
        <v>899</v>
      </c>
      <c r="G5" s="1410"/>
    </row>
    <row r="6" spans="1:20" ht="33.75" customHeight="1">
      <c r="A6" s="747"/>
      <c r="B6" s="796"/>
      <c r="C6" s="797" t="s">
        <v>5329</v>
      </c>
      <c r="D6" s="2100" t="s">
        <v>5482</v>
      </c>
      <c r="E6" s="797" t="s">
        <v>7995</v>
      </c>
      <c r="F6" s="1775" t="s">
        <v>7996</v>
      </c>
      <c r="G6" s="1411"/>
      <c r="H6" s="797" t="s">
        <v>323</v>
      </c>
      <c r="I6" s="798" t="s">
        <v>5342</v>
      </c>
      <c r="J6" s="798" t="s">
        <v>5343</v>
      </c>
    </row>
    <row r="7" spans="1:20" ht="22.5" customHeight="1">
      <c r="A7" s="680">
        <v>1</v>
      </c>
      <c r="B7" s="799" t="s">
        <v>1213</v>
      </c>
      <c r="C7" s="1807">
        <v>5.9694318989999999</v>
      </c>
      <c r="D7" s="1807">
        <v>5.543212831</v>
      </c>
      <c r="E7" s="1807">
        <v>11.086425662</v>
      </c>
      <c r="F7" s="800">
        <v>11.6407469451</v>
      </c>
      <c r="G7" s="1412"/>
      <c r="H7" s="1653"/>
      <c r="I7" s="635"/>
      <c r="J7" s="801"/>
    </row>
    <row r="8" spans="1:20" ht="22.5" customHeight="1">
      <c r="A8" s="680">
        <v>2</v>
      </c>
      <c r="B8" s="799" t="s">
        <v>1214</v>
      </c>
      <c r="C8" s="2068">
        <v>0</v>
      </c>
      <c r="D8" s="1807">
        <f>SUMIF('TB FY23 (H1)'!$J$2:$J$1482,'F-13-B'!A8,'TB FY23 (H1)'!$F$2:$F$1482)</f>
        <v>0</v>
      </c>
      <c r="E8" s="1807">
        <f>SUMIF('TB FY23 (H1)'!$J$2:$J$1482,'F-13-B'!B8,'TB FY23 (H1)'!$F$2:$F$1482)</f>
        <v>0</v>
      </c>
      <c r="F8" s="804">
        <v>0</v>
      </c>
      <c r="G8" s="1412"/>
      <c r="H8" s="634" t="s">
        <v>923</v>
      </c>
      <c r="I8" s="635"/>
      <c r="J8" s="801"/>
    </row>
    <row r="9" spans="1:20" ht="22.5" customHeight="1">
      <c r="A9" s="680">
        <v>3</v>
      </c>
      <c r="B9" s="799" t="s">
        <v>502</v>
      </c>
      <c r="C9" s="1807">
        <v>78.539786006325983</v>
      </c>
      <c r="D9" s="1807">
        <v>65.223821943641695</v>
      </c>
      <c r="E9" s="1807">
        <v>132.35012302964171</v>
      </c>
      <c r="F9" s="800">
        <v>141.70374314913732</v>
      </c>
      <c r="G9" s="1412">
        <v>152.76503176170002</v>
      </c>
      <c r="H9" s="634" t="s">
        <v>917</v>
      </c>
      <c r="I9" s="802">
        <f>+'F-19-A'!D10</f>
        <v>0</v>
      </c>
      <c r="J9" s="803">
        <f>+'F-19-A'!D35</f>
        <v>0</v>
      </c>
      <c r="T9" s="642"/>
    </row>
    <row r="10" spans="1:20" ht="22.5" customHeight="1">
      <c r="A10" s="680">
        <v>4</v>
      </c>
      <c r="B10" s="799" t="s">
        <v>264</v>
      </c>
      <c r="C10" s="1807"/>
      <c r="D10" s="1807">
        <f>SUMIF('TB FY23 (H1)'!$J$2:$J$1482,'F-13-B'!A10,'TB FY23 (H1)'!$F$2:$F$1482)</f>
        <v>0</v>
      </c>
      <c r="E10" s="1807">
        <f>SUMIF('TB FY23 (H1)'!$J$2:$J$1482,'F-13-B'!B10,'TB FY23 (H1)'!$F$2:$F$1482)</f>
        <v>0</v>
      </c>
      <c r="F10" s="800">
        <f>L24</f>
        <v>0</v>
      </c>
      <c r="G10" s="1871"/>
      <c r="H10" s="634" t="s">
        <v>918</v>
      </c>
      <c r="I10" s="802">
        <f>+'F-19-A'!D11</f>
        <v>0</v>
      </c>
      <c r="J10" s="803">
        <f>+'F-19-A'!D36</f>
        <v>0</v>
      </c>
      <c r="T10" s="642"/>
    </row>
    <row r="11" spans="1:20" ht="22.5" customHeight="1">
      <c r="A11" s="680">
        <v>5</v>
      </c>
      <c r="B11" s="799" t="s">
        <v>265</v>
      </c>
      <c r="C11" s="2068">
        <v>0</v>
      </c>
      <c r="D11" s="1807">
        <f>SUMIF('TB FY23 (H1)'!$J$2:$J$1482,'F-13-B'!A11,'TB FY23 (H1)'!$F$2:$F$1482)</f>
        <v>0</v>
      </c>
      <c r="E11" s="1807">
        <f>SUMIF('TB FY23 (H1)'!$J$2:$J$1482,'F-13-B'!B11,'TB FY23 (H1)'!$F$2:$F$1482)</f>
        <v>0</v>
      </c>
      <c r="F11" s="804">
        <v>0</v>
      </c>
      <c r="G11" s="1413"/>
      <c r="H11" s="634" t="s">
        <v>119</v>
      </c>
      <c r="I11" s="802">
        <f>+'F-19-A'!D12</f>
        <v>17.868400504000004</v>
      </c>
      <c r="J11" s="803">
        <f>+'F-19-A'!D37</f>
        <v>22.515460562000005</v>
      </c>
      <c r="T11" s="642"/>
    </row>
    <row r="12" spans="1:20" ht="22.5" customHeight="1">
      <c r="A12" s="680">
        <v>6</v>
      </c>
      <c r="B12" s="799" t="s">
        <v>1218</v>
      </c>
      <c r="C12" s="1807">
        <f>('TB FY-2021-22'!G1223+'TB FY-2021-22'!G1224+'TB FY-2021-22'!G1225+'TB FY-2021-22'!G1226+'TB FY-2021-22'!G1230+'TB FY-2021-22'!G1231)/10^7</f>
        <v>5.4158079199999998</v>
      </c>
      <c r="D12" s="1807">
        <v>0</v>
      </c>
      <c r="E12" s="1807">
        <v>0</v>
      </c>
      <c r="F12" s="1807">
        <v>0</v>
      </c>
      <c r="G12" s="1412"/>
      <c r="H12" s="634" t="s">
        <v>919</v>
      </c>
      <c r="I12" s="802">
        <f>+'F-19-A'!D13</f>
        <v>11.501590741999999</v>
      </c>
      <c r="J12" s="803">
        <f>+'F-19-A'!D38</f>
        <v>27.213007945999998</v>
      </c>
      <c r="T12" s="642"/>
    </row>
    <row r="13" spans="1:20" ht="22.5" customHeight="1">
      <c r="A13" s="680">
        <v>7</v>
      </c>
      <c r="B13" s="799" t="s">
        <v>1219</v>
      </c>
      <c r="C13" s="1807">
        <v>0.75063688899999192</v>
      </c>
      <c r="D13" s="1807">
        <v>0.98088216000000017</v>
      </c>
      <c r="E13" s="1807">
        <v>1.9617643200000003</v>
      </c>
      <c r="F13" s="800">
        <v>2.0598525360000006</v>
      </c>
      <c r="G13" s="1412">
        <v>155.40434263023729</v>
      </c>
      <c r="H13" s="634" t="s">
        <v>120</v>
      </c>
      <c r="I13" s="637">
        <f>+'F-19-A'!D14+I29</f>
        <v>2422.4885317550002</v>
      </c>
      <c r="J13" s="803">
        <f>+'F-19-A'!D39+J29</f>
        <v>3165.6552919780002</v>
      </c>
      <c r="T13" s="642"/>
    </row>
    <row r="14" spans="1:20" ht="12" customHeight="1">
      <c r="A14" s="1361"/>
      <c r="B14" s="1577"/>
      <c r="C14" s="1807"/>
      <c r="D14" s="1807"/>
      <c r="E14" s="1807"/>
      <c r="F14" s="800"/>
      <c r="G14" s="1412"/>
      <c r="H14" s="658" t="s">
        <v>920</v>
      </c>
      <c r="I14" s="802">
        <f>+'F-19-A'!D15</f>
        <v>0</v>
      </c>
      <c r="J14" s="803">
        <f>+'F-19-A'!D40</f>
        <v>0</v>
      </c>
      <c r="T14" s="642"/>
    </row>
    <row r="15" spans="1:20" ht="34.5" customHeight="1">
      <c r="A15" s="1361">
        <v>8</v>
      </c>
      <c r="B15" s="1578" t="s">
        <v>4458</v>
      </c>
      <c r="C15" s="634"/>
      <c r="D15" s="634"/>
      <c r="E15" s="636">
        <v>0</v>
      </c>
      <c r="F15" s="636">
        <f>E15+L26</f>
        <v>0</v>
      </c>
      <c r="G15" s="997"/>
      <c r="H15" s="658" t="s">
        <v>921</v>
      </c>
      <c r="I15" s="802">
        <f>+'F-19-A'!D16</f>
        <v>0</v>
      </c>
      <c r="J15" s="803">
        <f>+'F-19-A'!D41</f>
        <v>0</v>
      </c>
      <c r="T15" s="642"/>
    </row>
    <row r="16" spans="1:20" ht="22.5" customHeight="1">
      <c r="A16" s="747"/>
      <c r="B16" s="796" t="s">
        <v>1101</v>
      </c>
      <c r="C16" s="2069">
        <f>SUM(C7:C15)</f>
        <v>90.675662714325981</v>
      </c>
      <c r="D16" s="2069">
        <f>SUM(D7:D15)</f>
        <v>71.747916934641694</v>
      </c>
      <c r="E16" s="2069">
        <f>SUM(E7:E15)</f>
        <v>145.39831301164173</v>
      </c>
      <c r="F16" s="806">
        <f>SUM(F7:F15)</f>
        <v>155.40434263023732</v>
      </c>
      <c r="G16" s="1414"/>
      <c r="H16" s="634" t="s">
        <v>121</v>
      </c>
      <c r="I16" s="802">
        <f>+'F-19-A'!D17</f>
        <v>2.282391718</v>
      </c>
      <c r="J16" s="803">
        <f>+'F-19-A'!D42</f>
        <v>4.0759061660000002</v>
      </c>
      <c r="T16" s="642"/>
    </row>
    <row r="17" spans="1:20">
      <c r="A17" s="660"/>
      <c r="B17" s="3083"/>
      <c r="C17" s="805"/>
      <c r="D17" s="805"/>
      <c r="E17" s="805"/>
      <c r="F17" s="1414"/>
      <c r="G17" s="805"/>
      <c r="H17" s="634" t="s">
        <v>924</v>
      </c>
      <c r="I17" s="802">
        <f>+'F-19-A'!D18</f>
        <v>7.3107123050000009</v>
      </c>
      <c r="J17" s="803">
        <f>+'F-19-A'!D43</f>
        <v>9.1456519749999998</v>
      </c>
      <c r="L17" s="675"/>
      <c r="T17" s="642"/>
    </row>
    <row r="18" spans="1:20">
      <c r="A18" s="3438" t="s">
        <v>8456</v>
      </c>
      <c r="B18" s="3438"/>
      <c r="C18" s="3438"/>
      <c r="D18" s="3438"/>
      <c r="E18" s="3438"/>
      <c r="F18" s="3438"/>
      <c r="G18" s="638"/>
      <c r="H18" s="634" t="s">
        <v>922</v>
      </c>
      <c r="I18" s="802">
        <f>+'F-19-A'!D19</f>
        <v>40.722499616999997</v>
      </c>
      <c r="J18" s="803">
        <f>+'F-19-A'!D44</f>
        <v>72.132652383000021</v>
      </c>
      <c r="T18" s="642"/>
    </row>
    <row r="19" spans="1:20">
      <c r="A19" s="660"/>
      <c r="B19" s="3083"/>
      <c r="C19" s="805"/>
      <c r="D19" s="805"/>
      <c r="E19" s="805"/>
      <c r="F19" s="1414"/>
      <c r="G19" s="638">
        <f>F22-F15</f>
        <v>155.40434263023732</v>
      </c>
      <c r="H19" s="747" t="s">
        <v>1100</v>
      </c>
      <c r="I19" s="808">
        <f>SUM(I11:I18)</f>
        <v>2502.1741266409999</v>
      </c>
      <c r="J19" s="808">
        <f>SUM(J11:J18)</f>
        <v>3300.7379710099999</v>
      </c>
      <c r="Q19" s="630" t="s">
        <v>1101</v>
      </c>
      <c r="T19" s="642"/>
    </row>
    <row r="20" spans="1:20">
      <c r="B20" s="807"/>
      <c r="C20" s="805"/>
      <c r="D20" s="805"/>
      <c r="E20" s="742"/>
      <c r="F20" s="805"/>
      <c r="G20" s="638"/>
      <c r="H20" s="799" t="s">
        <v>1213</v>
      </c>
      <c r="I20" s="637">
        <f>+I11+I12</f>
        <v>29.369991246000005</v>
      </c>
      <c r="J20" s="803">
        <f>+J11+J12</f>
        <v>49.728468508000006</v>
      </c>
      <c r="K20" s="2001">
        <v>7</v>
      </c>
      <c r="L20" s="809">
        <v>10</v>
      </c>
      <c r="O20" s="809">
        <f>$O$30/$J$30*J20</f>
        <v>104.96387266670018</v>
      </c>
      <c r="P20" s="809">
        <f t="shared" ref="P20:P29" si="0">O20+L20</f>
        <v>114.96387266670018</v>
      </c>
    </row>
    <row r="21" spans="1:20">
      <c r="C21" s="638">
        <f>+C16-C20</f>
        <v>90.675662714325981</v>
      </c>
      <c r="D21" s="638"/>
      <c r="E21" s="805">
        <f>K25+D16+K26</f>
        <v>148.40791693464169</v>
      </c>
      <c r="F21" s="638">
        <f>+F16-F20</f>
        <v>155.40434263023732</v>
      </c>
      <c r="G21" s="638">
        <f>G19/5.4%</f>
        <v>2877.8581968562462</v>
      </c>
      <c r="H21" s="799" t="s">
        <v>1219</v>
      </c>
      <c r="I21" s="637">
        <f>+I16+I17+I18</f>
        <v>50.315603639999999</v>
      </c>
      <c r="J21" s="803">
        <f>+J16+J17+J18</f>
        <v>85.354210524000024</v>
      </c>
      <c r="K21" s="2001">
        <f>3.12+0.3+3.91+1.73</f>
        <v>9.06</v>
      </c>
      <c r="L21" s="809">
        <f>4+4.49+0.5+8+0.1+3.86</f>
        <v>20.950000000000003</v>
      </c>
      <c r="O21" s="809">
        <f>$O$30/$J$30*J21</f>
        <v>180.16055498605542</v>
      </c>
      <c r="P21" s="809">
        <f t="shared" si="0"/>
        <v>201.11055498605543</v>
      </c>
    </row>
    <row r="22" spans="1:20">
      <c r="B22" s="630" t="s">
        <v>4035</v>
      </c>
      <c r="C22" s="652">
        <f>+'F-22'!B14</f>
        <v>90.675662714325981</v>
      </c>
      <c r="D22" s="638"/>
      <c r="E22" s="652">
        <f>'F-22'!C14</f>
        <v>145.39831301164173</v>
      </c>
      <c r="F22" s="638">
        <f>'F-22'!D14</f>
        <v>155.40434263023732</v>
      </c>
      <c r="H22" s="799" t="s">
        <v>502</v>
      </c>
      <c r="I22" s="637">
        <f>+I13+I14</f>
        <v>2422.4885317550002</v>
      </c>
      <c r="J22" s="803">
        <f>+J13+J14</f>
        <v>3165.6552919780002</v>
      </c>
      <c r="K22" s="2001">
        <f>14.82+15.13</f>
        <v>29.950000000000003</v>
      </c>
      <c r="L22" s="809">
        <f>39.6+31.56</f>
        <v>71.16</v>
      </c>
      <c r="O22" s="809">
        <f>$O$30/$J$30*J22</f>
        <v>6681.8755723472432</v>
      </c>
      <c r="P22" s="809">
        <f t="shared" si="0"/>
        <v>6753.035572347243</v>
      </c>
    </row>
    <row r="23" spans="1:20">
      <c r="C23" s="638">
        <f>+C16-C22</f>
        <v>0</v>
      </c>
      <c r="D23" s="638"/>
      <c r="E23" s="638">
        <f>+E16-E22</f>
        <v>0</v>
      </c>
      <c r="F23" s="638">
        <f>+F16-F22</f>
        <v>0</v>
      </c>
      <c r="H23" s="799" t="s">
        <v>1218</v>
      </c>
      <c r="I23" s="637"/>
      <c r="J23" s="803"/>
      <c r="K23" s="2001">
        <v>15.65</v>
      </c>
      <c r="L23" s="809">
        <v>35.799999999999997</v>
      </c>
      <c r="O23" s="809">
        <f>$O$30/$J$30*J23</f>
        <v>0</v>
      </c>
      <c r="P23" s="809">
        <f t="shared" si="0"/>
        <v>35.799999999999997</v>
      </c>
    </row>
    <row r="24" spans="1:20" ht="16" thickBot="1">
      <c r="C24" s="638"/>
      <c r="D24" s="638"/>
      <c r="E24" s="638">
        <f>40.39/5.4%</f>
        <v>747.96296296296293</v>
      </c>
      <c r="F24" s="638">
        <f>86.81/5.4%</f>
        <v>1607.5925925925924</v>
      </c>
      <c r="H24" s="799" t="s">
        <v>264</v>
      </c>
      <c r="I24" s="663">
        <f>+I15</f>
        <v>0</v>
      </c>
      <c r="J24" s="803">
        <f>+J15</f>
        <v>0</v>
      </c>
      <c r="K24" s="2001">
        <v>0</v>
      </c>
      <c r="L24" s="809">
        <v>0</v>
      </c>
      <c r="O24" s="809">
        <f>$O$30/$J$30*J24</f>
        <v>0</v>
      </c>
      <c r="P24" s="809">
        <f t="shared" si="0"/>
        <v>0</v>
      </c>
    </row>
    <row r="25" spans="1:20" ht="16" thickBot="1">
      <c r="C25" s="667"/>
      <c r="H25" s="1274"/>
      <c r="I25" s="1275"/>
      <c r="J25" s="1276"/>
      <c r="K25" s="2001">
        <f>SUM(K20:K24)</f>
        <v>61.660000000000004</v>
      </c>
      <c r="L25" s="2001">
        <f>SUM(L20:L24)</f>
        <v>137.91</v>
      </c>
      <c r="O25" s="809"/>
      <c r="P25" s="809"/>
    </row>
    <row r="26" spans="1:20" ht="47" thickBot="1">
      <c r="H26" s="1274" t="s">
        <v>4424</v>
      </c>
      <c r="I26" s="1275"/>
      <c r="J26" s="1276"/>
      <c r="K26" s="809">
        <v>15</v>
      </c>
      <c r="L26" s="809"/>
      <c r="M26" s="848" t="s">
        <v>4425</v>
      </c>
      <c r="O26" s="809"/>
      <c r="P26" s="809"/>
    </row>
    <row r="27" spans="1:20" ht="16" thickBot="1">
      <c r="B27" s="1351" t="s">
        <v>4479</v>
      </c>
      <c r="H27" s="810" t="s">
        <v>1100</v>
      </c>
      <c r="I27" s="811">
        <f>SUM(I20:I24)</f>
        <v>2502.1741266410004</v>
      </c>
      <c r="J27" s="812">
        <f>SUM(J20:J24)</f>
        <v>3300.7379710100004</v>
      </c>
      <c r="K27" s="812">
        <f>K25+K26</f>
        <v>76.66</v>
      </c>
      <c r="L27" s="812">
        <f>L25+L26</f>
        <v>137.91</v>
      </c>
      <c r="O27" s="809"/>
      <c r="P27" s="809">
        <f t="shared" si="0"/>
        <v>137.91</v>
      </c>
    </row>
    <row r="28" spans="1:20">
      <c r="B28" s="630" t="s">
        <v>4484</v>
      </c>
      <c r="D28" s="638"/>
      <c r="E28" s="638">
        <f>24*300000/12*4/10000000</f>
        <v>0.24</v>
      </c>
      <c r="F28" s="630">
        <f>24*300000/10000000</f>
        <v>0.72</v>
      </c>
      <c r="L28" s="809">
        <f>J28*5.4%</f>
        <v>0</v>
      </c>
      <c r="O28" s="809">
        <f>$O$30/$J$30*J28</f>
        <v>0</v>
      </c>
      <c r="P28" s="809">
        <f t="shared" si="0"/>
        <v>0</v>
      </c>
    </row>
    <row r="29" spans="1:20">
      <c r="D29" s="638"/>
      <c r="E29" s="638"/>
      <c r="H29" s="813" t="s">
        <v>587</v>
      </c>
      <c r="I29" s="994">
        <f>+'F-2'!G115</f>
        <v>1350.0780000000002</v>
      </c>
      <c r="J29" s="994">
        <f>+'F-2'!L115+I29</f>
        <v>1849.5125000000003</v>
      </c>
      <c r="L29" s="809">
        <f>J29*5.4%</f>
        <v>99.87367500000002</v>
      </c>
      <c r="O29" s="809">
        <f>$O$30/$J$30*J29</f>
        <v>3903.8402020009848</v>
      </c>
      <c r="P29" s="809">
        <f t="shared" si="0"/>
        <v>4003.7138770009847</v>
      </c>
    </row>
    <row r="30" spans="1:20">
      <c r="D30" s="638"/>
      <c r="E30" s="638">
        <f>15-F14</f>
        <v>15</v>
      </c>
      <c r="H30" s="814" t="s">
        <v>1588</v>
      </c>
      <c r="I30" s="809">
        <f>+I27</f>
        <v>2502.1741266410004</v>
      </c>
      <c r="J30" s="809">
        <f>+J27</f>
        <v>3300.7379710100004</v>
      </c>
      <c r="L30" s="809">
        <f>J30*5.4%</f>
        <v>178.23985043454005</v>
      </c>
      <c r="O30" s="809">
        <f>H48</f>
        <v>6967</v>
      </c>
      <c r="P30" s="809">
        <f>SUM(P20:P29)</f>
        <v>11246.533877000984</v>
      </c>
    </row>
    <row r="31" spans="1:20">
      <c r="H31" s="814" t="s">
        <v>460</v>
      </c>
      <c r="I31" s="815">
        <f>E20/I30</f>
        <v>0</v>
      </c>
      <c r="J31" s="814"/>
      <c r="K31" s="814"/>
      <c r="L31" s="814"/>
      <c r="O31" s="814"/>
    </row>
    <row r="32" spans="1:20">
      <c r="E32" s="638"/>
      <c r="I32" s="638"/>
      <c r="J32" s="638"/>
    </row>
    <row r="33" spans="1:12">
      <c r="I33" s="638">
        <f>'F-21'!C20</f>
        <v>1186.9138740069998</v>
      </c>
      <c r="J33" s="638">
        <f>'F-21'!D20</f>
        <v>1369.1751518499073</v>
      </c>
      <c r="L33" s="638"/>
    </row>
    <row r="34" spans="1:12">
      <c r="I34" s="638">
        <f>I30-I33</f>
        <v>1315.2602526340006</v>
      </c>
      <c r="J34" s="638">
        <f>J30-J33</f>
        <v>1931.5628191600931</v>
      </c>
      <c r="L34" s="638"/>
    </row>
    <row r="35" spans="1:12">
      <c r="I35" s="638"/>
      <c r="J35" s="638"/>
    </row>
    <row r="36" spans="1:12">
      <c r="H36" s="816"/>
      <c r="I36" s="638"/>
      <c r="J36" s="638">
        <f>+J27-J29</f>
        <v>1451.2254710100001</v>
      </c>
      <c r="K36" s="630">
        <f>+J36*5.4%</f>
        <v>78.366175434540011</v>
      </c>
    </row>
    <row r="37" spans="1:12" ht="30.5">
      <c r="H37" s="748" t="s">
        <v>1144</v>
      </c>
    </row>
    <row r="38" spans="1:12">
      <c r="G38" s="816"/>
      <c r="H38" s="747">
        <f>+F43</f>
        <v>-0.75999999999999979</v>
      </c>
    </row>
    <row r="39" spans="1:12">
      <c r="G39" s="792"/>
      <c r="H39" s="747">
        <f t="shared" ref="H39:H47" si="1">+H38+F44</f>
        <v>4.5600000000000014</v>
      </c>
    </row>
    <row r="40" spans="1:12">
      <c r="G40" s="680"/>
      <c r="H40" s="747">
        <f t="shared" si="1"/>
        <v>10.840000000000003</v>
      </c>
    </row>
    <row r="41" spans="1:12">
      <c r="A41" s="789" t="s">
        <v>1146</v>
      </c>
      <c r="B41" s="674"/>
      <c r="C41" s="674"/>
      <c r="F41" s="816" t="s">
        <v>1138</v>
      </c>
      <c r="G41" s="680"/>
      <c r="H41" s="747">
        <f t="shared" si="1"/>
        <v>21.230000000000004</v>
      </c>
    </row>
    <row r="42" spans="1:12" ht="46.5">
      <c r="A42" s="792" t="s">
        <v>529</v>
      </c>
      <c r="B42" s="792" t="s">
        <v>1139</v>
      </c>
      <c r="C42" s="792" t="s">
        <v>1140</v>
      </c>
      <c r="D42" s="792" t="s">
        <v>1141</v>
      </c>
      <c r="E42" s="792" t="s">
        <v>1142</v>
      </c>
      <c r="F42" s="792" t="s">
        <v>1143</v>
      </c>
      <c r="G42" s="680"/>
      <c r="H42" s="747">
        <f t="shared" si="1"/>
        <v>27.680000000000003</v>
      </c>
    </row>
    <row r="43" spans="1:12">
      <c r="A43" s="680" t="s">
        <v>1145</v>
      </c>
      <c r="B43" s="680">
        <v>13.39</v>
      </c>
      <c r="C43" s="680">
        <f>+B43</f>
        <v>13.39</v>
      </c>
      <c r="D43" s="680">
        <v>12.63</v>
      </c>
      <c r="E43" s="680">
        <f>+D43</f>
        <v>12.63</v>
      </c>
      <c r="F43" s="680">
        <f>+D43-B43</f>
        <v>-0.75999999999999979</v>
      </c>
      <c r="G43" s="680"/>
      <c r="H43" s="747">
        <f t="shared" si="1"/>
        <v>32.5</v>
      </c>
    </row>
    <row r="44" spans="1:12">
      <c r="A44" s="680" t="s">
        <v>1476</v>
      </c>
      <c r="B44" s="680">
        <v>7.31</v>
      </c>
      <c r="C44" s="680">
        <f>+C43+B44</f>
        <v>20.7</v>
      </c>
      <c r="D44" s="680">
        <v>12.63</v>
      </c>
      <c r="E44" s="680">
        <f>+E43+D44</f>
        <v>25.26</v>
      </c>
      <c r="F44" s="680">
        <f t="shared" ref="F44:F51" si="2">+D44-B44</f>
        <v>5.3200000000000012</v>
      </c>
      <c r="G44" s="680"/>
      <c r="H44" s="747">
        <f t="shared" si="1"/>
        <v>44.980000000000004</v>
      </c>
    </row>
    <row r="45" spans="1:12">
      <c r="A45" s="680" t="s">
        <v>1360</v>
      </c>
      <c r="B45" s="680">
        <v>9.2899999999999991</v>
      </c>
      <c r="C45" s="680">
        <f>+C44+B45</f>
        <v>29.99</v>
      </c>
      <c r="D45" s="680">
        <v>15.57</v>
      </c>
      <c r="E45" s="680">
        <f t="shared" ref="E45:E51" si="3">+E44+D45</f>
        <v>40.83</v>
      </c>
      <c r="F45" s="680">
        <f t="shared" si="2"/>
        <v>6.2800000000000011</v>
      </c>
      <c r="G45" s="680"/>
      <c r="H45" s="747">
        <f t="shared" si="1"/>
        <v>56.790000000000006</v>
      </c>
    </row>
    <row r="46" spans="1:12">
      <c r="A46" s="680" t="s">
        <v>1519</v>
      </c>
      <c r="B46" s="680">
        <v>6.43</v>
      </c>
      <c r="C46" s="680">
        <f t="shared" ref="C46:C51" si="4">+C45+B46</f>
        <v>36.42</v>
      </c>
      <c r="D46" s="680">
        <v>16.82</v>
      </c>
      <c r="E46" s="680">
        <f t="shared" si="3"/>
        <v>57.65</v>
      </c>
      <c r="F46" s="680">
        <f t="shared" si="2"/>
        <v>10.39</v>
      </c>
      <c r="G46" s="680"/>
      <c r="H46" s="817">
        <f t="shared" si="1"/>
        <v>69.67</v>
      </c>
    </row>
    <row r="47" spans="1:12">
      <c r="A47" s="680" t="s">
        <v>334</v>
      </c>
      <c r="B47" s="680">
        <v>9.93</v>
      </c>
      <c r="C47" s="680">
        <f t="shared" si="4"/>
        <v>46.35</v>
      </c>
      <c r="D47" s="680">
        <v>16.38</v>
      </c>
      <c r="E47" s="680">
        <f t="shared" si="3"/>
        <v>74.03</v>
      </c>
      <c r="F47" s="680">
        <f t="shared" si="2"/>
        <v>6.4499999999999993</v>
      </c>
      <c r="G47" s="680"/>
      <c r="H47" s="817">
        <f t="shared" si="1"/>
        <v>69.67</v>
      </c>
    </row>
    <row r="48" spans="1:12">
      <c r="A48" s="680" t="s">
        <v>1289</v>
      </c>
      <c r="B48" s="680">
        <v>8.43</v>
      </c>
      <c r="C48" s="680">
        <f t="shared" si="4"/>
        <v>54.78</v>
      </c>
      <c r="D48" s="680">
        <v>13.25</v>
      </c>
      <c r="E48" s="680">
        <f t="shared" si="3"/>
        <v>87.28</v>
      </c>
      <c r="F48" s="680">
        <f t="shared" si="2"/>
        <v>4.82</v>
      </c>
      <c r="G48" s="661"/>
      <c r="H48" s="817">
        <f>+(D53-B53)*100</f>
        <v>6967</v>
      </c>
    </row>
    <row r="49" spans="1:8">
      <c r="A49" s="680" t="s">
        <v>218</v>
      </c>
      <c r="B49" s="680">
        <v>6.07</v>
      </c>
      <c r="C49" s="680">
        <f t="shared" si="4"/>
        <v>60.85</v>
      </c>
      <c r="D49" s="680">
        <v>18.55</v>
      </c>
      <c r="E49" s="680">
        <f t="shared" si="3"/>
        <v>105.83</v>
      </c>
      <c r="F49" s="680">
        <f t="shared" si="2"/>
        <v>12.48</v>
      </c>
      <c r="G49" s="675"/>
    </row>
    <row r="50" spans="1:8">
      <c r="A50" s="680" t="s">
        <v>1554</v>
      </c>
      <c r="B50" s="680">
        <v>5.54</v>
      </c>
      <c r="C50" s="680">
        <f t="shared" si="4"/>
        <v>66.39</v>
      </c>
      <c r="D50" s="680">
        <v>17.350000000000001</v>
      </c>
      <c r="E50" s="680">
        <f t="shared" si="3"/>
        <v>123.18</v>
      </c>
      <c r="F50" s="680">
        <f t="shared" si="2"/>
        <v>11.810000000000002</v>
      </c>
      <c r="G50" s="660"/>
      <c r="H50" s="674">
        <f>+H48</f>
        <v>6967</v>
      </c>
    </row>
    <row r="51" spans="1:8">
      <c r="A51" s="680" t="s">
        <v>1284</v>
      </c>
      <c r="B51" s="680">
        <v>5.5</v>
      </c>
      <c r="C51" s="661">
        <f t="shared" si="4"/>
        <v>71.89</v>
      </c>
      <c r="D51" s="680">
        <v>18.38</v>
      </c>
      <c r="E51" s="680">
        <f t="shared" si="3"/>
        <v>141.56</v>
      </c>
      <c r="F51" s="661">
        <f t="shared" si="2"/>
        <v>12.879999999999999</v>
      </c>
    </row>
    <row r="52" spans="1:8">
      <c r="A52" s="674" t="s">
        <v>873</v>
      </c>
      <c r="B52" s="675"/>
      <c r="C52" s="661"/>
      <c r="D52" s="674"/>
      <c r="E52" s="680"/>
      <c r="F52" s="661"/>
    </row>
    <row r="53" spans="1:8">
      <c r="A53" s="747" t="s">
        <v>1101</v>
      </c>
      <c r="B53" s="817">
        <f>SUM(B43:B52)</f>
        <v>71.89</v>
      </c>
      <c r="C53" s="747"/>
      <c r="D53" s="747">
        <f>SUM(D43:D52)</f>
        <v>141.56</v>
      </c>
      <c r="E53" s="747"/>
      <c r="F53" s="747"/>
    </row>
  </sheetData>
  <mergeCells count="3">
    <mergeCell ref="A3:F3"/>
    <mergeCell ref="A2:F2"/>
    <mergeCell ref="A18:F18"/>
  </mergeCells>
  <phoneticPr fontId="0" type="noConversion"/>
  <printOptions horizontalCentered="1"/>
  <pageMargins left="0" right="0" top="1.1811023622047201" bottom="0" header="0" footer="0"/>
  <pageSetup paperSize="9" orientation="landscape" r:id="rId1"/>
  <headerFooter alignWithMargins="0">
    <oddFooter>&amp;ROERC FORM-F-13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5">
    <tabColor rgb="FF92D050"/>
  </sheetPr>
  <dimension ref="A1:AL933"/>
  <sheetViews>
    <sheetView showGridLines="0" view="pageBreakPreview" topLeftCell="A78" zoomScale="90" zoomScaleNormal="93" zoomScaleSheetLayoutView="90" workbookViewId="0">
      <selection activeCell="X95" sqref="X95"/>
    </sheetView>
  </sheetViews>
  <sheetFormatPr defaultColWidth="9.1796875" defaultRowHeight="15.5"/>
  <cols>
    <col min="1" max="1" width="14.54296875" style="1419" customWidth="1"/>
    <col min="2" max="2" width="45.54296875" style="1357" bestFit="1" customWidth="1"/>
    <col min="3" max="3" width="16.453125" style="644" customWidth="1"/>
    <col min="4" max="4" width="18.7265625" style="644" customWidth="1"/>
    <col min="5" max="5" width="19.7265625" style="644" customWidth="1"/>
    <col min="6" max="6" width="17.7265625" style="644" customWidth="1"/>
    <col min="7" max="7" width="16.7265625" style="2080" customWidth="1"/>
    <col min="8" max="8" width="30.81640625" style="1357" hidden="1" customWidth="1"/>
    <col min="9" max="9" width="15.81640625" style="1358" hidden="1" customWidth="1"/>
    <col min="10" max="10" width="16.54296875" style="1358" hidden="1" customWidth="1"/>
    <col min="11" max="11" width="15.54296875" style="1357" hidden="1" customWidth="1"/>
    <col min="12" max="12" width="18.1796875" style="1357" hidden="1" customWidth="1"/>
    <col min="13" max="13" width="16.54296875" style="1357" hidden="1" customWidth="1"/>
    <col min="14" max="14" width="19.26953125" style="1357" hidden="1" customWidth="1"/>
    <col min="15" max="15" width="14.7265625" style="1357" hidden="1" customWidth="1"/>
    <col min="16" max="16" width="23.26953125" style="1357" hidden="1" customWidth="1"/>
    <col min="17" max="17" width="12" style="1357" hidden="1" customWidth="1"/>
    <col min="18" max="18" width="17" style="1357" hidden="1" customWidth="1"/>
    <col min="19" max="19" width="25.54296875" style="1357" hidden="1" customWidth="1"/>
    <col min="20" max="20" width="12.54296875" style="1357" hidden="1" customWidth="1"/>
    <col min="21" max="21" width="13.7265625" style="1357" hidden="1" customWidth="1"/>
    <col min="22" max="22" width="15.26953125" style="1357" hidden="1" customWidth="1"/>
    <col min="23" max="23" width="15.26953125" style="1357" customWidth="1"/>
    <col min="24" max="24" width="18" style="1357" customWidth="1"/>
    <col min="25" max="25" width="12" style="1357" bestFit="1" customWidth="1"/>
    <col min="26" max="16384" width="9.1796875" style="1357"/>
  </cols>
  <sheetData>
    <row r="1" spans="1:38">
      <c r="A1" s="1580" t="s">
        <v>5525</v>
      </c>
      <c r="E1" s="2070"/>
      <c r="F1" s="742"/>
      <c r="G1" s="2079"/>
      <c r="H1" s="1377"/>
    </row>
    <row r="2" spans="1:38">
      <c r="A2" s="3431" t="s">
        <v>3776</v>
      </c>
      <c r="B2" s="3431"/>
      <c r="C2" s="3431"/>
      <c r="D2" s="3431"/>
      <c r="E2" s="3431"/>
      <c r="F2" s="3431"/>
    </row>
    <row r="3" spans="1:38">
      <c r="A3" s="3431" t="s">
        <v>4069</v>
      </c>
      <c r="B3" s="3431"/>
      <c r="C3" s="3431"/>
      <c r="D3" s="3431"/>
      <c r="E3" s="3431"/>
      <c r="F3" s="3431"/>
      <c r="G3" s="2081"/>
    </row>
    <row r="4" spans="1:38" ht="45">
      <c r="A4" s="1370"/>
      <c r="B4" s="1775" t="s">
        <v>895</v>
      </c>
      <c r="C4" s="2072" t="s">
        <v>897</v>
      </c>
      <c r="D4" s="2071" t="s">
        <v>3775</v>
      </c>
      <c r="E4" s="2072" t="s">
        <v>898</v>
      </c>
      <c r="F4" s="2072" t="s">
        <v>899</v>
      </c>
      <c r="G4" s="2079"/>
    </row>
    <row r="5" spans="1:38" s="1356" customFormat="1" ht="16" thickBot="1">
      <c r="A5" s="1370"/>
      <c r="B5" s="1366"/>
      <c r="C5" s="2073" t="s">
        <v>5329</v>
      </c>
      <c r="D5" s="3444" t="s">
        <v>5482</v>
      </c>
      <c r="E5" s="3445"/>
      <c r="F5" s="2073" t="s">
        <v>7996</v>
      </c>
      <c r="G5" s="2082"/>
      <c r="H5" s="1447" t="s">
        <v>393</v>
      </c>
      <c r="I5" s="1448"/>
      <c r="J5" s="1358"/>
      <c r="K5" s="1357"/>
      <c r="L5" s="1357"/>
      <c r="M5" s="1357"/>
      <c r="N5" s="1357"/>
      <c r="O5" s="1357"/>
      <c r="P5" s="1357"/>
      <c r="Q5" s="1357"/>
    </row>
    <row r="6" spans="1:38">
      <c r="A6" s="1361"/>
      <c r="B6" s="1366" t="s">
        <v>1221</v>
      </c>
      <c r="C6" s="2073" t="s">
        <v>266</v>
      </c>
      <c r="D6" s="2073" t="s">
        <v>266</v>
      </c>
      <c r="E6" s="2073"/>
      <c r="F6" s="2073"/>
      <c r="G6" s="2082"/>
      <c r="H6" s="1449"/>
      <c r="I6" s="1451" t="s">
        <v>4030</v>
      </c>
      <c r="J6" s="1451" t="s">
        <v>4620</v>
      </c>
      <c r="L6" s="1447" t="s">
        <v>1026</v>
      </c>
    </row>
    <row r="7" spans="1:38" ht="16" thickBot="1">
      <c r="A7" s="1361"/>
      <c r="B7" s="1362" t="s">
        <v>1222</v>
      </c>
      <c r="C7" s="653">
        <f>'TB FY-2021-22'!G1268/10^7</f>
        <v>1.9225363989999997</v>
      </c>
      <c r="D7" s="653">
        <f>'TB FY23 (H1)'!F949</f>
        <v>0.96840230000000005</v>
      </c>
      <c r="E7" s="653">
        <f>D7*2</f>
        <v>1.9368046000000001</v>
      </c>
      <c r="F7" s="653">
        <f>E7*1.07</f>
        <v>2.0723809220000002</v>
      </c>
      <c r="G7" s="2082"/>
      <c r="H7" s="1452" t="s">
        <v>395</v>
      </c>
      <c r="I7" s="1453">
        <v>10</v>
      </c>
      <c r="J7" s="1454">
        <v>10</v>
      </c>
      <c r="P7" s="1447" t="s">
        <v>396</v>
      </c>
      <c r="S7" s="1447" t="s">
        <v>3322</v>
      </c>
    </row>
    <row r="8" spans="1:38">
      <c r="A8" s="1361"/>
      <c r="B8" s="1362" t="s">
        <v>4597</v>
      </c>
      <c r="C8" s="653">
        <f>('TB FY-2021-22'!G1217+'TB FY-2021-22'!G1261+'TB FY-2021-22'!G1266)/10^7</f>
        <v>2.4927804999999998</v>
      </c>
      <c r="D8" s="653">
        <f>'TB FY23 (H1)'!F915+'TB FY23 (H1)'!F934+'TB FY23 (H1)'!F1193</f>
        <v>1.8490286</v>
      </c>
      <c r="E8" s="653">
        <f>D8*2</f>
        <v>3.6980572</v>
      </c>
      <c r="F8" s="653">
        <f>E8*1.07</f>
        <v>3.9569212040000004</v>
      </c>
      <c r="H8" s="1452" t="s">
        <v>1593</v>
      </c>
      <c r="I8" s="1454"/>
      <c r="J8" s="1454">
        <f>M24*1.07</f>
        <v>2707367.5</v>
      </c>
      <c r="L8" s="1455" t="s">
        <v>324</v>
      </c>
      <c r="M8" s="1456" t="s">
        <v>327</v>
      </c>
      <c r="N8" s="1457" t="s">
        <v>339</v>
      </c>
    </row>
    <row r="9" spans="1:38" ht="21.5" customHeight="1">
      <c r="A9" s="1361"/>
      <c r="B9" s="1362" t="s">
        <v>3777</v>
      </c>
      <c r="C9" s="653">
        <v>0</v>
      </c>
      <c r="D9" s="653">
        <v>0</v>
      </c>
      <c r="E9" s="653">
        <v>0</v>
      </c>
      <c r="F9" s="653">
        <v>0</v>
      </c>
      <c r="H9" s="1452" t="s">
        <v>397</v>
      </c>
      <c r="I9" s="1453"/>
      <c r="J9" s="1454">
        <f>1000*10*12*1.07</f>
        <v>128400.00000000001</v>
      </c>
      <c r="L9" s="1452" t="s">
        <v>325</v>
      </c>
      <c r="M9" s="1362">
        <v>2000</v>
      </c>
      <c r="N9" s="1458"/>
      <c r="P9" s="1363" t="s">
        <v>1041</v>
      </c>
      <c r="Q9" s="1370" t="s">
        <v>398</v>
      </c>
      <c r="R9" s="1364" t="s">
        <v>399</v>
      </c>
      <c r="S9" s="1363" t="s">
        <v>1041</v>
      </c>
      <c r="T9" s="1370" t="s">
        <v>398</v>
      </c>
      <c r="U9" s="1364" t="s">
        <v>399</v>
      </c>
    </row>
    <row r="10" spans="1:38">
      <c r="A10" s="1361"/>
      <c r="B10" s="634" t="s">
        <v>117</v>
      </c>
      <c r="C10" s="653">
        <f>('TB FY-2021-22'!G1288+'TB FY-2021-22'!G1289)/10^7</f>
        <v>3.5576507939999997</v>
      </c>
      <c r="D10" s="653">
        <f>'TB FY23 (H1)'!F1189+'TB FY23 (H1)'!F917</f>
        <v>0.59231009999999995</v>
      </c>
      <c r="E10" s="653">
        <f>D10*2</f>
        <v>1.1846201999999999</v>
      </c>
      <c r="F10" s="653">
        <f>E10*1.07</f>
        <v>1.267543614</v>
      </c>
      <c r="H10" s="1452" t="s">
        <v>400</v>
      </c>
      <c r="I10" s="1453"/>
      <c r="J10" s="1454">
        <f>R17*10*12*1.07</f>
        <v>61632000</v>
      </c>
      <c r="L10" s="1452" t="s">
        <v>326</v>
      </c>
      <c r="M10" s="1362">
        <v>3000</v>
      </c>
      <c r="N10" s="1458"/>
      <c r="P10" s="1371" t="s">
        <v>401</v>
      </c>
      <c r="Q10" s="1361">
        <v>1</v>
      </c>
      <c r="R10" s="1361">
        <f>50000*Q10</f>
        <v>50000</v>
      </c>
      <c r="S10" s="1371" t="s">
        <v>3323</v>
      </c>
      <c r="T10" s="1361"/>
      <c r="U10" s="1361"/>
    </row>
    <row r="11" spans="1:38" ht="16" thickBot="1">
      <c r="A11" s="1361"/>
      <c r="B11" s="1362" t="s">
        <v>1223</v>
      </c>
      <c r="C11" s="653">
        <v>0</v>
      </c>
      <c r="D11" s="653">
        <v>0</v>
      </c>
      <c r="E11" s="653">
        <v>0</v>
      </c>
      <c r="F11" s="653">
        <v>0</v>
      </c>
      <c r="H11" s="1459" t="s">
        <v>1101</v>
      </c>
      <c r="I11" s="1460" t="s">
        <v>4481</v>
      </c>
      <c r="J11" s="1461">
        <f>SUM(J8:J10)</f>
        <v>64467767.5</v>
      </c>
      <c r="L11" s="1452" t="s">
        <v>328</v>
      </c>
      <c r="M11" s="1362">
        <v>2000</v>
      </c>
      <c r="N11" s="1458"/>
      <c r="P11" s="1371" t="s">
        <v>402</v>
      </c>
      <c r="Q11" s="1361">
        <v>2</v>
      </c>
      <c r="R11" s="1361">
        <f>35000*Q11</f>
        <v>70000</v>
      </c>
      <c r="S11" s="1371" t="s">
        <v>3324</v>
      </c>
      <c r="T11" s="1361">
        <v>1</v>
      </c>
      <c r="U11" s="1361">
        <f>40000/4*12</f>
        <v>120000</v>
      </c>
    </row>
    <row r="12" spans="1:38" ht="20.5">
      <c r="A12" s="1361"/>
      <c r="B12" s="1366" t="s">
        <v>1224</v>
      </c>
      <c r="C12" s="1576">
        <f>SUM(C7:C11)</f>
        <v>7.9729676929999993</v>
      </c>
      <c r="D12" s="1576">
        <f>SUM(D7:D11)</f>
        <v>3.4097410000000004</v>
      </c>
      <c r="E12" s="1576">
        <f>SUM(E7:E11)</f>
        <v>6.8194820000000007</v>
      </c>
      <c r="F12" s="1576">
        <f>SUM(F7:F11)</f>
        <v>7.2968457400000011</v>
      </c>
      <c r="G12" s="1290" t="e">
        <f>+#REF!/100000</f>
        <v>#REF!</v>
      </c>
      <c r="L12" s="1452" t="s">
        <v>329</v>
      </c>
      <c r="M12" s="1362">
        <v>3000</v>
      </c>
      <c r="N12" s="1458"/>
      <c r="P12" s="1371" t="s">
        <v>403</v>
      </c>
      <c r="Q12" s="1361">
        <v>2</v>
      </c>
      <c r="R12" s="1361">
        <f>30000*Q12</f>
        <v>60000</v>
      </c>
      <c r="S12" s="1371" t="s">
        <v>3325</v>
      </c>
      <c r="T12" s="1361">
        <v>1</v>
      </c>
      <c r="U12" s="1361">
        <f>20000/4*12</f>
        <v>60000</v>
      </c>
      <c r="AL12" s="1356"/>
    </row>
    <row r="13" spans="1:38" ht="16" thickBot="1">
      <c r="A13" s="1361"/>
      <c r="B13" s="1366" t="s">
        <v>1091</v>
      </c>
      <c r="C13" s="653"/>
      <c r="D13" s="653"/>
      <c r="E13" s="653"/>
      <c r="F13" s="653"/>
      <c r="H13" s="1447" t="s">
        <v>1103</v>
      </c>
      <c r="I13" s="1462"/>
      <c r="J13" s="1462"/>
      <c r="L13" s="1452" t="s">
        <v>330</v>
      </c>
      <c r="M13" s="1362">
        <v>2000</v>
      </c>
      <c r="N13" s="1458"/>
      <c r="P13" s="1371" t="s">
        <v>404</v>
      </c>
      <c r="Q13" s="1361">
        <v>1</v>
      </c>
      <c r="R13" s="1361">
        <f>25000*Q13</f>
        <v>25000</v>
      </c>
      <c r="S13" s="1371" t="s">
        <v>3326</v>
      </c>
      <c r="T13" s="1361">
        <v>1</v>
      </c>
      <c r="U13" s="1361">
        <f>5200/4*12</f>
        <v>15600</v>
      </c>
    </row>
    <row r="14" spans="1:38">
      <c r="A14" s="1361"/>
      <c r="B14" s="1362" t="s">
        <v>1225</v>
      </c>
      <c r="C14" s="653">
        <f>'TB FY-2021-22'!G1285/10^7</f>
        <v>1.006857289</v>
      </c>
      <c r="D14" s="653">
        <f>'TB FY23 (H1)'!F918</f>
        <v>1.138928602</v>
      </c>
      <c r="E14" s="653">
        <f>D14*2</f>
        <v>2.277857204</v>
      </c>
      <c r="F14" s="653">
        <f>E14*1.07</f>
        <v>2.43730720828</v>
      </c>
      <c r="G14" s="2079"/>
      <c r="H14" s="1362"/>
      <c r="I14" s="1451" t="s">
        <v>4030</v>
      </c>
      <c r="J14" s="1451" t="s">
        <v>4620</v>
      </c>
      <c r="L14" s="1452" t="s">
        <v>331</v>
      </c>
      <c r="M14" s="1362">
        <v>3000</v>
      </c>
      <c r="N14" s="1458"/>
      <c r="P14" s="1371" t="s">
        <v>405</v>
      </c>
      <c r="Q14" s="1361">
        <v>12</v>
      </c>
      <c r="R14" s="1361">
        <f>20000*Q14</f>
        <v>240000</v>
      </c>
      <c r="S14" s="1371" t="s">
        <v>3327</v>
      </c>
      <c r="T14" s="1361">
        <v>1</v>
      </c>
      <c r="U14" s="1361">
        <f>150/4*30*12</f>
        <v>13500</v>
      </c>
    </row>
    <row r="15" spans="1:38">
      <c r="A15" s="1361"/>
      <c r="B15" s="1362" t="s">
        <v>1226</v>
      </c>
      <c r="C15" s="653">
        <f>'TB FY-2021-22'!G1286/10^7</f>
        <v>0.4289308</v>
      </c>
      <c r="D15" s="653">
        <f>'TB FY23 (H1)'!F919</f>
        <v>5.9694869999999997E-2</v>
      </c>
      <c r="E15" s="653">
        <f>D15*2</f>
        <v>0.11938973999999999</v>
      </c>
      <c r="F15" s="653">
        <f>E15*1.07</f>
        <v>0.1277470218</v>
      </c>
      <c r="H15" s="1362" t="s">
        <v>3651</v>
      </c>
      <c r="I15" s="1463">
        <f>+(1253299+1445239)/2</f>
        <v>1349269</v>
      </c>
      <c r="J15" s="1463">
        <v>1445239</v>
      </c>
      <c r="L15" s="1452" t="s">
        <v>332</v>
      </c>
      <c r="M15" s="1362">
        <v>3000</v>
      </c>
      <c r="N15" s="1458"/>
      <c r="P15" s="1371" t="s">
        <v>406</v>
      </c>
      <c r="Q15" s="1361">
        <v>1</v>
      </c>
      <c r="R15" s="1361">
        <f>20000*Q15</f>
        <v>20000</v>
      </c>
      <c r="S15" s="1371" t="s">
        <v>3328</v>
      </c>
      <c r="T15" s="1361"/>
      <c r="U15" s="1361"/>
    </row>
    <row r="16" spans="1:38">
      <c r="A16" s="1361"/>
      <c r="B16" s="1362" t="s">
        <v>1076</v>
      </c>
      <c r="C16" s="653"/>
      <c r="D16" s="653"/>
      <c r="E16" s="653"/>
      <c r="F16" s="653">
        <f>+E16*1.07</f>
        <v>0</v>
      </c>
      <c r="H16" s="1362" t="s">
        <v>3658</v>
      </c>
      <c r="I16" s="1453"/>
      <c r="J16" s="1453"/>
      <c r="L16" s="1452" t="s">
        <v>471</v>
      </c>
      <c r="M16" s="1362">
        <v>3000</v>
      </c>
      <c r="N16" s="1458"/>
      <c r="P16" s="1371" t="s">
        <v>407</v>
      </c>
      <c r="Q16" s="1361">
        <v>1</v>
      </c>
      <c r="R16" s="1361">
        <f>15000*Q16</f>
        <v>15000</v>
      </c>
      <c r="S16" s="1371" t="s">
        <v>3329</v>
      </c>
      <c r="T16" s="1361">
        <v>1</v>
      </c>
      <c r="U16" s="1361">
        <f>30000*12</f>
        <v>360000</v>
      </c>
    </row>
    <row r="17" spans="1:22">
      <c r="A17" s="1361"/>
      <c r="B17" s="1362" t="s">
        <v>1077</v>
      </c>
      <c r="C17" s="653"/>
      <c r="D17" s="653">
        <v>0</v>
      </c>
      <c r="E17" s="653">
        <f>D17*2</f>
        <v>0</v>
      </c>
      <c r="F17" s="653">
        <f>+E17*1.1</f>
        <v>0</v>
      </c>
      <c r="H17" s="1362" t="s">
        <v>3659</v>
      </c>
      <c r="I17" s="1372">
        <f>I15*6.42*12</f>
        <v>103947683.76000001</v>
      </c>
      <c r="J17" s="1372">
        <f>J15*6.42*12</f>
        <v>111341212.56</v>
      </c>
      <c r="L17" s="1452" t="s">
        <v>333</v>
      </c>
      <c r="M17" s="1362">
        <v>3000</v>
      </c>
      <c r="N17" s="1458"/>
      <c r="P17" s="1363" t="s">
        <v>1101</v>
      </c>
      <c r="Q17" s="1370">
        <f>SUM(Q10:Q16)</f>
        <v>20</v>
      </c>
      <c r="R17" s="1370">
        <f>SUM(R10:R16)</f>
        <v>480000</v>
      </c>
      <c r="S17" s="1371" t="s">
        <v>3330</v>
      </c>
      <c r="T17" s="1361">
        <v>1</v>
      </c>
      <c r="U17" s="1361">
        <f>20000*12</f>
        <v>240000</v>
      </c>
    </row>
    <row r="18" spans="1:22">
      <c r="A18" s="1361"/>
      <c r="B18" s="1362" t="s">
        <v>1078</v>
      </c>
      <c r="C18" s="653"/>
      <c r="D18" s="653">
        <v>0</v>
      </c>
      <c r="E18" s="653"/>
      <c r="F18" s="653">
        <f>+E18*1.07</f>
        <v>0</v>
      </c>
      <c r="H18" s="1464"/>
      <c r="L18" s="1452" t="s">
        <v>472</v>
      </c>
      <c r="M18" s="1362">
        <v>2000</v>
      </c>
      <c r="N18" s="1458"/>
      <c r="S18" s="1371" t="s">
        <v>3326</v>
      </c>
      <c r="T18" s="1361">
        <v>1</v>
      </c>
      <c r="U18" s="1361">
        <f>5200*12</f>
        <v>62400</v>
      </c>
    </row>
    <row r="19" spans="1:22" ht="16" thickBot="1">
      <c r="A19" s="1361"/>
      <c r="B19" s="1366" t="s">
        <v>1224</v>
      </c>
      <c r="C19" s="1576">
        <f>SUM(C14:C18)</f>
        <v>1.4357880890000001</v>
      </c>
      <c r="D19" s="1576">
        <f>SUM(D14:D18)</f>
        <v>1.198623472</v>
      </c>
      <c r="E19" s="1576">
        <f>SUM(E14:E18)</f>
        <v>2.3972469439999999</v>
      </c>
      <c r="F19" s="1576">
        <f>SUM(F14:F18)</f>
        <v>2.5650542300799999</v>
      </c>
      <c r="G19" s="2083" t="e">
        <f>+#REF!/100000</f>
        <v>#REF!</v>
      </c>
      <c r="H19" s="1447" t="s">
        <v>408</v>
      </c>
      <c r="I19" s="1448"/>
      <c r="L19" s="1465" t="s">
        <v>338</v>
      </c>
      <c r="M19" s="1366">
        <f>SUM(M9:M18)</f>
        <v>26000</v>
      </c>
      <c r="N19" s="1458"/>
      <c r="S19" s="1371" t="s">
        <v>3327</v>
      </c>
      <c r="T19" s="1361">
        <v>1</v>
      </c>
      <c r="U19" s="1361">
        <f>150*30*12</f>
        <v>54000</v>
      </c>
    </row>
    <row r="20" spans="1:22">
      <c r="A20" s="1361"/>
      <c r="B20" s="1366" t="s">
        <v>1092</v>
      </c>
      <c r="C20" s="653"/>
      <c r="D20" s="653"/>
      <c r="E20" s="653"/>
      <c r="F20" s="653"/>
      <c r="H20" s="1449"/>
      <c r="I20" s="1451" t="s">
        <v>4030</v>
      </c>
      <c r="J20" s="1451" t="s">
        <v>4620</v>
      </c>
      <c r="L20" s="1357" t="s">
        <v>473</v>
      </c>
      <c r="M20" s="1357">
        <f>+M19/13</f>
        <v>2000</v>
      </c>
      <c r="R20" s="1378"/>
      <c r="S20" s="1371" t="s">
        <v>1101</v>
      </c>
      <c r="T20" s="1362"/>
      <c r="U20" s="1370">
        <f>SUM(U11:U19)</f>
        <v>925500</v>
      </c>
    </row>
    <row r="21" spans="1:22">
      <c r="A21" s="1361"/>
      <c r="B21" s="1362" t="s">
        <v>740</v>
      </c>
      <c r="C21" s="653">
        <f>('TB FY-2021-22'!G1263+'TB FY-2021-22'!G1264)/10^7</f>
        <v>0.15617310000000001</v>
      </c>
      <c r="D21" s="653">
        <f>'TB FY23 (H1)'!F920+'TB FY23 (H1)'!F921</f>
        <v>7.4856859999999956E-2</v>
      </c>
      <c r="E21" s="653">
        <f>D21*2</f>
        <v>0.14971371999999991</v>
      </c>
      <c r="F21" s="653">
        <f>E21*1.07</f>
        <v>0.16019368039999993</v>
      </c>
      <c r="G21" s="2079"/>
      <c r="H21" s="1452" t="s">
        <v>411</v>
      </c>
      <c r="I21" s="1453"/>
      <c r="J21" s="1454"/>
      <c r="L21" s="1357" t="s">
        <v>3656</v>
      </c>
      <c r="M21" s="1357">
        <f>+M20*56*12</f>
        <v>1344000</v>
      </c>
      <c r="P21" s="1357" t="s">
        <v>4428</v>
      </c>
    </row>
    <row r="22" spans="1:22" ht="24" customHeight="1">
      <c r="A22" s="1361"/>
      <c r="B22" s="1362" t="s">
        <v>8099</v>
      </c>
      <c r="C22" s="653">
        <f>('TB FY-2021-22'!G1257+'TB FY-2021-22'!G1259)/10^7</f>
        <v>8.3872875049999998</v>
      </c>
      <c r="D22" s="653">
        <f>'TB FY23 (H1)'!F922+'TB FY23 (H1)'!F923+'TB FY23 (H1)'!F924</f>
        <v>0.74826188500000002</v>
      </c>
      <c r="E22" s="653">
        <f>D22*2</f>
        <v>1.49652377</v>
      </c>
      <c r="F22" s="653">
        <f>E22*1.07</f>
        <v>1.6012804339000002</v>
      </c>
      <c r="H22" s="1466" t="s">
        <v>4430</v>
      </c>
      <c r="I22" s="1372">
        <f>200000*5*12</f>
        <v>12000000</v>
      </c>
      <c r="J22" s="1402">
        <f>600000*5*12</f>
        <v>36000000</v>
      </c>
      <c r="L22" s="1357" t="s">
        <v>474</v>
      </c>
      <c r="M22" s="1357">
        <f>325*365*10</f>
        <v>1186250</v>
      </c>
      <c r="P22" s="1371" t="s">
        <v>1041</v>
      </c>
      <c r="Q22" s="1361" t="s">
        <v>398</v>
      </c>
      <c r="R22" s="1359" t="s">
        <v>399</v>
      </c>
      <c r="S22" s="1359" t="s">
        <v>193</v>
      </c>
      <c r="T22" s="1362" t="s">
        <v>752</v>
      </c>
      <c r="U22" s="1362" t="s">
        <v>4429</v>
      </c>
      <c r="V22" s="1362"/>
    </row>
    <row r="23" spans="1:22" ht="16" thickBot="1">
      <c r="A23" s="1361"/>
      <c r="B23" s="1362" t="s">
        <v>4489</v>
      </c>
      <c r="C23" s="653"/>
      <c r="D23" s="653">
        <v>0</v>
      </c>
      <c r="E23" s="653">
        <f>D23*2.2</f>
        <v>0</v>
      </c>
      <c r="F23" s="653">
        <f>E23*1.07</f>
        <v>0</v>
      </c>
      <c r="H23" s="1467" t="s">
        <v>1100</v>
      </c>
      <c r="I23" s="1468">
        <f>SUM(I22)</f>
        <v>12000000</v>
      </c>
      <c r="J23" s="1469">
        <f>SUM(J22)</f>
        <v>36000000</v>
      </c>
      <c r="N23" s="1357">
        <f>1000*10</f>
        <v>10000</v>
      </c>
      <c r="P23" s="1371" t="s">
        <v>401</v>
      </c>
      <c r="Q23" s="1361">
        <v>10</v>
      </c>
      <c r="R23" s="1361">
        <f>50000*Q23</f>
        <v>500000</v>
      </c>
      <c r="S23" s="1361">
        <v>10</v>
      </c>
      <c r="T23" s="1362">
        <f>20000*S23</f>
        <v>200000</v>
      </c>
      <c r="U23" s="1371">
        <f>15000</f>
        <v>15000</v>
      </c>
      <c r="V23" s="1362"/>
    </row>
    <row r="24" spans="1:22">
      <c r="A24" s="1361"/>
      <c r="B24" s="1362" t="s">
        <v>1093</v>
      </c>
      <c r="C24" s="653">
        <f>('TB FY-2021-22'!G1252+'TB FY-2021-22'!G1253+'TB FY-2021-22'!G1254+'TB FY-2021-22'!G1255+'TB FY-2021-22'!G1256)/10^7</f>
        <v>0.88303010000000004</v>
      </c>
      <c r="D24" s="653">
        <f>'TB FY23 (H1)'!F1192+'TB FY23 (H1)'!F1194+'TB FY23 (H1)'!F925+'TB FY23 (H1)'!F927+'TB FY23 (H1)'!F937</f>
        <v>0.56863710000000001</v>
      </c>
      <c r="E24" s="653">
        <f>D24*2</f>
        <v>1.1372742</v>
      </c>
      <c r="F24" s="653">
        <f>E24*1.07</f>
        <v>1.2168833940000001</v>
      </c>
      <c r="H24" s="1464"/>
      <c r="L24" s="1357" t="s">
        <v>3657</v>
      </c>
      <c r="M24" s="1357">
        <f>+M21+M22</f>
        <v>2530250</v>
      </c>
      <c r="N24" s="1357">
        <f>+N23*12</f>
        <v>120000</v>
      </c>
      <c r="P24" s="1371" t="s">
        <v>402</v>
      </c>
      <c r="Q24" s="1361">
        <v>4</v>
      </c>
      <c r="R24" s="1361">
        <f>35000*Q24</f>
        <v>140000</v>
      </c>
      <c r="S24" s="1361"/>
      <c r="T24" s="1362"/>
      <c r="U24" s="1362"/>
      <c r="V24" s="1362"/>
    </row>
    <row r="25" spans="1:22" ht="16" thickBot="1">
      <c r="A25" s="1361"/>
      <c r="B25" s="1362" t="s">
        <v>1443</v>
      </c>
      <c r="C25" s="653">
        <f>('TB FY-2021-22'!G1262+'TB FY-2021-22'!G1260)/10^7</f>
        <v>5.2975398890000003</v>
      </c>
      <c r="D25" s="653">
        <f>'TB FY23 (H1)'!F926+'TB FY23 (H1)'!F935</f>
        <v>3.3312797000000001</v>
      </c>
      <c r="E25" s="653">
        <f>D25*2</f>
        <v>6.6625594000000001</v>
      </c>
      <c r="F25" s="653">
        <f>E25*1.07</f>
        <v>7.1289385580000006</v>
      </c>
      <c r="H25" s="1470" t="s">
        <v>645</v>
      </c>
      <c r="P25" s="1371" t="s">
        <v>403</v>
      </c>
      <c r="Q25" s="1361">
        <v>10</v>
      </c>
      <c r="R25" s="1361">
        <f>30000*Q25</f>
        <v>300000</v>
      </c>
      <c r="S25" s="1361"/>
      <c r="T25" s="1362"/>
      <c r="U25" s="1362"/>
      <c r="V25" s="1362"/>
    </row>
    <row r="26" spans="1:22">
      <c r="A26" s="1361"/>
      <c r="B26" s="1362"/>
      <c r="C26" s="653"/>
      <c r="D26" s="653"/>
      <c r="E26" s="653"/>
      <c r="F26" s="653"/>
      <c r="H26" s="1471"/>
      <c r="I26" s="1451" t="s">
        <v>4030</v>
      </c>
      <c r="J26" s="1451" t="s">
        <v>4620</v>
      </c>
      <c r="P26" s="1371" t="s">
        <v>404</v>
      </c>
      <c r="Q26" s="1361">
        <v>4</v>
      </c>
      <c r="R26" s="1361">
        <f>25000*Q26</f>
        <v>100000</v>
      </c>
      <c r="S26" s="1361"/>
      <c r="T26" s="1362"/>
      <c r="U26" s="1362"/>
      <c r="V26" s="1362"/>
    </row>
    <row r="27" spans="1:22" ht="24" customHeight="1">
      <c r="A27" s="1361"/>
      <c r="B27" s="1366" t="s">
        <v>1224</v>
      </c>
      <c r="C27" s="1576">
        <f>SUM(C21:C26)</f>
        <v>14.724030593999998</v>
      </c>
      <c r="D27" s="1576">
        <f>SUM(D21:D26)</f>
        <v>4.7230355450000001</v>
      </c>
      <c r="E27" s="1576">
        <f>SUM(E21:E26)</f>
        <v>9.4460710900000002</v>
      </c>
      <c r="F27" s="1576">
        <f>SUM(F21:F26)</f>
        <v>10.107296066300002</v>
      </c>
      <c r="G27" s="2084" t="e">
        <f>+#REF!/100000</f>
        <v>#REF!</v>
      </c>
      <c r="H27" s="1472" t="s">
        <v>409</v>
      </c>
      <c r="I27" s="1453">
        <f>'F-12-A '!X103*7*200/4</f>
        <v>651700</v>
      </c>
      <c r="J27" s="1454">
        <f>'F-12-A '!X135*200*7</f>
        <v>2497600</v>
      </c>
      <c r="M27" s="1357">
        <f>M22*12+M21*12</f>
        <v>30363000</v>
      </c>
      <c r="P27" s="1371" t="s">
        <v>405</v>
      </c>
      <c r="Q27" s="1361">
        <v>35</v>
      </c>
      <c r="R27" s="1361">
        <f>20000*Q27</f>
        <v>700000</v>
      </c>
      <c r="S27" s="1361"/>
      <c r="T27" s="1362"/>
      <c r="U27" s="1362"/>
      <c r="V27" s="1362"/>
    </row>
    <row r="28" spans="1:22" ht="16" thickBot="1">
      <c r="A28" s="1361"/>
      <c r="B28" s="1366" t="s">
        <v>3778</v>
      </c>
      <c r="C28" s="653"/>
      <c r="D28" s="653"/>
      <c r="E28" s="653"/>
      <c r="F28" s="653"/>
      <c r="G28" s="2079"/>
      <c r="H28" s="1467"/>
      <c r="I28" s="1473"/>
      <c r="J28" s="1474"/>
      <c r="P28" s="1371" t="s">
        <v>406</v>
      </c>
      <c r="Q28" s="1361">
        <v>0</v>
      </c>
      <c r="R28" s="1361">
        <f>20000*Q28</f>
        <v>0</v>
      </c>
      <c r="S28" s="1361"/>
      <c r="T28" s="1362"/>
      <c r="U28" s="1362"/>
      <c r="V28" s="1362"/>
    </row>
    <row r="29" spans="1:22">
      <c r="A29" s="1361"/>
      <c r="B29" s="1362" t="s">
        <v>4496</v>
      </c>
      <c r="C29" s="653">
        <f>('TB FY-2021-22'!G1290+'TB FY-2021-22'!G1294)/10^7</f>
        <v>1.8069024869999997</v>
      </c>
      <c r="D29" s="653">
        <f>'TB FY23 (H1)'!F928+'TB FY23 (H1)'!F932</f>
        <v>2.6026551000000002</v>
      </c>
      <c r="E29" s="653">
        <f>D29*2</f>
        <v>5.2053102000000004</v>
      </c>
      <c r="F29" s="653">
        <f>E29*1.07</f>
        <v>5.5696819140000011</v>
      </c>
      <c r="H29" s="1464"/>
      <c r="P29" s="1371" t="s">
        <v>407</v>
      </c>
      <c r="Q29" s="1361">
        <v>0</v>
      </c>
      <c r="R29" s="1361">
        <f>15000*Q29</f>
        <v>0</v>
      </c>
      <c r="S29" s="1361"/>
      <c r="T29" s="1362"/>
      <c r="U29" s="1362"/>
      <c r="V29" s="1362"/>
    </row>
    <row r="30" spans="1:22" ht="16" thickBot="1">
      <c r="A30" s="1361"/>
      <c r="B30" s="1362" t="s">
        <v>1080</v>
      </c>
      <c r="C30" s="653">
        <f>('TB FY-2021-22'!G1291+'TB FY-2021-22'!G1292+'TB FY-2021-22'!G1293)/10^7</f>
        <v>1.5035609999999999</v>
      </c>
      <c r="D30" s="653">
        <f>'TB FY23 (H1)'!F929+'TB FY23 (H1)'!F930+'TB FY23 (H1)'!F931</f>
        <v>1.2703392</v>
      </c>
      <c r="E30" s="653">
        <f>D30*2</f>
        <v>2.5406784</v>
      </c>
      <c r="F30" s="653">
        <f>E30*1.07</f>
        <v>2.7185258880000003</v>
      </c>
      <c r="H30" s="1470" t="s">
        <v>3661</v>
      </c>
      <c r="I30" s="1475"/>
      <c r="L30" s="1447" t="s">
        <v>194</v>
      </c>
      <c r="P30" s="1363" t="s">
        <v>1101</v>
      </c>
      <c r="Q30" s="1370">
        <f>SUM(Q23:Q29)</f>
        <v>63</v>
      </c>
      <c r="R30" s="1370">
        <f>SUM(R23:R29)</f>
        <v>1740000</v>
      </c>
      <c r="S30" s="1370"/>
      <c r="T30" s="1371">
        <f>SUM(T23:T29)</f>
        <v>200000</v>
      </c>
      <c r="U30" s="1371">
        <f>SUM(U23:U29)</f>
        <v>15000</v>
      </c>
      <c r="V30" s="1362">
        <f>(R30+T30+U30)*12/10000000</f>
        <v>2.3460000000000001</v>
      </c>
    </row>
    <row r="31" spans="1:22">
      <c r="A31" s="1361"/>
      <c r="B31" s="1362" t="s">
        <v>1081</v>
      </c>
      <c r="C31" s="653">
        <f>'TB FY-2021-22'!G1295/10^7</f>
        <v>11.123852137</v>
      </c>
      <c r="D31" s="653">
        <f>'TB FY23 (H1)'!F933</f>
        <v>9.740450688000001</v>
      </c>
      <c r="E31" s="653">
        <f>D31*2</f>
        <v>19.480901376000002</v>
      </c>
      <c r="F31" s="653">
        <f>E31*1.07</f>
        <v>20.844564472320002</v>
      </c>
      <c r="H31" s="1471"/>
      <c r="I31" s="1451" t="s">
        <v>4030</v>
      </c>
      <c r="J31" s="1451" t="s">
        <v>4620</v>
      </c>
      <c r="L31" s="1366" t="s">
        <v>195</v>
      </c>
      <c r="M31" s="1362" t="s">
        <v>196</v>
      </c>
      <c r="N31" s="1362" t="s">
        <v>193</v>
      </c>
      <c r="O31" s="1362" t="s">
        <v>1100</v>
      </c>
      <c r="P31" s="1362"/>
    </row>
    <row r="32" spans="1:22" ht="21.75" customHeight="1">
      <c r="A32" s="1361"/>
      <c r="B32" s="1362" t="s">
        <v>1516</v>
      </c>
      <c r="C32" s="653">
        <v>0</v>
      </c>
      <c r="D32" s="653">
        <v>0</v>
      </c>
      <c r="E32" s="653">
        <f>D32*2</f>
        <v>0</v>
      </c>
      <c r="F32" s="653">
        <f>E32*1.07</f>
        <v>0</v>
      </c>
      <c r="H32" s="1472" t="s">
        <v>4798</v>
      </c>
      <c r="I32" s="1476">
        <f>60000*20*4</f>
        <v>4800000</v>
      </c>
      <c r="J32" s="1477">
        <f>60000*19*12</f>
        <v>13680000</v>
      </c>
      <c r="L32" s="1362" t="s">
        <v>197</v>
      </c>
      <c r="M32" s="1362">
        <v>1500</v>
      </c>
      <c r="N32" s="1362"/>
      <c r="O32" s="1362"/>
      <c r="P32" s="1362"/>
    </row>
    <row r="33" spans="1:16" ht="15" customHeight="1" thickBot="1">
      <c r="A33" s="1361"/>
      <c r="B33" s="1366" t="s">
        <v>1224</v>
      </c>
      <c r="C33" s="1576">
        <f>SUM(C29:C32)</f>
        <v>14.434315624</v>
      </c>
      <c r="D33" s="1576">
        <f>SUM(D29:D32)</f>
        <v>13.613444988000001</v>
      </c>
      <c r="E33" s="1576">
        <f>SUM(E29:E32)</f>
        <v>27.226889976000002</v>
      </c>
      <c r="F33" s="1576">
        <f>SUM(F29:F32)</f>
        <v>29.132772274320004</v>
      </c>
      <c r="G33" s="638" t="e">
        <f>+#REF!/100000</f>
        <v>#REF!</v>
      </c>
      <c r="H33" s="1467" t="s">
        <v>3660</v>
      </c>
      <c r="I33" s="1478">
        <v>0</v>
      </c>
      <c r="J33" s="1481">
        <f>100000*48</f>
        <v>4800000</v>
      </c>
      <c r="L33" s="1362" t="s">
        <v>198</v>
      </c>
      <c r="M33" s="1362">
        <v>2000</v>
      </c>
      <c r="N33" s="1362"/>
      <c r="O33" s="1362"/>
      <c r="P33" s="1362"/>
    </row>
    <row r="34" spans="1:16" ht="15" customHeight="1" thickBot="1">
      <c r="A34" s="1361"/>
      <c r="B34" s="1366" t="s">
        <v>1094</v>
      </c>
      <c r="C34" s="1576"/>
      <c r="D34" s="653"/>
      <c r="E34" s="653"/>
      <c r="F34" s="653"/>
      <c r="G34" s="2079"/>
      <c r="H34" s="1470" t="s">
        <v>4475</v>
      </c>
      <c r="I34" s="1475"/>
      <c r="L34" s="1362" t="s">
        <v>199</v>
      </c>
      <c r="M34" s="1362">
        <v>8000</v>
      </c>
      <c r="N34" s="1362"/>
      <c r="O34" s="1362"/>
      <c r="P34" s="1362"/>
    </row>
    <row r="35" spans="1:16" ht="15.75" customHeight="1">
      <c r="A35" s="1361"/>
      <c r="B35" s="1362" t="s">
        <v>1510</v>
      </c>
      <c r="C35" s="653">
        <f>'TB FY-2021-22'!G1267/10^7</f>
        <v>4.5560999999999997E-2</v>
      </c>
      <c r="D35" s="2829">
        <f>'TB FY23 (H1)'!F945</f>
        <v>2.5600603E-2</v>
      </c>
      <c r="E35" s="653">
        <f>D35*2</f>
        <v>5.1201205999999999E-2</v>
      </c>
      <c r="F35" s="653">
        <f>E35*1.07</f>
        <v>5.478529042E-2</v>
      </c>
      <c r="H35" s="1471"/>
      <c r="I35" s="1451" t="s">
        <v>4030</v>
      </c>
      <c r="J35" s="1451" t="s">
        <v>4620</v>
      </c>
      <c r="L35" s="1362" t="s">
        <v>200</v>
      </c>
      <c r="M35" s="1362">
        <v>20000</v>
      </c>
      <c r="N35" s="1362"/>
      <c r="O35" s="1362"/>
      <c r="P35" s="1362"/>
    </row>
    <row r="36" spans="1:16" ht="18.75" customHeight="1" thickBot="1">
      <c r="A36" s="1361"/>
      <c r="B36" s="1362" t="s">
        <v>1082</v>
      </c>
      <c r="C36" s="653">
        <v>0</v>
      </c>
      <c r="D36" s="653">
        <v>0</v>
      </c>
      <c r="E36" s="653"/>
      <c r="F36" s="653">
        <f t="shared" ref="F36" si="0">+E36*1.07</f>
        <v>0</v>
      </c>
      <c r="H36" s="1479" t="s">
        <v>4480</v>
      </c>
      <c r="I36" s="1480">
        <f>250000000*5%</f>
        <v>12500000</v>
      </c>
      <c r="J36" s="1481">
        <f>500000000*5%</f>
        <v>25000000</v>
      </c>
      <c r="L36" s="1482" t="s">
        <v>1100</v>
      </c>
      <c r="M36" s="1362">
        <f>SUM(M32:M35)</f>
        <v>31500</v>
      </c>
      <c r="N36" s="1362">
        <v>27</v>
      </c>
      <c r="O36" s="1362">
        <f>+M36*N36</f>
        <v>850500</v>
      </c>
      <c r="P36" s="1362" t="s">
        <v>78</v>
      </c>
    </row>
    <row r="37" spans="1:16">
      <c r="A37" s="1361"/>
      <c r="B37" s="1362" t="s">
        <v>1083</v>
      </c>
      <c r="C37" s="653">
        <f>'TB FY-2021-22'!G1304/10^7</f>
        <v>2.8986700000000001E-2</v>
      </c>
      <c r="D37" s="653">
        <f>'TB FY23 (H1)'!F939</f>
        <v>8.7035476000000001E-2</v>
      </c>
      <c r="E37" s="653">
        <f t="shared" ref="E37:E43" si="1">D37*2</f>
        <v>0.174070952</v>
      </c>
      <c r="F37" s="653">
        <f t="shared" ref="F37:F49" si="2">E37*1.07</f>
        <v>0.18625591864000002</v>
      </c>
      <c r="H37" s="1464"/>
      <c r="I37" s="1475"/>
      <c r="J37" s="1475"/>
      <c r="L37" s="1362"/>
      <c r="M37" s="1362"/>
      <c r="N37" s="1362"/>
      <c r="O37" s="1362"/>
      <c r="P37" s="1362"/>
    </row>
    <row r="38" spans="1:16" ht="16" thickBot="1">
      <c r="A38" s="1361"/>
      <c r="B38" s="1362" t="s">
        <v>1024</v>
      </c>
      <c r="C38" s="653">
        <f>'TB FY-2021-22'!G1305/10^7</f>
        <v>0.8798365789999999</v>
      </c>
      <c r="D38" s="653">
        <f>'TB FY23 (H1)'!F940</f>
        <v>1.2075238660000001</v>
      </c>
      <c r="E38" s="653">
        <f t="shared" si="1"/>
        <v>2.4150477320000001</v>
      </c>
      <c r="F38" s="653">
        <f t="shared" si="2"/>
        <v>2.5841010732400003</v>
      </c>
      <c r="H38" s="1470" t="s">
        <v>410</v>
      </c>
      <c r="L38" s="1366" t="s">
        <v>201</v>
      </c>
      <c r="M38" s="1362"/>
      <c r="N38" s="1362"/>
      <c r="O38" s="1362"/>
      <c r="P38" s="1362"/>
    </row>
    <row r="39" spans="1:16">
      <c r="A39" s="1361"/>
      <c r="B39" s="1362" t="s">
        <v>1025</v>
      </c>
      <c r="C39" s="653">
        <f>('TB FY-2021-22'!G1269+'TB FY-2021-22'!G1270+'TB FY-2021-22'!G1272+'TB FY-2021-22'!G1273)/10^7</f>
        <v>0.746442575</v>
      </c>
      <c r="D39" s="653">
        <f>'TB FY23 (H1)'!F941+'TB FY23 (H1)'!F942+'TB FY23 (H1)'!F966+'TB FY23 (H1)'!F967</f>
        <v>0.41180879999999992</v>
      </c>
      <c r="E39" s="653">
        <f t="shared" si="1"/>
        <v>0.82361759999999984</v>
      </c>
      <c r="F39" s="653">
        <f t="shared" si="2"/>
        <v>0.88127083199999989</v>
      </c>
      <c r="H39" s="1449"/>
      <c r="I39" s="1451" t="s">
        <v>4030</v>
      </c>
      <c r="J39" s="1451" t="s">
        <v>4620</v>
      </c>
      <c r="L39" s="1362" t="s">
        <v>202</v>
      </c>
      <c r="M39" s="1362">
        <v>25000</v>
      </c>
      <c r="N39" s="1362"/>
      <c r="O39" s="1362"/>
      <c r="P39" s="1362"/>
    </row>
    <row r="40" spans="1:16" ht="18" customHeight="1" thickBot="1">
      <c r="A40" s="1361"/>
      <c r="B40" s="1362" t="s">
        <v>645</v>
      </c>
      <c r="C40" s="653">
        <f>'TB FY-2021-22'!G1188/10^7</f>
        <v>0.40253502400000002</v>
      </c>
      <c r="D40" s="653">
        <f>'TB FY23 (H1)'!F947</f>
        <v>0.6924072</v>
      </c>
      <c r="E40" s="653">
        <f t="shared" si="1"/>
        <v>1.3848144</v>
      </c>
      <c r="F40" s="653">
        <f t="shared" si="2"/>
        <v>1.481751408</v>
      </c>
      <c r="H40" s="1483" t="s">
        <v>4478</v>
      </c>
      <c r="I40" s="1484">
        <f>24*19101*12+70*11011*12</f>
        <v>14750328</v>
      </c>
      <c r="J40" s="1484">
        <f>30*19101*12+80*11011*12</f>
        <v>17446920</v>
      </c>
      <c r="L40" s="1362" t="s">
        <v>203</v>
      </c>
      <c r="M40" s="1362">
        <v>5000</v>
      </c>
      <c r="N40" s="1362"/>
      <c r="O40" s="1362"/>
      <c r="P40" s="1362"/>
    </row>
    <row r="41" spans="1:16" ht="16" thickBot="1">
      <c r="A41" s="1361"/>
      <c r="B41" s="1362" t="s">
        <v>4061</v>
      </c>
      <c r="C41" s="653">
        <f>('TB FY-2021-22'!G1298+'TB FY-2021-22'!G1299)/10^7</f>
        <v>0.15177379999999999</v>
      </c>
      <c r="D41" s="653">
        <f>'TB FY23 (H1)'!F952+'TB FY23 (H1)'!F953</f>
        <v>9.5064399999999993E-2</v>
      </c>
      <c r="E41" s="653">
        <f t="shared" si="1"/>
        <v>0.19012879999999999</v>
      </c>
      <c r="F41" s="653">
        <f t="shared" si="2"/>
        <v>0.20343781599999999</v>
      </c>
      <c r="H41" s="1464"/>
      <c r="I41" s="1475"/>
      <c r="J41" s="1475"/>
      <c r="L41" s="1362" t="s">
        <v>204</v>
      </c>
      <c r="M41" s="1362">
        <v>6000</v>
      </c>
      <c r="N41" s="1362"/>
      <c r="O41" s="1362"/>
      <c r="P41" s="1362"/>
    </row>
    <row r="42" spans="1:16" ht="16" thickBot="1">
      <c r="A42" s="1361"/>
      <c r="B42" s="1362" t="s">
        <v>758</v>
      </c>
      <c r="C42" s="653">
        <f>'TB FY-2021-22'!G1309/10^7</f>
        <v>2.0880505760000001</v>
      </c>
      <c r="D42" s="653">
        <f>'TB FY23 (H1)'!F955</f>
        <v>1.8722842469999998</v>
      </c>
      <c r="E42" s="653">
        <f t="shared" si="1"/>
        <v>3.7445684939999997</v>
      </c>
      <c r="F42" s="653">
        <f t="shared" si="2"/>
        <v>4.0066882885799995</v>
      </c>
      <c r="H42" s="1485" t="s">
        <v>882</v>
      </c>
      <c r="I42" s="1486"/>
      <c r="J42" s="1487"/>
      <c r="L42" s="1488" t="s">
        <v>205</v>
      </c>
      <c r="M42" s="1362">
        <v>12000</v>
      </c>
      <c r="N42" s="1362"/>
      <c r="O42" s="1362"/>
      <c r="P42" s="1362"/>
    </row>
    <row r="43" spans="1:16" ht="31">
      <c r="A43" s="1361"/>
      <c r="B43" s="1360" t="s">
        <v>1444</v>
      </c>
      <c r="C43" s="653">
        <f>'TB FY-2021-22'!G1284/10^7</f>
        <v>3.9386728780000002</v>
      </c>
      <c r="D43" s="653">
        <f>'TB FY23 (H1)'!F944</f>
        <v>2.1531615579999999</v>
      </c>
      <c r="E43" s="653">
        <f t="shared" si="1"/>
        <v>4.3063231159999997</v>
      </c>
      <c r="F43" s="653">
        <f t="shared" si="2"/>
        <v>4.60776573412</v>
      </c>
      <c r="H43" s="1471"/>
      <c r="I43" s="1451" t="s">
        <v>4030</v>
      </c>
      <c r="J43" s="1451" t="s">
        <v>4620</v>
      </c>
      <c r="L43" s="819" t="s">
        <v>1100</v>
      </c>
      <c r="M43" s="1362">
        <f>SUM(M39:M42)</f>
        <v>48000</v>
      </c>
      <c r="N43" s="1362">
        <v>27</v>
      </c>
      <c r="O43" s="1362">
        <f>+M43*N43</f>
        <v>1296000</v>
      </c>
      <c r="P43" s="1362" t="s">
        <v>4490</v>
      </c>
    </row>
    <row r="44" spans="1:16" ht="16" thickBot="1">
      <c r="A44" s="1361"/>
      <c r="B44" s="1362" t="s">
        <v>5403</v>
      </c>
      <c r="C44" s="653"/>
      <c r="D44" s="653"/>
      <c r="E44" s="653">
        <f t="shared" ref="E44" si="3">D44*2</f>
        <v>0</v>
      </c>
      <c r="F44" s="653">
        <f t="shared" si="2"/>
        <v>0</v>
      </c>
      <c r="H44" s="1467" t="s">
        <v>1280</v>
      </c>
      <c r="I44" s="1478"/>
      <c r="J44" s="1489">
        <f>1149000+470000</f>
        <v>1619000</v>
      </c>
      <c r="L44" s="1362"/>
      <c r="M44" s="1362"/>
      <c r="N44" s="1362"/>
      <c r="O44" s="1362"/>
      <c r="P44" s="1362"/>
    </row>
    <row r="45" spans="1:16">
      <c r="A45" s="1361"/>
      <c r="B45" s="1362" t="s">
        <v>1579</v>
      </c>
      <c r="C45" s="653"/>
      <c r="D45" s="653"/>
      <c r="E45" s="653">
        <v>0</v>
      </c>
      <c r="F45" s="653">
        <f t="shared" si="2"/>
        <v>0</v>
      </c>
      <c r="H45" s="1490"/>
      <c r="I45" s="1491"/>
      <c r="J45" s="1491"/>
      <c r="L45" s="1366" t="s">
        <v>206</v>
      </c>
      <c r="M45" s="1362"/>
      <c r="N45" s="1362"/>
      <c r="O45" s="1362"/>
      <c r="P45" s="1362"/>
    </row>
    <row r="46" spans="1:16">
      <c r="A46" s="1361"/>
      <c r="B46" s="1362" t="s">
        <v>3603</v>
      </c>
      <c r="C46" s="653">
        <f>'TB FY-2021-22'!G1306/10^7</f>
        <v>0.33618379999999998</v>
      </c>
      <c r="D46" s="653">
        <f>'TB FY23 (H1)'!F943</f>
        <v>0.1161162</v>
      </c>
      <c r="E46" s="653">
        <f>D46*2</f>
        <v>0.23223240000000001</v>
      </c>
      <c r="F46" s="653">
        <f t="shared" si="2"/>
        <v>0.24848866800000002</v>
      </c>
      <c r="H46" s="1490"/>
      <c r="I46" s="1491"/>
      <c r="J46" s="1491"/>
      <c r="L46" s="1362" t="s">
        <v>207</v>
      </c>
      <c r="M46" s="1362">
        <v>6000</v>
      </c>
      <c r="N46" s="1362"/>
      <c r="O46" s="1362"/>
      <c r="P46" s="1362"/>
    </row>
    <row r="47" spans="1:16">
      <c r="A47" s="1361"/>
      <c r="B47" s="1362" t="s">
        <v>3604</v>
      </c>
      <c r="C47" s="653">
        <f>('TB FY-2021-22'!G1297+'TB FY-2021-22'!G1250)/10^7</f>
        <v>0.73334825599999998</v>
      </c>
      <c r="D47" s="653">
        <f>'TB FY23 (H1)'!F951+'TB FY23 (H1)'!F1190</f>
        <v>9.6854999999999997E-2</v>
      </c>
      <c r="E47" s="653">
        <f>D47*2</f>
        <v>0.19370999999999999</v>
      </c>
      <c r="F47" s="653">
        <f t="shared" si="2"/>
        <v>0.2072697</v>
      </c>
      <c r="H47" s="1490"/>
      <c r="I47" s="1491"/>
      <c r="J47" s="1491"/>
      <c r="L47" s="1362" t="s">
        <v>208</v>
      </c>
      <c r="M47" s="1362">
        <v>6000</v>
      </c>
      <c r="N47" s="1362"/>
      <c r="O47" s="1362"/>
      <c r="P47" s="1362"/>
    </row>
    <row r="48" spans="1:16" ht="24" customHeight="1">
      <c r="A48" s="1361"/>
      <c r="B48" s="1362" t="s">
        <v>3243</v>
      </c>
      <c r="C48" s="653">
        <f>'TB FY-2021-22'!G1315/10^7</f>
        <v>0.41639080000000001</v>
      </c>
      <c r="D48" s="653">
        <f>'TB FY23 (H1)'!F958</f>
        <v>8.5667800000000002E-2</v>
      </c>
      <c r="E48" s="653">
        <f>D48*2</f>
        <v>0.1713356</v>
      </c>
      <c r="F48" s="653">
        <f t="shared" si="2"/>
        <v>0.18332909200000003</v>
      </c>
      <c r="G48" s="2079"/>
      <c r="H48" s="1492" t="s">
        <v>1011</v>
      </c>
      <c r="I48" s="1493"/>
      <c r="J48" s="1494" t="s">
        <v>260</v>
      </c>
      <c r="L48" s="1495" t="s">
        <v>209</v>
      </c>
      <c r="M48" s="1362">
        <v>12000</v>
      </c>
      <c r="N48" s="1362"/>
      <c r="O48" s="1362"/>
      <c r="P48" s="1362"/>
    </row>
    <row r="49" spans="1:24" ht="20.25" customHeight="1">
      <c r="A49" s="1361"/>
      <c r="B49" s="1362" t="s">
        <v>1170</v>
      </c>
      <c r="C49" s="653">
        <v>13.039295961033663</v>
      </c>
      <c r="D49" s="653">
        <v>3.338300143018738</v>
      </c>
      <c r="E49" s="653">
        <f>D49*2</f>
        <v>6.676600286037476</v>
      </c>
      <c r="F49" s="653">
        <f t="shared" si="2"/>
        <v>7.1439623060601001</v>
      </c>
      <c r="G49" s="2085" t="e">
        <f>+#REF!/100000</f>
        <v>#REF!</v>
      </c>
      <c r="H49" s="1492" t="s">
        <v>257</v>
      </c>
      <c r="I49" s="1493">
        <v>5500986</v>
      </c>
      <c r="J49" s="1494"/>
      <c r="L49" s="1482" t="s">
        <v>1100</v>
      </c>
      <c r="M49" s="1362">
        <f>SUM(M46:M48)</f>
        <v>24000</v>
      </c>
      <c r="N49" s="1362">
        <v>27</v>
      </c>
      <c r="O49" s="1362">
        <f>N49*M49</f>
        <v>648000</v>
      </c>
      <c r="P49" s="1362" t="s">
        <v>210</v>
      </c>
    </row>
    <row r="50" spans="1:24" ht="18" customHeight="1">
      <c r="A50" s="1361"/>
      <c r="B50" s="1366" t="s">
        <v>1224</v>
      </c>
      <c r="C50" s="1576">
        <f>SUM(C35:C49)</f>
        <v>22.807077949033662</v>
      </c>
      <c r="D50" s="1576">
        <f>SUM(D35:D49)</f>
        <v>10.181825293018738</v>
      </c>
      <c r="E50" s="1576">
        <f>SUM(E35:E49)</f>
        <v>20.363650586037476</v>
      </c>
      <c r="F50" s="1576">
        <f>SUM(F35:F49)</f>
        <v>21.789106127060098</v>
      </c>
      <c r="G50" s="638" t="e">
        <f>+G49/100-C50</f>
        <v>#REF!</v>
      </c>
      <c r="H50" s="1492" t="s">
        <v>258</v>
      </c>
      <c r="I50" s="1493">
        <v>2489844</v>
      </c>
      <c r="J50" s="1494"/>
      <c r="L50" s="1362"/>
      <c r="M50" s="1362"/>
      <c r="N50" s="1362"/>
      <c r="O50" s="1362"/>
      <c r="P50" s="1362"/>
    </row>
    <row r="51" spans="1:24" ht="18.75" customHeight="1">
      <c r="A51" s="1361"/>
      <c r="B51" s="1366" t="s">
        <v>1099</v>
      </c>
      <c r="C51" s="653"/>
      <c r="D51" s="653"/>
      <c r="E51" s="653"/>
      <c r="F51" s="653"/>
      <c r="H51" s="1492" t="s">
        <v>259</v>
      </c>
      <c r="I51" s="1493">
        <f>+I49-I50</f>
        <v>3011142</v>
      </c>
      <c r="J51" s="1494">
        <f>+I51*5</f>
        <v>15055710</v>
      </c>
      <c r="L51" s="1371" t="s">
        <v>211</v>
      </c>
      <c r="M51" s="1362"/>
      <c r="N51" s="1362"/>
      <c r="O51" s="1362"/>
      <c r="P51" s="1362"/>
    </row>
    <row r="52" spans="1:24" ht="16.5" customHeight="1">
      <c r="A52" s="1361"/>
      <c r="B52" s="1362" t="s">
        <v>140</v>
      </c>
      <c r="C52" s="653"/>
      <c r="D52" s="653"/>
      <c r="E52" s="653"/>
      <c r="F52" s="653">
        <f>+E52*1.07</f>
        <v>0</v>
      </c>
      <c r="H52" s="1492"/>
      <c r="I52" s="1493"/>
      <c r="J52" s="1496"/>
      <c r="L52" s="1495" t="s">
        <v>212</v>
      </c>
      <c r="M52" s="1362"/>
      <c r="N52" s="1362"/>
      <c r="O52" s="1362">
        <v>407000</v>
      </c>
      <c r="P52" s="1362" t="s">
        <v>210</v>
      </c>
    </row>
    <row r="53" spans="1:24">
      <c r="A53" s="1361"/>
      <c r="B53" s="1362" t="s">
        <v>1096</v>
      </c>
      <c r="C53" s="653">
        <v>0</v>
      </c>
      <c r="D53" s="653"/>
      <c r="E53" s="653"/>
      <c r="F53" s="653">
        <f>+E53*1.07</f>
        <v>0</v>
      </c>
      <c r="H53" s="1497"/>
      <c r="I53" s="1498"/>
      <c r="J53" s="1498"/>
      <c r="L53" s="1362"/>
      <c r="M53" s="1362"/>
      <c r="N53" s="1362"/>
      <c r="O53" s="1362"/>
      <c r="P53" s="1362"/>
      <c r="S53" s="3373"/>
      <c r="T53" s="3373"/>
      <c r="U53" s="3373"/>
      <c r="V53" s="3373"/>
      <c r="W53" s="3373"/>
      <c r="X53" s="3373"/>
    </row>
    <row r="54" spans="1:24" s="1369" customFormat="1">
      <c r="A54" s="1361"/>
      <c r="B54" s="1362" t="s">
        <v>3140</v>
      </c>
      <c r="C54" s="653"/>
      <c r="D54" s="653"/>
      <c r="E54" s="653"/>
      <c r="F54" s="653"/>
      <c r="G54" s="2079"/>
      <c r="H54" s="1497"/>
      <c r="I54" s="1498"/>
      <c r="J54" s="1498"/>
      <c r="K54" s="1357"/>
      <c r="L54" s="1366" t="s">
        <v>213</v>
      </c>
      <c r="M54" s="1362"/>
      <c r="N54" s="1362"/>
      <c r="O54" s="1362">
        <v>100000</v>
      </c>
      <c r="P54" s="1362" t="s">
        <v>210</v>
      </c>
      <c r="Q54" s="1357"/>
      <c r="R54" s="1357"/>
    </row>
    <row r="55" spans="1:24" s="1369" customFormat="1">
      <c r="A55" s="1361"/>
      <c r="B55" s="1362" t="s">
        <v>116</v>
      </c>
      <c r="C55" s="653">
        <v>0</v>
      </c>
      <c r="D55" s="653"/>
      <c r="E55" s="653"/>
      <c r="F55" s="653">
        <f>+E55*1.07</f>
        <v>0</v>
      </c>
      <c r="G55" s="642" t="e">
        <f>+#REF!/100000</f>
        <v>#REF!</v>
      </c>
      <c r="H55" s="1499">
        <f>+C77-C76</f>
        <v>61.374179949033667</v>
      </c>
      <c r="I55" s="1500">
        <f>+E77-E76</f>
        <v>66.253340596037475</v>
      </c>
      <c r="J55" s="1501">
        <f>+F77-F76</f>
        <v>70.891074437760082</v>
      </c>
      <c r="K55" s="1470"/>
      <c r="L55" s="1366"/>
      <c r="M55" s="1362"/>
      <c r="N55" s="1362"/>
      <c r="O55" s="1362"/>
      <c r="P55" s="1362"/>
      <c r="R55" s="1373"/>
    </row>
    <row r="56" spans="1:24" s="1369" customFormat="1">
      <c r="A56" s="1370"/>
      <c r="B56" s="1366" t="s">
        <v>1224</v>
      </c>
      <c r="C56" s="1576">
        <f>SUM(C52:C55)</f>
        <v>0</v>
      </c>
      <c r="D56" s="1576">
        <f>SUM(D52:D55)</f>
        <v>0</v>
      </c>
      <c r="E56" s="1576">
        <f>SUM(E52:E55)</f>
        <v>0</v>
      </c>
      <c r="F56" s="1576">
        <f>SUM(F52:F55)</f>
        <v>0</v>
      </c>
      <c r="G56" s="2079"/>
      <c r="H56" s="1497"/>
      <c r="I56" s="1498">
        <f>+I55/H55</f>
        <v>1.0794985880227737</v>
      </c>
      <c r="J56" s="1498">
        <f>+J55/I55</f>
        <v>1.0699999999999998</v>
      </c>
      <c r="K56" s="1470"/>
      <c r="L56" s="1366" t="s">
        <v>1584</v>
      </c>
      <c r="M56" s="1362"/>
      <c r="N56" s="1362"/>
      <c r="O56" s="1362">
        <f>SUM(O32:O55)</f>
        <v>3301500</v>
      </c>
      <c r="P56" s="1362"/>
      <c r="Q56" s="1377"/>
      <c r="R56" s="1502"/>
      <c r="S56" s="1357"/>
      <c r="T56" s="1357"/>
      <c r="U56" s="1377"/>
      <c r="V56" s="1357"/>
      <c r="W56" s="1357"/>
      <c r="X56" s="1357"/>
    </row>
    <row r="57" spans="1:24" s="1369" customFormat="1" ht="18.75" customHeight="1">
      <c r="A57" s="1370"/>
      <c r="B57" s="1366" t="s">
        <v>491</v>
      </c>
      <c r="C57" s="1576"/>
      <c r="D57" s="1576"/>
      <c r="E57" s="1576"/>
      <c r="F57" s="1576"/>
      <c r="G57" s="2079"/>
      <c r="I57" s="1374"/>
      <c r="J57" s="1374"/>
      <c r="K57" s="1470"/>
      <c r="L57" s="1357"/>
      <c r="M57" s="1357"/>
      <c r="N57" s="1357"/>
      <c r="O57" s="997"/>
      <c r="Q57" s="1377"/>
      <c r="R57" s="1502"/>
      <c r="S57" s="1357"/>
      <c r="T57" s="1357"/>
      <c r="U57" s="1377"/>
      <c r="V57" s="1357"/>
      <c r="W57" s="1357"/>
      <c r="X57" s="1357"/>
    </row>
    <row r="58" spans="1:24" s="1369" customFormat="1" ht="21.75" customHeight="1">
      <c r="A58" s="1370"/>
      <c r="B58" s="1362" t="s">
        <v>4799</v>
      </c>
      <c r="C58" s="653">
        <v>0</v>
      </c>
      <c r="D58" s="653">
        <v>0</v>
      </c>
      <c r="E58" s="653">
        <v>0</v>
      </c>
      <c r="F58" s="653">
        <f>E58*1.07</f>
        <v>0</v>
      </c>
      <c r="G58" s="2079"/>
      <c r="H58" s="1447" t="s">
        <v>1208</v>
      </c>
      <c r="I58" s="1358"/>
      <c r="J58" s="1358"/>
      <c r="K58" s="997"/>
      <c r="L58" s="1369" t="s">
        <v>1293</v>
      </c>
      <c r="M58" s="1357"/>
      <c r="N58" s="1357"/>
      <c r="O58" s="997"/>
      <c r="Q58" s="1377"/>
      <c r="R58" s="1502"/>
      <c r="S58" s="1357"/>
      <c r="T58" s="1357"/>
      <c r="U58" s="1377"/>
      <c r="V58" s="1357"/>
      <c r="W58" s="1357"/>
      <c r="X58" s="1357"/>
    </row>
    <row r="59" spans="1:24" s="1369" customFormat="1" ht="31">
      <c r="A59" s="1370"/>
      <c r="B59" s="1360" t="s">
        <v>588</v>
      </c>
      <c r="C59" s="653"/>
      <c r="D59" s="653"/>
      <c r="E59" s="653"/>
      <c r="F59" s="653"/>
      <c r="G59" s="642" t="e">
        <f>+G49+G27</f>
        <v>#REF!</v>
      </c>
      <c r="H59" s="1362"/>
      <c r="I59" s="3442" t="s">
        <v>4662</v>
      </c>
      <c r="J59" s="3443"/>
      <c r="K59" s="3374" t="s">
        <v>4733</v>
      </c>
      <c r="L59" s="3376"/>
      <c r="M59" s="1357"/>
      <c r="N59" s="1447" t="s">
        <v>1531</v>
      </c>
      <c r="O59" s="997"/>
      <c r="Q59" s="1377"/>
      <c r="R59" s="1502"/>
      <c r="S59" s="1357"/>
      <c r="T59" s="1357"/>
      <c r="U59" s="1377"/>
      <c r="V59" s="1357"/>
      <c r="W59" s="1357"/>
      <c r="X59" s="1357"/>
    </row>
    <row r="60" spans="1:24" s="1369" customFormat="1" ht="18" customHeight="1">
      <c r="A60" s="1370"/>
      <c r="B60" s="1362" t="s">
        <v>3661</v>
      </c>
      <c r="C60" s="653"/>
      <c r="D60" s="653">
        <v>0.53915250999999997</v>
      </c>
      <c r="E60" s="653">
        <f>D60*2</f>
        <v>1.0783050199999999</v>
      </c>
      <c r="F60" s="653">
        <f>E60*1.07</f>
        <v>1.1537863714000001</v>
      </c>
      <c r="G60" s="642">
        <f>+C27+C50</f>
        <v>37.53110854303366</v>
      </c>
      <c r="H60" s="1362"/>
      <c r="I60" s="1503" t="s">
        <v>341</v>
      </c>
      <c r="J60" s="1503" t="s">
        <v>342</v>
      </c>
      <c r="K60" s="1366" t="s">
        <v>341</v>
      </c>
      <c r="L60" s="1370" t="s">
        <v>342</v>
      </c>
      <c r="M60" s="1357"/>
      <c r="N60" s="1482" t="s">
        <v>1543</v>
      </c>
      <c r="O60" s="1401" t="s">
        <v>193</v>
      </c>
      <c r="P60" s="1370" t="s">
        <v>426</v>
      </c>
      <c r="Q60" s="1395" t="s">
        <v>1533</v>
      </c>
      <c r="R60" s="1502"/>
      <c r="S60" s="1357"/>
      <c r="T60" s="1357"/>
      <c r="U60" s="1377"/>
      <c r="V60" s="1357"/>
      <c r="W60" s="1357"/>
      <c r="X60" s="1357"/>
    </row>
    <row r="61" spans="1:24" s="1369" customFormat="1" ht="18" customHeight="1">
      <c r="A61" s="1370"/>
      <c r="B61" s="1362" t="s">
        <v>4772</v>
      </c>
      <c r="C61" s="653">
        <v>0</v>
      </c>
      <c r="D61" s="653"/>
      <c r="E61" s="653"/>
      <c r="F61" s="653"/>
      <c r="G61" s="642" t="e">
        <f>+G59-G60*100</f>
        <v>#REF!</v>
      </c>
      <c r="H61" s="1504" t="s">
        <v>343</v>
      </c>
      <c r="I61" s="1453"/>
      <c r="J61" s="1453"/>
      <c r="K61" s="1362"/>
      <c r="L61" s="1362"/>
      <c r="N61" s="1366" t="s">
        <v>1532</v>
      </c>
      <c r="O61" s="1370">
        <v>45</v>
      </c>
      <c r="P61" s="1370">
        <v>30000</v>
      </c>
      <c r="Q61" s="1370">
        <f>P61*O61</f>
        <v>1350000</v>
      </c>
      <c r="R61" s="1505"/>
    </row>
    <row r="62" spans="1:24" s="1369" customFormat="1" ht="23.25" hidden="1" customHeight="1">
      <c r="A62" s="1370"/>
      <c r="B62" s="1360" t="s">
        <v>4508</v>
      </c>
      <c r="C62" s="653"/>
      <c r="D62" s="653"/>
      <c r="E62" s="653"/>
      <c r="F62" s="653"/>
      <c r="G62" s="2079"/>
      <c r="H62" s="1360" t="s">
        <v>3652</v>
      </c>
      <c r="I62" s="1453"/>
      <c r="J62" s="1453"/>
      <c r="K62" s="1362"/>
      <c r="L62" s="1362"/>
      <c r="M62" s="1357"/>
      <c r="N62" s="650" t="s">
        <v>1534</v>
      </c>
      <c r="O62" s="1395">
        <v>20</v>
      </c>
      <c r="P62" s="1395">
        <v>6000</v>
      </c>
      <c r="Q62" s="1370">
        <f t="shared" ref="Q62:Q68" si="4">P62*O62</f>
        <v>120000</v>
      </c>
      <c r="R62" s="1502"/>
      <c r="S62" s="1357"/>
      <c r="T62" s="1357"/>
      <c r="U62" s="1377"/>
      <c r="V62" s="1357"/>
      <c r="W62" s="1357"/>
      <c r="X62" s="1357"/>
    </row>
    <row r="63" spans="1:24" s="1369" customFormat="1" ht="21.75" hidden="1" customHeight="1">
      <c r="A63" s="1370"/>
      <c r="B63" s="1362" t="s">
        <v>4498</v>
      </c>
      <c r="C63" s="1576"/>
      <c r="D63" s="1576"/>
      <c r="E63" s="653"/>
      <c r="F63" s="653"/>
      <c r="G63" s="2079"/>
      <c r="H63" s="1360" t="s">
        <v>3653</v>
      </c>
      <c r="I63" s="650">
        <v>0</v>
      </c>
      <c r="J63" s="1453"/>
      <c r="K63" s="650">
        <f>280000000-L65</f>
        <v>264600000</v>
      </c>
      <c r="L63" s="1362"/>
      <c r="M63" s="1357"/>
      <c r="N63" s="650" t="s">
        <v>1535</v>
      </c>
      <c r="O63" s="1395">
        <v>1</v>
      </c>
      <c r="P63" s="1395">
        <v>300000</v>
      </c>
      <c r="Q63" s="1370">
        <f t="shared" si="4"/>
        <v>300000</v>
      </c>
      <c r="R63" s="1502"/>
      <c r="S63" s="1357"/>
      <c r="T63" s="1357"/>
      <c r="U63" s="1377"/>
      <c r="V63" s="1357"/>
      <c r="W63" s="1357"/>
      <c r="X63" s="1357"/>
    </row>
    <row r="64" spans="1:24" s="1369" customFormat="1" ht="24" customHeight="1">
      <c r="A64" s="1370"/>
      <c r="B64" s="1362" t="s">
        <v>4476</v>
      </c>
      <c r="C64" s="653">
        <f>'TB FY-2021-22'!G1316/10^7</f>
        <v>4.2203442000000004</v>
      </c>
      <c r="D64" s="653">
        <f>'TB FY23 (H1)'!F959</f>
        <v>0.49140679999999998</v>
      </c>
      <c r="E64" s="653">
        <f>D64*2</f>
        <v>0.98281359999999995</v>
      </c>
      <c r="F64" s="653">
        <f t="shared" ref="F64:F71" si="5">E64*1.07</f>
        <v>1.0516105520000001</v>
      </c>
      <c r="G64" s="2079"/>
      <c r="H64" s="1360" t="s">
        <v>1033</v>
      </c>
      <c r="I64" s="650"/>
      <c r="J64" s="1372"/>
      <c r="K64" s="650"/>
      <c r="L64" s="650"/>
      <c r="M64" s="1357"/>
      <c r="N64" s="650" t="s">
        <v>1536</v>
      </c>
      <c r="O64" s="1395">
        <v>45</v>
      </c>
      <c r="P64" s="1395">
        <v>1000</v>
      </c>
      <c r="Q64" s="1370">
        <f t="shared" si="4"/>
        <v>45000</v>
      </c>
      <c r="R64" s="1502"/>
      <c r="S64" s="1357"/>
      <c r="T64" s="1357"/>
      <c r="U64" s="1377"/>
      <c r="V64" s="1357"/>
      <c r="W64" s="1357"/>
      <c r="X64" s="1357"/>
    </row>
    <row r="65" spans="1:24" s="1369" customFormat="1" ht="26.25" customHeight="1">
      <c r="A65" s="1370"/>
      <c r="B65" s="1362" t="s">
        <v>3357</v>
      </c>
      <c r="C65" s="653"/>
      <c r="D65" s="653"/>
      <c r="E65" s="653">
        <v>0</v>
      </c>
      <c r="F65" s="653">
        <f t="shared" si="5"/>
        <v>0</v>
      </c>
      <c r="G65" s="2079"/>
      <c r="H65" s="1360" t="s">
        <v>4621</v>
      </c>
      <c r="I65" s="1374"/>
      <c r="J65" s="650">
        <v>0</v>
      </c>
      <c r="L65" s="650">
        <v>15400000</v>
      </c>
      <c r="M65" s="1377"/>
      <c r="N65" s="650" t="s">
        <v>1537</v>
      </c>
      <c r="O65" s="1395">
        <v>5</v>
      </c>
      <c r="P65" s="1395">
        <v>4000</v>
      </c>
      <c r="Q65" s="1370">
        <f t="shared" si="4"/>
        <v>20000</v>
      </c>
      <c r="R65" s="1502"/>
      <c r="S65" s="1377"/>
      <c r="T65" s="1357"/>
      <c r="U65" s="1377"/>
      <c r="V65" s="1357"/>
      <c r="W65" s="1357"/>
      <c r="X65" s="1357"/>
    </row>
    <row r="66" spans="1:24" s="1369" customFormat="1" ht="33" customHeight="1">
      <c r="A66" s="1370"/>
      <c r="B66" s="1360" t="s">
        <v>3358</v>
      </c>
      <c r="C66" s="1576"/>
      <c r="D66" s="653"/>
      <c r="E66" s="653">
        <v>0</v>
      </c>
      <c r="F66" s="653">
        <f t="shared" si="5"/>
        <v>0</v>
      </c>
      <c r="G66" s="2079"/>
      <c r="H66" s="1366"/>
      <c r="I66" s="1372"/>
      <c r="J66" s="1374"/>
      <c r="K66" s="650"/>
      <c r="L66" s="1366"/>
      <c r="M66" s="1357">
        <f>+L65/12</f>
        <v>1283333.3333333333</v>
      </c>
      <c r="N66" s="650" t="s">
        <v>1538</v>
      </c>
      <c r="O66" s="1395">
        <v>6</v>
      </c>
      <c r="P66" s="1395">
        <v>8000</v>
      </c>
      <c r="Q66" s="1370">
        <f t="shared" si="4"/>
        <v>48000</v>
      </c>
      <c r="R66" s="1502"/>
      <c r="S66" s="1357"/>
      <c r="T66" s="1357"/>
      <c r="U66" s="1377"/>
      <c r="V66" s="1357"/>
      <c r="W66" s="1357"/>
      <c r="X66" s="1357"/>
    </row>
    <row r="67" spans="1:24" s="1369" customFormat="1" ht="32.25" customHeight="1">
      <c r="A67" s="1370"/>
      <c r="B67" s="1360" t="s">
        <v>6927</v>
      </c>
      <c r="C67" s="1576"/>
      <c r="D67" s="1576"/>
      <c r="E67" s="653">
        <v>0</v>
      </c>
      <c r="F67" s="653">
        <f t="shared" si="5"/>
        <v>0</v>
      </c>
      <c r="G67" s="2079"/>
      <c r="H67" s="1366"/>
      <c r="I67" s="1372"/>
      <c r="J67" s="1372"/>
      <c r="K67" s="650"/>
      <c r="L67" s="650"/>
      <c r="M67" s="1357"/>
      <c r="N67" s="650" t="s">
        <v>1539</v>
      </c>
      <c r="O67" s="1395">
        <v>10</v>
      </c>
      <c r="P67" s="1395">
        <v>10000</v>
      </c>
      <c r="Q67" s="1370">
        <f t="shared" si="4"/>
        <v>100000</v>
      </c>
      <c r="R67" s="1502"/>
      <c r="S67" s="1357"/>
      <c r="T67" s="1357"/>
      <c r="U67" s="1377"/>
      <c r="V67" s="1357"/>
      <c r="W67" s="1357"/>
      <c r="X67" s="1357"/>
    </row>
    <row r="68" spans="1:24" s="1369" customFormat="1" ht="18.75" customHeight="1">
      <c r="A68" s="1370"/>
      <c r="B68" s="1362" t="s">
        <v>455</v>
      </c>
      <c r="C68" s="1576"/>
      <c r="D68" s="1576"/>
      <c r="E68" s="653">
        <v>0</v>
      </c>
      <c r="F68" s="653">
        <f t="shared" si="5"/>
        <v>0</v>
      </c>
      <c r="G68" s="2079"/>
      <c r="H68" s="1362"/>
      <c r="I68" s="1372"/>
      <c r="J68" s="1372"/>
      <c r="K68" s="650"/>
      <c r="L68" s="650"/>
      <c r="M68" s="1357"/>
      <c r="N68" s="650" t="s">
        <v>1540</v>
      </c>
      <c r="O68" s="1395">
        <v>1</v>
      </c>
      <c r="P68" s="1395">
        <v>800000</v>
      </c>
      <c r="Q68" s="1370">
        <f t="shared" si="4"/>
        <v>800000</v>
      </c>
      <c r="R68" s="1502"/>
      <c r="S68" s="1357"/>
      <c r="T68" s="1357"/>
      <c r="U68" s="1377"/>
      <c r="V68" s="1357"/>
      <c r="W68" s="1357"/>
      <c r="X68" s="1357"/>
    </row>
    <row r="69" spans="1:24" s="1369" customFormat="1" ht="24" customHeight="1">
      <c r="A69" s="1370"/>
      <c r="B69" s="1360" t="s">
        <v>5139</v>
      </c>
      <c r="C69" s="1576"/>
      <c r="D69" s="653"/>
      <c r="E69" s="653">
        <v>0</v>
      </c>
      <c r="F69" s="653">
        <f t="shared" si="5"/>
        <v>0</v>
      </c>
      <c r="G69" s="2086"/>
      <c r="H69" s="1366" t="s">
        <v>1034</v>
      </c>
      <c r="I69" s="1453"/>
      <c r="J69" s="1372"/>
      <c r="K69" s="1362"/>
      <c r="L69" s="650"/>
      <c r="M69" s="1357"/>
      <c r="N69" s="650" t="s">
        <v>1541</v>
      </c>
      <c r="O69" s="1395">
        <v>4</v>
      </c>
      <c r="P69" s="1395">
        <v>1000000</v>
      </c>
      <c r="Q69" s="1370">
        <f>P69*O69/3</f>
        <v>1333333.3333333333</v>
      </c>
      <c r="R69" s="1502"/>
      <c r="S69" s="1357"/>
      <c r="T69" s="1357"/>
      <c r="U69" s="1377"/>
      <c r="V69" s="1357"/>
      <c r="W69" s="1357"/>
      <c r="X69" s="1357"/>
    </row>
    <row r="70" spans="1:24" s="1369" customFormat="1" ht="19.5" customHeight="1">
      <c r="A70" s="1370"/>
      <c r="B70" s="1362" t="s">
        <v>4499</v>
      </c>
      <c r="C70" s="1576"/>
      <c r="D70" s="1576"/>
      <c r="E70" s="653">
        <v>0</v>
      </c>
      <c r="F70" s="653">
        <f t="shared" si="5"/>
        <v>0</v>
      </c>
      <c r="G70" s="2079"/>
      <c r="H70" s="1360" t="s">
        <v>3655</v>
      </c>
      <c r="I70" s="1372"/>
      <c r="J70" s="1372"/>
      <c r="K70" s="650"/>
      <c r="L70" s="650"/>
      <c r="M70" s="1357"/>
      <c r="N70" s="650" t="s">
        <v>1542</v>
      </c>
      <c r="O70" s="1395">
        <v>1</v>
      </c>
      <c r="P70" s="1395">
        <v>800000</v>
      </c>
      <c r="Q70" s="1370">
        <f>P70*O70/3</f>
        <v>266666.66666666669</v>
      </c>
      <c r="R70" s="1502"/>
      <c r="S70" s="1357"/>
      <c r="T70" s="1357"/>
      <c r="U70" s="1377"/>
      <c r="V70" s="1357"/>
      <c r="W70" s="1357"/>
      <c r="X70" s="1357"/>
    </row>
    <row r="71" spans="1:24" s="1369" customFormat="1" ht="31">
      <c r="A71" s="1370"/>
      <c r="B71" s="1360" t="s">
        <v>4485</v>
      </c>
      <c r="C71" s="1576"/>
      <c r="D71" s="653"/>
      <c r="E71" s="653">
        <v>0</v>
      </c>
      <c r="F71" s="653">
        <f t="shared" si="5"/>
        <v>0</v>
      </c>
      <c r="G71" s="2079"/>
      <c r="H71" s="1360" t="s">
        <v>4482</v>
      </c>
      <c r="I71" s="1372"/>
      <c r="J71" s="1372">
        <f>(50000*165)*1.18</f>
        <v>9735000</v>
      </c>
      <c r="K71" s="650"/>
      <c r="L71" s="650">
        <f>(100000*165)*1.18</f>
        <v>19470000</v>
      </c>
      <c r="N71" s="819" t="s">
        <v>1101</v>
      </c>
      <c r="O71" s="1446"/>
      <c r="P71" s="1370"/>
      <c r="Q71" s="1370">
        <f>SUM(Q61:Q70)</f>
        <v>4383000</v>
      </c>
      <c r="R71" s="1357" t="s">
        <v>4626</v>
      </c>
      <c r="T71" s="1404"/>
    </row>
    <row r="72" spans="1:24" s="1369" customFormat="1" ht="31">
      <c r="A72" s="1370"/>
      <c r="B72" s="1360" t="s">
        <v>5153</v>
      </c>
      <c r="C72" s="653">
        <v>31.169162715000002</v>
      </c>
      <c r="D72" s="653">
        <v>23.262796995999999</v>
      </c>
      <c r="E72" s="653">
        <f>D72*2+5.5-0.93</f>
        <v>51.095593991999998</v>
      </c>
      <c r="F72" s="653">
        <f>E72*1.07+5.43</f>
        <v>60.10228557144</v>
      </c>
      <c r="G72" s="2079"/>
      <c r="H72" s="1360" t="s">
        <v>4483</v>
      </c>
      <c r="I72" s="1372"/>
      <c r="J72" s="1372">
        <f>(25000*300)/2</f>
        <v>3750000</v>
      </c>
      <c r="K72" s="650"/>
      <c r="L72" s="650">
        <f>(50000*265)*1.18</f>
        <v>15635000</v>
      </c>
      <c r="N72" s="1482" t="s">
        <v>1544</v>
      </c>
      <c r="O72" s="1401" t="s">
        <v>193</v>
      </c>
      <c r="P72" s="1370" t="s">
        <v>426</v>
      </c>
      <c r="Q72" s="1395" t="s">
        <v>1533</v>
      </c>
      <c r="R72" s="1505"/>
      <c r="T72" s="1404"/>
    </row>
    <row r="73" spans="1:24" ht="31.5" customHeight="1">
      <c r="A73" s="1370"/>
      <c r="B73" s="1362" t="s">
        <v>4628</v>
      </c>
      <c r="C73" s="1576"/>
      <c r="D73" s="1576"/>
      <c r="E73" s="653">
        <v>0.03</v>
      </c>
      <c r="F73" s="653">
        <f>E73*1.07</f>
        <v>3.2100000000000004E-2</v>
      </c>
      <c r="H73" s="1360" t="s">
        <v>3654</v>
      </c>
      <c r="I73" s="1372">
        <v>0</v>
      </c>
      <c r="J73" s="1372"/>
      <c r="K73" s="650">
        <f>(75000*55)</f>
        <v>4125000</v>
      </c>
      <c r="L73" s="650"/>
      <c r="N73" s="1507" t="s">
        <v>1545</v>
      </c>
      <c r="O73" s="1362"/>
      <c r="P73" s="1362"/>
      <c r="Q73" s="1361">
        <v>5000000</v>
      </c>
      <c r="U73" s="1377"/>
    </row>
    <row r="74" spans="1:24" ht="30.75" customHeight="1">
      <c r="A74" s="1370"/>
      <c r="B74" s="1362" t="s">
        <v>4509</v>
      </c>
      <c r="C74" s="1576"/>
      <c r="D74" s="653"/>
      <c r="E74" s="653">
        <v>0.5</v>
      </c>
      <c r="F74" s="653">
        <f>E74*1.07</f>
        <v>0.53500000000000003</v>
      </c>
      <c r="G74" s="2087"/>
      <c r="H74" s="1506"/>
      <c r="I74" s="1372"/>
      <c r="J74" s="1372"/>
      <c r="K74" s="650"/>
      <c r="L74" s="650"/>
      <c r="N74" s="1507" t="s">
        <v>3367</v>
      </c>
      <c r="O74" s="1362"/>
      <c r="P74" s="1362"/>
      <c r="Q74" s="1361">
        <v>29517000</v>
      </c>
      <c r="X74" s="1379"/>
    </row>
    <row r="75" spans="1:24" ht="25" customHeight="1">
      <c r="A75" s="1370"/>
      <c r="B75" s="1362" t="s">
        <v>4510</v>
      </c>
      <c r="C75" s="1576"/>
      <c r="D75" s="653">
        <v>1.7302640039999999</v>
      </c>
      <c r="E75" s="653">
        <f>D75*2</f>
        <v>3.4605280079999998</v>
      </c>
      <c r="F75" s="653">
        <f>E75*1.07</f>
        <v>3.7027649685599999</v>
      </c>
      <c r="H75" s="1360"/>
      <c r="I75" s="1372"/>
      <c r="J75" s="1372"/>
      <c r="K75" s="650"/>
      <c r="L75" s="650"/>
      <c r="M75" s="997"/>
      <c r="N75" s="819" t="s">
        <v>1101</v>
      </c>
      <c r="O75" s="1366"/>
      <c r="P75" s="1366"/>
      <c r="Q75" s="1370">
        <f>SUM(Q73:Q74)</f>
        <v>34517000</v>
      </c>
      <c r="R75" s="1357" t="s">
        <v>4626</v>
      </c>
      <c r="S75" s="1357">
        <f>38900000-Q71-Q73</f>
        <v>29517000</v>
      </c>
    </row>
    <row r="76" spans="1:24" ht="31.5" customHeight="1">
      <c r="A76" s="1361"/>
      <c r="B76" s="1366" t="s">
        <v>1224</v>
      </c>
      <c r="C76" s="1576">
        <f>SUM(C58:C75)</f>
        <v>35.389506915000005</v>
      </c>
      <c r="D76" s="1576">
        <f>SUM(D58:D75)</f>
        <v>26.023620309999998</v>
      </c>
      <c r="E76" s="1576">
        <f>SUM(E58:E75)</f>
        <v>57.147240619999998</v>
      </c>
      <c r="F76" s="1576">
        <f>SUM(F58:F75)</f>
        <v>66.577547463399995</v>
      </c>
      <c r="H76" s="1360"/>
      <c r="I76" s="1453"/>
      <c r="J76" s="1372"/>
      <c r="K76" s="1362"/>
      <c r="L76" s="650"/>
    </row>
    <row r="77" spans="1:24" ht="22.5" customHeight="1">
      <c r="A77" s="1361"/>
      <c r="B77" s="1366" t="s">
        <v>1101</v>
      </c>
      <c r="C77" s="1576">
        <f>C56+C50+C33+C27+C19+C12+C76</f>
        <v>96.763686864033673</v>
      </c>
      <c r="D77" s="1576">
        <f>D56+D50+D33+D27+D19+D12+D76</f>
        <v>59.150290608018736</v>
      </c>
      <c r="E77" s="1576">
        <f>E56+E50+E33+E27+E19+E12+E76</f>
        <v>123.40058121603747</v>
      </c>
      <c r="F77" s="1576">
        <f>F56+F50+F33+F27+F19+F12+F76</f>
        <v>137.46862190116008</v>
      </c>
      <c r="G77" s="2083">
        <f>F77-F76</f>
        <v>70.891074437760082</v>
      </c>
      <c r="H77" s="1365" t="s">
        <v>1101</v>
      </c>
      <c r="I77" s="1367">
        <f>SUM(I62:I76)</f>
        <v>0</v>
      </c>
      <c r="J77" s="1367"/>
      <c r="K77" s="819">
        <f>SUM(K62:K76)</f>
        <v>268725000</v>
      </c>
      <c r="L77" s="819"/>
      <c r="N77" s="1357" t="s">
        <v>1546</v>
      </c>
      <c r="Q77" s="1357" t="s">
        <v>1552</v>
      </c>
      <c r="X77" s="1378"/>
    </row>
    <row r="78" spans="1:24">
      <c r="A78" s="1361"/>
      <c r="B78" s="1366"/>
      <c r="C78" s="1576"/>
      <c r="D78" s="1576"/>
      <c r="E78" s="1576"/>
      <c r="F78" s="1576"/>
      <c r="N78" s="1482" t="s">
        <v>1550</v>
      </c>
      <c r="O78" s="1482" t="s">
        <v>948</v>
      </c>
      <c r="P78" s="1508" t="s">
        <v>1551</v>
      </c>
      <c r="Q78" s="1482" t="s">
        <v>1533</v>
      </c>
      <c r="S78" s="1369"/>
      <c r="X78" s="1369"/>
    </row>
    <row r="79" spans="1:24" ht="16" thickBot="1">
      <c r="A79" s="1361"/>
      <c r="B79" s="1362"/>
      <c r="C79" s="653"/>
      <c r="D79" s="653"/>
      <c r="E79" s="653"/>
      <c r="F79" s="653"/>
      <c r="N79" s="1362" t="s">
        <v>1547</v>
      </c>
      <c r="O79" s="1362">
        <v>35</v>
      </c>
      <c r="P79" s="1362">
        <v>7884000</v>
      </c>
      <c r="Q79" s="1362">
        <f>P79/3</f>
        <v>2628000</v>
      </c>
      <c r="S79" s="1509"/>
    </row>
    <row r="80" spans="1:24">
      <c r="A80" s="1370" t="s">
        <v>849</v>
      </c>
      <c r="B80" s="1375" t="s">
        <v>848</v>
      </c>
      <c r="C80" s="2074"/>
      <c r="D80" s="2074"/>
      <c r="E80" s="2074"/>
      <c r="F80" s="2074"/>
      <c r="G80" s="2088"/>
      <c r="H80" s="1506"/>
      <c r="I80" s="1450"/>
      <c r="J80" s="1451"/>
      <c r="N80" s="1362" t="s">
        <v>1548</v>
      </c>
      <c r="O80" s="1362">
        <v>20</v>
      </c>
      <c r="P80" s="1362">
        <v>720000</v>
      </c>
      <c r="Q80" s="1362">
        <f>P80/3</f>
        <v>240000</v>
      </c>
    </row>
    <row r="81" spans="1:24" ht="31">
      <c r="A81" s="1361"/>
      <c r="B81" s="1362"/>
      <c r="C81" s="653" t="s">
        <v>5402</v>
      </c>
      <c r="D81" s="653"/>
      <c r="E81" s="653"/>
      <c r="F81" s="653"/>
      <c r="H81" s="1362"/>
      <c r="I81" s="1453"/>
      <c r="J81" s="1453"/>
      <c r="M81" s="1369"/>
      <c r="N81" s="1507" t="s">
        <v>1549</v>
      </c>
      <c r="O81" s="1362"/>
      <c r="P81" s="1362">
        <v>1020000</v>
      </c>
      <c r="Q81" s="1362">
        <f>P81/3</f>
        <v>340000</v>
      </c>
      <c r="S81" s="1369"/>
      <c r="U81" s="1369"/>
    </row>
    <row r="82" spans="1:24" ht="31">
      <c r="A82" s="1775" t="s">
        <v>1354</v>
      </c>
      <c r="B82" s="1775" t="s">
        <v>1494</v>
      </c>
      <c r="C82" s="2072" t="s">
        <v>169</v>
      </c>
      <c r="D82" s="2072"/>
      <c r="E82" s="2072" t="s">
        <v>1496</v>
      </c>
      <c r="F82" s="2072" t="s">
        <v>1100</v>
      </c>
      <c r="H82" s="1362"/>
      <c r="I82" s="1453"/>
      <c r="J82" s="1453"/>
      <c r="K82" s="997"/>
      <c r="L82" s="997"/>
      <c r="N82" s="1507" t="s">
        <v>3366</v>
      </c>
      <c r="O82" s="1362"/>
      <c r="P82" s="1362"/>
      <c r="Q82" s="1362">
        <v>7892000</v>
      </c>
      <c r="S82" s="1357">
        <f>11100000-Q79-Q80-Q81</f>
        <v>7892000</v>
      </c>
      <c r="U82" s="1369"/>
    </row>
    <row r="83" spans="1:24">
      <c r="A83" s="1361"/>
      <c r="B83" s="1427"/>
      <c r="C83" s="653">
        <f>'T-1'!K49</f>
        <v>367.22209249219998</v>
      </c>
      <c r="D83" s="653"/>
      <c r="E83" s="653">
        <f>'T-1'!K32</f>
        <v>2385.0961995057</v>
      </c>
      <c r="F83" s="653">
        <f>B83+C83+E83</f>
        <v>2752.3182919978999</v>
      </c>
      <c r="G83" s="2089"/>
      <c r="H83" s="1510"/>
      <c r="I83" s="1511"/>
      <c r="J83" s="1511"/>
      <c r="K83" s="997"/>
      <c r="L83" s="997"/>
      <c r="N83" s="819" t="s">
        <v>1101</v>
      </c>
      <c r="O83" s="1366"/>
      <c r="P83" s="1366"/>
      <c r="Q83" s="1366">
        <f>SUM(Q79:Q82)</f>
        <v>11100000</v>
      </c>
      <c r="R83" s="1357" t="s">
        <v>4627</v>
      </c>
      <c r="X83" s="1505"/>
    </row>
    <row r="84" spans="1:24" ht="16" thickBot="1">
      <c r="A84" s="1361" t="s">
        <v>460</v>
      </c>
      <c r="B84" s="1362"/>
      <c r="C84" s="653"/>
      <c r="D84" s="653"/>
      <c r="E84" s="653"/>
      <c r="F84" s="653"/>
      <c r="Q84" s="997">
        <f>122.71/3/4</f>
        <v>10.225833333333332</v>
      </c>
      <c r="R84" s="1357" t="s">
        <v>4720</v>
      </c>
      <c r="U84" s="1369"/>
      <c r="X84" s="1505"/>
    </row>
    <row r="85" spans="1:24">
      <c r="A85" s="1361"/>
      <c r="B85" s="1401">
        <f>E77*2%</f>
        <v>2.4680116243207495</v>
      </c>
      <c r="C85" s="653">
        <f>(F85-B84:B85)/SUM(C83:E83)*C83</f>
        <v>16.135165538464069</v>
      </c>
      <c r="D85" s="653"/>
      <c r="E85" s="653">
        <f>(F85-B85)/SUM(C83:E83)*E83</f>
        <v>104.79740405325263</v>
      </c>
      <c r="F85" s="653">
        <f>E77</f>
        <v>123.40058121603747</v>
      </c>
      <c r="H85" s="1447" t="s">
        <v>214</v>
      </c>
      <c r="I85" s="1450" t="s">
        <v>3669</v>
      </c>
      <c r="J85" s="1451" t="s">
        <v>4620</v>
      </c>
      <c r="R85" s="1357">
        <f>Q79/12</f>
        <v>219000</v>
      </c>
      <c r="U85" s="1369"/>
    </row>
    <row r="86" spans="1:24">
      <c r="A86" s="1361"/>
      <c r="B86" s="1361"/>
      <c r="C86" s="653"/>
      <c r="D86" s="653"/>
      <c r="E86" s="653"/>
      <c r="F86" s="653"/>
      <c r="H86" s="1362" t="s">
        <v>3670</v>
      </c>
      <c r="I86" s="1453">
        <v>0</v>
      </c>
      <c r="J86" s="1453"/>
    </row>
    <row r="87" spans="1:24">
      <c r="A87" s="1361"/>
      <c r="B87" s="1512">
        <f>B85/F85</f>
        <v>0.02</v>
      </c>
      <c r="C87" s="653">
        <f>C85/F85</f>
        <v>0.13075437230085835</v>
      </c>
      <c r="D87" s="653"/>
      <c r="E87" s="653">
        <f>E85/F85</f>
        <v>0.84924562769914158</v>
      </c>
      <c r="F87" s="653">
        <f>SUM(B87:E87)</f>
        <v>0.99999999999999989</v>
      </c>
      <c r="H87" s="1362" t="s">
        <v>215</v>
      </c>
      <c r="I87" s="1453"/>
      <c r="J87" s="1453"/>
      <c r="M87" s="1369"/>
    </row>
    <row r="88" spans="1:24">
      <c r="A88" s="1361" t="s">
        <v>849</v>
      </c>
      <c r="B88" s="1362"/>
      <c r="C88" s="653"/>
      <c r="D88" s="653"/>
      <c r="E88" s="653"/>
      <c r="F88" s="653"/>
      <c r="G88" s="2088"/>
      <c r="H88" s="1366" t="s">
        <v>1101</v>
      </c>
      <c r="I88" s="1503">
        <f>SUM(I86:I87)</f>
        <v>0</v>
      </c>
      <c r="J88" s="1503">
        <f>SUM(J86:J87)</f>
        <v>0</v>
      </c>
      <c r="N88" s="1362"/>
      <c r="O88" s="1362"/>
      <c r="P88" s="1362"/>
      <c r="Q88" s="1362"/>
      <c r="R88" s="1362"/>
      <c r="U88" s="1369"/>
    </row>
    <row r="89" spans="1:24">
      <c r="A89" s="1361"/>
      <c r="B89" s="1362"/>
      <c r="C89" s="653" t="s">
        <v>8310</v>
      </c>
      <c r="D89" s="653"/>
      <c r="E89" s="653"/>
      <c r="F89" s="653"/>
      <c r="H89" s="1362"/>
      <c r="I89" s="1453"/>
      <c r="J89" s="1453"/>
      <c r="K89" s="997"/>
      <c r="L89" s="997"/>
      <c r="N89" s="1362"/>
      <c r="O89" s="1362"/>
      <c r="P89" s="1362"/>
      <c r="Q89" s="1362"/>
      <c r="R89" s="1362"/>
      <c r="U89" s="1369"/>
    </row>
    <row r="90" spans="1:24">
      <c r="A90" s="1361" t="s">
        <v>1355</v>
      </c>
      <c r="B90" s="1361" t="s">
        <v>1494</v>
      </c>
      <c r="C90" s="2075" t="s">
        <v>169</v>
      </c>
      <c r="D90" s="2075"/>
      <c r="E90" s="2075" t="s">
        <v>1496</v>
      </c>
      <c r="F90" s="2075" t="s">
        <v>1100</v>
      </c>
      <c r="H90" s="1447"/>
      <c r="I90" s="1374"/>
      <c r="K90" s="997"/>
      <c r="L90" s="997"/>
      <c r="N90" s="1362"/>
      <c r="O90" s="1362"/>
      <c r="P90" s="1362"/>
      <c r="Q90" s="1362"/>
      <c r="R90" s="1362"/>
      <c r="U90" s="1369"/>
    </row>
    <row r="91" spans="1:24">
      <c r="A91" s="1361"/>
      <c r="B91" s="1427"/>
      <c r="C91" s="653">
        <f>'T-1'!O49</f>
        <v>391.29422300399995</v>
      </c>
      <c r="D91" s="653"/>
      <c r="E91" s="653">
        <f>'T-1'!O32</f>
        <v>2552.77486749437</v>
      </c>
      <c r="F91" s="653">
        <f>SUM(B91:E91)</f>
        <v>2944.0690904983699</v>
      </c>
      <c r="H91" s="1447"/>
      <c r="N91" s="1362"/>
      <c r="O91" s="1362"/>
      <c r="P91" s="1362"/>
      <c r="Q91" s="1362"/>
      <c r="R91" s="1362"/>
      <c r="U91" s="1369"/>
    </row>
    <row r="92" spans="1:24">
      <c r="A92" s="1361" t="s">
        <v>460</v>
      </c>
      <c r="B92" s="1362"/>
      <c r="C92" s="653"/>
      <c r="D92" s="653"/>
      <c r="E92" s="653"/>
      <c r="F92" s="653"/>
      <c r="H92" s="1369"/>
      <c r="I92" s="1513"/>
      <c r="J92" s="1513"/>
      <c r="K92" s="1369"/>
      <c r="L92" s="1369"/>
      <c r="M92" s="1514"/>
      <c r="N92" s="1362"/>
      <c r="O92" s="1362"/>
      <c r="P92" s="1362"/>
      <c r="Q92" s="1362"/>
      <c r="R92" s="1362"/>
      <c r="S92" s="1369"/>
      <c r="X92" s="1404"/>
    </row>
    <row r="93" spans="1:24" ht="20.149999999999999" customHeight="1">
      <c r="A93" s="1361"/>
      <c r="B93" s="1446">
        <f>F77*2%</f>
        <v>2.7493724380232014</v>
      </c>
      <c r="C93" s="1576">
        <f>(F93-B93)/SUM(C91:E91)*C91</f>
        <v>17.905443935568996</v>
      </c>
      <c r="D93" s="1576"/>
      <c r="E93" s="1576">
        <f>(F93-B93)/SUM(C91:E91)*E91</f>
        <v>116.81380552756787</v>
      </c>
      <c r="F93" s="1576">
        <f>F77</f>
        <v>137.46862190116008</v>
      </c>
      <c r="H93" s="1362" t="s">
        <v>3359</v>
      </c>
      <c r="I93" s="1453" t="s">
        <v>193</v>
      </c>
      <c r="J93" s="1453" t="s">
        <v>3360</v>
      </c>
      <c r="K93" s="1360" t="s">
        <v>4477</v>
      </c>
      <c r="M93" s="3373"/>
    </row>
    <row r="94" spans="1:24">
      <c r="A94" s="1371" t="s">
        <v>1356</v>
      </c>
      <c r="B94" s="1361"/>
      <c r="C94" s="653"/>
      <c r="D94" s="653"/>
      <c r="E94" s="653"/>
      <c r="F94" s="653"/>
      <c r="H94" s="1362"/>
      <c r="I94" s="1453"/>
      <c r="J94" s="1453"/>
      <c r="K94" s="1362"/>
      <c r="M94" s="3373"/>
      <c r="N94" s="1362" t="s">
        <v>3660</v>
      </c>
      <c r="O94" s="1362" t="s">
        <v>4026</v>
      </c>
      <c r="P94" s="1515" t="s">
        <v>4026</v>
      </c>
    </row>
    <row r="95" spans="1:24" ht="45.65" customHeight="1">
      <c r="A95" s="1376" t="s">
        <v>1357</v>
      </c>
      <c r="B95" s="1512">
        <f>B93/F93</f>
        <v>0.02</v>
      </c>
      <c r="C95" s="653">
        <f>C93/F93</f>
        <v>0.13025113431662252</v>
      </c>
      <c r="D95" s="653"/>
      <c r="E95" s="653">
        <f>E93/F93</f>
        <v>0.84974886568337737</v>
      </c>
      <c r="F95" s="653">
        <f>SUM(B95:E95)</f>
        <v>0.99999999999999989</v>
      </c>
      <c r="H95" s="1362" t="s">
        <v>752</v>
      </c>
      <c r="I95" s="1453">
        <v>52</v>
      </c>
      <c r="J95" s="1453">
        <v>30000</v>
      </c>
      <c r="K95" s="650">
        <f>(I95*J95*12)/10000000</f>
        <v>1.8720000000000001</v>
      </c>
      <c r="M95" s="3373"/>
      <c r="N95" s="1362" t="s">
        <v>4459</v>
      </c>
      <c r="O95" s="1380"/>
      <c r="P95" s="1515">
        <f>+Q71+Q75</f>
        <v>38900000</v>
      </c>
    </row>
    <row r="96" spans="1:24">
      <c r="A96" s="1356"/>
      <c r="C96" s="665"/>
      <c r="D96" s="665"/>
      <c r="E96" s="665"/>
      <c r="F96" s="665"/>
      <c r="H96" s="1362" t="s">
        <v>4630</v>
      </c>
      <c r="I96" s="1453">
        <v>52</v>
      </c>
      <c r="J96" s="1453">
        <v>30000</v>
      </c>
      <c r="K96" s="650">
        <f>(I96*J96*12)/10000000</f>
        <v>1.8720000000000001</v>
      </c>
      <c r="M96" s="3373"/>
      <c r="N96" s="1362" t="str">
        <f>+H103</f>
        <v>Energy Audit Expenses</v>
      </c>
      <c r="O96" s="1380"/>
      <c r="P96" s="1515">
        <f>+I110</f>
        <v>23100000</v>
      </c>
    </row>
    <row r="97" spans="1:23">
      <c r="A97" s="1356"/>
      <c r="H97" s="1362" t="s">
        <v>4629</v>
      </c>
      <c r="I97" s="1453">
        <v>52</v>
      </c>
      <c r="J97" s="1453">
        <v>12000</v>
      </c>
      <c r="K97" s="650">
        <f>(I97*J97*12)/10000000</f>
        <v>0.74880000000000002</v>
      </c>
      <c r="M97" s="3373"/>
      <c r="N97" s="1362" t="str">
        <f>+H85</f>
        <v>ABT Operation &amp; Maintenance Expenses</v>
      </c>
      <c r="O97" s="1380">
        <v>0</v>
      </c>
      <c r="P97" s="1515">
        <f>+I88</f>
        <v>0</v>
      </c>
    </row>
    <row r="98" spans="1:23">
      <c r="A98" s="1373"/>
      <c r="B98" s="1369" t="s">
        <v>4036</v>
      </c>
      <c r="C98" s="742">
        <f>'F-22'!B15</f>
        <v>96.763686864033673</v>
      </c>
      <c r="D98" s="742"/>
      <c r="E98" s="742">
        <f>'F-22'!C15</f>
        <v>123.40058121603747</v>
      </c>
      <c r="F98" s="742">
        <f>'F-22'!D15</f>
        <v>137.46862190116008</v>
      </c>
      <c r="H98" s="1362" t="s">
        <v>4631</v>
      </c>
      <c r="I98" s="1453">
        <v>104</v>
      </c>
      <c r="J98" s="1453">
        <v>12000</v>
      </c>
      <c r="K98" s="650">
        <f>(I98*J98*12)/10000000</f>
        <v>1.4976</v>
      </c>
      <c r="M98" s="3373"/>
      <c r="N98" s="818" t="str">
        <f>+H30</f>
        <v>Customer Care Centre</v>
      </c>
      <c r="O98" s="1380">
        <f>+I33</f>
        <v>0</v>
      </c>
      <c r="P98" s="1380">
        <f>+J33</f>
        <v>4800000</v>
      </c>
      <c r="W98" s="1378">
        <v>4.9422960374698732E-3</v>
      </c>
    </row>
    <row r="99" spans="1:23">
      <c r="A99" s="1373"/>
      <c r="B99" s="1369"/>
      <c r="C99" s="665">
        <f>C77-C98</f>
        <v>0</v>
      </c>
      <c r="D99" s="2076"/>
      <c r="E99" s="2076">
        <f>E77-E98</f>
        <v>0</v>
      </c>
      <c r="F99" s="2076">
        <f>F77-F98</f>
        <v>0</v>
      </c>
      <c r="H99" s="1362" t="s">
        <v>4632</v>
      </c>
      <c r="I99" s="1453">
        <v>104</v>
      </c>
      <c r="J99" s="1453">
        <v>9000</v>
      </c>
      <c r="K99" s="650">
        <f>(I99*J99*12)/10000000</f>
        <v>1.1232</v>
      </c>
      <c r="M99" s="3373"/>
      <c r="N99" s="650" t="str">
        <f>+H61</f>
        <v>Automated Meter Reading System</v>
      </c>
      <c r="O99" s="1380">
        <f>+I77</f>
        <v>0</v>
      </c>
      <c r="P99" s="1515">
        <f>+K77</f>
        <v>268725000</v>
      </c>
    </row>
    <row r="100" spans="1:23">
      <c r="A100" s="1356"/>
      <c r="C100" s="2090"/>
      <c r="D100" s="665"/>
      <c r="E100" s="665"/>
      <c r="F100" s="665"/>
      <c r="H100" s="1362" t="s">
        <v>1101</v>
      </c>
      <c r="I100" s="1453">
        <f>SUM(I97:I99)</f>
        <v>260</v>
      </c>
      <c r="J100" s="1453"/>
      <c r="K100" s="819">
        <f>SUM(K95:K99)</f>
        <v>7.1135999999999999</v>
      </c>
      <c r="M100" s="3373"/>
      <c r="N100" s="650" t="str">
        <f>+L30</f>
        <v>RTI EXPENDITURE</v>
      </c>
      <c r="O100" s="1380">
        <v>0</v>
      </c>
      <c r="P100" s="1515">
        <f>+O36+O43</f>
        <v>2146500</v>
      </c>
    </row>
    <row r="101" spans="1:23">
      <c r="A101" s="1356"/>
      <c r="C101" s="665">
        <v>96.771693854759775</v>
      </c>
      <c r="D101" s="665"/>
      <c r="E101" s="665">
        <v>123.39563892</v>
      </c>
      <c r="F101" s="665">
        <v>137.59284045869998</v>
      </c>
      <c r="M101" s="3373"/>
      <c r="N101" s="650" t="str">
        <f>+A138</f>
        <v>Trannsformer Repairing Unit</v>
      </c>
      <c r="O101" s="1380"/>
      <c r="P101" s="1515">
        <f>+B140</f>
        <v>3000000</v>
      </c>
    </row>
    <row r="102" spans="1:23" ht="31">
      <c r="A102" s="1356"/>
      <c r="C102" s="665">
        <f>C98-C101</f>
        <v>-8.0069907261020035E-3</v>
      </c>
      <c r="D102" s="665"/>
      <c r="E102" s="665">
        <f>E77</f>
        <v>123.40058121603747</v>
      </c>
      <c r="F102" s="665">
        <f>F101-F98</f>
        <v>0.12421855753990485</v>
      </c>
      <c r="J102" s="1358" t="s">
        <v>4726</v>
      </c>
      <c r="M102" s="3373"/>
      <c r="N102" s="1360" t="str">
        <f>+B62</f>
        <v>Pressure Testing Kits</v>
      </c>
      <c r="O102" s="1380"/>
      <c r="P102" s="1515">
        <f>+B134</f>
        <v>10000000</v>
      </c>
    </row>
    <row r="103" spans="1:23" hidden="1">
      <c r="A103" s="1356"/>
      <c r="B103" s="997"/>
      <c r="C103" s="665"/>
      <c r="D103" s="665"/>
      <c r="E103" s="665"/>
      <c r="F103" s="665"/>
      <c r="H103" s="1366" t="s">
        <v>3662</v>
      </c>
      <c r="I103" s="1453" t="s">
        <v>3670</v>
      </c>
      <c r="J103" s="1453" t="s">
        <v>342</v>
      </c>
      <c r="M103" s="3373"/>
      <c r="N103" s="1366" t="s">
        <v>1100</v>
      </c>
      <c r="O103" s="1516">
        <f>SUM(O95:O102)</f>
        <v>0</v>
      </c>
      <c r="P103" s="1517">
        <f>SUM(P95:P102)</f>
        <v>350671500</v>
      </c>
      <c r="Q103" s="1357" t="s">
        <v>4491</v>
      </c>
    </row>
    <row r="104" spans="1:23" hidden="1">
      <c r="A104" s="1419" t="s">
        <v>28</v>
      </c>
      <c r="B104" s="997"/>
      <c r="C104" s="653" t="s">
        <v>4426</v>
      </c>
      <c r="D104" s="653"/>
      <c r="E104" s="653"/>
      <c r="F104" s="653"/>
      <c r="H104" s="1366" t="s">
        <v>3671</v>
      </c>
      <c r="I104" s="1372">
        <f>+L131</f>
        <v>23100000</v>
      </c>
      <c r="J104" s="1453"/>
      <c r="M104" s="3373"/>
      <c r="P104" s="997">
        <v>0</v>
      </c>
    </row>
    <row r="105" spans="1:23" hidden="1">
      <c r="B105" s="997"/>
      <c r="C105" s="653" t="s">
        <v>4427</v>
      </c>
      <c r="D105" s="653">
        <v>18</v>
      </c>
      <c r="E105" s="653">
        <v>40000</v>
      </c>
      <c r="F105" s="653">
        <f>D105*E105*12/10000000</f>
        <v>0.86399999999999999</v>
      </c>
      <c r="H105" s="1362" t="s">
        <v>3361</v>
      </c>
      <c r="I105" s="1453"/>
      <c r="J105" s="1453">
        <v>2200000</v>
      </c>
      <c r="M105" s="3373"/>
    </row>
    <row r="106" spans="1:23" hidden="1">
      <c r="A106" s="1356"/>
      <c r="B106" s="1419">
        <f>150000000*4%</f>
        <v>6000000</v>
      </c>
      <c r="C106" s="665"/>
      <c r="D106" s="665"/>
      <c r="E106" s="665"/>
      <c r="F106" s="665"/>
      <c r="H106" s="1362" t="s">
        <v>3362</v>
      </c>
      <c r="I106" s="1453"/>
      <c r="J106" s="1453">
        <v>5000000</v>
      </c>
      <c r="M106" s="3373"/>
    </row>
    <row r="107" spans="1:23" hidden="1">
      <c r="A107" s="1356"/>
      <c r="C107" s="665"/>
      <c r="D107" s="665"/>
      <c r="E107" s="665"/>
      <c r="F107" s="665"/>
      <c r="H107" s="1362" t="s">
        <v>3363</v>
      </c>
      <c r="I107" s="1453"/>
      <c r="J107" s="1453">
        <v>15000000</v>
      </c>
      <c r="M107" s="3373"/>
    </row>
    <row r="108" spans="1:23" hidden="1">
      <c r="D108" s="665"/>
      <c r="E108" s="665"/>
      <c r="F108" s="665"/>
      <c r="H108" s="1362" t="s">
        <v>3364</v>
      </c>
      <c r="I108" s="1453"/>
      <c r="J108" s="1453">
        <v>1000000</v>
      </c>
      <c r="M108" s="3373"/>
    </row>
    <row r="109" spans="1:23" ht="15" hidden="1" customHeight="1">
      <c r="D109" s="665"/>
      <c r="E109" s="665"/>
      <c r="F109" s="665"/>
      <c r="H109" s="1362"/>
      <c r="I109" s="1453"/>
      <c r="J109" s="1453"/>
      <c r="M109" s="3373"/>
    </row>
    <row r="110" spans="1:23" hidden="1">
      <c r="D110" s="665"/>
      <c r="E110" s="2076"/>
      <c r="F110" s="665"/>
      <c r="H110" s="1366" t="s">
        <v>1100</v>
      </c>
      <c r="I110" s="1517">
        <f>SUM(I104:I109)</f>
        <v>23100000</v>
      </c>
      <c r="J110" s="1517">
        <f>SUM(J104:J109)</f>
        <v>23200000</v>
      </c>
      <c r="M110" s="3373"/>
    </row>
    <row r="111" spans="1:23" hidden="1">
      <c r="M111" s="3373"/>
    </row>
    <row r="112" spans="1:23" hidden="1"/>
    <row r="113" spans="1:15" hidden="1"/>
    <row r="114" spans="1:15" hidden="1">
      <c r="A114" s="1356" t="s">
        <v>4437</v>
      </c>
      <c r="C114" s="665"/>
    </row>
    <row r="115" spans="1:15" hidden="1">
      <c r="A115" s="1361" t="s">
        <v>4438</v>
      </c>
      <c r="B115" s="1361" t="s">
        <v>4441</v>
      </c>
      <c r="C115" s="2075"/>
      <c r="D115" s="2075" t="s">
        <v>4444</v>
      </c>
      <c r="E115" s="2075"/>
      <c r="F115" s="653" t="s">
        <v>4445</v>
      </c>
      <c r="G115" s="3446" t="s">
        <v>4451</v>
      </c>
      <c r="H115" s="3446"/>
      <c r="I115" s="3446"/>
      <c r="J115" s="3446" t="s">
        <v>4622</v>
      </c>
      <c r="K115" s="3446"/>
      <c r="L115" s="3446"/>
    </row>
    <row r="116" spans="1:15" ht="62" hidden="1">
      <c r="A116" s="1371"/>
      <c r="B116" s="1362" t="s">
        <v>4442</v>
      </c>
      <c r="C116" s="653" t="s">
        <v>4443</v>
      </c>
      <c r="D116" s="653" t="s">
        <v>4442</v>
      </c>
      <c r="E116" s="653" t="s">
        <v>4443</v>
      </c>
      <c r="F116" s="653"/>
      <c r="G116" s="658" t="s">
        <v>4448</v>
      </c>
      <c r="H116" s="1360" t="s">
        <v>4449</v>
      </c>
      <c r="I116" s="1360" t="s">
        <v>4450</v>
      </c>
      <c r="J116" s="1360" t="s">
        <v>4624</v>
      </c>
      <c r="K116" s="1360" t="s">
        <v>4625</v>
      </c>
      <c r="L116" s="1360" t="s">
        <v>4497</v>
      </c>
    </row>
    <row r="117" spans="1:15" s="1369" customFormat="1" hidden="1">
      <c r="A117" s="1361" t="s">
        <v>4439</v>
      </c>
      <c r="B117" s="1362"/>
      <c r="C117" s="653"/>
      <c r="D117" s="653"/>
      <c r="E117" s="653"/>
      <c r="F117" s="653" t="s">
        <v>4446</v>
      </c>
      <c r="G117" s="634">
        <f>(+B117*241+C117*403)*6</f>
        <v>0</v>
      </c>
      <c r="H117" s="1362">
        <f>(B117*68+C117*96)*6</f>
        <v>0</v>
      </c>
      <c r="I117" s="1362">
        <f>+G117+H117</f>
        <v>0</v>
      </c>
      <c r="J117" s="1518">
        <f>+G117*2</f>
        <v>0</v>
      </c>
      <c r="K117" s="1518">
        <f>+H117*2</f>
        <v>0</v>
      </c>
      <c r="L117" s="1518">
        <f>+J117+K117</f>
        <v>0</v>
      </c>
      <c r="M117" s="1357"/>
      <c r="N117" s="1357"/>
      <c r="O117" s="1357"/>
    </row>
    <row r="118" spans="1:15" hidden="1">
      <c r="A118" s="1361" t="s">
        <v>4440</v>
      </c>
      <c r="B118" s="1362"/>
      <c r="C118" s="653"/>
      <c r="D118" s="653"/>
      <c r="E118" s="653"/>
      <c r="F118" s="653" t="s">
        <v>4447</v>
      </c>
      <c r="G118" s="634"/>
      <c r="H118" s="1362"/>
      <c r="I118" s="1362"/>
      <c r="J118" s="1362">
        <f>(+D118*241+E118*403)*12</f>
        <v>0</v>
      </c>
      <c r="K118" s="1362">
        <f>(D118*68+E118*96)*12</f>
        <v>0</v>
      </c>
      <c r="L118" s="1362">
        <f>+J118+K118</f>
        <v>0</v>
      </c>
    </row>
    <row r="119" spans="1:15" hidden="1">
      <c r="A119" s="1370"/>
      <c r="B119" s="1366"/>
      <c r="C119" s="1576"/>
      <c r="D119" s="1576"/>
      <c r="E119" s="1576"/>
      <c r="F119" s="1576"/>
      <c r="G119" s="640">
        <f t="shared" ref="G119:L119" si="6">SUM(G117:G118)</f>
        <v>0</v>
      </c>
      <c r="H119" s="819">
        <f t="shared" si="6"/>
        <v>0</v>
      </c>
      <c r="I119" s="819">
        <f t="shared" si="6"/>
        <v>0</v>
      </c>
      <c r="J119" s="819">
        <f t="shared" si="6"/>
        <v>0</v>
      </c>
      <c r="K119" s="819">
        <f t="shared" si="6"/>
        <v>0</v>
      </c>
      <c r="L119" s="819">
        <f t="shared" si="6"/>
        <v>0</v>
      </c>
      <c r="N119" s="1369"/>
      <c r="O119" s="1369"/>
    </row>
    <row r="120" spans="1:15" hidden="1">
      <c r="A120" s="1356"/>
      <c r="G120" s="638"/>
      <c r="J120" s="1357"/>
    </row>
    <row r="121" spans="1:15" ht="31.5" hidden="1" customHeight="1">
      <c r="A121" s="1361" t="s">
        <v>4438</v>
      </c>
      <c r="B121" s="1361" t="s">
        <v>4444</v>
      </c>
      <c r="C121" s="2075"/>
      <c r="D121" s="2075" t="s">
        <v>4623</v>
      </c>
      <c r="E121" s="2075"/>
      <c r="F121" s="653" t="s">
        <v>4445</v>
      </c>
      <c r="G121" s="3439" t="s">
        <v>4451</v>
      </c>
      <c r="H121" s="3440"/>
      <c r="I121" s="3441"/>
      <c r="J121" s="3439" t="s">
        <v>4622</v>
      </c>
      <c r="K121" s="3440"/>
      <c r="L121" s="3441"/>
    </row>
    <row r="122" spans="1:15" ht="62" hidden="1">
      <c r="A122" s="1371"/>
      <c r="B122" s="1362" t="s">
        <v>4442</v>
      </c>
      <c r="C122" s="653" t="s">
        <v>4443</v>
      </c>
      <c r="D122" s="653" t="s">
        <v>4442</v>
      </c>
      <c r="E122" s="653" t="s">
        <v>4443</v>
      </c>
      <c r="F122" s="653"/>
      <c r="G122" s="658" t="s">
        <v>4624</v>
      </c>
      <c r="H122" s="1360" t="s">
        <v>4625</v>
      </c>
      <c r="I122" s="1360" t="s">
        <v>4450</v>
      </c>
      <c r="J122" s="1360" t="s">
        <v>4624</v>
      </c>
      <c r="K122" s="1360" t="s">
        <v>4625</v>
      </c>
      <c r="L122" s="1360" t="s">
        <v>4497</v>
      </c>
      <c r="M122" s="1357">
        <v>67491468</v>
      </c>
    </row>
    <row r="123" spans="1:15" ht="31" hidden="1">
      <c r="A123" s="1361" t="s">
        <v>4452</v>
      </c>
      <c r="B123" s="1361">
        <v>700</v>
      </c>
      <c r="C123" s="653">
        <v>0</v>
      </c>
      <c r="D123" s="653">
        <v>4791</v>
      </c>
      <c r="E123" s="653">
        <v>40</v>
      </c>
      <c r="F123" s="2077" t="s">
        <v>4453</v>
      </c>
      <c r="G123" s="634">
        <f>(+B123*291)*3</f>
        <v>611100</v>
      </c>
      <c r="H123" s="1362">
        <f>(+B123*72)*3</f>
        <v>151200</v>
      </c>
      <c r="I123" s="1362">
        <f>+G123+H123</f>
        <v>762300</v>
      </c>
      <c r="J123" s="1380">
        <f>+(D123*291*12)+(E123*587*12)</f>
        <v>17011932</v>
      </c>
      <c r="K123" s="818">
        <f>+(D123*72*12)+(E123*98*12)</f>
        <v>4186464</v>
      </c>
      <c r="L123" s="1380">
        <f>+J123+K123</f>
        <v>21198396</v>
      </c>
      <c r="M123" s="1394">
        <f>+L123*3</f>
        <v>63595188</v>
      </c>
    </row>
    <row r="124" spans="1:15" hidden="1">
      <c r="A124" s="1370"/>
      <c r="B124" s="1366"/>
      <c r="C124" s="1576"/>
      <c r="D124" s="1576"/>
      <c r="E124" s="1576"/>
      <c r="F124" s="1576"/>
      <c r="G124" s="640">
        <f t="shared" ref="G124:L124" si="7">SUM(G123:G123)</f>
        <v>611100</v>
      </c>
      <c r="H124" s="819">
        <f t="shared" si="7"/>
        <v>151200</v>
      </c>
      <c r="I124" s="819">
        <f t="shared" si="7"/>
        <v>762300</v>
      </c>
      <c r="J124" s="819">
        <f t="shared" si="7"/>
        <v>17011932</v>
      </c>
      <c r="K124" s="819">
        <f t="shared" si="7"/>
        <v>4186464</v>
      </c>
      <c r="L124" s="819">
        <f t="shared" si="7"/>
        <v>21198396</v>
      </c>
      <c r="M124" s="1378">
        <f>M122-M123</f>
        <v>3896280</v>
      </c>
    </row>
    <row r="125" spans="1:15" hidden="1">
      <c r="A125" s="1357"/>
      <c r="G125" s="638"/>
      <c r="J125" s="1357"/>
    </row>
    <row r="126" spans="1:15" hidden="1">
      <c r="A126" s="1356" t="s">
        <v>4454</v>
      </c>
      <c r="C126" s="665"/>
      <c r="G126" s="638"/>
      <c r="J126" s="1357"/>
    </row>
    <row r="127" spans="1:15" hidden="1">
      <c r="A127" s="1361" t="s">
        <v>4438</v>
      </c>
      <c r="B127" s="1361" t="s">
        <v>4441</v>
      </c>
      <c r="C127" s="2075"/>
      <c r="D127" s="2075" t="s">
        <v>4444</v>
      </c>
      <c r="E127" s="2075"/>
      <c r="F127" s="653" t="s">
        <v>4445</v>
      </c>
      <c r="G127" s="634" t="s">
        <v>4771</v>
      </c>
      <c r="H127" s="1362"/>
      <c r="I127" s="1362" t="s">
        <v>1100</v>
      </c>
      <c r="J127" s="1362" t="s">
        <v>4771</v>
      </c>
      <c r="K127" s="1362"/>
      <c r="L127" s="1362" t="s">
        <v>1100</v>
      </c>
    </row>
    <row r="128" spans="1:15" ht="31" hidden="1">
      <c r="A128" s="1371"/>
      <c r="B128" s="1362"/>
      <c r="C128" s="653"/>
      <c r="D128" s="653" t="s">
        <v>4455</v>
      </c>
      <c r="E128" s="653"/>
      <c r="F128" s="653"/>
      <c r="G128" s="658"/>
      <c r="H128" s="1360"/>
      <c r="I128" s="1360"/>
      <c r="J128" s="1360" t="s">
        <v>4457</v>
      </c>
      <c r="K128" s="1360"/>
      <c r="L128" s="1360"/>
    </row>
    <row r="129" spans="1:12" ht="31" hidden="1">
      <c r="A129" s="1356" t="s">
        <v>4454</v>
      </c>
      <c r="B129" s="1362"/>
      <c r="C129" s="653"/>
      <c r="D129" s="653">
        <v>425</v>
      </c>
      <c r="E129" s="653"/>
      <c r="F129" s="2077" t="s">
        <v>4456</v>
      </c>
      <c r="G129" s="634">
        <f>290+95</f>
        <v>385</v>
      </c>
      <c r="H129" s="1362">
        <f>(B129*68+C129*96)*6</f>
        <v>0</v>
      </c>
      <c r="I129" s="1362">
        <f>+G129+H129</f>
        <v>385</v>
      </c>
      <c r="J129" s="1518">
        <f>60000*G129</f>
        <v>23100000</v>
      </c>
      <c r="K129" s="1518">
        <f>+H129*2</f>
        <v>0</v>
      </c>
      <c r="L129" s="1518">
        <f>+J129+K129</f>
        <v>23100000</v>
      </c>
    </row>
    <row r="130" spans="1:12" hidden="1">
      <c r="A130" s="1361"/>
      <c r="B130" s="1362"/>
      <c r="C130" s="653"/>
      <c r="D130" s="653"/>
      <c r="E130" s="653"/>
      <c r="F130" s="653"/>
      <c r="G130" s="634"/>
      <c r="H130" s="1362"/>
      <c r="I130" s="1362"/>
      <c r="J130" s="1362">
        <f>(+D130*241+E130*403)*12</f>
        <v>0</v>
      </c>
      <c r="K130" s="1362">
        <f>(D130*68+E130*96)*12</f>
        <v>0</v>
      </c>
      <c r="L130" s="1362">
        <f>+J130+K130</f>
        <v>0</v>
      </c>
    </row>
    <row r="131" spans="1:12" hidden="1">
      <c r="A131" s="1370"/>
      <c r="B131" s="1366"/>
      <c r="C131" s="1576"/>
      <c r="D131" s="1576"/>
      <c r="E131" s="1576"/>
      <c r="F131" s="1576"/>
      <c r="G131" s="640">
        <f t="shared" ref="G131:L131" si="8">SUM(G129:G130)</f>
        <v>385</v>
      </c>
      <c r="H131" s="819">
        <f t="shared" si="8"/>
        <v>0</v>
      </c>
      <c r="I131" s="819">
        <f t="shared" si="8"/>
        <v>385</v>
      </c>
      <c r="J131" s="819">
        <f t="shared" si="8"/>
        <v>23100000</v>
      </c>
      <c r="K131" s="819">
        <f t="shared" si="8"/>
        <v>0</v>
      </c>
      <c r="L131" s="819">
        <f t="shared" si="8"/>
        <v>23100000</v>
      </c>
    </row>
    <row r="132" spans="1:12" hidden="1">
      <c r="A132" s="1356"/>
      <c r="G132" s="642"/>
      <c r="H132" s="1368"/>
      <c r="I132" s="1368"/>
      <c r="J132" s="1368"/>
      <c r="K132" s="1368"/>
      <c r="L132" s="1368"/>
    </row>
    <row r="133" spans="1:12" hidden="1">
      <c r="A133" s="1419" t="str">
        <f>+B62</f>
        <v>Pressure Testing Kits</v>
      </c>
    </row>
    <row r="134" spans="1:12" hidden="1">
      <c r="A134" s="1371" t="s">
        <v>3660</v>
      </c>
      <c r="B134" s="1380">
        <v>10000000</v>
      </c>
      <c r="C134" s="644" t="s">
        <v>4461</v>
      </c>
      <c r="K134" s="1358"/>
      <c r="L134" s="1357">
        <f>2550/6</f>
        <v>425</v>
      </c>
    </row>
    <row r="135" spans="1:12" hidden="1">
      <c r="A135" s="1371" t="s">
        <v>4460</v>
      </c>
      <c r="B135" s="1380">
        <f>300000*12+200000*12</f>
        <v>6000000</v>
      </c>
      <c r="C135" s="644" t="s">
        <v>4462</v>
      </c>
      <c r="F135" s="2078" t="s">
        <v>5154</v>
      </c>
      <c r="G135"/>
      <c r="H135"/>
      <c r="I135"/>
    </row>
    <row r="136" spans="1:12" hidden="1">
      <c r="A136" s="1371" t="s">
        <v>1100</v>
      </c>
      <c r="B136" s="1380">
        <f>+B134+B135</f>
        <v>16000000</v>
      </c>
      <c r="F136" s="1779" t="s">
        <v>5155</v>
      </c>
      <c r="G136" s="1779" t="s">
        <v>5156</v>
      </c>
      <c r="H136" s="1779" t="s">
        <v>5157</v>
      </c>
      <c r="I136" s="1779" t="s">
        <v>5158</v>
      </c>
    </row>
    <row r="137" spans="1:12" hidden="1">
      <c r="A137" s="1356"/>
      <c r="F137" s="12" t="s">
        <v>5159</v>
      </c>
      <c r="G137" s="12">
        <v>2247320</v>
      </c>
      <c r="H137" s="12">
        <f>5+5*18%</f>
        <v>5.9</v>
      </c>
      <c r="I137" s="12">
        <f>+(ROUND(G137*H137*12/10000000,2))</f>
        <v>15.91</v>
      </c>
    </row>
    <row r="138" spans="1:12" hidden="1">
      <c r="A138" s="1419" t="s">
        <v>4486</v>
      </c>
      <c r="F138" s="12" t="s">
        <v>5160</v>
      </c>
      <c r="G138" s="12">
        <f>G137*70%</f>
        <v>1573124</v>
      </c>
      <c r="H138" s="12">
        <f>6+6*18%</f>
        <v>7.08</v>
      </c>
      <c r="I138" s="12">
        <f>+(ROUND(G138*H138*12/10000000,2))</f>
        <v>13.37</v>
      </c>
    </row>
    <row r="139" spans="1:12" hidden="1">
      <c r="A139" s="1371" t="s">
        <v>1244</v>
      </c>
      <c r="B139" s="1362">
        <v>1000000</v>
      </c>
      <c r="C139" s="644" t="s">
        <v>4461</v>
      </c>
      <c r="F139" s="12" t="s">
        <v>5161</v>
      </c>
      <c r="G139" s="12">
        <f>+G137</f>
        <v>2247320</v>
      </c>
      <c r="H139" s="12">
        <f>1.5+1.5*18%</f>
        <v>1.77</v>
      </c>
      <c r="I139" s="12">
        <f>+(ROUND(G139*H139*12/10000000,2))</f>
        <v>4.7699999999999996</v>
      </c>
    </row>
    <row r="140" spans="1:12" hidden="1">
      <c r="A140" s="1371" t="s">
        <v>4487</v>
      </c>
      <c r="B140" s="1362">
        <v>3000000</v>
      </c>
      <c r="C140" s="644" t="s">
        <v>4461</v>
      </c>
      <c r="F140" s="12" t="s">
        <v>5162</v>
      </c>
      <c r="G140" s="12"/>
      <c r="H140" s="12">
        <v>3</v>
      </c>
      <c r="I140" s="12">
        <f>+ROUND((G137*1.5+G138*1.5)*12/10000000,2)</f>
        <v>6.88</v>
      </c>
    </row>
    <row r="141" spans="1:12" hidden="1">
      <c r="A141" s="1371" t="s">
        <v>4488</v>
      </c>
      <c r="B141" s="1362">
        <f>1000000*12+3000000</f>
        <v>15000000</v>
      </c>
      <c r="F141" s="1779" t="s">
        <v>1101</v>
      </c>
      <c r="G141" s="1779"/>
      <c r="H141" s="1779"/>
      <c r="I141" s="1779">
        <f>SUM(I137:I140)</f>
        <v>40.93</v>
      </c>
    </row>
    <row r="142" spans="1:12" hidden="1">
      <c r="A142" s="1371" t="s">
        <v>1100</v>
      </c>
      <c r="B142" s="1362">
        <f>SUM(B139:B141)</f>
        <v>19000000</v>
      </c>
    </row>
    <row r="143" spans="1:12" hidden="1">
      <c r="A143" s="1356"/>
    </row>
    <row r="144" spans="1:12" hidden="1">
      <c r="A144" s="1356" t="s">
        <v>4494</v>
      </c>
    </row>
    <row r="145" spans="1:3" hidden="1">
      <c r="A145" s="1361" t="s">
        <v>4495</v>
      </c>
      <c r="B145" s="1362">
        <v>15000000</v>
      </c>
      <c r="C145" s="644" t="s">
        <v>4462</v>
      </c>
    </row>
    <row r="146" spans="1:3" hidden="1">
      <c r="A146" s="1356"/>
    </row>
    <row r="147" spans="1:3" hidden="1">
      <c r="A147" s="1356"/>
    </row>
    <row r="148" spans="1:3" hidden="1">
      <c r="A148" s="1356"/>
    </row>
    <row r="149" spans="1:3" hidden="1">
      <c r="A149" s="1356"/>
    </row>
    <row r="150" spans="1:3" hidden="1">
      <c r="A150" s="1356"/>
    </row>
    <row r="151" spans="1:3" hidden="1">
      <c r="A151" s="1356"/>
    </row>
    <row r="152" spans="1:3" hidden="1">
      <c r="A152" s="1356"/>
    </row>
    <row r="153" spans="1:3" hidden="1">
      <c r="A153" s="1356"/>
    </row>
    <row r="154" spans="1:3" hidden="1">
      <c r="A154" s="1356"/>
    </row>
    <row r="155" spans="1:3" hidden="1">
      <c r="A155" s="1356"/>
    </row>
    <row r="156" spans="1:3" hidden="1">
      <c r="A156" s="1356"/>
    </row>
    <row r="157" spans="1:3" hidden="1">
      <c r="A157" s="1356"/>
    </row>
    <row r="158" spans="1:3" hidden="1">
      <c r="A158" s="1356"/>
    </row>
    <row r="159" spans="1:3" hidden="1">
      <c r="A159" s="1356"/>
    </row>
    <row r="160" spans="1:3" hidden="1">
      <c r="A160" s="1356"/>
    </row>
    <row r="161" spans="1:1" hidden="1">
      <c r="A161" s="1356"/>
    </row>
    <row r="162" spans="1:1" hidden="1">
      <c r="A162" s="1356"/>
    </row>
    <row r="163" spans="1:1" hidden="1">
      <c r="A163" s="1356"/>
    </row>
    <row r="164" spans="1:1" hidden="1">
      <c r="A164" s="1356"/>
    </row>
    <row r="165" spans="1:1" hidden="1">
      <c r="A165" s="1356"/>
    </row>
    <row r="166" spans="1:1" hidden="1">
      <c r="A166" s="1356"/>
    </row>
    <row r="167" spans="1:1" hidden="1">
      <c r="A167" s="1356"/>
    </row>
    <row r="168" spans="1:1" hidden="1">
      <c r="A168" s="1356"/>
    </row>
    <row r="169" spans="1:1" hidden="1">
      <c r="A169" s="1356"/>
    </row>
    <row r="170" spans="1:1" hidden="1">
      <c r="A170" s="1356"/>
    </row>
    <row r="171" spans="1:1" hidden="1">
      <c r="A171" s="1356"/>
    </row>
    <row r="172" spans="1:1" hidden="1">
      <c r="A172" s="1356"/>
    </row>
    <row r="173" spans="1:1" hidden="1">
      <c r="A173" s="1356"/>
    </row>
    <row r="174" spans="1:1" hidden="1">
      <c r="A174" s="1356"/>
    </row>
    <row r="175" spans="1:1" hidden="1">
      <c r="A175" s="1356"/>
    </row>
    <row r="176" spans="1:1" hidden="1">
      <c r="A176" s="1356"/>
    </row>
    <row r="177" spans="1:1" hidden="1">
      <c r="A177" s="1356"/>
    </row>
    <row r="178" spans="1:1" hidden="1">
      <c r="A178" s="1356"/>
    </row>
    <row r="179" spans="1:1" hidden="1">
      <c r="A179" s="1356"/>
    </row>
    <row r="180" spans="1:1" hidden="1">
      <c r="A180" s="1356"/>
    </row>
    <row r="181" spans="1:1" hidden="1">
      <c r="A181" s="1356"/>
    </row>
    <row r="182" spans="1:1" hidden="1">
      <c r="A182" s="1356"/>
    </row>
    <row r="183" spans="1:1" hidden="1">
      <c r="A183" s="1356"/>
    </row>
    <row r="184" spans="1:1" hidden="1">
      <c r="A184" s="1356"/>
    </row>
    <row r="185" spans="1:1" hidden="1">
      <c r="A185" s="1356"/>
    </row>
    <row r="186" spans="1:1" hidden="1">
      <c r="A186" s="1356"/>
    </row>
    <row r="187" spans="1:1" hidden="1">
      <c r="A187" s="1356"/>
    </row>
    <row r="188" spans="1:1" hidden="1">
      <c r="A188" s="1356"/>
    </row>
    <row r="189" spans="1:1" hidden="1">
      <c r="A189" s="1356"/>
    </row>
    <row r="190" spans="1:1" hidden="1">
      <c r="A190" s="1356"/>
    </row>
    <row r="191" spans="1:1" hidden="1">
      <c r="A191" s="1356"/>
    </row>
    <row r="192" spans="1:1" hidden="1">
      <c r="A192" s="1356"/>
    </row>
    <row r="193" spans="1:1" hidden="1">
      <c r="A193" s="1356"/>
    </row>
    <row r="194" spans="1:1" hidden="1">
      <c r="A194" s="1356"/>
    </row>
    <row r="195" spans="1:1" hidden="1">
      <c r="A195" s="1356"/>
    </row>
    <row r="196" spans="1:1" hidden="1">
      <c r="A196" s="1356"/>
    </row>
    <row r="197" spans="1:1" hidden="1">
      <c r="A197" s="1356"/>
    </row>
    <row r="198" spans="1:1" hidden="1">
      <c r="A198" s="1356"/>
    </row>
    <row r="199" spans="1:1" hidden="1">
      <c r="A199" s="1356"/>
    </row>
    <row r="200" spans="1:1" hidden="1">
      <c r="A200" s="1356"/>
    </row>
    <row r="201" spans="1:1" hidden="1">
      <c r="A201" s="1356"/>
    </row>
    <row r="202" spans="1:1" hidden="1">
      <c r="A202" s="1356"/>
    </row>
    <row r="203" spans="1:1" hidden="1">
      <c r="A203" s="1356"/>
    </row>
    <row r="204" spans="1:1" hidden="1">
      <c r="A204" s="1356"/>
    </row>
    <row r="205" spans="1:1" hidden="1">
      <c r="A205" s="1356"/>
    </row>
    <row r="206" spans="1:1" hidden="1">
      <c r="A206" s="1356"/>
    </row>
    <row r="207" spans="1:1" hidden="1">
      <c r="A207" s="1356"/>
    </row>
    <row r="208" spans="1:1" hidden="1">
      <c r="A208" s="1356"/>
    </row>
    <row r="209" spans="1:5" hidden="1">
      <c r="A209" s="1356"/>
    </row>
    <row r="210" spans="1:5" hidden="1">
      <c r="A210" s="1356"/>
    </row>
    <row r="211" spans="1:5" hidden="1">
      <c r="A211" s="1356"/>
    </row>
    <row r="212" spans="1:5" hidden="1">
      <c r="A212" s="1356"/>
    </row>
    <row r="213" spans="1:5" hidden="1">
      <c r="A213" s="1356"/>
    </row>
    <row r="214" spans="1:5" hidden="1">
      <c r="A214" s="1356"/>
    </row>
    <row r="215" spans="1:5" hidden="1">
      <c r="A215" s="1356"/>
    </row>
    <row r="216" spans="1:5" hidden="1">
      <c r="A216" s="1356"/>
    </row>
    <row r="217" spans="1:5" hidden="1">
      <c r="A217" s="1356"/>
    </row>
    <row r="218" spans="1:5" hidden="1">
      <c r="A218" s="1356"/>
    </row>
    <row r="219" spans="1:5" hidden="1">
      <c r="A219" s="1356"/>
    </row>
    <row r="220" spans="1:5">
      <c r="A220" s="1356"/>
    </row>
    <row r="221" spans="1:5">
      <c r="A221" s="1356"/>
      <c r="C221" s="644">
        <v>-3.6910080022739038</v>
      </c>
      <c r="E221" s="644">
        <f>E101-E102</f>
        <v>-4.9422960374698732E-3</v>
      </c>
    </row>
    <row r="222" spans="1:5">
      <c r="A222" s="1356"/>
    </row>
    <row r="223" spans="1:5">
      <c r="A223" s="1356"/>
    </row>
    <row r="224" spans="1:5">
      <c r="A224" s="1356"/>
    </row>
    <row r="225" spans="1:1">
      <c r="A225" s="1356"/>
    </row>
    <row r="226" spans="1:1">
      <c r="A226" s="1356"/>
    </row>
    <row r="227" spans="1:1">
      <c r="A227" s="1356"/>
    </row>
    <row r="228" spans="1:1">
      <c r="A228" s="1356"/>
    </row>
    <row r="229" spans="1:1">
      <c r="A229" s="1356"/>
    </row>
    <row r="230" spans="1:1">
      <c r="A230" s="1356"/>
    </row>
    <row r="231" spans="1:1">
      <c r="A231" s="1356"/>
    </row>
    <row r="232" spans="1:1">
      <c r="A232" s="1356"/>
    </row>
    <row r="233" spans="1:1">
      <c r="A233" s="1356"/>
    </row>
    <row r="234" spans="1:1">
      <c r="A234" s="1356"/>
    </row>
    <row r="235" spans="1:1">
      <c r="A235" s="1356"/>
    </row>
    <row r="236" spans="1:1">
      <c r="A236" s="1356"/>
    </row>
    <row r="237" spans="1:1">
      <c r="A237" s="1356"/>
    </row>
    <row r="238" spans="1:1">
      <c r="A238" s="1356"/>
    </row>
    <row r="239" spans="1:1">
      <c r="A239" s="1356"/>
    </row>
    <row r="240" spans="1:1">
      <c r="A240" s="1356"/>
    </row>
    <row r="241" spans="1:1">
      <c r="A241" s="1356"/>
    </row>
    <row r="242" spans="1:1">
      <c r="A242" s="1356"/>
    </row>
    <row r="243" spans="1:1">
      <c r="A243" s="1356"/>
    </row>
    <row r="244" spans="1:1">
      <c r="A244" s="1356"/>
    </row>
    <row r="245" spans="1:1">
      <c r="A245" s="1356"/>
    </row>
    <row r="246" spans="1:1">
      <c r="A246" s="1356"/>
    </row>
    <row r="247" spans="1:1">
      <c r="A247" s="1356"/>
    </row>
    <row r="248" spans="1:1">
      <c r="A248" s="1356"/>
    </row>
    <row r="249" spans="1:1">
      <c r="A249" s="1356"/>
    </row>
    <row r="250" spans="1:1">
      <c r="A250" s="1356"/>
    </row>
    <row r="251" spans="1:1">
      <c r="A251" s="1356"/>
    </row>
    <row r="252" spans="1:1">
      <c r="A252" s="1356"/>
    </row>
    <row r="253" spans="1:1">
      <c r="A253" s="1356"/>
    </row>
    <row r="254" spans="1:1">
      <c r="A254" s="1356"/>
    </row>
    <row r="255" spans="1:1">
      <c r="A255" s="1356"/>
    </row>
    <row r="256" spans="1:1">
      <c r="A256" s="1356"/>
    </row>
    <row r="257" spans="1:1">
      <c r="A257" s="1356"/>
    </row>
    <row r="258" spans="1:1">
      <c r="A258" s="1356"/>
    </row>
    <row r="259" spans="1:1">
      <c r="A259" s="1356"/>
    </row>
    <row r="260" spans="1:1">
      <c r="A260" s="1356"/>
    </row>
    <row r="261" spans="1:1">
      <c r="A261" s="1356"/>
    </row>
    <row r="262" spans="1:1">
      <c r="A262" s="1356"/>
    </row>
    <row r="263" spans="1:1">
      <c r="A263" s="1356"/>
    </row>
    <row r="264" spans="1:1">
      <c r="A264" s="1356"/>
    </row>
    <row r="265" spans="1:1">
      <c r="A265" s="1356"/>
    </row>
    <row r="266" spans="1:1">
      <c r="A266" s="1356"/>
    </row>
    <row r="267" spans="1:1">
      <c r="A267" s="1356"/>
    </row>
    <row r="268" spans="1:1">
      <c r="A268" s="1356"/>
    </row>
    <row r="269" spans="1:1">
      <c r="A269" s="1356"/>
    </row>
    <row r="270" spans="1:1">
      <c r="A270" s="1356"/>
    </row>
    <row r="271" spans="1:1">
      <c r="A271" s="1356"/>
    </row>
    <row r="272" spans="1:1">
      <c r="A272" s="1356"/>
    </row>
    <row r="273" spans="1:1">
      <c r="A273" s="1356"/>
    </row>
    <row r="274" spans="1:1">
      <c r="A274" s="1356"/>
    </row>
    <row r="275" spans="1:1">
      <c r="A275" s="1356"/>
    </row>
    <row r="276" spans="1:1">
      <c r="A276" s="1356"/>
    </row>
    <row r="277" spans="1:1">
      <c r="A277" s="1356"/>
    </row>
    <row r="278" spans="1:1">
      <c r="A278" s="1356"/>
    </row>
    <row r="279" spans="1:1">
      <c r="A279" s="1356"/>
    </row>
    <row r="280" spans="1:1">
      <c r="A280" s="1356"/>
    </row>
    <row r="281" spans="1:1">
      <c r="A281" s="1356"/>
    </row>
    <row r="282" spans="1:1">
      <c r="A282" s="1356"/>
    </row>
    <row r="283" spans="1:1">
      <c r="A283" s="1356"/>
    </row>
    <row r="284" spans="1:1">
      <c r="A284" s="1356"/>
    </row>
    <row r="285" spans="1:1">
      <c r="A285" s="1356"/>
    </row>
    <row r="286" spans="1:1">
      <c r="A286" s="1356"/>
    </row>
    <row r="287" spans="1:1">
      <c r="A287" s="1356"/>
    </row>
    <row r="288" spans="1:1">
      <c r="A288" s="1356"/>
    </row>
    <row r="289" spans="1:1">
      <c r="A289" s="1356"/>
    </row>
    <row r="290" spans="1:1">
      <c r="A290" s="1356"/>
    </row>
    <row r="291" spans="1:1">
      <c r="A291" s="1356"/>
    </row>
    <row r="292" spans="1:1">
      <c r="A292" s="1356"/>
    </row>
    <row r="293" spans="1:1">
      <c r="A293" s="1356"/>
    </row>
    <row r="294" spans="1:1">
      <c r="A294" s="1356"/>
    </row>
    <row r="295" spans="1:1">
      <c r="A295" s="1356"/>
    </row>
    <row r="296" spans="1:1">
      <c r="A296" s="1356"/>
    </row>
    <row r="297" spans="1:1">
      <c r="A297" s="1356"/>
    </row>
    <row r="298" spans="1:1">
      <c r="A298" s="1356"/>
    </row>
    <row r="299" spans="1:1">
      <c r="A299" s="1356"/>
    </row>
    <row r="300" spans="1:1">
      <c r="A300" s="1356"/>
    </row>
    <row r="301" spans="1:1">
      <c r="A301" s="1356"/>
    </row>
    <row r="302" spans="1:1">
      <c r="A302" s="1356"/>
    </row>
    <row r="303" spans="1:1">
      <c r="A303" s="1356"/>
    </row>
    <row r="304" spans="1:1">
      <c r="A304" s="1356"/>
    </row>
    <row r="305" spans="1:1">
      <c r="A305" s="1356"/>
    </row>
    <row r="306" spans="1:1">
      <c r="A306" s="1356"/>
    </row>
    <row r="307" spans="1:1">
      <c r="A307" s="1356"/>
    </row>
    <row r="308" spans="1:1">
      <c r="A308" s="1356"/>
    </row>
    <row r="309" spans="1:1">
      <c r="A309" s="1356"/>
    </row>
    <row r="310" spans="1:1">
      <c r="A310" s="1356"/>
    </row>
    <row r="311" spans="1:1">
      <c r="A311" s="1356"/>
    </row>
    <row r="312" spans="1:1">
      <c r="A312" s="1356"/>
    </row>
    <row r="313" spans="1:1">
      <c r="A313" s="1356"/>
    </row>
    <row r="314" spans="1:1">
      <c r="A314" s="1356"/>
    </row>
    <row r="315" spans="1:1">
      <c r="A315" s="1356"/>
    </row>
    <row r="316" spans="1:1">
      <c r="A316" s="1356"/>
    </row>
    <row r="317" spans="1:1">
      <c r="A317" s="1356"/>
    </row>
    <row r="318" spans="1:1">
      <c r="A318" s="1356"/>
    </row>
    <row r="319" spans="1:1">
      <c r="A319" s="1356"/>
    </row>
    <row r="320" spans="1:1">
      <c r="A320" s="1356"/>
    </row>
    <row r="321" spans="1:1">
      <c r="A321" s="1356"/>
    </row>
    <row r="322" spans="1:1">
      <c r="A322" s="1356"/>
    </row>
    <row r="323" spans="1:1">
      <c r="A323" s="1356"/>
    </row>
    <row r="324" spans="1:1">
      <c r="A324" s="1356"/>
    </row>
    <row r="325" spans="1:1">
      <c r="A325" s="1356"/>
    </row>
    <row r="326" spans="1:1">
      <c r="A326" s="1356"/>
    </row>
    <row r="327" spans="1:1">
      <c r="A327" s="1356"/>
    </row>
    <row r="328" spans="1:1">
      <c r="A328" s="1356"/>
    </row>
    <row r="329" spans="1:1">
      <c r="A329" s="1356"/>
    </row>
    <row r="330" spans="1:1">
      <c r="A330" s="1356"/>
    </row>
    <row r="331" spans="1:1">
      <c r="A331" s="1356"/>
    </row>
    <row r="332" spans="1:1">
      <c r="A332" s="1356"/>
    </row>
    <row r="333" spans="1:1">
      <c r="A333" s="1356"/>
    </row>
    <row r="334" spans="1:1">
      <c r="A334" s="1356"/>
    </row>
    <row r="335" spans="1:1">
      <c r="A335" s="1356"/>
    </row>
    <row r="336" spans="1:1">
      <c r="A336" s="1356"/>
    </row>
    <row r="337" spans="1:1">
      <c r="A337" s="1356"/>
    </row>
    <row r="338" spans="1:1">
      <c r="A338" s="1356"/>
    </row>
    <row r="339" spans="1:1">
      <c r="A339" s="1356"/>
    </row>
    <row r="340" spans="1:1">
      <c r="A340" s="1356"/>
    </row>
    <row r="341" spans="1:1">
      <c r="A341" s="1356"/>
    </row>
    <row r="342" spans="1:1">
      <c r="A342" s="1356"/>
    </row>
    <row r="343" spans="1:1">
      <c r="A343" s="1356"/>
    </row>
    <row r="344" spans="1:1">
      <c r="A344" s="1356"/>
    </row>
    <row r="345" spans="1:1">
      <c r="A345" s="1356"/>
    </row>
    <row r="346" spans="1:1">
      <c r="A346" s="1356"/>
    </row>
    <row r="347" spans="1:1">
      <c r="A347" s="1356"/>
    </row>
    <row r="348" spans="1:1">
      <c r="A348" s="1356"/>
    </row>
    <row r="349" spans="1:1">
      <c r="A349" s="1356"/>
    </row>
    <row r="350" spans="1:1">
      <c r="A350" s="1356"/>
    </row>
    <row r="351" spans="1:1">
      <c r="A351" s="1356"/>
    </row>
    <row r="352" spans="1:1">
      <c r="A352" s="1356"/>
    </row>
    <row r="353" spans="1:1">
      <c r="A353" s="1356"/>
    </row>
    <row r="354" spans="1:1">
      <c r="A354" s="1356"/>
    </row>
    <row r="355" spans="1:1">
      <c r="A355" s="1356"/>
    </row>
    <row r="356" spans="1:1">
      <c r="A356" s="1356"/>
    </row>
    <row r="357" spans="1:1">
      <c r="A357" s="1356"/>
    </row>
    <row r="358" spans="1:1">
      <c r="A358" s="1356"/>
    </row>
    <row r="359" spans="1:1">
      <c r="A359" s="1356"/>
    </row>
    <row r="360" spans="1:1">
      <c r="A360" s="1356"/>
    </row>
    <row r="361" spans="1:1">
      <c r="A361" s="1356"/>
    </row>
    <row r="362" spans="1:1">
      <c r="A362" s="1356"/>
    </row>
    <row r="363" spans="1:1">
      <c r="A363" s="1356"/>
    </row>
    <row r="364" spans="1:1">
      <c r="A364" s="1356"/>
    </row>
    <row r="365" spans="1:1">
      <c r="A365" s="1356"/>
    </row>
    <row r="366" spans="1:1">
      <c r="A366" s="1356"/>
    </row>
    <row r="367" spans="1:1">
      <c r="A367" s="1356"/>
    </row>
    <row r="368" spans="1:1">
      <c r="A368" s="1356"/>
    </row>
    <row r="369" spans="1:1">
      <c r="A369" s="1356"/>
    </row>
    <row r="370" spans="1:1">
      <c r="A370" s="1356"/>
    </row>
    <row r="371" spans="1:1">
      <c r="A371" s="1356"/>
    </row>
    <row r="372" spans="1:1">
      <c r="A372" s="1356"/>
    </row>
    <row r="373" spans="1:1">
      <c r="A373" s="1356"/>
    </row>
    <row r="374" spans="1:1">
      <c r="A374" s="1356"/>
    </row>
    <row r="375" spans="1:1">
      <c r="A375" s="1356"/>
    </row>
    <row r="376" spans="1:1">
      <c r="A376" s="1356"/>
    </row>
    <row r="377" spans="1:1">
      <c r="A377" s="1356"/>
    </row>
    <row r="378" spans="1:1">
      <c r="A378" s="1356"/>
    </row>
    <row r="379" spans="1:1">
      <c r="A379" s="1356"/>
    </row>
    <row r="380" spans="1:1">
      <c r="A380" s="1356"/>
    </row>
    <row r="381" spans="1:1">
      <c r="A381" s="1356"/>
    </row>
    <row r="382" spans="1:1">
      <c r="A382" s="1356"/>
    </row>
    <row r="383" spans="1:1">
      <c r="A383" s="1356"/>
    </row>
    <row r="384" spans="1:1">
      <c r="A384" s="1356"/>
    </row>
    <row r="385" spans="1:1">
      <c r="A385" s="1356"/>
    </row>
    <row r="386" spans="1:1">
      <c r="A386" s="1356"/>
    </row>
    <row r="387" spans="1:1">
      <c r="A387" s="1356"/>
    </row>
    <row r="388" spans="1:1">
      <c r="A388" s="1356"/>
    </row>
    <row r="389" spans="1:1">
      <c r="A389" s="1356"/>
    </row>
    <row r="390" spans="1:1">
      <c r="A390" s="1356"/>
    </row>
    <row r="391" spans="1:1">
      <c r="A391" s="1356"/>
    </row>
    <row r="392" spans="1:1">
      <c r="A392" s="1356"/>
    </row>
    <row r="393" spans="1:1">
      <c r="A393" s="1356"/>
    </row>
    <row r="394" spans="1:1">
      <c r="A394" s="1356"/>
    </row>
    <row r="395" spans="1:1">
      <c r="A395" s="1356"/>
    </row>
    <row r="396" spans="1:1">
      <c r="A396" s="1356"/>
    </row>
    <row r="397" spans="1:1">
      <c r="A397" s="1356"/>
    </row>
    <row r="398" spans="1:1">
      <c r="A398" s="1356"/>
    </row>
    <row r="399" spans="1:1">
      <c r="A399" s="1356"/>
    </row>
    <row r="400" spans="1:1">
      <c r="A400" s="1356"/>
    </row>
    <row r="401" spans="1:1">
      <c r="A401" s="1356"/>
    </row>
    <row r="402" spans="1:1">
      <c r="A402" s="1356"/>
    </row>
    <row r="403" spans="1:1">
      <c r="A403" s="1356"/>
    </row>
    <row r="404" spans="1:1">
      <c r="A404" s="1356"/>
    </row>
    <row r="405" spans="1:1">
      <c r="A405" s="1356"/>
    </row>
    <row r="406" spans="1:1">
      <c r="A406" s="1356"/>
    </row>
    <row r="407" spans="1:1">
      <c r="A407" s="1356"/>
    </row>
    <row r="408" spans="1:1">
      <c r="A408" s="1356"/>
    </row>
    <row r="409" spans="1:1">
      <c r="A409" s="1356"/>
    </row>
    <row r="410" spans="1:1">
      <c r="A410" s="1356"/>
    </row>
    <row r="411" spans="1:1">
      <c r="A411" s="1356"/>
    </row>
    <row r="412" spans="1:1">
      <c r="A412" s="1356"/>
    </row>
    <row r="413" spans="1:1">
      <c r="A413" s="1356"/>
    </row>
    <row r="414" spans="1:1">
      <c r="A414" s="1356"/>
    </row>
    <row r="415" spans="1:1">
      <c r="A415" s="1356"/>
    </row>
    <row r="416" spans="1:1">
      <c r="A416" s="1356"/>
    </row>
    <row r="417" spans="1:1">
      <c r="A417" s="1356"/>
    </row>
    <row r="418" spans="1:1">
      <c r="A418" s="1356"/>
    </row>
    <row r="419" spans="1:1">
      <c r="A419" s="1356"/>
    </row>
    <row r="420" spans="1:1">
      <c r="A420" s="1356"/>
    </row>
    <row r="421" spans="1:1">
      <c r="A421" s="1356"/>
    </row>
    <row r="422" spans="1:1">
      <c r="A422" s="1356"/>
    </row>
    <row r="423" spans="1:1">
      <c r="A423" s="1356"/>
    </row>
    <row r="424" spans="1:1">
      <c r="A424" s="1356"/>
    </row>
    <row r="425" spans="1:1">
      <c r="A425" s="1356"/>
    </row>
    <row r="426" spans="1:1">
      <c r="A426" s="1356"/>
    </row>
    <row r="427" spans="1:1">
      <c r="A427" s="1356"/>
    </row>
    <row r="428" spans="1:1">
      <c r="A428" s="1356"/>
    </row>
    <row r="429" spans="1:1">
      <c r="A429" s="1356"/>
    </row>
    <row r="430" spans="1:1">
      <c r="A430" s="1356"/>
    </row>
    <row r="431" spans="1:1">
      <c r="A431" s="1356"/>
    </row>
    <row r="432" spans="1:1">
      <c r="A432" s="1356"/>
    </row>
    <row r="433" spans="1:1">
      <c r="A433" s="1356"/>
    </row>
    <row r="434" spans="1:1">
      <c r="A434" s="1356"/>
    </row>
    <row r="435" spans="1:1">
      <c r="A435" s="1356"/>
    </row>
    <row r="436" spans="1:1">
      <c r="A436" s="1356"/>
    </row>
    <row r="437" spans="1:1">
      <c r="A437" s="1356"/>
    </row>
    <row r="438" spans="1:1">
      <c r="A438" s="1356"/>
    </row>
    <row r="439" spans="1:1">
      <c r="A439" s="1356"/>
    </row>
    <row r="440" spans="1:1">
      <c r="A440" s="1356"/>
    </row>
    <row r="441" spans="1:1">
      <c r="A441" s="1356"/>
    </row>
    <row r="442" spans="1:1">
      <c r="A442" s="1356"/>
    </row>
    <row r="443" spans="1:1">
      <c r="A443" s="1356"/>
    </row>
    <row r="444" spans="1:1">
      <c r="A444" s="1356"/>
    </row>
    <row r="445" spans="1:1">
      <c r="A445" s="1356"/>
    </row>
    <row r="446" spans="1:1">
      <c r="A446" s="1356"/>
    </row>
    <row r="447" spans="1:1">
      <c r="A447" s="1356"/>
    </row>
    <row r="448" spans="1:1">
      <c r="A448" s="1356"/>
    </row>
    <row r="449" spans="1:1">
      <c r="A449" s="1356"/>
    </row>
    <row r="450" spans="1:1">
      <c r="A450" s="1356"/>
    </row>
    <row r="451" spans="1:1">
      <c r="A451" s="1356"/>
    </row>
    <row r="452" spans="1:1">
      <c r="A452" s="1356"/>
    </row>
    <row r="453" spans="1:1">
      <c r="A453" s="1356"/>
    </row>
    <row r="454" spans="1:1">
      <c r="A454" s="1356"/>
    </row>
    <row r="455" spans="1:1">
      <c r="A455" s="1356"/>
    </row>
    <row r="456" spans="1:1">
      <c r="A456" s="1356"/>
    </row>
    <row r="457" spans="1:1">
      <c r="A457" s="1356"/>
    </row>
    <row r="458" spans="1:1">
      <c r="A458" s="1356"/>
    </row>
    <row r="459" spans="1:1">
      <c r="A459" s="1356"/>
    </row>
    <row r="460" spans="1:1">
      <c r="A460" s="1356"/>
    </row>
    <row r="461" spans="1:1">
      <c r="A461" s="1356"/>
    </row>
    <row r="462" spans="1:1">
      <c r="A462" s="1356"/>
    </row>
    <row r="463" spans="1:1">
      <c r="A463" s="1356"/>
    </row>
    <row r="464" spans="1:1">
      <c r="A464" s="1356"/>
    </row>
    <row r="465" spans="1:1">
      <c r="A465" s="1356"/>
    </row>
    <row r="466" spans="1:1">
      <c r="A466" s="1356"/>
    </row>
    <row r="467" spans="1:1">
      <c r="A467" s="1356"/>
    </row>
    <row r="468" spans="1:1">
      <c r="A468" s="1356"/>
    </row>
    <row r="469" spans="1:1">
      <c r="A469" s="1356"/>
    </row>
    <row r="470" spans="1:1">
      <c r="A470" s="1356"/>
    </row>
    <row r="471" spans="1:1">
      <c r="A471" s="1356"/>
    </row>
    <row r="472" spans="1:1">
      <c r="A472" s="1356"/>
    </row>
    <row r="473" spans="1:1">
      <c r="A473" s="1356"/>
    </row>
    <row r="474" spans="1:1">
      <c r="A474" s="1356"/>
    </row>
    <row r="475" spans="1:1">
      <c r="A475" s="1356"/>
    </row>
    <row r="476" spans="1:1">
      <c r="A476" s="1356"/>
    </row>
    <row r="477" spans="1:1">
      <c r="A477" s="1356"/>
    </row>
    <row r="478" spans="1:1">
      <c r="A478" s="1356"/>
    </row>
    <row r="479" spans="1:1">
      <c r="A479" s="1356"/>
    </row>
    <row r="480" spans="1:1">
      <c r="A480" s="1356"/>
    </row>
    <row r="481" spans="1:1">
      <c r="A481" s="1356"/>
    </row>
    <row r="482" spans="1:1">
      <c r="A482" s="1356"/>
    </row>
    <row r="483" spans="1:1">
      <c r="A483" s="1356"/>
    </row>
    <row r="484" spans="1:1">
      <c r="A484" s="1356"/>
    </row>
    <row r="485" spans="1:1">
      <c r="A485" s="1356"/>
    </row>
    <row r="486" spans="1:1">
      <c r="A486" s="1356"/>
    </row>
    <row r="487" spans="1:1">
      <c r="A487" s="1356"/>
    </row>
    <row r="488" spans="1:1">
      <c r="A488" s="1356"/>
    </row>
    <row r="489" spans="1:1">
      <c r="A489" s="1356"/>
    </row>
    <row r="490" spans="1:1">
      <c r="A490" s="1356"/>
    </row>
    <row r="491" spans="1:1">
      <c r="A491" s="1356"/>
    </row>
    <row r="492" spans="1:1">
      <c r="A492" s="1356"/>
    </row>
    <row r="493" spans="1:1">
      <c r="A493" s="1356"/>
    </row>
    <row r="494" spans="1:1">
      <c r="A494" s="1356"/>
    </row>
    <row r="495" spans="1:1">
      <c r="A495" s="1356"/>
    </row>
    <row r="496" spans="1:1">
      <c r="A496" s="1356"/>
    </row>
    <row r="497" spans="1:1">
      <c r="A497" s="1356"/>
    </row>
    <row r="498" spans="1:1">
      <c r="A498" s="1356"/>
    </row>
    <row r="499" spans="1:1">
      <c r="A499" s="1356"/>
    </row>
    <row r="500" spans="1:1">
      <c r="A500" s="1356"/>
    </row>
    <row r="501" spans="1:1">
      <c r="A501" s="1356"/>
    </row>
    <row r="502" spans="1:1">
      <c r="A502" s="1356"/>
    </row>
    <row r="503" spans="1:1">
      <c r="A503" s="1356"/>
    </row>
    <row r="504" spans="1:1">
      <c r="A504" s="1356"/>
    </row>
    <row r="505" spans="1:1">
      <c r="A505" s="1356"/>
    </row>
    <row r="506" spans="1:1">
      <c r="A506" s="1356"/>
    </row>
    <row r="507" spans="1:1">
      <c r="A507" s="1356"/>
    </row>
    <row r="508" spans="1:1">
      <c r="A508" s="1356"/>
    </row>
    <row r="509" spans="1:1">
      <c r="A509" s="1356"/>
    </row>
    <row r="510" spans="1:1">
      <c r="A510" s="1356"/>
    </row>
    <row r="511" spans="1:1">
      <c r="A511" s="1356"/>
    </row>
    <row r="512" spans="1:1">
      <c r="A512" s="1356"/>
    </row>
    <row r="513" spans="1:1">
      <c r="A513" s="1356"/>
    </row>
    <row r="514" spans="1:1">
      <c r="A514" s="1356"/>
    </row>
    <row r="515" spans="1:1">
      <c r="A515" s="1356"/>
    </row>
    <row r="516" spans="1:1">
      <c r="A516" s="1356"/>
    </row>
    <row r="517" spans="1:1">
      <c r="A517" s="1356"/>
    </row>
    <row r="518" spans="1:1">
      <c r="A518" s="1356"/>
    </row>
    <row r="519" spans="1:1">
      <c r="A519" s="1356"/>
    </row>
    <row r="520" spans="1:1">
      <c r="A520" s="1356"/>
    </row>
    <row r="521" spans="1:1">
      <c r="A521" s="1356"/>
    </row>
    <row r="522" spans="1:1">
      <c r="A522" s="1356"/>
    </row>
    <row r="523" spans="1:1">
      <c r="A523" s="1356"/>
    </row>
    <row r="524" spans="1:1">
      <c r="A524" s="1356"/>
    </row>
    <row r="525" spans="1:1">
      <c r="A525" s="1356"/>
    </row>
    <row r="526" spans="1:1">
      <c r="A526" s="1356"/>
    </row>
    <row r="527" spans="1:1">
      <c r="A527" s="1356"/>
    </row>
    <row r="528" spans="1:1">
      <c r="A528" s="1356"/>
    </row>
    <row r="529" spans="1:1">
      <c r="A529" s="1356"/>
    </row>
    <row r="530" spans="1:1">
      <c r="A530" s="1356"/>
    </row>
    <row r="531" spans="1:1">
      <c r="A531" s="1356"/>
    </row>
    <row r="532" spans="1:1">
      <c r="A532" s="1356"/>
    </row>
    <row r="533" spans="1:1">
      <c r="A533" s="1356"/>
    </row>
    <row r="534" spans="1:1">
      <c r="A534" s="1356"/>
    </row>
    <row r="535" spans="1:1">
      <c r="A535" s="1356"/>
    </row>
    <row r="536" spans="1:1">
      <c r="A536" s="1356"/>
    </row>
    <row r="537" spans="1:1">
      <c r="A537" s="1356"/>
    </row>
    <row r="538" spans="1:1">
      <c r="A538" s="1356"/>
    </row>
    <row r="539" spans="1:1">
      <c r="A539" s="1356"/>
    </row>
    <row r="540" spans="1:1">
      <c r="A540" s="1356"/>
    </row>
    <row r="541" spans="1:1">
      <c r="A541" s="1356"/>
    </row>
    <row r="542" spans="1:1">
      <c r="A542" s="1356"/>
    </row>
    <row r="543" spans="1:1">
      <c r="A543" s="1356"/>
    </row>
    <row r="544" spans="1:1">
      <c r="A544" s="1356"/>
    </row>
    <row r="545" spans="1:1">
      <c r="A545" s="1356"/>
    </row>
    <row r="546" spans="1:1">
      <c r="A546" s="1356"/>
    </row>
    <row r="547" spans="1:1">
      <c r="A547" s="1356"/>
    </row>
    <row r="548" spans="1:1">
      <c r="A548" s="1356"/>
    </row>
    <row r="549" spans="1:1">
      <c r="A549" s="1356"/>
    </row>
    <row r="550" spans="1:1">
      <c r="A550" s="1356"/>
    </row>
    <row r="551" spans="1:1">
      <c r="A551" s="1356"/>
    </row>
    <row r="552" spans="1:1">
      <c r="A552" s="1356"/>
    </row>
    <row r="553" spans="1:1">
      <c r="A553" s="1356"/>
    </row>
    <row r="554" spans="1:1">
      <c r="A554" s="1356"/>
    </row>
    <row r="555" spans="1:1">
      <c r="A555" s="1356"/>
    </row>
    <row r="556" spans="1:1">
      <c r="A556" s="1356"/>
    </row>
    <row r="557" spans="1:1">
      <c r="A557" s="1356"/>
    </row>
    <row r="558" spans="1:1">
      <c r="A558" s="1356"/>
    </row>
    <row r="559" spans="1:1">
      <c r="A559" s="1356"/>
    </row>
    <row r="560" spans="1:1">
      <c r="A560" s="1356"/>
    </row>
    <row r="561" spans="1:1">
      <c r="A561" s="1356"/>
    </row>
    <row r="562" spans="1:1">
      <c r="A562" s="1356"/>
    </row>
    <row r="563" spans="1:1">
      <c r="A563" s="1356"/>
    </row>
    <row r="564" spans="1:1">
      <c r="A564" s="1356"/>
    </row>
    <row r="565" spans="1:1">
      <c r="A565" s="1356"/>
    </row>
    <row r="566" spans="1:1">
      <c r="A566" s="1356"/>
    </row>
    <row r="567" spans="1:1">
      <c r="A567" s="1356"/>
    </row>
    <row r="568" spans="1:1">
      <c r="A568" s="1356"/>
    </row>
    <row r="569" spans="1:1">
      <c r="A569" s="1356"/>
    </row>
    <row r="570" spans="1:1">
      <c r="A570" s="1356"/>
    </row>
    <row r="571" spans="1:1">
      <c r="A571" s="1356"/>
    </row>
    <row r="572" spans="1:1">
      <c r="A572" s="1356"/>
    </row>
    <row r="573" spans="1:1">
      <c r="A573" s="1356"/>
    </row>
    <row r="574" spans="1:1">
      <c r="A574" s="1356"/>
    </row>
    <row r="575" spans="1:1">
      <c r="A575" s="1356"/>
    </row>
    <row r="576" spans="1:1">
      <c r="A576" s="1356"/>
    </row>
    <row r="577" spans="1:1">
      <c r="A577" s="1356"/>
    </row>
    <row r="578" spans="1:1">
      <c r="A578" s="1356"/>
    </row>
    <row r="579" spans="1:1">
      <c r="A579" s="1356"/>
    </row>
    <row r="580" spans="1:1">
      <c r="A580" s="1356"/>
    </row>
    <row r="581" spans="1:1">
      <c r="A581" s="1356"/>
    </row>
    <row r="582" spans="1:1">
      <c r="A582" s="1356"/>
    </row>
    <row r="583" spans="1:1">
      <c r="A583" s="1356"/>
    </row>
    <row r="584" spans="1:1">
      <c r="A584" s="1356"/>
    </row>
    <row r="585" spans="1:1">
      <c r="A585" s="1356"/>
    </row>
    <row r="586" spans="1:1">
      <c r="A586" s="1356"/>
    </row>
    <row r="587" spans="1:1">
      <c r="A587" s="1356"/>
    </row>
    <row r="588" spans="1:1">
      <c r="A588" s="1356"/>
    </row>
    <row r="589" spans="1:1">
      <c r="A589" s="1356"/>
    </row>
    <row r="590" spans="1:1">
      <c r="A590" s="1356"/>
    </row>
    <row r="591" spans="1:1">
      <c r="A591" s="1356"/>
    </row>
    <row r="592" spans="1:1">
      <c r="A592" s="1356"/>
    </row>
    <row r="593" spans="1:1">
      <c r="A593" s="1356"/>
    </row>
    <row r="594" spans="1:1">
      <c r="A594" s="1356"/>
    </row>
    <row r="595" spans="1:1">
      <c r="A595" s="1356"/>
    </row>
    <row r="596" spans="1:1">
      <c r="A596" s="1356"/>
    </row>
    <row r="597" spans="1:1">
      <c r="A597" s="1356"/>
    </row>
    <row r="598" spans="1:1">
      <c r="A598" s="1356"/>
    </row>
    <row r="599" spans="1:1">
      <c r="A599" s="1356"/>
    </row>
    <row r="600" spans="1:1">
      <c r="A600" s="1356"/>
    </row>
    <row r="601" spans="1:1">
      <c r="A601" s="1356"/>
    </row>
    <row r="602" spans="1:1">
      <c r="A602" s="1356"/>
    </row>
    <row r="603" spans="1:1">
      <c r="A603" s="1356"/>
    </row>
    <row r="604" spans="1:1">
      <c r="A604" s="1356"/>
    </row>
    <row r="605" spans="1:1">
      <c r="A605" s="1356"/>
    </row>
    <row r="606" spans="1:1">
      <c r="A606" s="1356"/>
    </row>
    <row r="607" spans="1:1">
      <c r="A607" s="1356"/>
    </row>
    <row r="608" spans="1:1">
      <c r="A608" s="1356"/>
    </row>
    <row r="609" spans="1:1">
      <c r="A609" s="1356"/>
    </row>
    <row r="610" spans="1:1">
      <c r="A610" s="1356"/>
    </row>
    <row r="611" spans="1:1">
      <c r="A611" s="1356"/>
    </row>
    <row r="612" spans="1:1">
      <c r="A612" s="1356"/>
    </row>
    <row r="613" spans="1:1">
      <c r="A613" s="1356"/>
    </row>
    <row r="614" spans="1:1">
      <c r="A614" s="1356"/>
    </row>
    <row r="615" spans="1:1">
      <c r="A615" s="1356"/>
    </row>
    <row r="616" spans="1:1">
      <c r="A616" s="1356"/>
    </row>
    <row r="617" spans="1:1">
      <c r="A617" s="1356"/>
    </row>
    <row r="618" spans="1:1">
      <c r="A618" s="1356"/>
    </row>
    <row r="619" spans="1:1">
      <c r="A619" s="1356"/>
    </row>
    <row r="620" spans="1:1">
      <c r="A620" s="1356"/>
    </row>
    <row r="621" spans="1:1">
      <c r="A621" s="1356"/>
    </row>
    <row r="622" spans="1:1">
      <c r="A622" s="1356"/>
    </row>
    <row r="623" spans="1:1">
      <c r="A623" s="1356"/>
    </row>
    <row r="624" spans="1:1">
      <c r="A624" s="1356"/>
    </row>
    <row r="625" spans="1:1">
      <c r="A625" s="1356"/>
    </row>
    <row r="626" spans="1:1">
      <c r="A626" s="1356"/>
    </row>
    <row r="627" spans="1:1">
      <c r="A627" s="1356"/>
    </row>
    <row r="628" spans="1:1">
      <c r="A628" s="1356"/>
    </row>
    <row r="629" spans="1:1">
      <c r="A629" s="1356"/>
    </row>
    <row r="630" spans="1:1">
      <c r="A630" s="1356"/>
    </row>
    <row r="631" spans="1:1">
      <c r="A631" s="1356"/>
    </row>
    <row r="632" spans="1:1">
      <c r="A632" s="1356"/>
    </row>
    <row r="633" spans="1:1">
      <c r="A633" s="1356"/>
    </row>
    <row r="634" spans="1:1">
      <c r="A634" s="1356"/>
    </row>
    <row r="635" spans="1:1">
      <c r="A635" s="1356"/>
    </row>
    <row r="636" spans="1:1">
      <c r="A636" s="1356"/>
    </row>
    <row r="637" spans="1:1">
      <c r="A637" s="1356"/>
    </row>
    <row r="638" spans="1:1">
      <c r="A638" s="1356"/>
    </row>
    <row r="639" spans="1:1">
      <c r="A639" s="1356"/>
    </row>
    <row r="640" spans="1:1">
      <c r="A640" s="1356"/>
    </row>
    <row r="641" spans="1:1">
      <c r="A641" s="1356"/>
    </row>
    <row r="642" spans="1:1">
      <c r="A642" s="1356"/>
    </row>
    <row r="643" spans="1:1">
      <c r="A643" s="1356"/>
    </row>
    <row r="644" spans="1:1">
      <c r="A644" s="1356"/>
    </row>
    <row r="645" spans="1:1">
      <c r="A645" s="1356"/>
    </row>
    <row r="646" spans="1:1">
      <c r="A646" s="1356"/>
    </row>
    <row r="647" spans="1:1">
      <c r="A647" s="1356"/>
    </row>
    <row r="648" spans="1:1">
      <c r="A648" s="1356"/>
    </row>
    <row r="649" spans="1:1">
      <c r="A649" s="1356"/>
    </row>
    <row r="650" spans="1:1">
      <c r="A650" s="1356"/>
    </row>
    <row r="651" spans="1:1">
      <c r="A651" s="1356"/>
    </row>
    <row r="652" spans="1:1">
      <c r="A652" s="1356"/>
    </row>
    <row r="653" spans="1:1">
      <c r="A653" s="1356"/>
    </row>
    <row r="654" spans="1:1">
      <c r="A654" s="1356"/>
    </row>
    <row r="655" spans="1:1">
      <c r="A655" s="1356"/>
    </row>
    <row r="656" spans="1:1">
      <c r="A656" s="1356"/>
    </row>
    <row r="657" spans="1:1">
      <c r="A657" s="1356"/>
    </row>
    <row r="658" spans="1:1">
      <c r="A658" s="1356"/>
    </row>
    <row r="659" spans="1:1">
      <c r="A659" s="1356"/>
    </row>
    <row r="660" spans="1:1">
      <c r="A660" s="1356"/>
    </row>
    <row r="661" spans="1:1">
      <c r="A661" s="1356"/>
    </row>
    <row r="662" spans="1:1">
      <c r="A662" s="1356"/>
    </row>
    <row r="663" spans="1:1">
      <c r="A663" s="1356"/>
    </row>
    <row r="664" spans="1:1">
      <c r="A664" s="1356"/>
    </row>
    <row r="665" spans="1:1">
      <c r="A665" s="1356"/>
    </row>
    <row r="666" spans="1:1">
      <c r="A666" s="1356"/>
    </row>
    <row r="667" spans="1:1">
      <c r="A667" s="1356"/>
    </row>
    <row r="668" spans="1:1">
      <c r="A668" s="1356"/>
    </row>
    <row r="669" spans="1:1">
      <c r="A669" s="1356"/>
    </row>
    <row r="670" spans="1:1">
      <c r="A670" s="1356"/>
    </row>
    <row r="671" spans="1:1">
      <c r="A671" s="1356"/>
    </row>
    <row r="672" spans="1:1">
      <c r="A672" s="1356"/>
    </row>
    <row r="673" spans="1:1">
      <c r="A673" s="1356"/>
    </row>
    <row r="674" spans="1:1">
      <c r="A674" s="1356"/>
    </row>
    <row r="675" spans="1:1">
      <c r="A675" s="1356"/>
    </row>
    <row r="676" spans="1:1">
      <c r="A676" s="1356"/>
    </row>
    <row r="677" spans="1:1">
      <c r="A677" s="1356"/>
    </row>
    <row r="678" spans="1:1">
      <c r="A678" s="1356"/>
    </row>
    <row r="679" spans="1:1">
      <c r="A679" s="1356"/>
    </row>
    <row r="680" spans="1:1">
      <c r="A680" s="1356"/>
    </row>
    <row r="681" spans="1:1">
      <c r="A681" s="1356"/>
    </row>
    <row r="682" spans="1:1">
      <c r="A682" s="1356"/>
    </row>
    <row r="683" spans="1:1">
      <c r="A683" s="1356"/>
    </row>
    <row r="684" spans="1:1">
      <c r="A684" s="1356"/>
    </row>
    <row r="685" spans="1:1">
      <c r="A685" s="1356"/>
    </row>
    <row r="686" spans="1:1">
      <c r="A686" s="1356"/>
    </row>
    <row r="687" spans="1:1">
      <c r="A687" s="1356"/>
    </row>
    <row r="688" spans="1:1">
      <c r="A688" s="1356"/>
    </row>
    <row r="689" spans="1:1">
      <c r="A689" s="1356"/>
    </row>
    <row r="690" spans="1:1">
      <c r="A690" s="1356"/>
    </row>
    <row r="691" spans="1:1">
      <c r="A691" s="1356"/>
    </row>
    <row r="692" spans="1:1">
      <c r="A692" s="1356"/>
    </row>
    <row r="693" spans="1:1">
      <c r="A693" s="1356"/>
    </row>
    <row r="694" spans="1:1">
      <c r="A694" s="1356"/>
    </row>
    <row r="695" spans="1:1">
      <c r="A695" s="1356"/>
    </row>
    <row r="696" spans="1:1">
      <c r="A696" s="1356"/>
    </row>
    <row r="697" spans="1:1">
      <c r="A697" s="1356"/>
    </row>
    <row r="698" spans="1:1">
      <c r="A698" s="1356"/>
    </row>
    <row r="699" spans="1:1">
      <c r="A699" s="1356"/>
    </row>
    <row r="700" spans="1:1">
      <c r="A700" s="1356"/>
    </row>
    <row r="701" spans="1:1">
      <c r="A701" s="1356"/>
    </row>
    <row r="702" spans="1:1">
      <c r="A702" s="1356"/>
    </row>
    <row r="703" spans="1:1">
      <c r="A703" s="1356"/>
    </row>
    <row r="704" spans="1:1">
      <c r="A704" s="1356"/>
    </row>
    <row r="705" spans="1:1">
      <c r="A705" s="1356"/>
    </row>
    <row r="706" spans="1:1">
      <c r="A706" s="1356"/>
    </row>
    <row r="707" spans="1:1">
      <c r="A707" s="1356"/>
    </row>
    <row r="708" spans="1:1">
      <c r="A708" s="1356"/>
    </row>
    <row r="709" spans="1:1">
      <c r="A709" s="1356"/>
    </row>
    <row r="710" spans="1:1">
      <c r="A710" s="1356"/>
    </row>
    <row r="711" spans="1:1">
      <c r="A711" s="1356"/>
    </row>
    <row r="712" spans="1:1">
      <c r="A712" s="1356"/>
    </row>
    <row r="713" spans="1:1">
      <c r="A713" s="1356"/>
    </row>
    <row r="714" spans="1:1">
      <c r="A714" s="1356"/>
    </row>
    <row r="715" spans="1:1">
      <c r="A715" s="1356"/>
    </row>
    <row r="716" spans="1:1">
      <c r="A716" s="1356"/>
    </row>
    <row r="717" spans="1:1">
      <c r="A717" s="1356"/>
    </row>
    <row r="718" spans="1:1">
      <c r="A718" s="1356"/>
    </row>
    <row r="719" spans="1:1">
      <c r="A719" s="1356"/>
    </row>
    <row r="720" spans="1:1">
      <c r="A720" s="1356"/>
    </row>
    <row r="721" spans="1:1">
      <c r="A721" s="1356"/>
    </row>
    <row r="722" spans="1:1">
      <c r="A722" s="1356"/>
    </row>
    <row r="723" spans="1:1">
      <c r="A723" s="1356"/>
    </row>
    <row r="724" spans="1:1">
      <c r="A724" s="1356"/>
    </row>
    <row r="725" spans="1:1">
      <c r="A725" s="1356"/>
    </row>
    <row r="726" spans="1:1">
      <c r="A726" s="1356"/>
    </row>
    <row r="727" spans="1:1">
      <c r="A727" s="1356"/>
    </row>
    <row r="728" spans="1:1">
      <c r="A728" s="1356"/>
    </row>
    <row r="729" spans="1:1">
      <c r="A729" s="1356"/>
    </row>
    <row r="730" spans="1:1">
      <c r="A730" s="1356"/>
    </row>
    <row r="731" spans="1:1">
      <c r="A731" s="1356"/>
    </row>
    <row r="732" spans="1:1">
      <c r="A732" s="1356"/>
    </row>
    <row r="733" spans="1:1">
      <c r="A733" s="1356"/>
    </row>
    <row r="734" spans="1:1">
      <c r="A734" s="1356"/>
    </row>
    <row r="735" spans="1:1">
      <c r="A735" s="1356"/>
    </row>
    <row r="736" spans="1:1">
      <c r="A736" s="1356"/>
    </row>
    <row r="737" spans="1:1">
      <c r="A737" s="1356"/>
    </row>
    <row r="738" spans="1:1">
      <c r="A738" s="1356"/>
    </row>
    <row r="739" spans="1:1">
      <c r="A739" s="1356"/>
    </row>
    <row r="740" spans="1:1">
      <c r="A740" s="1356"/>
    </row>
    <row r="741" spans="1:1">
      <c r="A741" s="1356"/>
    </row>
    <row r="742" spans="1:1">
      <c r="A742" s="1356"/>
    </row>
    <row r="743" spans="1:1">
      <c r="A743" s="1356"/>
    </row>
    <row r="744" spans="1:1">
      <c r="A744" s="1356"/>
    </row>
    <row r="745" spans="1:1">
      <c r="A745" s="1356"/>
    </row>
    <row r="746" spans="1:1">
      <c r="A746" s="1356"/>
    </row>
    <row r="747" spans="1:1">
      <c r="A747" s="1356"/>
    </row>
    <row r="748" spans="1:1">
      <c r="A748" s="1356"/>
    </row>
    <row r="749" spans="1:1">
      <c r="A749" s="1356"/>
    </row>
    <row r="750" spans="1:1">
      <c r="A750" s="1356"/>
    </row>
    <row r="751" spans="1:1">
      <c r="A751" s="1356"/>
    </row>
    <row r="752" spans="1:1">
      <c r="A752" s="1356"/>
    </row>
    <row r="753" spans="1:1">
      <c r="A753" s="1356"/>
    </row>
    <row r="754" spans="1:1">
      <c r="A754" s="1356"/>
    </row>
    <row r="755" spans="1:1">
      <c r="A755" s="1356"/>
    </row>
    <row r="756" spans="1:1">
      <c r="A756" s="1356"/>
    </row>
    <row r="757" spans="1:1">
      <c r="A757" s="1356"/>
    </row>
    <row r="758" spans="1:1">
      <c r="A758" s="1356"/>
    </row>
    <row r="759" spans="1:1">
      <c r="A759" s="1356"/>
    </row>
    <row r="760" spans="1:1">
      <c r="A760" s="1356"/>
    </row>
    <row r="761" spans="1:1">
      <c r="A761" s="1356"/>
    </row>
    <row r="762" spans="1:1">
      <c r="A762" s="1356"/>
    </row>
    <row r="763" spans="1:1">
      <c r="A763" s="1356"/>
    </row>
    <row r="764" spans="1:1">
      <c r="A764" s="1356"/>
    </row>
    <row r="765" spans="1:1">
      <c r="A765" s="1356"/>
    </row>
    <row r="766" spans="1:1">
      <c r="A766" s="1356"/>
    </row>
    <row r="767" spans="1:1">
      <c r="A767" s="1356"/>
    </row>
    <row r="768" spans="1:1">
      <c r="A768" s="1356"/>
    </row>
    <row r="769" spans="1:1">
      <c r="A769" s="1356"/>
    </row>
    <row r="770" spans="1:1">
      <c r="A770" s="1356"/>
    </row>
    <row r="771" spans="1:1">
      <c r="A771" s="1356"/>
    </row>
    <row r="772" spans="1:1">
      <c r="A772" s="1356"/>
    </row>
    <row r="773" spans="1:1">
      <c r="A773" s="1356"/>
    </row>
    <row r="774" spans="1:1">
      <c r="A774" s="1356"/>
    </row>
    <row r="775" spans="1:1">
      <c r="A775" s="1356"/>
    </row>
    <row r="776" spans="1:1">
      <c r="A776" s="1356"/>
    </row>
    <row r="777" spans="1:1">
      <c r="A777" s="1356"/>
    </row>
    <row r="778" spans="1:1">
      <c r="A778" s="1356"/>
    </row>
    <row r="779" spans="1:1">
      <c r="A779" s="1356"/>
    </row>
    <row r="780" spans="1:1">
      <c r="A780" s="1356"/>
    </row>
    <row r="781" spans="1:1">
      <c r="A781" s="1356"/>
    </row>
    <row r="782" spans="1:1">
      <c r="A782" s="1356"/>
    </row>
    <row r="783" spans="1:1">
      <c r="A783" s="1356"/>
    </row>
    <row r="784" spans="1:1">
      <c r="A784" s="1356"/>
    </row>
    <row r="785" spans="1:1">
      <c r="A785" s="1356"/>
    </row>
    <row r="786" spans="1:1">
      <c r="A786" s="1356"/>
    </row>
    <row r="787" spans="1:1">
      <c r="A787" s="1356"/>
    </row>
    <row r="788" spans="1:1">
      <c r="A788" s="1356"/>
    </row>
    <row r="789" spans="1:1">
      <c r="A789" s="1356"/>
    </row>
    <row r="790" spans="1:1">
      <c r="A790" s="1356"/>
    </row>
    <row r="791" spans="1:1">
      <c r="A791" s="1356"/>
    </row>
    <row r="792" spans="1:1">
      <c r="A792" s="1356"/>
    </row>
    <row r="793" spans="1:1">
      <c r="A793" s="1356"/>
    </row>
    <row r="794" spans="1:1">
      <c r="A794" s="1356"/>
    </row>
    <row r="795" spans="1:1">
      <c r="A795" s="1356"/>
    </row>
    <row r="796" spans="1:1">
      <c r="A796" s="1356"/>
    </row>
    <row r="797" spans="1:1">
      <c r="A797" s="1356"/>
    </row>
    <row r="798" spans="1:1">
      <c r="A798" s="1356"/>
    </row>
    <row r="799" spans="1:1">
      <c r="A799" s="1356"/>
    </row>
    <row r="800" spans="1:1">
      <c r="A800" s="1356"/>
    </row>
    <row r="801" spans="1:1">
      <c r="A801" s="1356"/>
    </row>
    <row r="802" spans="1:1">
      <c r="A802" s="1356"/>
    </row>
    <row r="803" spans="1:1">
      <c r="A803" s="1356"/>
    </row>
    <row r="804" spans="1:1">
      <c r="A804" s="1356"/>
    </row>
    <row r="805" spans="1:1">
      <c r="A805" s="1356"/>
    </row>
    <row r="806" spans="1:1">
      <c r="A806" s="1356"/>
    </row>
    <row r="807" spans="1:1">
      <c r="A807" s="1356"/>
    </row>
    <row r="808" spans="1:1">
      <c r="A808" s="1356"/>
    </row>
    <row r="809" spans="1:1">
      <c r="A809" s="1356"/>
    </row>
    <row r="810" spans="1:1">
      <c r="A810" s="1356"/>
    </row>
    <row r="811" spans="1:1">
      <c r="A811" s="1356"/>
    </row>
    <row r="812" spans="1:1">
      <c r="A812" s="1356"/>
    </row>
    <row r="813" spans="1:1">
      <c r="A813" s="1356"/>
    </row>
    <row r="814" spans="1:1">
      <c r="A814" s="1356"/>
    </row>
    <row r="815" spans="1:1">
      <c r="A815" s="1356"/>
    </row>
    <row r="816" spans="1:1">
      <c r="A816" s="1356"/>
    </row>
    <row r="817" spans="1:1">
      <c r="A817" s="1356"/>
    </row>
    <row r="818" spans="1:1">
      <c r="A818" s="1356"/>
    </row>
    <row r="819" spans="1:1">
      <c r="A819" s="1356"/>
    </row>
    <row r="820" spans="1:1">
      <c r="A820" s="1356"/>
    </row>
    <row r="821" spans="1:1">
      <c r="A821" s="1356"/>
    </row>
    <row r="822" spans="1:1">
      <c r="A822" s="1356"/>
    </row>
    <row r="823" spans="1:1">
      <c r="A823" s="1356"/>
    </row>
    <row r="824" spans="1:1">
      <c r="A824" s="1356"/>
    </row>
    <row r="825" spans="1:1">
      <c r="A825" s="1356"/>
    </row>
    <row r="826" spans="1:1">
      <c r="A826" s="1356"/>
    </row>
    <row r="827" spans="1:1">
      <c r="A827" s="1356"/>
    </row>
    <row r="828" spans="1:1">
      <c r="A828" s="1356"/>
    </row>
    <row r="829" spans="1:1">
      <c r="A829" s="1356"/>
    </row>
    <row r="830" spans="1:1">
      <c r="A830" s="1356"/>
    </row>
    <row r="831" spans="1:1">
      <c r="A831" s="1356"/>
    </row>
    <row r="832" spans="1:1">
      <c r="A832" s="1356"/>
    </row>
    <row r="833" spans="1:1">
      <c r="A833" s="1356"/>
    </row>
    <row r="834" spans="1:1">
      <c r="A834" s="1356"/>
    </row>
    <row r="835" spans="1:1">
      <c r="A835" s="1356"/>
    </row>
    <row r="836" spans="1:1">
      <c r="A836" s="1356"/>
    </row>
    <row r="837" spans="1:1">
      <c r="A837" s="1356"/>
    </row>
    <row r="838" spans="1:1">
      <c r="A838" s="1356"/>
    </row>
    <row r="839" spans="1:1">
      <c r="A839" s="1356"/>
    </row>
    <row r="840" spans="1:1">
      <c r="A840" s="1356"/>
    </row>
    <row r="841" spans="1:1">
      <c r="A841" s="1356"/>
    </row>
    <row r="842" spans="1:1">
      <c r="A842" s="1356"/>
    </row>
    <row r="843" spans="1:1">
      <c r="A843" s="1356"/>
    </row>
    <row r="844" spans="1:1">
      <c r="A844" s="1356"/>
    </row>
    <row r="845" spans="1:1">
      <c r="A845" s="1356"/>
    </row>
    <row r="846" spans="1:1">
      <c r="A846" s="1356"/>
    </row>
    <row r="847" spans="1:1">
      <c r="A847" s="1356"/>
    </row>
    <row r="848" spans="1:1">
      <c r="A848" s="1356"/>
    </row>
    <row r="849" spans="1:1">
      <c r="A849" s="1356"/>
    </row>
    <row r="850" spans="1:1">
      <c r="A850" s="1356"/>
    </row>
    <row r="851" spans="1:1">
      <c r="A851" s="1356"/>
    </row>
    <row r="852" spans="1:1">
      <c r="A852" s="1356"/>
    </row>
    <row r="853" spans="1:1">
      <c r="A853" s="1356"/>
    </row>
    <row r="854" spans="1:1">
      <c r="A854" s="1356"/>
    </row>
    <row r="855" spans="1:1">
      <c r="A855" s="1356"/>
    </row>
    <row r="856" spans="1:1">
      <c r="A856" s="1356"/>
    </row>
    <row r="857" spans="1:1">
      <c r="A857" s="1356"/>
    </row>
    <row r="858" spans="1:1">
      <c r="A858" s="1356"/>
    </row>
    <row r="859" spans="1:1">
      <c r="A859" s="1356"/>
    </row>
    <row r="860" spans="1:1">
      <c r="A860" s="1356"/>
    </row>
    <row r="861" spans="1:1">
      <c r="A861" s="1356"/>
    </row>
    <row r="862" spans="1:1">
      <c r="A862" s="1356"/>
    </row>
    <row r="863" spans="1:1">
      <c r="A863" s="1356"/>
    </row>
    <row r="864" spans="1:1">
      <c r="A864" s="1356"/>
    </row>
    <row r="865" spans="1:1">
      <c r="A865" s="1356"/>
    </row>
    <row r="866" spans="1:1">
      <c r="A866" s="1356"/>
    </row>
    <row r="867" spans="1:1">
      <c r="A867" s="1356"/>
    </row>
    <row r="868" spans="1:1">
      <c r="A868" s="1356"/>
    </row>
    <row r="869" spans="1:1">
      <c r="A869" s="1356"/>
    </row>
    <row r="870" spans="1:1">
      <c r="A870" s="1356"/>
    </row>
    <row r="871" spans="1:1">
      <c r="A871" s="1356"/>
    </row>
    <row r="872" spans="1:1">
      <c r="A872" s="1356"/>
    </row>
    <row r="873" spans="1:1">
      <c r="A873" s="1356"/>
    </row>
    <row r="874" spans="1:1">
      <c r="A874" s="1356"/>
    </row>
    <row r="875" spans="1:1">
      <c r="A875" s="1356"/>
    </row>
    <row r="876" spans="1:1">
      <c r="A876" s="1356"/>
    </row>
    <row r="877" spans="1:1">
      <c r="A877" s="1356"/>
    </row>
    <row r="878" spans="1:1">
      <c r="A878" s="1356"/>
    </row>
    <row r="879" spans="1:1">
      <c r="A879" s="1356"/>
    </row>
    <row r="880" spans="1:1">
      <c r="A880" s="1356"/>
    </row>
    <row r="881" spans="1:1">
      <c r="A881" s="1356"/>
    </row>
    <row r="882" spans="1:1">
      <c r="A882" s="1356"/>
    </row>
    <row r="883" spans="1:1">
      <c r="A883" s="1356"/>
    </row>
    <row r="884" spans="1:1">
      <c r="A884" s="1356"/>
    </row>
    <row r="885" spans="1:1">
      <c r="A885" s="1356"/>
    </row>
    <row r="886" spans="1:1">
      <c r="A886" s="1356"/>
    </row>
    <row r="887" spans="1:1">
      <c r="A887" s="1356"/>
    </row>
    <row r="888" spans="1:1">
      <c r="A888" s="1356"/>
    </row>
    <row r="889" spans="1:1">
      <c r="A889" s="1356"/>
    </row>
    <row r="890" spans="1:1">
      <c r="A890" s="1356"/>
    </row>
    <row r="891" spans="1:1">
      <c r="A891" s="1356"/>
    </row>
    <row r="892" spans="1:1">
      <c r="A892" s="1356"/>
    </row>
    <row r="893" spans="1:1">
      <c r="A893" s="1356"/>
    </row>
    <row r="894" spans="1:1">
      <c r="A894" s="1356"/>
    </row>
    <row r="895" spans="1:1">
      <c r="A895" s="1356"/>
    </row>
    <row r="896" spans="1:1">
      <c r="A896" s="1356"/>
    </row>
    <row r="897" spans="1:1">
      <c r="A897" s="1356"/>
    </row>
    <row r="898" spans="1:1">
      <c r="A898" s="1356"/>
    </row>
    <row r="899" spans="1:1">
      <c r="A899" s="1356"/>
    </row>
    <row r="900" spans="1:1">
      <c r="A900" s="1356"/>
    </row>
    <row r="901" spans="1:1">
      <c r="A901" s="1356"/>
    </row>
    <row r="902" spans="1:1">
      <c r="A902" s="1356"/>
    </row>
    <row r="903" spans="1:1">
      <c r="A903" s="1356"/>
    </row>
    <row r="904" spans="1:1">
      <c r="A904" s="1356"/>
    </row>
    <row r="905" spans="1:1">
      <c r="A905" s="1356"/>
    </row>
    <row r="906" spans="1:1">
      <c r="A906" s="1356"/>
    </row>
    <row r="907" spans="1:1">
      <c r="A907" s="1356"/>
    </row>
    <row r="908" spans="1:1">
      <c r="A908" s="1356"/>
    </row>
    <row r="909" spans="1:1">
      <c r="A909" s="1356"/>
    </row>
    <row r="910" spans="1:1">
      <c r="A910" s="1356"/>
    </row>
    <row r="911" spans="1:1">
      <c r="A911" s="1356"/>
    </row>
    <row r="912" spans="1:1">
      <c r="A912" s="1356"/>
    </row>
    <row r="913" spans="1:1">
      <c r="A913" s="1356"/>
    </row>
    <row r="914" spans="1:1">
      <c r="A914" s="1356"/>
    </row>
    <row r="915" spans="1:1">
      <c r="A915" s="1356"/>
    </row>
    <row r="916" spans="1:1">
      <c r="A916" s="1356"/>
    </row>
    <row r="917" spans="1:1">
      <c r="A917" s="1356"/>
    </row>
    <row r="918" spans="1:1">
      <c r="A918" s="1356"/>
    </row>
    <row r="919" spans="1:1">
      <c r="A919" s="1356"/>
    </row>
    <row r="920" spans="1:1">
      <c r="A920" s="1356"/>
    </row>
    <row r="921" spans="1:1">
      <c r="A921" s="1356"/>
    </row>
    <row r="922" spans="1:1">
      <c r="A922" s="1356"/>
    </row>
    <row r="923" spans="1:1">
      <c r="A923" s="1356"/>
    </row>
    <row r="924" spans="1:1">
      <c r="A924" s="1356"/>
    </row>
    <row r="925" spans="1:1">
      <c r="A925" s="1356"/>
    </row>
    <row r="926" spans="1:1">
      <c r="A926" s="1356"/>
    </row>
    <row r="927" spans="1:1">
      <c r="A927" s="1356"/>
    </row>
    <row r="928" spans="1:1">
      <c r="A928" s="1356"/>
    </row>
    <row r="929" spans="1:1">
      <c r="A929" s="1356"/>
    </row>
    <row r="930" spans="1:1">
      <c r="A930" s="1356"/>
    </row>
    <row r="931" spans="1:1">
      <c r="A931" s="1356"/>
    </row>
    <row r="932" spans="1:1">
      <c r="A932" s="1356"/>
    </row>
    <row r="933" spans="1:1">
      <c r="A933" s="1356"/>
    </row>
  </sheetData>
  <mergeCells count="11">
    <mergeCell ref="A2:F2"/>
    <mergeCell ref="A3:F3"/>
    <mergeCell ref="D5:E5"/>
    <mergeCell ref="G115:I115"/>
    <mergeCell ref="J115:L115"/>
    <mergeCell ref="J121:L121"/>
    <mergeCell ref="G121:I121"/>
    <mergeCell ref="S53:X53"/>
    <mergeCell ref="I59:J59"/>
    <mergeCell ref="K59:L59"/>
    <mergeCell ref="M93:M111"/>
  </mergeCells>
  <phoneticPr fontId="0" type="noConversion"/>
  <printOptions horizontalCentered="1" verticalCentered="1"/>
  <pageMargins left="0" right="0" top="0.59055118110236227" bottom="0" header="0" footer="0"/>
  <pageSetup paperSize="9" scale="75" fitToWidth="2" fitToHeight="0" orientation="portrait" r:id="rId1"/>
  <headerFooter alignWithMargins="0">
    <oddFooter>&amp;ROERC FORM -F-14</oddFooter>
  </headerFooter>
  <rowBreaks count="1" manualBreakCount="1">
    <brk id="56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4">
    <tabColor theme="1" tint="4.9989318521683403E-2"/>
    <pageSetUpPr fitToPage="1"/>
  </sheetPr>
  <dimension ref="A1:AH34"/>
  <sheetViews>
    <sheetView showGridLines="0" view="pageBreakPreview" topLeftCell="A14" zoomScale="60" zoomScaleNormal="60" workbookViewId="0">
      <selection activeCell="A10" sqref="A10"/>
    </sheetView>
  </sheetViews>
  <sheetFormatPr defaultColWidth="9.1796875" defaultRowHeight="20.5"/>
  <cols>
    <col min="1" max="1" width="47" style="1289" bestFit="1" customWidth="1"/>
    <col min="2" max="3" width="13.81640625" style="1289" customWidth="1"/>
    <col min="4" max="4" width="13.54296875" style="1289" customWidth="1"/>
    <col min="5" max="5" width="14" style="1289" customWidth="1"/>
    <col min="6" max="6" width="15.7265625" style="1289" bestFit="1" customWidth="1"/>
    <col min="7" max="7" width="21.453125" style="1289" bestFit="1" customWidth="1"/>
    <col min="8" max="8" width="18.1796875" style="1289" customWidth="1"/>
    <col min="9" max="9" width="17.453125" style="1289" customWidth="1"/>
    <col min="10" max="10" width="14.54296875" style="1290" customWidth="1"/>
    <col min="11" max="11" width="20.54296875" style="1290" bestFit="1" customWidth="1"/>
    <col min="12" max="12" width="14.7265625" style="1290" customWidth="1"/>
    <col min="13" max="13" width="15" style="1289" customWidth="1"/>
    <col min="14" max="14" width="12" style="1289" bestFit="1" customWidth="1"/>
    <col min="15" max="15" width="42.26953125" style="1289" customWidth="1"/>
    <col min="16" max="16" width="9.1796875" style="1289"/>
    <col min="17" max="17" width="9.26953125" style="1289" bestFit="1" customWidth="1"/>
    <col min="18" max="18" width="12.453125" style="1289" customWidth="1"/>
    <col min="19" max="19" width="11.54296875" style="1289" customWidth="1"/>
    <col min="20" max="21" width="12.7265625" style="1289" customWidth="1"/>
    <col min="22" max="22" width="18.7265625" style="1289" customWidth="1"/>
    <col min="23" max="23" width="13.453125" style="1289" customWidth="1"/>
    <col min="24" max="25" width="9.26953125" style="1289" bestFit="1" customWidth="1"/>
    <col min="26" max="26" width="13" style="1289" customWidth="1"/>
    <col min="27" max="29" width="9.1796875" style="1289"/>
    <col min="30" max="30" width="11.54296875" style="1289" customWidth="1"/>
    <col min="31" max="32" width="9.1796875" style="1289"/>
    <col min="33" max="33" width="18" style="1289" bestFit="1" customWidth="1"/>
    <col min="34" max="34" width="31.453125" style="1289" bestFit="1" customWidth="1"/>
    <col min="35" max="16384" width="9.1796875" style="1289"/>
  </cols>
  <sheetData>
    <row r="1" spans="1:34" ht="21" thickBot="1">
      <c r="A1" s="2247" t="s">
        <v>5525</v>
      </c>
      <c r="K1" s="1291"/>
      <c r="L1" s="1292"/>
    </row>
    <row r="2" spans="1:34">
      <c r="A2" s="3447" t="s">
        <v>3779</v>
      </c>
      <c r="B2" s="3447"/>
      <c r="C2" s="3447"/>
      <c r="D2" s="3447"/>
      <c r="E2" s="3447"/>
      <c r="F2" s="3447"/>
      <c r="G2" s="3447"/>
      <c r="H2" s="3447"/>
      <c r="I2" s="3447"/>
      <c r="J2" s="3447"/>
      <c r="K2" s="3447"/>
      <c r="L2" s="3447"/>
      <c r="M2" s="3447"/>
    </row>
    <row r="3" spans="1:34">
      <c r="A3" s="2243"/>
      <c r="B3" s="2243"/>
      <c r="C3" s="2243"/>
      <c r="D3" s="2243"/>
      <c r="E3" s="2243"/>
      <c r="F3" s="2243"/>
      <c r="G3" s="2243"/>
      <c r="H3" s="2243"/>
      <c r="I3" s="2243"/>
      <c r="J3" s="2243"/>
      <c r="K3" s="2243"/>
      <c r="L3" s="2243"/>
      <c r="M3" s="2243"/>
    </row>
    <row r="4" spans="1:34">
      <c r="A4" s="3447" t="s">
        <v>8307</v>
      </c>
      <c r="B4" s="3447"/>
      <c r="C4" s="3447"/>
      <c r="D4" s="3447"/>
      <c r="E4" s="3447"/>
      <c r="F4" s="3447"/>
      <c r="G4" s="3447"/>
      <c r="H4" s="3447"/>
      <c r="I4" s="3447"/>
      <c r="J4" s="3447"/>
      <c r="K4" s="3447"/>
      <c r="L4" s="3447"/>
      <c r="M4" s="3447"/>
    </row>
    <row r="5" spans="1:34" s="3000" customFormat="1" ht="59.25" customHeight="1">
      <c r="A5" s="1302" t="s">
        <v>1171</v>
      </c>
      <c r="B5" s="1303" t="s">
        <v>1172</v>
      </c>
      <c r="C5" s="1303" t="s">
        <v>1173</v>
      </c>
      <c r="D5" s="1303" t="s">
        <v>1174</v>
      </c>
      <c r="E5" s="1303" t="s">
        <v>1175</v>
      </c>
      <c r="F5" s="1303" t="s">
        <v>552</v>
      </c>
      <c r="G5" s="1303" t="s">
        <v>8309</v>
      </c>
      <c r="H5" s="1303" t="s">
        <v>8308</v>
      </c>
      <c r="I5" s="1303" t="s">
        <v>1176</v>
      </c>
      <c r="J5" s="2999" t="s">
        <v>1177</v>
      </c>
      <c r="K5" s="2999" t="s">
        <v>1322</v>
      </c>
      <c r="L5" s="2999" t="s">
        <v>1160</v>
      </c>
      <c r="M5" s="1303" t="s">
        <v>1161</v>
      </c>
    </row>
    <row r="6" spans="1:34" ht="44.25" customHeight="1">
      <c r="A6" s="2249" t="s">
        <v>4463</v>
      </c>
      <c r="B6" s="2250">
        <f>Q15+Q16+Q24+Q25</f>
        <v>0.24959217</v>
      </c>
      <c r="C6" s="2250">
        <f>R15+R16+R24+R25</f>
        <v>0.34585904000000001</v>
      </c>
      <c r="D6" s="2250">
        <v>0</v>
      </c>
      <c r="E6" s="2250">
        <f t="shared" ref="E6:G6" si="0">T15+T16+T24+T25</f>
        <v>0.49314557399999998</v>
      </c>
      <c r="F6" s="2250">
        <f>U15+U16+U24+U25+0.22</f>
        <v>2.7681080000000469E-3</v>
      </c>
      <c r="G6" s="2250">
        <f t="shared" si="0"/>
        <v>1.2857899760000002</v>
      </c>
      <c r="H6" s="2250">
        <v>2.25</v>
      </c>
      <c r="I6" s="2251">
        <f>+G6/H6*365</f>
        <v>208.58370721777783</v>
      </c>
      <c r="J6" s="1305"/>
      <c r="K6" s="2250">
        <f>Z15+Z16+Z24+Z25</f>
        <v>0.32134531500000002</v>
      </c>
      <c r="L6" s="1305"/>
      <c r="M6" s="1304"/>
      <c r="P6" s="1610" t="s">
        <v>1582</v>
      </c>
      <c r="Q6" s="1611" t="s">
        <v>4689</v>
      </c>
      <c r="R6" s="1611" t="s">
        <v>4690</v>
      </c>
      <c r="S6" s="1611" t="s">
        <v>4691</v>
      </c>
      <c r="T6" s="1611" t="s">
        <v>4692</v>
      </c>
      <c r="U6" s="1612" t="s">
        <v>4693</v>
      </c>
      <c r="V6" s="1613" t="s">
        <v>5385</v>
      </c>
      <c r="W6" s="1613" t="s">
        <v>5386</v>
      </c>
      <c r="X6" s="1613" t="s">
        <v>1176</v>
      </c>
      <c r="Y6" s="1613" t="s">
        <v>4694</v>
      </c>
      <c r="Z6" s="1613" t="s">
        <v>4695</v>
      </c>
      <c r="AA6" s="1613" t="s">
        <v>4696</v>
      </c>
      <c r="AB6" s="1613" t="s">
        <v>4697</v>
      </c>
      <c r="AG6" s="1289" t="s">
        <v>4718</v>
      </c>
      <c r="AH6" s="1289" t="s">
        <v>4719</v>
      </c>
    </row>
    <row r="7" spans="1:34" ht="44.25" customHeight="1">
      <c r="A7" s="2249" t="s">
        <v>666</v>
      </c>
      <c r="B7" s="2250">
        <f>Q7+Q9+Q8+Q23</f>
        <v>70.389586614999999</v>
      </c>
      <c r="C7" s="2250">
        <f t="shared" ref="C7:G7" si="1">R7+R9+R8+R23</f>
        <v>85.164344564000004</v>
      </c>
      <c r="D7" s="2250">
        <f t="shared" si="1"/>
        <v>165.62759945300002</v>
      </c>
      <c r="E7" s="2250">
        <f t="shared" si="1"/>
        <v>211.75930986500001</v>
      </c>
      <c r="F7" s="2250">
        <f t="shared" si="1"/>
        <v>577.79519825800003</v>
      </c>
      <c r="G7" s="2250">
        <f t="shared" si="1"/>
        <v>1110.7360387550002</v>
      </c>
      <c r="H7" s="2250">
        <v>497.61</v>
      </c>
      <c r="I7" s="2251">
        <f t="shared" ref="I7:I21" si="2">+G7/H7*365</f>
        <v>814.73172594114874</v>
      </c>
      <c r="J7" s="2252"/>
      <c r="K7" s="2250">
        <f>Z7+Z9+Z8+Z23</f>
        <v>224.77411871500001</v>
      </c>
      <c r="L7" s="2252"/>
      <c r="M7" s="2253"/>
      <c r="P7" s="12" t="s">
        <v>3682</v>
      </c>
      <c r="Q7" s="1001">
        <v>65.500540689000005</v>
      </c>
      <c r="R7" s="19">
        <v>77.374660489999997</v>
      </c>
      <c r="S7" s="19">
        <v>152.023591995</v>
      </c>
      <c r="T7" s="19">
        <v>192.75531924000001</v>
      </c>
      <c r="U7" s="19">
        <v>516.98323869900003</v>
      </c>
      <c r="V7" s="19">
        <f>SUM(Q7:U7)</f>
        <v>1004.637351113</v>
      </c>
      <c r="W7" s="19">
        <v>538.41</v>
      </c>
      <c r="X7" s="19"/>
      <c r="Y7" s="19"/>
      <c r="Z7" s="19">
        <v>201.934679518</v>
      </c>
      <c r="AA7" s="19"/>
      <c r="AB7" s="27"/>
      <c r="AD7" s="19">
        <v>161.44999999999999</v>
      </c>
      <c r="AG7" s="1289" t="s">
        <v>4702</v>
      </c>
      <c r="AH7" s="1289">
        <v>83356.78</v>
      </c>
    </row>
    <row r="8" spans="1:34" ht="44.25" customHeight="1">
      <c r="A8" s="2249" t="s">
        <v>4471</v>
      </c>
      <c r="B8" s="2250">
        <f>Q10+Q11+Q27</f>
        <v>11.813981621</v>
      </c>
      <c r="C8" s="2250">
        <f>R10+R11+R27</f>
        <v>16.267376368000001</v>
      </c>
      <c r="D8" s="2250">
        <f t="shared" ref="D8:G8" si="3">S10+S11+S27</f>
        <v>27.319025985999996</v>
      </c>
      <c r="E8" s="2250">
        <f t="shared" si="3"/>
        <v>32.509047297999999</v>
      </c>
      <c r="F8" s="2250">
        <f t="shared" si="3"/>
        <v>40.193382018000001</v>
      </c>
      <c r="G8" s="2250">
        <f t="shared" si="3"/>
        <v>128.10281329100002</v>
      </c>
      <c r="H8" s="2250">
        <v>165.32</v>
      </c>
      <c r="I8" s="2251">
        <f t="shared" si="2"/>
        <v>282.8304309896867</v>
      </c>
      <c r="J8" s="2252"/>
      <c r="K8" s="2250">
        <f>Z10+Z11+Z27</f>
        <v>76.511593478999998</v>
      </c>
      <c r="L8" s="2252"/>
      <c r="M8" s="2253"/>
      <c r="P8" s="12" t="s">
        <v>4255</v>
      </c>
      <c r="Q8" s="1001">
        <v>3.6068547999999999E-2</v>
      </c>
      <c r="R8" s="19">
        <v>1.9816617000000002E-2</v>
      </c>
      <c r="S8" s="19">
        <v>2.5743136999999999E-2</v>
      </c>
      <c r="T8" s="19">
        <v>2.0773942E-2</v>
      </c>
      <c r="U8" s="19">
        <v>-1.7460343999999999E-2</v>
      </c>
      <c r="V8" s="19">
        <f t="shared" ref="V8" si="4">SUM(Q8:U8)</f>
        <v>8.4941900000000001E-2</v>
      </c>
      <c r="W8" s="19">
        <v>0.51</v>
      </c>
      <c r="X8" s="19"/>
      <c r="Y8" s="19"/>
      <c r="Z8" s="19">
        <v>1.8462224999999999E-2</v>
      </c>
      <c r="AA8" s="19"/>
      <c r="AB8" s="27"/>
      <c r="AD8" s="19">
        <v>1.8462224999999999E-2</v>
      </c>
      <c r="AG8" s="1289" t="s">
        <v>4703</v>
      </c>
      <c r="AH8" s="1289">
        <v>14458.68</v>
      </c>
    </row>
    <row r="9" spans="1:34" ht="44.25" customHeight="1">
      <c r="A9" s="2249" t="s">
        <v>4473</v>
      </c>
      <c r="B9" s="2252">
        <f>Q18</f>
        <v>1.0295513650000001</v>
      </c>
      <c r="C9" s="2252">
        <f>R18</f>
        <v>0.480268058</v>
      </c>
      <c r="D9" s="2252">
        <f t="shared" ref="D9:G9" si="5">S18</f>
        <v>0.84917857200000002</v>
      </c>
      <c r="E9" s="2252">
        <f t="shared" si="5"/>
        <v>1.1717907650000001</v>
      </c>
      <c r="F9" s="2252">
        <f t="shared" si="5"/>
        <v>1.1527000000000001E-2</v>
      </c>
      <c r="G9" s="2252">
        <f t="shared" si="5"/>
        <v>3.5423157600000001</v>
      </c>
      <c r="H9" s="2252">
        <v>7.84</v>
      </c>
      <c r="I9" s="2251">
        <f t="shared" si="2"/>
        <v>164.91648627551021</v>
      </c>
      <c r="J9" s="2252"/>
      <c r="K9" s="2252">
        <f>Z18</f>
        <v>7.2454487209999989</v>
      </c>
      <c r="L9" s="2252"/>
      <c r="M9" s="2253"/>
      <c r="P9" s="12" t="s">
        <v>3683</v>
      </c>
      <c r="Q9" s="1001">
        <v>4.8406410989999999</v>
      </c>
      <c r="R9" s="19">
        <v>7.763417027</v>
      </c>
      <c r="S9" s="19">
        <v>13.548185107</v>
      </c>
      <c r="T9" s="19">
        <v>18.974191647999998</v>
      </c>
      <c r="U9" s="19">
        <v>60.650296519000008</v>
      </c>
      <c r="V9" s="19">
        <f t="shared" ref="V9:V20" si="6">SUM(Q9:U9)</f>
        <v>105.7767314</v>
      </c>
      <c r="W9" s="19">
        <v>45.39</v>
      </c>
      <c r="X9" s="19"/>
      <c r="Y9" s="19"/>
      <c r="Z9" s="19">
        <v>21.083969891999999</v>
      </c>
      <c r="AA9" s="19"/>
      <c r="AB9" s="27"/>
      <c r="AC9" s="1290"/>
      <c r="AD9" s="19">
        <v>17.88</v>
      </c>
      <c r="AG9" s="1289" t="s">
        <v>4255</v>
      </c>
      <c r="AH9" s="1289">
        <v>168516.25</v>
      </c>
    </row>
    <row r="10" spans="1:34" ht="44.25" customHeight="1">
      <c r="A10" s="1293" t="s">
        <v>4464</v>
      </c>
      <c r="B10" s="2250">
        <f>Q28</f>
        <v>3.6492451100000003</v>
      </c>
      <c r="C10" s="2250">
        <f>R28</f>
        <v>5.4358721599999997</v>
      </c>
      <c r="D10" s="2250">
        <f t="shared" ref="D10:G10" si="7">S28</f>
        <v>5.7740959200000006</v>
      </c>
      <c r="E10" s="2250">
        <f t="shared" si="7"/>
        <v>12.6933989</v>
      </c>
      <c r="F10" s="2250">
        <f t="shared" si="7"/>
        <v>7.8611272699999999</v>
      </c>
      <c r="G10" s="2250">
        <f t="shared" si="7"/>
        <v>35.413739360000001</v>
      </c>
      <c r="H10" s="2250">
        <v>158.99</v>
      </c>
      <c r="I10" s="2251">
        <f t="shared" si="2"/>
        <v>81.300804241776206</v>
      </c>
      <c r="J10" s="2252"/>
      <c r="K10" s="2250">
        <f>Z28</f>
        <v>3.9447731700000004</v>
      </c>
      <c r="L10" s="2252"/>
      <c r="M10" s="2253"/>
      <c r="N10" s="1290">
        <f>D10+E10</f>
        <v>18.467494819999999</v>
      </c>
      <c r="P10" s="12" t="s">
        <v>3684</v>
      </c>
      <c r="Q10" s="1001">
        <v>7.9674131609999996</v>
      </c>
      <c r="R10" s="19">
        <v>10.817485491999999</v>
      </c>
      <c r="S10" s="19">
        <v>20.017575201</v>
      </c>
      <c r="T10" s="19">
        <v>21.861563045</v>
      </c>
      <c r="U10" s="19">
        <v>27.963720193</v>
      </c>
      <c r="V10" s="19">
        <f t="shared" si="6"/>
        <v>88.627757091999996</v>
      </c>
      <c r="W10" s="19">
        <v>112.53</v>
      </c>
      <c r="X10" s="19"/>
      <c r="Y10" s="19"/>
      <c r="Z10" s="19">
        <v>67.969071990999993</v>
      </c>
      <c r="AA10" s="19"/>
      <c r="AB10" s="27"/>
      <c r="AD10" s="19">
        <v>59.68</v>
      </c>
      <c r="AG10" s="1289" t="s">
        <v>3682</v>
      </c>
      <c r="AH10" s="1289">
        <v>832219925</v>
      </c>
    </row>
    <row r="11" spans="1:34" ht="44.25" customHeight="1">
      <c r="A11" s="1293" t="s">
        <v>4465</v>
      </c>
      <c r="B11" s="2250">
        <f>+Q19</f>
        <v>5.8594760969999999</v>
      </c>
      <c r="C11" s="2250">
        <f>+R19</f>
        <v>2.2244130360000001</v>
      </c>
      <c r="D11" s="2250">
        <f t="shared" ref="D11:G11" si="8">+S19</f>
        <v>2.9080464319999999</v>
      </c>
      <c r="E11" s="2250">
        <f t="shared" si="8"/>
        <v>4.1453679369999996</v>
      </c>
      <c r="F11" s="2250">
        <f>+U19+2.08</f>
        <v>2.5509249999999817E-3</v>
      </c>
      <c r="G11" s="2250">
        <f t="shared" si="8"/>
        <v>13.059854426999998</v>
      </c>
      <c r="H11" s="2250">
        <v>26.25</v>
      </c>
      <c r="I11" s="2251">
        <f t="shared" si="2"/>
        <v>181.59416631828569</v>
      </c>
      <c r="J11" s="2252"/>
      <c r="K11" s="2250">
        <f>+Z19</f>
        <v>6.5723429329999998</v>
      </c>
      <c r="L11" s="2252"/>
      <c r="M11" s="2253"/>
      <c r="P11" s="12" t="s">
        <v>4698</v>
      </c>
      <c r="Q11" s="1001">
        <v>3.2771097760000001</v>
      </c>
      <c r="R11" s="19">
        <v>4.2717943460000001</v>
      </c>
      <c r="S11" s="19">
        <v>5.7035919249999996</v>
      </c>
      <c r="T11" s="19">
        <v>6.3739021930000002</v>
      </c>
      <c r="U11" s="19">
        <v>-0.22221317500000001</v>
      </c>
      <c r="V11" s="19">
        <f t="shared" si="6"/>
        <v>19.404185065</v>
      </c>
      <c r="W11" s="19">
        <v>70.959999999999994</v>
      </c>
      <c r="X11" s="19"/>
      <c r="Y11" s="19"/>
      <c r="Z11" s="19">
        <v>5.2536951680000001</v>
      </c>
      <c r="AA11" s="19"/>
      <c r="AB11" s="27"/>
      <c r="AD11" s="19">
        <v>3.87</v>
      </c>
      <c r="AG11" s="1289" t="s">
        <v>4254</v>
      </c>
      <c r="AH11" s="1289">
        <v>816404.39000000013</v>
      </c>
    </row>
    <row r="12" spans="1:34" ht="44.25" customHeight="1">
      <c r="A12" s="2254" t="s">
        <v>4466</v>
      </c>
      <c r="B12" s="2250">
        <f>Q12</f>
        <v>1.6356658789999998</v>
      </c>
      <c r="C12" s="2250">
        <f>R12</f>
        <v>4.8251858079999996</v>
      </c>
      <c r="D12" s="2250">
        <f t="shared" ref="D12:G12" si="9">S12</f>
        <v>5.6841063030000001</v>
      </c>
      <c r="E12" s="2250">
        <f t="shared" si="9"/>
        <v>6.4353464709999999</v>
      </c>
      <c r="F12" s="2250">
        <f t="shared" si="9"/>
        <v>11.957187559999999</v>
      </c>
      <c r="G12" s="2250">
        <f t="shared" si="9"/>
        <v>30.537492020999998</v>
      </c>
      <c r="H12" s="2250">
        <v>15.46</v>
      </c>
      <c r="I12" s="2251">
        <f t="shared" si="2"/>
        <v>720.96924887871921</v>
      </c>
      <c r="J12" s="2252"/>
      <c r="K12" s="2250">
        <f>Z12</f>
        <v>2.0298888449999999</v>
      </c>
      <c r="L12" s="2252"/>
      <c r="M12" s="2253"/>
      <c r="P12" s="12" t="s">
        <v>4699</v>
      </c>
      <c r="Q12" s="1001">
        <v>1.6356658789999998</v>
      </c>
      <c r="R12" s="19">
        <v>4.8251858079999996</v>
      </c>
      <c r="S12" s="19">
        <v>5.6841063030000001</v>
      </c>
      <c r="T12" s="19">
        <v>6.4353464709999999</v>
      </c>
      <c r="U12" s="19">
        <v>11.957187559999999</v>
      </c>
      <c r="V12" s="19">
        <f t="shared" si="6"/>
        <v>30.537492020999998</v>
      </c>
      <c r="W12" s="19">
        <v>18.36</v>
      </c>
      <c r="X12" s="19"/>
      <c r="Y12" s="19"/>
      <c r="Z12" s="19">
        <v>2.0298888449999999</v>
      </c>
      <c r="AA12" s="19"/>
      <c r="AB12" s="27"/>
      <c r="AD12" s="19">
        <v>1.1100000000000001</v>
      </c>
      <c r="AG12" s="1289" t="s">
        <v>3684</v>
      </c>
      <c r="AH12" s="1289">
        <v>406551797.69999999</v>
      </c>
    </row>
    <row r="13" spans="1:34" ht="44.25" customHeight="1">
      <c r="A13" s="2249" t="s">
        <v>4472</v>
      </c>
      <c r="B13" s="2250">
        <f>Q13+Q14</f>
        <v>2.4592783680000001</v>
      </c>
      <c r="C13" s="2250">
        <f>R13+R14</f>
        <v>4.195222792</v>
      </c>
      <c r="D13" s="2250">
        <f t="shared" ref="D13:G13" si="10">S13+S14</f>
        <v>6.2273618759999998</v>
      </c>
      <c r="E13" s="2250">
        <f t="shared" si="10"/>
        <v>10.091595121000001</v>
      </c>
      <c r="F13" s="2250">
        <f t="shared" si="10"/>
        <v>26.234620651</v>
      </c>
      <c r="G13" s="2250">
        <f t="shared" si="10"/>
        <v>49.208078807999996</v>
      </c>
      <c r="H13" s="2250">
        <v>13.5</v>
      </c>
      <c r="I13" s="2251">
        <f t="shared" si="2"/>
        <v>1330.4406492533333</v>
      </c>
      <c r="J13" s="2252"/>
      <c r="K13" s="2250">
        <f>Z13+Z14</f>
        <v>14.765028653</v>
      </c>
      <c r="L13" s="2252"/>
      <c r="M13" s="2253"/>
      <c r="P13" s="12" t="s">
        <v>4700</v>
      </c>
      <c r="Q13" s="1001">
        <v>1.0442075550000001</v>
      </c>
      <c r="R13" s="19">
        <v>1.9572185660000001</v>
      </c>
      <c r="S13" s="19">
        <v>2.972990909</v>
      </c>
      <c r="T13" s="19">
        <v>5.1159617649999998</v>
      </c>
      <c r="U13" s="19">
        <v>12.769262669</v>
      </c>
      <c r="V13" s="19">
        <f t="shared" si="6"/>
        <v>23.859641463999999</v>
      </c>
      <c r="W13" s="19">
        <v>7.45</v>
      </c>
      <c r="X13" s="19"/>
      <c r="Y13" s="19"/>
      <c r="Z13" s="19">
        <v>11.410202895999999</v>
      </c>
      <c r="AA13" s="19"/>
      <c r="AB13" s="27"/>
      <c r="AD13" s="19">
        <v>10.38</v>
      </c>
      <c r="AG13" s="1289" t="s">
        <v>4698</v>
      </c>
      <c r="AH13" s="1289">
        <v>14430332.340000002</v>
      </c>
    </row>
    <row r="14" spans="1:34" ht="44.25" customHeight="1">
      <c r="A14" s="1293" t="s">
        <v>4467</v>
      </c>
      <c r="B14" s="2250">
        <f>Q17+Q26</f>
        <v>0.77324452199999993</v>
      </c>
      <c r="C14" s="2250">
        <f>R17+R26</f>
        <v>6.3768933830000005</v>
      </c>
      <c r="D14" s="2250">
        <f t="shared" ref="D14:G14" si="11">S17+S26</f>
        <v>10.274269331999999</v>
      </c>
      <c r="E14" s="2250">
        <f t="shared" si="11"/>
        <v>8.4634264409999993</v>
      </c>
      <c r="F14" s="2250">
        <f t="shared" si="11"/>
        <v>11.462586481000001</v>
      </c>
      <c r="G14" s="2250">
        <f t="shared" si="11"/>
        <v>37.350420159000002</v>
      </c>
      <c r="H14" s="2250">
        <v>36.79</v>
      </c>
      <c r="I14" s="2251">
        <f t="shared" si="2"/>
        <v>370.56002604063605</v>
      </c>
      <c r="J14" s="2252"/>
      <c r="K14" s="2250">
        <f>Z17+Z26</f>
        <v>0.96620754500000006</v>
      </c>
      <c r="L14" s="2252"/>
      <c r="M14" s="2253"/>
      <c r="P14" s="12" t="s">
        <v>4701</v>
      </c>
      <c r="Q14" s="1001">
        <v>1.415070813</v>
      </c>
      <c r="R14" s="19">
        <v>2.2380042260000002</v>
      </c>
      <c r="S14" s="19">
        <v>3.2543709670000003</v>
      </c>
      <c r="T14" s="19">
        <v>4.9756333560000003</v>
      </c>
      <c r="U14" s="19">
        <v>13.465357981999999</v>
      </c>
      <c r="V14" s="19">
        <f t="shared" si="6"/>
        <v>25.348437343999997</v>
      </c>
      <c r="W14" s="19">
        <v>7.93</v>
      </c>
      <c r="X14" s="19"/>
      <c r="Y14" s="19"/>
      <c r="Z14" s="19">
        <v>3.354825757</v>
      </c>
      <c r="AA14" s="19"/>
      <c r="AB14" s="27"/>
      <c r="AD14" s="19">
        <v>2.73</v>
      </c>
      <c r="AG14" s="1289" t="s">
        <v>3683</v>
      </c>
      <c r="AH14" s="1289">
        <v>60797131.019999996</v>
      </c>
    </row>
    <row r="15" spans="1:34" ht="44.25" customHeight="1">
      <c r="A15" s="1293" t="s">
        <v>4468</v>
      </c>
      <c r="B15" s="2250">
        <f>Q31</f>
        <v>1.8888833100000002</v>
      </c>
      <c r="C15" s="2250">
        <f>R31</f>
        <v>2.46631942</v>
      </c>
      <c r="D15" s="2250">
        <f t="shared" ref="D15:G15" si="12">S31</f>
        <v>8.3375625999999994E-2</v>
      </c>
      <c r="E15" s="2250">
        <f t="shared" si="12"/>
        <v>1.7983713600000002</v>
      </c>
      <c r="F15" s="2250">
        <f t="shared" si="12"/>
        <v>6.9710466900000005</v>
      </c>
      <c r="G15" s="2250">
        <f t="shared" si="12"/>
        <v>13.207996405999999</v>
      </c>
      <c r="H15" s="2250">
        <v>132.30000000000001</v>
      </c>
      <c r="I15" s="2251">
        <f t="shared" si="2"/>
        <v>36.439294695313677</v>
      </c>
      <c r="J15" s="2252"/>
      <c r="K15" s="2250">
        <f>Z31</f>
        <v>0</v>
      </c>
      <c r="L15" s="2252"/>
      <c r="M15" s="2253"/>
      <c r="P15" s="12" t="s">
        <v>4702</v>
      </c>
      <c r="Q15" s="1001">
        <v>0.148989925</v>
      </c>
      <c r="R15" s="19">
        <v>0.24130365899999998</v>
      </c>
      <c r="S15" s="19">
        <v>0.34961322500000003</v>
      </c>
      <c r="T15" s="19">
        <v>0.37916329399999998</v>
      </c>
      <c r="U15" s="19">
        <v>-0.27918305299999996</v>
      </c>
      <c r="V15" s="19">
        <f t="shared" si="6"/>
        <v>0.83988705000000019</v>
      </c>
      <c r="W15" s="19">
        <v>2.02</v>
      </c>
      <c r="X15" s="19"/>
      <c r="Y15" s="19"/>
      <c r="Z15" s="19">
        <v>0.16462560900000001</v>
      </c>
      <c r="AA15" s="19"/>
      <c r="AB15" s="27"/>
      <c r="AD15" s="19">
        <v>0.05</v>
      </c>
      <c r="AG15" s="1289" t="s">
        <v>4708</v>
      </c>
      <c r="AH15" s="1289">
        <v>20359424.029999997</v>
      </c>
    </row>
    <row r="16" spans="1:34" ht="44.25" customHeight="1">
      <c r="A16" s="1293" t="s">
        <v>539</v>
      </c>
      <c r="B16" s="2250"/>
      <c r="C16" s="2250"/>
      <c r="D16" s="2250"/>
      <c r="E16" s="2250"/>
      <c r="F16" s="2250"/>
      <c r="G16" s="2250"/>
      <c r="H16" s="2250"/>
      <c r="I16" s="2251"/>
      <c r="J16" s="2249"/>
      <c r="K16" s="2249"/>
      <c r="L16" s="2249"/>
      <c r="M16" s="2249"/>
      <c r="P16" s="12" t="s">
        <v>4703</v>
      </c>
      <c r="Q16" s="1001">
        <v>1.8546038000000001E-2</v>
      </c>
      <c r="R16" s="19">
        <v>2.9207607E-2</v>
      </c>
      <c r="S16" s="19">
        <v>4.0319694000000003E-2</v>
      </c>
      <c r="T16" s="19">
        <v>4.7760575999999999E-2</v>
      </c>
      <c r="U16" s="19">
        <v>5.7112912000000002E-2</v>
      </c>
      <c r="V16" s="19">
        <f t="shared" si="6"/>
        <v>0.19294682699999999</v>
      </c>
      <c r="W16" s="19">
        <v>0.43</v>
      </c>
      <c r="X16" s="19"/>
      <c r="Y16" s="19"/>
      <c r="Z16" s="19">
        <v>5.2519481999999992E-2</v>
      </c>
      <c r="AA16" s="19"/>
      <c r="AB16" s="27"/>
      <c r="AD16" s="19">
        <v>0.03</v>
      </c>
      <c r="AG16" s="1289" t="s">
        <v>4705</v>
      </c>
      <c r="AH16" s="1289">
        <v>23703720.530000001</v>
      </c>
    </row>
    <row r="17" spans="1:34" ht="44.25" customHeight="1">
      <c r="A17" s="1293" t="s">
        <v>4469</v>
      </c>
      <c r="B17" s="2250"/>
      <c r="C17" s="2250"/>
      <c r="D17" s="2250"/>
      <c r="E17" s="2250"/>
      <c r="F17" s="2250"/>
      <c r="G17" s="2250"/>
      <c r="H17" s="2250"/>
      <c r="I17" s="2251"/>
      <c r="J17" s="2249"/>
      <c r="K17" s="2249"/>
      <c r="L17" s="2249"/>
      <c r="M17" s="2249"/>
      <c r="P17" s="12" t="s">
        <v>1376</v>
      </c>
      <c r="Q17" s="1001">
        <v>0.90006186199999993</v>
      </c>
      <c r="R17" s="19">
        <v>6.2836112270000006</v>
      </c>
      <c r="S17" s="19">
        <v>7.6246019120000001</v>
      </c>
      <c r="T17" s="19">
        <v>7.2746939409999998</v>
      </c>
      <c r="U17" s="19">
        <v>10.96641022</v>
      </c>
      <c r="V17" s="19">
        <f t="shared" si="6"/>
        <v>33.049379162000001</v>
      </c>
      <c r="W17" s="19">
        <v>24.5</v>
      </c>
      <c r="X17" s="19"/>
      <c r="Y17" s="19"/>
      <c r="Z17" s="19">
        <v>0.88398979300000002</v>
      </c>
      <c r="AA17" s="19"/>
      <c r="AB17" s="27"/>
      <c r="AD17" s="19">
        <v>0.72</v>
      </c>
      <c r="AG17" s="1289" t="s">
        <v>4704</v>
      </c>
      <c r="AH17" s="1289">
        <v>51487823.650000013</v>
      </c>
    </row>
    <row r="18" spans="1:34" ht="44.25" customHeight="1">
      <c r="A18" s="2249" t="s">
        <v>1399</v>
      </c>
      <c r="B18" s="2250"/>
      <c r="C18" s="2250"/>
      <c r="D18" s="2250"/>
      <c r="E18" s="2250"/>
      <c r="F18" s="2250"/>
      <c r="G18" s="2250"/>
      <c r="H18" s="2250"/>
      <c r="I18" s="2251"/>
      <c r="J18" s="2252"/>
      <c r="K18" s="2252">
        <v>0</v>
      </c>
      <c r="L18" s="2252"/>
      <c r="M18" s="2253"/>
      <c r="P18" s="12" t="s">
        <v>4704</v>
      </c>
      <c r="Q18" s="1001">
        <v>1.0295513650000001</v>
      </c>
      <c r="R18" s="19">
        <v>0.480268058</v>
      </c>
      <c r="S18" s="19">
        <v>0.84917857200000002</v>
      </c>
      <c r="T18" s="19">
        <v>1.1717907650000001</v>
      </c>
      <c r="U18" s="19">
        <v>1.1527000000000001E-2</v>
      </c>
      <c r="V18" s="19">
        <f t="shared" si="6"/>
        <v>3.5423157600000001</v>
      </c>
      <c r="W18" s="19">
        <v>8.73</v>
      </c>
      <c r="X18" s="19"/>
      <c r="Y18" s="19"/>
      <c r="Z18" s="19">
        <v>7.2454487209999989</v>
      </c>
      <c r="AA18" s="19"/>
      <c r="AB18" s="27"/>
      <c r="AD18" s="19">
        <v>6.62</v>
      </c>
      <c r="AG18" s="1289" t="s">
        <v>4701</v>
      </c>
      <c r="AH18" s="1289">
        <v>3048104.15</v>
      </c>
    </row>
    <row r="19" spans="1:34" ht="44.25" customHeight="1">
      <c r="A19" s="1293" t="s">
        <v>4470</v>
      </c>
      <c r="B19" s="2250"/>
      <c r="C19" s="2250"/>
      <c r="D19" s="2250"/>
      <c r="E19" s="2250"/>
      <c r="F19" s="2250"/>
      <c r="G19" s="2250"/>
      <c r="H19" s="2250"/>
      <c r="I19" s="2251"/>
      <c r="J19" s="2252"/>
      <c r="K19" s="2252">
        <v>0</v>
      </c>
      <c r="L19" s="2252"/>
      <c r="M19" s="2253"/>
      <c r="P19" s="12" t="s">
        <v>4705</v>
      </c>
      <c r="Q19" s="1001">
        <v>5.8594760969999999</v>
      </c>
      <c r="R19" s="19">
        <v>2.2244130360000001</v>
      </c>
      <c r="S19" s="19">
        <v>2.9080464319999999</v>
      </c>
      <c r="T19" s="19">
        <v>4.1453679369999996</v>
      </c>
      <c r="U19" s="19">
        <v>-2.0774490750000001</v>
      </c>
      <c r="V19" s="19">
        <f t="shared" si="6"/>
        <v>13.059854426999998</v>
      </c>
      <c r="W19" s="19">
        <v>51.97</v>
      </c>
      <c r="X19" s="19"/>
      <c r="Y19" s="19"/>
      <c r="Z19" s="19">
        <v>6.5723429329999998</v>
      </c>
      <c r="AA19" s="19"/>
      <c r="AB19" s="27"/>
      <c r="AD19" s="19">
        <v>4.0999999999999996</v>
      </c>
      <c r="AG19" s="1289" t="s">
        <v>4709</v>
      </c>
      <c r="AH19" s="1289">
        <v>0</v>
      </c>
    </row>
    <row r="20" spans="1:34" ht="44.25" customHeight="1">
      <c r="A20" s="2249" t="s">
        <v>1400</v>
      </c>
      <c r="B20" s="2250">
        <v>0</v>
      </c>
      <c r="C20" s="2250">
        <v>0</v>
      </c>
      <c r="D20" s="2250">
        <v>0</v>
      </c>
      <c r="E20" s="2250">
        <v>0</v>
      </c>
      <c r="F20" s="2250">
        <v>0</v>
      </c>
      <c r="G20" s="2250">
        <v>0</v>
      </c>
      <c r="H20" s="2250">
        <v>0</v>
      </c>
      <c r="I20" s="2250">
        <v>0</v>
      </c>
      <c r="J20" s="2252"/>
      <c r="K20" s="2250">
        <v>0</v>
      </c>
      <c r="L20" s="2252"/>
      <c r="M20" s="2253"/>
      <c r="O20" s="1301"/>
      <c r="P20" s="12" t="s">
        <v>3685</v>
      </c>
      <c r="Q20" s="1001">
        <v>-1.7448839699999998</v>
      </c>
      <c r="R20" s="19">
        <v>4.4240078140000003</v>
      </c>
      <c r="S20" s="19">
        <v>6.7401641689999998</v>
      </c>
      <c r="T20" s="19">
        <v>6.937834005</v>
      </c>
      <c r="U20" s="19">
        <v>8.8471772780000002</v>
      </c>
      <c r="V20" s="19">
        <f t="shared" si="6"/>
        <v>25.204299295999999</v>
      </c>
      <c r="W20" s="12">
        <v>28.45</v>
      </c>
      <c r="X20" s="19"/>
      <c r="Y20" s="19"/>
      <c r="Z20" s="19">
        <v>11.941695659000001</v>
      </c>
      <c r="AA20" s="19"/>
      <c r="AB20" s="27"/>
      <c r="AD20" s="19">
        <v>6.7</v>
      </c>
      <c r="AG20" s="1289" t="s">
        <v>4700</v>
      </c>
      <c r="AH20" s="1289">
        <v>78832569</v>
      </c>
    </row>
    <row r="21" spans="1:34" ht="44.25" customHeight="1">
      <c r="A21" s="2249" t="s">
        <v>116</v>
      </c>
      <c r="B21" s="2250">
        <f>Q20+Q32+Q30+Q29+1.4</f>
        <v>-2.838949000000035E-3</v>
      </c>
      <c r="C21" s="2250">
        <f>R20+R32+R30+R29</f>
        <v>5.7945778590000003</v>
      </c>
      <c r="D21" s="2250">
        <f t="shared" ref="D21:G21" si="13">S20+S32+S30+S29</f>
        <v>7.945342299</v>
      </c>
      <c r="E21" s="2250">
        <f t="shared" si="13"/>
        <v>9.647983098000001</v>
      </c>
      <c r="F21" s="2250">
        <f t="shared" si="13"/>
        <v>13.610825236</v>
      </c>
      <c r="G21" s="2250">
        <f t="shared" si="13"/>
        <v>35.595889542999998</v>
      </c>
      <c r="H21" s="2250">
        <f>W20+W32+W30+W29+68.47</f>
        <v>221.20000000000002</v>
      </c>
      <c r="I21" s="2251">
        <f t="shared" si="2"/>
        <v>58.736436180809214</v>
      </c>
      <c r="J21" s="2252"/>
      <c r="K21" s="2250">
        <f>Z20+Z32+Z30+Z29</f>
        <v>12.143435950000001</v>
      </c>
      <c r="L21" s="2252"/>
      <c r="M21" s="2253"/>
      <c r="P21" s="1445" t="s">
        <v>4147</v>
      </c>
      <c r="Q21" s="1805">
        <f>SUM(Q7:Q20)</f>
        <v>91.928458836999994</v>
      </c>
      <c r="R21" s="1522">
        <f t="shared" ref="R21:Z21" si="14">SUM(R7:R20)</f>
        <v>122.950393973</v>
      </c>
      <c r="S21" s="1522">
        <f t="shared" si="14"/>
        <v>221.74207954800002</v>
      </c>
      <c r="T21" s="1522">
        <f t="shared" si="14"/>
        <v>276.46930217800002</v>
      </c>
      <c r="U21" s="1522">
        <f t="shared" si="14"/>
        <v>661.07498538499999</v>
      </c>
      <c r="V21" s="1522">
        <f t="shared" ref="V21" si="15">SUM(Q21:U21)</f>
        <v>1374.165219921</v>
      </c>
      <c r="W21" s="1522">
        <f t="shared" si="14"/>
        <v>917.64</v>
      </c>
      <c r="X21" s="1522">
        <f t="shared" si="14"/>
        <v>0</v>
      </c>
      <c r="Y21" s="1522">
        <f t="shared" si="14"/>
        <v>0</v>
      </c>
      <c r="Z21" s="1522">
        <f t="shared" si="14"/>
        <v>339.91541848899999</v>
      </c>
      <c r="AA21" s="1522"/>
      <c r="AB21" s="19"/>
      <c r="AD21" s="1290">
        <f>SUM(AD7:AD20)</f>
        <v>275.33846222500006</v>
      </c>
      <c r="AG21" s="1289" t="s">
        <v>4699</v>
      </c>
      <c r="AH21" s="1289">
        <v>27828.45</v>
      </c>
    </row>
    <row r="22" spans="1:34" ht="44.25" customHeight="1">
      <c r="A22" s="1293"/>
      <c r="B22" s="2250"/>
      <c r="C22" s="2250"/>
      <c r="D22" s="2252"/>
      <c r="E22" s="2252"/>
      <c r="F22" s="2250"/>
      <c r="G22" s="2250"/>
      <c r="H22" s="2250"/>
      <c r="I22" s="2251"/>
      <c r="J22" s="2252"/>
      <c r="K22" s="2252"/>
      <c r="L22" s="2252"/>
      <c r="M22" s="2253">
        <v>0</v>
      </c>
      <c r="P22" s="1445" t="s">
        <v>4706</v>
      </c>
      <c r="Q22" s="585"/>
      <c r="R22" s="19"/>
      <c r="S22" s="19"/>
      <c r="T22" s="19"/>
      <c r="U22" s="19"/>
      <c r="V22" s="19"/>
      <c r="W22" s="19"/>
      <c r="X22" s="19"/>
      <c r="Y22" s="19"/>
      <c r="Z22" s="1443"/>
      <c r="AA22" s="19"/>
      <c r="AB22" s="19"/>
      <c r="AG22" s="1289" t="s">
        <v>1376</v>
      </c>
      <c r="AH22" s="1289">
        <v>966559.72999999986</v>
      </c>
    </row>
    <row r="23" spans="1:34" ht="44.25" customHeight="1">
      <c r="A23" s="1306" t="s">
        <v>1101</v>
      </c>
      <c r="B23" s="2255">
        <f t="shared" ref="B23:H23" si="16">SUM(B6:B22)</f>
        <v>99.745666107999995</v>
      </c>
      <c r="C23" s="2255">
        <f t="shared" si="16"/>
        <v>133.57633248799999</v>
      </c>
      <c r="D23" s="2255">
        <f t="shared" si="16"/>
        <v>232.69240179899998</v>
      </c>
      <c r="E23" s="2255">
        <f t="shared" si="16"/>
        <v>299.20878283000002</v>
      </c>
      <c r="F23" s="2255">
        <f t="shared" si="16"/>
        <v>696.10282019700003</v>
      </c>
      <c r="G23" s="2255">
        <f t="shared" si="16"/>
        <v>1458.0404285059999</v>
      </c>
      <c r="H23" s="2255">
        <f t="shared" si="16"/>
        <v>1277.5100000000002</v>
      </c>
      <c r="I23" s="2256">
        <f>+G23/H23*365</f>
        <v>416.57971867514925</v>
      </c>
      <c r="J23" s="2255">
        <v>8.5</v>
      </c>
      <c r="K23" s="2255">
        <f>SUM(K6:K22)</f>
        <v>349.27418332600007</v>
      </c>
      <c r="L23" s="2255"/>
      <c r="M23" s="2255">
        <f>'F-9'!C27</f>
        <v>20.079333906999999</v>
      </c>
      <c r="N23" s="1660">
        <f>G28-M23</f>
        <v>901.79551643000002</v>
      </c>
      <c r="P23" s="12" t="s">
        <v>4707</v>
      </c>
      <c r="Q23" s="1001">
        <v>1.2336278999999999E-2</v>
      </c>
      <c r="R23" s="19">
        <v>6.4504300000000001E-3</v>
      </c>
      <c r="S23" s="19">
        <v>3.0079214E-2</v>
      </c>
      <c r="T23" s="19">
        <v>9.0250350000000007E-3</v>
      </c>
      <c r="U23" s="19">
        <v>0.179123384</v>
      </c>
      <c r="V23" s="19">
        <f t="shared" ref="V23:V32" si="17">SUM(Q23:U23)</f>
        <v>0.23701434199999999</v>
      </c>
      <c r="W23" s="19">
        <v>3.18</v>
      </c>
      <c r="X23" s="19"/>
      <c r="Y23" s="19"/>
      <c r="Z23" s="19">
        <v>1.7370070800000001</v>
      </c>
      <c r="AA23" s="19"/>
      <c r="AB23" s="19"/>
      <c r="AD23" s="3">
        <v>1.7370070800000001</v>
      </c>
      <c r="AG23" s="1289" t="s">
        <v>3685</v>
      </c>
      <c r="AH23" s="1289">
        <v>40579708.509999998</v>
      </c>
    </row>
    <row r="24" spans="1:34">
      <c r="A24" s="1290"/>
      <c r="B24" s="1291"/>
      <c r="C24" s="1291"/>
      <c r="D24" s="1291"/>
      <c r="E24" s="1291"/>
      <c r="F24" s="1291"/>
      <c r="G24" s="1290">
        <f>G23-V34</f>
        <v>0</v>
      </c>
      <c r="H24" s="1290"/>
      <c r="M24" s="1290"/>
      <c r="O24" s="1307"/>
      <c r="P24" s="12" t="s">
        <v>4702</v>
      </c>
      <c r="Q24" s="1001">
        <v>5.6443364000000003E-2</v>
      </c>
      <c r="R24" s="19">
        <v>7.3718239000000005E-2</v>
      </c>
      <c r="S24" s="19">
        <v>2.3791197E-2</v>
      </c>
      <c r="T24" s="19">
        <v>4.5731871E-2</v>
      </c>
      <c r="U24" s="19">
        <v>-9.9684869999999998E-3</v>
      </c>
      <c r="V24" s="19">
        <f t="shared" si="17"/>
        <v>0.18971618400000001</v>
      </c>
      <c r="W24" s="19">
        <v>1.56</v>
      </c>
      <c r="X24" s="19"/>
      <c r="Y24" s="19"/>
      <c r="Z24" s="1443">
        <v>1.0671402E-2</v>
      </c>
      <c r="AA24" s="19"/>
      <c r="AB24" s="19"/>
      <c r="AD24" s="12">
        <v>0.01</v>
      </c>
      <c r="AG24" s="1289" t="s">
        <v>1584</v>
      </c>
      <c r="AH24" s="1289">
        <v>1534087660.21</v>
      </c>
    </row>
    <row r="25" spans="1:34">
      <c r="A25" s="1290"/>
      <c r="B25" s="1290"/>
      <c r="C25" s="1290"/>
      <c r="D25" s="1290"/>
      <c r="E25" s="1290"/>
      <c r="F25" s="1290"/>
      <c r="G25" s="1290"/>
      <c r="H25" s="1290"/>
      <c r="M25" s="1290"/>
      <c r="O25" s="1308"/>
      <c r="P25" s="12" t="s">
        <v>4703</v>
      </c>
      <c r="Q25" s="1001">
        <v>2.5612843E-2</v>
      </c>
      <c r="R25" s="19">
        <v>1.6295350000000001E-3</v>
      </c>
      <c r="S25" s="19">
        <v>7.0096800000000006E-4</v>
      </c>
      <c r="T25" s="19">
        <v>2.0489832999999999E-2</v>
      </c>
      <c r="U25" s="19">
        <v>1.4806735999999999E-2</v>
      </c>
      <c r="V25" s="19">
        <f t="shared" si="17"/>
        <v>6.3239914999999994E-2</v>
      </c>
      <c r="W25" s="19">
        <v>0.61</v>
      </c>
      <c r="X25" s="19"/>
      <c r="Y25" s="19"/>
      <c r="Z25" s="19">
        <v>9.3528821999999998E-2</v>
      </c>
      <c r="AA25" s="19"/>
      <c r="AB25" s="19"/>
      <c r="AD25" s="12">
        <v>0.09</v>
      </c>
    </row>
    <row r="26" spans="1:34" ht="41">
      <c r="B26" s="1294"/>
      <c r="C26" s="1294"/>
      <c r="D26" s="1294"/>
      <c r="E26" s="1294"/>
      <c r="F26" s="3001" t="s">
        <v>1215</v>
      </c>
      <c r="G26" s="1294">
        <f>'F-21'!C28</f>
        <v>536.1655781689999</v>
      </c>
      <c r="H26" s="1290">
        <f>'F-22'!B7</f>
        <v>1639.9169955799998</v>
      </c>
      <c r="M26" s="1290">
        <f>+'F-9'!C27</f>
        <v>20.079333906999999</v>
      </c>
      <c r="O26" s="1308"/>
      <c r="P26" s="12" t="s">
        <v>1376</v>
      </c>
      <c r="Q26" s="1001">
        <v>-0.12681734</v>
      </c>
      <c r="R26" s="19">
        <v>9.3282156000000005E-2</v>
      </c>
      <c r="S26" s="19">
        <v>2.6496674200000001</v>
      </c>
      <c r="T26" s="19">
        <v>1.1887325</v>
      </c>
      <c r="U26" s="19">
        <v>0.49617626100000001</v>
      </c>
      <c r="V26" s="19">
        <f t="shared" si="17"/>
        <v>4.3010409970000003</v>
      </c>
      <c r="W26" s="19">
        <v>13.06</v>
      </c>
      <c r="X26" s="19"/>
      <c r="Y26" s="19"/>
      <c r="Z26" s="19">
        <v>8.2217752000000005E-2</v>
      </c>
      <c r="AA26" s="19"/>
      <c r="AB26" s="19"/>
      <c r="AD26" s="19">
        <v>8.2217752000000005E-2</v>
      </c>
    </row>
    <row r="27" spans="1:34">
      <c r="A27" s="1295"/>
      <c r="B27" s="1296"/>
      <c r="C27" s="1296"/>
      <c r="D27" s="1296"/>
      <c r="E27" s="1296"/>
      <c r="F27" s="1296"/>
      <c r="G27" s="1296"/>
      <c r="H27" s="1297"/>
      <c r="I27" s="1290"/>
      <c r="K27" s="1290">
        <f>AD34</f>
        <v>286.89768705700004</v>
      </c>
      <c r="M27" s="1290"/>
      <c r="O27" s="1309"/>
      <c r="P27" s="12" t="s">
        <v>4254</v>
      </c>
      <c r="Q27" s="1001">
        <v>0.56945868399999999</v>
      </c>
      <c r="R27" s="19">
        <v>1.1780965300000001</v>
      </c>
      <c r="S27" s="19">
        <v>1.5978588599999999</v>
      </c>
      <c r="T27" s="19">
        <v>4.2735820599999998</v>
      </c>
      <c r="U27" s="19">
        <v>12.451874999999999</v>
      </c>
      <c r="V27" s="19">
        <f t="shared" si="17"/>
        <v>20.070871134000001</v>
      </c>
      <c r="W27" s="19">
        <v>36.049999999999997</v>
      </c>
      <c r="X27" s="19"/>
      <c r="Y27" s="19"/>
      <c r="Z27" s="19">
        <v>3.2888263200000001</v>
      </c>
      <c r="AA27" s="19"/>
      <c r="AB27" s="19"/>
      <c r="AD27" s="19">
        <v>3.22</v>
      </c>
    </row>
    <row r="28" spans="1:34">
      <c r="A28" s="1295"/>
      <c r="B28" s="1296"/>
      <c r="C28" s="1296"/>
      <c r="D28" s="1296"/>
      <c r="E28" s="1296"/>
      <c r="F28" s="1296"/>
      <c r="G28" s="1298">
        <f>G23-G26</f>
        <v>921.874850337</v>
      </c>
      <c r="H28" s="1298">
        <f>H23-H26</f>
        <v>-362.4069955799996</v>
      </c>
      <c r="I28" s="1290" t="s">
        <v>4474</v>
      </c>
      <c r="K28" s="1290">
        <f>K27-K23</f>
        <v>-62.376496269000029</v>
      </c>
      <c r="M28" s="1290">
        <f>M23-M26</f>
        <v>0</v>
      </c>
      <c r="O28" s="1308"/>
      <c r="P28" s="12" t="s">
        <v>4708</v>
      </c>
      <c r="Q28" s="1001">
        <v>3.6492451100000003</v>
      </c>
      <c r="R28" s="19">
        <v>5.4358721599999997</v>
      </c>
      <c r="S28" s="19">
        <v>5.7740959200000006</v>
      </c>
      <c r="T28" s="19">
        <v>12.6933989</v>
      </c>
      <c r="U28" s="19">
        <v>7.8611272699999999</v>
      </c>
      <c r="V28" s="19">
        <f t="shared" si="17"/>
        <v>35.413739360000001</v>
      </c>
      <c r="W28" s="19">
        <v>183.47</v>
      </c>
      <c r="X28" s="19"/>
      <c r="Y28" s="19"/>
      <c r="Z28" s="19">
        <v>3.9447731700000004</v>
      </c>
      <c r="AA28" s="19"/>
      <c r="AB28" s="19"/>
      <c r="AD28" s="19">
        <v>6.37</v>
      </c>
    </row>
    <row r="29" spans="1:34">
      <c r="G29" s="1299"/>
      <c r="H29" s="1299"/>
      <c r="M29" s="1290"/>
      <c r="O29" s="1308"/>
      <c r="P29" s="12" t="s">
        <v>4709</v>
      </c>
      <c r="Q29" s="1001">
        <v>0</v>
      </c>
      <c r="R29" s="19">
        <v>0.64942068600000002</v>
      </c>
      <c r="S29" s="19">
        <v>0</v>
      </c>
      <c r="T29" s="19">
        <v>2.1094545099999999</v>
      </c>
      <c r="U29" s="19">
        <v>4.7457921299999999</v>
      </c>
      <c r="V29" s="19">
        <f t="shared" si="17"/>
        <v>7.5046673259999999</v>
      </c>
      <c r="W29" s="19">
        <v>107.31</v>
      </c>
      <c r="X29" s="19"/>
      <c r="Y29" s="19"/>
      <c r="Z29" s="19">
        <v>0</v>
      </c>
      <c r="AA29" s="19"/>
      <c r="AB29" s="19"/>
      <c r="AD29" s="19">
        <v>0</v>
      </c>
    </row>
    <row r="30" spans="1:34">
      <c r="B30" s="1290">
        <f>Q34</f>
        <v>98.345666107999989</v>
      </c>
      <c r="C30" s="1290">
        <f>R34</f>
        <v>133.57633248799999</v>
      </c>
      <c r="D30" s="1290">
        <f>S34</f>
        <v>233.10682688300002</v>
      </c>
      <c r="E30" s="1290">
        <f>T34</f>
        <v>299.20878283000002</v>
      </c>
      <c r="F30" s="1290">
        <f>U34</f>
        <v>693.80282019699996</v>
      </c>
      <c r="P30" s="12" t="s">
        <v>4710</v>
      </c>
      <c r="Q30" s="1001">
        <v>1.5667759999999999E-2</v>
      </c>
      <c r="R30" s="19">
        <v>0</v>
      </c>
      <c r="S30" s="19">
        <v>7.1289740000000004E-2</v>
      </c>
      <c r="T30" s="19">
        <v>0</v>
      </c>
      <c r="U30" s="19">
        <v>5.8758600000000001E-3</v>
      </c>
      <c r="V30" s="19">
        <f t="shared" si="17"/>
        <v>9.2833360000000004E-2</v>
      </c>
      <c r="W30" s="12">
        <v>1.34</v>
      </c>
      <c r="X30" s="19"/>
      <c r="Y30" s="19"/>
      <c r="Z30" s="1804">
        <v>0</v>
      </c>
      <c r="AA30" s="19"/>
      <c r="AB30" s="19"/>
      <c r="AD30" s="12"/>
    </row>
    <row r="31" spans="1:34">
      <c r="P31" s="12" t="s">
        <v>4711</v>
      </c>
      <c r="Q31" s="1001">
        <v>1.8888833100000002</v>
      </c>
      <c r="R31" s="19">
        <v>2.46631942</v>
      </c>
      <c r="S31" s="19">
        <v>8.3375625999999994E-2</v>
      </c>
      <c r="T31" s="19">
        <v>1.7983713600000002</v>
      </c>
      <c r="U31" s="19">
        <v>6.9710466900000005</v>
      </c>
      <c r="V31" s="19">
        <f t="shared" si="17"/>
        <v>13.207996405999999</v>
      </c>
      <c r="W31" s="12">
        <v>136.53</v>
      </c>
      <c r="X31" s="19"/>
      <c r="Y31" s="19"/>
      <c r="Z31" s="19">
        <v>0</v>
      </c>
      <c r="AA31" s="19"/>
      <c r="AB31" s="19"/>
      <c r="AD31" s="12"/>
    </row>
    <row r="32" spans="1:34">
      <c r="B32" s="1290">
        <f>B30-B23</f>
        <v>-1.4000000000000057</v>
      </c>
      <c r="C32" s="1290">
        <f t="shared" ref="C32:F32" si="18">C30-C23</f>
        <v>0</v>
      </c>
      <c r="D32" s="1290">
        <f t="shared" si="18"/>
        <v>0.41442508400004385</v>
      </c>
      <c r="E32" s="1290">
        <f t="shared" si="18"/>
        <v>0</v>
      </c>
      <c r="F32" s="1290">
        <f t="shared" si="18"/>
        <v>-2.3000000000000682</v>
      </c>
      <c r="P32" s="12" t="s">
        <v>3685</v>
      </c>
      <c r="Q32" s="1001">
        <v>0.32637726099999997</v>
      </c>
      <c r="R32" s="19">
        <v>0.72114935899999999</v>
      </c>
      <c r="S32" s="19">
        <v>1.1338883900000001</v>
      </c>
      <c r="T32" s="19">
        <v>0.600694583</v>
      </c>
      <c r="U32" s="19">
        <v>1.1979967999999999E-2</v>
      </c>
      <c r="V32" s="19">
        <f t="shared" si="17"/>
        <v>2.7940895610000003</v>
      </c>
      <c r="W32" s="19">
        <v>15.63</v>
      </c>
      <c r="X32" s="19"/>
      <c r="Y32" s="19"/>
      <c r="Z32" s="19">
        <v>0.20174029099999999</v>
      </c>
      <c r="AA32" s="19"/>
      <c r="AB32" s="19"/>
      <c r="AD32" s="3">
        <v>0.05</v>
      </c>
    </row>
    <row r="33" spans="16:30">
      <c r="P33" s="1445" t="s">
        <v>4712</v>
      </c>
      <c r="Q33" s="1522">
        <f t="shared" ref="Q33:U33" si="19">SUM(Q23:Q32)</f>
        <v>6.4172072710000014</v>
      </c>
      <c r="R33" s="1522">
        <f t="shared" si="19"/>
        <v>10.625938515</v>
      </c>
      <c r="S33" s="1522">
        <f t="shared" si="19"/>
        <v>11.364747335000001</v>
      </c>
      <c r="T33" s="1522">
        <f t="shared" si="19"/>
        <v>22.739480652000001</v>
      </c>
      <c r="U33" s="1522">
        <f t="shared" si="19"/>
        <v>32.727834811999998</v>
      </c>
      <c r="V33" s="1522">
        <f>SUM(V23:V32)</f>
        <v>83.87520858500001</v>
      </c>
      <c r="W33" s="1522">
        <f t="shared" ref="W33:AA33" si="20">SUM(W23:W32)</f>
        <v>498.74</v>
      </c>
      <c r="X33" s="1522">
        <f t="shared" si="20"/>
        <v>0</v>
      </c>
      <c r="Y33" s="1522">
        <f t="shared" si="20"/>
        <v>0</v>
      </c>
      <c r="Z33" s="1522">
        <f t="shared" si="20"/>
        <v>9.3587648370000007</v>
      </c>
      <c r="AA33" s="1522">
        <f t="shared" si="20"/>
        <v>0</v>
      </c>
      <c r="AB33" s="12"/>
      <c r="AD33" s="1290">
        <f>SUM(AD23:AD32)</f>
        <v>11.559224832000002</v>
      </c>
    </row>
    <row r="34" spans="16:30">
      <c r="P34" s="1445" t="s">
        <v>4713</v>
      </c>
      <c r="Q34" s="1522">
        <f>Q33+Q21</f>
        <v>98.345666107999989</v>
      </c>
      <c r="R34" s="1522">
        <f t="shared" ref="R34:AD34" si="21">R33+R21</f>
        <v>133.57633248799999</v>
      </c>
      <c r="S34" s="1522">
        <f t="shared" si="21"/>
        <v>233.10682688300002</v>
      </c>
      <c r="T34" s="1522">
        <f t="shared" si="21"/>
        <v>299.20878283000002</v>
      </c>
      <c r="U34" s="1522">
        <f t="shared" si="21"/>
        <v>693.80282019699996</v>
      </c>
      <c r="V34" s="1522">
        <f t="shared" si="21"/>
        <v>1458.0404285060001</v>
      </c>
      <c r="W34" s="1522">
        <f t="shared" si="21"/>
        <v>1416.38</v>
      </c>
      <c r="X34" s="1522">
        <f t="shared" si="21"/>
        <v>0</v>
      </c>
      <c r="Y34" s="1522">
        <f t="shared" si="21"/>
        <v>0</v>
      </c>
      <c r="Z34" s="1522">
        <f t="shared" si="21"/>
        <v>349.27418332600001</v>
      </c>
      <c r="AA34" s="1522">
        <f t="shared" si="21"/>
        <v>0</v>
      </c>
      <c r="AB34" s="1522">
        <f t="shared" si="21"/>
        <v>0</v>
      </c>
      <c r="AD34" s="1522">
        <f t="shared" si="21"/>
        <v>286.89768705700004</v>
      </c>
    </row>
  </sheetData>
  <mergeCells count="2">
    <mergeCell ref="A4:M4"/>
    <mergeCell ref="A2:M2"/>
  </mergeCells>
  <phoneticPr fontId="0" type="noConversion"/>
  <printOptions horizontalCentered="1" verticalCentered="1"/>
  <pageMargins left="0" right="0" top="0.19685039370078741" bottom="0.39370078740157483" header="0" footer="0"/>
  <pageSetup paperSize="9" scale="59" orientation="landscape" r:id="rId1"/>
  <headerFooter alignWithMargins="0">
    <oddFooter>&amp;ROERC FORM -F-15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>
    <tabColor theme="1" tint="4.9989318521683403E-2"/>
    <pageSetUpPr fitToPage="1"/>
  </sheetPr>
  <dimension ref="A1:J33"/>
  <sheetViews>
    <sheetView showGridLines="0" view="pageBreakPreview" zoomScale="60" zoomScaleNormal="100" workbookViewId="0">
      <selection activeCell="C1" sqref="C1"/>
    </sheetView>
  </sheetViews>
  <sheetFormatPr defaultColWidth="9.1796875" defaultRowHeight="15.5"/>
  <cols>
    <col min="1" max="1" width="26.26953125" style="630" customWidth="1"/>
    <col min="2" max="2" width="16.81640625" style="630" customWidth="1"/>
    <col min="3" max="3" width="14.54296875" style="630" customWidth="1"/>
    <col min="4" max="4" width="17.81640625" style="630" customWidth="1"/>
    <col min="5" max="5" width="21" style="630" customWidth="1"/>
    <col min="6" max="10" width="9.1796875" style="630"/>
    <col min="11" max="11" width="64.54296875" style="630" bestFit="1" customWidth="1"/>
    <col min="12" max="13" width="15.7265625" style="630" bestFit="1" customWidth="1"/>
    <col min="14" max="16384" width="9.1796875" style="630"/>
  </cols>
  <sheetData>
    <row r="1" spans="1:6">
      <c r="A1" s="1580" t="s">
        <v>5525</v>
      </c>
      <c r="D1" s="631"/>
      <c r="E1" s="789"/>
    </row>
    <row r="3" spans="1:6">
      <c r="A3" s="3394" t="s">
        <v>3783</v>
      </c>
      <c r="B3" s="3394"/>
      <c r="C3" s="3394"/>
      <c r="D3" s="3394"/>
      <c r="E3" s="3394"/>
    </row>
    <row r="4" spans="1:6" ht="4.5" customHeight="1">
      <c r="A4" s="660"/>
      <c r="B4" s="660"/>
      <c r="C4" s="660"/>
      <c r="D4" s="660"/>
      <c r="E4" s="660"/>
    </row>
    <row r="5" spans="1:6">
      <c r="A5" s="826" t="s">
        <v>40</v>
      </c>
      <c r="B5" s="826"/>
      <c r="C5" s="826"/>
      <c r="D5" s="826"/>
      <c r="E5" s="826"/>
    </row>
    <row r="6" spans="1:6">
      <c r="E6" s="625" t="s">
        <v>4052</v>
      </c>
    </row>
    <row r="7" spans="1:6">
      <c r="A7" s="827" t="s">
        <v>5514</v>
      </c>
    </row>
    <row r="8" spans="1:6">
      <c r="A8" s="639" t="s">
        <v>895</v>
      </c>
      <c r="B8" s="828" t="s">
        <v>1363</v>
      </c>
      <c r="C8" s="828"/>
      <c r="D8" s="747" t="s">
        <v>41</v>
      </c>
      <c r="E8" s="639" t="s">
        <v>42</v>
      </c>
    </row>
    <row r="9" spans="1:6" ht="27" customHeight="1">
      <c r="A9" s="2976"/>
      <c r="B9" s="2961" t="s">
        <v>43</v>
      </c>
      <c r="C9" s="2961" t="s">
        <v>44</v>
      </c>
      <c r="D9" s="2977" t="s">
        <v>5514</v>
      </c>
      <c r="E9" s="2976" t="s">
        <v>45</v>
      </c>
      <c r="F9" s="2978"/>
    </row>
    <row r="10" spans="1:6">
      <c r="A10" s="634"/>
      <c r="B10" s="634"/>
      <c r="C10" s="747" t="s">
        <v>5104</v>
      </c>
      <c r="D10" s="634"/>
      <c r="E10" s="634"/>
    </row>
    <row r="11" spans="1:6">
      <c r="A11" s="743" t="s">
        <v>46</v>
      </c>
      <c r="B11" s="634"/>
      <c r="C11" s="634"/>
      <c r="D11" s="682"/>
      <c r="E11" s="634"/>
    </row>
    <row r="12" spans="1:6">
      <c r="A12" s="658" t="s">
        <v>47</v>
      </c>
      <c r="B12" s="634"/>
      <c r="C12" s="634"/>
      <c r="D12" s="682"/>
      <c r="E12" s="634"/>
    </row>
    <row r="13" spans="1:6">
      <c r="A13" s="658" t="s">
        <v>1251</v>
      </c>
      <c r="B13" s="634"/>
      <c r="C13" s="634"/>
      <c r="D13" s="682"/>
      <c r="E13" s="634"/>
    </row>
    <row r="14" spans="1:6">
      <c r="A14" s="658" t="s">
        <v>1252</v>
      </c>
      <c r="B14" s="634"/>
      <c r="C14" s="634"/>
      <c r="D14" s="682"/>
      <c r="E14" s="634"/>
    </row>
    <row r="15" spans="1:6">
      <c r="A15" s="658" t="s">
        <v>1253</v>
      </c>
      <c r="B15" s="634"/>
      <c r="C15" s="634"/>
      <c r="D15" s="682"/>
      <c r="E15" s="634"/>
    </row>
    <row r="16" spans="1:6">
      <c r="A16" s="658" t="s">
        <v>1254</v>
      </c>
      <c r="B16" s="634"/>
      <c r="C16" s="634"/>
      <c r="D16" s="682"/>
      <c r="E16" s="634"/>
    </row>
    <row r="17" spans="1:10">
      <c r="A17" s="658" t="s">
        <v>1254</v>
      </c>
      <c r="B17" s="634"/>
      <c r="C17" s="634"/>
      <c r="D17" s="682"/>
      <c r="E17" s="634"/>
    </row>
    <row r="18" spans="1:10">
      <c r="A18" s="743" t="s">
        <v>1255</v>
      </c>
      <c r="B18" s="634"/>
      <c r="C18" s="634"/>
      <c r="D18" s="829"/>
      <c r="E18" s="634"/>
    </row>
    <row r="19" spans="1:10">
      <c r="A19" s="658" t="s">
        <v>47</v>
      </c>
      <c r="B19" s="790"/>
      <c r="C19" s="653">
        <v>1.1134999999999999</v>
      </c>
      <c r="D19" s="636">
        <v>0.69699999999999995</v>
      </c>
      <c r="E19" s="653">
        <f>ROUND(+D19/(C19/12),0)</f>
        <v>8</v>
      </c>
      <c r="F19" s="644"/>
      <c r="G19" s="638"/>
      <c r="H19" s="665"/>
      <c r="I19" s="651">
        <f>D19*$G$28</f>
        <v>0.59244999999999992</v>
      </c>
      <c r="J19" s="653">
        <f>C19*$G$28</f>
        <v>0.94647499999999996</v>
      </c>
    </row>
    <row r="20" spans="1:10" ht="13.5" customHeight="1">
      <c r="A20" s="658" t="s">
        <v>1233</v>
      </c>
      <c r="B20" s="790"/>
      <c r="C20" s="653">
        <v>0.1105</v>
      </c>
      <c r="D20" s="636">
        <v>6.8000000000000005E-2</v>
      </c>
      <c r="E20" s="653">
        <f t="shared" ref="E20:E28" si="0">ROUND(+D20/(C20/12),0)</f>
        <v>7</v>
      </c>
      <c r="F20" s="644"/>
      <c r="G20" s="638"/>
      <c r="H20" s="665"/>
      <c r="I20" s="651">
        <f t="shared" ref="I20:I27" si="1">D20*$G$28</f>
        <v>5.7800000000000004E-2</v>
      </c>
      <c r="J20" s="653">
        <f t="shared" ref="J20:J27" si="2">C20*$G$28</f>
        <v>9.3924999999999995E-2</v>
      </c>
    </row>
    <row r="21" spans="1:10">
      <c r="A21" s="658" t="s">
        <v>101</v>
      </c>
      <c r="B21" s="790"/>
      <c r="C21" s="653">
        <v>5.9500000000000004E-2</v>
      </c>
      <c r="D21" s="636">
        <v>5.9500000000000004E-2</v>
      </c>
      <c r="E21" s="653">
        <f t="shared" si="0"/>
        <v>12</v>
      </c>
      <c r="F21" s="644"/>
      <c r="G21" s="638"/>
      <c r="H21" s="665"/>
      <c r="I21" s="651">
        <f t="shared" si="1"/>
        <v>5.0575000000000002E-2</v>
      </c>
      <c r="J21" s="653">
        <f t="shared" si="2"/>
        <v>5.0575000000000002E-2</v>
      </c>
    </row>
    <row r="22" spans="1:10" ht="14.25" customHeight="1">
      <c r="A22" s="658" t="s">
        <v>1256</v>
      </c>
      <c r="B22" s="790"/>
      <c r="C22" s="653">
        <v>3.1619999999999999</v>
      </c>
      <c r="D22" s="636">
        <v>2.21</v>
      </c>
      <c r="E22" s="653">
        <f t="shared" si="0"/>
        <v>8</v>
      </c>
      <c r="F22" s="644"/>
      <c r="G22" s="638"/>
      <c r="H22" s="665"/>
      <c r="I22" s="651">
        <f t="shared" si="1"/>
        <v>1.8784999999999998</v>
      </c>
      <c r="J22" s="653">
        <f t="shared" si="2"/>
        <v>2.6877</v>
      </c>
    </row>
    <row r="23" spans="1:10">
      <c r="A23" s="658" t="s">
        <v>1257</v>
      </c>
      <c r="B23" s="790"/>
      <c r="C23" s="653">
        <v>0.67149999999999999</v>
      </c>
      <c r="D23" s="636">
        <v>4.2500000000000003E-2</v>
      </c>
      <c r="E23" s="653">
        <f t="shared" si="0"/>
        <v>1</v>
      </c>
      <c r="F23" s="644"/>
      <c r="G23" s="638"/>
      <c r="H23" s="665"/>
      <c r="I23" s="651">
        <f t="shared" si="1"/>
        <v>3.6125000000000004E-2</v>
      </c>
      <c r="J23" s="653">
        <f t="shared" si="2"/>
        <v>0.57077499999999992</v>
      </c>
    </row>
    <row r="24" spans="1:10">
      <c r="A24" s="658" t="s">
        <v>1147</v>
      </c>
      <c r="B24" s="790"/>
      <c r="C24" s="653">
        <v>5.9500000000000004E-2</v>
      </c>
      <c r="D24" s="636">
        <v>3.4000000000000002E-2</v>
      </c>
      <c r="E24" s="653">
        <f t="shared" si="0"/>
        <v>7</v>
      </c>
      <c r="F24" s="644"/>
      <c r="G24" s="638"/>
      <c r="H24" s="665"/>
      <c r="I24" s="651">
        <f t="shared" si="1"/>
        <v>2.8900000000000002E-2</v>
      </c>
      <c r="J24" s="653">
        <f t="shared" si="2"/>
        <v>5.0575000000000002E-2</v>
      </c>
    </row>
    <row r="25" spans="1:10">
      <c r="A25" s="658" t="s">
        <v>223</v>
      </c>
      <c r="B25" s="790"/>
      <c r="C25" s="653">
        <v>8.5000000000000006E-2</v>
      </c>
      <c r="D25" s="636">
        <v>5.0999999999999997E-2</v>
      </c>
      <c r="E25" s="653">
        <f t="shared" si="0"/>
        <v>7</v>
      </c>
      <c r="F25" s="644"/>
      <c r="G25" s="638"/>
      <c r="H25" s="665"/>
      <c r="I25" s="651">
        <f t="shared" si="1"/>
        <v>4.3349999999999993E-2</v>
      </c>
      <c r="J25" s="653">
        <f t="shared" si="2"/>
        <v>7.2250000000000009E-2</v>
      </c>
    </row>
    <row r="26" spans="1:10">
      <c r="A26" s="658" t="s">
        <v>227</v>
      </c>
      <c r="B26" s="790"/>
      <c r="C26" s="653">
        <v>0.3145</v>
      </c>
      <c r="D26" s="636">
        <v>0.197227982952</v>
      </c>
      <c r="E26" s="653">
        <f t="shared" si="0"/>
        <v>8</v>
      </c>
      <c r="F26" s="644"/>
      <c r="G26" s="638"/>
      <c r="H26" s="665"/>
      <c r="I26" s="651">
        <f t="shared" si="1"/>
        <v>0.16764378550920001</v>
      </c>
      <c r="J26" s="653">
        <f t="shared" si="2"/>
        <v>0.26732499999999998</v>
      </c>
    </row>
    <row r="27" spans="1:10">
      <c r="A27" s="658" t="s">
        <v>116</v>
      </c>
      <c r="B27" s="790"/>
      <c r="C27" s="653">
        <v>4.2500000000000003E-2</v>
      </c>
      <c r="D27" s="636">
        <v>2.5499999999999998E-2</v>
      </c>
      <c r="E27" s="653">
        <f t="shared" si="0"/>
        <v>7</v>
      </c>
      <c r="F27" s="644"/>
      <c r="G27" s="638"/>
      <c r="H27" s="665"/>
      <c r="I27" s="651">
        <f t="shared" si="1"/>
        <v>2.1674999999999996E-2</v>
      </c>
      <c r="J27" s="653">
        <f t="shared" si="2"/>
        <v>3.6125000000000004E-2</v>
      </c>
    </row>
    <row r="28" spans="1:10" s="625" customFormat="1">
      <c r="A28" s="743" t="s">
        <v>1101</v>
      </c>
      <c r="B28" s="830"/>
      <c r="C28" s="664">
        <f>SUM(C19:C27)</f>
        <v>5.6185</v>
      </c>
      <c r="D28" s="831">
        <f>SUM(D19:D27)</f>
        <v>3.3847279829520001</v>
      </c>
      <c r="E28" s="1576">
        <f t="shared" si="0"/>
        <v>7</v>
      </c>
      <c r="F28" s="651" t="e">
        <f>#REF!/10000000</f>
        <v>#REF!</v>
      </c>
      <c r="G28" s="651">
        <v>0.85</v>
      </c>
      <c r="H28" s="832"/>
    </row>
    <row r="29" spans="1:10">
      <c r="C29" s="638"/>
    </row>
    <row r="30" spans="1:10">
      <c r="B30" s="638"/>
      <c r="C30" s="638">
        <f>SUM(C19:C27)-C28</f>
        <v>0</v>
      </c>
      <c r="D30" s="638">
        <f>SUM(D19:D27)-D28</f>
        <v>0</v>
      </c>
      <c r="E30" s="833"/>
      <c r="H30" s="638"/>
    </row>
    <row r="31" spans="1:10">
      <c r="C31" s="644"/>
      <c r="D31" s="833"/>
    </row>
    <row r="32" spans="1:10">
      <c r="C32" s="638"/>
    </row>
    <row r="33" spans="4:4">
      <c r="D33" s="833"/>
    </row>
  </sheetData>
  <mergeCells count="1">
    <mergeCell ref="A3:E3"/>
  </mergeCells>
  <phoneticPr fontId="0" type="noConversion"/>
  <printOptions horizontalCentered="1"/>
  <pageMargins left="0" right="0" top="0.78740157480314965" bottom="0" header="0" footer="0"/>
  <pageSetup paperSize="9" orientation="portrait" r:id="rId1"/>
  <headerFooter alignWithMargins="0">
    <oddFooter>&amp;ROERC FORM No.-F-16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>
    <tabColor theme="1"/>
  </sheetPr>
  <dimension ref="A1:AJ92"/>
  <sheetViews>
    <sheetView showGridLines="0" view="pageBreakPreview" zoomScale="60" zoomScaleNormal="71" workbookViewId="0">
      <pane xSplit="3" ySplit="5" topLeftCell="D61" activePane="bottomRight" state="frozen"/>
      <selection activeCell="A3" sqref="A3"/>
      <selection pane="topRight" activeCell="A3" sqref="A3"/>
      <selection pane="bottomLeft" activeCell="A3" sqref="A3"/>
      <selection pane="bottomRight" activeCell="C59" sqref="C59"/>
    </sheetView>
  </sheetViews>
  <sheetFormatPr defaultColWidth="9.1796875" defaultRowHeight="15.5"/>
  <cols>
    <col min="1" max="1" width="26.81640625" style="674" customWidth="1"/>
    <col min="2" max="2" width="17.26953125" style="674" customWidth="1"/>
    <col min="3" max="3" width="24.54296875" style="630" customWidth="1"/>
    <col min="4" max="4" width="10.54296875" style="630" customWidth="1"/>
    <col min="5" max="5" width="12.6328125" style="630" customWidth="1"/>
    <col min="6" max="6" width="9.7265625" style="630" customWidth="1"/>
    <col min="7" max="7" width="9.1796875" style="630" customWidth="1"/>
    <col min="8" max="8" width="10.453125" style="630" customWidth="1"/>
    <col min="9" max="9" width="7.26953125" style="630" customWidth="1"/>
    <col min="10" max="10" width="11.54296875" style="630" customWidth="1"/>
    <col min="11" max="11" width="9.54296875" style="630" hidden="1" customWidth="1"/>
    <col min="12" max="12" width="8.26953125" style="630" hidden="1" customWidth="1"/>
    <col min="13" max="13" width="8.81640625" style="630" hidden="1" customWidth="1"/>
    <col min="14" max="14" width="13" style="630" customWidth="1"/>
    <col min="15" max="15" width="14.1796875" style="630" customWidth="1"/>
    <col min="16" max="16" width="14.26953125" style="630" bestFit="1" customWidth="1"/>
    <col min="17" max="17" width="15.26953125" style="630" customWidth="1"/>
    <col min="18" max="20" width="8.81640625" style="630" customWidth="1"/>
    <col min="21" max="21" width="13" style="630" bestFit="1" customWidth="1"/>
    <col min="22" max="22" width="14.1796875" style="630" customWidth="1"/>
    <col min="23" max="23" width="9.81640625" style="630" customWidth="1"/>
    <col min="24" max="24" width="11.1796875" style="638" customWidth="1"/>
    <col min="25" max="25" width="13" style="630" customWidth="1"/>
    <col min="26" max="26" width="27" style="630" customWidth="1"/>
    <col min="27" max="27" width="15.54296875" style="737" bestFit="1" customWidth="1"/>
    <col min="28" max="28" width="13" style="630" bestFit="1" customWidth="1"/>
    <col min="29" max="29" width="14.453125" style="630" customWidth="1"/>
    <col min="30" max="30" width="22.54296875" style="630" customWidth="1"/>
    <col min="31" max="31" width="17.54296875" style="630" bestFit="1" customWidth="1"/>
    <col min="32" max="32" width="23.453125" style="630" bestFit="1" customWidth="1"/>
    <col min="33" max="33" width="16.54296875" style="630" customWidth="1"/>
    <col min="34" max="34" width="15.7265625" style="630" customWidth="1"/>
    <col min="35" max="35" width="19.7265625" style="630" bestFit="1" customWidth="1"/>
    <col min="36" max="36" width="15.7265625" style="630" customWidth="1"/>
    <col min="37" max="37" width="18.1796875" style="630" customWidth="1"/>
    <col min="38" max="38" width="9.453125" style="630" bestFit="1" customWidth="1"/>
    <col min="39" max="16384" width="9.1796875" style="630"/>
  </cols>
  <sheetData>
    <row r="1" spans="1:36">
      <c r="A1" s="1580" t="s">
        <v>5525</v>
      </c>
      <c r="H1" s="638"/>
      <c r="J1" s="638"/>
      <c r="K1" s="638"/>
      <c r="L1" s="638"/>
      <c r="M1" s="638"/>
      <c r="V1" s="631"/>
      <c r="W1" s="631"/>
      <c r="X1" s="2091"/>
    </row>
    <row r="2" spans="1:36">
      <c r="A2" s="3367" t="s">
        <v>3780</v>
      </c>
      <c r="B2" s="3367"/>
      <c r="C2" s="3367"/>
      <c r="D2" s="3367"/>
      <c r="E2" s="3367"/>
      <c r="F2" s="3367"/>
      <c r="G2" s="3367"/>
      <c r="H2" s="3367"/>
      <c r="I2" s="3367"/>
      <c r="J2" s="3367"/>
      <c r="K2" s="3367"/>
      <c r="L2" s="3367"/>
      <c r="M2" s="3367"/>
      <c r="N2" s="3367"/>
      <c r="O2" s="3367"/>
      <c r="P2" s="3367"/>
      <c r="Q2" s="3367"/>
      <c r="R2" s="3367"/>
      <c r="S2" s="3367"/>
      <c r="T2" s="3367"/>
      <c r="U2" s="3367"/>
      <c r="V2" s="3367"/>
      <c r="W2" s="3367"/>
      <c r="X2" s="3367"/>
      <c r="Y2" s="3367"/>
    </row>
    <row r="3" spans="1:36">
      <c r="A3" s="3367" t="s">
        <v>7144</v>
      </c>
      <c r="B3" s="3367"/>
      <c r="C3" s="3367"/>
      <c r="D3" s="3367"/>
      <c r="E3" s="3367"/>
      <c r="F3" s="3367"/>
      <c r="G3" s="3367"/>
      <c r="H3" s="3367"/>
      <c r="I3" s="3367"/>
      <c r="J3" s="3367"/>
      <c r="K3" s="3367"/>
      <c r="L3" s="3367"/>
      <c r="M3" s="3367"/>
      <c r="N3" s="3367"/>
      <c r="O3" s="3367"/>
      <c r="P3" s="3367"/>
      <c r="Q3" s="3367"/>
      <c r="R3" s="3367"/>
      <c r="S3" s="3367"/>
      <c r="T3" s="3367"/>
      <c r="U3" s="3367"/>
      <c r="V3" s="3367"/>
      <c r="W3" s="3367"/>
      <c r="X3" s="3367"/>
      <c r="Y3" s="3367"/>
      <c r="Z3" s="2092"/>
    </row>
    <row r="4" spans="1:36" ht="33.75" customHeight="1">
      <c r="A4" s="3325" t="s">
        <v>1391</v>
      </c>
      <c r="B4" s="3325"/>
      <c r="C4" s="3325"/>
      <c r="D4" s="3325"/>
      <c r="E4" s="3325"/>
      <c r="F4" s="3325"/>
      <c r="G4" s="3325"/>
      <c r="H4" s="3325"/>
      <c r="I4" s="3325"/>
      <c r="J4" s="3325"/>
      <c r="K4" s="3448" t="s">
        <v>576</v>
      </c>
      <c r="L4" s="3448"/>
      <c r="M4" s="3448"/>
      <c r="N4" s="3325" t="s">
        <v>1392</v>
      </c>
      <c r="O4" s="3325"/>
      <c r="P4" s="3325"/>
      <c r="Q4" s="3325" t="s">
        <v>1393</v>
      </c>
      <c r="R4" s="3325"/>
      <c r="S4" s="3325" t="s">
        <v>1394</v>
      </c>
      <c r="T4" s="3325"/>
      <c r="U4" s="3325"/>
      <c r="V4" s="3325"/>
      <c r="W4" s="3325"/>
      <c r="X4" s="3325"/>
      <c r="Y4" s="3325"/>
      <c r="Z4" s="2092"/>
    </row>
    <row r="5" spans="1:36" s="807" customFormat="1" ht="74.25" customHeight="1">
      <c r="A5" s="2303" t="s">
        <v>1395</v>
      </c>
      <c r="B5" s="2303" t="s">
        <v>1396</v>
      </c>
      <c r="C5" s="2871" t="s">
        <v>673</v>
      </c>
      <c r="D5" s="2303" t="s">
        <v>674</v>
      </c>
      <c r="E5" s="2303" t="s">
        <v>675</v>
      </c>
      <c r="F5" s="2303" t="s">
        <v>8002</v>
      </c>
      <c r="G5" s="2303" t="s">
        <v>676</v>
      </c>
      <c r="H5" s="2303" t="s">
        <v>6998</v>
      </c>
      <c r="I5" s="2303" t="s">
        <v>677</v>
      </c>
      <c r="J5" s="2303" t="s">
        <v>678</v>
      </c>
      <c r="K5" s="2303" t="s">
        <v>577</v>
      </c>
      <c r="L5" s="2303" t="s">
        <v>578</v>
      </c>
      <c r="M5" s="2303" t="s">
        <v>1100</v>
      </c>
      <c r="N5" s="2303" t="s">
        <v>824</v>
      </c>
      <c r="O5" s="2303" t="s">
        <v>825</v>
      </c>
      <c r="P5" s="2303" t="s">
        <v>826</v>
      </c>
      <c r="Q5" s="2303" t="s">
        <v>301</v>
      </c>
      <c r="R5" s="2303" t="s">
        <v>302</v>
      </c>
      <c r="S5" s="2303" t="s">
        <v>1528</v>
      </c>
      <c r="T5" s="2303" t="s">
        <v>1529</v>
      </c>
      <c r="U5" s="2303" t="s">
        <v>3781</v>
      </c>
      <c r="V5" s="2303" t="s">
        <v>77</v>
      </c>
      <c r="W5" s="2303" t="s">
        <v>3782</v>
      </c>
      <c r="X5" s="2304" t="s">
        <v>1270</v>
      </c>
      <c r="Y5" s="2303" t="s">
        <v>742</v>
      </c>
      <c r="Z5" s="2872"/>
      <c r="AA5" s="2873"/>
    </row>
    <row r="6" spans="1:36">
      <c r="A6" s="680"/>
      <c r="B6" s="680"/>
      <c r="C6" s="634"/>
      <c r="D6" s="634"/>
      <c r="E6" s="634"/>
      <c r="F6" s="634"/>
      <c r="G6" s="634"/>
      <c r="H6" s="634"/>
      <c r="I6" s="634"/>
      <c r="J6" s="634"/>
      <c r="K6" s="634"/>
      <c r="L6" s="634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6"/>
      <c r="Y6" s="634"/>
    </row>
    <row r="7" spans="1:36" s="625" customFormat="1" ht="33" hidden="1" customHeight="1">
      <c r="A7" s="2093" t="s">
        <v>542</v>
      </c>
      <c r="B7" s="748" t="s">
        <v>304</v>
      </c>
      <c r="C7" s="743" t="s">
        <v>5105</v>
      </c>
      <c r="D7" s="639"/>
      <c r="E7" s="639"/>
      <c r="F7" s="640">
        <v>0</v>
      </c>
      <c r="G7" s="639"/>
      <c r="H7" s="2094"/>
      <c r="I7" s="639"/>
      <c r="J7" s="640"/>
      <c r="K7" s="640"/>
      <c r="L7" s="640"/>
      <c r="M7" s="640"/>
      <c r="N7" s="640">
        <v>0</v>
      </c>
      <c r="O7" s="640">
        <v>0</v>
      </c>
      <c r="P7" s="834">
        <f>+N7+O7</f>
        <v>0</v>
      </c>
      <c r="Q7" s="640">
        <v>0</v>
      </c>
      <c r="R7" s="640">
        <f>(+Q7+F7-O7)</f>
        <v>0</v>
      </c>
      <c r="S7" s="640">
        <v>0</v>
      </c>
      <c r="T7" s="640">
        <v>0</v>
      </c>
      <c r="U7" s="640"/>
      <c r="V7" s="640">
        <f>+S7+T7</f>
        <v>0</v>
      </c>
      <c r="W7" s="640"/>
      <c r="X7" s="640"/>
      <c r="Y7" s="640"/>
      <c r="Z7" s="642"/>
      <c r="AA7" s="2070"/>
    </row>
    <row r="8" spans="1:36" s="625" customFormat="1" ht="25" hidden="1" customHeight="1">
      <c r="A8" s="2093"/>
      <c r="B8" s="747"/>
      <c r="C8" s="743" t="s">
        <v>5341</v>
      </c>
      <c r="D8" s="639"/>
      <c r="E8" s="639"/>
      <c r="F8" s="640">
        <v>0</v>
      </c>
      <c r="G8" s="639"/>
      <c r="H8" s="2094"/>
      <c r="I8" s="639"/>
      <c r="J8" s="640"/>
      <c r="K8" s="640"/>
      <c r="L8" s="640"/>
      <c r="M8" s="640"/>
      <c r="N8" s="640">
        <f>+P7</f>
        <v>0</v>
      </c>
      <c r="O8" s="640">
        <v>0</v>
      </c>
      <c r="P8" s="834">
        <f>+N8+O8</f>
        <v>0</v>
      </c>
      <c r="Q8" s="640">
        <f>R7</f>
        <v>0</v>
      </c>
      <c r="R8" s="640">
        <f>+Q8+F8-O8</f>
        <v>0</v>
      </c>
      <c r="S8" s="640">
        <v>0</v>
      </c>
      <c r="T8" s="640">
        <v>0</v>
      </c>
      <c r="U8" s="640"/>
      <c r="V8" s="640">
        <f>+S8+T8</f>
        <v>0</v>
      </c>
      <c r="W8" s="640"/>
      <c r="X8" s="640"/>
      <c r="Y8" s="640"/>
      <c r="Z8" s="642"/>
      <c r="AA8" s="2070"/>
    </row>
    <row r="9" spans="1:36" s="625" customFormat="1" ht="25" hidden="1" customHeight="1">
      <c r="A9" s="2093"/>
      <c r="B9" s="747"/>
      <c r="C9" s="743" t="s">
        <v>6928</v>
      </c>
      <c r="D9" s="639"/>
      <c r="E9" s="639"/>
      <c r="F9" s="640">
        <v>0</v>
      </c>
      <c r="G9" s="639"/>
      <c r="H9" s="2094"/>
      <c r="I9" s="639"/>
      <c r="J9" s="640"/>
      <c r="K9" s="640"/>
      <c r="L9" s="640"/>
      <c r="M9" s="640"/>
      <c r="N9" s="640">
        <f>+P8</f>
        <v>0</v>
      </c>
      <c r="O9" s="640">
        <v>0</v>
      </c>
      <c r="P9" s="834">
        <f>+N9+O9</f>
        <v>0</v>
      </c>
      <c r="Q9" s="640">
        <f>R8</f>
        <v>0</v>
      </c>
      <c r="R9" s="640">
        <f>+Q9+F9-O9</f>
        <v>0</v>
      </c>
      <c r="S9" s="640">
        <f>V8</f>
        <v>0</v>
      </c>
      <c r="T9" s="640">
        <v>0</v>
      </c>
      <c r="U9" s="640"/>
      <c r="V9" s="640">
        <f>+S9+T9</f>
        <v>0</v>
      </c>
      <c r="W9" s="640"/>
      <c r="X9" s="640"/>
      <c r="Y9" s="640"/>
      <c r="Z9" s="625" t="s">
        <v>4651</v>
      </c>
      <c r="AA9" s="2070"/>
    </row>
    <row r="10" spans="1:36" ht="25" hidden="1" customHeight="1">
      <c r="A10" s="749"/>
      <c r="B10" s="680"/>
      <c r="C10" s="634"/>
      <c r="D10" s="634"/>
      <c r="E10" s="634"/>
      <c r="F10" s="636"/>
      <c r="G10" s="634"/>
      <c r="H10" s="2095"/>
      <c r="I10" s="634"/>
      <c r="J10" s="636"/>
      <c r="K10" s="636"/>
      <c r="L10" s="636"/>
      <c r="M10" s="636"/>
      <c r="N10" s="636"/>
      <c r="O10" s="636"/>
      <c r="P10" s="2096"/>
      <c r="Q10" s="636"/>
      <c r="R10" s="640"/>
      <c r="S10" s="640"/>
      <c r="T10" s="636"/>
      <c r="U10" s="636"/>
      <c r="V10" s="640"/>
      <c r="W10" s="640"/>
      <c r="X10" s="636"/>
      <c r="Y10" s="636"/>
      <c r="Z10" s="638"/>
    </row>
    <row r="11" spans="1:36" s="625" customFormat="1" ht="39" hidden="1" customHeight="1">
      <c r="A11" s="2242" t="s">
        <v>3646</v>
      </c>
      <c r="B11" s="748" t="s">
        <v>304</v>
      </c>
      <c r="C11" s="743" t="s">
        <v>5105</v>
      </c>
      <c r="D11" s="639"/>
      <c r="E11" s="639"/>
      <c r="F11" s="640">
        <v>0</v>
      </c>
      <c r="G11" s="639"/>
      <c r="H11" s="2094"/>
      <c r="I11" s="639"/>
      <c r="J11" s="640"/>
      <c r="K11" s="640"/>
      <c r="L11" s="640"/>
      <c r="M11" s="640"/>
      <c r="N11" s="640">
        <v>0</v>
      </c>
      <c r="O11" s="640">
        <v>0</v>
      </c>
      <c r="P11" s="640">
        <f>+N11+O11</f>
        <v>0</v>
      </c>
      <c r="Q11" s="640">
        <v>0</v>
      </c>
      <c r="R11" s="640">
        <f>(+Q11+F11-O11)</f>
        <v>0</v>
      </c>
      <c r="S11" s="640">
        <v>0</v>
      </c>
      <c r="T11" s="640">
        <v>0</v>
      </c>
      <c r="U11" s="640"/>
      <c r="V11" s="640">
        <f>(S11+T11)</f>
        <v>0</v>
      </c>
      <c r="W11" s="640"/>
      <c r="X11" s="640"/>
      <c r="Y11" s="639"/>
      <c r="AA11" s="2097"/>
      <c r="AB11" s="642"/>
      <c r="AC11" s="660"/>
      <c r="AE11" s="660"/>
      <c r="AF11" s="2098"/>
      <c r="AG11" s="642"/>
      <c r="AH11" s="642"/>
      <c r="AI11" s="675"/>
      <c r="AJ11" s="642"/>
    </row>
    <row r="12" spans="1:36" s="625" customFormat="1" ht="25" hidden="1" customHeight="1">
      <c r="A12" s="2093"/>
      <c r="B12" s="747"/>
      <c r="C12" s="743" t="s">
        <v>5341</v>
      </c>
      <c r="D12" s="639"/>
      <c r="E12" s="639"/>
      <c r="F12" s="640">
        <v>0</v>
      </c>
      <c r="G12" s="639"/>
      <c r="H12" s="2094"/>
      <c r="I12" s="639"/>
      <c r="J12" s="640"/>
      <c r="K12" s="640"/>
      <c r="L12" s="640"/>
      <c r="M12" s="640"/>
      <c r="N12" s="640">
        <f>P11</f>
        <v>0</v>
      </c>
      <c r="O12" s="640">
        <v>0</v>
      </c>
      <c r="P12" s="640">
        <f>+N12+O12</f>
        <v>0</v>
      </c>
      <c r="Q12" s="640">
        <f>R11</f>
        <v>0</v>
      </c>
      <c r="R12" s="640">
        <f>+Q12+F12-O12</f>
        <v>0</v>
      </c>
      <c r="S12" s="640">
        <v>0</v>
      </c>
      <c r="T12" s="640">
        <f>9.44*0</f>
        <v>0</v>
      </c>
      <c r="U12" s="640"/>
      <c r="V12" s="640">
        <f>+S12+T12</f>
        <v>0</v>
      </c>
      <c r="W12" s="640"/>
      <c r="X12" s="640"/>
      <c r="Y12" s="639"/>
      <c r="AA12" s="631"/>
      <c r="AB12" s="642"/>
      <c r="AI12" s="642"/>
      <c r="AJ12" s="642"/>
    </row>
    <row r="13" spans="1:36" s="625" customFormat="1" ht="25" hidden="1" customHeight="1">
      <c r="A13" s="2093"/>
      <c r="B13" s="747"/>
      <c r="C13" s="743" t="s">
        <v>6928</v>
      </c>
      <c r="D13" s="639"/>
      <c r="E13" s="639"/>
      <c r="F13" s="640"/>
      <c r="G13" s="639"/>
      <c r="H13" s="2094"/>
      <c r="I13" s="639"/>
      <c r="J13" s="640"/>
      <c r="K13" s="640"/>
      <c r="L13" s="640"/>
      <c r="M13" s="640"/>
      <c r="N13" s="640">
        <f>P12</f>
        <v>0</v>
      </c>
      <c r="O13" s="640">
        <v>0</v>
      </c>
      <c r="P13" s="640">
        <f>+N13+O13</f>
        <v>0</v>
      </c>
      <c r="Q13" s="640">
        <f>R12</f>
        <v>0</v>
      </c>
      <c r="R13" s="640">
        <f>+Q13+F13-O13</f>
        <v>0</v>
      </c>
      <c r="S13" s="640">
        <f>+V12</f>
        <v>0</v>
      </c>
      <c r="T13" s="640">
        <f>9.44*0</f>
        <v>0</v>
      </c>
      <c r="U13" s="640"/>
      <c r="V13" s="640">
        <f>+S13+T13</f>
        <v>0</v>
      </c>
      <c r="W13" s="640"/>
      <c r="X13" s="640"/>
      <c r="Y13" s="640"/>
      <c r="Z13" s="642"/>
      <c r="AA13" s="631"/>
      <c r="AB13" s="642"/>
      <c r="AI13" s="642"/>
      <c r="AJ13" s="642"/>
    </row>
    <row r="14" spans="1:36" ht="25" hidden="1" customHeight="1">
      <c r="A14" s="749"/>
      <c r="B14" s="680"/>
      <c r="C14" s="634"/>
      <c r="D14" s="634"/>
      <c r="E14" s="634"/>
      <c r="F14" s="640"/>
      <c r="G14" s="634"/>
      <c r="H14" s="2095"/>
      <c r="I14" s="634"/>
      <c r="J14" s="636"/>
      <c r="K14" s="636"/>
      <c r="L14" s="636"/>
      <c r="M14" s="636"/>
      <c r="N14" s="640"/>
      <c r="O14" s="640"/>
      <c r="P14" s="2096"/>
      <c r="Q14" s="639"/>
      <c r="R14" s="640"/>
      <c r="S14" s="640"/>
      <c r="T14" s="636"/>
      <c r="U14" s="636"/>
      <c r="V14" s="640"/>
      <c r="W14" s="640"/>
      <c r="X14" s="640"/>
      <c r="Y14" s="636"/>
      <c r="Z14" s="638"/>
      <c r="AB14" s="638"/>
      <c r="AI14" s="638"/>
      <c r="AJ14" s="638"/>
    </row>
    <row r="15" spans="1:36" s="625" customFormat="1" ht="47.15" hidden="1" customHeight="1">
      <c r="A15" s="2099" t="s">
        <v>3372</v>
      </c>
      <c r="B15" s="2100" t="s">
        <v>3664</v>
      </c>
      <c r="C15" s="743" t="s">
        <v>5105</v>
      </c>
      <c r="D15" s="639"/>
      <c r="E15" s="639"/>
      <c r="F15" s="640">
        <v>0</v>
      </c>
      <c r="G15" s="639"/>
      <c r="H15" s="2094"/>
      <c r="I15" s="639"/>
      <c r="J15" s="640"/>
      <c r="K15" s="640"/>
      <c r="L15" s="640"/>
      <c r="M15" s="640"/>
      <c r="N15" s="640">
        <v>0</v>
      </c>
      <c r="O15" s="640">
        <v>0</v>
      </c>
      <c r="P15" s="640">
        <f>+N15+O15</f>
        <v>0</v>
      </c>
      <c r="Q15" s="640">
        <v>0</v>
      </c>
      <c r="R15" s="640">
        <f>(+Q15+F15-O15)</f>
        <v>0</v>
      </c>
      <c r="S15" s="640"/>
      <c r="T15" s="640">
        <f>R15*8.5%</f>
        <v>0</v>
      </c>
      <c r="U15" s="640"/>
      <c r="V15" s="640">
        <f>S15+T15</f>
        <v>0</v>
      </c>
      <c r="W15" s="640"/>
      <c r="X15" s="640"/>
      <c r="Y15" s="639"/>
      <c r="AA15" s="631"/>
    </row>
    <row r="16" spans="1:36" s="625" customFormat="1" ht="24.75" hidden="1" customHeight="1">
      <c r="A16" s="2099"/>
      <c r="B16" s="743"/>
      <c r="C16" s="743" t="s">
        <v>5341</v>
      </c>
      <c r="D16" s="639"/>
      <c r="E16" s="639"/>
      <c r="F16" s="640"/>
      <c r="G16" s="639"/>
      <c r="H16" s="2094"/>
      <c r="I16" s="639"/>
      <c r="J16" s="640"/>
      <c r="K16" s="640"/>
      <c r="L16" s="640"/>
      <c r="M16" s="640"/>
      <c r="N16" s="640">
        <f>P15</f>
        <v>0</v>
      </c>
      <c r="O16" s="640">
        <v>0</v>
      </c>
      <c r="P16" s="640">
        <f>+N16+O16</f>
        <v>0</v>
      </c>
      <c r="Q16" s="640">
        <f>R15</f>
        <v>0</v>
      </c>
      <c r="R16" s="640">
        <f>+Q16+F16-O16</f>
        <v>0</v>
      </c>
      <c r="S16" s="640"/>
      <c r="T16" s="640">
        <f>R16*8.5%</f>
        <v>0</v>
      </c>
      <c r="U16" s="640"/>
      <c r="V16" s="640">
        <f>S16+T16</f>
        <v>0</v>
      </c>
      <c r="W16" s="640"/>
      <c r="X16" s="640"/>
      <c r="Y16" s="639"/>
      <c r="AA16" s="631"/>
    </row>
    <row r="17" spans="1:35" s="625" customFormat="1" ht="25" hidden="1" customHeight="1">
      <c r="A17" s="2093"/>
      <c r="B17" s="747"/>
      <c r="C17" s="743" t="s">
        <v>6928</v>
      </c>
      <c r="D17" s="639"/>
      <c r="E17" s="639"/>
      <c r="F17" s="640"/>
      <c r="G17" s="639"/>
      <c r="H17" s="2094"/>
      <c r="I17" s="639"/>
      <c r="J17" s="640"/>
      <c r="K17" s="640"/>
      <c r="L17" s="640"/>
      <c r="M17" s="640"/>
      <c r="N17" s="640">
        <f>P16</f>
        <v>0</v>
      </c>
      <c r="O17" s="640">
        <f>R15*0</f>
        <v>0</v>
      </c>
      <c r="P17" s="640">
        <f>+N17+O17</f>
        <v>0</v>
      </c>
      <c r="Q17" s="640">
        <f>R16</f>
        <v>0</v>
      </c>
      <c r="R17" s="640">
        <f>+Q17+F17-O17</f>
        <v>0</v>
      </c>
      <c r="S17" s="640"/>
      <c r="T17" s="640">
        <f>R17*8.5%</f>
        <v>0</v>
      </c>
      <c r="U17" s="640"/>
      <c r="V17" s="640">
        <f>S17+T17</f>
        <v>0</v>
      </c>
      <c r="W17" s="640"/>
      <c r="X17" s="640"/>
      <c r="Y17" s="639"/>
      <c r="Z17" s="625" t="s">
        <v>4651</v>
      </c>
      <c r="AA17" s="631"/>
    </row>
    <row r="18" spans="1:35" ht="30.75" hidden="1" customHeight="1">
      <c r="A18" s="749"/>
      <c r="B18" s="680"/>
      <c r="C18" s="634"/>
      <c r="D18" s="634"/>
      <c r="E18" s="634"/>
      <c r="F18" s="640"/>
      <c r="G18" s="634"/>
      <c r="H18" s="634"/>
      <c r="I18" s="634"/>
      <c r="J18" s="2095"/>
      <c r="K18" s="2095"/>
      <c r="L18" s="2095"/>
      <c r="M18" s="2095"/>
      <c r="N18" s="634"/>
      <c r="O18" s="640"/>
      <c r="P18" s="640"/>
      <c r="Q18" s="640"/>
      <c r="R18" s="834"/>
      <c r="S18" s="640"/>
      <c r="T18" s="636"/>
      <c r="U18" s="636"/>
      <c r="V18" s="640"/>
      <c r="W18" s="640"/>
      <c r="X18" s="640"/>
      <c r="Y18" s="640"/>
    </row>
    <row r="19" spans="1:35" s="625" customFormat="1" ht="32.25" hidden="1" customHeight="1">
      <c r="A19" s="2099" t="s">
        <v>226</v>
      </c>
      <c r="B19" s="748" t="s">
        <v>304</v>
      </c>
      <c r="C19" s="743" t="s">
        <v>5105</v>
      </c>
      <c r="D19" s="639"/>
      <c r="E19" s="639"/>
      <c r="F19" s="640">
        <v>0</v>
      </c>
      <c r="G19" s="639"/>
      <c r="H19" s="639"/>
      <c r="I19" s="639"/>
      <c r="J19" s="639"/>
      <c r="K19" s="639"/>
      <c r="L19" s="639"/>
      <c r="M19" s="639"/>
      <c r="N19" s="640">
        <v>0</v>
      </c>
      <c r="O19" s="640">
        <v>0</v>
      </c>
      <c r="P19" s="640">
        <f>+N19+O19</f>
        <v>0</v>
      </c>
      <c r="Q19" s="640">
        <v>0</v>
      </c>
      <c r="R19" s="640">
        <f>(+Q19+F19-O19)</f>
        <v>0</v>
      </c>
      <c r="S19" s="640">
        <v>0</v>
      </c>
      <c r="T19" s="640">
        <v>0</v>
      </c>
      <c r="U19" s="834"/>
      <c r="V19" s="640">
        <f>S19+T19</f>
        <v>0</v>
      </c>
      <c r="W19" s="640"/>
      <c r="X19" s="640"/>
      <c r="Y19" s="640"/>
      <c r="AA19" s="631"/>
      <c r="AB19" s="625" t="s">
        <v>946</v>
      </c>
      <c r="AC19" s="660">
        <v>662.5</v>
      </c>
      <c r="AD19" s="660"/>
      <c r="AE19" s="660"/>
      <c r="AF19" s="660"/>
      <c r="AH19" s="660">
        <v>33.125</v>
      </c>
      <c r="AI19" s="625">
        <v>79.5</v>
      </c>
    </row>
    <row r="20" spans="1:35" s="625" customFormat="1" ht="25" hidden="1" customHeight="1">
      <c r="A20" s="2093"/>
      <c r="B20" s="747"/>
      <c r="C20" s="743" t="s">
        <v>5341</v>
      </c>
      <c r="D20" s="639"/>
      <c r="E20" s="639"/>
      <c r="F20" s="640">
        <v>0</v>
      </c>
      <c r="G20" s="639"/>
      <c r="H20" s="639"/>
      <c r="I20" s="639"/>
      <c r="J20" s="639"/>
      <c r="K20" s="639"/>
      <c r="L20" s="639"/>
      <c r="M20" s="639"/>
      <c r="N20" s="640">
        <f>P19</f>
        <v>0</v>
      </c>
      <c r="O20" s="640">
        <v>0</v>
      </c>
      <c r="P20" s="640">
        <f>+N20+O20</f>
        <v>0</v>
      </c>
      <c r="Q20" s="640">
        <f>+R19</f>
        <v>0</v>
      </c>
      <c r="R20" s="640">
        <f>+Q20+F20-O20</f>
        <v>0</v>
      </c>
      <c r="S20" s="640">
        <f>+V19</f>
        <v>0</v>
      </c>
      <c r="T20" s="834">
        <f>R20*12%</f>
        <v>0</v>
      </c>
      <c r="U20" s="834"/>
      <c r="V20" s="640">
        <f>+S20+T20</f>
        <v>0</v>
      </c>
      <c r="W20" s="640"/>
      <c r="X20" s="640"/>
      <c r="Y20" s="640"/>
      <c r="AA20" s="631"/>
      <c r="AB20" s="625" t="s">
        <v>947</v>
      </c>
      <c r="AC20" s="660">
        <f>AC19-AH19</f>
        <v>629.375</v>
      </c>
      <c r="AD20" s="660"/>
      <c r="AE20" s="660"/>
      <c r="AF20" s="660"/>
      <c r="AG20" s="625" t="s">
        <v>978</v>
      </c>
      <c r="AH20" s="660">
        <f>662.5/20</f>
        <v>33.125</v>
      </c>
      <c r="AI20" s="642">
        <f>+AC20*(30+31)/365*12%+(AC20-AH20)*(365-30-31)/365*12%</f>
        <v>72.21431506849315</v>
      </c>
    </row>
    <row r="21" spans="1:35" s="625" customFormat="1" ht="25" hidden="1" customHeight="1">
      <c r="A21" s="2093"/>
      <c r="B21" s="747"/>
      <c r="C21" s="743" t="s">
        <v>6928</v>
      </c>
      <c r="D21" s="639"/>
      <c r="E21" s="639"/>
      <c r="F21" s="640"/>
      <c r="G21" s="639"/>
      <c r="H21" s="639"/>
      <c r="I21" s="639"/>
      <c r="J21" s="639"/>
      <c r="K21" s="639"/>
      <c r="L21" s="639"/>
      <c r="M21" s="639"/>
      <c r="N21" s="640">
        <f>P20</f>
        <v>0</v>
      </c>
      <c r="O21" s="640">
        <v>0</v>
      </c>
      <c r="P21" s="640">
        <f>+N21+O21</f>
        <v>0</v>
      </c>
      <c r="Q21" s="640">
        <f>+R20</f>
        <v>0</v>
      </c>
      <c r="R21" s="640">
        <f>+Q21+F21-O21</f>
        <v>0</v>
      </c>
      <c r="S21" s="640">
        <f>+V20</f>
        <v>0</v>
      </c>
      <c r="T21" s="834">
        <f>R21*12%</f>
        <v>0</v>
      </c>
      <c r="U21" s="834"/>
      <c r="V21" s="640">
        <f>+S21+T21</f>
        <v>0</v>
      </c>
      <c r="W21" s="640"/>
      <c r="X21" s="640"/>
      <c r="Y21" s="640"/>
      <c r="Z21" s="625" t="s">
        <v>4651</v>
      </c>
      <c r="AA21" s="631"/>
    </row>
    <row r="22" spans="1:35" s="625" customFormat="1" ht="25" hidden="1" customHeight="1">
      <c r="A22" s="2093"/>
      <c r="B22" s="747"/>
      <c r="C22" s="639"/>
      <c r="D22" s="639"/>
      <c r="E22" s="639"/>
      <c r="F22" s="640"/>
      <c r="G22" s="639"/>
      <c r="H22" s="639"/>
      <c r="I22" s="639"/>
      <c r="J22" s="639"/>
      <c r="K22" s="639"/>
      <c r="L22" s="639"/>
      <c r="M22" s="639"/>
      <c r="N22" s="640"/>
      <c r="O22" s="640"/>
      <c r="P22" s="640"/>
      <c r="Q22" s="640"/>
      <c r="R22" s="640"/>
      <c r="S22" s="640"/>
      <c r="T22" s="834"/>
      <c r="U22" s="834"/>
      <c r="V22" s="640"/>
      <c r="W22" s="640"/>
      <c r="X22" s="640"/>
      <c r="Y22" s="640"/>
      <c r="AA22" s="631"/>
    </row>
    <row r="23" spans="1:35" s="625" customFormat="1" ht="36.75" hidden="1" customHeight="1">
      <c r="A23" s="2099" t="s">
        <v>4717</v>
      </c>
      <c r="B23" s="748" t="s">
        <v>3649</v>
      </c>
      <c r="C23" s="743" t="s">
        <v>5105</v>
      </c>
      <c r="D23" s="639"/>
      <c r="E23" s="639"/>
      <c r="F23" s="640">
        <v>0</v>
      </c>
      <c r="G23" s="639"/>
      <c r="H23" s="2094"/>
      <c r="I23" s="639"/>
      <c r="J23" s="640"/>
      <c r="K23" s="640"/>
      <c r="L23" s="640"/>
      <c r="M23" s="640"/>
      <c r="N23" s="640"/>
      <c r="O23" s="640">
        <v>0</v>
      </c>
      <c r="P23" s="640">
        <f>+N23+O23</f>
        <v>0</v>
      </c>
      <c r="Q23" s="640">
        <v>0</v>
      </c>
      <c r="R23" s="640">
        <f t="shared" ref="R23:R25" si="0">+Q23+F23-O23</f>
        <v>0</v>
      </c>
      <c r="S23" s="640">
        <v>0</v>
      </c>
      <c r="T23" s="640">
        <v>0</v>
      </c>
      <c r="U23" s="640"/>
      <c r="V23" s="640">
        <f>+S23+T23-X23</f>
        <v>0</v>
      </c>
      <c r="W23" s="640"/>
      <c r="X23" s="640"/>
      <c r="Y23" s="639"/>
      <c r="AA23" s="631"/>
    </row>
    <row r="24" spans="1:35" s="625" customFormat="1" ht="25" hidden="1" customHeight="1">
      <c r="A24" s="2093"/>
      <c r="B24" s="747"/>
      <c r="C24" s="743" t="s">
        <v>5341</v>
      </c>
      <c r="D24" s="639"/>
      <c r="E24" s="639"/>
      <c r="F24" s="640">
        <v>0</v>
      </c>
      <c r="G24" s="639"/>
      <c r="H24" s="639"/>
      <c r="I24" s="639"/>
      <c r="J24" s="639"/>
      <c r="K24" s="639"/>
      <c r="L24" s="639"/>
      <c r="M24" s="639"/>
      <c r="N24" s="640">
        <f>P23</f>
        <v>0</v>
      </c>
      <c r="O24" s="640">
        <v>0</v>
      </c>
      <c r="P24" s="640">
        <f>+N24+O24</f>
        <v>0</v>
      </c>
      <c r="Q24" s="640">
        <f>+R23</f>
        <v>0</v>
      </c>
      <c r="R24" s="640">
        <f t="shared" si="0"/>
        <v>0</v>
      </c>
      <c r="S24" s="640">
        <f>+V23</f>
        <v>0</v>
      </c>
      <c r="T24" s="834">
        <f>(Q24+R24)/2*13.5%</f>
        <v>0</v>
      </c>
      <c r="U24" s="834"/>
      <c r="V24" s="640">
        <f>+S24+T24-X24</f>
        <v>0</v>
      </c>
      <c r="W24" s="640"/>
      <c r="X24" s="834"/>
      <c r="Y24" s="640"/>
      <c r="AA24" s="631"/>
    </row>
    <row r="25" spans="1:35" s="625" customFormat="1" ht="25" hidden="1" customHeight="1">
      <c r="A25" s="2093"/>
      <c r="B25" s="747"/>
      <c r="C25" s="743" t="s">
        <v>6928</v>
      </c>
      <c r="D25" s="639"/>
      <c r="E25" s="639"/>
      <c r="F25" s="640">
        <v>0</v>
      </c>
      <c r="G25" s="639"/>
      <c r="H25" s="639"/>
      <c r="I25" s="639"/>
      <c r="J25" s="639"/>
      <c r="K25" s="639"/>
      <c r="L25" s="639"/>
      <c r="M25" s="639"/>
      <c r="N25" s="640">
        <f>P24</f>
        <v>0</v>
      </c>
      <c r="O25" s="640">
        <f>R24</f>
        <v>0</v>
      </c>
      <c r="P25" s="640">
        <f>+N25+O25</f>
        <v>0</v>
      </c>
      <c r="Q25" s="640">
        <f>+R24</f>
        <v>0</v>
      </c>
      <c r="R25" s="640">
        <f t="shared" si="0"/>
        <v>0</v>
      </c>
      <c r="S25" s="640">
        <f>V24</f>
        <v>0</v>
      </c>
      <c r="T25" s="834">
        <f>(Q25+R25)/2*13.5%</f>
        <v>0</v>
      </c>
      <c r="U25" s="834"/>
      <c r="V25" s="640">
        <f>+S25+T25-X25</f>
        <v>0</v>
      </c>
      <c r="W25" s="640"/>
      <c r="X25" s="834"/>
      <c r="Y25" s="640"/>
      <c r="Z25" s="625" t="s">
        <v>4651</v>
      </c>
      <c r="AA25" s="631"/>
    </row>
    <row r="26" spans="1:35" ht="25.5" hidden="1" customHeight="1">
      <c r="A26" s="634"/>
      <c r="B26" s="634"/>
      <c r="C26" s="634"/>
      <c r="D26" s="634"/>
      <c r="E26" s="634"/>
      <c r="F26" s="636"/>
      <c r="G26" s="634"/>
      <c r="H26" s="2101"/>
      <c r="I26" s="634"/>
      <c r="J26" s="636"/>
      <c r="K26" s="636"/>
      <c r="L26" s="636"/>
      <c r="M26" s="636"/>
      <c r="N26" s="636"/>
      <c r="O26" s="636"/>
      <c r="P26" s="636"/>
      <c r="Q26" s="636"/>
      <c r="R26" s="636"/>
      <c r="S26" s="636"/>
      <c r="T26" s="636"/>
      <c r="U26" s="636"/>
      <c r="V26" s="636"/>
      <c r="W26" s="636"/>
      <c r="X26" s="636"/>
      <c r="Y26" s="634"/>
    </row>
    <row r="27" spans="1:35" s="625" customFormat="1" ht="33" customHeight="1">
      <c r="A27" s="2099" t="s">
        <v>8054</v>
      </c>
      <c r="B27" s="748" t="s">
        <v>304</v>
      </c>
      <c r="C27" s="743" t="s">
        <v>5341</v>
      </c>
      <c r="D27" s="639">
        <v>0</v>
      </c>
      <c r="E27" s="639"/>
      <c r="F27" s="640">
        <f>'WFD F-17'!I26</f>
        <v>8.9146699999999995E-2</v>
      </c>
      <c r="G27" s="639"/>
      <c r="H27" s="2094"/>
      <c r="I27" s="639"/>
      <c r="J27" s="640"/>
      <c r="K27" s="640"/>
      <c r="L27" s="640"/>
      <c r="M27" s="640"/>
      <c r="N27" s="640">
        <v>0</v>
      </c>
      <c r="O27" s="640">
        <v>0</v>
      </c>
      <c r="P27" s="640">
        <f>+N27+O27</f>
        <v>0</v>
      </c>
      <c r="Q27" s="640">
        <f>'WFD F-17'!H26</f>
        <v>8.3733000000000002E-3</v>
      </c>
      <c r="R27" s="640">
        <f>+Q27+F27-O27</f>
        <v>9.7519999999999996E-2</v>
      </c>
      <c r="S27" s="640">
        <v>0</v>
      </c>
      <c r="T27" s="640">
        <v>0</v>
      </c>
      <c r="U27" s="640"/>
      <c r="V27" s="640">
        <f>(S27+T27)</f>
        <v>0</v>
      </c>
      <c r="W27" s="640"/>
      <c r="X27" s="640"/>
      <c r="Y27" s="639"/>
      <c r="AA27" s="631"/>
    </row>
    <row r="28" spans="1:35" s="625" customFormat="1" ht="25" customHeight="1">
      <c r="A28" s="2093"/>
      <c r="B28" s="747"/>
      <c r="C28" s="743" t="s">
        <v>6928</v>
      </c>
      <c r="D28" s="639"/>
      <c r="E28" s="639"/>
      <c r="F28" s="640">
        <v>0</v>
      </c>
      <c r="G28" s="639"/>
      <c r="H28" s="2094"/>
      <c r="I28" s="639"/>
      <c r="J28" s="640"/>
      <c r="K28" s="640"/>
      <c r="L28" s="640"/>
      <c r="M28" s="640"/>
      <c r="N28" s="640">
        <f>P27</f>
        <v>0</v>
      </c>
      <c r="O28" s="640">
        <f>1743840/10000000*0</f>
        <v>0</v>
      </c>
      <c r="P28" s="640">
        <f>+N28+O28</f>
        <v>0</v>
      </c>
      <c r="Q28" s="640">
        <f>+R27</f>
        <v>9.7519999999999996E-2</v>
      </c>
      <c r="R28" s="640">
        <f>+Q28+F28-O28</f>
        <v>9.7519999999999996E-2</v>
      </c>
      <c r="S28" s="640">
        <v>0</v>
      </c>
      <c r="T28" s="834">
        <f>(Q28+R28)/2*11%</f>
        <v>1.0727199999999999E-2</v>
      </c>
      <c r="U28" s="640"/>
      <c r="V28" s="640">
        <f>+S28+T28-X28</f>
        <v>1.0727199999999999E-2</v>
      </c>
      <c r="W28" s="640"/>
      <c r="X28" s="640"/>
      <c r="Y28" s="639"/>
      <c r="AA28" s="631"/>
    </row>
    <row r="29" spans="1:35" s="625" customFormat="1" ht="25" customHeight="1">
      <c r="A29" s="2093"/>
      <c r="B29" s="747"/>
      <c r="C29" s="743" t="s">
        <v>8001</v>
      </c>
      <c r="D29" s="639"/>
      <c r="E29" s="639"/>
      <c r="F29" s="640">
        <v>0</v>
      </c>
      <c r="G29" s="639"/>
      <c r="H29" s="2094"/>
      <c r="I29" s="639"/>
      <c r="J29" s="640"/>
      <c r="K29" s="640"/>
      <c r="L29" s="640"/>
      <c r="M29" s="640"/>
      <c r="N29" s="640">
        <f>P28</f>
        <v>0</v>
      </c>
      <c r="O29" s="640">
        <f>1743840/10000000*0</f>
        <v>0</v>
      </c>
      <c r="P29" s="640">
        <f>+N29+O29</f>
        <v>0</v>
      </c>
      <c r="Q29" s="640">
        <f>+R28</f>
        <v>9.7519999999999996E-2</v>
      </c>
      <c r="R29" s="640">
        <f>+Q29+F29-O29</f>
        <v>9.7519999999999996E-2</v>
      </c>
      <c r="S29" s="640">
        <v>0</v>
      </c>
      <c r="T29" s="834">
        <f>(Q29+R29)/2*11%</f>
        <v>1.0727199999999999E-2</v>
      </c>
      <c r="U29" s="640"/>
      <c r="V29" s="640">
        <f>+S29+T29-X29</f>
        <v>1.0727199999999999E-2</v>
      </c>
      <c r="W29" s="640"/>
      <c r="X29" s="640"/>
      <c r="Y29" s="639"/>
      <c r="Z29" s="625" t="s">
        <v>4651</v>
      </c>
      <c r="AA29" s="631"/>
    </row>
    <row r="30" spans="1:35" ht="25" customHeight="1">
      <c r="A30" s="634"/>
      <c r="B30" s="634"/>
      <c r="C30" s="634"/>
      <c r="D30" s="636"/>
      <c r="E30" s="634"/>
      <c r="F30" s="636"/>
      <c r="G30" s="634"/>
      <c r="H30" s="2095"/>
      <c r="I30" s="634"/>
      <c r="J30" s="636"/>
      <c r="K30" s="636"/>
      <c r="L30" s="636"/>
      <c r="M30" s="636"/>
      <c r="N30" s="636"/>
      <c r="O30" s="636"/>
      <c r="P30" s="636"/>
      <c r="Q30" s="2102"/>
      <c r="R30" s="636"/>
      <c r="S30" s="640"/>
      <c r="T30" s="636"/>
      <c r="U30" s="636"/>
      <c r="V30" s="640"/>
      <c r="W30" s="640"/>
      <c r="X30" s="636"/>
      <c r="Y30" s="634"/>
    </row>
    <row r="31" spans="1:35" s="625" customFormat="1" ht="25" customHeight="1">
      <c r="A31" s="2942" t="s">
        <v>3313</v>
      </c>
      <c r="B31" s="2900" t="s">
        <v>3314</v>
      </c>
      <c r="C31" s="2901" t="s">
        <v>5341</v>
      </c>
      <c r="D31" s="2902">
        <v>72</v>
      </c>
      <c r="E31" s="2903"/>
      <c r="F31" s="2904">
        <f>'WFD F-17'!I10</f>
        <v>6.3162399999999996</v>
      </c>
      <c r="G31" s="2903"/>
      <c r="H31" s="2905"/>
      <c r="I31" s="2903"/>
      <c r="J31" s="2904"/>
      <c r="K31" s="2904"/>
      <c r="L31" s="2904"/>
      <c r="M31" s="2904"/>
      <c r="N31" s="2904">
        <v>0</v>
      </c>
      <c r="O31" s="2904">
        <f>'WFD F-17'!J10</f>
        <v>0</v>
      </c>
      <c r="P31" s="2902">
        <f>N31+O31</f>
        <v>0</v>
      </c>
      <c r="Q31" s="2904">
        <f>'WFD F-17'!H10</f>
        <v>23.978283999999977</v>
      </c>
      <c r="R31" s="2904">
        <f>+Q31+F31-O31</f>
        <v>30.294523999999978</v>
      </c>
      <c r="S31" s="2904"/>
      <c r="T31" s="2904">
        <f>'WFD F-17'!L10</f>
        <v>2.2177934000000001</v>
      </c>
      <c r="U31" s="2906"/>
      <c r="V31" s="2904">
        <f t="shared" ref="V31:V34" si="1">+S31+T31-X31</f>
        <v>2.2177934000000001</v>
      </c>
      <c r="W31" s="2904"/>
      <c r="X31" s="2904"/>
      <c r="Y31" s="2904"/>
      <c r="AA31" s="631"/>
    </row>
    <row r="32" spans="1:35" s="625" customFormat="1" ht="25" customHeight="1">
      <c r="A32" s="2899"/>
      <c r="B32" s="2900"/>
      <c r="C32" s="2907" t="s">
        <v>8032</v>
      </c>
      <c r="D32" s="2902">
        <v>72</v>
      </c>
      <c r="E32" s="2903"/>
      <c r="F32" s="2904">
        <f>'WFD F-17'!I11</f>
        <v>0</v>
      </c>
      <c r="G32" s="2903"/>
      <c r="H32" s="2905"/>
      <c r="I32" s="2903"/>
      <c r="J32" s="2904"/>
      <c r="K32" s="2904"/>
      <c r="L32" s="2904"/>
      <c r="M32" s="2904"/>
      <c r="N32" s="2904">
        <f>P31</f>
        <v>0</v>
      </c>
      <c r="O32" s="2904">
        <f>'WFD F-17'!J11</f>
        <v>6.64</v>
      </c>
      <c r="P32" s="2902">
        <f>N32+O32</f>
        <v>6.64</v>
      </c>
      <c r="Q32" s="2904">
        <f>+R31</f>
        <v>30.294523999999978</v>
      </c>
      <c r="R32" s="2904">
        <f>Q32+F32-O32</f>
        <v>23.654523999999977</v>
      </c>
      <c r="S32" s="2904">
        <f>+V31</f>
        <v>2.2177934000000001</v>
      </c>
      <c r="T32" s="2904">
        <f>'WFD F-17'!L11+'WFD F-17'!L12</f>
        <v>0.68029804150567652</v>
      </c>
      <c r="U32" s="2904"/>
      <c r="V32" s="2904">
        <f t="shared" si="1"/>
        <v>2.8980914415056764</v>
      </c>
      <c r="W32" s="2904"/>
      <c r="X32" s="2904"/>
      <c r="Y32" s="2904"/>
      <c r="AA32" s="631"/>
    </row>
    <row r="33" spans="1:32" s="625" customFormat="1" ht="25" customHeight="1">
      <c r="A33" s="2899"/>
      <c r="B33" s="2900"/>
      <c r="C33" s="2907" t="s">
        <v>8033</v>
      </c>
      <c r="D33" s="2902"/>
      <c r="E33" s="2903"/>
      <c r="F33" s="2904">
        <v>0</v>
      </c>
      <c r="G33" s="2903"/>
      <c r="H33" s="2905"/>
      <c r="I33" s="2903"/>
      <c r="J33" s="2904"/>
      <c r="K33" s="2904"/>
      <c r="L33" s="2904"/>
      <c r="M33" s="2904"/>
      <c r="N33" s="2904">
        <f>P32</f>
        <v>6.64</v>
      </c>
      <c r="O33" s="2904">
        <f>'WFD F-17'!J12</f>
        <v>0</v>
      </c>
      <c r="P33" s="2902">
        <f>N33+O33</f>
        <v>6.64</v>
      </c>
      <c r="Q33" s="2904">
        <f t="shared" ref="Q33" si="2">+R32</f>
        <v>23.654523999999977</v>
      </c>
      <c r="R33" s="2904">
        <f>Q33+F33-O33</f>
        <v>23.654523999999977</v>
      </c>
      <c r="S33" s="2904">
        <f>+V32</f>
        <v>2.8980914415056764</v>
      </c>
      <c r="T33" s="2904">
        <f>((Q33+R33)/2*6.8%)/2</f>
        <v>0.80425381599999923</v>
      </c>
      <c r="U33" s="2904"/>
      <c r="V33" s="2904">
        <f t="shared" si="1"/>
        <v>3.7023452575056757</v>
      </c>
      <c r="W33" s="2904"/>
      <c r="X33" s="2904"/>
      <c r="Y33" s="2904"/>
      <c r="AA33" s="631"/>
    </row>
    <row r="34" spans="1:32" s="625" customFormat="1" ht="25" customHeight="1">
      <c r="A34" s="2899"/>
      <c r="B34" s="2900"/>
      <c r="C34" s="2901" t="s">
        <v>8001</v>
      </c>
      <c r="D34" s="2902"/>
      <c r="E34" s="2903"/>
      <c r="F34" s="2904">
        <v>0</v>
      </c>
      <c r="G34" s="2903"/>
      <c r="H34" s="2905"/>
      <c r="I34" s="2903"/>
      <c r="J34" s="2904"/>
      <c r="K34" s="2904"/>
      <c r="L34" s="2904"/>
      <c r="M34" s="2904"/>
      <c r="N34" s="2904">
        <v>0</v>
      </c>
      <c r="O34" s="2904">
        <v>0</v>
      </c>
      <c r="P34" s="2904">
        <f>N34+O34</f>
        <v>0</v>
      </c>
      <c r="Q34" s="2904">
        <f>R33</f>
        <v>23.654523999999977</v>
      </c>
      <c r="R34" s="2904">
        <f>Q34+F34-O34</f>
        <v>23.654523999999977</v>
      </c>
      <c r="S34" s="2904">
        <f>+V32</f>
        <v>2.8980914415056764</v>
      </c>
      <c r="T34" s="2904">
        <f>(Q34+R34)/2*6.8%</f>
        <v>1.6085076319999985</v>
      </c>
      <c r="U34" s="2904"/>
      <c r="V34" s="2904">
        <f t="shared" si="1"/>
        <v>4.5065990735056749</v>
      </c>
      <c r="W34" s="2904"/>
      <c r="X34" s="2904"/>
      <c r="Y34" s="2903"/>
      <c r="AA34" s="631"/>
    </row>
    <row r="35" spans="1:32" s="625" customFormat="1" ht="25" customHeight="1">
      <c r="A35" s="2093"/>
      <c r="B35" s="747"/>
      <c r="C35" s="743"/>
      <c r="D35" s="636"/>
      <c r="E35" s="639"/>
      <c r="F35" s="640"/>
      <c r="G35" s="639"/>
      <c r="H35" s="2094"/>
      <c r="I35" s="639"/>
      <c r="J35" s="640"/>
      <c r="K35" s="640"/>
      <c r="L35" s="640"/>
      <c r="M35" s="640"/>
      <c r="N35" s="640"/>
      <c r="O35" s="640"/>
      <c r="P35" s="636"/>
      <c r="Q35" s="640"/>
      <c r="R35" s="640"/>
      <c r="S35" s="640"/>
      <c r="T35" s="640"/>
      <c r="U35" s="640"/>
      <c r="V35" s="640"/>
      <c r="W35" s="640"/>
      <c r="X35" s="640"/>
      <c r="Y35" s="639"/>
      <c r="AA35" s="631"/>
    </row>
    <row r="36" spans="1:32" s="625" customFormat="1" ht="25" hidden="1" customHeight="1">
      <c r="A36" s="2093"/>
      <c r="B36" s="747"/>
      <c r="C36" s="743"/>
      <c r="D36" s="640"/>
      <c r="E36" s="639"/>
      <c r="F36" s="640"/>
      <c r="G36" s="639"/>
      <c r="H36" s="2094"/>
      <c r="I36" s="639"/>
      <c r="J36" s="640"/>
      <c r="K36" s="640"/>
      <c r="L36" s="640"/>
      <c r="M36" s="640"/>
      <c r="N36" s="640"/>
      <c r="O36" s="640"/>
      <c r="P36" s="640"/>
      <c r="Q36" s="640"/>
      <c r="R36" s="640"/>
      <c r="S36" s="640"/>
      <c r="T36" s="640"/>
      <c r="U36" s="640"/>
      <c r="V36" s="640"/>
      <c r="W36" s="640"/>
      <c r="X36" s="640"/>
      <c r="Y36" s="639"/>
      <c r="AA36" s="631"/>
    </row>
    <row r="37" spans="1:32" s="625" customFormat="1" ht="25" hidden="1" customHeight="1">
      <c r="A37" s="2093"/>
      <c r="B37" s="747"/>
      <c r="C37" s="743"/>
      <c r="D37" s="636"/>
      <c r="E37" s="639"/>
      <c r="F37" s="640"/>
      <c r="G37" s="639"/>
      <c r="H37" s="2094"/>
      <c r="I37" s="639"/>
      <c r="J37" s="640"/>
      <c r="K37" s="640"/>
      <c r="L37" s="640"/>
      <c r="M37" s="640"/>
      <c r="N37" s="640"/>
      <c r="O37" s="640"/>
      <c r="P37" s="636"/>
      <c r="Q37" s="640"/>
      <c r="R37" s="640"/>
      <c r="S37" s="640"/>
      <c r="T37" s="640"/>
      <c r="U37" s="640"/>
      <c r="V37" s="640"/>
      <c r="W37" s="640"/>
      <c r="X37" s="640"/>
      <c r="Y37" s="639"/>
      <c r="AA37" s="631"/>
    </row>
    <row r="38" spans="1:32" s="625" customFormat="1" ht="25" customHeight="1">
      <c r="A38" s="2942" t="s">
        <v>8016</v>
      </c>
      <c r="B38" s="2883"/>
      <c r="C38" s="2876" t="s">
        <v>5341</v>
      </c>
      <c r="D38" s="2882">
        <f>'WFD F-17'!C2</f>
        <v>100</v>
      </c>
      <c r="E38" s="2880"/>
      <c r="F38" s="2879">
        <f>'WFD F-17'!I2</f>
        <v>85</v>
      </c>
      <c r="G38" s="2880"/>
      <c r="H38" s="2881"/>
      <c r="I38" s="2880"/>
      <c r="J38" s="2879"/>
      <c r="K38" s="2879"/>
      <c r="L38" s="2879"/>
      <c r="M38" s="2879"/>
      <c r="N38" s="2879">
        <v>0</v>
      </c>
      <c r="O38" s="2879">
        <f>'WFD F-17'!J2</f>
        <v>0</v>
      </c>
      <c r="P38" s="2879">
        <f>N38+O38</f>
        <v>0</v>
      </c>
      <c r="Q38" s="2879">
        <v>0</v>
      </c>
      <c r="R38" s="2879">
        <f>+Q38+F38-O38</f>
        <v>85</v>
      </c>
      <c r="S38" s="2879"/>
      <c r="T38" s="2879">
        <f>'WFD F-17'!L2</f>
        <v>0.35575342400000004</v>
      </c>
      <c r="U38" s="2879"/>
      <c r="V38" s="2879">
        <f t="shared" ref="V38:V41" si="3">+S38+T38-X38</f>
        <v>0.35575342400000004</v>
      </c>
      <c r="W38" s="2879"/>
      <c r="X38" s="2879"/>
      <c r="Y38" s="2880"/>
      <c r="AA38" s="631"/>
    </row>
    <row r="39" spans="1:32" s="625" customFormat="1" ht="25" customHeight="1">
      <c r="A39" s="2874"/>
      <c r="B39" s="2883"/>
      <c r="C39" s="2884" t="s">
        <v>8032</v>
      </c>
      <c r="D39" s="2882">
        <f>'WFD F-17'!C3</f>
        <v>200</v>
      </c>
      <c r="E39" s="2880"/>
      <c r="F39" s="2879">
        <f>'WFD F-17'!I3+'WFD F-17'!I4</f>
        <v>115</v>
      </c>
      <c r="G39" s="2880"/>
      <c r="H39" s="2881"/>
      <c r="I39" s="2880"/>
      <c r="J39" s="2879"/>
      <c r="K39" s="2879"/>
      <c r="L39" s="2879"/>
      <c r="M39" s="2879"/>
      <c r="N39" s="2879">
        <f>P38</f>
        <v>0</v>
      </c>
      <c r="O39" s="2879">
        <f>'WFD F-17'!I3+'WFD F-17'!I4</f>
        <v>115</v>
      </c>
      <c r="P39" s="2879">
        <f>N39+O39</f>
        <v>115</v>
      </c>
      <c r="Q39" s="2879">
        <f>+R38</f>
        <v>85</v>
      </c>
      <c r="R39" s="2879">
        <f>Q39+F39-O39</f>
        <v>85</v>
      </c>
      <c r="S39" s="2879">
        <f>+V38</f>
        <v>0.35575342400000004</v>
      </c>
      <c r="T39" s="2879">
        <f>'WFD F-17'!L3+'WFD F-17'!L4</f>
        <v>4.07839507</v>
      </c>
      <c r="U39" s="2879"/>
      <c r="V39" s="2879">
        <f t="shared" si="3"/>
        <v>4.4341484940000004</v>
      </c>
      <c r="W39" s="2879"/>
      <c r="X39" s="2879"/>
      <c r="Y39" s="2880"/>
      <c r="AA39" s="631"/>
    </row>
    <row r="40" spans="1:32" s="625" customFormat="1" ht="25" customHeight="1">
      <c r="A40" s="2874"/>
      <c r="B40" s="2883"/>
      <c r="C40" s="2884" t="s">
        <v>8033</v>
      </c>
      <c r="D40" s="2882">
        <f>D39</f>
        <v>200</v>
      </c>
      <c r="E40" s="2880"/>
      <c r="F40" s="2879"/>
      <c r="G40" s="2880"/>
      <c r="H40" s="2881"/>
      <c r="I40" s="2880"/>
      <c r="J40" s="2879"/>
      <c r="K40" s="2879"/>
      <c r="L40" s="2879"/>
      <c r="M40" s="2879"/>
      <c r="N40" s="2879">
        <f>P39</f>
        <v>115</v>
      </c>
      <c r="O40" s="2879">
        <v>0</v>
      </c>
      <c r="P40" s="2879">
        <f>N40+O40</f>
        <v>115</v>
      </c>
      <c r="Q40" s="2879">
        <f>+R38</f>
        <v>85</v>
      </c>
      <c r="R40" s="2879">
        <f>Q40+F40-O40</f>
        <v>85</v>
      </c>
      <c r="S40" s="2879">
        <f>+V39</f>
        <v>4.4341484940000004</v>
      </c>
      <c r="T40" s="2879">
        <f>((Q40+R40)/2*6.8%)/2</f>
        <v>2.89</v>
      </c>
      <c r="U40" s="2879"/>
      <c r="V40" s="2879">
        <f t="shared" si="3"/>
        <v>7.324148494000001</v>
      </c>
      <c r="W40" s="2879"/>
      <c r="X40" s="2879"/>
      <c r="Y40" s="2880"/>
      <c r="AA40" s="631"/>
    </row>
    <row r="41" spans="1:32" ht="25" customHeight="1">
      <c r="A41" s="2874"/>
      <c r="B41" s="2883"/>
      <c r="C41" s="2876" t="s">
        <v>8001</v>
      </c>
      <c r="D41" s="2917"/>
      <c r="E41" s="2914"/>
      <c r="F41" s="2879"/>
      <c r="G41" s="2914"/>
      <c r="H41" s="2918"/>
      <c r="I41" s="2914"/>
      <c r="J41" s="2882"/>
      <c r="K41" s="2882"/>
      <c r="L41" s="2882"/>
      <c r="M41" s="2882"/>
      <c r="N41" s="2879">
        <v>0</v>
      </c>
      <c r="O41" s="2879">
        <v>0</v>
      </c>
      <c r="P41" s="2879">
        <f>N41+O41</f>
        <v>0</v>
      </c>
      <c r="Q41" s="2879">
        <f>+R40</f>
        <v>85</v>
      </c>
      <c r="R41" s="2879">
        <f>Q41+F41-O41</f>
        <v>85</v>
      </c>
      <c r="S41" s="2879">
        <f>+V39</f>
        <v>4.4341484940000004</v>
      </c>
      <c r="T41" s="2879">
        <f>(Q41+R41)/2*6.8%</f>
        <v>5.78</v>
      </c>
      <c r="U41" s="2882"/>
      <c r="V41" s="2879">
        <f t="shared" si="3"/>
        <v>10.214148494</v>
      </c>
      <c r="W41" s="2879"/>
      <c r="X41" s="2882"/>
      <c r="Y41" s="2914"/>
    </row>
    <row r="42" spans="1:32" ht="25" customHeight="1">
      <c r="A42" s="2093"/>
      <c r="B42" s="747"/>
      <c r="C42" s="743"/>
      <c r="D42" s="2103"/>
      <c r="E42" s="634"/>
      <c r="F42" s="636"/>
      <c r="G42" s="634"/>
      <c r="H42" s="2095"/>
      <c r="I42" s="634"/>
      <c r="J42" s="636"/>
      <c r="K42" s="636"/>
      <c r="L42" s="636"/>
      <c r="M42" s="636"/>
      <c r="N42" s="636"/>
      <c r="O42" s="636"/>
      <c r="P42" s="636"/>
      <c r="Q42" s="636"/>
      <c r="R42" s="640"/>
      <c r="S42" s="640"/>
      <c r="T42" s="636"/>
      <c r="U42" s="636"/>
      <c r="V42" s="640"/>
      <c r="W42" s="640"/>
      <c r="X42" s="636"/>
      <c r="Y42" s="634"/>
    </row>
    <row r="43" spans="1:32" s="625" customFormat="1" ht="25" customHeight="1">
      <c r="A43" s="2942" t="s">
        <v>8035</v>
      </c>
      <c r="B43" s="2928"/>
      <c r="C43" s="2929" t="s">
        <v>5341</v>
      </c>
      <c r="D43" s="2930">
        <f>'WFD F-17'!C18</f>
        <v>63</v>
      </c>
      <c r="E43" s="2931"/>
      <c r="F43" s="2932">
        <f>'WFD F-17'!I18</f>
        <v>0</v>
      </c>
      <c r="G43" s="2931"/>
      <c r="H43" s="2933"/>
      <c r="I43" s="2931"/>
      <c r="J43" s="2932"/>
      <c r="K43" s="2932"/>
      <c r="L43" s="2932"/>
      <c r="M43" s="2932"/>
      <c r="N43" s="2932">
        <v>0</v>
      </c>
      <c r="O43" s="2932">
        <f>'WFD F-17'!J18</f>
        <v>1.31</v>
      </c>
      <c r="P43" s="2932">
        <f>N43+O43</f>
        <v>1.31</v>
      </c>
      <c r="Q43" s="2932">
        <f>'WFD F-17'!H18</f>
        <v>61.888361400000001</v>
      </c>
      <c r="R43" s="2932">
        <f>+Q43+F43-O43</f>
        <v>60.578361399999999</v>
      </c>
      <c r="S43" s="2932"/>
      <c r="T43" s="2932">
        <f>'WFD F-17'!L18</f>
        <v>3.4990194560000001</v>
      </c>
      <c r="U43" s="2932"/>
      <c r="V43" s="2932">
        <f t="shared" ref="V43:V73" si="4">+S43+T43-X43</f>
        <v>3.4990194560000001</v>
      </c>
      <c r="W43" s="2932"/>
      <c r="X43" s="2932"/>
      <c r="Y43" s="2931"/>
      <c r="AA43" s="631"/>
    </row>
    <row r="44" spans="1:32" s="625" customFormat="1" ht="25" customHeight="1">
      <c r="A44" s="2927"/>
      <c r="B44" s="2928"/>
      <c r="C44" s="2934" t="s">
        <v>8032</v>
      </c>
      <c r="D44" s="2930">
        <f>'WFD F-17'!C19</f>
        <v>63</v>
      </c>
      <c r="E44" s="2931"/>
      <c r="F44" s="2932">
        <f>'WFD F-17'!I19+'WFD F-17'!I20</f>
        <v>0</v>
      </c>
      <c r="G44" s="2931"/>
      <c r="H44" s="2933"/>
      <c r="I44" s="2931"/>
      <c r="J44" s="2932"/>
      <c r="K44" s="2932"/>
      <c r="L44" s="2932"/>
      <c r="M44" s="2932"/>
      <c r="N44" s="2932">
        <f>P43</f>
        <v>1.31</v>
      </c>
      <c r="O44" s="2932">
        <f>'WFD F-17'!J19+'WFD F-17'!J20</f>
        <v>0</v>
      </c>
      <c r="P44" s="2932">
        <f>N44+O44</f>
        <v>1.31</v>
      </c>
      <c r="Q44" s="2932">
        <f>+R43</f>
        <v>60.578361399999999</v>
      </c>
      <c r="R44" s="2932">
        <f>Q44+F44-O44</f>
        <v>60.578361399999999</v>
      </c>
      <c r="S44" s="2932">
        <f>+V43</f>
        <v>3.4990194560000001</v>
      </c>
      <c r="T44" s="2932">
        <f>'WFD F-17'!L19+'WFD F-17'!L20</f>
        <v>1.670618835</v>
      </c>
      <c r="U44" s="2932"/>
      <c r="V44" s="2932">
        <f t="shared" si="4"/>
        <v>5.1696382910000001</v>
      </c>
      <c r="W44" s="2932"/>
      <c r="X44" s="2932"/>
      <c r="Y44" s="2931"/>
      <c r="AA44" s="631"/>
    </row>
    <row r="45" spans="1:32" s="625" customFormat="1" ht="25" customHeight="1">
      <c r="A45" s="2927"/>
      <c r="B45" s="2928"/>
      <c r="C45" s="2934" t="s">
        <v>8033</v>
      </c>
      <c r="D45" s="2930">
        <f>D44</f>
        <v>63</v>
      </c>
      <c r="E45" s="2931"/>
      <c r="F45" s="2932"/>
      <c r="G45" s="2931"/>
      <c r="H45" s="2933"/>
      <c r="I45" s="2931"/>
      <c r="J45" s="2932"/>
      <c r="K45" s="2932"/>
      <c r="L45" s="2932"/>
      <c r="M45" s="2932"/>
      <c r="N45" s="2932">
        <f>P44</f>
        <v>1.31</v>
      </c>
      <c r="O45" s="2932"/>
      <c r="P45" s="2932">
        <f>N45+O45</f>
        <v>1.31</v>
      </c>
      <c r="Q45" s="2932">
        <f>+R43</f>
        <v>60.578361399999999</v>
      </c>
      <c r="R45" s="2932">
        <f>Q45+F45-O45</f>
        <v>60.578361399999999</v>
      </c>
      <c r="S45" s="2932">
        <f>+V44</f>
        <v>5.1696382910000001</v>
      </c>
      <c r="T45" s="2932">
        <f>((Q45+R45)/2*6.8%)/2</f>
        <v>2.0596642876</v>
      </c>
      <c r="U45" s="2932"/>
      <c r="V45" s="2932">
        <f t="shared" si="4"/>
        <v>7.2293025786000005</v>
      </c>
      <c r="W45" s="2932"/>
      <c r="X45" s="2932"/>
      <c r="Y45" s="2931"/>
      <c r="AA45" s="631"/>
      <c r="AB45" s="625">
        <v>60000000</v>
      </c>
      <c r="AC45" s="2104">
        <f>+AB45*(12+31+30+31)/365*7.5%</f>
        <v>1282191.7808219178</v>
      </c>
      <c r="AD45" s="2104"/>
      <c r="AE45" s="2104"/>
      <c r="AF45" s="2104"/>
    </row>
    <row r="46" spans="1:32" s="625" customFormat="1" ht="25" customHeight="1">
      <c r="A46" s="2927"/>
      <c r="B46" s="2928"/>
      <c r="C46" s="2929" t="s">
        <v>8001</v>
      </c>
      <c r="D46" s="2931"/>
      <c r="E46" s="2931"/>
      <c r="F46" s="2932"/>
      <c r="G46" s="2931"/>
      <c r="H46" s="2933"/>
      <c r="I46" s="2931"/>
      <c r="J46" s="2932"/>
      <c r="K46" s="2932"/>
      <c r="L46" s="2932"/>
      <c r="M46" s="2932"/>
      <c r="N46" s="2932">
        <v>0</v>
      </c>
      <c r="O46" s="2932"/>
      <c r="P46" s="2932">
        <f>N46+O46</f>
        <v>0</v>
      </c>
      <c r="Q46" s="2932">
        <f>+R45</f>
        <v>60.578361399999999</v>
      </c>
      <c r="R46" s="2932">
        <f>Q46+F46-O46</f>
        <v>60.578361399999999</v>
      </c>
      <c r="S46" s="2932">
        <f>+V44</f>
        <v>5.1696382910000001</v>
      </c>
      <c r="T46" s="2932">
        <f>(Q46+R46)/2*6.8%</f>
        <v>4.1193285752</v>
      </c>
      <c r="U46" s="2932"/>
      <c r="V46" s="2932">
        <f t="shared" si="4"/>
        <v>9.2889668661999991</v>
      </c>
      <c r="W46" s="2932"/>
      <c r="X46" s="2932"/>
      <c r="Y46" s="2931"/>
      <c r="AA46" s="631"/>
      <c r="AB46" s="625">
        <v>60000000</v>
      </c>
      <c r="AC46" s="2104">
        <f>+AB46*31/365*7.5%</f>
        <v>382191.78082191775</v>
      </c>
      <c r="AD46" s="2104"/>
      <c r="AE46" s="2104"/>
      <c r="AF46" s="2104"/>
    </row>
    <row r="47" spans="1:32" ht="25" hidden="1" customHeight="1">
      <c r="A47" s="741"/>
      <c r="B47" s="748"/>
      <c r="C47" s="634"/>
      <c r="D47" s="636"/>
      <c r="E47" s="634"/>
      <c r="F47" s="636"/>
      <c r="G47" s="634"/>
      <c r="H47" s="2095"/>
      <c r="I47" s="634"/>
      <c r="J47" s="636"/>
      <c r="K47" s="636"/>
      <c r="L47" s="636"/>
      <c r="M47" s="636"/>
      <c r="N47" s="636"/>
      <c r="O47" s="636"/>
      <c r="P47" s="636"/>
      <c r="Q47" s="636"/>
      <c r="R47" s="640"/>
      <c r="S47" s="640"/>
      <c r="T47" s="636"/>
      <c r="U47" s="636"/>
      <c r="V47" s="640"/>
      <c r="W47" s="640"/>
      <c r="X47" s="636"/>
      <c r="Y47" s="634"/>
      <c r="AC47" s="762"/>
      <c r="AD47" s="762"/>
      <c r="AE47" s="762"/>
      <c r="AF47" s="762"/>
    </row>
    <row r="48" spans="1:32" s="625" customFormat="1" ht="37.5" hidden="1" customHeight="1">
      <c r="A48" s="2242" t="s">
        <v>3318</v>
      </c>
      <c r="B48" s="748" t="s">
        <v>304</v>
      </c>
      <c r="C48" s="743" t="s">
        <v>5105</v>
      </c>
      <c r="D48" s="639"/>
      <c r="E48" s="639"/>
      <c r="F48" s="640">
        <v>0</v>
      </c>
      <c r="G48" s="639"/>
      <c r="H48" s="2094"/>
      <c r="I48" s="634"/>
      <c r="J48" s="636"/>
      <c r="K48" s="640"/>
      <c r="L48" s="640"/>
      <c r="M48" s="640"/>
      <c r="N48" s="640">
        <v>0</v>
      </c>
      <c r="O48" s="640">
        <v>0</v>
      </c>
      <c r="P48" s="640">
        <v>0</v>
      </c>
      <c r="Q48" s="2257">
        <v>0</v>
      </c>
      <c r="R48" s="640">
        <f t="shared" ref="R48" si="5">+Q48+F48-O48</f>
        <v>0</v>
      </c>
      <c r="S48" s="640">
        <v>0</v>
      </c>
      <c r="T48" s="640">
        <v>0</v>
      </c>
      <c r="U48" s="640"/>
      <c r="V48" s="640">
        <f t="shared" si="4"/>
        <v>0</v>
      </c>
      <c r="W48" s="640"/>
      <c r="X48" s="640"/>
      <c r="Y48" s="639"/>
      <c r="AA48" s="631"/>
      <c r="AC48" s="2104"/>
      <c r="AD48" s="2104"/>
      <c r="AE48" s="2104"/>
      <c r="AF48" s="2104"/>
    </row>
    <row r="49" spans="1:32" s="625" customFormat="1" ht="25" hidden="1" customHeight="1">
      <c r="A49" s="2093"/>
      <c r="B49" s="747"/>
      <c r="C49" s="743" t="s">
        <v>5341</v>
      </c>
      <c r="D49" s="639"/>
      <c r="E49" s="639"/>
      <c r="F49" s="640">
        <v>0</v>
      </c>
      <c r="G49" s="639"/>
      <c r="H49" s="2094"/>
      <c r="I49" s="639"/>
      <c r="J49" s="640"/>
      <c r="K49" s="640"/>
      <c r="L49" s="640"/>
      <c r="M49" s="640"/>
      <c r="N49" s="640">
        <f>P48</f>
        <v>0</v>
      </c>
      <c r="O49" s="640">
        <v>0</v>
      </c>
      <c r="P49" s="640">
        <f>N49+O49</f>
        <v>0</v>
      </c>
      <c r="Q49" s="640">
        <f>R48</f>
        <v>0</v>
      </c>
      <c r="R49" s="640">
        <f>Q49+F49</f>
        <v>0</v>
      </c>
      <c r="S49" s="640">
        <f>S48+T48</f>
        <v>0</v>
      </c>
      <c r="T49" s="640">
        <f>T48</f>
        <v>0</v>
      </c>
      <c r="U49" s="640"/>
      <c r="V49" s="640">
        <f t="shared" si="4"/>
        <v>0</v>
      </c>
      <c r="W49" s="640"/>
      <c r="X49" s="640"/>
      <c r="Y49" s="639"/>
      <c r="AA49" s="631"/>
      <c r="AC49" s="2104"/>
      <c r="AD49" s="2104"/>
      <c r="AE49" s="2104"/>
      <c r="AF49" s="2104"/>
    </row>
    <row r="50" spans="1:32" s="625" customFormat="1" ht="24.75" hidden="1" customHeight="1">
      <c r="A50" s="2093"/>
      <c r="B50" s="747"/>
      <c r="C50" s="743" t="s">
        <v>6928</v>
      </c>
      <c r="D50" s="639"/>
      <c r="E50" s="639"/>
      <c r="F50" s="640">
        <v>0</v>
      </c>
      <c r="G50" s="639"/>
      <c r="H50" s="2094"/>
      <c r="I50" s="639"/>
      <c r="J50" s="640"/>
      <c r="K50" s="640"/>
      <c r="L50" s="640"/>
      <c r="M50" s="640"/>
      <c r="N50" s="640">
        <f>P49</f>
        <v>0</v>
      </c>
      <c r="O50" s="640">
        <v>0</v>
      </c>
      <c r="P50" s="640">
        <f>N50+O50</f>
        <v>0</v>
      </c>
      <c r="Q50" s="640">
        <f>+R49</f>
        <v>0</v>
      </c>
      <c r="R50" s="640">
        <f>Q50+F50</f>
        <v>0</v>
      </c>
      <c r="S50" s="640">
        <f>S49+T49</f>
        <v>0</v>
      </c>
      <c r="T50" s="640">
        <f>T49</f>
        <v>0</v>
      </c>
      <c r="U50" s="640"/>
      <c r="V50" s="640">
        <f t="shared" si="4"/>
        <v>0</v>
      </c>
      <c r="W50" s="640"/>
      <c r="X50" s="640"/>
      <c r="Y50" s="639"/>
      <c r="Z50" s="625" t="s">
        <v>4651</v>
      </c>
      <c r="AA50" s="631"/>
      <c r="AC50" s="2104"/>
      <c r="AD50" s="2104"/>
      <c r="AE50" s="2104"/>
      <c r="AF50" s="2104"/>
    </row>
    <row r="51" spans="1:32" ht="25" hidden="1" customHeight="1">
      <c r="A51" s="749"/>
      <c r="B51" s="680"/>
      <c r="C51" s="634"/>
      <c r="D51" s="636"/>
      <c r="E51" s="634"/>
      <c r="F51" s="636"/>
      <c r="G51" s="634"/>
      <c r="H51" s="2095"/>
      <c r="I51" s="634"/>
      <c r="J51" s="636"/>
      <c r="K51" s="636"/>
      <c r="L51" s="636"/>
      <c r="M51" s="636"/>
      <c r="N51" s="636"/>
      <c r="O51" s="636"/>
      <c r="P51" s="636"/>
      <c r="Q51" s="636"/>
      <c r="R51" s="636"/>
      <c r="S51" s="640"/>
      <c r="T51" s="636"/>
      <c r="U51" s="636"/>
      <c r="V51" s="640"/>
      <c r="W51" s="640"/>
      <c r="X51" s="636"/>
      <c r="Y51" s="634"/>
      <c r="AC51" s="762"/>
      <c r="AD51" s="762"/>
      <c r="AE51" s="762"/>
      <c r="AF51" s="762"/>
    </row>
    <row r="52" spans="1:32" s="625" customFormat="1" ht="36" hidden="1" customHeight="1">
      <c r="A52" s="2242" t="s">
        <v>4493</v>
      </c>
      <c r="B52" s="748" t="s">
        <v>304</v>
      </c>
      <c r="C52" s="743" t="s">
        <v>5105</v>
      </c>
      <c r="D52" s="2105">
        <v>17.09</v>
      </c>
      <c r="E52" s="639"/>
      <c r="F52" s="640">
        <v>0</v>
      </c>
      <c r="G52" s="639"/>
      <c r="H52" s="2094"/>
      <c r="I52" s="634"/>
      <c r="J52" s="636"/>
      <c r="K52" s="640"/>
      <c r="L52" s="640"/>
      <c r="M52" s="640"/>
      <c r="N52" s="640">
        <v>0</v>
      </c>
      <c r="O52" s="640">
        <v>0</v>
      </c>
      <c r="P52" s="640">
        <v>0</v>
      </c>
      <c r="Q52" s="640">
        <v>0</v>
      </c>
      <c r="R52" s="640">
        <v>0</v>
      </c>
      <c r="S52" s="640">
        <v>0</v>
      </c>
      <c r="T52" s="640">
        <v>0</v>
      </c>
      <c r="U52" s="640"/>
      <c r="V52" s="640">
        <f>+S52+T52-X52</f>
        <v>0</v>
      </c>
      <c r="W52" s="640"/>
      <c r="X52" s="640"/>
      <c r="Y52" s="639"/>
      <c r="AA52" s="631"/>
      <c r="AC52" s="2104"/>
      <c r="AD52" s="2104"/>
      <c r="AE52" s="2104"/>
      <c r="AF52" s="2104"/>
    </row>
    <row r="53" spans="1:32" s="625" customFormat="1" ht="25" hidden="1" customHeight="1">
      <c r="A53" s="2093"/>
      <c r="B53" s="747"/>
      <c r="C53" s="743" t="s">
        <v>5341</v>
      </c>
      <c r="D53" s="2105"/>
      <c r="E53" s="639"/>
      <c r="F53" s="640">
        <f>+R53-Q53</f>
        <v>0</v>
      </c>
      <c r="G53" s="639"/>
      <c r="H53" s="2094"/>
      <c r="I53" s="639"/>
      <c r="J53" s="640"/>
      <c r="K53" s="640"/>
      <c r="L53" s="640"/>
      <c r="M53" s="640"/>
      <c r="N53" s="640">
        <f>P52</f>
        <v>0</v>
      </c>
      <c r="O53" s="640">
        <v>0</v>
      </c>
      <c r="P53" s="640">
        <f>N53+O53</f>
        <v>0</v>
      </c>
      <c r="Q53" s="640">
        <v>0</v>
      </c>
      <c r="R53" s="640">
        <v>0</v>
      </c>
      <c r="S53" s="640">
        <f>+V52</f>
        <v>0</v>
      </c>
      <c r="T53" s="640">
        <v>0</v>
      </c>
      <c r="U53" s="640"/>
      <c r="V53" s="640">
        <f t="shared" si="4"/>
        <v>0</v>
      </c>
      <c r="W53" s="640"/>
      <c r="X53" s="640"/>
      <c r="Y53" s="639"/>
      <c r="AA53" s="631"/>
      <c r="AC53" s="2104"/>
      <c r="AD53" s="2104"/>
      <c r="AE53" s="2104"/>
      <c r="AF53" s="2104"/>
    </row>
    <row r="54" spans="1:32" s="625" customFormat="1" ht="29.25" hidden="1" customHeight="1">
      <c r="A54" s="2093"/>
      <c r="B54" s="747"/>
      <c r="C54" s="743" t="s">
        <v>6928</v>
      </c>
      <c r="D54" s="2105"/>
      <c r="E54" s="639"/>
      <c r="F54" s="640">
        <f>+R54-Q54</f>
        <v>0</v>
      </c>
      <c r="G54" s="639"/>
      <c r="H54" s="2094"/>
      <c r="I54" s="639"/>
      <c r="J54" s="640"/>
      <c r="K54" s="640"/>
      <c r="L54" s="640"/>
      <c r="M54" s="640"/>
      <c r="N54" s="640">
        <f>P53</f>
        <v>0</v>
      </c>
      <c r="O54" s="640">
        <v>0</v>
      </c>
      <c r="P54" s="640">
        <f>N54+O54</f>
        <v>0</v>
      </c>
      <c r="Q54" s="640">
        <f>+R53</f>
        <v>0</v>
      </c>
      <c r="R54" s="640">
        <v>0</v>
      </c>
      <c r="S54" s="640"/>
      <c r="T54" s="640">
        <v>0</v>
      </c>
      <c r="U54" s="640"/>
      <c r="V54" s="640">
        <f t="shared" si="4"/>
        <v>0</v>
      </c>
      <c r="W54" s="640"/>
      <c r="X54" s="640"/>
      <c r="Y54" s="639"/>
      <c r="Z54" s="625" t="s">
        <v>4651</v>
      </c>
      <c r="AA54" s="631"/>
      <c r="AC54" s="2104"/>
      <c r="AD54" s="2104"/>
      <c r="AE54" s="2104"/>
      <c r="AF54" s="2104"/>
    </row>
    <row r="55" spans="1:32" ht="25" hidden="1" customHeight="1">
      <c r="A55" s="749"/>
      <c r="B55" s="680"/>
      <c r="C55" s="634"/>
      <c r="D55" s="634"/>
      <c r="E55" s="634"/>
      <c r="F55" s="636"/>
      <c r="G55" s="634"/>
      <c r="H55" s="2095"/>
      <c r="I55" s="634"/>
      <c r="J55" s="636"/>
      <c r="K55" s="636"/>
      <c r="L55" s="636"/>
      <c r="M55" s="636"/>
      <c r="N55" s="636"/>
      <c r="O55" s="636"/>
      <c r="P55" s="636"/>
      <c r="Q55" s="636"/>
      <c r="R55" s="636"/>
      <c r="S55" s="640"/>
      <c r="T55" s="636"/>
      <c r="U55" s="636"/>
      <c r="V55" s="640"/>
      <c r="W55" s="640"/>
      <c r="X55" s="636"/>
      <c r="Y55" s="634"/>
      <c r="AC55" s="762"/>
      <c r="AD55" s="762"/>
      <c r="AE55" s="762"/>
      <c r="AF55" s="762"/>
    </row>
    <row r="56" spans="1:32" s="625" customFormat="1" ht="33.75" hidden="1" customHeight="1">
      <c r="A56" s="741" t="s">
        <v>3642</v>
      </c>
      <c r="B56" s="748" t="s">
        <v>304</v>
      </c>
      <c r="C56" s="743" t="s">
        <v>5105</v>
      </c>
      <c r="D56" s="639"/>
      <c r="E56" s="639"/>
      <c r="F56" s="640">
        <v>0</v>
      </c>
      <c r="G56" s="639"/>
      <c r="H56" s="2094"/>
      <c r="I56" s="639"/>
      <c r="J56" s="640"/>
      <c r="K56" s="640"/>
      <c r="L56" s="640"/>
      <c r="M56" s="640"/>
      <c r="N56" s="636">
        <v>0</v>
      </c>
      <c r="O56" s="640">
        <v>0</v>
      </c>
      <c r="P56" s="636">
        <v>0</v>
      </c>
      <c r="Q56" s="640">
        <v>0</v>
      </c>
      <c r="R56" s="640">
        <f>(Q56+F56)</f>
        <v>0</v>
      </c>
      <c r="S56" s="640">
        <v>0</v>
      </c>
      <c r="T56" s="640">
        <v>0</v>
      </c>
      <c r="U56" s="640"/>
      <c r="V56" s="640">
        <f t="shared" si="4"/>
        <v>0</v>
      </c>
      <c r="W56" s="640"/>
      <c r="X56" s="640"/>
      <c r="Y56" s="639"/>
      <c r="AA56" s="631"/>
      <c r="AC56" s="2104"/>
      <c r="AD56" s="2104"/>
      <c r="AE56" s="2104"/>
      <c r="AF56" s="2104"/>
    </row>
    <row r="57" spans="1:32" s="625" customFormat="1" ht="25" hidden="1" customHeight="1">
      <c r="A57" s="2093"/>
      <c r="B57" s="747"/>
      <c r="C57" s="743" t="s">
        <v>5341</v>
      </c>
      <c r="D57" s="639"/>
      <c r="E57" s="639"/>
      <c r="F57" s="640">
        <f>R83</f>
        <v>0</v>
      </c>
      <c r="G57" s="639"/>
      <c r="H57" s="2094"/>
      <c r="I57" s="639"/>
      <c r="J57" s="640"/>
      <c r="K57" s="640"/>
      <c r="L57" s="640"/>
      <c r="M57" s="640"/>
      <c r="N57" s="636">
        <f>P56</f>
        <v>0</v>
      </c>
      <c r="O57" s="640">
        <v>0</v>
      </c>
      <c r="P57" s="636">
        <f>N57+O57</f>
        <v>0</v>
      </c>
      <c r="Q57" s="640">
        <f>+R56</f>
        <v>0</v>
      </c>
      <c r="R57" s="640">
        <f>Q57+F57</f>
        <v>0</v>
      </c>
      <c r="S57" s="640">
        <f>+V56</f>
        <v>0</v>
      </c>
      <c r="T57" s="640">
        <v>0</v>
      </c>
      <c r="U57" s="640"/>
      <c r="V57" s="640">
        <f t="shared" si="4"/>
        <v>0</v>
      </c>
      <c r="W57" s="640"/>
      <c r="X57" s="640"/>
      <c r="Y57" s="639"/>
      <c r="AA57" s="631"/>
      <c r="AC57" s="2104"/>
      <c r="AD57" s="2104"/>
      <c r="AE57" s="2104"/>
      <c r="AF57" s="2104"/>
    </row>
    <row r="58" spans="1:32" s="625" customFormat="1" ht="23.25" hidden="1" customHeight="1">
      <c r="A58" s="2093"/>
      <c r="B58" s="747"/>
      <c r="C58" s="743" t="s">
        <v>6928</v>
      </c>
      <c r="D58" s="640"/>
      <c r="E58" s="639"/>
      <c r="F58" s="640">
        <v>0</v>
      </c>
      <c r="G58" s="639"/>
      <c r="H58" s="2094"/>
      <c r="I58" s="639"/>
      <c r="J58" s="640"/>
      <c r="K58" s="640"/>
      <c r="L58" s="640"/>
      <c r="M58" s="640"/>
      <c r="N58" s="636">
        <f>P57</f>
        <v>0</v>
      </c>
      <c r="O58" s="640">
        <v>0</v>
      </c>
      <c r="P58" s="636">
        <f>N58+O58</f>
        <v>0</v>
      </c>
      <c r="Q58" s="640">
        <f>+R57</f>
        <v>0</v>
      </c>
      <c r="R58" s="640">
        <f>+Q58+F58-O58</f>
        <v>0</v>
      </c>
      <c r="S58" s="640"/>
      <c r="T58" s="640">
        <v>0</v>
      </c>
      <c r="U58" s="640"/>
      <c r="V58" s="640">
        <f t="shared" si="4"/>
        <v>0</v>
      </c>
      <c r="W58" s="640"/>
      <c r="X58" s="640"/>
      <c r="Y58" s="639"/>
      <c r="Z58" s="625" t="s">
        <v>4651</v>
      </c>
      <c r="AA58" s="631"/>
      <c r="AC58" s="2104"/>
      <c r="AD58" s="2104"/>
      <c r="AE58" s="2104"/>
      <c r="AF58" s="2104"/>
    </row>
    <row r="59" spans="1:32" ht="25" customHeight="1">
      <c r="A59" s="749"/>
      <c r="B59" s="680"/>
      <c r="C59" s="634"/>
      <c r="D59" s="636"/>
      <c r="E59" s="634"/>
      <c r="F59" s="636"/>
      <c r="G59" s="634"/>
      <c r="H59" s="2095"/>
      <c r="I59" s="634"/>
      <c r="J59" s="636"/>
      <c r="K59" s="636"/>
      <c r="L59" s="636"/>
      <c r="M59" s="636"/>
      <c r="N59" s="636"/>
      <c r="O59" s="636"/>
      <c r="P59" s="636"/>
      <c r="Q59" s="636"/>
      <c r="R59" s="636"/>
      <c r="S59" s="640"/>
      <c r="T59" s="636"/>
      <c r="U59" s="636"/>
      <c r="V59" s="640"/>
      <c r="W59" s="640"/>
      <c r="X59" s="636"/>
      <c r="Y59" s="634"/>
      <c r="AC59" s="762"/>
      <c r="AD59" s="762"/>
      <c r="AE59" s="762"/>
      <c r="AF59" s="762"/>
    </row>
    <row r="60" spans="1:32" ht="25" customHeight="1">
      <c r="A60" s="2942" t="s">
        <v>8047</v>
      </c>
      <c r="B60" s="2875" t="s">
        <v>8031</v>
      </c>
      <c r="C60" s="2876" t="s">
        <v>5341</v>
      </c>
      <c r="D60" s="2877">
        <f>'WFD F-17'!C22</f>
        <v>250</v>
      </c>
      <c r="E60" s="2878">
        <f>'WFD F-17'!D22</f>
        <v>44320</v>
      </c>
      <c r="F60" s="2879">
        <f>'WFD F-17'!I22</f>
        <v>551.71</v>
      </c>
      <c r="G60" s="2880"/>
      <c r="H60" s="2881"/>
      <c r="I60" s="2880"/>
      <c r="J60" s="2879"/>
      <c r="K60" s="2879"/>
      <c r="L60" s="2879"/>
      <c r="M60" s="2879"/>
      <c r="N60" s="2879">
        <v>0</v>
      </c>
      <c r="O60" s="2879">
        <f>'WFD F-17'!J22</f>
        <v>427.48</v>
      </c>
      <c r="P60" s="2882">
        <f>N60+O60</f>
        <v>427.48</v>
      </c>
      <c r="Q60" s="2879">
        <f>'WFD F-17'!H22</f>
        <v>0</v>
      </c>
      <c r="R60" s="2879">
        <f t="shared" ref="R60" si="6">+Q60+F60-O60</f>
        <v>124.23000000000002</v>
      </c>
      <c r="S60" s="2879">
        <v>0</v>
      </c>
      <c r="T60" s="2879">
        <f>'WFD F-17'!L22</f>
        <v>4.4539272729999997</v>
      </c>
      <c r="U60" s="2879"/>
      <c r="V60" s="2879">
        <f t="shared" si="4"/>
        <v>4.4539272729999997</v>
      </c>
      <c r="W60" s="2879"/>
      <c r="X60" s="2879"/>
      <c r="Y60" s="2880"/>
      <c r="AC60" s="762"/>
      <c r="AD60" s="762"/>
      <c r="AE60" s="762"/>
      <c r="AF60" s="762"/>
    </row>
    <row r="61" spans="1:32" ht="25" customHeight="1">
      <c r="A61" s="2874"/>
      <c r="B61" s="2883"/>
      <c r="C61" s="2884" t="s">
        <v>8032</v>
      </c>
      <c r="D61" s="2877">
        <f>'WFD F-17'!C23</f>
        <v>250</v>
      </c>
      <c r="E61" s="2878">
        <f>'WFD F-17'!D23</f>
        <v>44320</v>
      </c>
      <c r="F61" s="2879">
        <f>'WFD F-17'!I23+'WFD F-17'!I24</f>
        <v>246.78081210000002</v>
      </c>
      <c r="G61" s="2880"/>
      <c r="H61" s="2881"/>
      <c r="I61" s="2880"/>
      <c r="J61" s="2879"/>
      <c r="K61" s="2879"/>
      <c r="L61" s="2879"/>
      <c r="M61" s="2879"/>
      <c r="N61" s="2879">
        <f>P60</f>
        <v>427.48</v>
      </c>
      <c r="O61" s="2879">
        <f>'WFD F-17'!J23+'WFD F-17'!J24</f>
        <v>288.60795659999997</v>
      </c>
      <c r="P61" s="2882">
        <f>N61+O61</f>
        <v>716.08795659999998</v>
      </c>
      <c r="Q61" s="2879">
        <f>+R60</f>
        <v>124.23000000000002</v>
      </c>
      <c r="R61" s="2879">
        <f>Q61+F61-O61</f>
        <v>82.402855500000101</v>
      </c>
      <c r="S61" s="2879">
        <f>+V60</f>
        <v>4.4539272729999997</v>
      </c>
      <c r="T61" s="2879">
        <f>'WFD F-17'!L23+'WFD F-17'!L24</f>
        <v>2.3288912859999997</v>
      </c>
      <c r="U61" s="2879"/>
      <c r="V61" s="2879">
        <f t="shared" si="4"/>
        <v>6.782818558999999</v>
      </c>
      <c r="W61" s="2879"/>
      <c r="X61" s="2879"/>
      <c r="Y61" s="2880"/>
      <c r="AC61" s="762"/>
      <c r="AD61" s="762"/>
      <c r="AE61" s="762"/>
      <c r="AF61" s="762"/>
    </row>
    <row r="62" spans="1:32" ht="25" customHeight="1">
      <c r="A62" s="2874"/>
      <c r="B62" s="2883"/>
      <c r="C62" s="2884" t="s">
        <v>8033</v>
      </c>
      <c r="D62" s="2877"/>
      <c r="E62" s="2878"/>
      <c r="F62" s="2879"/>
      <c r="G62" s="2880"/>
      <c r="H62" s="2881"/>
      <c r="I62" s="2880"/>
      <c r="J62" s="2879"/>
      <c r="K62" s="2879"/>
      <c r="L62" s="2879"/>
      <c r="M62" s="2879"/>
      <c r="N62" s="2879"/>
      <c r="O62" s="2879"/>
      <c r="P62" s="2882">
        <f>N62+O62</f>
        <v>0</v>
      </c>
      <c r="Q62" s="2879">
        <f t="shared" ref="Q62" si="7">+R61</f>
        <v>82.402855500000101</v>
      </c>
      <c r="R62" s="2879">
        <f>Q62+F62-O62</f>
        <v>82.402855500000101</v>
      </c>
      <c r="S62" s="2879">
        <f>+V61</f>
        <v>6.782818558999999</v>
      </c>
      <c r="T62" s="2879">
        <f>((Q62+R62)/2*6.8%)/2</f>
        <v>2.8016970870000035</v>
      </c>
      <c r="U62" s="2879"/>
      <c r="V62" s="2879">
        <f t="shared" si="4"/>
        <v>9.5845156460000034</v>
      </c>
      <c r="W62" s="2879"/>
      <c r="X62" s="2879"/>
      <c r="Y62" s="2880"/>
      <c r="AC62" s="762"/>
      <c r="AD62" s="762"/>
      <c r="AE62" s="762"/>
      <c r="AF62" s="762"/>
    </row>
    <row r="63" spans="1:32" ht="25" customHeight="1">
      <c r="A63" s="2874"/>
      <c r="B63" s="2883"/>
      <c r="C63" s="2876" t="s">
        <v>8001</v>
      </c>
      <c r="D63" s="2877"/>
      <c r="E63" s="2878"/>
      <c r="F63" s="2879"/>
      <c r="G63" s="2880"/>
      <c r="H63" s="2881"/>
      <c r="I63" s="2880"/>
      <c r="J63" s="2879"/>
      <c r="K63" s="2879"/>
      <c r="L63" s="2879"/>
      <c r="M63" s="2879"/>
      <c r="N63" s="2879">
        <v>0</v>
      </c>
      <c r="O63" s="2879">
        <v>0</v>
      </c>
      <c r="P63" s="2879">
        <f>N63+O63</f>
        <v>0</v>
      </c>
      <c r="Q63" s="2879">
        <f>+R61</f>
        <v>82.402855500000101</v>
      </c>
      <c r="R63" s="2879">
        <f>Q63+F63-O63</f>
        <v>82.402855500000101</v>
      </c>
      <c r="S63" s="2879">
        <f>+V61</f>
        <v>6.782818558999999</v>
      </c>
      <c r="T63" s="2879">
        <f>(Q63+R63)/2*6.8%</f>
        <v>5.6033941740000071</v>
      </c>
      <c r="U63" s="2879"/>
      <c r="V63" s="2879">
        <f t="shared" si="4"/>
        <v>12.386212733000006</v>
      </c>
      <c r="W63" s="2879"/>
      <c r="X63" s="2879"/>
      <c r="Y63" s="2880"/>
      <c r="AC63" s="762"/>
      <c r="AD63" s="762"/>
      <c r="AE63" s="762"/>
      <c r="AF63" s="762"/>
    </row>
    <row r="64" spans="1:32" ht="17.5" customHeight="1">
      <c r="A64" s="749"/>
      <c r="B64" s="680"/>
      <c r="C64" s="634"/>
      <c r="D64" s="636"/>
      <c r="E64" s="634"/>
      <c r="F64" s="636"/>
      <c r="G64" s="634"/>
      <c r="H64" s="2095"/>
      <c r="I64" s="634"/>
      <c r="J64" s="636"/>
      <c r="K64" s="636"/>
      <c r="L64" s="636"/>
      <c r="M64" s="636"/>
      <c r="N64" s="636"/>
      <c r="O64" s="636"/>
      <c r="P64" s="636"/>
      <c r="Q64" s="636"/>
      <c r="R64" s="636"/>
      <c r="S64" s="640"/>
      <c r="T64" s="636"/>
      <c r="U64" s="636"/>
      <c r="V64" s="640"/>
      <c r="W64" s="640"/>
      <c r="X64" s="636"/>
      <c r="Y64" s="634"/>
      <c r="AC64" s="762"/>
      <c r="AD64" s="762"/>
      <c r="AE64" s="762"/>
      <c r="AF64" s="762"/>
    </row>
    <row r="65" spans="1:32" ht="25" customHeight="1">
      <c r="A65" s="2944" t="s">
        <v>6996</v>
      </c>
      <c r="B65" s="2883" t="s">
        <v>3315</v>
      </c>
      <c r="C65" s="2876" t="s">
        <v>5341</v>
      </c>
      <c r="D65" s="2877">
        <f>'WFD F-17'!C6</f>
        <v>200</v>
      </c>
      <c r="E65" s="2894" t="str">
        <f>'WFD F-17'!D6</f>
        <v>29.12.2022</v>
      </c>
      <c r="F65" s="2879">
        <f>'WFD F-17'!I6</f>
        <v>249.92654883800003</v>
      </c>
      <c r="G65" s="2880"/>
      <c r="H65" s="2881"/>
      <c r="I65" s="2880"/>
      <c r="J65" s="2879"/>
      <c r="K65" s="2879"/>
      <c r="L65" s="2879"/>
      <c r="M65" s="2879"/>
      <c r="N65" s="2879">
        <v>0</v>
      </c>
      <c r="O65" s="2879">
        <f>'WFD F-17'!J6</f>
        <v>249.92654883800003</v>
      </c>
      <c r="P65" s="2882">
        <f>N65+O65</f>
        <v>249.92654883800003</v>
      </c>
      <c r="Q65" s="2879">
        <f>'WFD F-17'!H6</f>
        <v>0</v>
      </c>
      <c r="R65" s="2879">
        <f t="shared" ref="R65" si="8">+Q65+F65-O65</f>
        <v>0</v>
      </c>
      <c r="S65" s="2879">
        <v>0</v>
      </c>
      <c r="T65" s="2879">
        <f>'WFD F-17'!L6</f>
        <v>2.848528672</v>
      </c>
      <c r="U65" s="2879"/>
      <c r="V65" s="2879">
        <f t="shared" si="4"/>
        <v>2.848528672</v>
      </c>
      <c r="W65" s="2879"/>
      <c r="X65" s="2879"/>
      <c r="Y65" s="2880"/>
      <c r="AC65" s="762"/>
      <c r="AD65" s="762"/>
      <c r="AE65" s="762"/>
      <c r="AF65" s="762"/>
    </row>
    <row r="66" spans="1:32" ht="25" customHeight="1">
      <c r="A66" s="2893"/>
      <c r="B66" s="2883"/>
      <c r="C66" s="2884" t="s">
        <v>8032</v>
      </c>
      <c r="D66" s="2877">
        <f>'WFD F-17'!C7</f>
        <v>200</v>
      </c>
      <c r="E66" s="2894" t="str">
        <f>'WFD F-17'!D7</f>
        <v>29.12.2022</v>
      </c>
      <c r="F66" s="2879">
        <f>'WFD F-17'!I7+'WFD F-17'!I8</f>
        <v>280</v>
      </c>
      <c r="G66" s="2880"/>
      <c r="H66" s="2881"/>
      <c r="I66" s="2880"/>
      <c r="J66" s="2879"/>
      <c r="K66" s="2879"/>
      <c r="L66" s="2879"/>
      <c r="M66" s="2879"/>
      <c r="N66" s="2879">
        <f>P65</f>
        <v>249.92654883800003</v>
      </c>
      <c r="O66" s="2879">
        <f>'WFD F-17'!J7+'WFD F-17'!J8</f>
        <v>150</v>
      </c>
      <c r="P66" s="2882">
        <f>N66+O66</f>
        <v>399.92654883800003</v>
      </c>
      <c r="Q66" s="2879">
        <f>+R65</f>
        <v>0</v>
      </c>
      <c r="R66" s="2879">
        <f>Q66+F66-O66</f>
        <v>130</v>
      </c>
      <c r="S66" s="2879">
        <f>+V65</f>
        <v>2.848528672</v>
      </c>
      <c r="T66" s="2879">
        <f>'WFD F-17'!L7+'WFD F-17'!L8</f>
        <v>2.7990701929999999</v>
      </c>
      <c r="U66" s="2879"/>
      <c r="V66" s="2879">
        <f t="shared" si="4"/>
        <v>5.647598865</v>
      </c>
      <c r="W66" s="2879"/>
      <c r="X66" s="2879"/>
      <c r="Y66" s="2880"/>
      <c r="AC66" s="762"/>
      <c r="AD66" s="762"/>
      <c r="AE66" s="762"/>
      <c r="AF66" s="762"/>
    </row>
    <row r="67" spans="1:32" ht="25" customHeight="1">
      <c r="A67" s="2874"/>
      <c r="B67" s="2883"/>
      <c r="C67" s="2884" t="s">
        <v>8033</v>
      </c>
      <c r="D67" s="2877"/>
      <c r="E67" s="2894"/>
      <c r="F67" s="2879"/>
      <c r="G67" s="2880"/>
      <c r="H67" s="2881"/>
      <c r="I67" s="2880"/>
      <c r="J67" s="2879"/>
      <c r="K67" s="2879"/>
      <c r="L67" s="2879"/>
      <c r="M67" s="2879"/>
      <c r="N67" s="2879">
        <f>P66</f>
        <v>399.92654883800003</v>
      </c>
      <c r="O67" s="2879">
        <v>0</v>
      </c>
      <c r="P67" s="2882">
        <f>N67+O67</f>
        <v>399.92654883800003</v>
      </c>
      <c r="Q67" s="2879">
        <f t="shared" ref="Q67" si="9">+R66</f>
        <v>130</v>
      </c>
      <c r="R67" s="2879">
        <f>Q67+F67-O67</f>
        <v>130</v>
      </c>
      <c r="S67" s="2879">
        <f>+V66</f>
        <v>5.647598865</v>
      </c>
      <c r="T67" s="2879">
        <f>((Q67+R67)/2*7.05%)/2</f>
        <v>4.5824999999999996</v>
      </c>
      <c r="U67" s="2879"/>
      <c r="V67" s="2879">
        <f t="shared" si="4"/>
        <v>10.230098864999999</v>
      </c>
      <c r="W67" s="2879"/>
      <c r="X67" s="2879"/>
      <c r="Y67" s="2880"/>
      <c r="AC67" s="762"/>
      <c r="AD67" s="762"/>
      <c r="AE67" s="762"/>
      <c r="AF67" s="762"/>
    </row>
    <row r="68" spans="1:32" ht="25" customHeight="1">
      <c r="A68" s="2874"/>
      <c r="B68" s="2883"/>
      <c r="C68" s="2876" t="s">
        <v>8001</v>
      </c>
      <c r="D68" s="2877">
        <f>'WFD F-17'!C9</f>
        <v>0</v>
      </c>
      <c r="E68" s="2880"/>
      <c r="F68" s="2879"/>
      <c r="G68" s="2880"/>
      <c r="H68" s="2881"/>
      <c r="I68" s="2880"/>
      <c r="J68" s="2879"/>
      <c r="K68" s="2879"/>
      <c r="L68" s="2879"/>
      <c r="M68" s="2879"/>
      <c r="N68" s="2879">
        <v>0</v>
      </c>
      <c r="O68" s="2879">
        <v>0</v>
      </c>
      <c r="P68" s="2879">
        <f>N68+O68</f>
        <v>0</v>
      </c>
      <c r="Q68" s="2879">
        <f>R67</f>
        <v>130</v>
      </c>
      <c r="R68" s="2879">
        <f>Q68+F68-O68</f>
        <v>130</v>
      </c>
      <c r="S68" s="2879">
        <f>+V66</f>
        <v>5.647598865</v>
      </c>
      <c r="T68" s="2879">
        <f>(Q68+R68)/2*7.05%</f>
        <v>9.1649999999999991</v>
      </c>
      <c r="U68" s="2879"/>
      <c r="V68" s="2879">
        <f t="shared" si="4"/>
        <v>14.812598864999998</v>
      </c>
      <c r="W68" s="2879"/>
      <c r="X68" s="2879"/>
      <c r="Y68" s="2880"/>
      <c r="AC68" s="762"/>
      <c r="AD68" s="762"/>
      <c r="AE68" s="762"/>
      <c r="AF68" s="762"/>
    </row>
    <row r="69" spans="1:32" ht="25" customHeight="1">
      <c r="A69" s="749"/>
      <c r="B69" s="680"/>
      <c r="C69" s="634"/>
      <c r="D69" s="636"/>
      <c r="E69" s="634"/>
      <c r="F69" s="636"/>
      <c r="G69" s="634"/>
      <c r="H69" s="2095"/>
      <c r="I69" s="634"/>
      <c r="J69" s="636"/>
      <c r="K69" s="636"/>
      <c r="L69" s="636"/>
      <c r="M69" s="636"/>
      <c r="N69" s="636"/>
      <c r="O69" s="636"/>
      <c r="P69" s="636"/>
      <c r="Q69" s="636"/>
      <c r="R69" s="636"/>
      <c r="S69" s="640"/>
      <c r="T69" s="636"/>
      <c r="U69" s="636"/>
      <c r="V69" s="640"/>
      <c r="W69" s="640"/>
      <c r="X69" s="636"/>
      <c r="Y69" s="634"/>
      <c r="AC69" s="762"/>
      <c r="AD69" s="762"/>
      <c r="AE69" s="762"/>
      <c r="AF69" s="762"/>
    </row>
    <row r="70" spans="1:32" ht="25" customHeight="1">
      <c r="A70" s="2942" t="s">
        <v>8034</v>
      </c>
      <c r="B70" s="2913" t="s">
        <v>6999</v>
      </c>
      <c r="C70" s="2876" t="s">
        <v>5341</v>
      </c>
      <c r="D70" s="2882">
        <f>'WFD F-17'!C14</f>
        <v>150</v>
      </c>
      <c r="E70" s="2914" t="str">
        <f>'WFD F-17'!D14</f>
        <v>31.01.2022</v>
      </c>
      <c r="F70" s="2879">
        <f>'WFD F-17'!I14</f>
        <v>40</v>
      </c>
      <c r="G70" s="2880"/>
      <c r="H70" s="2881"/>
      <c r="I70" s="2880"/>
      <c r="J70" s="2879"/>
      <c r="K70" s="2879"/>
      <c r="L70" s="2879"/>
      <c r="M70" s="2879"/>
      <c r="N70" s="2879">
        <v>0</v>
      </c>
      <c r="O70" s="2879">
        <f>'WFD F-17'!J14</f>
        <v>0</v>
      </c>
      <c r="P70" s="2882">
        <f>N70+O70</f>
        <v>0</v>
      </c>
      <c r="Q70" s="2879">
        <v>0</v>
      </c>
      <c r="R70" s="2879">
        <f t="shared" ref="R70" si="10">+Q70+F70-O70</f>
        <v>40</v>
      </c>
      <c r="S70" s="2879">
        <v>0</v>
      </c>
      <c r="T70" s="2879">
        <f>'WFD F-17'!L14</f>
        <v>7.5615999999999999E-3</v>
      </c>
      <c r="U70" s="2879"/>
      <c r="V70" s="2879">
        <f t="shared" si="4"/>
        <v>7.5615999999999999E-3</v>
      </c>
      <c r="W70" s="2879"/>
      <c r="X70" s="2879"/>
      <c r="Y70" s="2880"/>
      <c r="AC70" s="762"/>
      <c r="AD70" s="762"/>
      <c r="AE70" s="762"/>
      <c r="AF70" s="762"/>
    </row>
    <row r="71" spans="1:32" ht="25" customHeight="1">
      <c r="A71" s="2874"/>
      <c r="B71" s="2913"/>
      <c r="C71" s="2884" t="s">
        <v>8032</v>
      </c>
      <c r="D71" s="2882">
        <f>'WFD F-17'!C15</f>
        <v>150</v>
      </c>
      <c r="E71" s="2914" t="str">
        <f>'WFD F-17'!D15</f>
        <v>31.01.2022</v>
      </c>
      <c r="F71" s="2879">
        <f>'WFD F-17'!I15+'WFD F-17'!I16</f>
        <v>59.647262972</v>
      </c>
      <c r="G71" s="2880"/>
      <c r="H71" s="2881"/>
      <c r="I71" s="2880"/>
      <c r="J71" s="2879"/>
      <c r="K71" s="2879"/>
      <c r="L71" s="2879"/>
      <c r="M71" s="2879"/>
      <c r="N71" s="2879">
        <f>P70</f>
        <v>0</v>
      </c>
      <c r="O71" s="2879">
        <f>'WFD F-17'!J12+'WFD F-17'!J13</f>
        <v>0</v>
      </c>
      <c r="P71" s="2882">
        <f>N71+O71</f>
        <v>0</v>
      </c>
      <c r="Q71" s="2879">
        <f>+R70</f>
        <v>40</v>
      </c>
      <c r="R71" s="2879">
        <f>Q71+F71-O71</f>
        <v>99.647262971999993</v>
      </c>
      <c r="S71" s="2879">
        <f>+V70</f>
        <v>7.5615999999999999E-3</v>
      </c>
      <c r="T71" s="2879">
        <f>'WFD F-17'!L15+'WFD F-17'!L16</f>
        <v>2.1762396044943237</v>
      </c>
      <c r="U71" s="2879"/>
      <c r="V71" s="2879">
        <f t="shared" si="4"/>
        <v>2.1838012044943236</v>
      </c>
      <c r="W71" s="2879"/>
      <c r="X71" s="2879"/>
      <c r="Y71" s="2880"/>
      <c r="AC71" s="762"/>
      <c r="AD71" s="762"/>
      <c r="AE71" s="762"/>
      <c r="AF71" s="762"/>
    </row>
    <row r="72" spans="1:32" ht="25" customHeight="1">
      <c r="A72" s="2915"/>
      <c r="B72" s="2916"/>
      <c r="C72" s="2884" t="s">
        <v>8033</v>
      </c>
      <c r="D72" s="2882">
        <f>D71</f>
        <v>150</v>
      </c>
      <c r="E72" s="2914" t="str">
        <f>E71</f>
        <v>31.01.2022</v>
      </c>
      <c r="F72" s="2879">
        <f>'F-1-B'!C26-F71</f>
        <v>188.28589152621097</v>
      </c>
      <c r="G72" s="2880"/>
      <c r="H72" s="2881"/>
      <c r="I72" s="2880"/>
      <c r="J72" s="2879"/>
      <c r="K72" s="2879"/>
      <c r="L72" s="2879"/>
      <c r="M72" s="2879"/>
      <c r="N72" s="2879">
        <f>P71</f>
        <v>0</v>
      </c>
      <c r="O72" s="2879">
        <v>26.911262889459188</v>
      </c>
      <c r="P72" s="2882">
        <f>N72+O72</f>
        <v>26.911262889459188</v>
      </c>
      <c r="Q72" s="2879">
        <f t="shared" ref="Q72" si="11">+R71</f>
        <v>99.647262971999993</v>
      </c>
      <c r="R72" s="2879">
        <f>Q72+F72-O72</f>
        <v>261.02189160875179</v>
      </c>
      <c r="S72" s="2879">
        <f>+V71</f>
        <v>2.1838012044943236</v>
      </c>
      <c r="T72" s="2879">
        <f>(Q72+R72)/2*10%</f>
        <v>18.03345772903759</v>
      </c>
      <c r="U72" s="2879"/>
      <c r="V72" s="2879">
        <f t="shared" si="4"/>
        <v>20.217258933531912</v>
      </c>
      <c r="W72" s="2879"/>
      <c r="X72" s="2879"/>
      <c r="Y72" s="2880"/>
      <c r="AC72" s="762"/>
      <c r="AD72" s="762"/>
      <c r="AE72" s="762"/>
      <c r="AF72" s="762"/>
    </row>
    <row r="73" spans="1:32" ht="25" customHeight="1">
      <c r="A73" s="2915"/>
      <c r="B73" s="2916"/>
      <c r="C73" s="2876" t="s">
        <v>8001</v>
      </c>
      <c r="D73" s="2882"/>
      <c r="E73" s="2914"/>
      <c r="F73" s="2879">
        <f>'F-1-B'!C39</f>
        <v>411.4633173467065</v>
      </c>
      <c r="G73" s="2880"/>
      <c r="H73" s="2881"/>
      <c r="I73" s="2880"/>
      <c r="J73" s="2879"/>
      <c r="K73" s="2879"/>
      <c r="L73" s="2879"/>
      <c r="M73" s="2879"/>
      <c r="N73" s="2879">
        <f>P72</f>
        <v>26.911262889459188</v>
      </c>
      <c r="O73" s="2879">
        <v>36.776043583694864</v>
      </c>
      <c r="P73" s="2879">
        <f>N73+O73</f>
        <v>63.687306473154052</v>
      </c>
      <c r="Q73" s="2879">
        <f>R72</f>
        <v>261.02189160875179</v>
      </c>
      <c r="R73" s="2879">
        <f>Q73+F73-O73</f>
        <v>635.70916537176345</v>
      </c>
      <c r="S73" s="2879">
        <f>+V71</f>
        <v>2.1838012044943236</v>
      </c>
      <c r="T73" s="2879">
        <f>(Q73*10%)+(F73)/2*10%</f>
        <v>46.675355028210504</v>
      </c>
      <c r="U73" s="2879"/>
      <c r="V73" s="2879">
        <f t="shared" si="4"/>
        <v>48.859156232704827</v>
      </c>
      <c r="W73" s="2879"/>
      <c r="X73" s="2879"/>
      <c r="Y73" s="2880"/>
      <c r="AC73" s="762"/>
      <c r="AD73" s="762"/>
      <c r="AE73" s="762"/>
      <c r="AF73" s="762"/>
    </row>
    <row r="74" spans="1:32" ht="25" customHeight="1">
      <c r="A74" s="2106"/>
      <c r="C74" s="822"/>
      <c r="D74" s="638"/>
      <c r="F74" s="642"/>
      <c r="G74" s="625"/>
      <c r="H74" s="2107"/>
      <c r="I74" s="625"/>
      <c r="J74" s="642"/>
      <c r="K74" s="642"/>
      <c r="L74" s="642"/>
      <c r="M74" s="642"/>
      <c r="N74" s="642"/>
      <c r="O74" s="642"/>
      <c r="P74" s="642"/>
      <c r="Q74" s="642"/>
      <c r="R74" s="642"/>
      <c r="S74" s="642"/>
      <c r="T74" s="642"/>
      <c r="U74" s="642"/>
      <c r="V74" s="642"/>
      <c r="W74" s="642"/>
      <c r="X74" s="642"/>
      <c r="Y74" s="625"/>
      <c r="AC74" s="762"/>
      <c r="AD74" s="762"/>
      <c r="AE74" s="762"/>
      <c r="AF74" s="762"/>
    </row>
    <row r="75" spans="1:32" ht="25" customHeight="1">
      <c r="A75" s="2106"/>
      <c r="C75" s="822"/>
      <c r="D75" s="638"/>
      <c r="F75" s="642">
        <f>184+294+244</f>
        <v>722</v>
      </c>
      <c r="G75" s="625">
        <f>F75*1.17</f>
        <v>844.7399999999999</v>
      </c>
      <c r="H75" s="2107"/>
      <c r="I75" s="625"/>
      <c r="J75" s="642"/>
      <c r="K75" s="642"/>
      <c r="L75" s="642"/>
      <c r="M75" s="642"/>
      <c r="N75" s="642"/>
      <c r="O75" s="642"/>
      <c r="P75" s="642"/>
      <c r="Q75" s="642"/>
      <c r="R75" s="642"/>
      <c r="S75" s="642"/>
      <c r="T75" s="642"/>
      <c r="U75" s="642"/>
      <c r="V75" s="642"/>
      <c r="W75" s="642"/>
      <c r="X75" s="642"/>
      <c r="Y75" s="625"/>
      <c r="AC75" s="762"/>
      <c r="AD75" s="762"/>
      <c r="AE75" s="762"/>
      <c r="AF75" s="762"/>
    </row>
    <row r="76" spans="1:32" ht="25" customHeight="1">
      <c r="A76" s="2106"/>
      <c r="C76" s="822"/>
      <c r="D76" s="638"/>
      <c r="F76" s="642"/>
      <c r="G76" s="625">
        <f>G75*0.7</f>
        <v>591.31799999999987</v>
      </c>
      <c r="H76" s="2076">
        <f>R73-G76</f>
        <v>44.391165371763577</v>
      </c>
      <c r="I76" s="625"/>
      <c r="J76" s="642"/>
      <c r="K76" s="642"/>
      <c r="L76" s="642"/>
      <c r="M76" s="642"/>
      <c r="N76" s="642"/>
      <c r="O76" s="642"/>
      <c r="P76" s="642"/>
      <c r="Q76" s="642"/>
      <c r="R76" s="642"/>
      <c r="S76" s="642"/>
      <c r="T76" s="642"/>
      <c r="U76" s="642"/>
      <c r="V76" s="642"/>
      <c r="W76" s="642"/>
      <c r="X76" s="642"/>
      <c r="Y76" s="625"/>
      <c r="AC76" s="762"/>
      <c r="AD76" s="762"/>
      <c r="AE76" s="762"/>
      <c r="AF76" s="762"/>
    </row>
    <row r="77" spans="1:32" ht="25" customHeight="1">
      <c r="A77" s="2106"/>
      <c r="C77" s="822"/>
      <c r="D77" s="638"/>
      <c r="F77" s="642"/>
      <c r="G77" s="625"/>
      <c r="H77" s="2107"/>
      <c r="I77" s="625"/>
      <c r="J77" s="642"/>
      <c r="K77" s="642"/>
      <c r="L77" s="642"/>
      <c r="M77" s="642"/>
      <c r="N77" s="642"/>
      <c r="O77" s="642"/>
      <c r="P77" s="642"/>
      <c r="Q77" s="642"/>
      <c r="R77" s="642"/>
      <c r="S77" s="642"/>
      <c r="T77" s="642"/>
      <c r="U77" s="642"/>
      <c r="V77" s="642"/>
      <c r="W77" s="642"/>
      <c r="X77" s="642"/>
      <c r="Y77" s="625"/>
      <c r="AC77" s="762"/>
      <c r="AD77" s="762"/>
      <c r="AE77" s="762"/>
      <c r="AF77" s="762"/>
    </row>
    <row r="78" spans="1:32" ht="25" customHeight="1">
      <c r="A78" s="2106"/>
      <c r="C78" s="822"/>
      <c r="D78" s="638"/>
      <c r="F78" s="642"/>
      <c r="G78" s="625"/>
      <c r="H78" s="2107"/>
      <c r="I78" s="625"/>
      <c r="J78" s="642"/>
      <c r="K78" s="642"/>
      <c r="L78" s="642"/>
      <c r="M78" s="642"/>
      <c r="N78" s="642"/>
      <c r="O78" s="642"/>
      <c r="P78" s="642"/>
      <c r="Q78" s="642"/>
      <c r="R78" s="642"/>
      <c r="S78" s="642"/>
      <c r="T78" s="642"/>
      <c r="U78" s="642"/>
      <c r="V78" s="642"/>
      <c r="W78" s="642"/>
      <c r="X78" s="642"/>
      <c r="Y78" s="625"/>
      <c r="AC78" s="762"/>
      <c r="AD78" s="762"/>
      <c r="AE78" s="762"/>
      <c r="AF78" s="762"/>
    </row>
    <row r="79" spans="1:32" ht="25" customHeight="1">
      <c r="A79" s="2106"/>
      <c r="C79" s="822"/>
      <c r="D79" s="638"/>
      <c r="F79" s="642"/>
      <c r="G79" s="625"/>
      <c r="H79" s="2107"/>
      <c r="I79" s="625"/>
      <c r="J79" s="642"/>
      <c r="K79" s="642"/>
      <c r="L79" s="642"/>
      <c r="M79" s="642"/>
      <c r="N79" s="642"/>
      <c r="O79" s="642"/>
      <c r="P79" s="642"/>
      <c r="Q79" s="642"/>
      <c r="R79" s="642"/>
      <c r="S79" s="642"/>
      <c r="T79" s="642"/>
      <c r="U79" s="642"/>
      <c r="V79" s="642"/>
      <c r="W79" s="642"/>
      <c r="X79" s="642"/>
      <c r="Y79" s="625"/>
      <c r="AC79" s="762"/>
      <c r="AD79" s="762"/>
      <c r="AE79" s="762"/>
      <c r="AF79" s="762"/>
    </row>
    <row r="80" spans="1:32" ht="25" customHeight="1">
      <c r="A80" s="2106"/>
      <c r="C80" s="822"/>
      <c r="D80" s="638"/>
      <c r="F80" s="642"/>
      <c r="G80" s="625"/>
      <c r="H80" s="2107"/>
      <c r="I80" s="625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  <c r="Y80" s="625"/>
      <c r="AC80" s="762"/>
      <c r="AD80" s="762"/>
      <c r="AE80" s="762"/>
      <c r="AF80" s="762"/>
    </row>
    <row r="81" spans="1:32" ht="25" customHeight="1">
      <c r="A81" s="2106"/>
      <c r="C81" s="822"/>
      <c r="D81" s="638"/>
      <c r="F81" s="642"/>
      <c r="G81" s="625"/>
      <c r="H81" s="2107"/>
      <c r="I81" s="625"/>
      <c r="J81" s="642"/>
      <c r="K81" s="642"/>
      <c r="L81" s="642"/>
      <c r="M81" s="642"/>
      <c r="N81" s="642"/>
      <c r="O81" s="642"/>
      <c r="P81" s="642"/>
      <c r="Q81" s="642"/>
      <c r="R81" s="642"/>
      <c r="S81" s="642"/>
      <c r="T81" s="642"/>
      <c r="U81" s="642"/>
      <c r="V81" s="642"/>
      <c r="W81" s="642"/>
      <c r="X81" s="642"/>
      <c r="Y81" s="625"/>
      <c r="AC81" s="762"/>
      <c r="AD81" s="762"/>
      <c r="AE81" s="762"/>
      <c r="AF81" s="762"/>
    </row>
    <row r="82" spans="1:32" ht="25" customHeight="1">
      <c r="A82" s="2106"/>
      <c r="C82" s="822"/>
      <c r="D82" s="638"/>
      <c r="F82" s="642"/>
      <c r="G82" s="625"/>
      <c r="H82" s="2107"/>
      <c r="I82" s="625"/>
      <c r="J82" s="642"/>
      <c r="K82" s="642"/>
      <c r="L82" s="642"/>
      <c r="M82" s="642"/>
      <c r="N82" s="642"/>
      <c r="O82" s="642"/>
      <c r="P82" s="642"/>
      <c r="Q82" s="642"/>
      <c r="R82" s="642"/>
      <c r="S82" s="642"/>
      <c r="T82" s="642"/>
      <c r="U82" s="642"/>
      <c r="V82" s="642"/>
      <c r="W82" s="642"/>
      <c r="X82" s="642"/>
      <c r="Y82" s="625"/>
      <c r="AC82" s="762"/>
      <c r="AD82" s="762"/>
      <c r="AE82" s="762"/>
      <c r="AF82" s="762"/>
    </row>
    <row r="83" spans="1:32" ht="25" customHeight="1">
      <c r="F83" s="638"/>
      <c r="G83" s="638"/>
      <c r="H83" s="638"/>
      <c r="J83" s="638"/>
      <c r="R83" s="638"/>
      <c r="AC83" s="762"/>
      <c r="AD83" s="762"/>
      <c r="AE83" s="762"/>
      <c r="AF83" s="762"/>
    </row>
    <row r="84" spans="1:32" ht="25" customHeight="1">
      <c r="F84" s="638"/>
      <c r="G84" s="651"/>
      <c r="H84" s="651"/>
      <c r="J84" s="638"/>
      <c r="Q84" s="638"/>
      <c r="R84" s="638"/>
      <c r="S84" s="638"/>
      <c r="T84" s="638"/>
      <c r="U84" s="638"/>
      <c r="V84" s="638"/>
      <c r="W84" s="638"/>
      <c r="AC84" s="762"/>
      <c r="AD84" s="762"/>
      <c r="AE84" s="762"/>
      <c r="AF84" s="762"/>
    </row>
    <row r="85" spans="1:32" ht="19.5" customHeight="1">
      <c r="F85" s="638"/>
      <c r="G85" s="638"/>
      <c r="O85" s="2946" t="s">
        <v>5110</v>
      </c>
      <c r="P85" s="799" t="s">
        <v>8048</v>
      </c>
      <c r="Q85" s="2068">
        <f>Q31+Q38+Q43+Q60+Q65+Q70+Q27</f>
        <v>85.875018699999984</v>
      </c>
      <c r="R85" s="653"/>
      <c r="S85" s="634"/>
      <c r="T85" s="653"/>
      <c r="U85" s="665"/>
      <c r="V85" s="638"/>
      <c r="W85" s="638"/>
      <c r="AC85" s="762"/>
      <c r="AD85" s="762"/>
      <c r="AE85" s="762"/>
      <c r="AF85" s="762"/>
    </row>
    <row r="86" spans="1:32">
      <c r="E86" s="634"/>
      <c r="F86" s="653"/>
      <c r="G86" s="638"/>
      <c r="H86" s="638"/>
      <c r="N86" s="2309"/>
      <c r="O86" s="2068" t="s">
        <v>8049</v>
      </c>
      <c r="P86" s="799" t="s">
        <v>8050</v>
      </c>
      <c r="Q86" s="2068">
        <f>R31+R38+R43+R60+R65+R70+R27</f>
        <v>340.20040539999997</v>
      </c>
      <c r="R86" s="653"/>
      <c r="S86" s="634"/>
      <c r="T86" s="653"/>
      <c r="U86" s="665"/>
      <c r="Z86" s="642"/>
      <c r="AC86" s="762"/>
      <c r="AD86" s="762"/>
      <c r="AE86" s="762"/>
      <c r="AF86" s="762"/>
    </row>
    <row r="87" spans="1:32">
      <c r="E87" s="636"/>
      <c r="F87" s="653"/>
      <c r="G87" s="638"/>
      <c r="H87" s="651"/>
      <c r="N87" s="2309"/>
      <c r="O87" s="2068" t="s">
        <v>8051</v>
      </c>
      <c r="P87" s="799" t="s">
        <v>8050</v>
      </c>
      <c r="Q87" s="2068">
        <f>R33+R40+R45+R62+R67+R72+R28</f>
        <v>642.75515250875196</v>
      </c>
      <c r="R87" s="653"/>
      <c r="S87" s="634"/>
      <c r="T87" s="653"/>
      <c r="U87" s="665"/>
      <c r="AC87" s="762"/>
      <c r="AD87" s="762"/>
      <c r="AE87" s="762"/>
      <c r="AF87" s="762"/>
    </row>
    <row r="88" spans="1:32">
      <c r="E88" s="634"/>
      <c r="F88" s="653"/>
      <c r="N88" s="2309"/>
      <c r="O88" s="2068" t="s">
        <v>8052</v>
      </c>
      <c r="P88" s="799" t="s">
        <v>8050</v>
      </c>
      <c r="Q88" s="2068">
        <f>R34+R41+R46+R63+R68+R73+R29</f>
        <v>1017.4424262717636</v>
      </c>
      <c r="R88" s="653"/>
      <c r="S88" s="634"/>
      <c r="T88" s="653"/>
      <c r="AC88" s="762"/>
      <c r="AD88" s="762"/>
      <c r="AE88" s="762"/>
      <c r="AF88" s="762"/>
    </row>
    <row r="89" spans="1:32">
      <c r="Q89" s="638"/>
    </row>
    <row r="90" spans="1:32" ht="18">
      <c r="G90" s="638"/>
      <c r="H90" s="638"/>
      <c r="Q90" s="1311"/>
      <c r="R90" s="1335"/>
      <c r="U90" s="638"/>
    </row>
    <row r="91" spans="1:32">
      <c r="G91" s="638"/>
      <c r="H91" s="638"/>
      <c r="U91" s="638"/>
    </row>
    <row r="92" spans="1:32">
      <c r="R92" s="651"/>
      <c r="T92" s="651"/>
    </row>
  </sheetData>
  <mergeCells count="7">
    <mergeCell ref="A4:J4"/>
    <mergeCell ref="A3:Y3"/>
    <mergeCell ref="A2:Y2"/>
    <mergeCell ref="K4:M4"/>
    <mergeCell ref="N4:P4"/>
    <mergeCell ref="Q4:R4"/>
    <mergeCell ref="S4:Y4"/>
  </mergeCells>
  <phoneticPr fontId="0" type="noConversion"/>
  <printOptions horizontalCentered="1"/>
  <pageMargins left="0" right="0" top="0.39370078740157483" bottom="0" header="0" footer="0"/>
  <pageSetup paperSize="9" scale="42" fitToHeight="0" orientation="landscape" r:id="rId1"/>
  <headerFooter alignWithMargins="0">
    <oddFooter>&amp;R&amp;16OERC FORM -F-17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43"/>
  <sheetViews>
    <sheetView view="pageBreakPreview" topLeftCell="A10" zoomScaleNormal="55" workbookViewId="0">
      <selection activeCell="J15" sqref="J15"/>
    </sheetView>
  </sheetViews>
  <sheetFormatPr defaultColWidth="9.1796875" defaultRowHeight="13"/>
  <cols>
    <col min="1" max="1" width="5.81640625" style="430" customWidth="1"/>
    <col min="2" max="2" width="13.26953125" style="431" hidden="1" customWidth="1"/>
    <col min="3" max="3" width="1.26953125" style="431" hidden="1" customWidth="1"/>
    <col min="4" max="4" width="38.1796875" style="482" customWidth="1"/>
    <col min="5" max="5" width="42.26953125" style="431" hidden="1" customWidth="1"/>
    <col min="6" max="6" width="15.453125" style="433" customWidth="1"/>
    <col min="7" max="7" width="8.81640625" style="434" customWidth="1"/>
    <col min="8" max="8" width="12.54296875" style="430" customWidth="1"/>
    <col min="9" max="9" width="9.81640625" style="434" customWidth="1"/>
    <col min="10" max="10" width="8.54296875" style="434" customWidth="1"/>
    <col min="11" max="11" width="8.453125" style="434" customWidth="1"/>
    <col min="12" max="12" width="12.81640625" style="430" customWidth="1"/>
    <col min="13" max="13" width="8.453125" style="434" customWidth="1"/>
    <col min="14" max="14" width="11" style="435" customWidth="1"/>
    <col min="15" max="15" width="9" style="435" customWidth="1"/>
    <col min="16" max="16" width="8.81640625" style="435" customWidth="1"/>
    <col min="17" max="17" width="11" style="435" customWidth="1"/>
    <col min="18" max="18" width="8.453125" style="430" customWidth="1"/>
    <col min="19" max="19" width="13.453125" style="434" customWidth="1"/>
    <col min="20" max="20" width="12.7265625" style="436" customWidth="1"/>
    <col min="21" max="82" width="0" style="431" hidden="1" customWidth="1"/>
    <col min="83" max="83" width="0.1796875" style="431" hidden="1" customWidth="1"/>
    <col min="84" max="16384" width="9.1796875" style="431"/>
  </cols>
  <sheetData>
    <row r="1" spans="1:83" ht="21" customHeight="1">
      <c r="D1" s="432"/>
    </row>
    <row r="2" spans="1:83" ht="12.75" customHeight="1">
      <c r="A2" s="3171" t="s">
        <v>59</v>
      </c>
      <c r="B2" s="3171"/>
      <c r="C2" s="3171"/>
      <c r="D2" s="3171"/>
      <c r="E2" s="3171"/>
      <c r="F2" s="3171"/>
      <c r="G2" s="3171"/>
      <c r="H2" s="3171"/>
      <c r="I2" s="3171"/>
      <c r="J2" s="3171"/>
      <c r="K2" s="3171"/>
      <c r="L2" s="3171"/>
      <c r="M2" s="3171"/>
      <c r="N2" s="3171"/>
      <c r="O2" s="3171"/>
      <c r="P2" s="3171"/>
      <c r="Q2" s="3171"/>
      <c r="R2" s="3171"/>
      <c r="S2" s="3171"/>
      <c r="T2" s="3171"/>
    </row>
    <row r="3" spans="1:83" ht="8.25" customHeight="1">
      <c r="A3" s="437"/>
      <c r="B3" s="438"/>
      <c r="C3" s="438"/>
      <c r="D3" s="439"/>
      <c r="E3" s="438"/>
      <c r="F3" s="440"/>
      <c r="G3" s="441"/>
      <c r="H3" s="437"/>
      <c r="I3" s="441"/>
      <c r="J3" s="441"/>
      <c r="K3" s="441"/>
      <c r="L3" s="437"/>
      <c r="M3" s="441"/>
      <c r="N3" s="442"/>
      <c r="O3" s="442"/>
      <c r="P3" s="442"/>
      <c r="Q3" s="442"/>
      <c r="R3" s="437"/>
      <c r="S3" s="441"/>
      <c r="T3" s="439"/>
    </row>
    <row r="4" spans="1:83" s="449" customFormat="1" ht="75" customHeight="1">
      <c r="A4" s="443" t="s">
        <v>347</v>
      </c>
      <c r="B4" s="444" t="s">
        <v>876</v>
      </c>
      <c r="C4" s="444" t="s">
        <v>877</v>
      </c>
      <c r="D4" s="444" t="s">
        <v>878</v>
      </c>
      <c r="E4" s="444" t="s">
        <v>879</v>
      </c>
      <c r="F4" s="445" t="s">
        <v>344</v>
      </c>
      <c r="G4" s="444" t="s">
        <v>880</v>
      </c>
      <c r="H4" s="446" t="s">
        <v>881</v>
      </c>
      <c r="I4" s="444" t="s">
        <v>817</v>
      </c>
      <c r="J4" s="444" t="s">
        <v>818</v>
      </c>
      <c r="K4" s="444" t="s">
        <v>819</v>
      </c>
      <c r="L4" s="443" t="s">
        <v>820</v>
      </c>
      <c r="M4" s="444" t="s">
        <v>821</v>
      </c>
      <c r="N4" s="446" t="s">
        <v>1402</v>
      </c>
      <c r="O4" s="446" t="s">
        <v>1466</v>
      </c>
      <c r="P4" s="446" t="s">
        <v>1467</v>
      </c>
      <c r="Q4" s="446" t="s">
        <v>1403</v>
      </c>
      <c r="R4" s="443" t="s">
        <v>554</v>
      </c>
      <c r="S4" s="444" t="s">
        <v>555</v>
      </c>
      <c r="T4" s="446" t="s">
        <v>556</v>
      </c>
      <c r="U4" s="447" t="s">
        <v>557</v>
      </c>
      <c r="V4" s="448" t="s">
        <v>558</v>
      </c>
      <c r="W4" s="448" t="s">
        <v>760</v>
      </c>
      <c r="X4" s="448" t="s">
        <v>761</v>
      </c>
      <c r="Y4" s="448" t="s">
        <v>762</v>
      </c>
      <c r="Z4" s="448" t="s">
        <v>763</v>
      </c>
      <c r="AA4" s="448" t="s">
        <v>764</v>
      </c>
      <c r="AB4" s="448" t="s">
        <v>765</v>
      </c>
      <c r="AC4" s="448" t="s">
        <v>766</v>
      </c>
      <c r="AD4" s="448" t="s">
        <v>767</v>
      </c>
      <c r="AE4" s="448" t="s">
        <v>768</v>
      </c>
      <c r="AF4" s="448" t="s">
        <v>769</v>
      </c>
      <c r="AG4" s="448" t="s">
        <v>770</v>
      </c>
      <c r="AH4" s="448" t="s">
        <v>771</v>
      </c>
      <c r="AI4" s="448" t="s">
        <v>772</v>
      </c>
      <c r="AJ4" s="448" t="s">
        <v>773</v>
      </c>
      <c r="AK4" s="448" t="s">
        <v>774</v>
      </c>
      <c r="AL4" s="448" t="s">
        <v>775</v>
      </c>
      <c r="AM4" s="448" t="s">
        <v>776</v>
      </c>
      <c r="AN4" s="448" t="s">
        <v>777</v>
      </c>
      <c r="AO4" s="448" t="s">
        <v>778</v>
      </c>
      <c r="AP4" s="448" t="s">
        <v>779</v>
      </c>
      <c r="AQ4" s="448" t="s">
        <v>780</v>
      </c>
      <c r="AR4" s="448" t="s">
        <v>781</v>
      </c>
      <c r="AS4" s="448" t="s">
        <v>782</v>
      </c>
      <c r="AT4" s="448" t="s">
        <v>783</v>
      </c>
      <c r="AU4" s="448" t="s">
        <v>784</v>
      </c>
      <c r="AV4" s="448" t="s">
        <v>785</v>
      </c>
      <c r="AW4" s="448" t="s">
        <v>786</v>
      </c>
      <c r="AX4" s="448" t="s">
        <v>787</v>
      </c>
      <c r="AY4" s="448" t="s">
        <v>788</v>
      </c>
      <c r="AZ4" s="448" t="s">
        <v>789</v>
      </c>
      <c r="BA4" s="448" t="s">
        <v>790</v>
      </c>
      <c r="BB4" s="448" t="s">
        <v>791</v>
      </c>
      <c r="BC4" s="448" t="s">
        <v>725</v>
      </c>
      <c r="BD4" s="448" t="s">
        <v>726</v>
      </c>
      <c r="BE4" s="448" t="s">
        <v>727</v>
      </c>
      <c r="BF4" s="448" t="s">
        <v>728</v>
      </c>
      <c r="BG4" s="448" t="s">
        <v>729</v>
      </c>
      <c r="BH4" s="448" t="s">
        <v>730</v>
      </c>
      <c r="BI4" s="448" t="s">
        <v>731</v>
      </c>
      <c r="BJ4" s="448" t="s">
        <v>732</v>
      </c>
      <c r="BK4" s="448" t="s">
        <v>733</v>
      </c>
      <c r="BL4" s="448" t="s">
        <v>734</v>
      </c>
      <c r="BM4" s="448" t="s">
        <v>432</v>
      </c>
      <c r="BN4" s="448" t="s">
        <v>433</v>
      </c>
      <c r="BO4" s="448" t="s">
        <v>698</v>
      </c>
      <c r="BP4" s="448" t="s">
        <v>699</v>
      </c>
      <c r="BQ4" s="448" t="s">
        <v>700</v>
      </c>
      <c r="BR4" s="448" t="s">
        <v>701</v>
      </c>
      <c r="BS4" s="448" t="s">
        <v>702</v>
      </c>
      <c r="BT4" s="448" t="s">
        <v>703</v>
      </c>
      <c r="BU4" s="448" t="s">
        <v>704</v>
      </c>
      <c r="BV4" s="448" t="s">
        <v>705</v>
      </c>
      <c r="BW4" s="448" t="s">
        <v>706</v>
      </c>
      <c r="BX4" s="448" t="s">
        <v>707</v>
      </c>
      <c r="BY4" s="448" t="s">
        <v>708</v>
      </c>
      <c r="BZ4" s="448" t="s">
        <v>709</v>
      </c>
      <c r="CA4" s="448" t="s">
        <v>710</v>
      </c>
      <c r="CB4" s="448" t="s">
        <v>711</v>
      </c>
      <c r="CC4" s="448" t="s">
        <v>712</v>
      </c>
      <c r="CD4" s="448" t="s">
        <v>713</v>
      </c>
      <c r="CE4" s="447" t="s">
        <v>714</v>
      </c>
    </row>
    <row r="5" spans="1:83" s="449" customFormat="1" ht="33.75" customHeight="1">
      <c r="A5" s="450">
        <v>1</v>
      </c>
      <c r="B5" s="444"/>
      <c r="C5" s="444"/>
      <c r="D5" s="451" t="s">
        <v>715</v>
      </c>
      <c r="E5" s="444"/>
      <c r="F5" s="451" t="s">
        <v>890</v>
      </c>
      <c r="G5" s="452"/>
      <c r="H5" s="453"/>
      <c r="I5" s="454">
        <v>4000</v>
      </c>
      <c r="J5" s="452"/>
      <c r="K5" s="452"/>
      <c r="L5" s="455"/>
      <c r="M5" s="452"/>
      <c r="N5" s="456"/>
      <c r="O5" s="457">
        <v>13.888</v>
      </c>
      <c r="P5" s="457">
        <v>6.8079999999999998</v>
      </c>
      <c r="Q5" s="457">
        <v>13.616</v>
      </c>
      <c r="R5" s="459"/>
      <c r="S5" s="460"/>
      <c r="T5" s="460"/>
      <c r="U5" s="447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8"/>
      <c r="AI5" s="448"/>
      <c r="AJ5" s="448"/>
      <c r="AK5" s="448"/>
      <c r="AL5" s="448"/>
      <c r="AM5" s="448"/>
      <c r="AN5" s="448"/>
      <c r="AO5" s="448"/>
      <c r="AP5" s="448"/>
      <c r="AQ5" s="448"/>
      <c r="AR5" s="448"/>
      <c r="AS5" s="448"/>
      <c r="AT5" s="448"/>
      <c r="AU5" s="448"/>
      <c r="AV5" s="448"/>
      <c r="AW5" s="448"/>
      <c r="AX5" s="448"/>
      <c r="AY5" s="448"/>
      <c r="AZ5" s="448"/>
      <c r="BA5" s="448"/>
      <c r="BB5" s="448"/>
      <c r="BC5" s="448"/>
      <c r="BD5" s="448"/>
      <c r="BE5" s="448"/>
      <c r="BF5" s="448"/>
      <c r="BG5" s="448"/>
      <c r="BH5" s="448"/>
      <c r="BI5" s="448"/>
      <c r="BJ5" s="448"/>
      <c r="BK5" s="448"/>
      <c r="BL5" s="448"/>
      <c r="BM5" s="448"/>
      <c r="BN5" s="448"/>
      <c r="BO5" s="448"/>
      <c r="BP5" s="448"/>
      <c r="BQ5" s="448"/>
      <c r="BR5" s="448"/>
      <c r="BS5" s="448"/>
      <c r="BT5" s="448"/>
      <c r="BU5" s="448"/>
      <c r="BV5" s="448"/>
      <c r="BW5" s="448"/>
      <c r="BX5" s="448"/>
      <c r="BY5" s="448"/>
      <c r="BZ5" s="448"/>
      <c r="CA5" s="448"/>
      <c r="CB5" s="448"/>
      <c r="CC5" s="448"/>
      <c r="CD5" s="448"/>
      <c r="CE5" s="447"/>
    </row>
    <row r="6" spans="1:83" ht="23.25" customHeight="1">
      <c r="A6" s="461">
        <v>2</v>
      </c>
      <c r="B6" s="462"/>
      <c r="C6" s="462"/>
      <c r="D6" s="451" t="s">
        <v>716</v>
      </c>
      <c r="E6" s="462"/>
      <c r="F6" s="451" t="s">
        <v>890</v>
      </c>
      <c r="G6" s="452"/>
      <c r="H6" s="453"/>
      <c r="I6" s="454">
        <v>1111</v>
      </c>
      <c r="J6" s="452"/>
      <c r="K6" s="452"/>
      <c r="L6" s="452"/>
      <c r="M6" s="452"/>
      <c r="N6" s="459"/>
      <c r="O6" s="457">
        <v>6.2</v>
      </c>
      <c r="P6" s="457">
        <v>3.0390000000000001</v>
      </c>
      <c r="Q6" s="457">
        <v>6.0780000000000003</v>
      </c>
      <c r="R6" s="460"/>
      <c r="S6" s="460"/>
      <c r="T6" s="460"/>
    </row>
    <row r="7" spans="1:83" ht="37.5" customHeight="1">
      <c r="A7" s="450">
        <v>3</v>
      </c>
      <c r="B7" s="462"/>
      <c r="C7" s="462"/>
      <c r="D7" s="451" t="s">
        <v>717</v>
      </c>
      <c r="E7" s="462"/>
      <c r="F7" s="451" t="s">
        <v>890</v>
      </c>
      <c r="G7" s="452"/>
      <c r="H7" s="463"/>
      <c r="I7" s="454">
        <v>4000</v>
      </c>
      <c r="J7" s="452">
        <f>6000/0.9</f>
        <v>6666.6666666666661</v>
      </c>
      <c r="K7" s="452">
        <f>I7+J7</f>
        <v>10666.666666666666</v>
      </c>
      <c r="L7" s="452" t="s">
        <v>60</v>
      </c>
      <c r="M7" s="452">
        <v>6</v>
      </c>
      <c r="N7" s="456">
        <v>12.961</v>
      </c>
      <c r="O7" s="464">
        <v>28.937000000000001</v>
      </c>
      <c r="P7" s="457">
        <v>8.2249999999999996</v>
      </c>
      <c r="Q7" s="457">
        <v>16.45</v>
      </c>
      <c r="R7" s="460" t="s">
        <v>718</v>
      </c>
      <c r="S7" s="465">
        <v>0.5</v>
      </c>
      <c r="T7" s="466" t="s">
        <v>719</v>
      </c>
    </row>
    <row r="8" spans="1:83" ht="20.25" customHeight="1">
      <c r="A8" s="461">
        <v>4</v>
      </c>
      <c r="B8" s="462"/>
      <c r="C8" s="462"/>
      <c r="D8" s="451" t="s">
        <v>720</v>
      </c>
      <c r="E8" s="462"/>
      <c r="F8" s="451" t="s">
        <v>890</v>
      </c>
      <c r="G8" s="452"/>
      <c r="H8" s="463"/>
      <c r="I8" s="454">
        <v>3000</v>
      </c>
      <c r="J8" s="452"/>
      <c r="K8" s="452"/>
      <c r="L8" s="452"/>
      <c r="M8" s="452"/>
      <c r="N8" s="459"/>
      <c r="O8" s="464">
        <v>7.2220000000000004</v>
      </c>
      <c r="P8" s="457">
        <v>3.54</v>
      </c>
      <c r="Q8" s="457">
        <v>7.08</v>
      </c>
      <c r="R8" s="460"/>
      <c r="S8" s="460"/>
      <c r="T8" s="460"/>
    </row>
    <row r="9" spans="1:83" ht="98">
      <c r="A9" s="450">
        <v>5</v>
      </c>
      <c r="B9" s="462"/>
      <c r="C9" s="462"/>
      <c r="D9" s="451" t="s">
        <v>721</v>
      </c>
      <c r="E9" s="462"/>
      <c r="F9" s="451" t="s">
        <v>890</v>
      </c>
      <c r="G9" s="452"/>
      <c r="H9" s="463"/>
      <c r="I9" s="454">
        <v>4000</v>
      </c>
      <c r="J9" s="452"/>
      <c r="K9" s="452"/>
      <c r="L9" s="452"/>
      <c r="M9" s="452"/>
      <c r="N9" s="459"/>
      <c r="O9" s="464">
        <v>20.940999999999999</v>
      </c>
      <c r="P9" s="458">
        <v>0</v>
      </c>
      <c r="Q9" s="457">
        <v>5.2350000000000003</v>
      </c>
      <c r="R9" s="460"/>
      <c r="S9" s="460"/>
      <c r="T9" s="460" t="s">
        <v>61</v>
      </c>
    </row>
    <row r="10" spans="1:83" ht="56">
      <c r="A10" s="461">
        <v>6</v>
      </c>
      <c r="B10" s="462"/>
      <c r="C10" s="462"/>
      <c r="D10" s="451" t="s">
        <v>822</v>
      </c>
      <c r="E10" s="462"/>
      <c r="F10" s="451" t="s">
        <v>890</v>
      </c>
      <c r="G10" s="452"/>
      <c r="H10" s="453"/>
      <c r="I10" s="454">
        <v>11111</v>
      </c>
      <c r="J10" s="452"/>
      <c r="K10" s="452"/>
      <c r="L10" s="452"/>
      <c r="M10" s="452">
        <v>9</v>
      </c>
      <c r="N10" s="459"/>
      <c r="O10" s="464">
        <v>0</v>
      </c>
      <c r="P10" s="457">
        <v>32.807000000000002</v>
      </c>
      <c r="Q10" s="457">
        <v>49.210999999999999</v>
      </c>
      <c r="R10" s="460"/>
      <c r="S10" s="460"/>
      <c r="T10" s="460" t="s">
        <v>62</v>
      </c>
    </row>
    <row r="11" spans="1:83" ht="28.5" customHeight="1">
      <c r="A11" s="450">
        <v>7</v>
      </c>
      <c r="B11" s="462"/>
      <c r="C11" s="462"/>
      <c r="D11" s="451" t="s">
        <v>987</v>
      </c>
      <c r="E11" s="462"/>
      <c r="F11" s="451" t="s">
        <v>890</v>
      </c>
      <c r="G11" s="452"/>
      <c r="H11" s="453"/>
      <c r="I11" s="454">
        <v>1310</v>
      </c>
      <c r="J11" s="452"/>
      <c r="K11" s="452"/>
      <c r="L11" s="452"/>
      <c r="M11" s="452"/>
      <c r="N11" s="459"/>
      <c r="O11" s="464">
        <v>3.39</v>
      </c>
      <c r="P11" s="457">
        <v>1.6619999999999999</v>
      </c>
      <c r="Q11" s="457">
        <v>3.3239999999999998</v>
      </c>
      <c r="R11" s="460"/>
      <c r="S11" s="460"/>
      <c r="T11" s="460"/>
    </row>
    <row r="12" spans="1:83" s="473" customFormat="1" ht="21.75" customHeight="1">
      <c r="A12" s="467"/>
      <c r="B12" s="468"/>
      <c r="C12" s="468"/>
      <c r="D12" s="445" t="s">
        <v>1100</v>
      </c>
      <c r="E12" s="468"/>
      <c r="F12" s="445"/>
      <c r="G12" s="469"/>
      <c r="H12" s="470"/>
      <c r="I12" s="469"/>
      <c r="J12" s="469"/>
      <c r="K12" s="469"/>
      <c r="L12" s="471"/>
      <c r="M12" s="469"/>
      <c r="N12" s="446"/>
      <c r="O12" s="472">
        <f>SUM(O5:O11)</f>
        <v>80.578000000000003</v>
      </c>
      <c r="P12" s="446">
        <f>SUM(P5:P11)</f>
        <v>56.080999999999996</v>
      </c>
      <c r="Q12" s="446">
        <f>SUM(Q5:Q11)</f>
        <v>100.99399999999999</v>
      </c>
      <c r="R12" s="446"/>
      <c r="S12" s="444"/>
      <c r="T12" s="444"/>
    </row>
    <row r="13" spans="1:83" ht="15">
      <c r="A13" s="3172" t="s">
        <v>607</v>
      </c>
      <c r="B13" s="3173"/>
      <c r="C13" s="3173"/>
      <c r="D13" s="3173"/>
      <c r="E13" s="3173"/>
      <c r="F13" s="3173"/>
      <c r="G13" s="3173"/>
      <c r="H13" s="3173"/>
      <c r="I13" s="3173"/>
      <c r="J13" s="3173"/>
      <c r="K13" s="3173"/>
      <c r="L13" s="3173"/>
      <c r="M13" s="3173"/>
      <c r="N13" s="3173"/>
      <c r="O13" s="3173"/>
      <c r="P13" s="3173"/>
      <c r="Q13" s="3173"/>
      <c r="R13" s="3173"/>
      <c r="S13" s="3173"/>
      <c r="T13" s="3174"/>
    </row>
    <row r="14" spans="1:83" s="473" customFormat="1" ht="30.75" customHeight="1">
      <c r="A14" s="467">
        <v>1</v>
      </c>
      <c r="B14" s="468"/>
      <c r="C14" s="468"/>
      <c r="D14" s="451" t="s">
        <v>63</v>
      </c>
      <c r="E14" s="468"/>
      <c r="F14" s="474" t="s">
        <v>890</v>
      </c>
      <c r="G14" s="452"/>
      <c r="H14" s="459"/>
      <c r="I14" s="498">
        <v>1.5</v>
      </c>
      <c r="J14" s="452"/>
      <c r="K14" s="452"/>
      <c r="L14" s="475" t="s">
        <v>1585</v>
      </c>
      <c r="M14" s="452">
        <v>11</v>
      </c>
      <c r="N14" s="456">
        <v>1.6519999999999999</v>
      </c>
      <c r="O14" s="456">
        <f>N14</f>
        <v>1.6519999999999999</v>
      </c>
      <c r="P14" s="459"/>
      <c r="Q14" s="459"/>
      <c r="R14" s="459"/>
      <c r="S14" s="465">
        <v>0.3</v>
      </c>
      <c r="T14" s="459" t="s">
        <v>1586</v>
      </c>
    </row>
    <row r="15" spans="1:83" s="473" customFormat="1" ht="21" customHeight="1">
      <c r="A15" s="467">
        <v>2</v>
      </c>
      <c r="B15" s="468"/>
      <c r="C15" s="468"/>
      <c r="D15" s="451" t="s">
        <v>1587</v>
      </c>
      <c r="E15" s="468"/>
      <c r="F15" s="474" t="s">
        <v>890</v>
      </c>
      <c r="G15" s="452"/>
      <c r="H15" s="453"/>
      <c r="I15" s="498">
        <v>3</v>
      </c>
      <c r="J15" s="452"/>
      <c r="K15" s="452"/>
      <c r="L15" s="475" t="s">
        <v>57</v>
      </c>
      <c r="M15" s="452">
        <v>12</v>
      </c>
      <c r="N15" s="456">
        <v>6.9980000000000002</v>
      </c>
      <c r="O15" s="456">
        <f>N15</f>
        <v>6.9980000000000002</v>
      </c>
      <c r="P15" s="459"/>
      <c r="Q15" s="459"/>
      <c r="R15" s="459"/>
      <c r="S15" s="465">
        <v>0.3</v>
      </c>
      <c r="T15" s="459" t="s">
        <v>1586</v>
      </c>
    </row>
    <row r="16" spans="1:83" s="473" customFormat="1" ht="21" customHeight="1">
      <c r="A16" s="467"/>
      <c r="B16" s="468"/>
      <c r="C16" s="468"/>
      <c r="D16" s="451"/>
      <c r="E16" s="468"/>
      <c r="F16" s="474"/>
      <c r="G16" s="452"/>
      <c r="H16" s="453"/>
      <c r="I16" s="452"/>
      <c r="J16" s="452"/>
      <c r="K16" s="452"/>
      <c r="L16" s="475"/>
      <c r="M16" s="452"/>
      <c r="N16" s="459"/>
      <c r="O16" s="459"/>
      <c r="P16" s="459"/>
      <c r="Q16" s="459"/>
      <c r="R16" s="459"/>
      <c r="S16" s="465"/>
      <c r="T16" s="459"/>
    </row>
    <row r="17" spans="1:20" s="473" customFormat="1" ht="30.75" customHeight="1">
      <c r="A17" s="467"/>
      <c r="B17" s="468"/>
      <c r="C17" s="468"/>
      <c r="D17" s="451"/>
      <c r="E17" s="468"/>
      <c r="F17" s="474"/>
      <c r="G17" s="452"/>
      <c r="H17" s="453"/>
      <c r="I17" s="452"/>
      <c r="J17" s="452"/>
      <c r="K17" s="452"/>
      <c r="L17" s="475"/>
      <c r="M17" s="452"/>
      <c r="N17" s="459"/>
      <c r="O17" s="459"/>
      <c r="P17" s="459"/>
      <c r="Q17" s="459"/>
      <c r="R17" s="459"/>
      <c r="S17" s="465"/>
      <c r="T17" s="459"/>
    </row>
    <row r="18" spans="1:20" ht="23.25" customHeight="1">
      <c r="A18" s="461"/>
      <c r="B18" s="462"/>
      <c r="C18" s="462"/>
      <c r="D18" s="474"/>
      <c r="E18" s="462"/>
      <c r="F18" s="474"/>
      <c r="G18" s="452"/>
      <c r="H18" s="453"/>
      <c r="I18" s="452"/>
      <c r="J18" s="452"/>
      <c r="K18" s="452"/>
      <c r="L18" s="475"/>
      <c r="M18" s="452"/>
      <c r="N18" s="459"/>
      <c r="O18" s="456">
        <f>SUM(O14:O17)</f>
        <v>8.65</v>
      </c>
      <c r="P18" s="459"/>
      <c r="Q18" s="459"/>
      <c r="R18" s="459"/>
      <c r="S18" s="460"/>
      <c r="T18" s="459"/>
    </row>
    <row r="19" spans="1:20" s="473" customFormat="1" ht="10.5" customHeight="1">
      <c r="A19" s="3167"/>
      <c r="B19" s="3167"/>
      <c r="C19" s="3167"/>
      <c r="D19" s="3167"/>
      <c r="E19" s="468"/>
      <c r="F19" s="476"/>
      <c r="G19" s="469"/>
      <c r="H19" s="467"/>
      <c r="I19" s="469"/>
      <c r="J19" s="469"/>
      <c r="K19" s="469"/>
      <c r="L19" s="467"/>
      <c r="M19" s="469"/>
      <c r="N19" s="470"/>
      <c r="O19" s="470"/>
      <c r="P19" s="470"/>
      <c r="Q19" s="470"/>
      <c r="R19" s="467"/>
      <c r="S19" s="469"/>
      <c r="T19" s="477"/>
    </row>
    <row r="20" spans="1:20" ht="9.75" customHeight="1">
      <c r="A20" s="461"/>
      <c r="B20" s="462"/>
      <c r="C20" s="462"/>
      <c r="D20" s="478"/>
      <c r="E20" s="462"/>
      <c r="F20" s="479"/>
      <c r="G20" s="452"/>
      <c r="H20" s="461"/>
      <c r="I20" s="452"/>
      <c r="J20" s="452"/>
      <c r="K20" s="452"/>
      <c r="L20" s="461"/>
      <c r="M20" s="452"/>
      <c r="N20" s="453"/>
      <c r="O20" s="453"/>
      <c r="P20" s="453"/>
      <c r="Q20" s="453"/>
      <c r="R20" s="461"/>
      <c r="S20" s="452"/>
      <c r="T20" s="478"/>
    </row>
    <row r="21" spans="1:20" s="473" customFormat="1" ht="14.25" customHeight="1">
      <c r="A21" s="480" t="s">
        <v>608</v>
      </c>
      <c r="B21" s="468"/>
      <c r="C21" s="468"/>
      <c r="D21" s="477"/>
      <c r="E21" s="468"/>
      <c r="F21" s="476"/>
      <c r="G21" s="469"/>
      <c r="H21" s="467"/>
      <c r="I21" s="469"/>
      <c r="J21" s="469"/>
      <c r="K21" s="469"/>
      <c r="L21" s="467"/>
      <c r="M21" s="469"/>
      <c r="N21" s="470"/>
      <c r="O21" s="497">
        <f>O18+O12</f>
        <v>89.228000000000009</v>
      </c>
      <c r="P21" s="470">
        <f>P18+P12</f>
        <v>56.080999999999996</v>
      </c>
      <c r="Q21" s="470">
        <f>Q18+Q12</f>
        <v>100.99399999999999</v>
      </c>
      <c r="R21" s="467"/>
      <c r="S21" s="469"/>
      <c r="T21" s="477"/>
    </row>
    <row r="22" spans="1:20" s="473" customFormat="1" ht="14">
      <c r="A22" s="3166" t="s">
        <v>609</v>
      </c>
      <c r="B22" s="3166"/>
      <c r="C22" s="3166"/>
      <c r="D22" s="3166"/>
      <c r="E22" s="3166"/>
      <c r="F22" s="3166"/>
      <c r="G22" s="469"/>
      <c r="H22" s="467"/>
      <c r="I22" s="469"/>
      <c r="J22" s="469"/>
      <c r="K22" s="469"/>
      <c r="L22" s="467"/>
      <c r="M22" s="469"/>
      <c r="N22" s="470"/>
      <c r="O22" s="470"/>
      <c r="P22" s="470"/>
      <c r="Q22" s="470"/>
      <c r="R22" s="467"/>
      <c r="S22" s="469"/>
      <c r="T22" s="477"/>
    </row>
    <row r="23" spans="1:20" ht="14">
      <c r="A23" s="461"/>
      <c r="B23" s="462"/>
      <c r="C23" s="462"/>
      <c r="D23" s="478"/>
      <c r="E23" s="462"/>
      <c r="F23" s="479"/>
      <c r="G23" s="452"/>
      <c r="H23" s="461"/>
      <c r="I23" s="452"/>
      <c r="J23" s="452"/>
      <c r="K23" s="452"/>
      <c r="L23" s="461"/>
      <c r="M23" s="452"/>
      <c r="N23" s="453"/>
      <c r="O23" s="453"/>
      <c r="P23" s="453"/>
      <c r="Q23" s="453"/>
      <c r="R23" s="461"/>
      <c r="S23" s="452"/>
      <c r="T23" s="478"/>
    </row>
    <row r="82" spans="4:4" ht="10.5" customHeight="1">
      <c r="D82" s="436"/>
    </row>
    <row r="83" spans="4:4">
      <c r="D83" s="481"/>
    </row>
    <row r="84" spans="4:4">
      <c r="D84" s="481"/>
    </row>
    <row r="85" spans="4:4">
      <c r="D85" s="481"/>
    </row>
    <row r="86" spans="4:4">
      <c r="D86" s="481"/>
    </row>
    <row r="87" spans="4:4">
      <c r="D87" s="481"/>
    </row>
    <row r="88" spans="4:4">
      <c r="D88" s="481"/>
    </row>
    <row r="89" spans="4:4">
      <c r="D89" s="481"/>
    </row>
    <row r="90" spans="4:4">
      <c r="D90" s="481"/>
    </row>
    <row r="91" spans="4:4">
      <c r="D91" s="481"/>
    </row>
    <row r="92" spans="4:4">
      <c r="D92" s="481"/>
    </row>
    <row r="93" spans="4:4">
      <c r="D93" s="481"/>
    </row>
    <row r="94" spans="4:4">
      <c r="D94" s="481"/>
    </row>
    <row r="95" spans="4:4">
      <c r="D95" s="481"/>
    </row>
    <row r="96" spans="4:4">
      <c r="D96" s="481"/>
    </row>
    <row r="97" spans="4:4">
      <c r="D97" s="481"/>
    </row>
    <row r="98" spans="4:4">
      <c r="D98" s="481"/>
    </row>
    <row r="99" spans="4:4">
      <c r="D99" s="481"/>
    </row>
    <row r="100" spans="4:4">
      <c r="D100" s="481"/>
    </row>
    <row r="101" spans="4:4">
      <c r="D101" s="481"/>
    </row>
    <row r="102" spans="4:4">
      <c r="D102" s="481"/>
    </row>
    <row r="103" spans="4:4">
      <c r="D103" s="481"/>
    </row>
    <row r="104" spans="4:4">
      <c r="D104" s="481"/>
    </row>
    <row r="105" spans="4:4">
      <c r="D105" s="481"/>
    </row>
    <row r="106" spans="4:4">
      <c r="D106" s="481"/>
    </row>
    <row r="107" spans="4:4">
      <c r="D107" s="481"/>
    </row>
    <row r="108" spans="4:4">
      <c r="D108" s="481"/>
    </row>
    <row r="109" spans="4:4">
      <c r="D109" s="481"/>
    </row>
    <row r="110" spans="4:4">
      <c r="D110" s="481"/>
    </row>
    <row r="111" spans="4:4">
      <c r="D111" s="481"/>
    </row>
    <row r="112" spans="4:4">
      <c r="D112" s="481"/>
    </row>
    <row r="113" spans="4:4">
      <c r="D113" s="481"/>
    </row>
    <row r="114" spans="4:4">
      <c r="D114" s="481"/>
    </row>
    <row r="115" spans="4:4">
      <c r="D115" s="481"/>
    </row>
    <row r="116" spans="4:4">
      <c r="D116" s="481"/>
    </row>
    <row r="117" spans="4:4">
      <c r="D117" s="481"/>
    </row>
    <row r="118" spans="4:4">
      <c r="D118" s="481"/>
    </row>
    <row r="119" spans="4:4">
      <c r="D119" s="481"/>
    </row>
    <row r="120" spans="4:4">
      <c r="D120" s="481"/>
    </row>
    <row r="121" spans="4:4">
      <c r="D121" s="481"/>
    </row>
    <row r="122" spans="4:4">
      <c r="D122" s="481"/>
    </row>
    <row r="123" spans="4:4">
      <c r="D123" s="481"/>
    </row>
    <row r="124" spans="4:4">
      <c r="D124" s="481"/>
    </row>
    <row r="125" spans="4:4">
      <c r="D125" s="481"/>
    </row>
    <row r="126" spans="4:4">
      <c r="D126" s="481"/>
    </row>
    <row r="127" spans="4:4">
      <c r="D127" s="481"/>
    </row>
    <row r="128" spans="4:4">
      <c r="D128" s="481"/>
    </row>
    <row r="129" spans="4:4">
      <c r="D129" s="481"/>
    </row>
    <row r="130" spans="4:4">
      <c r="D130" s="481"/>
    </row>
    <row r="131" spans="4:4">
      <c r="D131" s="481"/>
    </row>
    <row r="132" spans="4:4">
      <c r="D132" s="481"/>
    </row>
    <row r="133" spans="4:4">
      <c r="D133" s="481"/>
    </row>
    <row r="134" spans="4:4">
      <c r="D134" s="481"/>
    </row>
    <row r="135" spans="4:4">
      <c r="D135" s="481"/>
    </row>
    <row r="136" spans="4:4">
      <c r="D136" s="481"/>
    </row>
    <row r="137" spans="4:4">
      <c r="D137" s="481"/>
    </row>
    <row r="138" spans="4:4">
      <c r="D138" s="481"/>
    </row>
    <row r="139" spans="4:4">
      <c r="D139" s="481"/>
    </row>
    <row r="140" spans="4:4">
      <c r="D140" s="481"/>
    </row>
    <row r="141" spans="4:4">
      <c r="D141" s="481"/>
    </row>
    <row r="142" spans="4:4">
      <c r="D142" s="481"/>
    </row>
    <row r="143" spans="4:4">
      <c r="D143" s="481"/>
    </row>
  </sheetData>
  <mergeCells count="4">
    <mergeCell ref="A2:T2"/>
    <mergeCell ref="A13:T13"/>
    <mergeCell ref="A19:D19"/>
    <mergeCell ref="A22:F22"/>
  </mergeCells>
  <phoneticPr fontId="63" type="noConversion"/>
  <printOptions gridLines="1"/>
  <pageMargins left="0.22" right="0.24" top="1" bottom="1" header="0.5" footer="0.5"/>
  <pageSetup scale="6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F31"/>
  <sheetViews>
    <sheetView workbookViewId="0">
      <selection activeCell="D13" sqref="D13"/>
    </sheetView>
  </sheetViews>
  <sheetFormatPr defaultColWidth="9.1796875" defaultRowHeight="15.5"/>
  <cols>
    <col min="1" max="1" width="6.1796875" style="630" bestFit="1" customWidth="1"/>
    <col min="2" max="2" width="21.54296875" style="630" customWidth="1"/>
    <col min="3" max="3" width="18.26953125" style="630" customWidth="1"/>
    <col min="4" max="4" width="16.81640625" style="630" customWidth="1"/>
    <col min="5" max="5" width="17.1796875" style="630" customWidth="1"/>
    <col min="6" max="6" width="17" style="630" customWidth="1"/>
    <col min="7" max="16384" width="9.1796875" style="630"/>
  </cols>
  <sheetData>
    <row r="1" spans="1:6">
      <c r="A1" s="3450" t="s">
        <v>5525</v>
      </c>
      <c r="B1" s="3450"/>
      <c r="C1" s="3450"/>
      <c r="D1" s="3450"/>
      <c r="E1" s="3450"/>
      <c r="F1" s="3450"/>
    </row>
    <row r="2" spans="1:6">
      <c r="A2" s="3325" t="s">
        <v>3784</v>
      </c>
      <c r="B2" s="3325"/>
      <c r="C2" s="3325"/>
      <c r="D2" s="3325"/>
      <c r="E2" s="3325"/>
      <c r="F2" s="3325"/>
    </row>
    <row r="3" spans="1:6">
      <c r="A3" s="3449" t="s">
        <v>8494</v>
      </c>
      <c r="B3" s="3449"/>
      <c r="C3" s="3449"/>
      <c r="D3" s="3449"/>
      <c r="E3" s="3449"/>
      <c r="F3" s="3449"/>
    </row>
    <row r="4" spans="1:6" ht="47.25" customHeight="1">
      <c r="A4" s="835" t="s">
        <v>551</v>
      </c>
      <c r="B4" s="836" t="s">
        <v>3785</v>
      </c>
      <c r="C4" s="836" t="s">
        <v>3786</v>
      </c>
      <c r="D4" s="836" t="s">
        <v>3787</v>
      </c>
      <c r="E4" s="836" t="s">
        <v>3788</v>
      </c>
      <c r="F4" s="836" t="s">
        <v>3789</v>
      </c>
    </row>
    <row r="5" spans="1:6">
      <c r="A5" s="837"/>
      <c r="B5" s="837"/>
      <c r="C5" s="837">
        <v>0</v>
      </c>
      <c r="D5" s="837"/>
      <c r="E5" s="837">
        <v>0</v>
      </c>
      <c r="F5" s="837">
        <v>0</v>
      </c>
    </row>
    <row r="6" spans="1:6">
      <c r="A6" s="837"/>
      <c r="B6" s="837"/>
      <c r="C6" s="837">
        <v>0</v>
      </c>
      <c r="D6" s="837">
        <v>0</v>
      </c>
      <c r="E6" s="837">
        <v>0</v>
      </c>
      <c r="F6" s="837">
        <v>0</v>
      </c>
    </row>
    <row r="7" spans="1:6">
      <c r="A7" s="837"/>
      <c r="B7" s="837"/>
      <c r="C7" s="837">
        <v>0</v>
      </c>
      <c r="D7" s="837"/>
      <c r="E7" s="837">
        <v>0</v>
      </c>
      <c r="F7" s="837">
        <v>0</v>
      </c>
    </row>
    <row r="8" spans="1:6">
      <c r="A8" s="837"/>
      <c r="B8" s="837"/>
      <c r="C8" s="837">
        <v>0</v>
      </c>
      <c r="D8" s="837"/>
      <c r="E8" s="837">
        <v>0</v>
      </c>
      <c r="F8" s="837">
        <v>0</v>
      </c>
    </row>
    <row r="9" spans="1:6">
      <c r="A9" s="837"/>
      <c r="B9" s="837"/>
      <c r="C9" s="837">
        <v>0</v>
      </c>
      <c r="D9" s="837"/>
      <c r="E9" s="837">
        <v>0</v>
      </c>
      <c r="F9" s="837">
        <v>0</v>
      </c>
    </row>
    <row r="10" spans="1:6" s="625" customFormat="1" ht="27" customHeight="1">
      <c r="A10" s="883"/>
      <c r="B10" s="883" t="s">
        <v>1100</v>
      </c>
      <c r="C10" s="883">
        <f>SUM(C5:C9)</f>
        <v>0</v>
      </c>
      <c r="D10" s="883"/>
      <c r="E10" s="883">
        <f>SUM(E5:E9)</f>
        <v>0</v>
      </c>
      <c r="F10" s="883">
        <f>SUM(F5:F9)</f>
        <v>0</v>
      </c>
    </row>
    <row r="20" spans="1:5">
      <c r="A20" s="644"/>
      <c r="B20" s="638"/>
      <c r="C20" s="665"/>
      <c r="D20" s="651"/>
      <c r="E20" s="638"/>
    </row>
    <row r="21" spans="1:5" ht="13.5" customHeight="1">
      <c r="A21" s="644"/>
      <c r="B21" s="638"/>
      <c r="C21" s="665"/>
      <c r="D21" s="651"/>
      <c r="E21" s="638"/>
    </row>
    <row r="22" spans="1:5">
      <c r="A22" s="644"/>
      <c r="B22" s="638"/>
      <c r="C22" s="665"/>
      <c r="D22" s="651"/>
      <c r="E22" s="638"/>
    </row>
    <row r="23" spans="1:5" ht="14.25" customHeight="1">
      <c r="A23" s="644"/>
      <c r="B23" s="638"/>
      <c r="C23" s="665"/>
      <c r="D23" s="651"/>
      <c r="E23" s="638"/>
    </row>
    <row r="24" spans="1:5">
      <c r="A24" s="644"/>
      <c r="B24" s="638"/>
      <c r="C24" s="665"/>
      <c r="D24" s="651"/>
      <c r="E24" s="638"/>
    </row>
    <row r="25" spans="1:5">
      <c r="A25" s="644"/>
      <c r="B25" s="638"/>
      <c r="C25" s="665"/>
      <c r="D25" s="651"/>
      <c r="E25" s="638"/>
    </row>
    <row r="26" spans="1:5">
      <c r="A26" s="644"/>
      <c r="B26" s="638"/>
      <c r="C26" s="665"/>
      <c r="D26" s="651"/>
      <c r="E26" s="638"/>
    </row>
    <row r="27" spans="1:5">
      <c r="A27" s="644"/>
      <c r="B27" s="638"/>
      <c r="C27" s="665"/>
      <c r="D27" s="651"/>
      <c r="E27" s="638"/>
    </row>
    <row r="28" spans="1:5">
      <c r="A28" s="644"/>
      <c r="B28" s="638"/>
      <c r="C28" s="665"/>
      <c r="D28" s="651"/>
      <c r="E28" s="638"/>
    </row>
    <row r="29" spans="1:5" s="625" customFormat="1">
      <c r="A29" s="651"/>
      <c r="B29" s="651"/>
      <c r="C29" s="832"/>
      <c r="D29" s="832"/>
      <c r="E29" s="666"/>
    </row>
    <row r="31" spans="1:5">
      <c r="C31" s="638"/>
    </row>
  </sheetData>
  <mergeCells count="3">
    <mergeCell ref="A2:F2"/>
    <mergeCell ref="A3:F3"/>
    <mergeCell ref="A1:F1"/>
  </mergeCells>
  <printOptions horizontalCentered="1"/>
  <pageMargins left="0" right="0" top="0.78740157480314965" bottom="0.19685039370078741" header="0" footer="0"/>
  <pageSetup paperSize="9" scale="90" orientation="portrait" r:id="rId1"/>
  <headerFooter>
    <oddFooter>&amp;ROERC Form No.18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7">
    <tabColor rgb="FF92D050"/>
    <pageSetUpPr fitToPage="1"/>
  </sheetPr>
  <dimension ref="A1:W77"/>
  <sheetViews>
    <sheetView showGridLines="0" topLeftCell="A31" zoomScale="66" zoomScaleNormal="66" workbookViewId="0">
      <selection activeCell="D13" sqref="D13"/>
    </sheetView>
  </sheetViews>
  <sheetFormatPr defaultColWidth="9.1796875" defaultRowHeight="15.5"/>
  <cols>
    <col min="1" max="1" width="35.7265625" style="630" customWidth="1"/>
    <col min="2" max="2" width="17" style="630" customWidth="1"/>
    <col min="3" max="3" width="14.7265625" style="630" bestFit="1" customWidth="1"/>
    <col min="4" max="4" width="17" style="630" bestFit="1" customWidth="1"/>
    <col min="5" max="5" width="19.26953125" style="630" hidden="1" customWidth="1"/>
    <col min="6" max="6" width="19.1796875" style="630" bestFit="1" customWidth="1"/>
    <col min="7" max="7" width="17.81640625" style="630" bestFit="1" customWidth="1"/>
    <col min="8" max="8" width="15.81640625" style="630" bestFit="1" customWidth="1"/>
    <col min="9" max="9" width="16.81640625" style="638" customWidth="1"/>
    <col min="10" max="10" width="16.81640625" style="638" hidden="1" customWidth="1"/>
    <col min="11" max="11" width="16" style="630" customWidth="1"/>
    <col min="12" max="12" width="14.54296875" style="630" customWidth="1"/>
    <col min="13" max="13" width="16.453125" style="630" customWidth="1"/>
    <col min="14" max="14" width="17.26953125" style="630" bestFit="1" customWidth="1"/>
    <col min="15" max="15" width="18" style="630" bestFit="1" customWidth="1"/>
    <col min="16" max="18" width="9.1796875" style="630"/>
    <col min="19" max="19" width="10.1796875" style="630" bestFit="1" customWidth="1"/>
    <col min="20" max="16384" width="9.1796875" style="630"/>
  </cols>
  <sheetData>
    <row r="1" spans="1:23">
      <c r="A1" s="1580" t="s">
        <v>5525</v>
      </c>
      <c r="M1" s="631"/>
      <c r="N1" s="625"/>
    </row>
    <row r="2" spans="1:23">
      <c r="A2" s="3383" t="s">
        <v>8489</v>
      </c>
      <c r="B2" s="3383"/>
      <c r="C2" s="3383"/>
      <c r="D2" s="3383"/>
      <c r="E2" s="3383"/>
      <c r="F2" s="3383"/>
      <c r="G2" s="3383"/>
      <c r="H2" s="3383"/>
      <c r="I2" s="3383"/>
      <c r="J2" s="3383"/>
      <c r="K2" s="3383"/>
      <c r="L2" s="3383"/>
      <c r="M2" s="3383"/>
      <c r="N2" s="3383"/>
      <c r="O2" s="3383"/>
    </row>
    <row r="3" spans="1:23">
      <c r="A3" s="3394" t="s">
        <v>141</v>
      </c>
      <c r="B3" s="3394"/>
      <c r="C3" s="3394"/>
      <c r="D3" s="3394"/>
      <c r="E3" s="3394"/>
      <c r="F3" s="3394"/>
      <c r="G3" s="3394"/>
      <c r="H3" s="3394"/>
      <c r="I3" s="3394"/>
      <c r="J3" s="3394"/>
      <c r="K3" s="3394"/>
      <c r="L3" s="3394"/>
      <c r="M3" s="3394"/>
      <c r="N3" s="3394"/>
      <c r="O3" s="3394"/>
    </row>
    <row r="4" spans="1:23" ht="16" thickBot="1">
      <c r="A4" s="3453" t="s">
        <v>3790</v>
      </c>
      <c r="B4" s="3453"/>
      <c r="C4" s="3453"/>
      <c r="D4" s="3453"/>
      <c r="E4" s="3453"/>
      <c r="F4" s="3453"/>
      <c r="G4" s="3453"/>
      <c r="H4" s="3453"/>
      <c r="I4" s="3453"/>
      <c r="J4" s="3453"/>
      <c r="K4" s="3453"/>
      <c r="L4" s="3453"/>
      <c r="M4" s="3453"/>
      <c r="N4" s="625" t="s">
        <v>4053</v>
      </c>
    </row>
    <row r="5" spans="1:23" ht="19.5" customHeight="1" thickBot="1">
      <c r="A5" s="843" t="s">
        <v>142</v>
      </c>
      <c r="B5" s="844" t="s">
        <v>909</v>
      </c>
      <c r="C5" s="845"/>
      <c r="D5" s="845"/>
      <c r="E5" s="845"/>
      <c r="F5" s="845"/>
      <c r="G5" s="845"/>
      <c r="H5" s="845"/>
      <c r="I5" s="846" t="s">
        <v>118</v>
      </c>
      <c r="J5" s="846"/>
      <c r="K5" s="845"/>
      <c r="L5" s="844"/>
      <c r="M5" s="844"/>
      <c r="N5" s="844" t="s">
        <v>910</v>
      </c>
      <c r="O5" s="847"/>
      <c r="P5" s="848"/>
    </row>
    <row r="6" spans="1:23" ht="64.5" customHeight="1" thickBot="1">
      <c r="A6" s="849" t="s">
        <v>895</v>
      </c>
      <c r="B6" s="3451" t="s">
        <v>8079</v>
      </c>
      <c r="C6" s="3451"/>
      <c r="D6" s="3451"/>
      <c r="E6" s="850" t="s">
        <v>8147</v>
      </c>
      <c r="F6" s="850" t="s">
        <v>8148</v>
      </c>
      <c r="G6" s="850" t="s">
        <v>912</v>
      </c>
      <c r="H6" s="850" t="s">
        <v>8080</v>
      </c>
      <c r="I6" s="851" t="s">
        <v>8081</v>
      </c>
      <c r="J6" s="850" t="s">
        <v>8149</v>
      </c>
      <c r="K6" s="850" t="s">
        <v>8488</v>
      </c>
      <c r="L6" s="850" t="s">
        <v>914</v>
      </c>
      <c r="M6" s="850" t="s">
        <v>8082</v>
      </c>
      <c r="N6" s="850" t="s">
        <v>8083</v>
      </c>
      <c r="O6" s="852" t="s">
        <v>8084</v>
      </c>
      <c r="P6" s="848"/>
    </row>
    <row r="7" spans="1:23" ht="30.5">
      <c r="A7" s="2222"/>
      <c r="B7" s="2223" t="s">
        <v>915</v>
      </c>
      <c r="C7" s="2223" t="s">
        <v>916</v>
      </c>
      <c r="D7" s="2223" t="s">
        <v>1100</v>
      </c>
      <c r="E7" s="2223"/>
      <c r="F7" s="2120"/>
      <c r="G7" s="2120"/>
      <c r="H7" s="2120"/>
      <c r="I7" s="654"/>
      <c r="J7" s="654"/>
      <c r="K7" s="2120"/>
      <c r="L7" s="2120"/>
      <c r="M7" s="2120"/>
      <c r="N7" s="2120"/>
      <c r="O7" s="2224"/>
    </row>
    <row r="8" spans="1:23">
      <c r="A8" s="2225" t="s">
        <v>5482</v>
      </c>
      <c r="B8" s="634"/>
      <c r="C8" s="634"/>
      <c r="D8" s="634"/>
      <c r="E8" s="634"/>
      <c r="F8" s="634"/>
      <c r="G8" s="634"/>
      <c r="H8" s="634"/>
      <c r="I8" s="636"/>
      <c r="J8" s="636"/>
      <c r="K8" s="634"/>
      <c r="L8" s="634"/>
      <c r="M8" s="634"/>
      <c r="N8" s="634"/>
      <c r="O8" s="635"/>
    </row>
    <row r="9" spans="1:23" ht="14.25" customHeight="1">
      <c r="A9" s="633" t="s">
        <v>923</v>
      </c>
      <c r="B9" s="634"/>
      <c r="C9" s="634"/>
      <c r="D9" s="634"/>
      <c r="E9" s="634"/>
      <c r="F9" s="634"/>
      <c r="G9" s="634"/>
      <c r="H9" s="634"/>
      <c r="I9" s="636"/>
      <c r="J9" s="636"/>
      <c r="K9" s="634"/>
      <c r="L9" s="634"/>
      <c r="M9" s="634"/>
      <c r="N9" s="634"/>
      <c r="O9" s="635"/>
    </row>
    <row r="10" spans="1:23">
      <c r="A10" s="633" t="s">
        <v>917</v>
      </c>
      <c r="B10" s="653">
        <v>0</v>
      </c>
      <c r="C10" s="653"/>
      <c r="D10" s="1576">
        <f>C10+B10</f>
        <v>0</v>
      </c>
      <c r="E10" s="1576"/>
      <c r="F10" s="636"/>
      <c r="G10" s="634"/>
      <c r="H10" s="640">
        <f>D10+F10-G10</f>
        <v>0</v>
      </c>
      <c r="I10" s="785">
        <v>0</v>
      </c>
      <c r="J10" s="785"/>
      <c r="K10" s="636"/>
      <c r="L10" s="653">
        <v>0</v>
      </c>
      <c r="M10" s="640">
        <f>I10+K10-L10</f>
        <v>0</v>
      </c>
      <c r="N10" s="640">
        <f>H10-M10</f>
        <v>0</v>
      </c>
      <c r="O10" s="2005">
        <f>D10-I10</f>
        <v>0</v>
      </c>
      <c r="V10" s="630">
        <v>1</v>
      </c>
      <c r="W10" s="630">
        <v>12</v>
      </c>
    </row>
    <row r="11" spans="1:23">
      <c r="A11" s="633" t="s">
        <v>918</v>
      </c>
      <c r="B11" s="653">
        <v>0</v>
      </c>
      <c r="C11" s="653"/>
      <c r="D11" s="1576">
        <f t="shared" ref="D11:D20" si="0">C11+B11</f>
        <v>0</v>
      </c>
      <c r="E11" s="1576"/>
      <c r="F11" s="634"/>
      <c r="G11" s="634"/>
      <c r="H11" s="640">
        <f t="shared" ref="H11:H21" si="1">D11+F11-G11</f>
        <v>0</v>
      </c>
      <c r="I11" s="785">
        <v>0</v>
      </c>
      <c r="J11" s="785"/>
      <c r="K11" s="636"/>
      <c r="L11" s="653">
        <v>0</v>
      </c>
      <c r="M11" s="640">
        <f t="shared" ref="M11:M21" si="2">I11+K11-L11</f>
        <v>0</v>
      </c>
      <c r="N11" s="640">
        <f t="shared" ref="N11:N21" si="3">H11-M11</f>
        <v>0</v>
      </c>
      <c r="O11" s="2005">
        <f t="shared" ref="O11:O21" si="4">D11-I11</f>
        <v>0</v>
      </c>
      <c r="V11" s="630">
        <v>2</v>
      </c>
      <c r="W11" s="630">
        <v>13</v>
      </c>
    </row>
    <row r="12" spans="1:23">
      <c r="A12" s="633" t="s">
        <v>119</v>
      </c>
      <c r="B12" s="653">
        <f>SUMIF('TB FY-2021-22'!$S$3:$S$1353,'F-19-A'!V12,'TB FY-2021-22'!$G$3:$G$1353)/10^7</f>
        <v>17.868400504000004</v>
      </c>
      <c r="C12" s="653"/>
      <c r="D12" s="1576">
        <f>C12+B12</f>
        <v>17.868400504000004</v>
      </c>
      <c r="E12" s="1576">
        <v>4.6470600580000001</v>
      </c>
      <c r="F12" s="636">
        <f>E12</f>
        <v>4.6470600580000001</v>
      </c>
      <c r="G12" s="634"/>
      <c r="H12" s="640">
        <f t="shared" si="1"/>
        <v>22.515460562000005</v>
      </c>
      <c r="I12" s="2096">
        <f>F68</f>
        <v>1.2415453745441836</v>
      </c>
      <c r="J12" s="2096">
        <v>0.49862246900000001</v>
      </c>
      <c r="K12" s="636">
        <v>0.552442435382</v>
      </c>
      <c r="L12" s="653">
        <v>0</v>
      </c>
      <c r="M12" s="640">
        <f t="shared" si="2"/>
        <v>1.7939878099261835</v>
      </c>
      <c r="N12" s="640">
        <f t="shared" si="3"/>
        <v>20.721472752073822</v>
      </c>
      <c r="O12" s="2005">
        <f t="shared" si="4"/>
        <v>16.626855129455819</v>
      </c>
      <c r="S12" s="2226">
        <v>1.7999999999999999E-2</v>
      </c>
      <c r="V12" s="630">
        <v>3</v>
      </c>
      <c r="W12" s="630">
        <v>14</v>
      </c>
    </row>
    <row r="13" spans="1:23">
      <c r="A13" s="633" t="s">
        <v>919</v>
      </c>
      <c r="B13" s="653">
        <f>SUMIF('TB FY-2021-22'!$S$3:$S$1353,'F-19-A'!V13,'TB FY-2021-22'!$G$3:$G$1353)/10^7</f>
        <v>11.501590741999999</v>
      </c>
      <c r="C13" s="653"/>
      <c r="D13" s="1576">
        <f t="shared" si="0"/>
        <v>11.501590741999999</v>
      </c>
      <c r="E13" s="1576"/>
      <c r="F13" s="636">
        <v>15.711417204</v>
      </c>
      <c r="G13" s="634"/>
      <c r="H13" s="640">
        <f t="shared" si="1"/>
        <v>27.213007945999998</v>
      </c>
      <c r="I13" s="2096">
        <f>F69</f>
        <v>1.5005770834558159</v>
      </c>
      <c r="J13" s="2096"/>
      <c r="K13" s="636"/>
      <c r="L13" s="653">
        <v>0</v>
      </c>
      <c r="M13" s="640">
        <f t="shared" si="2"/>
        <v>1.5005770834558159</v>
      </c>
      <c r="N13" s="640">
        <f t="shared" si="3"/>
        <v>25.712430862544181</v>
      </c>
      <c r="O13" s="2005">
        <f t="shared" si="4"/>
        <v>10.001013658544183</v>
      </c>
      <c r="S13" s="2226">
        <v>1.7999999999999999E-2</v>
      </c>
      <c r="V13" s="630">
        <v>4</v>
      </c>
      <c r="W13" s="630">
        <v>15</v>
      </c>
    </row>
    <row r="14" spans="1:23">
      <c r="A14" s="633" t="s">
        <v>6946</v>
      </c>
      <c r="B14" s="653">
        <f>SUMIF('TB FY-2021-22'!$S$3:$S$1353,'F-19-A'!V14,'TB FY-2021-22'!$G$3:$G$1353)/10^7+17.52057443+SUMIF('TB FY-2021-22'!$S$3:$S$1353,'F-19-A'!V16,'TB FY-2021-22'!$G$3:$G$1353)/10^7+SUMIF('TB FY-2021-22'!$S$3:$S$1353,'F-19-A'!V15,'TB FY-2021-22'!$G$3:$G$1353)/10^7</f>
        <v>1072.410531755</v>
      </c>
      <c r="C14" s="653"/>
      <c r="D14" s="1576">
        <f t="shared" si="0"/>
        <v>1072.410531755</v>
      </c>
      <c r="E14" s="1576">
        <v>18.140454273000003</v>
      </c>
      <c r="F14" s="636">
        <v>243.73226022299997</v>
      </c>
      <c r="G14" s="634"/>
      <c r="H14" s="640">
        <f>D14+F14-G14</f>
        <v>1316.1427919779999</v>
      </c>
      <c r="I14" s="2096">
        <f>F60</f>
        <v>389.06510649199998</v>
      </c>
      <c r="J14" s="2096">
        <v>15.234984920691002</v>
      </c>
      <c r="K14" s="636">
        <v>44.736234081145355</v>
      </c>
      <c r="L14" s="653">
        <v>0</v>
      </c>
      <c r="M14" s="640">
        <f t="shared" si="2"/>
        <v>433.80134057314535</v>
      </c>
      <c r="N14" s="640">
        <f t="shared" si="3"/>
        <v>882.34145140485452</v>
      </c>
      <c r="O14" s="2005">
        <f t="shared" si="4"/>
        <v>683.34542526299992</v>
      </c>
      <c r="S14" s="2226">
        <v>3.7999999999999999E-2</v>
      </c>
      <c r="V14" s="630">
        <v>5</v>
      </c>
      <c r="W14" s="630">
        <v>16</v>
      </c>
    </row>
    <row r="15" spans="1:23">
      <c r="A15" s="2227" t="s">
        <v>920</v>
      </c>
      <c r="B15" s="653"/>
      <c r="C15" s="653"/>
      <c r="D15" s="1576">
        <f t="shared" si="0"/>
        <v>0</v>
      </c>
      <c r="E15" s="1576"/>
      <c r="F15" s="636"/>
      <c r="G15" s="634"/>
      <c r="H15" s="1576">
        <f t="shared" si="1"/>
        <v>0</v>
      </c>
      <c r="I15" s="3105">
        <f>F61</f>
        <v>0</v>
      </c>
      <c r="J15" s="2096"/>
      <c r="K15" s="636"/>
      <c r="L15" s="653">
        <v>0</v>
      </c>
      <c r="M15" s="640">
        <f t="shared" si="2"/>
        <v>0</v>
      </c>
      <c r="N15" s="640">
        <f t="shared" si="3"/>
        <v>0</v>
      </c>
      <c r="O15" s="2005">
        <f t="shared" si="4"/>
        <v>0</v>
      </c>
      <c r="S15" s="2226">
        <v>3.7999999999999999E-2</v>
      </c>
      <c r="V15" s="630">
        <v>6</v>
      </c>
      <c r="W15" s="630">
        <v>17</v>
      </c>
    </row>
    <row r="16" spans="1:23" ht="31">
      <c r="A16" s="2227" t="s">
        <v>921</v>
      </c>
      <c r="B16" s="653"/>
      <c r="C16" s="653"/>
      <c r="D16" s="1576">
        <f t="shared" si="0"/>
        <v>0</v>
      </c>
      <c r="E16" s="1576"/>
      <c r="F16" s="636"/>
      <c r="G16" s="634"/>
      <c r="H16" s="1576">
        <f t="shared" si="1"/>
        <v>0</v>
      </c>
      <c r="I16" s="3105">
        <f>F62</f>
        <v>0</v>
      </c>
      <c r="J16" s="2096"/>
      <c r="K16" s="636"/>
      <c r="L16" s="653">
        <v>0</v>
      </c>
      <c r="M16" s="640">
        <f t="shared" si="2"/>
        <v>0</v>
      </c>
      <c r="N16" s="640">
        <f t="shared" si="3"/>
        <v>0</v>
      </c>
      <c r="O16" s="2005">
        <f t="shared" si="4"/>
        <v>0</v>
      </c>
      <c r="S16" s="2226">
        <v>3.7999999999999999E-2</v>
      </c>
      <c r="V16" s="630">
        <v>7</v>
      </c>
      <c r="W16" s="630">
        <v>18</v>
      </c>
    </row>
    <row r="17" spans="1:23">
      <c r="A17" s="633" t="s">
        <v>121</v>
      </c>
      <c r="B17" s="653">
        <f>SUMIF('TB FY-2021-22'!$S$3:$S$1353,'F-19-A'!V17,'TB FY-2021-22'!$G$3:$G$1353)/10^7</f>
        <v>2.282391718</v>
      </c>
      <c r="C17" s="653"/>
      <c r="D17" s="1576">
        <f t="shared" si="0"/>
        <v>2.282391718</v>
      </c>
      <c r="E17" s="1576">
        <v>1.793514448</v>
      </c>
      <c r="F17" s="636">
        <f>E17</f>
        <v>1.793514448</v>
      </c>
      <c r="G17" s="634"/>
      <c r="H17" s="640">
        <f t="shared" si="1"/>
        <v>4.0759061660000002</v>
      </c>
      <c r="I17" s="2096">
        <f>-('TB FY-2021-22'!G88+'TB FY-2021-22'!G89)/10^7</f>
        <v>1.4737245400000001</v>
      </c>
      <c r="J17" s="2096">
        <v>0.12002951000000001</v>
      </c>
      <c r="K17" s="636">
        <v>0.14883239278999999</v>
      </c>
      <c r="L17" s="653">
        <v>0</v>
      </c>
      <c r="M17" s="640">
        <f t="shared" si="2"/>
        <v>1.62255693279</v>
      </c>
      <c r="N17" s="640">
        <f t="shared" si="3"/>
        <v>2.45334923321</v>
      </c>
      <c r="O17" s="2005">
        <f t="shared" si="4"/>
        <v>0.80866717799999988</v>
      </c>
      <c r="S17" s="2226">
        <v>0.12859999999999999</v>
      </c>
      <c r="V17" s="630">
        <v>8</v>
      </c>
      <c r="W17" s="630">
        <v>19</v>
      </c>
    </row>
    <row r="18" spans="1:23">
      <c r="A18" s="633" t="s">
        <v>924</v>
      </c>
      <c r="B18" s="653">
        <f>SUMIF('TB FY-2021-22'!$S$3:$S$1353,'F-19-A'!V18,'TB FY-2021-22'!$G$3:$G$1353)/10^7</f>
        <v>7.3107123050000009</v>
      </c>
      <c r="C18" s="653"/>
      <c r="D18" s="1576">
        <f t="shared" si="0"/>
        <v>7.3107123050000009</v>
      </c>
      <c r="E18" s="1576">
        <v>1.8349396699999996</v>
      </c>
      <c r="F18" s="636">
        <f>E18</f>
        <v>1.8349396699999996</v>
      </c>
      <c r="G18" s="634"/>
      <c r="H18" s="640">
        <f t="shared" si="1"/>
        <v>9.1456519749999998</v>
      </c>
      <c r="I18" s="2096">
        <f>-('TB FY-2021-22'!G91+'TB FY-2021-22'!G90)/10^7</f>
        <v>1.9362927760000002</v>
      </c>
      <c r="J18" s="2096">
        <v>0.201531601</v>
      </c>
      <c r="K18" s="636">
        <v>0.21393679771041937</v>
      </c>
      <c r="L18" s="653">
        <v>0</v>
      </c>
      <c r="M18" s="640">
        <f t="shared" si="2"/>
        <v>2.1502295737104196</v>
      </c>
      <c r="N18" s="640">
        <f t="shared" si="3"/>
        <v>6.9954224012895807</v>
      </c>
      <c r="O18" s="2005">
        <f t="shared" si="4"/>
        <v>5.3744195290000008</v>
      </c>
      <c r="S18" s="2226">
        <v>4.5499999999999999E-2</v>
      </c>
      <c r="V18" s="630">
        <v>9</v>
      </c>
      <c r="W18" s="630">
        <v>20</v>
      </c>
    </row>
    <row r="19" spans="1:23">
      <c r="A19" s="633" t="s">
        <v>922</v>
      </c>
      <c r="B19" s="653">
        <f>SUMIF('TB FY-2021-22'!$S$3:$S$1353,'F-19-A'!V19,'TB FY-2021-22'!$G$3:$G$1353)/10^7</f>
        <v>40.722499616999997</v>
      </c>
      <c r="C19" s="653"/>
      <c r="D19" s="1576">
        <f t="shared" si="0"/>
        <v>40.722499616999997</v>
      </c>
      <c r="E19" s="1576">
        <v>5.8470088340000244</v>
      </c>
      <c r="F19" s="636">
        <v>31.410152766000024</v>
      </c>
      <c r="G19" s="634"/>
      <c r="H19" s="640">
        <f t="shared" si="1"/>
        <v>72.132652383000021</v>
      </c>
      <c r="I19" s="2096">
        <f>-('TB FY-2021-22'!G95+'TB FY-2021-22'!G97+'TB FY-2021-22'!G92+'TB FY-2021-22'!G94)/10^7</f>
        <v>6.6256695989999992</v>
      </c>
      <c r="J19" s="2096">
        <v>3.057673131</v>
      </c>
      <c r="K19" s="636">
        <v>3.0984015074246249</v>
      </c>
      <c r="L19" s="653">
        <v>0</v>
      </c>
      <c r="M19" s="640">
        <f t="shared" si="2"/>
        <v>9.7240711064246241</v>
      </c>
      <c r="N19" s="640">
        <f t="shared" si="3"/>
        <v>62.408581276575397</v>
      </c>
      <c r="O19" s="2005">
        <f t="shared" si="4"/>
        <v>34.096830017999999</v>
      </c>
      <c r="S19" s="2226">
        <v>0.09</v>
      </c>
      <c r="V19" s="630">
        <v>10</v>
      </c>
      <c r="W19" s="630">
        <v>21</v>
      </c>
    </row>
    <row r="20" spans="1:23">
      <c r="A20" s="2228" t="s">
        <v>8094</v>
      </c>
      <c r="B20" s="653">
        <f>SUMIF('TB FY-2021-22'!$S$3:$S$1353,'F-19-A'!V20,'TB FY-2021-22'!$G$3:$G$1353)/10^7</f>
        <v>34.817747363000002</v>
      </c>
      <c r="C20" s="1269"/>
      <c r="D20" s="1576">
        <f t="shared" si="0"/>
        <v>34.817747363000002</v>
      </c>
      <c r="E20" s="2229">
        <v>3.59734</v>
      </c>
      <c r="F20" s="2066">
        <f>E20</f>
        <v>3.59734</v>
      </c>
      <c r="G20" s="2207"/>
      <c r="H20" s="640">
        <f t="shared" si="1"/>
        <v>38.415087363000005</v>
      </c>
      <c r="I20" s="3103">
        <f>-('TB FY-2021-22'!G96+'TB FY-2021-22'!G93)/10^7</f>
        <v>0.79531205500000002</v>
      </c>
      <c r="J20" s="3103">
        <v>3.4788918599999996</v>
      </c>
      <c r="K20" s="2066">
        <v>3.4788918599999996</v>
      </c>
      <c r="L20" s="1269"/>
      <c r="M20" s="640">
        <f t="shared" si="2"/>
        <v>4.2742039149999993</v>
      </c>
      <c r="N20" s="640">
        <f t="shared" si="3"/>
        <v>34.140883448000004</v>
      </c>
      <c r="O20" s="2005">
        <f t="shared" si="4"/>
        <v>34.022435308000006</v>
      </c>
      <c r="S20" s="2226"/>
      <c r="V20" s="630">
        <v>11</v>
      </c>
      <c r="W20" s="630">
        <v>22</v>
      </c>
    </row>
    <row r="21" spans="1:23">
      <c r="A21" s="2228"/>
      <c r="B21" s="653">
        <f>SUMIF('TB FY-2021-22'!$S$3:$S$1353,'F-19-A'!V21,'TB FY-2021-22'!$G$3:$G$1353)/10^7</f>
        <v>0</v>
      </c>
      <c r="C21" s="1269"/>
      <c r="D21" s="2229"/>
      <c r="E21" s="2229"/>
      <c r="F21" s="2066"/>
      <c r="G21" s="2207"/>
      <c r="H21" s="640">
        <f t="shared" si="1"/>
        <v>0</v>
      </c>
      <c r="I21" s="3104">
        <v>0</v>
      </c>
      <c r="J21" s="3104"/>
      <c r="K21" s="2066"/>
      <c r="L21" s="2207"/>
      <c r="M21" s="640">
        <f t="shared" si="2"/>
        <v>0</v>
      </c>
      <c r="N21" s="640">
        <f t="shared" si="3"/>
        <v>0</v>
      </c>
      <c r="O21" s="2005">
        <f t="shared" si="4"/>
        <v>0</v>
      </c>
      <c r="S21" s="2226"/>
    </row>
    <row r="22" spans="1:23" ht="16" thickBot="1">
      <c r="A22" s="2230" t="s">
        <v>1100</v>
      </c>
      <c r="B22" s="2231">
        <f>SUM(B9:B21)</f>
        <v>1186.913874004</v>
      </c>
      <c r="C22" s="2231">
        <f t="shared" ref="C22:O22" si="5">SUM(C9:C21)</f>
        <v>0</v>
      </c>
      <c r="D22" s="2231">
        <f t="shared" si="5"/>
        <v>1186.913874004</v>
      </c>
      <c r="E22" s="2231">
        <f t="shared" si="5"/>
        <v>35.860317283000029</v>
      </c>
      <c r="F22" s="2231">
        <f t="shared" si="5"/>
        <v>302.72668436899994</v>
      </c>
      <c r="G22" s="2231">
        <f t="shared" si="5"/>
        <v>0</v>
      </c>
      <c r="H22" s="2231">
        <f t="shared" si="5"/>
        <v>1489.6405583730002</v>
      </c>
      <c r="I22" s="2231">
        <f t="shared" si="5"/>
        <v>402.63822791999996</v>
      </c>
      <c r="J22" s="2231">
        <f t="shared" si="5"/>
        <v>22.591733491691006</v>
      </c>
      <c r="K22" s="2231">
        <f t="shared" si="5"/>
        <v>52.228739074452392</v>
      </c>
      <c r="L22" s="2231">
        <f t="shared" si="5"/>
        <v>0</v>
      </c>
      <c r="M22" s="2231">
        <f t="shared" si="5"/>
        <v>454.86696699445241</v>
      </c>
      <c r="N22" s="2231">
        <f t="shared" si="5"/>
        <v>1034.7735913785475</v>
      </c>
      <c r="O22" s="2231">
        <f t="shared" si="5"/>
        <v>784.27564608399985</v>
      </c>
      <c r="Q22" s="651"/>
    </row>
    <row r="23" spans="1:23">
      <c r="A23" s="631"/>
      <c r="B23" s="2232"/>
      <c r="C23" s="2233"/>
      <c r="D23" s="842"/>
      <c r="E23" s="842"/>
      <c r="F23" s="842"/>
      <c r="G23" s="842"/>
      <c r="H23" s="842"/>
      <c r="I23" s="842"/>
      <c r="J23" s="842"/>
      <c r="K23" s="842"/>
      <c r="L23" s="842"/>
      <c r="M23" s="842"/>
      <c r="N23" s="842"/>
      <c r="O23" s="842"/>
    </row>
    <row r="24" spans="1:23">
      <c r="A24" s="631"/>
      <c r="B24" s="3132">
        <f>+B22-'F-21'!C20</f>
        <v>-2.9997409001225606E-9</v>
      </c>
      <c r="C24" s="3133"/>
      <c r="D24" s="3134"/>
      <c r="E24" s="3134"/>
      <c r="F24" s="2258">
        <v>302.726684369</v>
      </c>
      <c r="G24" s="3134"/>
      <c r="H24" s="3134"/>
      <c r="I24" s="3135">
        <f>I22-('OERC 6'!Q23+'OERC 6'!Q33)/10^7</f>
        <v>9.6685559999514226E-3</v>
      </c>
      <c r="J24" s="3135"/>
      <c r="K24" s="2259">
        <f>K22-L22</f>
        <v>52.228739074452392</v>
      </c>
      <c r="L24" s="842"/>
      <c r="M24" s="842"/>
      <c r="N24" s="842"/>
      <c r="O24" s="2260" t="e">
        <f>O22-#REF!/10^7</f>
        <v>#REF!</v>
      </c>
    </row>
    <row r="25" spans="1:23">
      <c r="A25" s="631"/>
      <c r="B25" s="3132"/>
      <c r="C25" s="3133"/>
      <c r="D25" s="3134"/>
      <c r="E25" s="3134"/>
      <c r="F25" s="2258">
        <f>F22-F24</f>
        <v>0</v>
      </c>
      <c r="G25" s="3134"/>
      <c r="H25" s="3134"/>
      <c r="I25" s="3136"/>
      <c r="J25" s="3136"/>
      <c r="K25" s="2260"/>
      <c r="L25" s="842"/>
      <c r="M25" s="842"/>
      <c r="N25" s="842"/>
      <c r="O25" s="2261" t="e">
        <f>O24*10^7</f>
        <v>#REF!</v>
      </c>
    </row>
    <row r="26" spans="1:23">
      <c r="A26" s="631"/>
      <c r="B26" s="2232"/>
      <c r="C26" s="2234"/>
      <c r="F26" s="2258"/>
      <c r="I26" s="651"/>
      <c r="J26" s="651"/>
      <c r="K26" s="842"/>
      <c r="L26" s="842"/>
      <c r="M26" s="842"/>
      <c r="N26" s="842"/>
      <c r="O26" s="2261"/>
    </row>
    <row r="27" spans="1:23">
      <c r="A27" s="3383" t="s">
        <v>8489</v>
      </c>
      <c r="B27" s="3383"/>
      <c r="C27" s="3383"/>
      <c r="D27" s="3383"/>
      <c r="E27" s="3383"/>
      <c r="F27" s="3383"/>
      <c r="G27" s="3383"/>
      <c r="H27" s="3383"/>
      <c r="I27" s="3383"/>
      <c r="J27" s="3383"/>
      <c r="K27" s="3383"/>
      <c r="L27" s="3383"/>
      <c r="M27" s="3383"/>
      <c r="N27" s="3383"/>
      <c r="O27" s="3383"/>
    </row>
    <row r="28" spans="1:23">
      <c r="A28" s="3394" t="s">
        <v>141</v>
      </c>
      <c r="B28" s="3394"/>
      <c r="C28" s="3394"/>
      <c r="D28" s="3394"/>
      <c r="E28" s="3394"/>
      <c r="F28" s="3394"/>
      <c r="G28" s="3394"/>
      <c r="H28" s="3394"/>
      <c r="I28" s="3394"/>
      <c r="J28" s="3394"/>
      <c r="K28" s="3394"/>
      <c r="L28" s="3394"/>
      <c r="M28" s="3394"/>
      <c r="N28" s="3394"/>
      <c r="O28" s="3394"/>
    </row>
    <row r="29" spans="1:23" ht="16" thickBot="1">
      <c r="A29" s="3453" t="s">
        <v>3791</v>
      </c>
      <c r="B29" s="3453"/>
      <c r="C29" s="3453"/>
      <c r="D29" s="3453"/>
      <c r="E29" s="3453"/>
      <c r="F29" s="3453"/>
      <c r="G29" s="3453"/>
      <c r="H29" s="3453"/>
      <c r="I29" s="3453"/>
      <c r="J29" s="3453"/>
      <c r="K29" s="3453"/>
      <c r="L29" s="3453"/>
      <c r="M29" s="3453"/>
      <c r="N29" s="625" t="s">
        <v>4052</v>
      </c>
    </row>
    <row r="30" spans="1:23" ht="64.5" customHeight="1" thickBot="1">
      <c r="A30" s="849" t="s">
        <v>895</v>
      </c>
      <c r="B30" s="3452" t="s">
        <v>8085</v>
      </c>
      <c r="C30" s="3452"/>
      <c r="D30" s="3452"/>
      <c r="E30" s="850"/>
      <c r="F30" s="850" t="s">
        <v>911</v>
      </c>
      <c r="G30" s="850" t="s">
        <v>912</v>
      </c>
      <c r="H30" s="850" t="s">
        <v>8086</v>
      </c>
      <c r="I30" s="851" t="s">
        <v>8087</v>
      </c>
      <c r="J30" s="851"/>
      <c r="K30" s="850" t="s">
        <v>913</v>
      </c>
      <c r="L30" s="850" t="s">
        <v>914</v>
      </c>
      <c r="M30" s="850" t="s">
        <v>8088</v>
      </c>
      <c r="N30" s="850" t="s">
        <v>8089</v>
      </c>
      <c r="O30" s="852" t="s">
        <v>8090</v>
      </c>
      <c r="P30" s="848"/>
    </row>
    <row r="31" spans="1:23" ht="30.5">
      <c r="A31" s="853"/>
      <c r="B31" s="2116" t="s">
        <v>915</v>
      </c>
      <c r="C31" s="2116" t="s">
        <v>916</v>
      </c>
      <c r="D31" s="2116" t="s">
        <v>1100</v>
      </c>
      <c r="E31" s="2116"/>
      <c r="F31" s="754"/>
      <c r="G31" s="754"/>
      <c r="H31" s="754"/>
      <c r="I31" s="659"/>
      <c r="J31" s="659"/>
      <c r="K31" s="754"/>
      <c r="L31" s="754"/>
      <c r="M31" s="754"/>
      <c r="N31" s="754"/>
      <c r="O31" s="2235"/>
    </row>
    <row r="32" spans="1:23">
      <c r="A32" s="2225" t="s">
        <v>7996</v>
      </c>
      <c r="B32" s="634"/>
      <c r="C32" s="634"/>
      <c r="D32" s="634"/>
      <c r="E32" s="634"/>
      <c r="F32" s="634"/>
      <c r="G32" s="634"/>
      <c r="H32" s="634"/>
      <c r="I32" s="636"/>
      <c r="J32" s="636"/>
      <c r="K32" s="634"/>
      <c r="L32" s="634"/>
      <c r="M32" s="634"/>
      <c r="N32" s="634"/>
      <c r="O32" s="635"/>
    </row>
    <row r="33" spans="1:15">
      <c r="A33" s="633"/>
      <c r="B33" s="634"/>
      <c r="C33" s="634"/>
      <c r="D33" s="634"/>
      <c r="E33" s="634"/>
      <c r="F33" s="634"/>
      <c r="G33" s="634"/>
      <c r="H33" s="634"/>
      <c r="I33" s="636"/>
      <c r="J33" s="636"/>
      <c r="K33" s="634"/>
      <c r="L33" s="634"/>
      <c r="M33" s="634"/>
      <c r="N33" s="634"/>
      <c r="O33" s="635"/>
    </row>
    <row r="34" spans="1:15">
      <c r="A34" s="633" t="s">
        <v>923</v>
      </c>
      <c r="C34" s="634"/>
      <c r="F34" s="636"/>
      <c r="G34" s="634"/>
      <c r="H34" s="640"/>
      <c r="K34" s="636"/>
      <c r="L34" s="634"/>
      <c r="M34" s="640"/>
      <c r="N34" s="640"/>
      <c r="O34" s="2236"/>
    </row>
    <row r="35" spans="1:15">
      <c r="A35" s="633" t="s">
        <v>917</v>
      </c>
      <c r="B35" s="636">
        <f t="shared" ref="B35:B41" si="6">+H10</f>
        <v>0</v>
      </c>
      <c r="C35" s="634"/>
      <c r="D35" s="640">
        <f>C35+B35</f>
        <v>0</v>
      </c>
      <c r="E35" s="640"/>
      <c r="F35" s="653">
        <v>0</v>
      </c>
      <c r="G35" s="653"/>
      <c r="H35" s="1576">
        <f>D35+F35-G35</f>
        <v>0</v>
      </c>
      <c r="I35" s="653">
        <f>+M10</f>
        <v>0</v>
      </c>
      <c r="J35" s="636"/>
      <c r="K35" s="653">
        <v>0</v>
      </c>
      <c r="L35" s="653">
        <v>0</v>
      </c>
      <c r="M35" s="1576">
        <f>I35+K35-L35</f>
        <v>0</v>
      </c>
      <c r="N35" s="1576">
        <f t="shared" ref="N35:N45" si="7">H35-M35</f>
        <v>0</v>
      </c>
      <c r="O35" s="2005">
        <f>D35-I35</f>
        <v>0</v>
      </c>
    </row>
    <row r="36" spans="1:15">
      <c r="A36" s="633" t="s">
        <v>918</v>
      </c>
      <c r="B36" s="636">
        <f t="shared" si="6"/>
        <v>0</v>
      </c>
      <c r="C36" s="634"/>
      <c r="D36" s="640">
        <f t="shared" ref="D36:D45" si="8">C36+B36</f>
        <v>0</v>
      </c>
      <c r="E36" s="640"/>
      <c r="F36" s="653"/>
      <c r="G36" s="653">
        <v>0</v>
      </c>
      <c r="H36" s="1576">
        <f t="shared" ref="H36:H45" si="9">D36+F36-G36</f>
        <v>0</v>
      </c>
      <c r="I36" s="653">
        <f>+M11</f>
        <v>0</v>
      </c>
      <c r="J36" s="636"/>
      <c r="K36" s="653">
        <v>0</v>
      </c>
      <c r="L36" s="653">
        <v>0</v>
      </c>
      <c r="M36" s="1576">
        <f t="shared" ref="M36:M45" si="10">I36+K36-L36</f>
        <v>0</v>
      </c>
      <c r="N36" s="1576">
        <f t="shared" si="7"/>
        <v>0</v>
      </c>
      <c r="O36" s="2005">
        <f t="shared" ref="O36:O45" si="11">D36-I36</f>
        <v>0</v>
      </c>
    </row>
    <row r="37" spans="1:15">
      <c r="A37" s="633" t="s">
        <v>119</v>
      </c>
      <c r="B37" s="636">
        <f t="shared" si="6"/>
        <v>22.515460562000005</v>
      </c>
      <c r="C37" s="634"/>
      <c r="D37" s="640">
        <f t="shared" si="8"/>
        <v>22.515460562000005</v>
      </c>
      <c r="E37" s="640"/>
      <c r="F37" s="653">
        <v>0</v>
      </c>
      <c r="G37" s="653"/>
      <c r="H37" s="1576">
        <f t="shared" si="9"/>
        <v>22.515460562000005</v>
      </c>
      <c r="I37" s="653">
        <f>+M12</f>
        <v>1.7939878099261835</v>
      </c>
      <c r="J37" s="636"/>
      <c r="K37" s="653">
        <f>K12</f>
        <v>0.552442435382</v>
      </c>
      <c r="L37" s="653">
        <v>0</v>
      </c>
      <c r="M37" s="1576">
        <f>I37+K37-L37</f>
        <v>2.3464302453081833</v>
      </c>
      <c r="N37" s="1576">
        <f t="shared" si="7"/>
        <v>20.169030316691821</v>
      </c>
      <c r="O37" s="2005">
        <f t="shared" si="11"/>
        <v>20.721472752073822</v>
      </c>
    </row>
    <row r="38" spans="1:15">
      <c r="A38" s="633" t="s">
        <v>919</v>
      </c>
      <c r="B38" s="636">
        <f t="shared" si="6"/>
        <v>27.213007945999998</v>
      </c>
      <c r="C38" s="634"/>
      <c r="D38" s="640">
        <f t="shared" si="8"/>
        <v>27.213007945999998</v>
      </c>
      <c r="E38" s="640"/>
      <c r="F38" s="636">
        <v>17.475839793463045</v>
      </c>
      <c r="G38" s="653">
        <v>0</v>
      </c>
      <c r="H38" s="1576">
        <f t="shared" si="9"/>
        <v>44.688847739463043</v>
      </c>
      <c r="I38" s="653">
        <f>+M13</f>
        <v>1.5005770834558159</v>
      </c>
      <c r="J38" s="636"/>
      <c r="K38" s="653">
        <f t="shared" ref="K38:K45" si="12">K13</f>
        <v>0</v>
      </c>
      <c r="L38" s="653">
        <v>0</v>
      </c>
      <c r="M38" s="1576">
        <f t="shared" si="10"/>
        <v>1.5005770834558159</v>
      </c>
      <c r="N38" s="1576">
        <f>H38-M38</f>
        <v>43.188270656007226</v>
      </c>
      <c r="O38" s="2005">
        <f t="shared" si="11"/>
        <v>25.712430862544181</v>
      </c>
    </row>
    <row r="39" spans="1:15">
      <c r="A39" s="633" t="s">
        <v>6946</v>
      </c>
      <c r="B39" s="636">
        <f t="shared" si="6"/>
        <v>1316.1427919779999</v>
      </c>
      <c r="C39" s="634"/>
      <c r="D39" s="640">
        <f t="shared" si="8"/>
        <v>1316.1427919779999</v>
      </c>
      <c r="E39" s="640"/>
      <c r="F39" s="636">
        <v>299.41542397189994</v>
      </c>
      <c r="G39" s="653"/>
      <c r="H39" s="1576">
        <f t="shared" si="9"/>
        <v>1615.5582159498999</v>
      </c>
      <c r="I39" s="653">
        <f>+M14</f>
        <v>433.80134057314535</v>
      </c>
      <c r="J39" s="636"/>
      <c r="K39" s="653">
        <v>54.601014775381032</v>
      </c>
      <c r="L39" s="653">
        <v>0</v>
      </c>
      <c r="M39" s="1576">
        <f>I39+K39-L39</f>
        <v>488.40235534852638</v>
      </c>
      <c r="N39" s="1576">
        <f t="shared" si="7"/>
        <v>1127.1558606013737</v>
      </c>
      <c r="O39" s="2005">
        <f t="shared" si="11"/>
        <v>882.34145140485452</v>
      </c>
    </row>
    <row r="40" spans="1:15">
      <c r="A40" s="2227" t="s">
        <v>920</v>
      </c>
      <c r="B40" s="636">
        <f t="shared" si="6"/>
        <v>0</v>
      </c>
      <c r="C40" s="634"/>
      <c r="D40" s="640">
        <f t="shared" si="8"/>
        <v>0</v>
      </c>
      <c r="E40" s="640"/>
      <c r="F40" s="636"/>
      <c r="G40" s="653"/>
      <c r="H40" s="1576">
        <f t="shared" si="9"/>
        <v>0</v>
      </c>
      <c r="I40" s="653">
        <f t="shared" ref="I40:I45" si="13">+M15</f>
        <v>0</v>
      </c>
      <c r="J40" s="636"/>
      <c r="K40" s="653">
        <f t="shared" si="12"/>
        <v>0</v>
      </c>
      <c r="L40" s="653">
        <v>0</v>
      </c>
      <c r="M40" s="1576">
        <f t="shared" si="10"/>
        <v>0</v>
      </c>
      <c r="N40" s="1576">
        <f t="shared" si="7"/>
        <v>0</v>
      </c>
      <c r="O40" s="2005">
        <f t="shared" si="11"/>
        <v>0</v>
      </c>
    </row>
    <row r="41" spans="1:15" ht="31">
      <c r="A41" s="2227" t="s">
        <v>921</v>
      </c>
      <c r="B41" s="636">
        <f t="shared" si="6"/>
        <v>0</v>
      </c>
      <c r="C41" s="634"/>
      <c r="D41" s="640">
        <f t="shared" si="8"/>
        <v>0</v>
      </c>
      <c r="E41" s="640"/>
      <c r="F41" s="636"/>
      <c r="G41" s="653">
        <v>0</v>
      </c>
      <c r="H41" s="1576">
        <f t="shared" si="9"/>
        <v>0</v>
      </c>
      <c r="I41" s="653">
        <f t="shared" si="13"/>
        <v>0</v>
      </c>
      <c r="J41" s="636"/>
      <c r="K41" s="653">
        <f t="shared" si="12"/>
        <v>0</v>
      </c>
      <c r="L41" s="653">
        <v>0</v>
      </c>
      <c r="M41" s="1576">
        <f t="shared" si="10"/>
        <v>0</v>
      </c>
      <c r="N41" s="1576">
        <f t="shared" si="7"/>
        <v>0</v>
      </c>
      <c r="O41" s="2005">
        <f t="shared" si="11"/>
        <v>0</v>
      </c>
    </row>
    <row r="42" spans="1:15">
      <c r="A42" s="633" t="s">
        <v>121</v>
      </c>
      <c r="B42" s="636">
        <f>+H17-C42</f>
        <v>4.0759061660000002</v>
      </c>
      <c r="C42" s="634"/>
      <c r="D42" s="640">
        <f t="shared" si="8"/>
        <v>4.0759061660000002</v>
      </c>
      <c r="E42" s="640"/>
      <c r="F42" s="653">
        <v>0</v>
      </c>
      <c r="G42" s="653">
        <v>0</v>
      </c>
      <c r="H42" s="1576">
        <f t="shared" si="9"/>
        <v>4.0759061660000002</v>
      </c>
      <c r="I42" s="653">
        <f t="shared" si="13"/>
        <v>1.62255693279</v>
      </c>
      <c r="J42" s="636"/>
      <c r="K42" s="653">
        <f t="shared" si="12"/>
        <v>0.14883239278999999</v>
      </c>
      <c r="L42" s="653">
        <v>0</v>
      </c>
      <c r="M42" s="1576">
        <f t="shared" si="10"/>
        <v>1.77138932558</v>
      </c>
      <c r="N42" s="1576">
        <f t="shared" si="7"/>
        <v>2.3045168404200003</v>
      </c>
      <c r="O42" s="2005">
        <f t="shared" si="11"/>
        <v>2.45334923321</v>
      </c>
    </row>
    <row r="43" spans="1:15">
      <c r="A43" s="633" t="s">
        <v>924</v>
      </c>
      <c r="B43" s="636">
        <f>+H18</f>
        <v>9.1456519749999998</v>
      </c>
      <c r="C43" s="634"/>
      <c r="D43" s="640">
        <f t="shared" si="8"/>
        <v>9.1456519749999998</v>
      </c>
      <c r="E43" s="640"/>
      <c r="F43" s="653">
        <v>0</v>
      </c>
      <c r="G43" s="653">
        <v>0</v>
      </c>
      <c r="H43" s="1576">
        <f t="shared" si="9"/>
        <v>9.1456519749999998</v>
      </c>
      <c r="I43" s="653">
        <f t="shared" si="13"/>
        <v>2.1502295737104196</v>
      </c>
      <c r="J43" s="636"/>
      <c r="K43" s="653">
        <f t="shared" si="12"/>
        <v>0.21393679771041937</v>
      </c>
      <c r="L43" s="653">
        <v>0</v>
      </c>
      <c r="M43" s="1576">
        <f t="shared" si="10"/>
        <v>2.364166371420839</v>
      </c>
      <c r="N43" s="1576">
        <f t="shared" si="7"/>
        <v>6.7814856035791609</v>
      </c>
      <c r="O43" s="2005">
        <f t="shared" si="11"/>
        <v>6.9954224012895807</v>
      </c>
    </row>
    <row r="44" spans="1:15">
      <c r="A44" s="633" t="s">
        <v>922</v>
      </c>
      <c r="B44" s="636">
        <f>+H19</f>
        <v>72.132652383000021</v>
      </c>
      <c r="C44" s="634"/>
      <c r="D44" s="640">
        <f t="shared" si="8"/>
        <v>72.132652383000021</v>
      </c>
      <c r="E44" s="640"/>
      <c r="F44" s="653">
        <v>0</v>
      </c>
      <c r="G44" s="653">
        <v>0</v>
      </c>
      <c r="H44" s="1576">
        <f t="shared" si="9"/>
        <v>72.132652383000021</v>
      </c>
      <c r="I44" s="653">
        <f t="shared" si="13"/>
        <v>9.7240711064246241</v>
      </c>
      <c r="J44" s="636"/>
      <c r="K44" s="653">
        <f t="shared" si="12"/>
        <v>3.0984015074246249</v>
      </c>
      <c r="L44" s="653">
        <v>0</v>
      </c>
      <c r="M44" s="1576">
        <f t="shared" si="10"/>
        <v>12.82247261384925</v>
      </c>
      <c r="N44" s="1576">
        <f t="shared" si="7"/>
        <v>59.310179769150771</v>
      </c>
      <c r="O44" s="2005">
        <f t="shared" si="11"/>
        <v>62.408581276575397</v>
      </c>
    </row>
    <row r="45" spans="1:15">
      <c r="A45" s="2228" t="s">
        <v>8094</v>
      </c>
      <c r="B45" s="636">
        <f>+H20</f>
        <v>38.415087363000005</v>
      </c>
      <c r="C45" s="634"/>
      <c r="D45" s="640">
        <f t="shared" si="8"/>
        <v>38.415087363000005</v>
      </c>
      <c r="E45" s="640"/>
      <c r="F45" s="636">
        <v>43.581900000000005</v>
      </c>
      <c r="G45" s="653"/>
      <c r="H45" s="1576">
        <f t="shared" si="9"/>
        <v>81.996987363000017</v>
      </c>
      <c r="I45" s="653">
        <f t="shared" si="13"/>
        <v>4.2742039149999993</v>
      </c>
      <c r="J45" s="636"/>
      <c r="K45" s="653">
        <f t="shared" si="12"/>
        <v>3.4788918599999996</v>
      </c>
      <c r="L45" s="653">
        <v>0</v>
      </c>
      <c r="M45" s="1576">
        <f t="shared" si="10"/>
        <v>7.7530957749999985</v>
      </c>
      <c r="N45" s="1576">
        <f t="shared" si="7"/>
        <v>74.243891588000025</v>
      </c>
      <c r="O45" s="2005">
        <f t="shared" si="11"/>
        <v>34.140883448000004</v>
      </c>
    </row>
    <row r="46" spans="1:15">
      <c r="A46" s="839" t="s">
        <v>1100</v>
      </c>
      <c r="B46" s="640">
        <f>SUM(B33:B45)</f>
        <v>1489.6405583730002</v>
      </c>
      <c r="C46" s="640">
        <f t="shared" ref="C46:O46" si="14">SUM(C33:C45)</f>
        <v>0</v>
      </c>
      <c r="D46" s="640">
        <f t="shared" si="14"/>
        <v>1489.6405583730002</v>
      </c>
      <c r="E46" s="640"/>
      <c r="F46" s="640">
        <f t="shared" si="14"/>
        <v>360.47316376536298</v>
      </c>
      <c r="G46" s="1576">
        <f t="shared" si="14"/>
        <v>0</v>
      </c>
      <c r="H46" s="640">
        <f t="shared" si="14"/>
        <v>1850.1137221383631</v>
      </c>
      <c r="I46" s="1576">
        <f t="shared" si="14"/>
        <v>454.86696699445241</v>
      </c>
      <c r="J46" s="640"/>
      <c r="K46" s="1576">
        <f>SUM(K33:K45)</f>
        <v>62.093519768688068</v>
      </c>
      <c r="L46" s="640">
        <f t="shared" si="14"/>
        <v>0</v>
      </c>
      <c r="M46" s="640">
        <f t="shared" si="14"/>
        <v>516.96048676314047</v>
      </c>
      <c r="N46" s="640">
        <f t="shared" si="14"/>
        <v>1333.1532353752227</v>
      </c>
      <c r="O46" s="640">
        <f t="shared" si="14"/>
        <v>1034.7735913785475</v>
      </c>
    </row>
    <row r="47" spans="1:15" ht="16" thickBot="1">
      <c r="A47" s="840"/>
      <c r="B47" s="656"/>
      <c r="C47" s="2187"/>
      <c r="D47" s="656"/>
      <c r="E47" s="656"/>
      <c r="F47" s="2187"/>
      <c r="G47" s="2187"/>
      <c r="H47" s="656"/>
      <c r="I47" s="656"/>
      <c r="J47" s="656"/>
      <c r="K47" s="841"/>
      <c r="L47" s="2187"/>
      <c r="M47" s="841"/>
      <c r="N47" s="656"/>
      <c r="O47" s="2237"/>
    </row>
    <row r="48" spans="1:15">
      <c r="D48" s="638"/>
      <c r="E48" s="638"/>
      <c r="F48" s="638"/>
      <c r="H48" s="638"/>
      <c r="K48" s="638"/>
      <c r="M48" s="638"/>
      <c r="N48" s="638"/>
      <c r="O48" s="638"/>
    </row>
    <row r="49" spans="1:15">
      <c r="A49" s="737" t="s">
        <v>925</v>
      </c>
      <c r="B49" s="630" t="s">
        <v>1089</v>
      </c>
      <c r="L49" s="638"/>
      <c r="M49" s="638"/>
      <c r="N49" s="638"/>
      <c r="O49" s="638"/>
    </row>
    <row r="50" spans="1:15">
      <c r="K50" s="638"/>
      <c r="O50" s="638"/>
    </row>
    <row r="51" spans="1:15">
      <c r="B51" s="638"/>
      <c r="D51" s="638">
        <f>+H22</f>
        <v>1489.6405583730002</v>
      </c>
      <c r="E51" s="638"/>
      <c r="F51" s="644">
        <f>'F-2'!Q19</f>
        <v>311.75550996483003</v>
      </c>
      <c r="H51" s="638"/>
      <c r="K51" s="638">
        <f t="shared" ref="K51:K60" si="15">K35-K10</f>
        <v>0</v>
      </c>
      <c r="L51" s="638">
        <f>K46-L46</f>
        <v>62.093519768688068</v>
      </c>
      <c r="N51" s="638"/>
    </row>
    <row r="52" spans="1:15">
      <c r="B52" s="638"/>
      <c r="D52" s="638">
        <f>+D46-D51</f>
        <v>0</v>
      </c>
      <c r="E52" s="638"/>
      <c r="F52" s="651">
        <f>+F46-F51</f>
        <v>48.717653800532958</v>
      </c>
      <c r="H52" s="638"/>
      <c r="K52" s="638">
        <f t="shared" si="15"/>
        <v>0</v>
      </c>
      <c r="L52" s="638">
        <f>L51-K24</f>
        <v>9.8647806942356766</v>
      </c>
      <c r="N52" s="638"/>
    </row>
    <row r="53" spans="1:15">
      <c r="F53" s="638">
        <f>'F-2'!Q19</f>
        <v>311.75550996483003</v>
      </c>
      <c r="H53" s="638"/>
      <c r="K53" s="638">
        <f t="shared" si="15"/>
        <v>0</v>
      </c>
      <c r="L53" s="638">
        <f>K24-K46</f>
        <v>-9.8647806942356766</v>
      </c>
      <c r="N53" s="638"/>
    </row>
    <row r="54" spans="1:15">
      <c r="K54" s="638">
        <f t="shared" si="15"/>
        <v>0</v>
      </c>
    </row>
    <row r="55" spans="1:15">
      <c r="K55" s="638">
        <f t="shared" si="15"/>
        <v>9.8647806942356766</v>
      </c>
    </row>
    <row r="56" spans="1:15">
      <c r="C56" s="842"/>
      <c r="D56" s="842"/>
      <c r="E56" s="842"/>
      <c r="F56" s="842"/>
      <c r="G56" s="842"/>
      <c r="H56" s="842"/>
      <c r="K56" s="638">
        <f t="shared" si="15"/>
        <v>0</v>
      </c>
    </row>
    <row r="57" spans="1:15">
      <c r="C57" s="842"/>
      <c r="D57" s="842"/>
      <c r="E57" s="842"/>
      <c r="F57" s="842"/>
      <c r="G57" s="842"/>
      <c r="H57" s="842"/>
      <c r="K57" s="638">
        <f t="shared" si="15"/>
        <v>0</v>
      </c>
    </row>
    <row r="58" spans="1:15">
      <c r="D58" s="630" t="s">
        <v>3600</v>
      </c>
      <c r="K58" s="638">
        <f t="shared" si="15"/>
        <v>0</v>
      </c>
    </row>
    <row r="59" spans="1:15">
      <c r="D59" s="639" t="s">
        <v>5132</v>
      </c>
      <c r="E59" s="639"/>
      <c r="F59" s="634" t="s">
        <v>639</v>
      </c>
      <c r="K59" s="638">
        <f t="shared" si="15"/>
        <v>0</v>
      </c>
    </row>
    <row r="60" spans="1:15">
      <c r="D60" s="636">
        <f>D14</f>
        <v>1072.410531755</v>
      </c>
      <c r="E60" s="636"/>
      <c r="F60" s="636">
        <f>D60/$D$64*$F$64</f>
        <v>389.06510649199998</v>
      </c>
      <c r="K60" s="638">
        <f t="shared" si="15"/>
        <v>0</v>
      </c>
    </row>
    <row r="61" spans="1:15">
      <c r="D61" s="636">
        <f>D15</f>
        <v>0</v>
      </c>
      <c r="E61" s="636"/>
      <c r="F61" s="636">
        <f>D61/$D$64*$F$64</f>
        <v>0</v>
      </c>
      <c r="K61" s="638">
        <f t="shared" ref="K61" si="16">K45-K21</f>
        <v>3.4788918599999996</v>
      </c>
    </row>
    <row r="62" spans="1:15">
      <c r="D62" s="636">
        <f>D16</f>
        <v>0</v>
      </c>
      <c r="E62" s="636"/>
      <c r="F62" s="636">
        <f>D62/$D$64*$F$64</f>
        <v>0</v>
      </c>
    </row>
    <row r="63" spans="1:15">
      <c r="D63" s="634"/>
      <c r="E63" s="634"/>
      <c r="F63" s="634"/>
    </row>
    <row r="64" spans="1:15">
      <c r="C64" s="737" t="s">
        <v>1100</v>
      </c>
      <c r="D64" s="664">
        <f>+D14+D15+D16</f>
        <v>1072.410531755</v>
      </c>
      <c r="E64" s="664"/>
      <c r="F64" s="664">
        <f>-('TB FY-2021-22'!G85+'TB FY-2021-22'!G86+'TB FY-2021-22'!G87)/10^7+17.52057443</f>
        <v>389.06510649199998</v>
      </c>
      <c r="H64" s="638"/>
      <c r="M64" s="638"/>
    </row>
    <row r="66" spans="3:12">
      <c r="D66" s="630" t="s">
        <v>3601</v>
      </c>
    </row>
    <row r="67" spans="3:12">
      <c r="D67" s="639" t="s">
        <v>5132</v>
      </c>
      <c r="E67" s="639"/>
      <c r="F67" s="634" t="s">
        <v>639</v>
      </c>
    </row>
    <row r="68" spans="3:12">
      <c r="D68" s="636">
        <f>D37</f>
        <v>22.515460562000005</v>
      </c>
      <c r="E68" s="636"/>
      <c r="F68" s="636">
        <f>D68/$D$70*$F$70</f>
        <v>1.2415453745441836</v>
      </c>
    </row>
    <row r="69" spans="3:12">
      <c r="D69" s="636">
        <f>D38</f>
        <v>27.213007945999998</v>
      </c>
      <c r="E69" s="636"/>
      <c r="F69" s="636">
        <f>D69/$D$70*$F$70</f>
        <v>1.5005770834558159</v>
      </c>
    </row>
    <row r="70" spans="3:12">
      <c r="C70" s="737" t="s">
        <v>1100</v>
      </c>
      <c r="D70" s="640">
        <f>SUM(D68:D69)</f>
        <v>49.728468508000006</v>
      </c>
      <c r="E70" s="640"/>
      <c r="F70" s="640">
        <f>-('TB FY-2021-22'!G82+'TB FY-2021-22'!G83+'TB FY-2021-22'!G84)/10^7</f>
        <v>2.7421224579999999</v>
      </c>
    </row>
    <row r="72" spans="3:12">
      <c r="I72" s="638" t="s">
        <v>5329</v>
      </c>
      <c r="K72" s="638" t="s">
        <v>5482</v>
      </c>
    </row>
    <row r="73" spans="3:12">
      <c r="I73" s="2238">
        <f>SUM(K10:K19)</f>
        <v>48.749847214452394</v>
      </c>
      <c r="J73" s="2238"/>
      <c r="K73" s="2238">
        <f>SUM(K35:K44)</f>
        <v>58.614627908688071</v>
      </c>
      <c r="L73" s="2238">
        <f>K73-I73</f>
        <v>9.8647806942356766</v>
      </c>
    </row>
    <row r="74" spans="3:12">
      <c r="I74" s="2238">
        <f>K21</f>
        <v>0</v>
      </c>
      <c r="J74" s="2238"/>
      <c r="K74" s="2238">
        <f>K45</f>
        <v>3.4788918599999996</v>
      </c>
      <c r="L74" s="2238">
        <f>K74-I74</f>
        <v>3.4788918599999996</v>
      </c>
    </row>
    <row r="75" spans="3:12">
      <c r="I75" s="2239">
        <f>SUM(I73:I74)</f>
        <v>48.749847214452394</v>
      </c>
      <c r="J75" s="2239"/>
      <c r="K75" s="2239">
        <f>SUM(K73:K74)</f>
        <v>62.093519768688068</v>
      </c>
      <c r="L75" s="2239">
        <f>SUM(L73:L74)</f>
        <v>13.343672554235676</v>
      </c>
    </row>
    <row r="76" spans="3:12">
      <c r="I76" s="2238">
        <f>L39</f>
        <v>0</v>
      </c>
      <c r="J76" s="2238"/>
      <c r="K76" s="2238">
        <f>L46</f>
        <v>0</v>
      </c>
    </row>
    <row r="77" spans="3:12">
      <c r="I77" s="2239">
        <f>I75-I76</f>
        <v>48.749847214452394</v>
      </c>
      <c r="J77" s="2239"/>
      <c r="K77" s="2239">
        <f>K75-K76</f>
        <v>62.093519768688068</v>
      </c>
    </row>
  </sheetData>
  <mergeCells count="8">
    <mergeCell ref="B6:D6"/>
    <mergeCell ref="B30:D30"/>
    <mergeCell ref="A2:O2"/>
    <mergeCell ref="A3:O3"/>
    <mergeCell ref="A4:M4"/>
    <mergeCell ref="A27:O27"/>
    <mergeCell ref="A28:O28"/>
    <mergeCell ref="A29:M29"/>
  </mergeCells>
  <phoneticPr fontId="0" type="noConversion"/>
  <printOptions horizontalCentered="1" verticalCentered="1"/>
  <pageMargins left="0" right="0" top="0.51181102362204722" bottom="0.51181102362204722" header="0" footer="0"/>
  <pageSetup paperSize="9" scale="59" orientation="landscape" r:id="rId1"/>
  <headerFooter alignWithMargins="0">
    <oddFooter>&amp;R&amp;12OERC FORM  No. F-19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53A49-FE65-43D4-90C5-1BF768CD51AE}">
  <sheetPr>
    <tabColor rgb="FF92D050"/>
    <pageSetUpPr fitToPage="1"/>
  </sheetPr>
  <dimension ref="A1:J19"/>
  <sheetViews>
    <sheetView zoomScale="83" zoomScaleNormal="83" workbookViewId="0">
      <selection activeCell="D13" sqref="D13"/>
    </sheetView>
  </sheetViews>
  <sheetFormatPr defaultRowHeight="12.5"/>
  <cols>
    <col min="1" max="1" width="58.90625" customWidth="1"/>
    <col min="2" max="2" width="14.1796875" customWidth="1"/>
    <col min="3" max="3" width="14.7265625" customWidth="1"/>
    <col min="4" max="4" width="14.6328125" customWidth="1"/>
    <col min="9" max="9" width="46.54296875" customWidth="1"/>
  </cols>
  <sheetData>
    <row r="1" spans="1:10" ht="15">
      <c r="A1" s="3061" t="s">
        <v>5525</v>
      </c>
      <c r="B1" s="3061"/>
      <c r="C1" s="3061"/>
      <c r="D1" s="3061"/>
    </row>
    <row r="2" spans="1:10" ht="15">
      <c r="A2" s="3427" t="s">
        <v>8420</v>
      </c>
      <c r="B2" s="3428"/>
      <c r="C2" s="3428"/>
      <c r="D2" s="3364"/>
    </row>
    <row r="3" spans="1:10" ht="13">
      <c r="A3" s="1" t="s">
        <v>8419</v>
      </c>
    </row>
    <row r="5" spans="1:10">
      <c r="A5" s="624" t="s">
        <v>895</v>
      </c>
      <c r="B5" s="624" t="s">
        <v>897</v>
      </c>
      <c r="C5" s="624" t="s">
        <v>898</v>
      </c>
      <c r="D5" s="624" t="s">
        <v>8341</v>
      </c>
    </row>
    <row r="6" spans="1:10">
      <c r="A6" s="12"/>
      <c r="B6" s="12"/>
      <c r="C6" s="12"/>
      <c r="D6" s="12"/>
    </row>
    <row r="7" spans="1:10" s="44" customFormat="1" ht="22" customHeight="1">
      <c r="A7" s="3058" t="s">
        <v>8414</v>
      </c>
      <c r="B7" s="2945">
        <v>23.147839923957768</v>
      </c>
      <c r="C7" s="2945">
        <v>25.317476184993211</v>
      </c>
      <c r="D7" s="2945">
        <v>25.317476184993211</v>
      </c>
    </row>
    <row r="8" spans="1:10">
      <c r="A8" s="12"/>
      <c r="B8" s="12"/>
      <c r="C8" s="12"/>
      <c r="D8" s="12"/>
      <c r="I8" s="608" t="s">
        <v>8462</v>
      </c>
      <c r="J8" s="232">
        <v>-206</v>
      </c>
    </row>
    <row r="9" spans="1:10" s="44" customFormat="1" ht="27.5" customHeight="1">
      <c r="A9" s="3058" t="s">
        <v>8415</v>
      </c>
      <c r="B9" s="2859"/>
      <c r="C9" s="2859"/>
      <c r="D9" s="2859"/>
      <c r="J9" s="3137"/>
    </row>
    <row r="10" spans="1:10" s="44" customFormat="1" ht="27.5" customHeight="1">
      <c r="A10" s="3058" t="s">
        <v>8416</v>
      </c>
      <c r="B10" s="2860">
        <f>B18</f>
        <v>23.147839923957768</v>
      </c>
      <c r="C10" s="2860">
        <f t="shared" ref="C10:D10" si="0">C18</f>
        <v>25.317476184993211</v>
      </c>
      <c r="D10" s="2860">
        <f t="shared" si="0"/>
        <v>25.317476184993211</v>
      </c>
      <c r="I10" s="3138" t="s">
        <v>8463</v>
      </c>
      <c r="J10" s="3137"/>
    </row>
    <row r="11" spans="1:10" s="44" customFormat="1" ht="27.5" customHeight="1">
      <c r="A11" s="3058" t="s">
        <v>8417</v>
      </c>
      <c r="B11" s="2859"/>
      <c r="C11" s="2859"/>
      <c r="D11" s="2859"/>
      <c r="I11" s="3138" t="s">
        <v>8464</v>
      </c>
      <c r="J11" s="3137">
        <v>48</v>
      </c>
    </row>
    <row r="12" spans="1:10" s="44" customFormat="1" ht="27.5" customHeight="1">
      <c r="A12" s="3058" t="s">
        <v>8418</v>
      </c>
      <c r="B12" s="2859"/>
      <c r="C12" s="2859"/>
      <c r="D12" s="2859"/>
      <c r="I12" s="3138" t="s">
        <v>8465</v>
      </c>
      <c r="J12" s="3137">
        <v>27</v>
      </c>
    </row>
    <row r="13" spans="1:10">
      <c r="J13" s="232"/>
    </row>
    <row r="14" spans="1:10">
      <c r="I14" s="608" t="s">
        <v>8466</v>
      </c>
      <c r="J14" s="232"/>
    </row>
    <row r="15" spans="1:10">
      <c r="I15" s="608" t="s">
        <v>8467</v>
      </c>
      <c r="J15" s="3084">
        <f>266-55.06</f>
        <v>210.94</v>
      </c>
    </row>
    <row r="16" spans="1:10">
      <c r="A16" s="608" t="s">
        <v>8469</v>
      </c>
      <c r="J16" s="232"/>
    </row>
    <row r="17" spans="1:10">
      <c r="A17" s="608" t="s">
        <v>31</v>
      </c>
      <c r="B17" s="234">
        <f>J17</f>
        <v>79.94</v>
      </c>
      <c r="C17" s="234">
        <f>B19</f>
        <v>56.792160076042229</v>
      </c>
      <c r="D17" s="234">
        <f>C19</f>
        <v>31.474683891049018</v>
      </c>
      <c r="I17" s="608" t="s">
        <v>8468</v>
      </c>
      <c r="J17" s="232">
        <f>J8+J11+J12+J15</f>
        <v>79.94</v>
      </c>
    </row>
    <row r="18" spans="1:10">
      <c r="A18" s="608" t="s">
        <v>8470</v>
      </c>
      <c r="B18" s="234">
        <f>MIN(B17,B7)</f>
        <v>23.147839923957768</v>
      </c>
      <c r="C18" s="234">
        <f>MIN(C17,C7)</f>
        <v>25.317476184993211</v>
      </c>
      <c r="D18" s="234">
        <f>MIN(D17,D7)</f>
        <v>25.317476184993211</v>
      </c>
    </row>
    <row r="19" spans="1:10">
      <c r="A19" s="608" t="s">
        <v>35</v>
      </c>
      <c r="B19" s="234">
        <f>B17-B18</f>
        <v>56.792160076042229</v>
      </c>
      <c r="C19" s="234">
        <f t="shared" ref="C19:D19" si="1">C17-C18</f>
        <v>31.474683891049018</v>
      </c>
      <c r="D19" s="234">
        <f t="shared" si="1"/>
        <v>6.1572077060558073</v>
      </c>
    </row>
  </sheetData>
  <mergeCells count="1">
    <mergeCell ref="A2:D2"/>
  </mergeCells>
  <printOptions horizontalCentered="1"/>
  <pageMargins left="0.7" right="0.7" top="0.75" bottom="0.75" header="0.3" footer="0.3"/>
  <pageSetup paperSize="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0">
    <tabColor rgb="FF92D050"/>
    <pageSetUpPr fitToPage="1"/>
  </sheetPr>
  <dimension ref="A1:F34"/>
  <sheetViews>
    <sheetView showGridLines="0" zoomScale="69" zoomScaleNormal="69" zoomScaleSheetLayoutView="100" workbookViewId="0">
      <selection activeCell="D13" sqref="D13"/>
    </sheetView>
  </sheetViews>
  <sheetFormatPr defaultColWidth="9.1796875" defaultRowHeight="15.5"/>
  <cols>
    <col min="1" max="1" width="5.7265625" style="630" customWidth="1"/>
    <col min="2" max="2" width="34" style="630" customWidth="1"/>
    <col min="3" max="3" width="16" style="630" customWidth="1"/>
    <col min="4" max="4" width="17.7265625" style="630" customWidth="1"/>
    <col min="5" max="5" width="18.453125" style="630" customWidth="1"/>
    <col min="6" max="6" width="24.36328125" style="630" customWidth="1"/>
    <col min="7" max="16384" width="9.1796875" style="630"/>
  </cols>
  <sheetData>
    <row r="1" spans="1:5">
      <c r="A1" s="1580" t="s">
        <v>5525</v>
      </c>
      <c r="D1" s="631"/>
      <c r="E1" s="625"/>
    </row>
    <row r="2" spans="1:5">
      <c r="A2" s="629"/>
      <c r="D2" s="631"/>
      <c r="E2" s="625"/>
    </row>
    <row r="3" spans="1:5">
      <c r="A3" s="3383" t="s">
        <v>3794</v>
      </c>
      <c r="B3" s="3383"/>
      <c r="C3" s="3383"/>
      <c r="D3" s="3383"/>
      <c r="E3" s="3383"/>
    </row>
    <row r="4" spans="1:5">
      <c r="A4" s="3394" t="s">
        <v>3796</v>
      </c>
      <c r="B4" s="3394"/>
      <c r="C4" s="3394"/>
      <c r="D4" s="3394"/>
      <c r="E4" s="3394"/>
    </row>
    <row r="5" spans="1:5">
      <c r="E5" s="625" t="s">
        <v>4052</v>
      </c>
    </row>
    <row r="6" spans="1:5">
      <c r="A6" s="747" t="s">
        <v>823</v>
      </c>
      <c r="B6" s="821" t="s">
        <v>895</v>
      </c>
      <c r="C6" s="747" t="s">
        <v>897</v>
      </c>
      <c r="D6" s="747" t="s">
        <v>898</v>
      </c>
      <c r="E6" s="747" t="s">
        <v>899</v>
      </c>
    </row>
    <row r="7" spans="1:5">
      <c r="A7" s="747"/>
      <c r="B7" s="821"/>
      <c r="C7" s="817" t="s">
        <v>5329</v>
      </c>
      <c r="D7" s="817" t="s">
        <v>5482</v>
      </c>
      <c r="E7" s="817" t="s">
        <v>7996</v>
      </c>
    </row>
    <row r="8" spans="1:5">
      <c r="A8" s="747"/>
      <c r="B8" s="821"/>
      <c r="C8" s="797"/>
      <c r="D8" s="797"/>
      <c r="E8" s="797"/>
    </row>
    <row r="9" spans="1:5" ht="20.25" customHeight="1">
      <c r="A9" s="747">
        <v>1</v>
      </c>
      <c r="B9" s="854" t="s">
        <v>3792</v>
      </c>
      <c r="C9" s="661">
        <v>0</v>
      </c>
      <c r="D9" s="661">
        <v>0</v>
      </c>
      <c r="E9" s="661">
        <v>0</v>
      </c>
    </row>
    <row r="10" spans="1:5">
      <c r="A10" s="634"/>
      <c r="C10" s="634"/>
      <c r="D10" s="661"/>
      <c r="E10" s="661"/>
    </row>
    <row r="11" spans="1:5" ht="45.5">
      <c r="A11" s="747">
        <v>2</v>
      </c>
      <c r="B11" s="855" t="s">
        <v>3793</v>
      </c>
      <c r="C11" s="634"/>
      <c r="D11" s="661"/>
      <c r="E11" s="661"/>
    </row>
    <row r="12" spans="1:5" ht="23.25" customHeight="1">
      <c r="A12" s="785" t="s">
        <v>92</v>
      </c>
      <c r="B12" s="856" t="s">
        <v>1385</v>
      </c>
      <c r="C12" s="661">
        <v>0</v>
      </c>
      <c r="D12" s="661">
        <v>0</v>
      </c>
      <c r="E12" s="661">
        <v>0</v>
      </c>
    </row>
    <row r="13" spans="1:5" ht="23.25" customHeight="1">
      <c r="A13" s="785" t="s">
        <v>94</v>
      </c>
      <c r="B13" s="856" t="s">
        <v>1386</v>
      </c>
      <c r="C13" s="661">
        <v>0</v>
      </c>
      <c r="D13" s="661">
        <v>0</v>
      </c>
      <c r="E13" s="661">
        <v>0</v>
      </c>
    </row>
    <row r="14" spans="1:5" ht="23.25" customHeight="1">
      <c r="A14" s="747">
        <v>3</v>
      </c>
      <c r="B14" s="854" t="s">
        <v>1387</v>
      </c>
      <c r="C14" s="661">
        <v>0</v>
      </c>
      <c r="D14" s="661">
        <v>0</v>
      </c>
      <c r="E14" s="661">
        <v>0</v>
      </c>
    </row>
    <row r="15" spans="1:5" ht="23.25" customHeight="1">
      <c r="A15" s="747">
        <v>4</v>
      </c>
      <c r="B15" s="857" t="s">
        <v>3795</v>
      </c>
      <c r="C15" s="661"/>
      <c r="D15" s="661"/>
      <c r="E15" s="661"/>
    </row>
    <row r="16" spans="1:5" ht="23.25" customHeight="1">
      <c r="A16" s="785" t="s">
        <v>92</v>
      </c>
      <c r="B16" s="856" t="s">
        <v>8139</v>
      </c>
      <c r="C16" s="661">
        <f>C30</f>
        <v>8.8400000000000006E-2</v>
      </c>
      <c r="D16" s="661">
        <f>D30+E30</f>
        <v>0</v>
      </c>
      <c r="E16" s="661">
        <f>F30</f>
        <v>0</v>
      </c>
    </row>
    <row r="17" spans="1:6" ht="23.25" customHeight="1">
      <c r="A17" s="785" t="s">
        <v>94</v>
      </c>
      <c r="B17" s="856" t="s">
        <v>4610</v>
      </c>
      <c r="C17" s="661">
        <f>C31</f>
        <v>27.05</v>
      </c>
      <c r="D17" s="661">
        <f>D31+E31</f>
        <v>27.07</v>
      </c>
      <c r="E17" s="661">
        <f>F31</f>
        <v>0</v>
      </c>
    </row>
    <row r="18" spans="1:6" ht="23.25" customHeight="1">
      <c r="A18" s="785" t="s">
        <v>96</v>
      </c>
      <c r="B18" s="856" t="s">
        <v>8140</v>
      </c>
      <c r="C18" s="661">
        <f>C32</f>
        <v>2.9</v>
      </c>
      <c r="D18" s="661">
        <f>D32+E32</f>
        <v>0</v>
      </c>
      <c r="E18" s="661">
        <f>F32</f>
        <v>0</v>
      </c>
    </row>
    <row r="19" spans="1:6" ht="23.25" customHeight="1">
      <c r="A19" s="785" t="s">
        <v>97</v>
      </c>
      <c r="B19" s="856" t="s">
        <v>8493</v>
      </c>
      <c r="C19" s="661"/>
      <c r="D19" s="661">
        <v>11.58</v>
      </c>
      <c r="E19" s="661"/>
    </row>
    <row r="20" spans="1:6" ht="23.25" customHeight="1">
      <c r="A20" s="785" t="s">
        <v>8490</v>
      </c>
      <c r="B20" s="634" t="s">
        <v>8491</v>
      </c>
      <c r="C20" s="661"/>
      <c r="D20" s="661">
        <v>100</v>
      </c>
      <c r="E20" s="661"/>
    </row>
    <row r="21" spans="1:6" ht="34.5" customHeight="1">
      <c r="A21" s="785" t="s">
        <v>8492</v>
      </c>
      <c r="B21" s="630" t="s">
        <v>8141</v>
      </c>
      <c r="C21" s="661">
        <f t="shared" ref="C21" si="0">C33</f>
        <v>25.51</v>
      </c>
      <c r="D21" s="661">
        <f t="shared" ref="D21" si="1">D33+E33</f>
        <v>12.546250300000001</v>
      </c>
      <c r="E21" s="661">
        <f t="shared" ref="E21" si="2">F33</f>
        <v>0</v>
      </c>
    </row>
    <row r="22" spans="1:6" s="625" customFormat="1" ht="23.25" customHeight="1">
      <c r="A22" s="639"/>
      <c r="B22" s="854" t="s">
        <v>1100</v>
      </c>
      <c r="C22" s="817">
        <f>SUM(C9:C21)</f>
        <v>55.548400000000001</v>
      </c>
      <c r="D22" s="817">
        <f>SUM(D9:D21)</f>
        <v>151.1962503</v>
      </c>
      <c r="E22" s="817">
        <f>SUM(E9:E21)</f>
        <v>0</v>
      </c>
    </row>
    <row r="23" spans="1:6">
      <c r="D23" s="638"/>
    </row>
    <row r="24" spans="1:6">
      <c r="E24" s="638"/>
    </row>
    <row r="29" spans="1:6">
      <c r="B29" s="634"/>
      <c r="C29" s="634" t="s">
        <v>7129</v>
      </c>
      <c r="D29" s="634" t="s">
        <v>8142</v>
      </c>
      <c r="E29" s="634" t="s">
        <v>8144</v>
      </c>
      <c r="F29" s="680" t="s">
        <v>8145</v>
      </c>
    </row>
    <row r="30" spans="1:6">
      <c r="B30" s="634" t="s">
        <v>8139</v>
      </c>
      <c r="C30" s="636">
        <f>884000/10^7</f>
        <v>8.8400000000000006E-2</v>
      </c>
      <c r="D30" s="634"/>
      <c r="E30" s="634"/>
      <c r="F30" s="634"/>
    </row>
    <row r="31" spans="1:6">
      <c r="B31" s="634" t="s">
        <v>4610</v>
      </c>
      <c r="C31" s="634">
        <f>270500000/10^7</f>
        <v>27.05</v>
      </c>
      <c r="D31" s="634"/>
      <c r="E31" s="634">
        <v>27.07</v>
      </c>
      <c r="F31" s="634"/>
    </row>
    <row r="32" spans="1:6">
      <c r="B32" s="634" t="s">
        <v>8140</v>
      </c>
      <c r="C32" s="634">
        <v>2.9</v>
      </c>
      <c r="D32" s="634"/>
      <c r="E32" s="634"/>
      <c r="F32" s="634"/>
    </row>
    <row r="33" spans="2:6">
      <c r="B33" s="634" t="s">
        <v>8141</v>
      </c>
      <c r="C33" s="634">
        <v>25.51</v>
      </c>
      <c r="D33" s="636">
        <v>7.9235803000000002</v>
      </c>
      <c r="E33" s="795">
        <v>4.6226700000000003</v>
      </c>
      <c r="F33" s="634"/>
    </row>
    <row r="34" spans="2:6">
      <c r="B34" s="634" t="s">
        <v>8143</v>
      </c>
      <c r="C34" s="634"/>
      <c r="D34" s="634">
        <v>18.87</v>
      </c>
      <c r="E34" s="634"/>
      <c r="F34" s="634"/>
    </row>
  </sheetData>
  <mergeCells count="2">
    <mergeCell ref="A3:E3"/>
    <mergeCell ref="A4:E4"/>
  </mergeCells>
  <phoneticPr fontId="0" type="noConversion"/>
  <printOptions horizontalCentered="1"/>
  <pageMargins left="0.59055118110236204" right="0" top="0.511811023622047" bottom="0.511811023622047" header="0" footer="0"/>
  <pageSetup paperSize="9" orientation="landscape" r:id="rId1"/>
  <headerFooter alignWithMargins="0">
    <oddFooter>&amp;ROERC FORM No. -F 20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2">
    <tabColor theme="1"/>
    <pageSetUpPr fitToPage="1"/>
  </sheetPr>
  <dimension ref="A1:N54"/>
  <sheetViews>
    <sheetView showGridLines="0" view="pageBreakPreview" zoomScale="60" zoomScaleNormal="75" workbookViewId="0">
      <pane xSplit="2" ySplit="5" topLeftCell="C28" activePane="bottomRight" state="frozen"/>
      <selection activeCell="A47" sqref="A47"/>
      <selection pane="topRight" activeCell="A47" sqref="A47"/>
      <selection pane="bottomLeft" activeCell="A47" sqref="A47"/>
      <selection pane="bottomRight" activeCell="D50" sqref="D50"/>
    </sheetView>
  </sheetViews>
  <sheetFormatPr defaultColWidth="9.1796875" defaultRowHeight="15.5"/>
  <cols>
    <col min="1" max="1" width="6.7265625" style="630" customWidth="1"/>
    <col min="2" max="2" width="38.26953125" style="630" customWidth="1"/>
    <col min="3" max="3" width="18.26953125" style="630" customWidth="1"/>
    <col min="4" max="4" width="18.453125" style="630" customWidth="1"/>
    <col min="5" max="5" width="19.54296875" style="630" customWidth="1"/>
    <col min="6" max="9" width="15.7265625" style="630" customWidth="1"/>
    <col min="10" max="10" width="13.7265625" style="630" customWidth="1"/>
    <col min="11" max="11" width="15.7265625" style="630" customWidth="1"/>
    <col min="12" max="12" width="12.7265625" style="630" customWidth="1"/>
    <col min="13" max="13" width="9.54296875" style="630" customWidth="1"/>
    <col min="14" max="14" width="9.26953125" style="630" customWidth="1"/>
    <col min="15" max="16384" width="9.1796875" style="630"/>
  </cols>
  <sheetData>
    <row r="1" spans="1:14">
      <c r="A1" s="1580" t="s">
        <v>5525</v>
      </c>
      <c r="D1" s="631"/>
      <c r="E1" s="745"/>
      <c r="F1" s="745"/>
      <c r="G1" s="745"/>
      <c r="H1" s="745"/>
      <c r="I1" s="745"/>
      <c r="J1" s="745"/>
      <c r="K1" s="745"/>
    </row>
    <row r="2" spans="1:14">
      <c r="A2" s="3454" t="s">
        <v>3797</v>
      </c>
      <c r="B2" s="3455"/>
      <c r="C2" s="3455"/>
      <c r="D2" s="3455"/>
      <c r="E2" s="3456"/>
    </row>
    <row r="3" spans="1:14">
      <c r="A3" s="3457" t="s">
        <v>4050</v>
      </c>
      <c r="B3" s="3367"/>
      <c r="C3" s="3367"/>
      <c r="D3" s="3367"/>
      <c r="E3" s="3458"/>
      <c r="F3" s="631"/>
      <c r="G3" s="631"/>
      <c r="H3" s="631"/>
      <c r="I3" s="631"/>
      <c r="J3" s="631"/>
      <c r="K3" s="631"/>
    </row>
    <row r="4" spans="1:14">
      <c r="A4" s="853"/>
      <c r="B4" s="754"/>
      <c r="C4" s="2852" t="s">
        <v>5352</v>
      </c>
      <c r="D4" s="874" t="s">
        <v>5481</v>
      </c>
      <c r="E4" s="875" t="s">
        <v>7997</v>
      </c>
      <c r="F4" s="660"/>
      <c r="G4" s="744"/>
      <c r="H4" s="744"/>
      <c r="I4" s="660"/>
      <c r="J4" s="660"/>
      <c r="K4" s="660"/>
    </row>
    <row r="5" spans="1:14">
      <c r="A5" s="633"/>
      <c r="B5" s="634"/>
      <c r="C5" s="2853" t="s">
        <v>1575</v>
      </c>
      <c r="D5" s="747" t="s">
        <v>1576</v>
      </c>
      <c r="E5" s="678" t="s">
        <v>1577</v>
      </c>
      <c r="F5" s="660"/>
      <c r="G5" s="660"/>
      <c r="H5" s="660"/>
      <c r="I5" s="660"/>
      <c r="J5" s="660"/>
      <c r="K5" s="660"/>
    </row>
    <row r="6" spans="1:14">
      <c r="A6" s="839" t="s">
        <v>1416</v>
      </c>
      <c r="B6" s="639" t="s">
        <v>1578</v>
      </c>
      <c r="C6" s="2826"/>
      <c r="D6" s="634"/>
      <c r="E6" s="635"/>
      <c r="K6" s="638"/>
    </row>
    <row r="7" spans="1:14">
      <c r="A7" s="633"/>
      <c r="B7" s="658" t="s">
        <v>48</v>
      </c>
      <c r="C7" s="2827"/>
      <c r="D7" s="636"/>
      <c r="E7" s="635"/>
      <c r="F7" s="638"/>
      <c r="G7" s="638"/>
      <c r="K7" s="638"/>
    </row>
    <row r="8" spans="1:14">
      <c r="A8" s="633"/>
      <c r="B8" s="658" t="s">
        <v>49</v>
      </c>
      <c r="C8" s="2827">
        <f>+BS!C11/10000000</f>
        <v>247.94</v>
      </c>
      <c r="D8" s="636">
        <f>+C8+'Additional Working'!C55</f>
        <v>302.61838335287223</v>
      </c>
      <c r="E8" s="637">
        <f>+D8+'Additional Working'!D55</f>
        <v>396.14503634232125</v>
      </c>
      <c r="F8" s="638">
        <f>D8-C8</f>
        <v>54.678383352872231</v>
      </c>
      <c r="G8" s="638"/>
      <c r="H8" s="638">
        <f>E8-D8</f>
        <v>93.526652989449019</v>
      </c>
      <c r="I8" s="638"/>
      <c r="J8" s="638"/>
      <c r="K8" s="638"/>
    </row>
    <row r="9" spans="1:14">
      <c r="A9" s="633"/>
      <c r="B9" s="658" t="s">
        <v>50</v>
      </c>
      <c r="C9" s="2827">
        <f>+BS!C13/10000000</f>
        <v>110.62897040999999</v>
      </c>
      <c r="D9" s="636">
        <f>+C9+'F-23 '!C27+'F-23 '!C26-'F-22'!C29+'F-23 '!C44</f>
        <v>110.62897040999999</v>
      </c>
      <c r="E9" s="637">
        <f>D9+'F-23 '!D27+'F-23 '!D26-'F-22'!D29</f>
        <v>110.62897040999999</v>
      </c>
      <c r="F9" s="638">
        <f>+D9-C9</f>
        <v>0</v>
      </c>
      <c r="G9" s="638">
        <f>-'F-22'!C29</f>
        <v>0</v>
      </c>
      <c r="H9" s="638">
        <f>+E9-D9</f>
        <v>0</v>
      </c>
      <c r="I9" s="638">
        <f>-'F-22'!C29</f>
        <v>0</v>
      </c>
      <c r="J9" s="638">
        <f>+'F-23 '!D27-'F-22'!D29</f>
        <v>0</v>
      </c>
      <c r="K9" s="638"/>
      <c r="L9" s="638"/>
      <c r="N9" s="638"/>
    </row>
    <row r="10" spans="1:14">
      <c r="A10" s="633"/>
      <c r="B10" s="755" t="s">
        <v>51</v>
      </c>
      <c r="C10" s="2827"/>
      <c r="D10" s="636"/>
      <c r="E10" s="637"/>
      <c r="F10" s="638"/>
      <c r="G10" s="638"/>
      <c r="H10" s="638"/>
      <c r="I10" s="638"/>
      <c r="J10" s="638"/>
      <c r="K10" s="638"/>
      <c r="L10" s="651"/>
    </row>
    <row r="11" spans="1:14">
      <c r="A11" s="633"/>
      <c r="B11" s="658" t="s">
        <v>52</v>
      </c>
      <c r="C11" s="2827">
        <f>('OERC 3'!D10+'OERC 3'!D11+'OERC 3'!D14+'OERC 3'!D15+'OERC 3'!D16)/10^7</f>
        <v>255.20208972899999</v>
      </c>
      <c r="D11" s="636">
        <f>C11+'F-23 '!C18+'F-23 '!C28+'F-23 '!C29+'F-23 '!C30+'F-23 '!C31+'F-23 '!C32+'F-23 '!C37+'F-23 '!C38+'F-23 '!C35+'F-23 '!C36-'F-23 '!C58-'F-23 '!C59-'F-23 '!C60-'F-23 '!C62-'F-23 '!C65-'F-23 '!C66-'F-23 '!C61-'F-23 '!C67-'F-23 '!C68</f>
        <v>584.66809972721103</v>
      </c>
      <c r="E11" s="637">
        <f>D11+SUM('F-3'!J15:J20)</f>
        <v>996.13141707391753</v>
      </c>
      <c r="F11" s="638">
        <f>+D11-C11</f>
        <v>329.46600999821101</v>
      </c>
      <c r="G11" s="638">
        <f>'F-23 '!C18+'F-23 '!C29+'F-23 '!C30+'F-23 '!C31+'F-23 '!C36-'F-23 '!C58-'F-23 '!C59-'F-23 '!C60-'F-23 '!C61-'F-23 '!C62-'F-23 '!C65-'F-23 '!C66</f>
        <v>-6.64</v>
      </c>
      <c r="H11" s="638">
        <f>+E11-D11</f>
        <v>411.4633173467065</v>
      </c>
      <c r="I11" s="638">
        <f>-'F-23 '!C58-'F-23 '!C64</f>
        <v>0</v>
      </c>
      <c r="J11" s="638">
        <f>'F-23 '!D18+'F-23 '!D28+'F-23 '!D29+'F-23 '!D30+'F-23 '!D31-'F-23 '!D58-'F-23 '!D59-'F-23 '!D60-'F-23 '!D61-'F-23 '!D62-'F-23 '!D65-'F-23 '!D66</f>
        <v>0</v>
      </c>
      <c r="K11" s="638"/>
      <c r="L11" s="638"/>
    </row>
    <row r="12" spans="1:14">
      <c r="A12" s="633"/>
      <c r="B12" s="658" t="s">
        <v>1589</v>
      </c>
      <c r="C12" s="2827">
        <f>'OERC 3'!D21/10^7</f>
        <v>85</v>
      </c>
      <c r="D12" s="636">
        <f>(C12+'F-23 '!C25+'F-23 '!C74)</f>
        <v>85</v>
      </c>
      <c r="E12" s="637">
        <f>D12+'F-23 '!D44-'F-23 '!D74</f>
        <v>85</v>
      </c>
      <c r="F12" s="638">
        <f>D12-C12</f>
        <v>0</v>
      </c>
      <c r="G12" s="638">
        <f>'F-23 '!C44-'F-23 '!C74</f>
        <v>0</v>
      </c>
      <c r="H12" s="638">
        <f>E12-D12</f>
        <v>0</v>
      </c>
      <c r="I12" s="638"/>
      <c r="J12" s="638">
        <f>'F-23 '!D44-'F-23 '!D74</f>
        <v>0</v>
      </c>
      <c r="K12" s="638"/>
      <c r="L12" s="638"/>
    </row>
    <row r="13" spans="1:14">
      <c r="A13" s="633"/>
      <c r="B13" s="755" t="s">
        <v>1590</v>
      </c>
      <c r="C13" s="2827"/>
      <c r="D13" s="636"/>
      <c r="E13" s="637"/>
      <c r="F13" s="638"/>
      <c r="G13" s="638"/>
      <c r="H13" s="638"/>
      <c r="I13" s="638"/>
      <c r="J13" s="638"/>
      <c r="K13" s="638"/>
      <c r="L13" s="638"/>
    </row>
    <row r="14" spans="1:14">
      <c r="A14" s="633"/>
      <c r="B14" s="658" t="s">
        <v>1017</v>
      </c>
      <c r="C14" s="2827">
        <f>+BS!D19/10000000</f>
        <v>307.017933266</v>
      </c>
      <c r="D14" s="636">
        <f>+C14+'F-23 '!C12-'F-23 '!C55</f>
        <v>322.61793326600002</v>
      </c>
      <c r="E14" s="637">
        <f>D14+'F-23 '!D12-'F-23 '!D55</f>
        <v>341.33793326600005</v>
      </c>
      <c r="F14" s="638">
        <f>+D14-C14</f>
        <v>15.600000000000023</v>
      </c>
      <c r="G14" s="638">
        <f>+'F-23 '!C12-'F-23 '!C55</f>
        <v>15.6</v>
      </c>
      <c r="H14" s="638">
        <f>+E14-D14</f>
        <v>18.720000000000027</v>
      </c>
      <c r="I14" s="638"/>
      <c r="J14" s="638">
        <f>+'F-23 '!D12</f>
        <v>18.72</v>
      </c>
      <c r="K14" s="638"/>
      <c r="L14" s="638"/>
    </row>
    <row r="15" spans="1:14">
      <c r="A15" s="633"/>
      <c r="B15" s="658" t="s">
        <v>1126</v>
      </c>
      <c r="C15" s="2829">
        <v>0</v>
      </c>
      <c r="D15" s="795">
        <v>0</v>
      </c>
      <c r="E15" s="858">
        <v>0</v>
      </c>
      <c r="F15" s="638"/>
      <c r="G15" s="638"/>
      <c r="H15" s="638"/>
      <c r="I15" s="638"/>
      <c r="J15" s="859"/>
      <c r="K15" s="859"/>
      <c r="L15" s="638"/>
    </row>
    <row r="16" spans="1:14" ht="31">
      <c r="A16" s="633"/>
      <c r="B16" s="658" t="s">
        <v>1515</v>
      </c>
      <c r="C16" s="2827">
        <f>+BS!D20/10000000</f>
        <v>216.38952237600003</v>
      </c>
      <c r="D16" s="636">
        <f>C16+'F-23 '!C15+'F-23 '!C16+'F-23 '!C20+'F-23 '!C22+'F-23 '!C24+'F-23 '!C33+'F-23 '!C34+'F-23 '!C40-'F-23 '!C70</f>
        <v>182.52266247600002</v>
      </c>
      <c r="E16" s="637">
        <f>D16+'F-23 '!D15+'F-23 '!D16++'F-23 '!D20+'F-23 '!D22+'F-23 '!D23+'F-23 '!D33+'F-23 '!D34+'F-23 '!D40</f>
        <v>182.52266247600002</v>
      </c>
      <c r="F16" s="638">
        <f>+D16-C16</f>
        <v>-33.866859900000009</v>
      </c>
      <c r="G16" s="638">
        <f>'F-23 '!C15+'F-23 '!C33</f>
        <v>-2.9</v>
      </c>
      <c r="H16" s="638">
        <f>+E16-D16</f>
        <v>0</v>
      </c>
      <c r="I16" s="638"/>
      <c r="J16" s="638">
        <f>+'F-23 '!D24</f>
        <v>0</v>
      </c>
      <c r="K16" s="638"/>
      <c r="L16" s="638"/>
    </row>
    <row r="17" spans="1:14" ht="18.75" customHeight="1">
      <c r="A17" s="633"/>
      <c r="B17" s="743" t="s">
        <v>1100</v>
      </c>
      <c r="C17" s="2828">
        <f>SUM(C8:C16)</f>
        <v>1222.178515781</v>
      </c>
      <c r="D17" s="640">
        <f t="shared" ref="D17:H17" si="0">SUM(D8:D16)</f>
        <v>1588.0560492320831</v>
      </c>
      <c r="E17" s="641">
        <f t="shared" si="0"/>
        <v>2111.7660195682388</v>
      </c>
      <c r="F17" s="860">
        <f t="shared" si="0"/>
        <v>365.87753345108325</v>
      </c>
      <c r="G17" s="640">
        <f t="shared" si="0"/>
        <v>6.0600000000000005</v>
      </c>
      <c r="H17" s="640">
        <f t="shared" si="0"/>
        <v>523.70997033615549</v>
      </c>
      <c r="I17" s="642"/>
      <c r="J17" s="640">
        <f>SUM(J8:J16)</f>
        <v>18.72</v>
      </c>
      <c r="K17" s="642"/>
      <c r="L17" s="638"/>
    </row>
    <row r="18" spans="1:14">
      <c r="A18" s="839" t="s">
        <v>1418</v>
      </c>
      <c r="B18" s="743" t="s">
        <v>1018</v>
      </c>
      <c r="C18" s="2827"/>
      <c r="D18" s="636"/>
      <c r="E18" s="635"/>
      <c r="H18" s="638"/>
    </row>
    <row r="19" spans="1:14">
      <c r="A19" s="633"/>
      <c r="B19" s="871" t="s">
        <v>142</v>
      </c>
      <c r="C19" s="2827"/>
      <c r="D19" s="636"/>
      <c r="E19" s="637"/>
      <c r="F19" s="638"/>
      <c r="G19" s="638"/>
      <c r="H19" s="638"/>
      <c r="I19" s="638"/>
      <c r="J19" s="638"/>
      <c r="K19" s="638"/>
    </row>
    <row r="20" spans="1:14">
      <c r="A20" s="633"/>
      <c r="B20" s="658" t="s">
        <v>909</v>
      </c>
      <c r="C20" s="2827">
        <f>+BS!C26/10000000</f>
        <v>1186.9138740069998</v>
      </c>
      <c r="D20" s="636">
        <f>C20+'F-2'!L89</f>
        <v>1369.1751518499073</v>
      </c>
      <c r="E20" s="637">
        <f>D20+'F-2'!Q89</f>
        <v>1680.9306618147373</v>
      </c>
      <c r="F20" s="638">
        <f t="shared" ref="F20:F25" si="1">+D20-C20</f>
        <v>182.26127784290748</v>
      </c>
      <c r="G20" s="638">
        <f>+'F-2'!L89</f>
        <v>182.26127784290739</v>
      </c>
      <c r="H20" s="638">
        <f t="shared" ref="H20:H31" si="2">+E20-D20</f>
        <v>311.75550996483003</v>
      </c>
      <c r="I20" s="638"/>
      <c r="J20" s="638">
        <f>'F-2'!Q89</f>
        <v>311.75550996483003</v>
      </c>
      <c r="K20" s="638"/>
    </row>
    <row r="21" spans="1:14">
      <c r="A21" s="633"/>
      <c r="B21" s="658" t="s">
        <v>1019</v>
      </c>
      <c r="C21" s="2827">
        <f>+BS!C28/10000000</f>
        <v>402.62855936400001</v>
      </c>
      <c r="D21" s="636">
        <f>C21+'F-22'!C16</f>
        <v>454.8572984384524</v>
      </c>
      <c r="E21" s="637">
        <f>D21+'F-22'!D16</f>
        <v>516.95081820714051</v>
      </c>
      <c r="F21" s="638">
        <f t="shared" si="1"/>
        <v>52.228739074452392</v>
      </c>
      <c r="G21" s="638">
        <f>+'F-19-A'!K22-'F-19-A'!L22</f>
        <v>52.228739074452392</v>
      </c>
      <c r="H21" s="638">
        <f t="shared" si="2"/>
        <v>62.093519768688111</v>
      </c>
      <c r="I21" s="638"/>
      <c r="J21" s="638">
        <f>+'F-22'!D16</f>
        <v>62.093519768688068</v>
      </c>
      <c r="K21" s="638"/>
      <c r="L21" s="638"/>
      <c r="M21" s="638"/>
    </row>
    <row r="22" spans="1:14">
      <c r="A22" s="633"/>
      <c r="B22" s="755" t="s">
        <v>910</v>
      </c>
      <c r="C22" s="2828">
        <f>C20-C21</f>
        <v>784.28531464299977</v>
      </c>
      <c r="D22" s="640">
        <f>D20-D21</f>
        <v>914.31785341145485</v>
      </c>
      <c r="E22" s="641">
        <f>E20-E21</f>
        <v>1163.9798436075966</v>
      </c>
      <c r="F22" s="638">
        <f t="shared" si="1"/>
        <v>130.03253876845508</v>
      </c>
      <c r="G22" s="638">
        <f>G20-G21</f>
        <v>130.032538768455</v>
      </c>
      <c r="H22" s="638">
        <f t="shared" si="2"/>
        <v>249.6619901961418</v>
      </c>
      <c r="I22" s="638"/>
      <c r="J22" s="640">
        <f>J20-J21</f>
        <v>249.66199019614197</v>
      </c>
      <c r="K22" s="642">
        <f>H22-J22</f>
        <v>0</v>
      </c>
    </row>
    <row r="23" spans="1:14">
      <c r="A23" s="633"/>
      <c r="B23" s="658" t="s">
        <v>1020</v>
      </c>
      <c r="C23" s="2827">
        <f>+BS!C31/10000000</f>
        <v>79.872660944999978</v>
      </c>
      <c r="D23" s="636">
        <f>'F-2'!M89-D24</f>
        <v>142.35000000000002</v>
      </c>
      <c r="E23" s="637">
        <f>'F-2'!R89-E24</f>
        <v>264.12804642438459</v>
      </c>
      <c r="F23" s="638">
        <f t="shared" si="1"/>
        <v>62.477339055000044</v>
      </c>
      <c r="G23" s="638">
        <f>'F-2'!M89</f>
        <v>142.35000000000002</v>
      </c>
      <c r="H23" s="638">
        <f t="shared" si="2"/>
        <v>121.77804642438457</v>
      </c>
      <c r="I23" s="638"/>
      <c r="J23" s="638"/>
      <c r="K23" s="638"/>
      <c r="L23" s="638"/>
      <c r="N23" s="638"/>
    </row>
    <row r="24" spans="1:14">
      <c r="A24" s="633"/>
      <c r="B24" s="658" t="s">
        <v>1021</v>
      </c>
      <c r="C24" s="2827">
        <v>0</v>
      </c>
      <c r="D24" s="636">
        <f>'F-2'!M86</f>
        <v>0</v>
      </c>
      <c r="E24" s="637">
        <f>+'F-2'!R86</f>
        <v>0</v>
      </c>
      <c r="F24" s="638">
        <f t="shared" si="1"/>
        <v>0</v>
      </c>
      <c r="G24" s="638"/>
      <c r="H24" s="638">
        <f t="shared" si="2"/>
        <v>0</v>
      </c>
      <c r="I24" s="638"/>
      <c r="J24" s="638"/>
      <c r="K24" s="638"/>
    </row>
    <row r="25" spans="1:14">
      <c r="A25" s="633"/>
      <c r="B25" s="755" t="s">
        <v>1022</v>
      </c>
      <c r="C25" s="2828">
        <f>C24+C23</f>
        <v>79.872660944999978</v>
      </c>
      <c r="D25" s="640">
        <f>D24+D23</f>
        <v>142.35000000000002</v>
      </c>
      <c r="E25" s="641">
        <f>E24+E23</f>
        <v>264.12804642438459</v>
      </c>
      <c r="F25" s="638">
        <f t="shared" si="1"/>
        <v>62.477339055000044</v>
      </c>
      <c r="G25" s="638">
        <f>G23</f>
        <v>142.35000000000002</v>
      </c>
      <c r="H25" s="638">
        <f>+E25-D25</f>
        <v>121.77804642438457</v>
      </c>
      <c r="I25" s="638"/>
      <c r="J25" s="640">
        <f>J24+J23</f>
        <v>0</v>
      </c>
      <c r="K25" s="642"/>
    </row>
    <row r="26" spans="1:14">
      <c r="A26" s="633"/>
      <c r="B26" s="658" t="s">
        <v>1023</v>
      </c>
      <c r="C26" s="2827"/>
      <c r="D26" s="636"/>
      <c r="E26" s="637"/>
      <c r="F26" s="638"/>
      <c r="G26" s="638"/>
      <c r="H26" s="638"/>
      <c r="I26" s="638"/>
      <c r="J26" s="638"/>
      <c r="K26" s="638"/>
    </row>
    <row r="27" spans="1:14">
      <c r="A27" s="633"/>
      <c r="B27" s="755" t="s">
        <v>998</v>
      </c>
      <c r="C27" s="2827"/>
      <c r="D27" s="636"/>
      <c r="E27" s="635"/>
      <c r="F27" s="638"/>
      <c r="G27" s="638"/>
      <c r="H27" s="638"/>
      <c r="I27" s="638"/>
    </row>
    <row r="28" spans="1:14">
      <c r="A28" s="633"/>
      <c r="B28" s="658" t="s">
        <v>999</v>
      </c>
      <c r="C28" s="2827">
        <f>+BS!C35/10000000</f>
        <v>536.1655781689999</v>
      </c>
      <c r="D28" s="795">
        <f>'F-9'!D39</f>
        <v>536.16557816899967</v>
      </c>
      <c r="E28" s="637">
        <f>'F-9'!E39</f>
        <v>536.16557816899945</v>
      </c>
      <c r="F28" s="638">
        <f>+D28-C28</f>
        <v>0</v>
      </c>
      <c r="G28" s="638">
        <f>'F-22'!C17</f>
        <v>18.693517058126908</v>
      </c>
      <c r="H28" s="638">
        <f>E28-D28</f>
        <v>0</v>
      </c>
      <c r="I28" s="638"/>
      <c r="J28" s="638"/>
      <c r="K28" s="638"/>
    </row>
    <row r="29" spans="1:14">
      <c r="A29" s="633"/>
      <c r="B29" s="658" t="s">
        <v>1000</v>
      </c>
      <c r="C29" s="2827">
        <f>+BS!C36/10000000</f>
        <v>28.302300534999997</v>
      </c>
      <c r="D29" s="795">
        <f>+C29+'F-23 '!C63</f>
        <v>28.302300534999997</v>
      </c>
      <c r="E29" s="637">
        <f>D29+'F-23 '!D63</f>
        <v>28.302300534999997</v>
      </c>
      <c r="F29" s="638">
        <f>+D29-C29</f>
        <v>0</v>
      </c>
      <c r="G29" s="638">
        <f>'F-23 '!C63</f>
        <v>0</v>
      </c>
      <c r="H29" s="638">
        <f>E29-D29</f>
        <v>0</v>
      </c>
      <c r="I29" s="638"/>
      <c r="J29" s="638">
        <f>'F-23 '!D63</f>
        <v>0</v>
      </c>
      <c r="K29" s="638"/>
      <c r="L29" s="667"/>
    </row>
    <row r="30" spans="1:14">
      <c r="A30" s="633"/>
      <c r="B30" s="658" t="s">
        <v>1001</v>
      </c>
      <c r="C30" s="2827">
        <f>+BS!C37/10000000</f>
        <v>630.9827056069995</v>
      </c>
      <c r="D30" s="643">
        <f>+'F-23 '!C78</f>
        <v>520.47957425270579</v>
      </c>
      <c r="E30" s="861">
        <f>'F-23 '!D78</f>
        <v>350.43826319701566</v>
      </c>
      <c r="F30" s="638">
        <f>+D30-C30</f>
        <v>-110.50313135429371</v>
      </c>
      <c r="G30" s="638">
        <f>'F-23 '!C45-'F-23 '!C76</f>
        <v>-110.5031313542936</v>
      </c>
      <c r="H30" s="638">
        <f t="shared" si="2"/>
        <v>-170.04131105569013</v>
      </c>
      <c r="I30" s="638"/>
      <c r="J30" s="638">
        <f>+'F-23 '!D78-'F-23 '!D9</f>
        <v>-170.04131105569013</v>
      </c>
      <c r="K30" s="638"/>
      <c r="L30" s="236"/>
      <c r="M30" s="236"/>
    </row>
    <row r="31" spans="1:14" ht="31">
      <c r="A31" s="633"/>
      <c r="B31" s="658" t="s">
        <v>3798</v>
      </c>
      <c r="C31" s="2827">
        <f>+BS!C38/10000000</f>
        <v>229.99947841999997</v>
      </c>
      <c r="D31" s="636">
        <f>+C31-'F-23 '!C41+'F-23 '!C57</f>
        <v>229.99947841999997</v>
      </c>
      <c r="E31" s="637">
        <f>D31-'F-23 '!D41+'F-23 '!D57</f>
        <v>229.99947841999997</v>
      </c>
      <c r="F31" s="638">
        <f>+D31-C31</f>
        <v>0</v>
      </c>
      <c r="G31" s="638">
        <f>'F-23 '!C57-'F-23 '!C41</f>
        <v>0</v>
      </c>
      <c r="H31" s="638">
        <f t="shared" si="2"/>
        <v>0</v>
      </c>
      <c r="I31" s="638"/>
      <c r="J31" s="638">
        <f>'F-23 '!D57-'F-23 '!D41</f>
        <v>0</v>
      </c>
      <c r="K31" s="638"/>
      <c r="L31" s="651"/>
      <c r="M31" s="651"/>
    </row>
    <row r="32" spans="1:14">
      <c r="A32" s="633"/>
      <c r="B32" s="862" t="s">
        <v>1150</v>
      </c>
      <c r="C32" s="2827"/>
      <c r="D32" s="636"/>
      <c r="E32" s="637"/>
      <c r="F32" s="638"/>
      <c r="G32" s="638"/>
      <c r="H32" s="638"/>
      <c r="I32" s="638"/>
      <c r="J32" s="638"/>
      <c r="K32" s="638"/>
      <c r="L32" s="651"/>
      <c r="M32" s="651"/>
    </row>
    <row r="33" spans="1:14">
      <c r="A33" s="633"/>
      <c r="B33" s="634" t="s">
        <v>1151</v>
      </c>
      <c r="C33" s="2829">
        <v>0</v>
      </c>
      <c r="D33" s="653">
        <f>C33</f>
        <v>0</v>
      </c>
      <c r="E33" s="655">
        <v>0</v>
      </c>
      <c r="F33" s="638"/>
      <c r="G33" s="638"/>
      <c r="H33" s="638"/>
      <c r="I33" s="638"/>
      <c r="J33" s="655">
        <v>269.32</v>
      </c>
      <c r="K33" s="638"/>
      <c r="L33" s="638"/>
    </row>
    <row r="34" spans="1:14">
      <c r="A34" s="633"/>
      <c r="B34" s="658" t="s">
        <v>232</v>
      </c>
      <c r="C34" s="2827">
        <f>+BS!C44/10000000</f>
        <v>975.99007760099983</v>
      </c>
      <c r="D34" s="636">
        <f>+C34-'F-23 '!C69</f>
        <v>951.2700776009998</v>
      </c>
      <c r="E34" s="637">
        <f>+D34-'F-23 '!D69</f>
        <v>951.2700776009998</v>
      </c>
      <c r="F34" s="638">
        <f>D34-C34</f>
        <v>-24.720000000000027</v>
      </c>
      <c r="G34" s="638">
        <f>-'F-23 '!C69</f>
        <v>-24.72</v>
      </c>
      <c r="H34" s="638">
        <f>+E33-D33</f>
        <v>0</v>
      </c>
      <c r="I34" s="638"/>
      <c r="J34" s="638">
        <f>-'F-23 '!D69</f>
        <v>0</v>
      </c>
      <c r="K34" s="638"/>
      <c r="L34" s="638"/>
      <c r="M34" s="638"/>
    </row>
    <row r="35" spans="1:14">
      <c r="A35" s="633"/>
      <c r="B35" s="658"/>
      <c r="C35" s="2827"/>
      <c r="D35" s="636"/>
      <c r="E35" s="635"/>
      <c r="F35" s="638"/>
      <c r="H35" s="638">
        <f>+E34-D34</f>
        <v>0</v>
      </c>
      <c r="I35" s="638"/>
      <c r="J35" s="638"/>
      <c r="K35" s="638"/>
      <c r="L35" s="638"/>
    </row>
    <row r="36" spans="1:14">
      <c r="A36" s="633"/>
      <c r="B36" s="743" t="s">
        <v>1154</v>
      </c>
      <c r="C36" s="2854">
        <f>SUM(C28:C31)-SUM(C33:C34)</f>
        <v>449.45998512999961</v>
      </c>
      <c r="D36" s="863">
        <f>SUM(D28:D31)-SUM(D33:D34)</f>
        <v>363.67685377570581</v>
      </c>
      <c r="E36" s="864">
        <f>SUM(E28:E31)-SUM(E33:E34)</f>
        <v>193.63554272001522</v>
      </c>
      <c r="F36" s="638">
        <f>D36-C36</f>
        <v>-85.783131354293801</v>
      </c>
      <c r="G36" s="638">
        <f>G29+G30+G31-G34</f>
        <v>-85.783131354293602</v>
      </c>
      <c r="H36" s="638">
        <f>H29+H30+H31-H34</f>
        <v>-170.04131105569013</v>
      </c>
      <c r="I36" s="638"/>
      <c r="M36" s="638"/>
      <c r="N36" s="638"/>
    </row>
    <row r="37" spans="1:14" ht="31">
      <c r="A37" s="633"/>
      <c r="B37" s="658" t="s">
        <v>233</v>
      </c>
      <c r="C37" s="2827"/>
      <c r="D37" s="636"/>
      <c r="E37" s="637"/>
      <c r="F37" s="638"/>
      <c r="G37" s="638"/>
      <c r="H37" s="638">
        <f>+E36-D36</f>
        <v>-170.04131105569058</v>
      </c>
      <c r="I37" s="638"/>
      <c r="J37" s="863">
        <f>SUM(J28:J31)-SUM(J34:J35)</f>
        <v>-170.04131105569013</v>
      </c>
      <c r="K37" s="865"/>
      <c r="N37" s="638"/>
    </row>
    <row r="38" spans="1:14">
      <c r="A38" s="633"/>
      <c r="B38" s="658" t="s">
        <v>7145</v>
      </c>
      <c r="C38" s="2855">
        <f>-'F-22'!C28-'F-22'!B36</f>
        <v>-68.808501385198099</v>
      </c>
      <c r="D38" s="795">
        <f>-'F-22'!C36-'F-22'!B36</f>
        <v>97.987566882253816</v>
      </c>
      <c r="E38" s="637">
        <f>-'F-22'!D36</f>
        <v>352.86060500677127</v>
      </c>
      <c r="F38" s="638">
        <f>D38-C38</f>
        <v>166.79606826745191</v>
      </c>
      <c r="G38" s="638">
        <f>-'F-22'!C26-'F-22'!C29</f>
        <v>166.79606826745191</v>
      </c>
      <c r="H38" s="638"/>
      <c r="I38" s="638"/>
      <c r="J38" s="638"/>
      <c r="K38" s="638"/>
    </row>
    <row r="39" spans="1:14" ht="22.5" customHeight="1" thickBot="1">
      <c r="A39" s="840"/>
      <c r="B39" s="866" t="s">
        <v>1100</v>
      </c>
      <c r="C39" s="2856">
        <f>+C22+C25+C26+C36+C38</f>
        <v>1244.8094593328012</v>
      </c>
      <c r="D39" s="867">
        <f>+D22+D25+D26+D36+D38</f>
        <v>1518.3322740694143</v>
      </c>
      <c r="E39" s="823">
        <f>+E22+E25+E26+E36+E38</f>
        <v>1974.6040377587676</v>
      </c>
      <c r="F39" s="638"/>
      <c r="G39" s="638"/>
      <c r="H39" s="638">
        <f>+E38-D38</f>
        <v>254.87303812451745</v>
      </c>
      <c r="I39" s="638"/>
      <c r="J39" s="638" t="e">
        <f>-'F-22'!#REF!</f>
        <v>#REF!</v>
      </c>
      <c r="K39" s="638"/>
      <c r="N39" s="638"/>
    </row>
    <row r="40" spans="1:14" ht="23.25" customHeight="1">
      <c r="B40" s="822"/>
      <c r="C40" s="825"/>
      <c r="D40" s="825"/>
      <c r="E40" s="868"/>
      <c r="F40" s="824">
        <f>+F22+F25+F26+F36+F38</f>
        <v>273.52281473661321</v>
      </c>
      <c r="G40" s="834"/>
      <c r="H40" s="834">
        <f>+H22+H25+H26+H37+H39</f>
        <v>456.27176368935324</v>
      </c>
      <c r="I40" s="825"/>
      <c r="J40" s="834" t="e">
        <f>+J22+J25+J26+J37+J39</f>
        <v>#REF!</v>
      </c>
      <c r="K40" s="825"/>
    </row>
    <row r="41" spans="1:14">
      <c r="B41" s="822"/>
      <c r="C41" s="825"/>
      <c r="D41" s="825"/>
      <c r="E41" s="825"/>
      <c r="F41" s="825">
        <f>+F17-F40</f>
        <v>92.354718714470039</v>
      </c>
      <c r="G41" s="825"/>
      <c r="H41" s="825">
        <f>+H17-H40</f>
        <v>67.438206646802257</v>
      </c>
      <c r="I41" s="825"/>
      <c r="J41" s="825" t="e">
        <f>+J17-J40</f>
        <v>#REF!</v>
      </c>
      <c r="K41" s="825"/>
      <c r="L41" s="638"/>
      <c r="M41" s="638"/>
    </row>
    <row r="42" spans="1:14">
      <c r="C42" s="744"/>
      <c r="D42" s="744"/>
      <c r="F42" s="825"/>
      <c r="G42" s="825"/>
      <c r="H42" s="825"/>
      <c r="I42" s="825"/>
      <c r="J42" s="825"/>
      <c r="K42" s="825"/>
      <c r="L42" s="638"/>
    </row>
    <row r="43" spans="1:14">
      <c r="C43" s="869">
        <f>+C17-C39</f>
        <v>-22.630943551801238</v>
      </c>
      <c r="D43" s="3026">
        <f>+D17-D39</f>
        <v>69.723775162668744</v>
      </c>
      <c r="E43" s="869">
        <f>+E17-E39</f>
        <v>137.16198180947117</v>
      </c>
      <c r="F43" s="638"/>
    </row>
    <row r="44" spans="1:14">
      <c r="C44" s="638"/>
      <c r="D44" s="638"/>
      <c r="E44" s="638"/>
      <c r="F44" s="638"/>
      <c r="G44" s="638"/>
      <c r="H44" s="638"/>
      <c r="I44" s="638"/>
      <c r="J44" s="638"/>
      <c r="K44" s="638"/>
      <c r="L44" s="638"/>
    </row>
    <row r="45" spans="1:14">
      <c r="C45" s="638"/>
      <c r="D45" s="638"/>
      <c r="E45" s="638"/>
      <c r="F45" s="638"/>
      <c r="G45" s="638"/>
      <c r="H45" s="638"/>
      <c r="I45" s="638"/>
      <c r="J45" s="638"/>
      <c r="K45" s="638"/>
    </row>
    <row r="46" spans="1:14">
      <c r="C46" s="236"/>
      <c r="D46" s="638"/>
      <c r="E46" s="638"/>
      <c r="F46" s="638"/>
      <c r="G46" s="638"/>
      <c r="H46" s="638"/>
      <c r="I46" s="638"/>
      <c r="J46" s="638"/>
      <c r="K46" s="638"/>
    </row>
    <row r="47" spans="1:14">
      <c r="D47" s="638"/>
      <c r="E47" s="638"/>
      <c r="F47" s="638"/>
      <c r="G47" s="638"/>
      <c r="H47" s="638"/>
      <c r="I47" s="638"/>
      <c r="J47" s="638"/>
      <c r="K47" s="638"/>
    </row>
    <row r="48" spans="1:14">
      <c r="F48" s="638"/>
      <c r="G48" s="638"/>
      <c r="H48" s="638"/>
      <c r="I48" s="638"/>
      <c r="J48" s="638"/>
      <c r="K48" s="638"/>
    </row>
    <row r="49" spans="4:11">
      <c r="D49" s="820"/>
      <c r="E49" s="870"/>
    </row>
    <row r="50" spans="4:11">
      <c r="F50" s="870"/>
      <c r="G50" s="870"/>
      <c r="H50" s="870"/>
      <c r="I50" s="870"/>
      <c r="J50" s="870"/>
      <c r="K50" s="870"/>
    </row>
    <row r="52" spans="4:11">
      <c r="D52" s="651"/>
    </row>
    <row r="54" spans="4:11">
      <c r="D54" s="651"/>
    </row>
  </sheetData>
  <mergeCells count="2">
    <mergeCell ref="A2:E2"/>
    <mergeCell ref="A3:E3"/>
  </mergeCells>
  <phoneticPr fontId="0" type="noConversion"/>
  <printOptions horizontalCentered="1" verticalCentered="1"/>
  <pageMargins left="0.59055118110236227" right="0" top="0" bottom="0.39370078740157483" header="0" footer="0"/>
  <pageSetup paperSize="9" scale="96" orientation="portrait" r:id="rId1"/>
  <headerFooter alignWithMargins="0">
    <oddFooter>&amp;ROERC FORM No. F-21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>
    <tabColor theme="1"/>
    <pageSetUpPr fitToPage="1"/>
  </sheetPr>
  <dimension ref="A1:U43"/>
  <sheetViews>
    <sheetView showGridLines="0" view="pageBreakPreview" topLeftCell="A21" zoomScale="60" zoomScaleNormal="76" workbookViewId="0">
      <selection activeCell="C7" sqref="C7"/>
    </sheetView>
  </sheetViews>
  <sheetFormatPr defaultColWidth="9.1796875" defaultRowHeight="15.5"/>
  <cols>
    <col min="1" max="1" width="48.7265625" style="630" customWidth="1"/>
    <col min="2" max="4" width="19.26953125" style="630" customWidth="1"/>
    <col min="5" max="5" width="13.1796875" style="630" customWidth="1"/>
    <col min="6" max="6" width="11.7265625" style="630" bestFit="1" customWidth="1"/>
    <col min="7" max="7" width="10.1796875" style="630" bestFit="1" customWidth="1"/>
    <col min="8" max="8" width="11.7265625" style="630" bestFit="1" customWidth="1"/>
    <col min="9" max="9" width="9.1796875" style="630"/>
    <col min="10" max="10" width="11" style="630" bestFit="1" customWidth="1"/>
    <col min="11" max="16384" width="9.1796875" style="630"/>
  </cols>
  <sheetData>
    <row r="1" spans="1:21" ht="18">
      <c r="A1" s="1043" t="s">
        <v>5525</v>
      </c>
      <c r="C1" s="3368"/>
      <c r="D1" s="3368"/>
    </row>
    <row r="2" spans="1:21" ht="16" thickBot="1">
      <c r="A2" s="629"/>
      <c r="C2" s="660"/>
      <c r="D2" s="660"/>
    </row>
    <row r="3" spans="1:21">
      <c r="A3" s="3467" t="s">
        <v>3799</v>
      </c>
      <c r="B3" s="3468"/>
      <c r="C3" s="3468"/>
      <c r="D3" s="3469"/>
    </row>
    <row r="4" spans="1:21" ht="16" thickBot="1">
      <c r="A4" s="2262" t="s">
        <v>4051</v>
      </c>
      <c r="B4" s="1270"/>
      <c r="C4" s="1270"/>
      <c r="D4" s="1271"/>
    </row>
    <row r="5" spans="1:21" ht="12.75" customHeight="1">
      <c r="A5" s="3463" t="s">
        <v>850</v>
      </c>
      <c r="B5" s="3465" t="s">
        <v>7998</v>
      </c>
      <c r="C5" s="3461" t="s">
        <v>7999</v>
      </c>
      <c r="D5" s="3459" t="s">
        <v>8000</v>
      </c>
      <c r="F5" s="630">
        <f>+D7*0.05</f>
        <v>98.296235046868091</v>
      </c>
    </row>
    <row r="6" spans="1:21" ht="21" customHeight="1">
      <c r="A6" s="3464"/>
      <c r="B6" s="3466"/>
      <c r="C6" s="3462"/>
      <c r="D6" s="3460"/>
    </row>
    <row r="7" spans="1:21" ht="24" customHeight="1">
      <c r="A7" s="633" t="s">
        <v>3800</v>
      </c>
      <c r="B7" s="2827">
        <f>+(PL!F10-'OERC 14,15 &amp; 16'!D72)/10000000</f>
        <v>1639.9169955799998</v>
      </c>
      <c r="C7" s="636">
        <f>'F-6'!J40</f>
        <v>1850.6735468597076</v>
      </c>
      <c r="D7" s="637">
        <f>'T-7(ENS)'!AA65</f>
        <v>1965.9247009373616</v>
      </c>
      <c r="E7" s="638">
        <f>+C7/B7</f>
        <v>1.1285165967837099</v>
      </c>
      <c r="F7" s="644">
        <f>+D7/C7</f>
        <v>1.0622752479891533</v>
      </c>
    </row>
    <row r="8" spans="1:21" ht="24" customHeight="1">
      <c r="A8" s="633" t="s">
        <v>852</v>
      </c>
      <c r="B8" s="2827">
        <f>+PL!F14/10000000</f>
        <v>92.930144975000005</v>
      </c>
      <c r="C8" s="636">
        <f>'F-6'!J34</f>
        <v>52.488218606000011</v>
      </c>
      <c r="D8" s="637">
        <f>+'F-23 '!D11</f>
        <v>37.551313707694462</v>
      </c>
      <c r="E8" s="2263"/>
      <c r="H8" s="630">
        <f>2511.16-967.8</f>
        <v>1543.36</v>
      </c>
    </row>
    <row r="9" spans="1:21">
      <c r="A9" s="633"/>
      <c r="B9" s="2827"/>
      <c r="C9" s="636"/>
      <c r="D9" s="637"/>
    </row>
    <row r="10" spans="1:21" ht="24" customHeight="1">
      <c r="A10" s="839" t="s">
        <v>1100</v>
      </c>
      <c r="B10" s="2828">
        <f>SUM(B7:B9)</f>
        <v>1732.8471405549999</v>
      </c>
      <c r="C10" s="640">
        <f>SUM(C7:C9)</f>
        <v>1903.1617654657075</v>
      </c>
      <c r="D10" s="641">
        <f>SUM(D7:D9)</f>
        <v>2003.476014645056</v>
      </c>
      <c r="E10" s="638"/>
    </row>
    <row r="11" spans="1:21" ht="24" customHeight="1">
      <c r="A11" s="649" t="s">
        <v>854</v>
      </c>
      <c r="B11" s="2827"/>
      <c r="C11" s="636"/>
      <c r="D11" s="637"/>
      <c r="I11" s="638">
        <f>D10-D12-D13-D14-D15-D19</f>
        <v>-95.969830231716685</v>
      </c>
    </row>
    <row r="12" spans="1:21" ht="24" customHeight="1">
      <c r="A12" s="633" t="s">
        <v>855</v>
      </c>
      <c r="B12" s="2827">
        <f>+PL!F17/10000000</f>
        <v>926.32682137900008</v>
      </c>
      <c r="C12" s="636">
        <f>'F-6'!J11</f>
        <v>1135.5547172397337</v>
      </c>
      <c r="D12" s="637">
        <f>'F-4'!I39</f>
        <v>1219.9313707694459</v>
      </c>
      <c r="E12" s="638">
        <f>SUM('F-23 '!C49:C51)</f>
        <v>786.37780948998534</v>
      </c>
      <c r="F12" s="638">
        <f>SUM('F-23 '!D49:D51)</f>
        <v>901.77111936611129</v>
      </c>
      <c r="G12" s="638">
        <f>+C13-E12</f>
        <v>-268.79889422767917</v>
      </c>
      <c r="H12" s="638">
        <f>+D13-F12</f>
        <v>-404.42667256339746</v>
      </c>
    </row>
    <row r="13" spans="1:21" ht="24" customHeight="1">
      <c r="A13" s="2227" t="s">
        <v>1247</v>
      </c>
      <c r="B13" s="2827">
        <f>'F-12-C'!G10</f>
        <v>461.16258124244206</v>
      </c>
      <c r="C13" s="636">
        <f>+'F-12-A '!L39-'F-12-A '!L40+'F-12-B'!L17</f>
        <v>517.57891526230617</v>
      </c>
      <c r="D13" s="637">
        <f>+'F-12-A '!Q39-'F-12-A '!Q40</f>
        <v>497.34444680271383</v>
      </c>
      <c r="E13" s="638">
        <f>+B13/B12</f>
        <v>0.49784003938903615</v>
      </c>
      <c r="F13" s="638">
        <f>+C13/C12</f>
        <v>0.45579390178609686</v>
      </c>
      <c r="G13" s="638">
        <f>+'WF-10(Rev RQ-Cur)'!G38</f>
        <v>18.506735468597075</v>
      </c>
      <c r="H13" s="638">
        <f>+'WF-12(RevRQEns)'!G40</f>
        <v>19.659247009373615</v>
      </c>
      <c r="I13" s="638"/>
      <c r="J13" s="638"/>
      <c r="L13" s="630" t="s">
        <v>517</v>
      </c>
      <c r="N13" s="638">
        <v>528.14994101600007</v>
      </c>
      <c r="O13" s="651">
        <f>'F-12-A '!G41+'F-12-B'!G17</f>
        <v>461.16258124244206</v>
      </c>
      <c r="P13" s="651">
        <f>N13-O13</f>
        <v>66.987359773558012</v>
      </c>
      <c r="R13" s="651">
        <f>'F-12-A '!G22</f>
        <v>65.335610372441991</v>
      </c>
      <c r="T13" s="651">
        <f>N13-R16+R13</f>
        <v>460.93631486167408</v>
      </c>
      <c r="U13" s="651">
        <f>O13-T13</f>
        <v>0.22626638076798145</v>
      </c>
    </row>
    <row r="14" spans="1:21" ht="24" customHeight="1">
      <c r="A14" s="2227" t="s">
        <v>3774</v>
      </c>
      <c r="B14" s="2827">
        <f>'F-13-B'!C16</f>
        <v>90.675662714325981</v>
      </c>
      <c r="C14" s="636">
        <f>'F-13-B'!E16</f>
        <v>145.39831301164173</v>
      </c>
      <c r="D14" s="637">
        <f>'F-13-B'!F16</f>
        <v>155.40434263023732</v>
      </c>
      <c r="E14" s="638"/>
      <c r="F14" s="638"/>
      <c r="G14" s="638"/>
      <c r="H14" s="638"/>
      <c r="I14" s="638"/>
      <c r="J14" s="638"/>
      <c r="L14" s="630" t="s">
        <v>308</v>
      </c>
      <c r="N14" s="638">
        <v>27.161858052999996</v>
      </c>
      <c r="O14" s="651">
        <f>'F-13-B'!C16</f>
        <v>90.675662714325981</v>
      </c>
      <c r="P14" s="651">
        <f t="shared" ref="P14:P15" si="0">N14-O14</f>
        <v>-63.513804661325985</v>
      </c>
      <c r="R14" s="638">
        <v>63.514611161325988</v>
      </c>
      <c r="T14" s="638">
        <f>N14+R14</f>
        <v>90.676469214325977</v>
      </c>
      <c r="U14" s="651">
        <f>O14-T14</f>
        <v>-8.0649999999593547E-4</v>
      </c>
    </row>
    <row r="15" spans="1:21" ht="24" customHeight="1">
      <c r="A15" s="2227" t="s">
        <v>388</v>
      </c>
      <c r="B15" s="2827">
        <f>'F-14  '!C77</f>
        <v>96.763686864033673</v>
      </c>
      <c r="C15" s="636">
        <f>+'F-14  '!E77</f>
        <v>123.40058121603747</v>
      </c>
      <c r="D15" s="637">
        <f>+'F-14  '!F77</f>
        <v>137.46862190116008</v>
      </c>
      <c r="E15" s="638"/>
      <c r="F15" s="638"/>
      <c r="G15" s="638"/>
      <c r="H15" s="638"/>
      <c r="I15" s="638"/>
      <c r="J15" s="638"/>
      <c r="L15" s="630" t="s">
        <v>388</v>
      </c>
      <c r="N15" s="638">
        <v>93.064672059000003</v>
      </c>
      <c r="O15" s="651">
        <f>'F-14  '!C77</f>
        <v>96.763686864033673</v>
      </c>
      <c r="P15" s="651">
        <f t="shared" si="0"/>
        <v>-3.69901480503367</v>
      </c>
      <c r="R15" s="638">
        <v>3.699014993</v>
      </c>
      <c r="T15" s="638">
        <f>N15+R15</f>
        <v>96.763687052000009</v>
      </c>
      <c r="U15" s="651">
        <f>O15-T15</f>
        <v>-1.8796633582951472E-7</v>
      </c>
    </row>
    <row r="16" spans="1:21" ht="24" customHeight="1">
      <c r="A16" s="2227" t="s">
        <v>118</v>
      </c>
      <c r="B16" s="2827">
        <f>+PL!F21/10000000</f>
        <v>28.286157527000004</v>
      </c>
      <c r="C16" s="636">
        <f>+'F-19-A'!K22-'F-19-A'!L22</f>
        <v>52.228739074452392</v>
      </c>
      <c r="D16" s="637">
        <f>+'F-19-A'!K46-'F-19-A'!L46</f>
        <v>62.093519768688068</v>
      </c>
      <c r="E16" s="638"/>
      <c r="F16" s="638"/>
      <c r="G16" s="630">
        <f>+G13/0.07</f>
        <v>264.3819352656725</v>
      </c>
      <c r="H16" s="630">
        <f>+H13/0.06</f>
        <v>327.65411682289363</v>
      </c>
      <c r="J16" s="638"/>
      <c r="N16" s="638">
        <f>SUM(N13:N15)</f>
        <v>648.37647112800005</v>
      </c>
      <c r="O16" s="638">
        <f>SUM(O13:O15)</f>
        <v>648.60193082080173</v>
      </c>
      <c r="P16" s="651">
        <f>SUM(P13:P15)</f>
        <v>-0.22545969280164257</v>
      </c>
      <c r="R16" s="651">
        <f>SUM(R13:R15)</f>
        <v>132.54923652676797</v>
      </c>
      <c r="T16" s="638">
        <f>SUM(T13:T15)</f>
        <v>648.37647112800005</v>
      </c>
      <c r="U16" s="638">
        <f>SUM(U13:U15)</f>
        <v>0.22545969280164968</v>
      </c>
    </row>
    <row r="17" spans="1:10" ht="24" customHeight="1">
      <c r="A17" s="2227" t="s">
        <v>1525</v>
      </c>
      <c r="B17" s="2827">
        <f>('OERC 14,15 &amp; 16'!D79)/10^7</f>
        <v>16.546298806999999</v>
      </c>
      <c r="C17" s="636">
        <f>'F-6'!J16</f>
        <v>18.693517058126908</v>
      </c>
      <c r="D17" s="637">
        <f>'T-7(ENS)'!AA65*0.01</f>
        <v>19.659247009373615</v>
      </c>
      <c r="E17" s="638">
        <f>SUM(D12:D17)</f>
        <v>2091.901548881619</v>
      </c>
      <c r="F17" s="638"/>
      <c r="J17" s="638"/>
    </row>
    <row r="18" spans="1:10" ht="24" customHeight="1">
      <c r="A18" s="2264" t="s">
        <v>1571</v>
      </c>
      <c r="B18" s="2854">
        <f>B10-B12-B13-B14-B15-B16-B17</f>
        <v>113.08593202119809</v>
      </c>
      <c r="C18" s="863">
        <f>C10-C12-C13-C14-C15-C16-C17</f>
        <v>-89.693017396590847</v>
      </c>
      <c r="D18" s="864">
        <f>D10-D12-D13-D14-D15-D16-D17</f>
        <v>-88.425534236562854</v>
      </c>
      <c r="E18" s="638">
        <f>D10-E17</f>
        <v>-88.425534236562953</v>
      </c>
    </row>
    <row r="19" spans="1:10" ht="24" customHeight="1">
      <c r="A19" s="2227" t="s">
        <v>3801</v>
      </c>
      <c r="B19" s="2827">
        <f>+PL!E25/10000000</f>
        <v>27.031663218999999</v>
      </c>
      <c r="C19" s="636">
        <f>'F-6'!J20+'F-6'!J22</f>
        <v>56.30678705062892</v>
      </c>
      <c r="D19" s="637">
        <f>SUM('WF-12(RevRQEns)'!G20:G36)+'WF-INTEREST'!W45</f>
        <v>89.297062773215515</v>
      </c>
      <c r="E19" s="638">
        <f>SUM('F-23 '!C52:C54)+'WF-INTEREST'!S45</f>
        <v>44.525756482442588</v>
      </c>
      <c r="F19" s="638">
        <f>SUM('F-23 '!D52:D54)+'WF-INTEREST'!W45</f>
        <v>89.297062773215515</v>
      </c>
      <c r="G19" s="638">
        <f>+'F-17'!T87+'WF-INTEREST'!G72/10000000+'WF-INTEREST'!G59/10000000</f>
        <v>20.828710495454999</v>
      </c>
      <c r="H19" s="638">
        <f>+'F-17'!T88+'WF-INTEREST'!H72/10000000+'WF-INTEREST'!H59/10000000</f>
        <v>22.551598600755003</v>
      </c>
    </row>
    <row r="20" spans="1:10" ht="24" customHeight="1">
      <c r="A20" s="2227" t="s">
        <v>4633</v>
      </c>
      <c r="B20" s="2829">
        <v>0</v>
      </c>
      <c r="C20" s="653">
        <v>0</v>
      </c>
      <c r="D20" s="655">
        <f>+'WF-INTEREST'!W45</f>
        <v>7.8810464243845262</v>
      </c>
      <c r="E20" s="638"/>
      <c r="F20" s="638"/>
    </row>
    <row r="21" spans="1:10" ht="24" customHeight="1">
      <c r="A21" s="2227" t="s">
        <v>1359</v>
      </c>
      <c r="B21" s="2827">
        <f>B19-B20</f>
        <v>27.031663218999999</v>
      </c>
      <c r="C21" s="636">
        <f>C19-C20</f>
        <v>56.30678705062892</v>
      </c>
      <c r="D21" s="637">
        <f>D19-D20</f>
        <v>81.416016348830993</v>
      </c>
      <c r="E21" s="638">
        <f>C21-C20</f>
        <v>56.30678705062892</v>
      </c>
      <c r="F21" s="638"/>
      <c r="H21" s="630">
        <f>D20/D19</f>
        <v>8.8256502281600591E-2</v>
      </c>
    </row>
    <row r="22" spans="1:10" ht="24" customHeight="1">
      <c r="A22" s="2264" t="s">
        <v>1572</v>
      </c>
      <c r="B22" s="2854">
        <f>B18-B21</f>
        <v>86.054268802198095</v>
      </c>
      <c r="C22" s="863">
        <f>C18-C21</f>
        <v>-145.99980444721976</v>
      </c>
      <c r="D22" s="864">
        <f>D18-D21</f>
        <v>-169.84155058539386</v>
      </c>
      <c r="E22" s="638"/>
      <c r="F22" s="638">
        <f>14813.61-B13</f>
        <v>14352.447418757558</v>
      </c>
    </row>
    <row r="23" spans="1:10" ht="24" customHeight="1">
      <c r="A23" s="633" t="s">
        <v>960</v>
      </c>
      <c r="B23" s="2857">
        <f>-PL!F30/10000000</f>
        <v>3.3497167430000001</v>
      </c>
      <c r="C23" s="643">
        <v>0</v>
      </c>
      <c r="D23" s="861">
        <v>0</v>
      </c>
      <c r="E23" s="638"/>
      <c r="F23" s="638"/>
    </row>
    <row r="24" spans="1:10" ht="24" customHeight="1">
      <c r="A24" s="2264" t="s">
        <v>4512</v>
      </c>
      <c r="B24" s="2857">
        <f>+B22+B23</f>
        <v>89.403985545198097</v>
      </c>
      <c r="C24" s="1269">
        <f>+C22+C23</f>
        <v>-145.99980444721976</v>
      </c>
      <c r="D24" s="1272">
        <f>+D22+D23</f>
        <v>-169.84155058539386</v>
      </c>
      <c r="E24" s="638"/>
      <c r="F24" s="638"/>
    </row>
    <row r="25" spans="1:10" ht="24" customHeight="1">
      <c r="A25" s="2227" t="s">
        <v>1499</v>
      </c>
      <c r="B25" s="2829">
        <f>+(PL!F32+PL!F33)/10000000</f>
        <v>20.595484159999998</v>
      </c>
      <c r="C25" s="653">
        <f>'F-6'!J29</f>
        <v>20.796263820232149</v>
      </c>
      <c r="D25" s="655">
        <f>-'Additional Working'!D63</f>
        <v>-16.222986153925454</v>
      </c>
      <c r="E25" s="638"/>
      <c r="F25" s="638"/>
      <c r="H25" s="651">
        <f>D24</f>
        <v>-169.84155058539386</v>
      </c>
    </row>
    <row r="26" spans="1:10" ht="24" customHeight="1">
      <c r="A26" s="2264" t="s">
        <v>1573</v>
      </c>
      <c r="B26" s="2854">
        <f>+B24-B25</f>
        <v>68.808501385198099</v>
      </c>
      <c r="C26" s="863">
        <f>C22-C25</f>
        <v>-166.79606826745191</v>
      </c>
      <c r="D26" s="864">
        <f>D22+D25</f>
        <v>-186.06453673931932</v>
      </c>
      <c r="F26" s="630">
        <f>+F2</f>
        <v>0</v>
      </c>
      <c r="H26" s="638">
        <f>-'F-6'!N23</f>
        <v>-54.137172229099377</v>
      </c>
      <c r="I26" s="630">
        <f>'F-6'!N42</f>
        <v>-303.95496520887582</v>
      </c>
    </row>
    <row r="27" spans="1:10" ht="24" customHeight="1">
      <c r="A27" s="2227" t="s">
        <v>759</v>
      </c>
      <c r="B27" s="2855"/>
      <c r="C27" s="643">
        <v>0</v>
      </c>
      <c r="D27" s="861">
        <v>0</v>
      </c>
    </row>
    <row r="28" spans="1:10" ht="33" customHeight="1">
      <c r="A28" s="2265" t="s">
        <v>1209</v>
      </c>
      <c r="B28" s="2855">
        <f>+PL!F37/10000000</f>
        <v>0</v>
      </c>
      <c r="C28" s="643"/>
      <c r="D28" s="861">
        <f>C36</f>
        <v>-166.79606826745191</v>
      </c>
      <c r="H28" s="651">
        <f>SUM(H25:H27)</f>
        <v>-223.97872281449324</v>
      </c>
      <c r="I28" s="2002">
        <f>I26-H28</f>
        <v>-79.976242394382581</v>
      </c>
    </row>
    <row r="29" spans="1:10" ht="24" customHeight="1">
      <c r="A29" s="2227" t="s">
        <v>845</v>
      </c>
      <c r="B29" s="2829">
        <f>+PL!F35/10000000</f>
        <v>0</v>
      </c>
      <c r="C29" s="653">
        <f>-'WF-10(Rev RQ-Cur)'!G77</f>
        <v>0</v>
      </c>
      <c r="D29" s="655">
        <f>-'WF-12(RevRQEns)'!G69</f>
        <v>0</v>
      </c>
    </row>
    <row r="30" spans="1:10" ht="30.75" customHeight="1">
      <c r="A30" s="2227" t="s">
        <v>3802</v>
      </c>
      <c r="B30" s="2829">
        <v>0</v>
      </c>
      <c r="C30" s="653">
        <v>0</v>
      </c>
      <c r="D30" s="655">
        <v>0</v>
      </c>
    </row>
    <row r="31" spans="1:10" ht="24" customHeight="1">
      <c r="A31" s="2227" t="s">
        <v>3803</v>
      </c>
      <c r="B31" s="2829">
        <v>0</v>
      </c>
      <c r="C31" s="653">
        <v>0</v>
      </c>
      <c r="D31" s="655">
        <v>0</v>
      </c>
    </row>
    <row r="32" spans="1:10" ht="24" customHeight="1">
      <c r="A32" s="2227" t="s">
        <v>3804</v>
      </c>
      <c r="B32" s="2829">
        <v>0</v>
      </c>
      <c r="C32" s="653">
        <v>0</v>
      </c>
      <c r="D32" s="655">
        <v>0</v>
      </c>
    </row>
    <row r="33" spans="1:4" ht="24" customHeight="1">
      <c r="A33" s="2227" t="s">
        <v>567</v>
      </c>
      <c r="B33" s="2829">
        <v>0</v>
      </c>
      <c r="C33" s="653">
        <v>0</v>
      </c>
      <c r="D33" s="655">
        <v>0</v>
      </c>
    </row>
    <row r="34" spans="1:4" ht="24" customHeight="1">
      <c r="A34" s="2227" t="s">
        <v>3805</v>
      </c>
      <c r="B34" s="2829">
        <v>0</v>
      </c>
      <c r="C34" s="653">
        <v>0</v>
      </c>
      <c r="D34" s="655">
        <v>0</v>
      </c>
    </row>
    <row r="35" spans="1:4" ht="24" customHeight="1">
      <c r="A35" s="633" t="s">
        <v>960</v>
      </c>
      <c r="B35" s="2830"/>
      <c r="C35" s="1269"/>
      <c r="D35" s="1272"/>
    </row>
    <row r="36" spans="1:4" ht="36.65" customHeight="1" thickBot="1">
      <c r="A36" s="2266" t="s">
        <v>8100</v>
      </c>
      <c r="B36" s="2858">
        <f>B26+B27+B28+B29+B30+B31+B32+B33</f>
        <v>68.808501385198099</v>
      </c>
      <c r="C36" s="873">
        <f>C26+C27+C28+C29+C30+C31+C32+C33+C34</f>
        <v>-166.79606826745191</v>
      </c>
      <c r="D36" s="1273">
        <f>D26+D27+D28+D29+D30+D31+D32+D33+D34</f>
        <v>-352.86060500677127</v>
      </c>
    </row>
    <row r="37" spans="1:4">
      <c r="B37" s="735"/>
      <c r="C37" s="735"/>
      <c r="D37" s="735"/>
    </row>
    <row r="38" spans="1:4">
      <c r="B38" s="638">
        <f>PL!F39/10000000</f>
        <v>69.033961077999777</v>
      </c>
      <c r="C38" s="735">
        <f>'F-6'!J44</f>
        <v>-210.79385134615904</v>
      </c>
      <c r="D38" s="735">
        <f>D36</f>
        <v>-352.86060500677127</v>
      </c>
    </row>
    <row r="39" spans="1:4">
      <c r="B39" s="638">
        <f>B38-B36</f>
        <v>0.2254596928016781</v>
      </c>
      <c r="C39" s="638">
        <f>C38-C36</f>
        <v>-43.99778307870713</v>
      </c>
      <c r="D39" s="638">
        <f>D38-D36</f>
        <v>0</v>
      </c>
    </row>
    <row r="40" spans="1:4">
      <c r="B40" s="735"/>
      <c r="C40" s="644"/>
    </row>
    <row r="42" spans="1:4">
      <c r="B42" s="644">
        <v>69.033961077999777</v>
      </c>
    </row>
    <row r="43" spans="1:4">
      <c r="B43" s="651">
        <f>B42-B36</f>
        <v>0.2254596928016781</v>
      </c>
    </row>
  </sheetData>
  <mergeCells count="6">
    <mergeCell ref="D5:D6"/>
    <mergeCell ref="C5:C6"/>
    <mergeCell ref="A5:A6"/>
    <mergeCell ref="C1:D1"/>
    <mergeCell ref="B5:B6"/>
    <mergeCell ref="A3:D3"/>
  </mergeCells>
  <phoneticPr fontId="0" type="noConversion"/>
  <printOptions horizontalCentered="1"/>
  <pageMargins left="0.74803149606299202" right="0.3" top="0.82677165354330695" bottom="0.98425196850393704" header="0.511811023622047" footer="0.511811023622047"/>
  <pageSetup paperSize="9" scale="86" orientation="portrait" r:id="rId1"/>
  <headerFooter alignWithMargins="0">
    <oddFooter>&amp;ROERC FORM No. F-22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1:J24"/>
  <sheetViews>
    <sheetView zoomScale="84" zoomScaleNormal="84" workbookViewId="0">
      <selection activeCell="D7" sqref="D7"/>
    </sheetView>
  </sheetViews>
  <sheetFormatPr defaultRowHeight="12.5"/>
  <cols>
    <col min="1" max="1" width="3.1796875" bestFit="1" customWidth="1"/>
    <col min="2" max="2" width="19.7265625" customWidth="1"/>
    <col min="3" max="3" width="11.453125" bestFit="1" customWidth="1"/>
    <col min="4" max="4" width="10.7265625" bestFit="1" customWidth="1"/>
    <col min="5" max="5" width="15.453125" customWidth="1"/>
    <col min="6" max="6" width="16.81640625" customWidth="1"/>
    <col min="7" max="7" width="13.7265625" customWidth="1"/>
    <col min="8" max="8" width="13.1796875" customWidth="1"/>
    <col min="9" max="9" width="14.453125" customWidth="1"/>
  </cols>
  <sheetData>
    <row r="1" spans="1:10" ht="15.5">
      <c r="A1" s="1580" t="s">
        <v>5525</v>
      </c>
    </row>
    <row r="2" spans="1:10" ht="14">
      <c r="A2" s="3470" t="s">
        <v>3809</v>
      </c>
      <c r="B2" s="3471"/>
      <c r="C2" s="3471"/>
      <c r="D2" s="3471"/>
      <c r="E2" s="3471"/>
      <c r="F2" s="3471"/>
      <c r="G2" s="3471"/>
      <c r="H2" s="3471"/>
      <c r="I2" s="3471"/>
    </row>
    <row r="3" spans="1:10" ht="15.5">
      <c r="A3" s="3338" t="s">
        <v>4436</v>
      </c>
      <c r="B3" s="3338"/>
      <c r="C3" s="3338"/>
      <c r="D3" s="3338"/>
      <c r="E3" s="3338"/>
      <c r="F3" s="3338"/>
      <c r="G3" s="3338"/>
      <c r="H3" s="3338"/>
      <c r="I3" s="3338"/>
    </row>
    <row r="4" spans="1:10" ht="62">
      <c r="A4" s="634"/>
      <c r="B4" s="634"/>
      <c r="C4" s="877" t="s">
        <v>3810</v>
      </c>
      <c r="D4" s="877" t="s">
        <v>3811</v>
      </c>
      <c r="E4" s="877" t="s">
        <v>3812</v>
      </c>
      <c r="F4" s="877" t="s">
        <v>3813</v>
      </c>
      <c r="G4" s="877" t="s">
        <v>3814</v>
      </c>
      <c r="H4" s="877" t="s">
        <v>3815</v>
      </c>
      <c r="I4" s="877" t="s">
        <v>3816</v>
      </c>
    </row>
    <row r="5" spans="1:10" ht="25" customHeight="1">
      <c r="A5" s="634" t="s">
        <v>126</v>
      </c>
      <c r="B5" s="639" t="s">
        <v>3817</v>
      </c>
      <c r="C5" s="877"/>
      <c r="D5" s="877"/>
      <c r="E5" s="877"/>
      <c r="F5" s="877"/>
      <c r="G5" s="877"/>
      <c r="H5" s="877"/>
      <c r="I5" s="877"/>
    </row>
    <row r="6" spans="1:10" ht="25" customHeight="1">
      <c r="A6" s="1362">
        <v>1</v>
      </c>
      <c r="B6" s="1362" t="s">
        <v>3818</v>
      </c>
      <c r="C6" s="650">
        <f>'F-21'!C14</f>
        <v>307.017933266</v>
      </c>
      <c r="D6" s="650">
        <v>0</v>
      </c>
      <c r="E6" s="650">
        <f>+'F-23 '!C12</f>
        <v>15.6</v>
      </c>
      <c r="F6" s="650">
        <f>+'F-23 '!C55</f>
        <v>0</v>
      </c>
      <c r="G6" s="650">
        <f>C6+D6+E6-F6</f>
        <v>322.61793326600002</v>
      </c>
      <c r="H6" s="3106">
        <f>'F-23 '!D12-'F-23 '!D55</f>
        <v>18.72</v>
      </c>
      <c r="I6" s="650">
        <f>G6+H6</f>
        <v>341.33793326600005</v>
      </c>
    </row>
    <row r="7" spans="1:10" ht="25" customHeight="1">
      <c r="A7" s="1362">
        <v>2</v>
      </c>
      <c r="B7" s="1362" t="s">
        <v>3819</v>
      </c>
      <c r="C7" s="650">
        <f>G12</f>
        <v>42.129877700000002</v>
      </c>
      <c r="D7" s="650">
        <v>1.58</v>
      </c>
      <c r="E7" s="650">
        <v>0</v>
      </c>
      <c r="F7" s="650">
        <f>D7</f>
        <v>1.58</v>
      </c>
      <c r="G7" s="650">
        <f>C7+D7+E7-F7</f>
        <v>42.129877700000002</v>
      </c>
      <c r="H7" s="650">
        <v>0</v>
      </c>
      <c r="I7" s="650">
        <f>G7+H7</f>
        <v>42.129877700000002</v>
      </c>
    </row>
    <row r="8" spans="1:10" ht="25" customHeight="1">
      <c r="A8" s="1362">
        <v>3</v>
      </c>
      <c r="B8" s="1362" t="s">
        <v>3820</v>
      </c>
      <c r="C8" s="650">
        <f>G13</f>
        <v>6.129999999999999</v>
      </c>
      <c r="D8" s="650">
        <v>0.46</v>
      </c>
      <c r="E8" s="650">
        <v>0</v>
      </c>
      <c r="F8" s="650">
        <f>D8</f>
        <v>0.46</v>
      </c>
      <c r="G8" s="650">
        <f>C8+D8+E8-F8</f>
        <v>6.129999999999999</v>
      </c>
      <c r="H8" s="650">
        <v>0</v>
      </c>
      <c r="I8" s="650">
        <f>G8+H8</f>
        <v>6.129999999999999</v>
      </c>
    </row>
    <row r="9" spans="1:10" ht="25" customHeight="1">
      <c r="A9" s="1362"/>
      <c r="B9" s="1362"/>
      <c r="C9" s="650"/>
      <c r="D9" s="650"/>
      <c r="E9" s="650"/>
      <c r="F9" s="650"/>
      <c r="G9" s="650"/>
      <c r="H9" s="650"/>
      <c r="I9" s="650"/>
    </row>
    <row r="10" spans="1:10" ht="30.5">
      <c r="A10" s="1362" t="s">
        <v>1169</v>
      </c>
      <c r="B10" s="1365" t="s">
        <v>8146</v>
      </c>
      <c r="C10" s="1361" t="s">
        <v>3821</v>
      </c>
      <c r="D10" s="1361" t="s">
        <v>3822</v>
      </c>
      <c r="E10" s="1361" t="s">
        <v>3823</v>
      </c>
      <c r="F10" s="1361" t="s">
        <v>3824</v>
      </c>
      <c r="G10" s="1370" t="s">
        <v>1100</v>
      </c>
      <c r="H10" s="1362"/>
      <c r="I10" s="1362"/>
    </row>
    <row r="11" spans="1:10" ht="25" customHeight="1">
      <c r="A11" s="1362">
        <v>1</v>
      </c>
      <c r="B11" s="1362" t="s">
        <v>3818</v>
      </c>
      <c r="C11" s="650">
        <f>67216081.54/10^7</f>
        <v>6.721608154000001</v>
      </c>
      <c r="D11" s="650">
        <f>3024040153.1/10^7</f>
        <v>302.40401530999998</v>
      </c>
      <c r="E11" s="650">
        <v>0</v>
      </c>
      <c r="F11" s="650">
        <v>0</v>
      </c>
      <c r="G11" s="819">
        <f>SUM(C11:F11)</f>
        <v>309.125623464</v>
      </c>
      <c r="H11" s="1362"/>
      <c r="I11" s="1362"/>
    </row>
    <row r="12" spans="1:10" ht="25" customHeight="1">
      <c r="A12" s="1362">
        <v>2</v>
      </c>
      <c r="B12" s="1362" t="s">
        <v>3819</v>
      </c>
      <c r="C12" s="1380">
        <v>8.0598776999999995</v>
      </c>
      <c r="D12" s="621">
        <v>1.45</v>
      </c>
      <c r="E12" s="650">
        <v>27.37</v>
      </c>
      <c r="F12" s="650">
        <v>5.25</v>
      </c>
      <c r="G12" s="819">
        <f>SUM(C12:F12)</f>
        <v>42.129877700000002</v>
      </c>
      <c r="H12" s="1362"/>
      <c r="I12" s="1362"/>
      <c r="J12" s="3"/>
    </row>
    <row r="13" spans="1:10" ht="25" customHeight="1">
      <c r="A13" s="1362">
        <v>3</v>
      </c>
      <c r="B13" s="1362" t="s">
        <v>3820</v>
      </c>
      <c r="C13" s="1380">
        <v>0.73</v>
      </c>
      <c r="D13" s="650">
        <v>0</v>
      </c>
      <c r="E13" s="650">
        <v>4.3</v>
      </c>
      <c r="F13" s="650">
        <v>1.1000000000000001</v>
      </c>
      <c r="G13" s="819">
        <f>SUM(C13:F13)</f>
        <v>6.129999999999999</v>
      </c>
      <c r="H13" s="1362"/>
      <c r="I13" s="1362"/>
    </row>
    <row r="24" spans="5:5">
      <c r="E24" s="234"/>
    </row>
  </sheetData>
  <mergeCells count="2">
    <mergeCell ref="A2:I2"/>
    <mergeCell ref="A3:I3"/>
  </mergeCells>
  <pageMargins left="0.59" right="0.3" top="0.74803149606299202" bottom="0.74803149606299202" header="0.31496062992126" footer="0.31496062992126"/>
  <pageSetup paperSize="9" scale="110" orientation="landscape" r:id="rId1"/>
  <headerFooter>
    <oddFooter>&amp;ROERC FORM No. F-24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1"/>
    <pageSetUpPr fitToPage="1"/>
  </sheetPr>
  <dimension ref="A1:J46"/>
  <sheetViews>
    <sheetView view="pageBreakPreview" zoomScale="60" zoomScaleNormal="100" workbookViewId="0">
      <pane xSplit="2" ySplit="5" topLeftCell="C25" activePane="bottomRight" state="frozen"/>
      <selection activeCell="A3" sqref="A3"/>
      <selection pane="topRight" activeCell="A3" sqref="A3"/>
      <selection pane="bottomLeft" activeCell="A3" sqref="A3"/>
      <selection pane="bottomRight" activeCell="F31" sqref="F31"/>
    </sheetView>
  </sheetViews>
  <sheetFormatPr defaultColWidth="9.1796875" defaultRowHeight="15.5"/>
  <cols>
    <col min="1" max="1" width="9.1796875" style="674"/>
    <col min="2" max="2" width="26.81640625" style="630" customWidth="1"/>
    <col min="3" max="3" width="18.26953125" style="630" customWidth="1"/>
    <col min="4" max="5" width="15.81640625" style="630" customWidth="1"/>
    <col min="6" max="6" width="17" style="630" customWidth="1"/>
    <col min="7" max="7" width="19.7265625" style="630" bestFit="1" customWidth="1"/>
    <col min="8" max="8" width="9.81640625" style="630" bestFit="1" customWidth="1"/>
    <col min="9" max="9" width="40.26953125" style="630" bestFit="1" customWidth="1"/>
    <col min="10" max="10" width="13.7265625" style="630" bestFit="1" customWidth="1"/>
    <col min="11" max="16384" width="9.1796875" style="630"/>
  </cols>
  <sheetData>
    <row r="1" spans="1:9">
      <c r="A1" s="1580" t="s">
        <v>5525</v>
      </c>
    </row>
    <row r="2" spans="1:9" ht="15.75" customHeight="1">
      <c r="A2" s="3472" t="s">
        <v>3825</v>
      </c>
      <c r="B2" s="3472"/>
      <c r="C2" s="3472"/>
      <c r="D2" s="3472"/>
      <c r="E2" s="3472"/>
      <c r="F2" s="3472"/>
      <c r="G2" s="878"/>
      <c r="H2" s="878"/>
      <c r="I2" s="878"/>
    </row>
    <row r="3" spans="1:9">
      <c r="A3" s="3338" t="s">
        <v>4511</v>
      </c>
      <c r="B3" s="3338"/>
      <c r="C3" s="3338"/>
      <c r="D3" s="3338"/>
      <c r="E3" s="3338"/>
      <c r="F3" s="3338"/>
    </row>
    <row r="4" spans="1:9" ht="48" customHeight="1">
      <c r="A4" s="680" t="s">
        <v>551</v>
      </c>
      <c r="B4" s="634"/>
      <c r="C4" s="1391" t="s">
        <v>6936</v>
      </c>
      <c r="D4" s="1391" t="s">
        <v>6937</v>
      </c>
      <c r="E4" s="1391" t="s">
        <v>6938</v>
      </c>
      <c r="F4" s="1391" t="s">
        <v>6939</v>
      </c>
    </row>
    <row r="5" spans="1:9" s="625" customFormat="1" ht="21" customHeight="1">
      <c r="A5" s="747"/>
      <c r="B5" s="639" t="s">
        <v>323</v>
      </c>
      <c r="C5" s="1381">
        <f>-'F-3'!B15</f>
        <v>-23.978283999999977</v>
      </c>
      <c r="D5" s="1567">
        <f>C34</f>
        <v>72.021715999999969</v>
      </c>
      <c r="E5" s="2240">
        <f>+D5</f>
        <v>72.021715999999969</v>
      </c>
      <c r="F5" s="1381">
        <f>E34</f>
        <v>-163.83205843570477</v>
      </c>
    </row>
    <row r="6" spans="1:9" ht="21" customHeight="1">
      <c r="A6" s="680" t="s">
        <v>126</v>
      </c>
      <c r="B6" s="634" t="s">
        <v>3826</v>
      </c>
      <c r="C6" s="1004"/>
      <c r="D6" s="1568">
        <v>0</v>
      </c>
      <c r="E6" s="2241"/>
      <c r="F6" s="1004"/>
    </row>
    <row r="7" spans="1:9" ht="21" customHeight="1">
      <c r="A7" s="680">
        <v>1</v>
      </c>
      <c r="B7" s="634" t="s">
        <v>851</v>
      </c>
      <c r="C7" s="1004">
        <v>1115.18</v>
      </c>
      <c r="D7" s="1568">
        <v>598.52</v>
      </c>
      <c r="E7" s="2241">
        <f>'F-23 '!C10</f>
        <v>1684.1129276423339</v>
      </c>
      <c r="F7" s="1004">
        <f>'F-23 '!D10</f>
        <v>1946.2654539279881</v>
      </c>
    </row>
    <row r="8" spans="1:9" ht="21" customHeight="1">
      <c r="A8" s="680">
        <v>2</v>
      </c>
      <c r="B8" s="634" t="s">
        <v>3898</v>
      </c>
      <c r="C8" s="1004">
        <v>2.87</v>
      </c>
      <c r="D8" s="1568">
        <v>5.17</v>
      </c>
      <c r="E8" s="2241">
        <f>+'F-23 '!C91/10000000</f>
        <v>11.355547172397337</v>
      </c>
      <c r="F8" s="1004">
        <f>+'F-23 '!D91/10000000</f>
        <v>12.19931370769446</v>
      </c>
    </row>
    <row r="9" spans="1:9" ht="21" customHeight="1">
      <c r="A9" s="680">
        <v>3</v>
      </c>
      <c r="B9" s="634" t="s">
        <v>3899</v>
      </c>
      <c r="C9" s="1004">
        <v>33.17</v>
      </c>
      <c r="D9" s="1568">
        <v>11.52</v>
      </c>
      <c r="E9" s="2241">
        <f>+('F-23 '!C92+'F-23 '!C93+'F-23 '!C94+'F-23 '!C95)/10000000</f>
        <v>23.82</v>
      </c>
      <c r="F9" s="1004">
        <f>+('F-23 '!D92+'F-23 '!D93+'F-23 '!D94+'F-23 '!D95)/10000000</f>
        <v>25.352</v>
      </c>
    </row>
    <row r="10" spans="1:9" s="625" customFormat="1" ht="21" customHeight="1">
      <c r="A10" s="747">
        <v>4</v>
      </c>
      <c r="B10" s="639" t="s">
        <v>3827</v>
      </c>
      <c r="C10" s="1381">
        <f>SUM(C7:C9)</f>
        <v>1151.22</v>
      </c>
      <c r="D10" s="1567">
        <f>SUM(D7:D9)</f>
        <v>615.20999999999992</v>
      </c>
      <c r="E10" s="2240">
        <f>SUM(E7:E9)</f>
        <v>1719.2884748147312</v>
      </c>
      <c r="F10" s="1381">
        <f>SUM(F7:F9)</f>
        <v>1983.8167676356827</v>
      </c>
    </row>
    <row r="11" spans="1:9" ht="21" customHeight="1">
      <c r="A11" s="680" t="s">
        <v>1169</v>
      </c>
      <c r="B11" s="634" t="s">
        <v>3828</v>
      </c>
      <c r="C11" s="1004"/>
      <c r="D11" s="1568"/>
      <c r="E11" s="2241"/>
      <c r="F11" s="1004"/>
    </row>
    <row r="12" spans="1:9" ht="21" customHeight="1">
      <c r="A12" s="680">
        <v>1</v>
      </c>
      <c r="B12" s="749" t="s">
        <v>3829</v>
      </c>
      <c r="C12" s="1004">
        <v>556.83000000000004</v>
      </c>
      <c r="D12" s="1568">
        <v>446.6</v>
      </c>
      <c r="E12" s="2241">
        <f>'F-4'!G40+(8.24*3)</f>
        <v>1045.1668685815787</v>
      </c>
      <c r="F12" s="1004">
        <f>'F 26 '!F8+'F-4'!I39</f>
        <v>1219.9313707694459</v>
      </c>
      <c r="H12" s="638">
        <f>'F-4'!E39</f>
        <v>573.71724557999994</v>
      </c>
    </row>
    <row r="13" spans="1:9" ht="21" customHeight="1">
      <c r="A13" s="680">
        <v>2</v>
      </c>
      <c r="B13" s="749" t="s">
        <v>3830</v>
      </c>
      <c r="C13" s="1004">
        <v>88.98</v>
      </c>
      <c r="D13" s="1568">
        <v>45.29</v>
      </c>
      <c r="E13" s="2241">
        <f>'F-4'!G41</f>
        <v>125.8700983272432</v>
      </c>
      <c r="F13" s="1004">
        <f>'F 26 '!F7-F14</f>
        <v>-0.70800000000000007</v>
      </c>
      <c r="H13" s="2002">
        <f>'F-4'!G39</f>
        <v>573.30772132882203</v>
      </c>
    </row>
    <row r="14" spans="1:9" ht="21" customHeight="1">
      <c r="A14" s="680">
        <v>3</v>
      </c>
      <c r="B14" s="634" t="s">
        <v>3831</v>
      </c>
      <c r="C14" s="1004">
        <v>0.62</v>
      </c>
      <c r="D14" s="1568">
        <v>0.35</v>
      </c>
      <c r="E14" s="2241">
        <f>'F-4'!G42</f>
        <v>0.70800000000000007</v>
      </c>
      <c r="F14" s="1004">
        <f>+'F-6'!N10</f>
        <v>0.70800000000000007</v>
      </c>
      <c r="H14" s="630">
        <f>8.24*3</f>
        <v>24.72</v>
      </c>
    </row>
    <row r="15" spans="1:9" s="625" customFormat="1" ht="21" customHeight="1">
      <c r="A15" s="747">
        <v>4</v>
      </c>
      <c r="B15" s="639" t="s">
        <v>1521</v>
      </c>
      <c r="C15" s="1381">
        <f>SUM(C12:C14)</f>
        <v>646.43000000000006</v>
      </c>
      <c r="D15" s="1567">
        <f>SUM(D12:D14)</f>
        <v>492.24000000000007</v>
      </c>
      <c r="E15" s="2240">
        <f>SUM(E12:E14)</f>
        <v>1171.7449669088219</v>
      </c>
      <c r="F15" s="1381">
        <f>SUM(F12:F14)</f>
        <v>1219.9313707694459</v>
      </c>
      <c r="H15" s="1766">
        <f>E15-H14</f>
        <v>1147.0249669088219</v>
      </c>
    </row>
    <row r="16" spans="1:9" ht="21" customHeight="1">
      <c r="A16" s="680"/>
      <c r="B16" s="634" t="s">
        <v>116</v>
      </c>
      <c r="C16" s="1004"/>
      <c r="D16" s="1568"/>
      <c r="E16" s="2241"/>
      <c r="F16" s="1004"/>
      <c r="H16" s="638">
        <f>'F-4'!G43</f>
        <v>1147.0249669088221</v>
      </c>
    </row>
    <row r="17" spans="1:10" ht="21" customHeight="1">
      <c r="A17" s="680">
        <v>1</v>
      </c>
      <c r="B17" s="634" t="s">
        <v>3087</v>
      </c>
      <c r="C17" s="795">
        <v>97.15</v>
      </c>
      <c r="D17" s="1380">
        <v>55.14</v>
      </c>
      <c r="E17" s="653">
        <f>+'F-12-A '!L12-E18</f>
        <v>94.68429215127999</v>
      </c>
      <c r="F17" s="1380">
        <f>+'F-12-A '!Q12</f>
        <v>94.483960923318975</v>
      </c>
      <c r="H17" s="2002">
        <f>H15-H16</f>
        <v>0</v>
      </c>
      <c r="I17" s="634" t="s">
        <v>4054</v>
      </c>
      <c r="J17" s="630">
        <v>46.981923862268658</v>
      </c>
    </row>
    <row r="18" spans="1:10" ht="21" customHeight="1">
      <c r="A18" s="680">
        <v>2</v>
      </c>
      <c r="B18" s="634" t="s">
        <v>3832</v>
      </c>
      <c r="C18" s="795">
        <v>0</v>
      </c>
      <c r="D18" s="1380">
        <v>0</v>
      </c>
      <c r="E18" s="653">
        <f>D18</f>
        <v>0</v>
      </c>
      <c r="F18" s="1380">
        <f>+'F-12-A '!Q13</f>
        <v>0</v>
      </c>
      <c r="I18" s="634" t="s">
        <v>3759</v>
      </c>
      <c r="J18" s="630">
        <v>9.6651321377313444</v>
      </c>
    </row>
    <row r="19" spans="1:10" ht="21" customHeight="1">
      <c r="A19" s="680">
        <v>3</v>
      </c>
      <c r="B19" s="634" t="s">
        <v>3833</v>
      </c>
      <c r="C19" s="795">
        <v>16.510000000000002</v>
      </c>
      <c r="D19" s="1380">
        <v>9.3699999999999992</v>
      </c>
      <c r="E19" s="653">
        <f>+'F-12-A '!L14</f>
        <v>33.476696469717766</v>
      </c>
      <c r="F19" s="1380">
        <f>+'F-12-A '!Q14</f>
        <v>41.572942806260343</v>
      </c>
      <c r="I19" s="634" t="s">
        <v>1446</v>
      </c>
      <c r="J19" s="630">
        <v>60.612349920000007</v>
      </c>
    </row>
    <row r="20" spans="1:10" ht="21" customHeight="1">
      <c r="A20" s="680">
        <v>4</v>
      </c>
      <c r="B20" s="634" t="s">
        <v>3834</v>
      </c>
      <c r="C20" s="795">
        <v>13.83</v>
      </c>
      <c r="D20" s="1380">
        <v>7.83</v>
      </c>
      <c r="E20" s="653">
        <f>+'F-12-A '!L15</f>
        <v>17.5778775958632</v>
      </c>
      <c r="F20" s="1380">
        <f>+'F-12-A '!Q15</f>
        <v>18.896792184663795</v>
      </c>
      <c r="I20" s="634" t="s">
        <v>574</v>
      </c>
      <c r="J20" s="625">
        <v>10.76294064</v>
      </c>
    </row>
    <row r="21" spans="1:10" ht="21" customHeight="1">
      <c r="A21" s="680">
        <v>5</v>
      </c>
      <c r="B21" s="634" t="s">
        <v>3835</v>
      </c>
      <c r="C21" s="795">
        <v>6.31</v>
      </c>
      <c r="D21" s="653">
        <v>3.19</v>
      </c>
      <c r="E21" s="653">
        <f>'F-12-A '!L26</f>
        <v>0</v>
      </c>
      <c r="F21" s="1380">
        <f>(F17+F18)*0.05</f>
        <v>4.7241980461659487</v>
      </c>
      <c r="I21" s="634" t="s">
        <v>1311</v>
      </c>
      <c r="J21" s="630">
        <v>1.1214112895619521</v>
      </c>
    </row>
    <row r="22" spans="1:10" ht="21" customHeight="1">
      <c r="A22" s="680">
        <v>6</v>
      </c>
      <c r="B22" s="634" t="s">
        <v>1311</v>
      </c>
      <c r="C22" s="653">
        <v>2.15</v>
      </c>
      <c r="D22" s="653">
        <v>2.2000000000000002</v>
      </c>
      <c r="E22" s="653">
        <f>'F-12-A '!L16</f>
        <v>12.437439182964001</v>
      </c>
      <c r="F22" s="1380">
        <v>4.72</v>
      </c>
      <c r="I22" s="634" t="s">
        <v>3758</v>
      </c>
    </row>
    <row r="23" spans="1:10" ht="21" customHeight="1">
      <c r="A23" s="680">
        <v>7</v>
      </c>
      <c r="B23" s="634" t="s">
        <v>3836</v>
      </c>
      <c r="C23" s="795">
        <v>9.36</v>
      </c>
      <c r="D23" s="1380">
        <v>1.02</v>
      </c>
      <c r="E23" s="653">
        <f>'F-12-A '!L38</f>
        <v>0</v>
      </c>
      <c r="F23" s="1380">
        <f>'F-12-A '!Q38</f>
        <v>0</v>
      </c>
      <c r="I23" s="634" t="s">
        <v>804</v>
      </c>
      <c r="J23" s="630">
        <v>0</v>
      </c>
    </row>
    <row r="24" spans="1:10" ht="21" customHeight="1">
      <c r="A24" s="680">
        <v>8</v>
      </c>
      <c r="B24" s="634" t="s">
        <v>801</v>
      </c>
      <c r="C24" s="795">
        <v>21.43</v>
      </c>
      <c r="D24" s="1380">
        <v>11.41</v>
      </c>
      <c r="E24" s="653">
        <f>D24+2.5</f>
        <v>13.91</v>
      </c>
      <c r="F24" s="1380">
        <f>Terminal!R15</f>
        <v>6.3053999999999997</v>
      </c>
      <c r="I24" s="639" t="s">
        <v>3760</v>
      </c>
      <c r="J24" s="630">
        <v>129.14375784956198</v>
      </c>
    </row>
    <row r="25" spans="1:10" ht="21" customHeight="1">
      <c r="A25" s="680">
        <v>9</v>
      </c>
      <c r="B25" s="634" t="s">
        <v>1435</v>
      </c>
      <c r="C25" s="795">
        <v>16.7</v>
      </c>
      <c r="D25" s="1380">
        <v>2.61</v>
      </c>
      <c r="E25" s="653">
        <v>7.94</v>
      </c>
      <c r="F25" s="1380">
        <f>Terminal!R16</f>
        <v>7.14</v>
      </c>
      <c r="I25" s="639" t="s">
        <v>3761</v>
      </c>
      <c r="J25" s="625"/>
    </row>
    <row r="26" spans="1:10" ht="21" customHeight="1">
      <c r="A26" s="680">
        <v>10</v>
      </c>
      <c r="B26" s="634" t="s">
        <v>367</v>
      </c>
      <c r="C26" s="795">
        <v>93.01</v>
      </c>
      <c r="D26" s="1380">
        <v>61.29</v>
      </c>
      <c r="E26" s="653">
        <f>'F-12-A '!L37-E25-E24</f>
        <v>108.65712598462895</v>
      </c>
      <c r="F26" s="1380">
        <f>'F-12-A '!Q37-F25-F24</f>
        <v>125.5826671263048</v>
      </c>
      <c r="I26" s="752" t="s">
        <v>4062</v>
      </c>
      <c r="J26" s="630">
        <v>1.34190059562396</v>
      </c>
    </row>
    <row r="27" spans="1:10" ht="30.75" customHeight="1">
      <c r="A27" s="680">
        <v>11</v>
      </c>
      <c r="B27" s="658" t="s">
        <v>6941</v>
      </c>
      <c r="C27" s="795">
        <v>81.83</v>
      </c>
      <c r="D27" s="1380">
        <v>49.21</v>
      </c>
      <c r="E27" s="653">
        <f>'F-12-A '!L24+'F-12-A '!L17+'F-12-A '!L36+SUM('F-12-A '!L27:L33)</f>
        <v>169.60816967885228</v>
      </c>
      <c r="F27" s="1380">
        <f>+'F-12-A '!Q24+'F-12-A '!Q17+'F-12-A '!Q36-0.53</f>
        <v>220.60531941600001</v>
      </c>
      <c r="I27" s="753" t="s">
        <v>3762</v>
      </c>
      <c r="J27" s="630">
        <v>16.600811975999999</v>
      </c>
    </row>
    <row r="28" spans="1:10" s="625" customFormat="1" ht="21" customHeight="1">
      <c r="A28" s="747">
        <v>12</v>
      </c>
      <c r="B28" s="639" t="s">
        <v>3533</v>
      </c>
      <c r="C28" s="838">
        <f>SUM(C17:C27)</f>
        <v>358.28</v>
      </c>
      <c r="D28" s="1382">
        <f>SUM(D17:D27)</f>
        <v>203.27</v>
      </c>
      <c r="E28" s="1576">
        <f>SUM(E17:E27)</f>
        <v>458.29160106330619</v>
      </c>
      <c r="F28" s="1382">
        <f>SUM(F17:F27)</f>
        <v>524.0312805027138</v>
      </c>
      <c r="G28" s="642">
        <f>E28-'F-12-A '!L41</f>
        <v>28.269999999999982</v>
      </c>
      <c r="H28" s="1766">
        <f>F28-'F-12-A '!Q39</f>
        <v>-3.5531663000000435</v>
      </c>
      <c r="I28" s="753" t="s">
        <v>3763</v>
      </c>
      <c r="J28" s="630"/>
    </row>
    <row r="29" spans="1:10" ht="21" customHeight="1">
      <c r="A29" s="680">
        <v>13</v>
      </c>
      <c r="B29" s="634" t="s">
        <v>308</v>
      </c>
      <c r="C29" s="795">
        <v>6.59</v>
      </c>
      <c r="D29" s="1380">
        <v>3.17</v>
      </c>
      <c r="E29" s="653">
        <f>'F-13-B'!E16</f>
        <v>145.39831301164173</v>
      </c>
      <c r="F29" s="1380">
        <f>+'F-22'!D14-F32</f>
        <v>155.40434263023732</v>
      </c>
      <c r="I29" s="755" t="s">
        <v>3764</v>
      </c>
      <c r="J29" s="630">
        <v>17.942712571623961</v>
      </c>
    </row>
    <row r="30" spans="1:10" ht="21" customHeight="1">
      <c r="A30" s="680">
        <v>14</v>
      </c>
      <c r="B30" s="634" t="s">
        <v>1355</v>
      </c>
      <c r="C30" s="795">
        <v>32.659999999999997</v>
      </c>
      <c r="D30" s="1380">
        <v>15.77</v>
      </c>
      <c r="E30" s="653">
        <f>'F-14  '!E77</f>
        <v>123.40058121603747</v>
      </c>
      <c r="F30" s="1380">
        <f>+'F-22'!D15</f>
        <v>137.46862190116008</v>
      </c>
      <c r="I30" s="639" t="s">
        <v>1312</v>
      </c>
    </row>
    <row r="31" spans="1:10" ht="21" customHeight="1">
      <c r="A31" s="680">
        <v>15</v>
      </c>
      <c r="B31" s="634" t="s">
        <v>3837</v>
      </c>
      <c r="C31" s="795">
        <v>11.26</v>
      </c>
      <c r="D31" s="1380">
        <v>6.77</v>
      </c>
      <c r="E31" s="653">
        <f>+'F-22'!C21</f>
        <v>56.30678705062892</v>
      </c>
      <c r="F31" s="1380">
        <f>+'F-22'!D21</f>
        <v>81.416016348830993</v>
      </c>
      <c r="I31" s="634" t="s">
        <v>572</v>
      </c>
      <c r="J31" s="630">
        <v>2.8323528000000007</v>
      </c>
    </row>
    <row r="32" spans="1:10" ht="21" customHeight="1">
      <c r="A32" s="680">
        <v>16</v>
      </c>
      <c r="B32" s="634" t="s">
        <v>3737</v>
      </c>
      <c r="C32" s="795">
        <v>0</v>
      </c>
      <c r="D32" s="1380">
        <v>0</v>
      </c>
      <c r="E32" s="653">
        <v>0</v>
      </c>
      <c r="F32" s="1380">
        <v>0</v>
      </c>
      <c r="I32" s="634" t="s">
        <v>573</v>
      </c>
      <c r="J32" s="630">
        <v>5.2999999999999999E-2</v>
      </c>
    </row>
    <row r="33" spans="1:10" s="625" customFormat="1" ht="21" customHeight="1">
      <c r="A33" s="747">
        <v>17</v>
      </c>
      <c r="B33" s="639" t="s">
        <v>1100</v>
      </c>
      <c r="C33" s="838">
        <f>+C15+C28+C29+C30+C31+C32</f>
        <v>1055.22</v>
      </c>
      <c r="D33" s="1382">
        <f>+D15+D28+D29+D30+D31+D32</f>
        <v>721.22</v>
      </c>
      <c r="E33" s="1576">
        <f>+E15+E28+E29+E30+E31+E32</f>
        <v>1955.142249250436</v>
      </c>
      <c r="F33" s="1382">
        <f>+F15+F28+F29+F30+F31+F32</f>
        <v>2118.2516321523881</v>
      </c>
      <c r="I33" s="634" t="s">
        <v>579</v>
      </c>
      <c r="J33" s="630"/>
    </row>
    <row r="34" spans="1:10" s="625" customFormat="1" ht="21" customHeight="1">
      <c r="A34" s="747">
        <v>18</v>
      </c>
      <c r="B34" s="639" t="s">
        <v>87</v>
      </c>
      <c r="C34" s="838">
        <f>C5+C10-C33</f>
        <v>72.021715999999969</v>
      </c>
      <c r="D34" s="1382">
        <f>D5+D10-D33</f>
        <v>-33.988284000000135</v>
      </c>
      <c r="E34" s="1576">
        <f>E5+E10-E33</f>
        <v>-163.83205843570477</v>
      </c>
      <c r="F34" s="1382">
        <f>F5+F10-F33</f>
        <v>-298.26692295241014</v>
      </c>
      <c r="I34" s="634" t="s">
        <v>3765</v>
      </c>
      <c r="J34" s="630">
        <v>0.20960249687474233</v>
      </c>
    </row>
    <row r="35" spans="1:10">
      <c r="I35" s="634" t="s">
        <v>580</v>
      </c>
      <c r="J35" s="630">
        <v>1.1000000000000001E-2</v>
      </c>
    </row>
    <row r="36" spans="1:10">
      <c r="C36" s="2002">
        <f>0.16+C34</f>
        <v>72.181715999999966</v>
      </c>
      <c r="E36" s="638">
        <f>'F-17'!R61+'F-17'!R67-C34</f>
        <v>140.38113950000013</v>
      </c>
      <c r="F36" s="651"/>
      <c r="I36" s="634" t="s">
        <v>581</v>
      </c>
      <c r="J36" s="630">
        <v>0.13500000000000001</v>
      </c>
    </row>
    <row r="37" spans="1:10">
      <c r="E37" s="2002">
        <f>E34+E36</f>
        <v>-23.450918935704635</v>
      </c>
      <c r="I37" s="634" t="s">
        <v>1468</v>
      </c>
      <c r="J37" s="630">
        <v>0</v>
      </c>
    </row>
    <row r="38" spans="1:10">
      <c r="I38" s="634" t="s">
        <v>1170</v>
      </c>
      <c r="J38" s="625">
        <v>0.28299713500000007</v>
      </c>
    </row>
    <row r="39" spans="1:10">
      <c r="I39" s="634"/>
    </row>
    <row r="40" spans="1:10">
      <c r="C40" s="651"/>
      <c r="I40" s="639" t="s">
        <v>3766</v>
      </c>
      <c r="J40" s="630">
        <v>3.5239524318747431</v>
      </c>
    </row>
    <row r="41" spans="1:10">
      <c r="I41" s="634" t="s">
        <v>546</v>
      </c>
      <c r="J41" s="630">
        <v>1.9579354970897886</v>
      </c>
    </row>
    <row r="42" spans="1:10">
      <c r="I42" s="634" t="s">
        <v>4049</v>
      </c>
      <c r="J42" s="630">
        <v>98.829499999999939</v>
      </c>
    </row>
    <row r="43" spans="1:10">
      <c r="I43" s="634"/>
      <c r="J43" s="625"/>
    </row>
    <row r="44" spans="1:10">
      <c r="I44" s="639" t="s">
        <v>3767</v>
      </c>
      <c r="J44" s="625">
        <v>251.39785835015039</v>
      </c>
    </row>
    <row r="45" spans="1:10">
      <c r="I45" s="634" t="s">
        <v>3768</v>
      </c>
      <c r="J45" s="630">
        <v>0.75419357505045115</v>
      </c>
    </row>
    <row r="46" spans="1:10">
      <c r="I46" s="639" t="s">
        <v>3772</v>
      </c>
      <c r="J46" s="630">
        <v>250.64366477509992</v>
      </c>
    </row>
  </sheetData>
  <mergeCells count="2">
    <mergeCell ref="A2:F2"/>
    <mergeCell ref="A3:F3"/>
  </mergeCells>
  <pageMargins left="0.70866141732283505" right="0.15" top="0.74803149606299202" bottom="0.74803149606299202" header="0.31496062992126" footer="0.31496062992126"/>
  <pageSetup paperSize="9" scale="93" orientation="portrait" r:id="rId1"/>
  <headerFooter>
    <oddFooter>&amp;ROERC  Form    No. F-25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1"/>
    <pageSetUpPr fitToPage="1"/>
  </sheetPr>
  <dimension ref="A1:I19"/>
  <sheetViews>
    <sheetView view="pageBreakPreview" topLeftCell="A9" zoomScale="60" zoomScaleNormal="100" workbookViewId="0">
      <selection activeCell="E22" sqref="E22"/>
    </sheetView>
  </sheetViews>
  <sheetFormatPr defaultColWidth="9.1796875" defaultRowHeight="18"/>
  <cols>
    <col min="1" max="1" width="7.7265625" style="1311" customWidth="1"/>
    <col min="2" max="2" width="46.1796875" style="1311" customWidth="1"/>
    <col min="3" max="3" width="18.453125" style="1311" customWidth="1"/>
    <col min="4" max="4" width="20.81640625" style="1311" customWidth="1"/>
    <col min="5" max="5" width="22.26953125" style="1311" customWidth="1"/>
    <col min="6" max="6" width="19.81640625" style="1311" customWidth="1"/>
    <col min="7" max="16384" width="9.1796875" style="1311"/>
  </cols>
  <sheetData>
    <row r="1" spans="1:9">
      <c r="A1" s="1580" t="s">
        <v>5525</v>
      </c>
    </row>
    <row r="2" spans="1:9" ht="19.5" customHeight="1">
      <c r="A2" s="3473" t="s">
        <v>3838</v>
      </c>
      <c r="B2" s="3474"/>
      <c r="C2" s="3474"/>
      <c r="D2" s="3474"/>
      <c r="E2" s="3474"/>
      <c r="F2" s="3475"/>
      <c r="G2" s="432"/>
      <c r="H2" s="432"/>
      <c r="I2" s="432"/>
    </row>
    <row r="3" spans="1:9" ht="27.75" customHeight="1">
      <c r="A3" s="1383" t="s">
        <v>6944</v>
      </c>
      <c r="B3" s="1384"/>
      <c r="C3" s="1384"/>
      <c r="D3" s="1384"/>
      <c r="E3" s="1384"/>
      <c r="F3" s="1385"/>
    </row>
    <row r="4" spans="1:9" ht="46.5">
      <c r="A4" s="1327" t="s">
        <v>3839</v>
      </c>
      <c r="B4" s="1327"/>
      <c r="C4" s="1391" t="s">
        <v>6932</v>
      </c>
      <c r="D4" s="1391" t="s">
        <v>6933</v>
      </c>
      <c r="E4" s="1391" t="s">
        <v>6934</v>
      </c>
      <c r="F4" s="1391" t="s">
        <v>6935</v>
      </c>
    </row>
    <row r="5" spans="1:9" ht="36">
      <c r="A5" s="1386" t="s">
        <v>3840</v>
      </c>
      <c r="B5" s="1387" t="s">
        <v>3841</v>
      </c>
      <c r="C5" s="1333">
        <f>+'F 25'!C7</f>
        <v>1115.18</v>
      </c>
      <c r="D5" s="1333">
        <f>+'F 25'!D7</f>
        <v>598.52</v>
      </c>
      <c r="E5" s="1327">
        <f>(+'F-23 '!C10)*0</f>
        <v>0</v>
      </c>
      <c r="F5" s="1327">
        <f>(+'F-23 '!D10)*0</f>
        <v>0</v>
      </c>
    </row>
    <row r="6" spans="1:9" ht="36">
      <c r="A6" s="1386" t="s">
        <v>1169</v>
      </c>
      <c r="B6" s="1387" t="s">
        <v>3842</v>
      </c>
      <c r="C6" s="1333"/>
      <c r="D6" s="1333">
        <v>0</v>
      </c>
      <c r="E6" s="1327">
        <v>0</v>
      </c>
      <c r="F6" s="1327">
        <v>0</v>
      </c>
    </row>
    <row r="7" spans="1:9" ht="27.75" customHeight="1">
      <c r="A7" s="1327"/>
      <c r="B7" s="1387" t="s">
        <v>3843</v>
      </c>
      <c r="C7" s="1333">
        <f>'F 25'!C13+'F 25'!C14</f>
        <v>89.600000000000009</v>
      </c>
      <c r="D7" s="1333">
        <f>+'F 25'!D13+'F 25'!D14</f>
        <v>45.64</v>
      </c>
      <c r="E7" s="1327">
        <f>(+'F-6'!J9+'F-6'!J10)*0</f>
        <v>0</v>
      </c>
      <c r="F7" s="1327">
        <f>(+'F-6'!N9+'F-6'!N10)*0</f>
        <v>0</v>
      </c>
    </row>
    <row r="8" spans="1:9" ht="27" customHeight="1">
      <c r="A8" s="1327"/>
      <c r="B8" s="1387" t="s">
        <v>3844</v>
      </c>
      <c r="C8" s="1333">
        <f>+'F 25'!C12</f>
        <v>556.83000000000004</v>
      </c>
      <c r="D8" s="1333">
        <f>+'F 25'!D12</f>
        <v>446.6</v>
      </c>
      <c r="E8" s="1327">
        <f>(+'F-6'!J8)*0</f>
        <v>0</v>
      </c>
      <c r="F8" s="1327">
        <f>(+'F-6'!N8)*0</f>
        <v>0</v>
      </c>
    </row>
    <row r="9" spans="1:9" ht="25.5" customHeight="1">
      <c r="A9" s="1327"/>
      <c r="B9" s="1387" t="s">
        <v>3845</v>
      </c>
      <c r="C9" s="1333">
        <f>'F-14  '!C7</f>
        <v>1.9225363989999997</v>
      </c>
      <c r="D9" s="1333">
        <v>1.9</v>
      </c>
      <c r="E9" s="1327">
        <f>(+'F-14  '!E7)*0</f>
        <v>0</v>
      </c>
      <c r="F9" s="1327">
        <f>(+'F-14  '!F7)*0</f>
        <v>0</v>
      </c>
    </row>
    <row r="10" spans="1:9" ht="36">
      <c r="A10" s="1327"/>
      <c r="B10" s="1387" t="s">
        <v>3846</v>
      </c>
      <c r="C10" s="1333">
        <v>0</v>
      </c>
      <c r="D10" s="1333">
        <v>0</v>
      </c>
      <c r="E10" s="1327">
        <v>0</v>
      </c>
      <c r="F10" s="1327">
        <v>0</v>
      </c>
    </row>
    <row r="11" spans="1:9" ht="36">
      <c r="A11" s="1327"/>
      <c r="B11" s="1387" t="s">
        <v>3847</v>
      </c>
      <c r="C11" s="1333">
        <v>0</v>
      </c>
      <c r="D11" s="1333">
        <v>0</v>
      </c>
      <c r="E11" s="1327">
        <v>0</v>
      </c>
      <c r="F11" s="1327">
        <f>(+'F-22'!D14)*0</f>
        <v>0</v>
      </c>
    </row>
    <row r="12" spans="1:9" ht="36">
      <c r="A12" s="1327"/>
      <c r="B12" s="1387" t="s">
        <v>3848</v>
      </c>
      <c r="C12" s="1333">
        <v>393.43</v>
      </c>
      <c r="D12" s="1333">
        <v>143.22</v>
      </c>
      <c r="E12" s="1327">
        <v>0</v>
      </c>
      <c r="F12" s="1327">
        <f>(+'F-12-A '!Q41)*0</f>
        <v>0</v>
      </c>
      <c r="H12" s="1335"/>
    </row>
    <row r="13" spans="1:9" ht="54">
      <c r="A13" s="1327"/>
      <c r="B13" s="1387" t="s">
        <v>3849</v>
      </c>
      <c r="C13" s="1388">
        <v>0</v>
      </c>
      <c r="D13" s="1388">
        <v>0</v>
      </c>
      <c r="E13" s="1327">
        <v>0</v>
      </c>
      <c r="F13" s="1327">
        <v>0</v>
      </c>
    </row>
    <row r="14" spans="1:9" ht="30.75" customHeight="1">
      <c r="A14" s="1327"/>
      <c r="B14" s="1387" t="s">
        <v>3850</v>
      </c>
      <c r="C14" s="1333">
        <v>0</v>
      </c>
      <c r="D14" s="1333">
        <v>0</v>
      </c>
      <c r="E14" s="1327">
        <v>0</v>
      </c>
      <c r="F14" s="1327">
        <v>0</v>
      </c>
    </row>
    <row r="15" spans="1:9" ht="54">
      <c r="A15" s="1327"/>
      <c r="B15" s="1387" t="s">
        <v>3851</v>
      </c>
      <c r="C15" s="1333">
        <f>+('F-22'!B12-'F 25'!C12-'F 25'!C13-'F 25'!C14)/12</f>
        <v>23.324735114916667</v>
      </c>
      <c r="D15" s="1333">
        <f>+(468.3-D8-D7)/6</f>
        <v>-3.990000000000002</v>
      </c>
      <c r="E15" s="1327">
        <f>(+('F-22'!C12-'F 26 '!E7-'F 26 '!E8)/12)*0</f>
        <v>0</v>
      </c>
      <c r="F15" s="1327">
        <f>(+('F-22'!D12-'F 26 '!F7-'F 26 '!F8)/12)*0</f>
        <v>0</v>
      </c>
    </row>
    <row r="18" spans="1:6">
      <c r="C18" s="1525">
        <f>+C5-SUM(C7:C14)</f>
        <v>73.397463601000027</v>
      </c>
      <c r="D18" s="1525">
        <f>+D5-SUM(D7:D14)</f>
        <v>-38.840000000000032</v>
      </c>
      <c r="E18" s="1525">
        <f>+E5-SUM(E7:E14)</f>
        <v>0</v>
      </c>
      <c r="F18" s="1525">
        <f>+F5-SUM(F7:F14)</f>
        <v>0</v>
      </c>
    </row>
    <row r="19" spans="1:6">
      <c r="A19" s="1311" t="s">
        <v>6943</v>
      </c>
      <c r="B19" s="1311" t="s">
        <v>6942</v>
      </c>
    </row>
  </sheetData>
  <mergeCells count="1">
    <mergeCell ref="A2:F2"/>
  </mergeCells>
  <pageMargins left="0.70866141732283505" right="0.24" top="0.74803149606299202" bottom="0.56999999999999995" header="0.31496062992126" footer="0.31496062992126"/>
  <pageSetup paperSize="9" scale="86" orientation="landscape" r:id="rId1"/>
  <headerFooter>
    <oddFooter>&amp;ROERC Form  No. F-26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P26"/>
  <sheetViews>
    <sheetView view="pageBreakPreview" zoomScaleNormal="100" zoomScaleSheetLayoutView="100" workbookViewId="0">
      <selection activeCell="D13" sqref="D13"/>
    </sheetView>
  </sheetViews>
  <sheetFormatPr defaultColWidth="9.1796875" defaultRowHeight="12.5"/>
  <cols>
    <col min="1" max="1" width="5.54296875" customWidth="1"/>
    <col min="2" max="2" width="32.81640625" customWidth="1"/>
    <col min="3" max="3" width="5.1796875" customWidth="1"/>
    <col min="4" max="4" width="16.7265625" bestFit="1" customWidth="1"/>
    <col min="5" max="5" width="8.26953125" customWidth="1"/>
    <col min="6" max="6" width="7.7265625" customWidth="1"/>
    <col min="7" max="7" width="8.7265625" customWidth="1"/>
    <col min="8" max="8" width="7.81640625" customWidth="1"/>
    <col min="9" max="9" width="9.453125" customWidth="1"/>
    <col min="15" max="15" width="8.54296875" customWidth="1"/>
    <col min="16" max="16" width="8" customWidth="1"/>
  </cols>
  <sheetData>
    <row r="1" spans="1:16" ht="15.5">
      <c r="A1" s="1580" t="s">
        <v>5525</v>
      </c>
    </row>
    <row r="2" spans="1:16" ht="15.75" customHeight="1">
      <c r="A2" s="3476" t="s">
        <v>3852</v>
      </c>
      <c r="B2" s="3477"/>
      <c r="C2" s="3388"/>
      <c r="D2" s="3388"/>
      <c r="E2" s="3388"/>
      <c r="F2" s="3388"/>
      <c r="G2" s="3388"/>
      <c r="H2" s="3388"/>
      <c r="I2" s="3388"/>
      <c r="J2" s="3388"/>
      <c r="K2" s="3388"/>
      <c r="L2" s="3388"/>
      <c r="M2" s="3388"/>
      <c r="N2" s="3388"/>
      <c r="O2" s="3388"/>
      <c r="P2" s="3389"/>
    </row>
    <row r="3" spans="1:16" ht="21" customHeight="1">
      <c r="A3" s="3478" t="s">
        <v>3853</v>
      </c>
      <c r="B3" s="3478"/>
      <c r="C3" s="3478"/>
      <c r="D3" s="3478"/>
      <c r="E3" s="3478"/>
      <c r="F3" s="3478"/>
      <c r="G3" s="3478"/>
      <c r="H3" s="3478"/>
      <c r="I3" s="3478"/>
      <c r="J3" s="3478"/>
      <c r="K3" s="3478"/>
      <c r="L3" s="3478"/>
      <c r="M3" s="3478"/>
      <c r="N3" s="3478"/>
      <c r="O3" s="3478"/>
      <c r="P3" s="3478"/>
    </row>
    <row r="4" spans="1:16" ht="25" customHeight="1">
      <c r="A4" s="624" t="s">
        <v>551</v>
      </c>
      <c r="B4" s="14" t="s">
        <v>3854</v>
      </c>
      <c r="C4" s="624" t="s">
        <v>3855</v>
      </c>
      <c r="D4" s="624" t="s">
        <v>3856</v>
      </c>
      <c r="E4" s="624" t="s">
        <v>3857</v>
      </c>
      <c r="F4" s="876" t="s">
        <v>3858</v>
      </c>
      <c r="G4" s="876" t="s">
        <v>3859</v>
      </c>
      <c r="H4" s="876" t="s">
        <v>3860</v>
      </c>
      <c r="I4" s="876" t="s">
        <v>3861</v>
      </c>
      <c r="J4" s="876" t="s">
        <v>3862</v>
      </c>
      <c r="K4" s="876" t="s">
        <v>3863</v>
      </c>
      <c r="L4" s="876" t="s">
        <v>3864</v>
      </c>
      <c r="M4" s="876" t="s">
        <v>3865</v>
      </c>
      <c r="N4" s="876" t="s">
        <v>3866</v>
      </c>
      <c r="O4" s="876" t="s">
        <v>3867</v>
      </c>
      <c r="P4" s="876" t="s">
        <v>3868</v>
      </c>
    </row>
    <row r="5" spans="1:16" ht="25" customHeight="1">
      <c r="A5" s="423">
        <v>1</v>
      </c>
      <c r="B5" s="879" t="s">
        <v>3869</v>
      </c>
      <c r="C5" s="624" t="s">
        <v>461</v>
      </c>
      <c r="D5" s="12"/>
      <c r="E5" s="313">
        <f>'T-1'!O62/12-'T-1'!O59/12</f>
        <v>344.89967672204114</v>
      </c>
      <c r="F5" s="313">
        <f>E5</f>
        <v>344.89967672204114</v>
      </c>
      <c r="G5" s="313">
        <f t="shared" ref="G5:P5" si="0">F5</f>
        <v>344.89967672204114</v>
      </c>
      <c r="H5" s="313">
        <f t="shared" si="0"/>
        <v>344.89967672204114</v>
      </c>
      <c r="I5" s="313">
        <f t="shared" si="0"/>
        <v>344.89967672204114</v>
      </c>
      <c r="J5" s="313">
        <f t="shared" si="0"/>
        <v>344.89967672204114</v>
      </c>
      <c r="K5" s="313">
        <f t="shared" si="0"/>
        <v>344.89967672204114</v>
      </c>
      <c r="L5" s="313">
        <f t="shared" si="0"/>
        <v>344.89967672204114</v>
      </c>
      <c r="M5" s="313">
        <f t="shared" si="0"/>
        <v>344.89967672204114</v>
      </c>
      <c r="N5" s="313">
        <f t="shared" si="0"/>
        <v>344.89967672204114</v>
      </c>
      <c r="O5" s="313">
        <f t="shared" si="0"/>
        <v>344.89967672204114</v>
      </c>
      <c r="P5" s="313">
        <f t="shared" si="0"/>
        <v>344.89967672204114</v>
      </c>
    </row>
    <row r="6" spans="1:16" ht="25" customHeight="1">
      <c r="A6" s="423">
        <v>2</v>
      </c>
      <c r="B6" s="879" t="s">
        <v>3870</v>
      </c>
      <c r="C6" s="624" t="s">
        <v>461</v>
      </c>
      <c r="D6" s="12">
        <v>0</v>
      </c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</row>
    <row r="7" spans="1:16" ht="25" customHeight="1">
      <c r="A7" s="423">
        <v>3</v>
      </c>
      <c r="B7" s="879" t="s">
        <v>3871</v>
      </c>
      <c r="C7" s="624" t="s">
        <v>461</v>
      </c>
      <c r="D7" s="12"/>
      <c r="E7" s="313">
        <f>'T-1'!O49*0.4/12</f>
        <v>13.043140766799999</v>
      </c>
      <c r="F7" s="313">
        <f>E7</f>
        <v>13.043140766799999</v>
      </c>
      <c r="G7" s="313">
        <f t="shared" ref="G7:P7" si="1">F7</f>
        <v>13.043140766799999</v>
      </c>
      <c r="H7" s="313">
        <f t="shared" si="1"/>
        <v>13.043140766799999</v>
      </c>
      <c r="I7" s="313">
        <f t="shared" si="1"/>
        <v>13.043140766799999</v>
      </c>
      <c r="J7" s="313">
        <f t="shared" si="1"/>
        <v>13.043140766799999</v>
      </c>
      <c r="K7" s="313">
        <f t="shared" si="1"/>
        <v>13.043140766799999</v>
      </c>
      <c r="L7" s="313">
        <f t="shared" si="1"/>
        <v>13.043140766799999</v>
      </c>
      <c r="M7" s="313">
        <f t="shared" si="1"/>
        <v>13.043140766799999</v>
      </c>
      <c r="N7" s="313">
        <f t="shared" si="1"/>
        <v>13.043140766799999</v>
      </c>
      <c r="O7" s="313">
        <f t="shared" si="1"/>
        <v>13.043140766799999</v>
      </c>
      <c r="P7" s="313">
        <f t="shared" si="1"/>
        <v>13.043140766799999</v>
      </c>
    </row>
    <row r="8" spans="1:16" ht="25" customHeight="1">
      <c r="A8" s="423">
        <v>4</v>
      </c>
      <c r="B8" s="879" t="s">
        <v>3872</v>
      </c>
      <c r="C8" s="624" t="s">
        <v>461</v>
      </c>
      <c r="D8" s="12"/>
      <c r="E8" s="313">
        <f>E5-(E5*0.08+E7)</f>
        <v>304.26456181747784</v>
      </c>
      <c r="F8" s="313">
        <f t="shared" ref="F8:P8" si="2">F5-(F5*0.08+F7)</f>
        <v>304.26456181747784</v>
      </c>
      <c r="G8" s="313">
        <f t="shared" si="2"/>
        <v>304.26456181747784</v>
      </c>
      <c r="H8" s="313">
        <f t="shared" si="2"/>
        <v>304.26456181747784</v>
      </c>
      <c r="I8" s="313">
        <f t="shared" si="2"/>
        <v>304.26456181747784</v>
      </c>
      <c r="J8" s="313">
        <f t="shared" si="2"/>
        <v>304.26456181747784</v>
      </c>
      <c r="K8" s="313">
        <f t="shared" si="2"/>
        <v>304.26456181747784</v>
      </c>
      <c r="L8" s="313">
        <f t="shared" si="2"/>
        <v>304.26456181747784</v>
      </c>
      <c r="M8" s="313">
        <f t="shared" si="2"/>
        <v>304.26456181747784</v>
      </c>
      <c r="N8" s="313">
        <f t="shared" si="2"/>
        <v>304.26456181747784</v>
      </c>
      <c r="O8" s="313">
        <f t="shared" si="2"/>
        <v>304.26456181747784</v>
      </c>
      <c r="P8" s="313">
        <f t="shared" si="2"/>
        <v>304.26456181747784</v>
      </c>
    </row>
    <row r="9" spans="1:16" ht="25" customHeight="1">
      <c r="A9" s="423">
        <v>5</v>
      </c>
      <c r="B9" s="879" t="s">
        <v>3873</v>
      </c>
      <c r="C9" s="624" t="s">
        <v>461</v>
      </c>
      <c r="D9" s="16" t="s">
        <v>3874</v>
      </c>
      <c r="E9" s="313">
        <f>E5-E7-E8</f>
        <v>27.591974137763316</v>
      </c>
      <c r="F9" s="313">
        <f t="shared" ref="F9:P9" si="3">F5-F7-F8</f>
        <v>27.591974137763316</v>
      </c>
      <c r="G9" s="313">
        <f t="shared" si="3"/>
        <v>27.591974137763316</v>
      </c>
      <c r="H9" s="313">
        <f t="shared" si="3"/>
        <v>27.591974137763316</v>
      </c>
      <c r="I9" s="313">
        <f t="shared" si="3"/>
        <v>27.591974137763316</v>
      </c>
      <c r="J9" s="313">
        <f t="shared" si="3"/>
        <v>27.591974137763316</v>
      </c>
      <c r="K9" s="313">
        <f t="shared" si="3"/>
        <v>27.591974137763316</v>
      </c>
      <c r="L9" s="313">
        <f t="shared" si="3"/>
        <v>27.591974137763316</v>
      </c>
      <c r="M9" s="313">
        <f t="shared" si="3"/>
        <v>27.591974137763316</v>
      </c>
      <c r="N9" s="313">
        <f t="shared" si="3"/>
        <v>27.591974137763316</v>
      </c>
      <c r="O9" s="313">
        <f t="shared" si="3"/>
        <v>27.591974137763316</v>
      </c>
      <c r="P9" s="313">
        <f t="shared" si="3"/>
        <v>27.591974137763316</v>
      </c>
    </row>
    <row r="10" spans="1:16" ht="25" customHeight="1">
      <c r="A10" s="423">
        <v>6</v>
      </c>
      <c r="B10" s="879" t="s">
        <v>3875</v>
      </c>
      <c r="C10" s="624" t="s">
        <v>460</v>
      </c>
      <c r="D10" s="880" t="s">
        <v>3876</v>
      </c>
      <c r="E10" s="1390">
        <f>(E9/(E5+E6))</f>
        <v>8.0000000000000071E-2</v>
      </c>
      <c r="F10" s="1390">
        <f t="shared" ref="F10:P10" si="4">(F9/(F5+F6))</f>
        <v>8.0000000000000071E-2</v>
      </c>
      <c r="G10" s="1390">
        <f t="shared" si="4"/>
        <v>8.0000000000000071E-2</v>
      </c>
      <c r="H10" s="1390">
        <f t="shared" si="4"/>
        <v>8.0000000000000071E-2</v>
      </c>
      <c r="I10" s="1390">
        <f t="shared" si="4"/>
        <v>8.0000000000000071E-2</v>
      </c>
      <c r="J10" s="1390">
        <f t="shared" si="4"/>
        <v>8.0000000000000071E-2</v>
      </c>
      <c r="K10" s="1390">
        <f t="shared" si="4"/>
        <v>8.0000000000000071E-2</v>
      </c>
      <c r="L10" s="1390">
        <f t="shared" si="4"/>
        <v>8.0000000000000071E-2</v>
      </c>
      <c r="M10" s="1390">
        <f t="shared" si="4"/>
        <v>8.0000000000000071E-2</v>
      </c>
      <c r="N10" s="1390">
        <f t="shared" si="4"/>
        <v>8.0000000000000071E-2</v>
      </c>
      <c r="O10" s="1390">
        <f t="shared" si="4"/>
        <v>8.0000000000000071E-2</v>
      </c>
      <c r="P10" s="1390">
        <f t="shared" si="4"/>
        <v>8.0000000000000071E-2</v>
      </c>
    </row>
    <row r="11" spans="1:16" ht="25" customHeight="1">
      <c r="A11" s="423">
        <v>7</v>
      </c>
      <c r="B11" s="879" t="s">
        <v>3877</v>
      </c>
      <c r="C11" s="624" t="s">
        <v>461</v>
      </c>
      <c r="D11" s="624"/>
      <c r="E11" s="12"/>
      <c r="F11" s="313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1:16" ht="25" customHeight="1">
      <c r="A12" s="423">
        <v>8</v>
      </c>
      <c r="B12" s="879" t="s">
        <v>3878</v>
      </c>
      <c r="C12" s="624" t="s">
        <v>461</v>
      </c>
      <c r="D12" s="16" t="s">
        <v>3879</v>
      </c>
      <c r="E12" s="313">
        <f>E13+E14</f>
        <v>19.564711150199997</v>
      </c>
      <c r="F12" s="313">
        <f t="shared" ref="F12:P12" si="5">F13+F14</f>
        <v>19.564711150199997</v>
      </c>
      <c r="G12" s="313">
        <f t="shared" si="5"/>
        <v>19.564711150199997</v>
      </c>
      <c r="H12" s="313">
        <f t="shared" si="5"/>
        <v>19.564711150199997</v>
      </c>
      <c r="I12" s="313">
        <f t="shared" si="5"/>
        <v>19.564711150199997</v>
      </c>
      <c r="J12" s="313">
        <f t="shared" si="5"/>
        <v>19.564711150199997</v>
      </c>
      <c r="K12" s="313">
        <f t="shared" si="5"/>
        <v>19.564711150199997</v>
      </c>
      <c r="L12" s="313">
        <f t="shared" si="5"/>
        <v>19.564711150199997</v>
      </c>
      <c r="M12" s="313">
        <f t="shared" si="5"/>
        <v>19.564711150199997</v>
      </c>
      <c r="N12" s="313">
        <f t="shared" si="5"/>
        <v>19.564711150199997</v>
      </c>
      <c r="O12" s="313">
        <f t="shared" si="5"/>
        <v>19.564711150199997</v>
      </c>
      <c r="P12" s="313">
        <f t="shared" si="5"/>
        <v>19.564711150199997</v>
      </c>
    </row>
    <row r="13" spans="1:16" ht="25" customHeight="1">
      <c r="A13" s="24" t="s">
        <v>1420</v>
      </c>
      <c r="B13" s="879" t="s">
        <v>3880</v>
      </c>
      <c r="C13" s="624"/>
      <c r="D13" s="624"/>
      <c r="E13" s="313">
        <f>('T-1'!$O$49/12-E7)</f>
        <v>19.564711150199997</v>
      </c>
      <c r="F13" s="313">
        <f>('T-1'!$O$49/12-F7)</f>
        <v>19.564711150199997</v>
      </c>
      <c r="G13" s="313">
        <f>('T-1'!$O$49/12-G7)</f>
        <v>19.564711150199997</v>
      </c>
      <c r="H13" s="313">
        <f>('T-1'!$O$49/12-H7)</f>
        <v>19.564711150199997</v>
      </c>
      <c r="I13" s="313">
        <f>('T-1'!$O$49/12-I7)</f>
        <v>19.564711150199997</v>
      </c>
      <c r="J13" s="313">
        <f>('T-1'!$O$49/12-J7)</f>
        <v>19.564711150199997</v>
      </c>
      <c r="K13" s="313">
        <f>('T-1'!$O$49/12-K7)</f>
        <v>19.564711150199997</v>
      </c>
      <c r="L13" s="313">
        <f>('T-1'!$O$49/12-L7)</f>
        <v>19.564711150199997</v>
      </c>
      <c r="M13" s="313">
        <f>('T-1'!$O$49/12-M7)</f>
        <v>19.564711150199997</v>
      </c>
      <c r="N13" s="313">
        <f>('T-1'!$O$49/12-N7)</f>
        <v>19.564711150199997</v>
      </c>
      <c r="O13" s="313">
        <f>('T-1'!$O$49/12-O7)</f>
        <v>19.564711150199997</v>
      </c>
      <c r="P13" s="313">
        <f>('T-1'!$O$49/12-P7)</f>
        <v>19.564711150199997</v>
      </c>
    </row>
    <row r="14" spans="1:16" ht="25" customHeight="1">
      <c r="A14" s="24" t="s">
        <v>518</v>
      </c>
      <c r="B14" s="879" t="s">
        <v>3881</v>
      </c>
      <c r="C14" s="624"/>
      <c r="D14" s="624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1:16" ht="25" customHeight="1">
      <c r="A15" s="423">
        <v>9</v>
      </c>
      <c r="B15" s="879" t="s">
        <v>3882</v>
      </c>
      <c r="C15" s="624" t="s">
        <v>461</v>
      </c>
      <c r="D15" s="16" t="s">
        <v>3883</v>
      </c>
      <c r="E15" s="313">
        <f>E8-E9+E11-E12</f>
        <v>257.10787652951456</v>
      </c>
      <c r="F15" s="313">
        <f t="shared" ref="F15:P15" si="6">F8-F9+F11-F12</f>
        <v>257.10787652951456</v>
      </c>
      <c r="G15" s="313">
        <f t="shared" si="6"/>
        <v>257.10787652951456</v>
      </c>
      <c r="H15" s="313">
        <f t="shared" si="6"/>
        <v>257.10787652951456</v>
      </c>
      <c r="I15" s="313">
        <f t="shared" si="6"/>
        <v>257.10787652951456</v>
      </c>
      <c r="J15" s="313">
        <f t="shared" si="6"/>
        <v>257.10787652951456</v>
      </c>
      <c r="K15" s="313">
        <f t="shared" si="6"/>
        <v>257.10787652951456</v>
      </c>
      <c r="L15" s="313">
        <f t="shared" si="6"/>
        <v>257.10787652951456</v>
      </c>
      <c r="M15" s="313">
        <f t="shared" si="6"/>
        <v>257.10787652951456</v>
      </c>
      <c r="N15" s="313">
        <f t="shared" si="6"/>
        <v>257.10787652951456</v>
      </c>
      <c r="O15" s="313">
        <f t="shared" si="6"/>
        <v>257.10787652951456</v>
      </c>
      <c r="P15" s="313">
        <f t="shared" si="6"/>
        <v>257.10787652951456</v>
      </c>
    </row>
    <row r="16" spans="1:16" ht="25" customHeight="1">
      <c r="A16" s="423">
        <v>10</v>
      </c>
      <c r="B16" s="879" t="s">
        <v>3884</v>
      </c>
      <c r="C16" s="624" t="s">
        <v>461</v>
      </c>
      <c r="D16" s="16" t="s">
        <v>3885</v>
      </c>
      <c r="E16" s="313">
        <f>E8+E11-E12-E15</f>
        <v>27.591974137763259</v>
      </c>
      <c r="F16" s="313">
        <f t="shared" ref="F16:P16" si="7">F8+F11-F12-F15</f>
        <v>27.591974137763259</v>
      </c>
      <c r="G16" s="313">
        <f t="shared" si="7"/>
        <v>27.591974137763259</v>
      </c>
      <c r="H16" s="313">
        <f t="shared" si="7"/>
        <v>27.591974137763259</v>
      </c>
      <c r="I16" s="313">
        <f t="shared" si="7"/>
        <v>27.591974137763259</v>
      </c>
      <c r="J16" s="313">
        <f t="shared" si="7"/>
        <v>27.591974137763259</v>
      </c>
      <c r="K16" s="313">
        <f t="shared" si="7"/>
        <v>27.591974137763259</v>
      </c>
      <c r="L16" s="313">
        <f t="shared" si="7"/>
        <v>27.591974137763259</v>
      </c>
      <c r="M16" s="313">
        <f t="shared" si="7"/>
        <v>27.591974137763259</v>
      </c>
      <c r="N16" s="313">
        <f t="shared" si="7"/>
        <v>27.591974137763259</v>
      </c>
      <c r="O16" s="313">
        <f t="shared" si="7"/>
        <v>27.591974137763259</v>
      </c>
      <c r="P16" s="313">
        <f t="shared" si="7"/>
        <v>27.591974137763259</v>
      </c>
    </row>
    <row r="17" spans="1:16" ht="25" customHeight="1">
      <c r="A17" s="423">
        <v>11</v>
      </c>
      <c r="B17" s="879" t="s">
        <v>3886</v>
      </c>
      <c r="C17" s="624" t="s">
        <v>460</v>
      </c>
      <c r="D17" s="880" t="s">
        <v>3887</v>
      </c>
      <c r="E17" s="1390">
        <f>(E16/(E8+E11))</f>
        <v>9.0684153201893838E-2</v>
      </c>
      <c r="F17" s="1390">
        <f t="shared" ref="F17:P17" si="8">(F16/(F8+F11))</f>
        <v>9.0684153201893838E-2</v>
      </c>
      <c r="G17" s="1390">
        <f t="shared" si="8"/>
        <v>9.0684153201893838E-2</v>
      </c>
      <c r="H17" s="1390">
        <f t="shared" si="8"/>
        <v>9.0684153201893838E-2</v>
      </c>
      <c r="I17" s="1390">
        <f t="shared" si="8"/>
        <v>9.0684153201893838E-2</v>
      </c>
      <c r="J17" s="1390">
        <f t="shared" si="8"/>
        <v>9.0684153201893838E-2</v>
      </c>
      <c r="K17" s="1390">
        <f t="shared" si="8"/>
        <v>9.0684153201893838E-2</v>
      </c>
      <c r="L17" s="1390">
        <f t="shared" si="8"/>
        <v>9.0684153201893838E-2</v>
      </c>
      <c r="M17" s="1390">
        <f t="shared" si="8"/>
        <v>9.0684153201893838E-2</v>
      </c>
      <c r="N17" s="1390">
        <f t="shared" si="8"/>
        <v>9.0684153201893838E-2</v>
      </c>
      <c r="O17" s="1390">
        <f t="shared" si="8"/>
        <v>9.0684153201893838E-2</v>
      </c>
      <c r="P17" s="1390">
        <f t="shared" si="8"/>
        <v>9.0684153201893838E-2</v>
      </c>
    </row>
    <row r="18" spans="1:16" ht="25" customHeight="1">
      <c r="A18" s="423">
        <v>12</v>
      </c>
      <c r="B18" s="879" t="s">
        <v>3888</v>
      </c>
      <c r="C18" s="624" t="s">
        <v>461</v>
      </c>
      <c r="D18" s="876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1:16" ht="25" customHeight="1">
      <c r="A19" s="423">
        <v>13</v>
      </c>
      <c r="B19" s="879" t="s">
        <v>3889</v>
      </c>
      <c r="C19" s="624" t="s">
        <v>461</v>
      </c>
      <c r="D19" s="16" t="s">
        <v>3890</v>
      </c>
      <c r="E19" s="12">
        <f>E20+E21</f>
        <v>212.73123895786421</v>
      </c>
      <c r="F19" s="12">
        <f t="shared" ref="F19:P19" si="9">F20+F21</f>
        <v>212.73123895786421</v>
      </c>
      <c r="G19" s="12">
        <f t="shared" si="9"/>
        <v>212.73123895786421</v>
      </c>
      <c r="H19" s="12">
        <f t="shared" si="9"/>
        <v>212.73123895786421</v>
      </c>
      <c r="I19" s="12">
        <f t="shared" si="9"/>
        <v>212.73123895786421</v>
      </c>
      <c r="J19" s="12">
        <f t="shared" si="9"/>
        <v>212.73123895786421</v>
      </c>
      <c r="K19" s="12">
        <f t="shared" si="9"/>
        <v>212.73123895786421</v>
      </c>
      <c r="L19" s="12">
        <f t="shared" si="9"/>
        <v>212.73123895786421</v>
      </c>
      <c r="M19" s="12">
        <f t="shared" si="9"/>
        <v>212.73123895786421</v>
      </c>
      <c r="N19" s="12">
        <f t="shared" si="9"/>
        <v>212.73123895786421</v>
      </c>
      <c r="O19" s="12">
        <f t="shared" si="9"/>
        <v>212.73123895786421</v>
      </c>
      <c r="P19" s="12">
        <f t="shared" si="9"/>
        <v>212.73123895786421</v>
      </c>
    </row>
    <row r="20" spans="1:16" ht="25" customHeight="1">
      <c r="A20" s="24" t="s">
        <v>1420</v>
      </c>
      <c r="B20" s="879" t="s">
        <v>3880</v>
      </c>
      <c r="C20" s="624"/>
      <c r="D20" s="624"/>
      <c r="E20" s="313">
        <f>'T-1'!$O$32/12*0.8</f>
        <v>170.18499116629135</v>
      </c>
      <c r="F20" s="313">
        <f>'T-1'!$O$32/12*0.8</f>
        <v>170.18499116629135</v>
      </c>
      <c r="G20" s="313">
        <f>'T-1'!$O$32/12*0.8</f>
        <v>170.18499116629135</v>
      </c>
      <c r="H20" s="313">
        <f>'T-1'!$O$32/12*0.8</f>
        <v>170.18499116629135</v>
      </c>
      <c r="I20" s="313">
        <f>'T-1'!$O$32/12*0.8</f>
        <v>170.18499116629135</v>
      </c>
      <c r="J20" s="313">
        <f>'T-1'!$O$32/12*0.8</f>
        <v>170.18499116629135</v>
      </c>
      <c r="K20" s="313">
        <f>'T-1'!$O$32/12*0.8</f>
        <v>170.18499116629135</v>
      </c>
      <c r="L20" s="313">
        <f>'T-1'!$O$32/12*0.8</f>
        <v>170.18499116629135</v>
      </c>
      <c r="M20" s="313">
        <f>'T-1'!$O$32/12*0.8</f>
        <v>170.18499116629135</v>
      </c>
      <c r="N20" s="313">
        <f>'T-1'!$O$32/12*0.8</f>
        <v>170.18499116629135</v>
      </c>
      <c r="O20" s="313">
        <f>'T-1'!$O$32/12*0.8</f>
        <v>170.18499116629135</v>
      </c>
      <c r="P20" s="313">
        <f>'T-1'!$O$32/12*0.8</f>
        <v>170.18499116629135</v>
      </c>
    </row>
    <row r="21" spans="1:16" ht="25" customHeight="1">
      <c r="A21" s="24" t="s">
        <v>518</v>
      </c>
      <c r="B21" s="879" t="s">
        <v>3881</v>
      </c>
      <c r="C21" s="624"/>
      <c r="D21" s="624"/>
      <c r="E21" s="313">
        <f>'T-1'!$O$32/12*0.2</f>
        <v>42.546247791572839</v>
      </c>
      <c r="F21" s="313">
        <f>'T-1'!$O$32/12*0.2</f>
        <v>42.546247791572839</v>
      </c>
      <c r="G21" s="313">
        <f>'T-1'!$O$32/12*0.2</f>
        <v>42.546247791572839</v>
      </c>
      <c r="H21" s="313">
        <f>'T-1'!$O$32/12*0.2</f>
        <v>42.546247791572839</v>
      </c>
      <c r="I21" s="313">
        <f>'T-1'!$O$32/12*0.2</f>
        <v>42.546247791572839</v>
      </c>
      <c r="J21" s="313">
        <f>'T-1'!$O$32/12*0.2</f>
        <v>42.546247791572839</v>
      </c>
      <c r="K21" s="313">
        <f>'T-1'!$O$32/12*0.2</f>
        <v>42.546247791572839</v>
      </c>
      <c r="L21" s="313">
        <f>'T-1'!$O$32/12*0.2</f>
        <v>42.546247791572839</v>
      </c>
      <c r="M21" s="313">
        <f>'T-1'!$O$32/12*0.2</f>
        <v>42.546247791572839</v>
      </c>
      <c r="N21" s="313">
        <f>'T-1'!$O$32/12*0.2</f>
        <v>42.546247791572839</v>
      </c>
      <c r="O21" s="313">
        <f>'T-1'!$O$32/12*0.2</f>
        <v>42.546247791572839</v>
      </c>
      <c r="P21" s="313">
        <f>'T-1'!$O$32/12*0.2</f>
        <v>42.546247791572839</v>
      </c>
    </row>
    <row r="22" spans="1:16" ht="25" customHeight="1">
      <c r="A22" s="423">
        <v>14</v>
      </c>
      <c r="B22" s="881" t="s">
        <v>3891</v>
      </c>
      <c r="C22" s="624" t="s">
        <v>461</v>
      </c>
      <c r="D22" s="16" t="s">
        <v>3892</v>
      </c>
      <c r="E22" s="313">
        <f>E15+E18-E19</f>
        <v>44.376637571650349</v>
      </c>
      <c r="F22" s="313">
        <f t="shared" ref="F22:P22" si="10">F15+F18-F19</f>
        <v>44.376637571650349</v>
      </c>
      <c r="G22" s="313">
        <f t="shared" si="10"/>
        <v>44.376637571650349</v>
      </c>
      <c r="H22" s="313">
        <f t="shared" si="10"/>
        <v>44.376637571650349</v>
      </c>
      <c r="I22" s="313">
        <f t="shared" si="10"/>
        <v>44.376637571650349</v>
      </c>
      <c r="J22" s="313">
        <f t="shared" si="10"/>
        <v>44.376637571650349</v>
      </c>
      <c r="K22" s="313">
        <f t="shared" si="10"/>
        <v>44.376637571650349</v>
      </c>
      <c r="L22" s="313">
        <f t="shared" si="10"/>
        <v>44.376637571650349</v>
      </c>
      <c r="M22" s="313">
        <f t="shared" si="10"/>
        <v>44.376637571650349</v>
      </c>
      <c r="N22" s="313">
        <f t="shared" si="10"/>
        <v>44.376637571650349</v>
      </c>
      <c r="O22" s="313">
        <f t="shared" si="10"/>
        <v>44.376637571650349</v>
      </c>
      <c r="P22" s="313">
        <f t="shared" si="10"/>
        <v>44.376637571650349</v>
      </c>
    </row>
    <row r="23" spans="1:16" ht="25" customHeight="1">
      <c r="A23" s="423">
        <v>15</v>
      </c>
      <c r="B23" s="881" t="s">
        <v>3893</v>
      </c>
      <c r="C23" s="624" t="s">
        <v>460</v>
      </c>
      <c r="D23" s="880" t="s">
        <v>3894</v>
      </c>
      <c r="E23" s="1390">
        <f>(E22/(E15+E18))</f>
        <v>0.17259929244741032</v>
      </c>
      <c r="F23" s="1390">
        <f t="shared" ref="F23:P23" si="11">(F22/(F15+F18))</f>
        <v>0.17259929244741032</v>
      </c>
      <c r="G23" s="1390">
        <f t="shared" si="11"/>
        <v>0.17259929244741032</v>
      </c>
      <c r="H23" s="1390">
        <f t="shared" si="11"/>
        <v>0.17259929244741032</v>
      </c>
      <c r="I23" s="1390">
        <f t="shared" si="11"/>
        <v>0.17259929244741032</v>
      </c>
      <c r="J23" s="1390">
        <f t="shared" si="11"/>
        <v>0.17259929244741032</v>
      </c>
      <c r="K23" s="1390">
        <f t="shared" si="11"/>
        <v>0.17259929244741032</v>
      </c>
      <c r="L23" s="1390">
        <f t="shared" si="11"/>
        <v>0.17259929244741032</v>
      </c>
      <c r="M23" s="1390">
        <f t="shared" si="11"/>
        <v>0.17259929244741032</v>
      </c>
      <c r="N23" s="1390">
        <f t="shared" si="11"/>
        <v>0.17259929244741032</v>
      </c>
      <c r="O23" s="1390">
        <f t="shared" si="11"/>
        <v>0.17259929244741032</v>
      </c>
      <c r="P23" s="1390">
        <f t="shared" si="11"/>
        <v>0.17259929244741032</v>
      </c>
    </row>
    <row r="24" spans="1:16" ht="20.149999999999999" customHeight="1"/>
    <row r="25" spans="1:16" ht="20.149999999999999" customHeight="1"/>
    <row r="26" spans="1:16" ht="20.149999999999999" customHeight="1"/>
  </sheetData>
  <mergeCells count="2">
    <mergeCell ref="A2:P2"/>
    <mergeCell ref="A3:P3"/>
  </mergeCells>
  <pageMargins left="0.54" right="0.48" top="0.68" bottom="0.74803149606299202" header="0.31496062992126" footer="0.31496062992126"/>
  <pageSetup paperSize="9" scale="84" orientation="landscape" r:id="rId1"/>
  <headerFooter>
    <oddFooter>&amp;ROERC Form No.F-27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30"/>
  <sheetViews>
    <sheetView zoomScale="75" zoomScaleNormal="75" workbookViewId="0">
      <selection activeCell="K3" sqref="K3"/>
    </sheetView>
  </sheetViews>
  <sheetFormatPr defaultRowHeight="12.5"/>
  <cols>
    <col min="1" max="1" width="39.453125" customWidth="1"/>
    <col min="2" max="10" width="11.26953125" customWidth="1"/>
    <col min="12" max="12" width="18.54296875" customWidth="1"/>
    <col min="13" max="13" width="0" hidden="1" customWidth="1"/>
    <col min="15" max="15" width="17.453125" style="1838" hidden="1" customWidth="1"/>
    <col min="16" max="16" width="16.453125" hidden="1" customWidth="1"/>
    <col min="18" max="18" width="12.1796875" bestFit="1" customWidth="1"/>
  </cols>
  <sheetData>
    <row r="2" spans="1:18" ht="38.15" customHeight="1">
      <c r="A2" s="3175" t="s">
        <v>5430</v>
      </c>
      <c r="B2" s="3177" t="s">
        <v>5457</v>
      </c>
      <c r="C2" s="3178"/>
      <c r="D2" s="3179" t="s">
        <v>5458</v>
      </c>
      <c r="E2" s="3180"/>
      <c r="F2" s="3183" t="s">
        <v>5459</v>
      </c>
      <c r="G2" s="3184"/>
      <c r="H2" s="3185"/>
      <c r="I2" s="3181" t="s">
        <v>5461</v>
      </c>
      <c r="J2" s="3182"/>
      <c r="L2" s="1870" t="s">
        <v>5512</v>
      </c>
      <c r="M2" s="1869"/>
      <c r="O2" s="1838">
        <f>10^7</f>
        <v>10000000</v>
      </c>
    </row>
    <row r="3" spans="1:18" ht="31">
      <c r="A3" s="3176"/>
      <c r="B3" s="1841" t="s">
        <v>5431</v>
      </c>
      <c r="C3" s="1842" t="s">
        <v>5432</v>
      </c>
      <c r="D3" s="1818" t="s">
        <v>5431</v>
      </c>
      <c r="E3" s="1818" t="s">
        <v>5432</v>
      </c>
      <c r="F3" s="3186" t="s">
        <v>5433</v>
      </c>
      <c r="G3" s="3187"/>
      <c r="H3" s="3188"/>
      <c r="I3" s="1818" t="s">
        <v>5434</v>
      </c>
      <c r="J3" s="1818" t="s">
        <v>5435</v>
      </c>
      <c r="L3" s="1840" t="s">
        <v>5513</v>
      </c>
    </row>
    <row r="4" spans="1:18" ht="46.5">
      <c r="A4" s="1840"/>
      <c r="B4" s="1818"/>
      <c r="C4" s="1840"/>
      <c r="D4" s="1818"/>
      <c r="E4" s="1818"/>
      <c r="F4" s="1818" t="s">
        <v>5460</v>
      </c>
      <c r="G4" s="1818" t="s">
        <v>5465</v>
      </c>
      <c r="H4" s="1818" t="s">
        <v>1100</v>
      </c>
      <c r="I4" s="1818"/>
      <c r="J4" s="1818"/>
      <c r="L4" s="12"/>
    </row>
    <row r="5" spans="1:18" ht="15.5">
      <c r="A5" s="1819" t="s">
        <v>1414</v>
      </c>
      <c r="B5" s="1820"/>
      <c r="C5" s="1820"/>
      <c r="D5" s="1820"/>
      <c r="E5" s="1820"/>
      <c r="F5" s="1844"/>
      <c r="G5" s="1844"/>
      <c r="H5" s="1821"/>
      <c r="I5" s="1821"/>
      <c r="J5" s="1821"/>
      <c r="L5" s="12"/>
    </row>
    <row r="6" spans="1:18" ht="22.5">
      <c r="A6" s="1821" t="s">
        <v>5462</v>
      </c>
      <c r="B6" s="1820">
        <v>753.3</v>
      </c>
      <c r="C6" s="1822"/>
      <c r="D6" s="1820">
        <v>776.39</v>
      </c>
      <c r="E6" s="1843"/>
      <c r="F6" s="1846">
        <f>5182844339/(10^7)</f>
        <v>518.28443389999995</v>
      </c>
      <c r="G6" s="1853">
        <f>1779189353.05/(10^7)</f>
        <v>177.91893530499999</v>
      </c>
      <c r="H6" s="1853">
        <f>F6+G6</f>
        <v>696.20336920499994</v>
      </c>
      <c r="I6" s="1820">
        <v>717.17399999999998</v>
      </c>
      <c r="J6" s="1820">
        <v>795.52200000000005</v>
      </c>
      <c r="L6" s="1853">
        <v>417.62937497899998</v>
      </c>
      <c r="O6" s="1838">
        <f>5182849547-5208</f>
        <v>5182844339</v>
      </c>
      <c r="P6" s="1838">
        <v>1779189353.05</v>
      </c>
    </row>
    <row r="7" spans="1:18" ht="22.5">
      <c r="A7" s="1821" t="s">
        <v>5466</v>
      </c>
      <c r="B7" s="1820"/>
      <c r="C7" s="1822"/>
      <c r="D7" s="1820"/>
      <c r="E7" s="1843"/>
      <c r="F7" s="1846">
        <f>2310297371/(10^7)</f>
        <v>231.02973710000001</v>
      </c>
      <c r="G7" s="1853">
        <f>0/(10^7)</f>
        <v>0</v>
      </c>
      <c r="H7" s="1853">
        <f t="shared" ref="H7:H30" si="0">F7+G7</f>
        <v>231.02973710000001</v>
      </c>
      <c r="I7" s="1820"/>
      <c r="J7" s="1820"/>
      <c r="L7" s="1853"/>
      <c r="O7" s="1838">
        <f>771567363+1538730008</f>
        <v>2310297371</v>
      </c>
      <c r="P7" s="1838"/>
    </row>
    <row r="8" spans="1:18" ht="22.5">
      <c r="A8" s="1821" t="s">
        <v>5456</v>
      </c>
      <c r="B8" s="1820"/>
      <c r="C8" s="1822"/>
      <c r="D8" s="1820"/>
      <c r="E8" s="1843"/>
      <c r="F8" s="1846">
        <f>1411534070.65/(10^7)</f>
        <v>141.15340706500001</v>
      </c>
      <c r="G8" s="1853">
        <f>0/(10^7)</f>
        <v>0</v>
      </c>
      <c r="H8" s="1853">
        <f t="shared" si="0"/>
        <v>141.15340706500001</v>
      </c>
      <c r="I8" s="1820"/>
      <c r="J8" s="1820"/>
      <c r="L8" s="1853"/>
      <c r="O8" s="1838">
        <f>53381554.65+1341535916+9459800+3274000+3882800</f>
        <v>1411534070.6500001</v>
      </c>
      <c r="P8" s="1838"/>
    </row>
    <row r="9" spans="1:18" ht="22.5">
      <c r="A9" s="1821" t="s">
        <v>5463</v>
      </c>
      <c r="B9" s="1820">
        <v>101.25</v>
      </c>
      <c r="C9" s="1822"/>
      <c r="D9" s="1820">
        <v>101.25</v>
      </c>
      <c r="E9" s="1843"/>
      <c r="F9" s="1846">
        <f>678788624/(10^7)</f>
        <v>67.878862400000003</v>
      </c>
      <c r="G9" s="1853">
        <f>222127495/(10^7)</f>
        <v>22.212749500000001</v>
      </c>
      <c r="H9" s="1853">
        <f t="shared" si="0"/>
        <v>90.091611900000004</v>
      </c>
      <c r="I9" s="1823"/>
      <c r="J9" s="1823"/>
      <c r="L9" s="1853">
        <v>55.73516</v>
      </c>
      <c r="O9" s="1838">
        <v>678788624</v>
      </c>
      <c r="P9" s="1838">
        <v>222127495</v>
      </c>
    </row>
    <row r="10" spans="1:18" ht="22.5">
      <c r="A10" s="1821" t="s">
        <v>5464</v>
      </c>
      <c r="B10" s="1820">
        <v>0.63</v>
      </c>
      <c r="C10" s="1822"/>
      <c r="D10" s="1820">
        <v>0.62</v>
      </c>
      <c r="E10" s="1843"/>
      <c r="F10" s="1846">
        <f>4636200/(10^7)</f>
        <v>0.46361999999999998</v>
      </c>
      <c r="G10" s="1853">
        <f>1543200/(10^7)</f>
        <v>0.15432000000000001</v>
      </c>
      <c r="H10" s="1853">
        <f t="shared" si="0"/>
        <v>0.61793999999999993</v>
      </c>
      <c r="I10" s="1822"/>
      <c r="J10" s="1822"/>
      <c r="L10" s="1853">
        <v>0.35</v>
      </c>
      <c r="O10" s="1838">
        <v>4636200</v>
      </c>
      <c r="P10" s="1838">
        <v>1543200</v>
      </c>
    </row>
    <row r="11" spans="1:18" ht="31">
      <c r="A11" s="1824" t="s">
        <v>5436</v>
      </c>
      <c r="B11" s="1818">
        <v>855.18</v>
      </c>
      <c r="C11" s="1822"/>
      <c r="D11" s="1818">
        <v>878.26</v>
      </c>
      <c r="E11" s="1843"/>
      <c r="F11" s="1847">
        <f>9588100604.65/(10^7)</f>
        <v>958.81006046499999</v>
      </c>
      <c r="G11" s="1854">
        <f>2002860048.05/(10^7)</f>
        <v>200.286004805</v>
      </c>
      <c r="H11" s="1854">
        <f t="shared" si="0"/>
        <v>1159.0960652700001</v>
      </c>
      <c r="I11" s="1822"/>
      <c r="J11" s="1822"/>
      <c r="L11" s="1854">
        <f>SUM(L6:L10)</f>
        <v>473.71453497900001</v>
      </c>
      <c r="O11" s="1839">
        <f>SUM(O6:O10)</f>
        <v>9588100604.6499996</v>
      </c>
      <c r="P11" s="1839">
        <f>SUM(P6:P10)</f>
        <v>2002860048.05</v>
      </c>
    </row>
    <row r="12" spans="1:18" ht="22.5">
      <c r="A12" s="1821" t="s">
        <v>5437</v>
      </c>
      <c r="B12" s="1820">
        <v>398.68</v>
      </c>
      <c r="C12" s="1822"/>
      <c r="D12" s="1820">
        <v>370.88</v>
      </c>
      <c r="E12" s="1843"/>
      <c r="F12" s="1846">
        <f>2586992248.61/(10^7)</f>
        <v>258.699224861</v>
      </c>
      <c r="G12" s="1853">
        <f>921350007.76/(10^7)</f>
        <v>92.135000775999998</v>
      </c>
      <c r="H12" s="1853">
        <f t="shared" si="0"/>
        <v>350.83422563700003</v>
      </c>
      <c r="I12" s="1822"/>
      <c r="J12" s="1822"/>
      <c r="L12" s="1853">
        <v>245.05417310300004</v>
      </c>
      <c r="N12">
        <v>54.161089789000002</v>
      </c>
      <c r="O12" s="1838">
        <v>2586992248.6099997</v>
      </c>
      <c r="P12" s="1838">
        <f>78.790364866*(10^7)+133446359.1</f>
        <v>921350007.76000011</v>
      </c>
      <c r="Q12" s="234">
        <f>L12+N12</f>
        <v>299.21526289200006</v>
      </c>
    </row>
    <row r="13" spans="1:18" ht="22.5">
      <c r="A13" s="1821" t="s">
        <v>5438</v>
      </c>
      <c r="B13" s="1820">
        <v>85.01</v>
      </c>
      <c r="C13" s="1822"/>
      <c r="D13" s="1820">
        <v>45.96</v>
      </c>
      <c r="E13" s="1843"/>
      <c r="F13" s="1846">
        <f>49214692.74/(10^7)</f>
        <v>4.9214692740000006</v>
      </c>
      <c r="G13" s="1853">
        <f>14691705.26/(10^7)</f>
        <v>1.4691705260000001</v>
      </c>
      <c r="H13" s="1853">
        <f t="shared" si="0"/>
        <v>6.3906398000000006</v>
      </c>
      <c r="I13" s="1822"/>
      <c r="J13" s="1822"/>
      <c r="L13" s="1853">
        <v>6.81</v>
      </c>
      <c r="O13" s="1838">
        <v>49214692.739999995</v>
      </c>
      <c r="P13" s="1838">
        <f>1.469170526*10^7</f>
        <v>14691705.260000002</v>
      </c>
    </row>
    <row r="14" spans="1:18" ht="22.5">
      <c r="A14" s="1821" t="s">
        <v>5439</v>
      </c>
      <c r="B14" s="1820">
        <v>85.22</v>
      </c>
      <c r="C14" s="1822"/>
      <c r="D14" s="1820">
        <v>35.49</v>
      </c>
      <c r="E14" s="1843"/>
      <c r="F14" s="1846">
        <f>812603447.234507/(10^7)</f>
        <v>81.2603447234507</v>
      </c>
      <c r="G14" s="1853">
        <f>133398944.14/(10^7)</f>
        <v>13.339894414</v>
      </c>
      <c r="H14" s="1853">
        <f t="shared" si="0"/>
        <v>94.6002391374507</v>
      </c>
      <c r="I14" s="1822"/>
      <c r="J14" s="1822"/>
      <c r="L14" s="1853">
        <v>26.66</v>
      </c>
      <c r="O14" s="1838">
        <v>812603447.23450732</v>
      </c>
      <c r="P14" s="1838">
        <f>13.339894414*10^7</f>
        <v>133398944.14</v>
      </c>
      <c r="R14">
        <f>31.6867359217993*10^7</f>
        <v>316867359.21799302</v>
      </c>
    </row>
    <row r="15" spans="1:18" ht="22.5">
      <c r="A15" s="1821" t="s">
        <v>5440</v>
      </c>
      <c r="B15" s="1820">
        <v>27.84</v>
      </c>
      <c r="C15" s="1822"/>
      <c r="D15" s="1820">
        <v>11.01</v>
      </c>
      <c r="E15" s="1843"/>
      <c r="F15" s="1846">
        <f>1040662725.83/(10^7)</f>
        <v>104.066272583</v>
      </c>
      <c r="G15" s="1853">
        <f>35330350.7179932/(10^7)</f>
        <v>3.5330350717993202</v>
      </c>
      <c r="H15" s="1853">
        <f t="shared" si="0"/>
        <v>107.59930765479932</v>
      </c>
      <c r="I15" s="1822"/>
      <c r="J15" s="1822"/>
      <c r="L15" s="1853">
        <v>8.42</v>
      </c>
      <c r="O15" s="1838">
        <v>1040662725.83</v>
      </c>
      <c r="P15" s="1838">
        <f>3.53303507179932*10^7</f>
        <v>35330350.7179932</v>
      </c>
      <c r="R15" s="1845">
        <f>R14-P13-P15</f>
        <v>266845303.23999983</v>
      </c>
    </row>
    <row r="16" spans="1:18" ht="22.5">
      <c r="A16" s="1821" t="s">
        <v>1518</v>
      </c>
      <c r="B16" s="1820">
        <v>39.6</v>
      </c>
      <c r="C16" s="1822"/>
      <c r="D16" s="1820">
        <v>29.03</v>
      </c>
      <c r="E16" s="1843"/>
      <c r="F16" s="1846">
        <f>106517427.527357/(10^7)</f>
        <v>10.6517427527357</v>
      </c>
      <c r="G16" s="1853">
        <f>69024809.0399998/(10^7)</f>
        <v>6.9024809039999795</v>
      </c>
      <c r="H16" s="1853">
        <f t="shared" si="0"/>
        <v>17.55422365673568</v>
      </c>
      <c r="I16" s="1822"/>
      <c r="J16" s="1822"/>
      <c r="L16" s="1853">
        <v>19.45</v>
      </c>
      <c r="O16" s="1838">
        <v>106517427.52735713</v>
      </c>
      <c r="P16" s="1838">
        <f>6.90248090399998*(10^7)</f>
        <v>69024809.039999798</v>
      </c>
    </row>
    <row r="17" spans="1:17" ht="31">
      <c r="A17" s="1821" t="s">
        <v>5441</v>
      </c>
      <c r="B17" s="1820">
        <v>55.18</v>
      </c>
      <c r="C17" s="1822"/>
      <c r="D17" s="1820">
        <v>25.48</v>
      </c>
      <c r="E17" s="1843"/>
      <c r="F17" s="1846">
        <f>462798844.756121/(10^7)</f>
        <v>46.2798844756121</v>
      </c>
      <c r="G17" s="1853">
        <f>47283204.3527/(10^7)</f>
        <v>4.7283204352700006</v>
      </c>
      <c r="H17" s="1853">
        <f t="shared" si="0"/>
        <v>51.0082049108821</v>
      </c>
      <c r="I17" s="1822"/>
      <c r="J17" s="1822"/>
      <c r="L17" s="1853">
        <v>11.9</v>
      </c>
      <c r="O17" s="1838">
        <v>462798844.75612122</v>
      </c>
      <c r="P17" s="1838">
        <f>4.72832043527*10^7</f>
        <v>47283204.352699995</v>
      </c>
    </row>
    <row r="18" spans="1:17" ht="22.5">
      <c r="A18" s="1821" t="s">
        <v>5442</v>
      </c>
      <c r="B18" s="1822"/>
      <c r="C18" s="1822"/>
      <c r="D18" s="1820"/>
      <c r="E18" s="1843"/>
      <c r="F18" s="1846">
        <f>0/(10^7)</f>
        <v>0</v>
      </c>
      <c r="G18" s="1853">
        <f>0/(10^7)</f>
        <v>0</v>
      </c>
      <c r="H18" s="1853">
        <f t="shared" si="0"/>
        <v>0</v>
      </c>
      <c r="I18" s="1820"/>
      <c r="J18" s="1820"/>
      <c r="L18" s="1853"/>
      <c r="Q18" s="3">
        <v>96.048182491826964</v>
      </c>
    </row>
    <row r="19" spans="1:17" ht="22.5">
      <c r="A19" s="1825" t="s">
        <v>5443</v>
      </c>
      <c r="B19" s="1822"/>
      <c r="C19" s="1822"/>
      <c r="D19" s="1826"/>
      <c r="E19" s="1843"/>
      <c r="F19" s="1848">
        <f>0/(10^7)</f>
        <v>0</v>
      </c>
      <c r="G19" s="1855">
        <f>0/(10^7)</f>
        <v>0</v>
      </c>
      <c r="H19" s="1855">
        <f t="shared" si="0"/>
        <v>0</v>
      </c>
      <c r="I19" s="1820"/>
      <c r="J19" s="1826"/>
      <c r="L19" s="1855"/>
      <c r="Q19" s="234">
        <f>Q18-L15-L13-N12</f>
        <v>26.657092702826958</v>
      </c>
    </row>
    <row r="20" spans="1:17" ht="22.5">
      <c r="A20" s="1825" t="s">
        <v>5444</v>
      </c>
      <c r="B20" s="1826">
        <v>691.53</v>
      </c>
      <c r="C20" s="1822"/>
      <c r="D20" s="1826">
        <v>517.85</v>
      </c>
      <c r="E20" s="1843"/>
      <c r="F20" s="1848">
        <f>5058789386.69799/(10^7)</f>
        <v>505.87893866979903</v>
      </c>
      <c r="G20" s="1855">
        <f>1221079021.27069/(10^7)</f>
        <v>122.107902127069</v>
      </c>
      <c r="H20" s="1855">
        <f t="shared" si="0"/>
        <v>627.98684079686802</v>
      </c>
      <c r="I20" s="1826">
        <v>609</v>
      </c>
      <c r="J20" s="1826">
        <v>708</v>
      </c>
      <c r="L20" s="1855">
        <f>SUM(L12:L19)</f>
        <v>318.29417310300005</v>
      </c>
      <c r="O20" s="1839">
        <f>SUM(O12:O19)</f>
        <v>5058789386.6979856</v>
      </c>
      <c r="P20" s="1839">
        <f>SUM(P12:P19)</f>
        <v>1221079021.2706931</v>
      </c>
    </row>
    <row r="21" spans="1:17" ht="22.5">
      <c r="A21" s="1821" t="s">
        <v>5445</v>
      </c>
      <c r="B21" s="1822"/>
      <c r="C21" s="1822"/>
      <c r="D21" s="1820"/>
      <c r="E21" s="1843"/>
      <c r="F21" s="1846">
        <f>46520724.47/(10^7)</f>
        <v>4.6520724470000001</v>
      </c>
      <c r="G21" s="1853">
        <f>0/(10^7)</f>
        <v>0</v>
      </c>
      <c r="H21" s="1853">
        <f t="shared" si="0"/>
        <v>4.6520724470000001</v>
      </c>
      <c r="I21" s="1827"/>
      <c r="J21" s="1827"/>
      <c r="L21" s="1853"/>
      <c r="O21" s="1838">
        <v>46520724.470000006</v>
      </c>
      <c r="P21">
        <v>0</v>
      </c>
    </row>
    <row r="22" spans="1:17" ht="22.5">
      <c r="A22" s="1821" t="s">
        <v>5446</v>
      </c>
      <c r="B22" s="1822"/>
      <c r="C22" s="1822"/>
      <c r="D22" s="1820"/>
      <c r="E22" s="1843"/>
      <c r="F22" s="1846">
        <f>0/(10^7)</f>
        <v>0</v>
      </c>
      <c r="G22" s="1853">
        <f>0/(10^7)</f>
        <v>0</v>
      </c>
      <c r="H22" s="1853">
        <f t="shared" si="0"/>
        <v>0</v>
      </c>
      <c r="I22" s="1820"/>
      <c r="J22" s="1820"/>
      <c r="L22" s="1853"/>
      <c r="P22">
        <v>0</v>
      </c>
    </row>
    <row r="23" spans="1:17" ht="31">
      <c r="A23" s="1819" t="s">
        <v>5447</v>
      </c>
      <c r="B23" s="1828">
        <v>691.93</v>
      </c>
      <c r="C23" s="1822"/>
      <c r="D23" s="1828">
        <v>517.85</v>
      </c>
      <c r="E23" s="1843"/>
      <c r="F23" s="1849">
        <f>5012268662.22799/(10^7)</f>
        <v>501.226866222799</v>
      </c>
      <c r="G23" s="1856">
        <f>1221079021.27069/(10^7)</f>
        <v>122.107902127069</v>
      </c>
      <c r="H23" s="1856">
        <f t="shared" si="0"/>
        <v>623.334768349868</v>
      </c>
      <c r="I23" s="1828">
        <v>609</v>
      </c>
      <c r="J23" s="1828">
        <v>708</v>
      </c>
      <c r="L23" s="1856">
        <f>L20-L21-L22</f>
        <v>318.29417310300005</v>
      </c>
      <c r="O23" s="1839">
        <f>O20-O21-O22</f>
        <v>5012268662.2279854</v>
      </c>
      <c r="P23" s="1839">
        <f>P20-P21-P22</f>
        <v>1221079021.2706931</v>
      </c>
    </row>
    <row r="24" spans="1:17" ht="22.5">
      <c r="A24" s="1829" t="s">
        <v>5448</v>
      </c>
      <c r="B24" s="1830">
        <v>6.03</v>
      </c>
      <c r="C24" s="1822"/>
      <c r="D24" s="1820">
        <v>6.03</v>
      </c>
      <c r="E24" s="1843"/>
      <c r="F24" s="1846">
        <f>45192000/10^7</f>
        <v>4.5191999999999997</v>
      </c>
      <c r="G24" s="1853">
        <v>8</v>
      </c>
      <c r="H24" s="1853">
        <f t="shared" si="0"/>
        <v>12.5192</v>
      </c>
      <c r="I24" s="1820">
        <v>6.03</v>
      </c>
      <c r="J24" s="1820">
        <v>6.03</v>
      </c>
      <c r="L24" s="1853">
        <v>16</v>
      </c>
      <c r="N24">
        <f>200*16%</f>
        <v>32</v>
      </c>
    </row>
    <row r="25" spans="1:17" ht="22.5">
      <c r="A25" s="1831" t="s">
        <v>5449</v>
      </c>
      <c r="B25" s="1832">
        <v>697.56</v>
      </c>
      <c r="C25" s="1822"/>
      <c r="D25" s="1826">
        <v>523.88</v>
      </c>
      <c r="E25" s="1843"/>
      <c r="F25" s="1848">
        <f>5012268662.22799/(10^7)</f>
        <v>501.226866222799</v>
      </c>
      <c r="G25" s="1855">
        <f>1221079021.27069/(10^7)</f>
        <v>122.107902127069</v>
      </c>
      <c r="H25" s="1855">
        <f t="shared" si="0"/>
        <v>623.334768349868</v>
      </c>
      <c r="I25" s="1826">
        <v>615.03</v>
      </c>
      <c r="J25" s="1826">
        <v>714.03</v>
      </c>
      <c r="L25" s="1855">
        <f>L23+L24</f>
        <v>334.29417310300005</v>
      </c>
      <c r="O25" s="1839">
        <f>O23+O24</f>
        <v>5012268662.2279854</v>
      </c>
      <c r="P25" s="1839">
        <f>P23+P24</f>
        <v>1221079021.2706931</v>
      </c>
    </row>
    <row r="26" spans="1:17" ht="22.5">
      <c r="A26" s="1829" t="s">
        <v>5450</v>
      </c>
      <c r="B26" s="1822"/>
      <c r="C26" s="1822"/>
      <c r="D26" s="1830"/>
      <c r="E26" s="1843"/>
      <c r="F26" s="1850"/>
      <c r="G26" s="1857"/>
      <c r="H26" s="1857"/>
      <c r="I26" s="1830"/>
      <c r="J26" s="1830"/>
      <c r="L26" s="1857"/>
    </row>
    <row r="27" spans="1:17" ht="22.5">
      <c r="A27" s="1829" t="s">
        <v>5451</v>
      </c>
      <c r="B27" s="1822"/>
      <c r="C27" s="1822"/>
      <c r="D27" s="1833"/>
      <c r="E27" s="1843"/>
      <c r="F27" s="1851"/>
      <c r="G27" s="1858"/>
      <c r="H27" s="1858"/>
      <c r="I27" s="1830"/>
      <c r="J27" s="1830"/>
      <c r="L27" s="1858"/>
    </row>
    <row r="28" spans="1:17" ht="36">
      <c r="A28" s="1829" t="s">
        <v>5452</v>
      </c>
      <c r="B28" s="1830">
        <v>4.55</v>
      </c>
      <c r="C28" s="1822"/>
      <c r="D28" s="1820" t="s">
        <v>5453</v>
      </c>
      <c r="E28" s="1843"/>
      <c r="F28" s="1846">
        <f>21019130/(10^7)</f>
        <v>2.1019130000000001</v>
      </c>
      <c r="G28" s="1853">
        <f>0/(10^7)</f>
        <v>0</v>
      </c>
      <c r="H28" s="1853">
        <f t="shared" si="0"/>
        <v>2.1019130000000001</v>
      </c>
      <c r="I28" s="1820">
        <v>4.55</v>
      </c>
      <c r="J28" s="1820">
        <v>4.55</v>
      </c>
      <c r="L28" s="1853"/>
      <c r="O28" s="1838">
        <v>21019130</v>
      </c>
    </row>
    <row r="29" spans="1:17" ht="22.5">
      <c r="A29" s="1834" t="s">
        <v>5454</v>
      </c>
      <c r="B29" s="1835">
        <v>4.55</v>
      </c>
      <c r="C29" s="1822"/>
      <c r="D29" s="1818" t="s">
        <v>5453</v>
      </c>
      <c r="E29" s="1843"/>
      <c r="F29" s="1847">
        <f>21019130/(10^7)</f>
        <v>2.1019130000000001</v>
      </c>
      <c r="G29" s="1854">
        <f>0/(10^7)</f>
        <v>0</v>
      </c>
      <c r="H29" s="1854">
        <f t="shared" si="0"/>
        <v>2.1019130000000001</v>
      </c>
      <c r="I29" s="1818">
        <v>4.55</v>
      </c>
      <c r="J29" s="1818">
        <v>4.55</v>
      </c>
      <c r="L29" s="1854"/>
      <c r="O29" s="1839">
        <f>SUM(O26:O28)</f>
        <v>21019130</v>
      </c>
      <c r="P29" s="1839">
        <f>SUM(P26:P28)</f>
        <v>0</v>
      </c>
    </row>
    <row r="30" spans="1:17" ht="22.5">
      <c r="A30" s="1836" t="s">
        <v>5455</v>
      </c>
      <c r="B30" s="1837">
        <v>1539.6</v>
      </c>
      <c r="C30" s="1822"/>
      <c r="D30" s="1837">
        <v>1402.14</v>
      </c>
      <c r="E30" s="1843"/>
      <c r="F30" s="1852">
        <f>14621388396.878/(10^7)</f>
        <v>1462.1388396878001</v>
      </c>
      <c r="G30" s="1859">
        <f>3223939069.32069/(10^7)</f>
        <v>322.393906932069</v>
      </c>
      <c r="H30" s="1859">
        <f t="shared" si="0"/>
        <v>1784.5327466198692</v>
      </c>
      <c r="I30" s="1837">
        <v>1430.884</v>
      </c>
      <c r="J30" s="1837">
        <v>1615.482</v>
      </c>
      <c r="L30" s="1859">
        <f>L11+L25+L29</f>
        <v>808.00870808200011</v>
      </c>
      <c r="O30" s="1839">
        <f>O11+O25+O29</f>
        <v>14621388396.877985</v>
      </c>
      <c r="P30" s="1839">
        <f>P11+P25+P29</f>
        <v>3223939069.320693</v>
      </c>
    </row>
  </sheetData>
  <mergeCells count="6">
    <mergeCell ref="A2:A3"/>
    <mergeCell ref="B2:C2"/>
    <mergeCell ref="D2:E2"/>
    <mergeCell ref="I2:J2"/>
    <mergeCell ref="F2:H2"/>
    <mergeCell ref="F3:H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</sheetPr>
  <dimension ref="A1:BE93"/>
  <sheetViews>
    <sheetView topLeftCell="A41" zoomScale="52" zoomScaleNormal="52" zoomScaleSheetLayoutView="70" workbookViewId="0">
      <selection activeCell="D13" sqref="D13"/>
    </sheetView>
  </sheetViews>
  <sheetFormatPr defaultColWidth="14.7265625" defaultRowHeight="15.5"/>
  <cols>
    <col min="1" max="1" width="6" style="1007" customWidth="1"/>
    <col min="2" max="2" width="42.54296875" style="1007" customWidth="1"/>
    <col min="3" max="5" width="13.81640625" style="1007" customWidth="1"/>
    <col min="6" max="6" width="19.1796875" style="1007" customWidth="1"/>
    <col min="7" max="8" width="13.81640625" style="1007" customWidth="1"/>
    <col min="9" max="9" width="21.26953125" style="1007" customWidth="1"/>
    <col min="10" max="10" width="13.81640625" style="1007" customWidth="1"/>
    <col min="11" max="11" width="15.26953125" style="1007" customWidth="1"/>
    <col min="12" max="14" width="13.81640625" style="1007" customWidth="1"/>
    <col min="15" max="15" width="16.26953125" style="1007" bestFit="1" customWidth="1"/>
    <col min="16" max="16" width="13.81640625" style="1007" customWidth="1"/>
    <col min="17" max="19" width="14.7265625" style="1007"/>
    <col min="20" max="20" width="20.453125" style="1007" bestFit="1" customWidth="1"/>
    <col min="21" max="256" width="14.7265625" style="1007"/>
    <col min="257" max="257" width="6" style="1007" customWidth="1"/>
    <col min="258" max="258" width="42.54296875" style="1007" customWidth="1"/>
    <col min="259" max="264" width="13.81640625" style="1007" customWidth="1"/>
    <col min="265" max="265" width="14.54296875" style="1007" customWidth="1"/>
    <col min="266" max="272" width="13.81640625" style="1007" customWidth="1"/>
    <col min="273" max="512" width="14.7265625" style="1007"/>
    <col min="513" max="513" width="6" style="1007" customWidth="1"/>
    <col min="514" max="514" width="42.54296875" style="1007" customWidth="1"/>
    <col min="515" max="520" width="13.81640625" style="1007" customWidth="1"/>
    <col min="521" max="521" width="14.54296875" style="1007" customWidth="1"/>
    <col min="522" max="528" width="13.81640625" style="1007" customWidth="1"/>
    <col min="529" max="768" width="14.7265625" style="1007"/>
    <col min="769" max="769" width="6" style="1007" customWidth="1"/>
    <col min="770" max="770" width="42.54296875" style="1007" customWidth="1"/>
    <col min="771" max="776" width="13.81640625" style="1007" customWidth="1"/>
    <col min="777" max="777" width="14.54296875" style="1007" customWidth="1"/>
    <col min="778" max="784" width="13.81640625" style="1007" customWidth="1"/>
    <col min="785" max="1024" width="14.7265625" style="1007"/>
    <col min="1025" max="1025" width="6" style="1007" customWidth="1"/>
    <col min="1026" max="1026" width="42.54296875" style="1007" customWidth="1"/>
    <col min="1027" max="1032" width="13.81640625" style="1007" customWidth="1"/>
    <col min="1033" max="1033" width="14.54296875" style="1007" customWidth="1"/>
    <col min="1034" max="1040" width="13.81640625" style="1007" customWidth="1"/>
    <col min="1041" max="1280" width="14.7265625" style="1007"/>
    <col min="1281" max="1281" width="6" style="1007" customWidth="1"/>
    <col min="1282" max="1282" width="42.54296875" style="1007" customWidth="1"/>
    <col min="1283" max="1288" width="13.81640625" style="1007" customWidth="1"/>
    <col min="1289" max="1289" width="14.54296875" style="1007" customWidth="1"/>
    <col min="1290" max="1296" width="13.81640625" style="1007" customWidth="1"/>
    <col min="1297" max="1536" width="14.7265625" style="1007"/>
    <col min="1537" max="1537" width="6" style="1007" customWidth="1"/>
    <col min="1538" max="1538" width="42.54296875" style="1007" customWidth="1"/>
    <col min="1539" max="1544" width="13.81640625" style="1007" customWidth="1"/>
    <col min="1545" max="1545" width="14.54296875" style="1007" customWidth="1"/>
    <col min="1546" max="1552" width="13.81640625" style="1007" customWidth="1"/>
    <col min="1553" max="1792" width="14.7265625" style="1007"/>
    <col min="1793" max="1793" width="6" style="1007" customWidth="1"/>
    <col min="1794" max="1794" width="42.54296875" style="1007" customWidth="1"/>
    <col min="1795" max="1800" width="13.81640625" style="1007" customWidth="1"/>
    <col min="1801" max="1801" width="14.54296875" style="1007" customWidth="1"/>
    <col min="1802" max="1808" width="13.81640625" style="1007" customWidth="1"/>
    <col min="1809" max="2048" width="14.7265625" style="1007"/>
    <col min="2049" max="2049" width="6" style="1007" customWidth="1"/>
    <col min="2050" max="2050" width="42.54296875" style="1007" customWidth="1"/>
    <col min="2051" max="2056" width="13.81640625" style="1007" customWidth="1"/>
    <col min="2057" max="2057" width="14.54296875" style="1007" customWidth="1"/>
    <col min="2058" max="2064" width="13.81640625" style="1007" customWidth="1"/>
    <col min="2065" max="2304" width="14.7265625" style="1007"/>
    <col min="2305" max="2305" width="6" style="1007" customWidth="1"/>
    <col min="2306" max="2306" width="42.54296875" style="1007" customWidth="1"/>
    <col min="2307" max="2312" width="13.81640625" style="1007" customWidth="1"/>
    <col min="2313" max="2313" width="14.54296875" style="1007" customWidth="1"/>
    <col min="2314" max="2320" width="13.81640625" style="1007" customWidth="1"/>
    <col min="2321" max="2560" width="14.7265625" style="1007"/>
    <col min="2561" max="2561" width="6" style="1007" customWidth="1"/>
    <col min="2562" max="2562" width="42.54296875" style="1007" customWidth="1"/>
    <col min="2563" max="2568" width="13.81640625" style="1007" customWidth="1"/>
    <col min="2569" max="2569" width="14.54296875" style="1007" customWidth="1"/>
    <col min="2570" max="2576" width="13.81640625" style="1007" customWidth="1"/>
    <col min="2577" max="2816" width="14.7265625" style="1007"/>
    <col min="2817" max="2817" width="6" style="1007" customWidth="1"/>
    <col min="2818" max="2818" width="42.54296875" style="1007" customWidth="1"/>
    <col min="2819" max="2824" width="13.81640625" style="1007" customWidth="1"/>
    <col min="2825" max="2825" width="14.54296875" style="1007" customWidth="1"/>
    <col min="2826" max="2832" width="13.81640625" style="1007" customWidth="1"/>
    <col min="2833" max="3072" width="14.7265625" style="1007"/>
    <col min="3073" max="3073" width="6" style="1007" customWidth="1"/>
    <col min="3074" max="3074" width="42.54296875" style="1007" customWidth="1"/>
    <col min="3075" max="3080" width="13.81640625" style="1007" customWidth="1"/>
    <col min="3081" max="3081" width="14.54296875" style="1007" customWidth="1"/>
    <col min="3082" max="3088" width="13.81640625" style="1007" customWidth="1"/>
    <col min="3089" max="3328" width="14.7265625" style="1007"/>
    <col min="3329" max="3329" width="6" style="1007" customWidth="1"/>
    <col min="3330" max="3330" width="42.54296875" style="1007" customWidth="1"/>
    <col min="3331" max="3336" width="13.81640625" style="1007" customWidth="1"/>
    <col min="3337" max="3337" width="14.54296875" style="1007" customWidth="1"/>
    <col min="3338" max="3344" width="13.81640625" style="1007" customWidth="1"/>
    <col min="3345" max="3584" width="14.7265625" style="1007"/>
    <col min="3585" max="3585" width="6" style="1007" customWidth="1"/>
    <col min="3586" max="3586" width="42.54296875" style="1007" customWidth="1"/>
    <col min="3587" max="3592" width="13.81640625" style="1007" customWidth="1"/>
    <col min="3593" max="3593" width="14.54296875" style="1007" customWidth="1"/>
    <col min="3594" max="3600" width="13.81640625" style="1007" customWidth="1"/>
    <col min="3601" max="3840" width="14.7265625" style="1007"/>
    <col min="3841" max="3841" width="6" style="1007" customWidth="1"/>
    <col min="3842" max="3842" width="42.54296875" style="1007" customWidth="1"/>
    <col min="3843" max="3848" width="13.81640625" style="1007" customWidth="1"/>
    <col min="3849" max="3849" width="14.54296875" style="1007" customWidth="1"/>
    <col min="3850" max="3856" width="13.81640625" style="1007" customWidth="1"/>
    <col min="3857" max="4096" width="14.7265625" style="1007"/>
    <col min="4097" max="4097" width="6" style="1007" customWidth="1"/>
    <col min="4098" max="4098" width="42.54296875" style="1007" customWidth="1"/>
    <col min="4099" max="4104" width="13.81640625" style="1007" customWidth="1"/>
    <col min="4105" max="4105" width="14.54296875" style="1007" customWidth="1"/>
    <col min="4106" max="4112" width="13.81640625" style="1007" customWidth="1"/>
    <col min="4113" max="4352" width="14.7265625" style="1007"/>
    <col min="4353" max="4353" width="6" style="1007" customWidth="1"/>
    <col min="4354" max="4354" width="42.54296875" style="1007" customWidth="1"/>
    <col min="4355" max="4360" width="13.81640625" style="1007" customWidth="1"/>
    <col min="4361" max="4361" width="14.54296875" style="1007" customWidth="1"/>
    <col min="4362" max="4368" width="13.81640625" style="1007" customWidth="1"/>
    <col min="4369" max="4608" width="14.7265625" style="1007"/>
    <col min="4609" max="4609" width="6" style="1007" customWidth="1"/>
    <col min="4610" max="4610" width="42.54296875" style="1007" customWidth="1"/>
    <col min="4611" max="4616" width="13.81640625" style="1007" customWidth="1"/>
    <col min="4617" max="4617" width="14.54296875" style="1007" customWidth="1"/>
    <col min="4618" max="4624" width="13.81640625" style="1007" customWidth="1"/>
    <col min="4625" max="4864" width="14.7265625" style="1007"/>
    <col min="4865" max="4865" width="6" style="1007" customWidth="1"/>
    <col min="4866" max="4866" width="42.54296875" style="1007" customWidth="1"/>
    <col min="4867" max="4872" width="13.81640625" style="1007" customWidth="1"/>
    <col min="4873" max="4873" width="14.54296875" style="1007" customWidth="1"/>
    <col min="4874" max="4880" width="13.81640625" style="1007" customWidth="1"/>
    <col min="4881" max="5120" width="14.7265625" style="1007"/>
    <col min="5121" max="5121" width="6" style="1007" customWidth="1"/>
    <col min="5122" max="5122" width="42.54296875" style="1007" customWidth="1"/>
    <col min="5123" max="5128" width="13.81640625" style="1007" customWidth="1"/>
    <col min="5129" max="5129" width="14.54296875" style="1007" customWidth="1"/>
    <col min="5130" max="5136" width="13.81640625" style="1007" customWidth="1"/>
    <col min="5137" max="5376" width="14.7265625" style="1007"/>
    <col min="5377" max="5377" width="6" style="1007" customWidth="1"/>
    <col min="5378" max="5378" width="42.54296875" style="1007" customWidth="1"/>
    <col min="5379" max="5384" width="13.81640625" style="1007" customWidth="1"/>
    <col min="5385" max="5385" width="14.54296875" style="1007" customWidth="1"/>
    <col min="5386" max="5392" width="13.81640625" style="1007" customWidth="1"/>
    <col min="5393" max="5632" width="14.7265625" style="1007"/>
    <col min="5633" max="5633" width="6" style="1007" customWidth="1"/>
    <col min="5634" max="5634" width="42.54296875" style="1007" customWidth="1"/>
    <col min="5635" max="5640" width="13.81640625" style="1007" customWidth="1"/>
    <col min="5641" max="5641" width="14.54296875" style="1007" customWidth="1"/>
    <col min="5642" max="5648" width="13.81640625" style="1007" customWidth="1"/>
    <col min="5649" max="5888" width="14.7265625" style="1007"/>
    <col min="5889" max="5889" width="6" style="1007" customWidth="1"/>
    <col min="5890" max="5890" width="42.54296875" style="1007" customWidth="1"/>
    <col min="5891" max="5896" width="13.81640625" style="1007" customWidth="1"/>
    <col min="5897" max="5897" width="14.54296875" style="1007" customWidth="1"/>
    <col min="5898" max="5904" width="13.81640625" style="1007" customWidth="1"/>
    <col min="5905" max="6144" width="14.7265625" style="1007"/>
    <col min="6145" max="6145" width="6" style="1007" customWidth="1"/>
    <col min="6146" max="6146" width="42.54296875" style="1007" customWidth="1"/>
    <col min="6147" max="6152" width="13.81640625" style="1007" customWidth="1"/>
    <col min="6153" max="6153" width="14.54296875" style="1007" customWidth="1"/>
    <col min="6154" max="6160" width="13.81640625" style="1007" customWidth="1"/>
    <col min="6161" max="6400" width="14.7265625" style="1007"/>
    <col min="6401" max="6401" width="6" style="1007" customWidth="1"/>
    <col min="6402" max="6402" width="42.54296875" style="1007" customWidth="1"/>
    <col min="6403" max="6408" width="13.81640625" style="1007" customWidth="1"/>
    <col min="6409" max="6409" width="14.54296875" style="1007" customWidth="1"/>
    <col min="6410" max="6416" width="13.81640625" style="1007" customWidth="1"/>
    <col min="6417" max="6656" width="14.7265625" style="1007"/>
    <col min="6657" max="6657" width="6" style="1007" customWidth="1"/>
    <col min="6658" max="6658" width="42.54296875" style="1007" customWidth="1"/>
    <col min="6659" max="6664" width="13.81640625" style="1007" customWidth="1"/>
    <col min="6665" max="6665" width="14.54296875" style="1007" customWidth="1"/>
    <col min="6666" max="6672" width="13.81640625" style="1007" customWidth="1"/>
    <col min="6673" max="6912" width="14.7265625" style="1007"/>
    <col min="6913" max="6913" width="6" style="1007" customWidth="1"/>
    <col min="6914" max="6914" width="42.54296875" style="1007" customWidth="1"/>
    <col min="6915" max="6920" width="13.81640625" style="1007" customWidth="1"/>
    <col min="6921" max="6921" width="14.54296875" style="1007" customWidth="1"/>
    <col min="6922" max="6928" width="13.81640625" style="1007" customWidth="1"/>
    <col min="6929" max="7168" width="14.7265625" style="1007"/>
    <col min="7169" max="7169" width="6" style="1007" customWidth="1"/>
    <col min="7170" max="7170" width="42.54296875" style="1007" customWidth="1"/>
    <col min="7171" max="7176" width="13.81640625" style="1007" customWidth="1"/>
    <col min="7177" max="7177" width="14.54296875" style="1007" customWidth="1"/>
    <col min="7178" max="7184" width="13.81640625" style="1007" customWidth="1"/>
    <col min="7185" max="7424" width="14.7265625" style="1007"/>
    <col min="7425" max="7425" width="6" style="1007" customWidth="1"/>
    <col min="7426" max="7426" width="42.54296875" style="1007" customWidth="1"/>
    <col min="7427" max="7432" width="13.81640625" style="1007" customWidth="1"/>
    <col min="7433" max="7433" width="14.54296875" style="1007" customWidth="1"/>
    <col min="7434" max="7440" width="13.81640625" style="1007" customWidth="1"/>
    <col min="7441" max="7680" width="14.7265625" style="1007"/>
    <col min="7681" max="7681" width="6" style="1007" customWidth="1"/>
    <col min="7682" max="7682" width="42.54296875" style="1007" customWidth="1"/>
    <col min="7683" max="7688" width="13.81640625" style="1007" customWidth="1"/>
    <col min="7689" max="7689" width="14.54296875" style="1007" customWidth="1"/>
    <col min="7690" max="7696" width="13.81640625" style="1007" customWidth="1"/>
    <col min="7697" max="7936" width="14.7265625" style="1007"/>
    <col min="7937" max="7937" width="6" style="1007" customWidth="1"/>
    <col min="7938" max="7938" width="42.54296875" style="1007" customWidth="1"/>
    <col min="7939" max="7944" width="13.81640625" style="1007" customWidth="1"/>
    <col min="7945" max="7945" width="14.54296875" style="1007" customWidth="1"/>
    <col min="7946" max="7952" width="13.81640625" style="1007" customWidth="1"/>
    <col min="7953" max="8192" width="14.7265625" style="1007"/>
    <col min="8193" max="8193" width="6" style="1007" customWidth="1"/>
    <col min="8194" max="8194" width="42.54296875" style="1007" customWidth="1"/>
    <col min="8195" max="8200" width="13.81640625" style="1007" customWidth="1"/>
    <col min="8201" max="8201" width="14.54296875" style="1007" customWidth="1"/>
    <col min="8202" max="8208" width="13.81640625" style="1007" customWidth="1"/>
    <col min="8209" max="8448" width="14.7265625" style="1007"/>
    <col min="8449" max="8449" width="6" style="1007" customWidth="1"/>
    <col min="8450" max="8450" width="42.54296875" style="1007" customWidth="1"/>
    <col min="8451" max="8456" width="13.81640625" style="1007" customWidth="1"/>
    <col min="8457" max="8457" width="14.54296875" style="1007" customWidth="1"/>
    <col min="8458" max="8464" width="13.81640625" style="1007" customWidth="1"/>
    <col min="8465" max="8704" width="14.7265625" style="1007"/>
    <col min="8705" max="8705" width="6" style="1007" customWidth="1"/>
    <col min="8706" max="8706" width="42.54296875" style="1007" customWidth="1"/>
    <col min="8707" max="8712" width="13.81640625" style="1007" customWidth="1"/>
    <col min="8713" max="8713" width="14.54296875" style="1007" customWidth="1"/>
    <col min="8714" max="8720" width="13.81640625" style="1007" customWidth="1"/>
    <col min="8721" max="8960" width="14.7265625" style="1007"/>
    <col min="8961" max="8961" width="6" style="1007" customWidth="1"/>
    <col min="8962" max="8962" width="42.54296875" style="1007" customWidth="1"/>
    <col min="8963" max="8968" width="13.81640625" style="1007" customWidth="1"/>
    <col min="8969" max="8969" width="14.54296875" style="1007" customWidth="1"/>
    <col min="8970" max="8976" width="13.81640625" style="1007" customWidth="1"/>
    <col min="8977" max="9216" width="14.7265625" style="1007"/>
    <col min="9217" max="9217" width="6" style="1007" customWidth="1"/>
    <col min="9218" max="9218" width="42.54296875" style="1007" customWidth="1"/>
    <col min="9219" max="9224" width="13.81640625" style="1007" customWidth="1"/>
    <col min="9225" max="9225" width="14.54296875" style="1007" customWidth="1"/>
    <col min="9226" max="9232" width="13.81640625" style="1007" customWidth="1"/>
    <col min="9233" max="9472" width="14.7265625" style="1007"/>
    <col min="9473" max="9473" width="6" style="1007" customWidth="1"/>
    <col min="9474" max="9474" width="42.54296875" style="1007" customWidth="1"/>
    <col min="9475" max="9480" width="13.81640625" style="1007" customWidth="1"/>
    <col min="9481" max="9481" width="14.54296875" style="1007" customWidth="1"/>
    <col min="9482" max="9488" width="13.81640625" style="1007" customWidth="1"/>
    <col min="9489" max="9728" width="14.7265625" style="1007"/>
    <col min="9729" max="9729" width="6" style="1007" customWidth="1"/>
    <col min="9730" max="9730" width="42.54296875" style="1007" customWidth="1"/>
    <col min="9731" max="9736" width="13.81640625" style="1007" customWidth="1"/>
    <col min="9737" max="9737" width="14.54296875" style="1007" customWidth="1"/>
    <col min="9738" max="9744" width="13.81640625" style="1007" customWidth="1"/>
    <col min="9745" max="9984" width="14.7265625" style="1007"/>
    <col min="9985" max="9985" width="6" style="1007" customWidth="1"/>
    <col min="9986" max="9986" width="42.54296875" style="1007" customWidth="1"/>
    <col min="9987" max="9992" width="13.81640625" style="1007" customWidth="1"/>
    <col min="9993" max="9993" width="14.54296875" style="1007" customWidth="1"/>
    <col min="9994" max="10000" width="13.81640625" style="1007" customWidth="1"/>
    <col min="10001" max="10240" width="14.7265625" style="1007"/>
    <col min="10241" max="10241" width="6" style="1007" customWidth="1"/>
    <col min="10242" max="10242" width="42.54296875" style="1007" customWidth="1"/>
    <col min="10243" max="10248" width="13.81640625" style="1007" customWidth="1"/>
    <col min="10249" max="10249" width="14.54296875" style="1007" customWidth="1"/>
    <col min="10250" max="10256" width="13.81640625" style="1007" customWidth="1"/>
    <col min="10257" max="10496" width="14.7265625" style="1007"/>
    <col min="10497" max="10497" width="6" style="1007" customWidth="1"/>
    <col min="10498" max="10498" width="42.54296875" style="1007" customWidth="1"/>
    <col min="10499" max="10504" width="13.81640625" style="1007" customWidth="1"/>
    <col min="10505" max="10505" width="14.54296875" style="1007" customWidth="1"/>
    <col min="10506" max="10512" width="13.81640625" style="1007" customWidth="1"/>
    <col min="10513" max="10752" width="14.7265625" style="1007"/>
    <col min="10753" max="10753" width="6" style="1007" customWidth="1"/>
    <col min="10754" max="10754" width="42.54296875" style="1007" customWidth="1"/>
    <col min="10755" max="10760" width="13.81640625" style="1007" customWidth="1"/>
    <col min="10761" max="10761" width="14.54296875" style="1007" customWidth="1"/>
    <col min="10762" max="10768" width="13.81640625" style="1007" customWidth="1"/>
    <col min="10769" max="11008" width="14.7265625" style="1007"/>
    <col min="11009" max="11009" width="6" style="1007" customWidth="1"/>
    <col min="11010" max="11010" width="42.54296875" style="1007" customWidth="1"/>
    <col min="11011" max="11016" width="13.81640625" style="1007" customWidth="1"/>
    <col min="11017" max="11017" width="14.54296875" style="1007" customWidth="1"/>
    <col min="11018" max="11024" width="13.81640625" style="1007" customWidth="1"/>
    <col min="11025" max="11264" width="14.7265625" style="1007"/>
    <col min="11265" max="11265" width="6" style="1007" customWidth="1"/>
    <col min="11266" max="11266" width="42.54296875" style="1007" customWidth="1"/>
    <col min="11267" max="11272" width="13.81640625" style="1007" customWidth="1"/>
    <col min="11273" max="11273" width="14.54296875" style="1007" customWidth="1"/>
    <col min="11274" max="11280" width="13.81640625" style="1007" customWidth="1"/>
    <col min="11281" max="11520" width="14.7265625" style="1007"/>
    <col min="11521" max="11521" width="6" style="1007" customWidth="1"/>
    <col min="11522" max="11522" width="42.54296875" style="1007" customWidth="1"/>
    <col min="11523" max="11528" width="13.81640625" style="1007" customWidth="1"/>
    <col min="11529" max="11529" width="14.54296875" style="1007" customWidth="1"/>
    <col min="11530" max="11536" width="13.81640625" style="1007" customWidth="1"/>
    <col min="11537" max="11776" width="14.7265625" style="1007"/>
    <col min="11777" max="11777" width="6" style="1007" customWidth="1"/>
    <col min="11778" max="11778" width="42.54296875" style="1007" customWidth="1"/>
    <col min="11779" max="11784" width="13.81640625" style="1007" customWidth="1"/>
    <col min="11785" max="11785" width="14.54296875" style="1007" customWidth="1"/>
    <col min="11786" max="11792" width="13.81640625" style="1007" customWidth="1"/>
    <col min="11793" max="12032" width="14.7265625" style="1007"/>
    <col min="12033" max="12033" width="6" style="1007" customWidth="1"/>
    <col min="12034" max="12034" width="42.54296875" style="1007" customWidth="1"/>
    <col min="12035" max="12040" width="13.81640625" style="1007" customWidth="1"/>
    <col min="12041" max="12041" width="14.54296875" style="1007" customWidth="1"/>
    <col min="12042" max="12048" width="13.81640625" style="1007" customWidth="1"/>
    <col min="12049" max="12288" width="14.7265625" style="1007"/>
    <col min="12289" max="12289" width="6" style="1007" customWidth="1"/>
    <col min="12290" max="12290" width="42.54296875" style="1007" customWidth="1"/>
    <col min="12291" max="12296" width="13.81640625" style="1007" customWidth="1"/>
    <col min="12297" max="12297" width="14.54296875" style="1007" customWidth="1"/>
    <col min="12298" max="12304" width="13.81640625" style="1007" customWidth="1"/>
    <col min="12305" max="12544" width="14.7265625" style="1007"/>
    <col min="12545" max="12545" width="6" style="1007" customWidth="1"/>
    <col min="12546" max="12546" width="42.54296875" style="1007" customWidth="1"/>
    <col min="12547" max="12552" width="13.81640625" style="1007" customWidth="1"/>
    <col min="12553" max="12553" width="14.54296875" style="1007" customWidth="1"/>
    <col min="12554" max="12560" width="13.81640625" style="1007" customWidth="1"/>
    <col min="12561" max="12800" width="14.7265625" style="1007"/>
    <col min="12801" max="12801" width="6" style="1007" customWidth="1"/>
    <col min="12802" max="12802" width="42.54296875" style="1007" customWidth="1"/>
    <col min="12803" max="12808" width="13.81640625" style="1007" customWidth="1"/>
    <col min="12809" max="12809" width="14.54296875" style="1007" customWidth="1"/>
    <col min="12810" max="12816" width="13.81640625" style="1007" customWidth="1"/>
    <col min="12817" max="13056" width="14.7265625" style="1007"/>
    <col min="13057" max="13057" width="6" style="1007" customWidth="1"/>
    <col min="13058" max="13058" width="42.54296875" style="1007" customWidth="1"/>
    <col min="13059" max="13064" width="13.81640625" style="1007" customWidth="1"/>
    <col min="13065" max="13065" width="14.54296875" style="1007" customWidth="1"/>
    <col min="13066" max="13072" width="13.81640625" style="1007" customWidth="1"/>
    <col min="13073" max="13312" width="14.7265625" style="1007"/>
    <col min="13313" max="13313" width="6" style="1007" customWidth="1"/>
    <col min="13314" max="13314" width="42.54296875" style="1007" customWidth="1"/>
    <col min="13315" max="13320" width="13.81640625" style="1007" customWidth="1"/>
    <col min="13321" max="13321" width="14.54296875" style="1007" customWidth="1"/>
    <col min="13322" max="13328" width="13.81640625" style="1007" customWidth="1"/>
    <col min="13329" max="13568" width="14.7265625" style="1007"/>
    <col min="13569" max="13569" width="6" style="1007" customWidth="1"/>
    <col min="13570" max="13570" width="42.54296875" style="1007" customWidth="1"/>
    <col min="13571" max="13576" width="13.81640625" style="1007" customWidth="1"/>
    <col min="13577" max="13577" width="14.54296875" style="1007" customWidth="1"/>
    <col min="13578" max="13584" width="13.81640625" style="1007" customWidth="1"/>
    <col min="13585" max="13824" width="14.7265625" style="1007"/>
    <col min="13825" max="13825" width="6" style="1007" customWidth="1"/>
    <col min="13826" max="13826" width="42.54296875" style="1007" customWidth="1"/>
    <col min="13827" max="13832" width="13.81640625" style="1007" customWidth="1"/>
    <col min="13833" max="13833" width="14.54296875" style="1007" customWidth="1"/>
    <col min="13834" max="13840" width="13.81640625" style="1007" customWidth="1"/>
    <col min="13841" max="14080" width="14.7265625" style="1007"/>
    <col min="14081" max="14081" width="6" style="1007" customWidth="1"/>
    <col min="14082" max="14082" width="42.54296875" style="1007" customWidth="1"/>
    <col min="14083" max="14088" width="13.81640625" style="1007" customWidth="1"/>
    <col min="14089" max="14089" width="14.54296875" style="1007" customWidth="1"/>
    <col min="14090" max="14096" width="13.81640625" style="1007" customWidth="1"/>
    <col min="14097" max="14336" width="14.7265625" style="1007"/>
    <col min="14337" max="14337" width="6" style="1007" customWidth="1"/>
    <col min="14338" max="14338" width="42.54296875" style="1007" customWidth="1"/>
    <col min="14339" max="14344" width="13.81640625" style="1007" customWidth="1"/>
    <col min="14345" max="14345" width="14.54296875" style="1007" customWidth="1"/>
    <col min="14346" max="14352" width="13.81640625" style="1007" customWidth="1"/>
    <col min="14353" max="14592" width="14.7265625" style="1007"/>
    <col min="14593" max="14593" width="6" style="1007" customWidth="1"/>
    <col min="14594" max="14594" width="42.54296875" style="1007" customWidth="1"/>
    <col min="14595" max="14600" width="13.81640625" style="1007" customWidth="1"/>
    <col min="14601" max="14601" width="14.54296875" style="1007" customWidth="1"/>
    <col min="14602" max="14608" width="13.81640625" style="1007" customWidth="1"/>
    <col min="14609" max="14848" width="14.7265625" style="1007"/>
    <col min="14849" max="14849" width="6" style="1007" customWidth="1"/>
    <col min="14850" max="14850" width="42.54296875" style="1007" customWidth="1"/>
    <col min="14851" max="14856" width="13.81640625" style="1007" customWidth="1"/>
    <col min="14857" max="14857" width="14.54296875" style="1007" customWidth="1"/>
    <col min="14858" max="14864" width="13.81640625" style="1007" customWidth="1"/>
    <col min="14865" max="15104" width="14.7265625" style="1007"/>
    <col min="15105" max="15105" width="6" style="1007" customWidth="1"/>
    <col min="15106" max="15106" width="42.54296875" style="1007" customWidth="1"/>
    <col min="15107" max="15112" width="13.81640625" style="1007" customWidth="1"/>
    <col min="15113" max="15113" width="14.54296875" style="1007" customWidth="1"/>
    <col min="15114" max="15120" width="13.81640625" style="1007" customWidth="1"/>
    <col min="15121" max="15360" width="14.7265625" style="1007"/>
    <col min="15361" max="15361" width="6" style="1007" customWidth="1"/>
    <col min="15362" max="15362" width="42.54296875" style="1007" customWidth="1"/>
    <col min="15363" max="15368" width="13.81640625" style="1007" customWidth="1"/>
    <col min="15369" max="15369" width="14.54296875" style="1007" customWidth="1"/>
    <col min="15370" max="15376" width="13.81640625" style="1007" customWidth="1"/>
    <col min="15377" max="15616" width="14.7265625" style="1007"/>
    <col min="15617" max="15617" width="6" style="1007" customWidth="1"/>
    <col min="15618" max="15618" width="42.54296875" style="1007" customWidth="1"/>
    <col min="15619" max="15624" width="13.81640625" style="1007" customWidth="1"/>
    <col min="15625" max="15625" width="14.54296875" style="1007" customWidth="1"/>
    <col min="15626" max="15632" width="13.81640625" style="1007" customWidth="1"/>
    <col min="15633" max="15872" width="14.7265625" style="1007"/>
    <col min="15873" max="15873" width="6" style="1007" customWidth="1"/>
    <col min="15874" max="15874" width="42.54296875" style="1007" customWidth="1"/>
    <col min="15875" max="15880" width="13.81640625" style="1007" customWidth="1"/>
    <col min="15881" max="15881" width="14.54296875" style="1007" customWidth="1"/>
    <col min="15882" max="15888" width="13.81640625" style="1007" customWidth="1"/>
    <col min="15889" max="16128" width="14.7265625" style="1007"/>
    <col min="16129" max="16129" width="6" style="1007" customWidth="1"/>
    <col min="16130" max="16130" width="42.54296875" style="1007" customWidth="1"/>
    <col min="16131" max="16136" width="13.81640625" style="1007" customWidth="1"/>
    <col min="16137" max="16137" width="14.54296875" style="1007" customWidth="1"/>
    <col min="16138" max="16144" width="13.81640625" style="1007" customWidth="1"/>
    <col min="16145" max="16384" width="14.7265625" style="1007"/>
  </cols>
  <sheetData>
    <row r="1" spans="1:57" ht="18">
      <c r="B1" s="1580" t="s">
        <v>5525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10" t="s">
        <v>124</v>
      </c>
      <c r="P1" s="1011" t="s">
        <v>4070</v>
      </c>
    </row>
    <row r="2" spans="1:57" ht="20.25" customHeight="1">
      <c r="B2" s="3479" t="s">
        <v>1361</v>
      </c>
      <c r="C2" s="3479"/>
      <c r="D2" s="3479"/>
      <c r="E2" s="3479"/>
      <c r="F2" s="3479"/>
      <c r="G2" s="3479"/>
      <c r="H2" s="3479"/>
      <c r="I2" s="3479"/>
      <c r="J2" s="3479"/>
      <c r="K2" s="3479"/>
      <c r="L2" s="3479"/>
      <c r="M2" s="3479"/>
      <c r="N2" s="3479"/>
      <c r="O2" s="3479"/>
      <c r="P2" s="3479"/>
    </row>
    <row r="3" spans="1:57" ht="6.75" customHeight="1">
      <c r="B3" s="1012"/>
      <c r="C3" s="1012"/>
      <c r="D3" s="1012"/>
      <c r="E3" s="1012"/>
      <c r="F3" s="1012"/>
      <c r="G3" s="1012"/>
      <c r="H3" s="1013"/>
      <c r="I3" s="1012"/>
      <c r="J3" s="1012"/>
      <c r="K3" s="1012"/>
      <c r="O3" s="1012"/>
      <c r="P3" s="1012"/>
    </row>
    <row r="4" spans="1:57" s="1014" customFormat="1" ht="45.75" customHeight="1">
      <c r="B4" s="1015"/>
      <c r="C4" s="3480" t="s">
        <v>8375</v>
      </c>
      <c r="D4" s="3480"/>
      <c r="E4" s="3480"/>
      <c r="F4" s="3480"/>
      <c r="G4" s="3481" t="s">
        <v>8376</v>
      </c>
      <c r="H4" s="3482"/>
      <c r="I4" s="3483"/>
      <c r="J4" s="3484" t="s">
        <v>8377</v>
      </c>
      <c r="K4" s="3485"/>
      <c r="L4" s="3486"/>
      <c r="M4" s="3480" t="s">
        <v>8378</v>
      </c>
      <c r="N4" s="3480"/>
      <c r="O4" s="3480"/>
      <c r="P4" s="3480"/>
      <c r="Q4" s="1016"/>
    </row>
    <row r="5" spans="1:57" s="1020" customFormat="1" ht="88.5" customHeight="1">
      <c r="A5" s="1017" t="s">
        <v>4071</v>
      </c>
      <c r="B5" s="1017" t="s">
        <v>4072</v>
      </c>
      <c r="C5" s="1017" t="s">
        <v>4073</v>
      </c>
      <c r="D5" s="1017" t="s">
        <v>4074</v>
      </c>
      <c r="E5" s="1017" t="s">
        <v>4431</v>
      </c>
      <c r="F5" s="1017" t="s">
        <v>4075</v>
      </c>
      <c r="G5" s="1017" t="s">
        <v>4076</v>
      </c>
      <c r="H5" s="1017" t="s">
        <v>4431</v>
      </c>
      <c r="I5" s="1017" t="s">
        <v>4075</v>
      </c>
      <c r="J5" s="1017" t="s">
        <v>4432</v>
      </c>
      <c r="K5" s="1017" t="s">
        <v>4075</v>
      </c>
      <c r="L5" s="1017" t="s">
        <v>4077</v>
      </c>
      <c r="M5" s="1017" t="s">
        <v>4078</v>
      </c>
      <c r="N5" s="1017" t="s">
        <v>4431</v>
      </c>
      <c r="O5" s="1017" t="s">
        <v>4075</v>
      </c>
      <c r="P5" s="1017" t="s">
        <v>4077</v>
      </c>
      <c r="Q5" s="1018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</row>
    <row r="6" spans="1:57" s="1014" customFormat="1" ht="28.5" customHeight="1">
      <c r="A6" s="1761">
        <v>1</v>
      </c>
      <c r="B6" s="1761">
        <v>2</v>
      </c>
      <c r="C6" s="1761">
        <v>3</v>
      </c>
      <c r="D6" s="1761">
        <v>4</v>
      </c>
      <c r="E6" s="1761">
        <v>5</v>
      </c>
      <c r="F6" s="1761">
        <v>6</v>
      </c>
      <c r="G6" s="1761">
        <v>7</v>
      </c>
      <c r="H6" s="1761">
        <v>8</v>
      </c>
      <c r="I6" s="1761">
        <v>9</v>
      </c>
      <c r="J6" s="1761">
        <v>10</v>
      </c>
      <c r="K6" s="1761">
        <v>11</v>
      </c>
      <c r="L6" s="1761">
        <v>12</v>
      </c>
      <c r="M6" s="1761">
        <v>13</v>
      </c>
      <c r="N6" s="1761">
        <v>14</v>
      </c>
      <c r="O6" s="1761">
        <v>15</v>
      </c>
      <c r="P6" s="1761">
        <v>16</v>
      </c>
      <c r="Q6" s="1016"/>
    </row>
    <row r="7" spans="1:57" ht="28.5" customHeight="1">
      <c r="A7" s="1014"/>
      <c r="B7" s="1761" t="s">
        <v>4079</v>
      </c>
      <c r="C7" s="1022"/>
      <c r="D7" s="1761"/>
      <c r="E7" s="1761"/>
      <c r="F7" s="1761"/>
      <c r="G7" s="1761"/>
      <c r="H7" s="1761"/>
      <c r="I7" s="1761"/>
      <c r="J7" s="1761"/>
      <c r="K7" s="1761"/>
      <c r="L7" s="1761"/>
      <c r="M7" s="1761"/>
      <c r="N7" s="1761"/>
      <c r="O7" s="1761"/>
      <c r="P7" s="1761"/>
    </row>
    <row r="8" spans="1:57" ht="28.5" customHeight="1">
      <c r="A8" s="1022">
        <v>1</v>
      </c>
      <c r="B8" s="1014" t="s">
        <v>462</v>
      </c>
      <c r="C8" s="1022" t="s">
        <v>1496</v>
      </c>
      <c r="D8" s="1014"/>
      <c r="E8" s="1761"/>
      <c r="F8" s="1761"/>
      <c r="G8" s="1761"/>
      <c r="H8" s="1014"/>
      <c r="I8" s="1761"/>
      <c r="J8" s="1761"/>
      <c r="K8" s="1761"/>
      <c r="L8" s="1761"/>
      <c r="M8" s="1761"/>
      <c r="N8" s="1761"/>
      <c r="O8" s="1761"/>
      <c r="P8" s="1761"/>
    </row>
    <row r="9" spans="1:57" ht="28.5" customHeight="1">
      <c r="A9" s="1022"/>
      <c r="B9" s="1022" t="s">
        <v>1323</v>
      </c>
      <c r="C9" s="1014"/>
      <c r="D9" s="2386">
        <v>269612</v>
      </c>
      <c r="E9" s="1022">
        <v>108203.73</v>
      </c>
      <c r="F9" s="2387">
        <f>'T-6 (21-22)'!I8</f>
        <v>36.859901999999991</v>
      </c>
      <c r="G9" s="2386">
        <v>145724</v>
      </c>
      <c r="H9" s="1022">
        <v>37968.627</v>
      </c>
      <c r="I9" s="3102">
        <f>'T-6 (22-23)'!I8</f>
        <v>6.9980088</v>
      </c>
      <c r="J9" s="1022">
        <v>38097.627</v>
      </c>
      <c r="K9" s="2389">
        <v>20</v>
      </c>
      <c r="L9" s="1025">
        <f>(K9-F9)/F9</f>
        <v>-0.45740496000233521</v>
      </c>
      <c r="M9" s="2386">
        <v>110203</v>
      </c>
      <c r="N9" s="1022">
        <v>38226.627</v>
      </c>
      <c r="O9" s="2387">
        <v>20</v>
      </c>
      <c r="P9" s="1026">
        <f t="shared" ref="P9:P61" si="0">(O9-K9)/K9</f>
        <v>0</v>
      </c>
      <c r="Q9" s="1519"/>
      <c r="R9" s="1052"/>
      <c r="S9" s="1519"/>
    </row>
    <row r="10" spans="1:57" ht="28.5" customHeight="1">
      <c r="A10" s="1022"/>
      <c r="B10" s="1022" t="s">
        <v>116</v>
      </c>
      <c r="C10" s="1014"/>
      <c r="D10" s="2386">
        <v>1930906</v>
      </c>
      <c r="E10" s="2388">
        <v>1808202.9200000002</v>
      </c>
      <c r="F10" s="2387">
        <f>'T-6 (21-22)'!I9+'T-6 (21-22)'!I14</f>
        <v>1555.8504916444199</v>
      </c>
      <c r="G10" s="2386">
        <v>2090814</v>
      </c>
      <c r="H10" s="2388">
        <f>1936954.152+200000+149000</f>
        <v>2285954.1519999998</v>
      </c>
      <c r="I10" s="2387">
        <f>'T-6 (22-23)'!I9+'T-6 (22-23)'!I14</f>
        <v>857.18793930150002</v>
      </c>
      <c r="J10" s="2390">
        <f>1980634.528+200000</f>
        <v>2180634.5279999999</v>
      </c>
      <c r="K10" s="2389">
        <v>1750.26</v>
      </c>
      <c r="L10" s="1025">
        <f>(K10-F10)/F10</f>
        <v>0.12495384961449831</v>
      </c>
      <c r="M10" s="2388">
        <v>2145459</v>
      </c>
      <c r="N10" s="2388">
        <f>2024314.904</f>
        <v>2024314.9040000001</v>
      </c>
      <c r="O10" s="2387">
        <v>1885.8364812775001</v>
      </c>
      <c r="P10" s="1026">
        <f t="shared" si="0"/>
        <v>7.7460766558968427E-2</v>
      </c>
      <c r="Q10" s="1519"/>
      <c r="R10" s="1052"/>
      <c r="S10" s="3110"/>
    </row>
    <row r="11" spans="1:57" ht="28.5" customHeight="1">
      <c r="A11" s="1022"/>
      <c r="B11" s="1022" t="s">
        <v>4080</v>
      </c>
      <c r="C11" s="1014"/>
      <c r="D11" s="1761"/>
      <c r="E11" s="2391"/>
      <c r="F11" s="2387"/>
      <c r="G11" s="1761"/>
      <c r="H11" s="2391"/>
      <c r="I11" s="2388">
        <f>'T-2 (A-S)'!F15+'T-2 (A-S)'!F34</f>
        <v>449.10899999999992</v>
      </c>
      <c r="J11" s="2391"/>
      <c r="K11" s="2389">
        <f>I11/$I$10*$K$10-6-123</f>
        <v>788.01887334128571</v>
      </c>
      <c r="L11" s="2388"/>
      <c r="M11" s="1761"/>
      <c r="N11" s="1761"/>
      <c r="O11" s="2387">
        <f>K11/$K$10*$O$10+27</f>
        <v>876.05941933323641</v>
      </c>
      <c r="P11" s="1026"/>
      <c r="Q11" s="1042"/>
      <c r="S11" s="1519"/>
      <c r="T11" s="3110"/>
    </row>
    <row r="12" spans="1:57" ht="28.5" customHeight="1">
      <c r="A12" s="1022"/>
      <c r="B12" s="1022" t="s">
        <v>4081</v>
      </c>
      <c r="C12" s="1014"/>
      <c r="D12" s="1761"/>
      <c r="E12" s="2391"/>
      <c r="F12" s="2387"/>
      <c r="G12" s="1761"/>
      <c r="H12" s="2391"/>
      <c r="I12" s="2387">
        <f>'T-2 (A-S)'!G43</f>
        <v>276.512</v>
      </c>
      <c r="J12" s="2391"/>
      <c r="K12" s="2389">
        <f>I12/$I$10*$K$10</f>
        <v>564.59951304771357</v>
      </c>
      <c r="L12" s="2388"/>
      <c r="M12" s="1761"/>
      <c r="N12" s="1761"/>
      <c r="O12" s="2387">
        <f>K12/$K$10*$O$10-162</f>
        <v>446.33382412720982</v>
      </c>
      <c r="P12" s="1026"/>
      <c r="Q12" s="1519"/>
      <c r="R12" s="1052"/>
      <c r="S12" s="1519"/>
    </row>
    <row r="13" spans="1:57" ht="28.5" customHeight="1">
      <c r="A13" s="1022"/>
      <c r="B13" s="1022" t="s">
        <v>4082</v>
      </c>
      <c r="C13" s="1014"/>
      <c r="D13" s="1761"/>
      <c r="E13" s="1761"/>
      <c r="F13" s="2387"/>
      <c r="G13" s="1761"/>
      <c r="H13" s="1761"/>
      <c r="I13" s="2388">
        <f>'T-2 (A-S)'!H43</f>
        <v>73.635999999999996</v>
      </c>
      <c r="J13" s="1761"/>
      <c r="K13" s="2389">
        <f>I13/$I$10*$K$10</f>
        <v>150.3545948920171</v>
      </c>
      <c r="L13" s="2388"/>
      <c r="M13" s="1761"/>
      <c r="N13" s="1761"/>
      <c r="O13" s="2387">
        <f>K13/$K$10*$O$10+48</f>
        <v>210.00117706801592</v>
      </c>
      <c r="P13" s="1026"/>
      <c r="Q13" s="1519"/>
      <c r="S13" s="1519"/>
    </row>
    <row r="14" spans="1:57" ht="28.5" customHeight="1">
      <c r="A14" s="1022"/>
      <c r="B14" s="1022" t="s">
        <v>4083</v>
      </c>
      <c r="C14" s="1014"/>
      <c r="D14" s="1761"/>
      <c r="E14" s="1761"/>
      <c r="F14" s="2387"/>
      <c r="G14" s="1761"/>
      <c r="H14" s="1761"/>
      <c r="I14" s="2388">
        <f>'T-2 (A-S)'!I43-'T-2 (A-S)'!I16</f>
        <v>57.925999999999995</v>
      </c>
      <c r="J14" s="1761"/>
      <c r="K14" s="2389">
        <f>I14/$I$10*$K$10+123+6</f>
        <v>247.27693334394837</v>
      </c>
      <c r="L14" s="2388"/>
      <c r="M14" s="1761"/>
      <c r="N14" s="1761"/>
      <c r="O14" s="2387">
        <f>K14/$K$10*$O$10+87</f>
        <v>353.43119415312157</v>
      </c>
      <c r="P14" s="1026"/>
      <c r="Q14" s="1519"/>
      <c r="R14" s="1519"/>
      <c r="S14" s="1052"/>
    </row>
    <row r="15" spans="1:57" ht="28.5" customHeight="1">
      <c r="A15" s="1022"/>
      <c r="B15" s="1014"/>
      <c r="C15" s="1027" t="s">
        <v>1327</v>
      </c>
      <c r="D15" s="1761">
        <f t="shared" ref="D15:E15" si="1">SUM(D9:D14)</f>
        <v>2200518</v>
      </c>
      <c r="E15" s="2392">
        <f t="shared" si="1"/>
        <v>1916406.6500000001</v>
      </c>
      <c r="F15" s="2391">
        <f>F9+F10</f>
        <v>1592.7103936444198</v>
      </c>
      <c r="G15" s="1761">
        <f t="shared" ref="G15:H15" si="2">SUM(G9:G14)</f>
        <v>2236538</v>
      </c>
      <c r="H15" s="1761">
        <f t="shared" si="2"/>
        <v>2323922.7789999996</v>
      </c>
      <c r="I15" s="2391">
        <f>I10+I9</f>
        <v>864.1859481015</v>
      </c>
      <c r="J15" s="1761">
        <f t="shared" ref="J15" si="3">SUM(J9:J14)</f>
        <v>2218732.1549999998</v>
      </c>
      <c r="K15" s="2391">
        <f>K10+K9</f>
        <v>1770.26</v>
      </c>
      <c r="L15" s="1025">
        <f>(K15-F15)/F15</f>
        <v>0.11147639085176898</v>
      </c>
      <c r="M15" s="1761">
        <f>SUM(M9:M14)</f>
        <v>2255662</v>
      </c>
      <c r="N15" s="1761">
        <f>SUM(N9:N14)</f>
        <v>2062541.5310000002</v>
      </c>
      <c r="O15" s="2391">
        <f>O10+O9</f>
        <v>1905.8364812775001</v>
      </c>
      <c r="P15" s="1026">
        <f t="shared" si="0"/>
        <v>7.6585632210805235E-2</v>
      </c>
      <c r="Q15" s="1519"/>
      <c r="S15" s="1519"/>
    </row>
    <row r="16" spans="1:57" ht="28.5" customHeight="1">
      <c r="A16" s="1022">
        <v>2</v>
      </c>
      <c r="B16" s="1014" t="s">
        <v>4084</v>
      </c>
      <c r="C16" s="1022" t="s">
        <v>1496</v>
      </c>
      <c r="D16" s="1589">
        <v>87168</v>
      </c>
      <c r="E16" s="1589">
        <v>246817.98</v>
      </c>
      <c r="F16" s="2387">
        <f>'T-6 (21-22)'!I21</f>
        <v>280.40925049928995</v>
      </c>
      <c r="G16" s="1589">
        <f>-128+92241+88</f>
        <v>92201</v>
      </c>
      <c r="H16" s="1589">
        <v>259332.39200000002</v>
      </c>
      <c r="I16" s="2387">
        <f>'T-6 (22-23)'!I21</f>
        <v>160.54569395104997</v>
      </c>
      <c r="J16" s="2393">
        <v>276641.54799999995</v>
      </c>
      <c r="K16" s="2387">
        <f>295.5812931861-6</f>
        <v>289.58129318610003</v>
      </c>
      <c r="L16" s="1025">
        <f>(K16-F16)/F16</f>
        <v>3.2709486832116115E-2</v>
      </c>
      <c r="M16" s="2388">
        <v>101933</v>
      </c>
      <c r="N16" s="2388">
        <f>293950.704*1.05</f>
        <v>308648.23920000007</v>
      </c>
      <c r="O16" s="2387">
        <v>305</v>
      </c>
      <c r="P16" s="1026">
        <f t="shared" si="0"/>
        <v>5.324483030052328E-2</v>
      </c>
      <c r="Q16" s="1519"/>
      <c r="S16" s="1519"/>
    </row>
    <row r="17" spans="1:19" ht="28.5" customHeight="1">
      <c r="A17" s="1022"/>
      <c r="B17" s="1022" t="s">
        <v>1329</v>
      </c>
      <c r="C17" s="1022"/>
      <c r="D17" s="1761"/>
      <c r="E17" s="1761"/>
      <c r="F17" s="2388"/>
      <c r="G17" s="1761"/>
      <c r="H17" s="1761"/>
      <c r="I17" s="2387">
        <f>'T-3 (A-S)'!E35</f>
        <v>53.120999999999995</v>
      </c>
      <c r="J17" s="1761"/>
      <c r="K17" s="2387">
        <f>I17/$I$16*$K$16-7</f>
        <v>88.816010362937647</v>
      </c>
      <c r="L17" s="1025"/>
      <c r="M17" s="1761"/>
      <c r="N17" s="1761"/>
      <c r="O17" s="2387">
        <f>$O$16*Q17-15</f>
        <v>78.545003762681773</v>
      </c>
      <c r="P17" s="1026"/>
      <c r="Q17" s="1052">
        <f>K17/$K$16</f>
        <v>0.30670493036944846</v>
      </c>
      <c r="S17" s="1519"/>
    </row>
    <row r="18" spans="1:19" ht="28.5" customHeight="1">
      <c r="A18" s="1022"/>
      <c r="B18" s="1022" t="s">
        <v>1330</v>
      </c>
      <c r="C18" s="1014"/>
      <c r="D18" s="1761"/>
      <c r="E18" s="1761"/>
      <c r="F18" s="2387"/>
      <c r="G18" s="1761"/>
      <c r="H18" s="1761"/>
      <c r="I18" s="2387">
        <f>'T-3 (A-S)'!F35</f>
        <v>37.024999999999999</v>
      </c>
      <c r="J18" s="1761"/>
      <c r="K18" s="2387">
        <f>I18/$I$16*$K$16</f>
        <v>66.783151365519586</v>
      </c>
      <c r="L18" s="1025"/>
      <c r="M18" s="1761"/>
      <c r="N18" s="1761"/>
      <c r="O18" s="2387">
        <f>$O$16*Q18+15</f>
        <v>85.339008926910836</v>
      </c>
      <c r="P18" s="1026"/>
      <c r="Q18" s="1052">
        <f t="shared" ref="Q18:Q19" si="4">K18/$K$16</f>
        <v>0.23061970139970767</v>
      </c>
      <c r="S18" s="1519"/>
    </row>
    <row r="19" spans="1:19" ht="28.5" customHeight="1">
      <c r="A19" s="1022"/>
      <c r="B19" s="1022" t="s">
        <v>1331</v>
      </c>
      <c r="C19" s="1022"/>
      <c r="D19" s="1761"/>
      <c r="E19" s="1761"/>
      <c r="F19" s="2388"/>
      <c r="G19" s="1761"/>
      <c r="H19" s="1761"/>
      <c r="I19" s="2387">
        <f>'T-3 (A-S)'!G15+'T-3 (A-S)'!G30</f>
        <v>70.400000000000006</v>
      </c>
      <c r="J19" s="1761"/>
      <c r="K19" s="2387">
        <f>I19/$I$16*$K$16+7</f>
        <v>133.98268348771319</v>
      </c>
      <c r="L19" s="1025"/>
      <c r="M19" s="1761"/>
      <c r="N19" s="1761"/>
      <c r="O19" s="2387">
        <f>$O$16*Q19</f>
        <v>141.11656873322519</v>
      </c>
      <c r="P19" s="1026"/>
      <c r="Q19" s="1052">
        <f t="shared" si="4"/>
        <v>0.46267727453516461</v>
      </c>
      <c r="S19" s="1519"/>
    </row>
    <row r="20" spans="1:19" ht="28.5" customHeight="1">
      <c r="A20" s="1022"/>
      <c r="B20" s="1014"/>
      <c r="C20" s="1027" t="s">
        <v>1327</v>
      </c>
      <c r="D20" s="1761">
        <f t="shared" ref="D20:E20" si="5">SUM(D16:D19)</f>
        <v>87168</v>
      </c>
      <c r="E20" s="2392">
        <f t="shared" si="5"/>
        <v>246817.98</v>
      </c>
      <c r="F20" s="1761">
        <f>F16</f>
        <v>280.40925049928995</v>
      </c>
      <c r="G20" s="1761">
        <f t="shared" ref="G20:H20" si="6">SUM(G16:G19)</f>
        <v>92201</v>
      </c>
      <c r="H20" s="1761">
        <f t="shared" si="6"/>
        <v>259332.39200000002</v>
      </c>
      <c r="I20" s="2391">
        <f>I16</f>
        <v>160.54569395104997</v>
      </c>
      <c r="J20" s="1761">
        <f t="shared" ref="J20" si="7">SUM(J16:J19)</f>
        <v>276641.54799999995</v>
      </c>
      <c r="K20" s="2391">
        <f>K16</f>
        <v>289.58129318610003</v>
      </c>
      <c r="L20" s="1025">
        <f>(K20-F20)/F20</f>
        <v>3.2709486832116115E-2</v>
      </c>
      <c r="M20" s="1761">
        <f t="shared" ref="M20:N20" si="8">SUM(M16:M19)</f>
        <v>101933</v>
      </c>
      <c r="N20" s="1761">
        <f t="shared" si="8"/>
        <v>308648.23920000007</v>
      </c>
      <c r="O20" s="2391">
        <f>O16</f>
        <v>305</v>
      </c>
      <c r="P20" s="1026">
        <f t="shared" si="0"/>
        <v>5.324483030052328E-2</v>
      </c>
      <c r="Q20" s="1519"/>
      <c r="S20" s="1519"/>
    </row>
    <row r="21" spans="1:19" ht="28.5" customHeight="1">
      <c r="A21" s="1022">
        <v>3</v>
      </c>
      <c r="B21" s="1014" t="s">
        <v>4085</v>
      </c>
      <c r="C21" s="1022" t="s">
        <v>1496</v>
      </c>
      <c r="D21" s="2386">
        <v>25767</v>
      </c>
      <c r="E21" s="1022">
        <v>107048.4</v>
      </c>
      <c r="F21" s="2387">
        <f>'T-6 (21-22)'!I22</f>
        <v>106.99796581154999</v>
      </c>
      <c r="G21" s="1589">
        <v>27823</v>
      </c>
      <c r="H21" s="1589">
        <v>132761.63199999998</v>
      </c>
      <c r="I21" s="2393">
        <f>'T-6 (22-23)'!I22</f>
        <v>54.349403809919956</v>
      </c>
      <c r="J21" s="2394">
        <v>137159.6208</v>
      </c>
      <c r="K21" s="2395">
        <v>115.2</v>
      </c>
      <c r="L21" s="1025">
        <f t="shared" ref="L21:L49" si="9">(K21-F21)/F21</f>
        <v>7.6655982440786169E-2</v>
      </c>
      <c r="M21" s="2394">
        <v>32905</v>
      </c>
      <c r="N21" s="2394">
        <v>141558</v>
      </c>
      <c r="O21" s="2389">
        <f>122.50265799878-1</f>
        <v>121.50265799877999</v>
      </c>
      <c r="P21" s="1026">
        <f t="shared" si="0"/>
        <v>5.4710572906076317E-2</v>
      </c>
      <c r="Q21" s="1519"/>
      <c r="S21" s="1519"/>
    </row>
    <row r="22" spans="1:19" ht="28.5" customHeight="1">
      <c r="A22" s="1022">
        <f>A21+1</f>
        <v>4</v>
      </c>
      <c r="B22" s="1014" t="s">
        <v>4086</v>
      </c>
      <c r="C22" s="1022" t="s">
        <v>1496</v>
      </c>
      <c r="D22" s="2386">
        <v>894</v>
      </c>
      <c r="E22" s="2396">
        <v>9550.73</v>
      </c>
      <c r="F22" s="2387">
        <f>'T-6 (21-22)'!I23</f>
        <v>5.1907730133999994</v>
      </c>
      <c r="G22" s="1589">
        <v>901</v>
      </c>
      <c r="H22" s="1589">
        <v>4276.68</v>
      </c>
      <c r="I22" s="2387">
        <f>'T-6 (22-23)'!I23</f>
        <v>2.7531152090000006</v>
      </c>
      <c r="J22" s="2394">
        <v>5323</v>
      </c>
      <c r="K22" s="2387">
        <v>19.221</v>
      </c>
      <c r="L22" s="1025">
        <f t="shared" si="9"/>
        <v>2.7029166851220268</v>
      </c>
      <c r="M22" s="2394">
        <v>1134</v>
      </c>
      <c r="N22" s="2394">
        <v>6369</v>
      </c>
      <c r="O22" s="2389">
        <v>20.88849382415</v>
      </c>
      <c r="P22" s="1026">
        <f t="shared" si="0"/>
        <v>8.6753749760678428E-2</v>
      </c>
      <c r="Q22" s="1519"/>
      <c r="S22" s="1519"/>
    </row>
    <row r="23" spans="1:19" ht="28.5" customHeight="1">
      <c r="A23" s="1022">
        <f t="shared" ref="A23:A31" si="10">A22+1</f>
        <v>5</v>
      </c>
      <c r="B23" s="1014" t="s">
        <v>4087</v>
      </c>
      <c r="C23" s="1022" t="s">
        <v>1496</v>
      </c>
      <c r="D23" s="2386">
        <v>69</v>
      </c>
      <c r="E23" s="2396">
        <v>1228.72</v>
      </c>
      <c r="F23" s="2387">
        <f>'T-6 (21-22)'!I24</f>
        <v>0.65484174799999995</v>
      </c>
      <c r="G23" s="1589">
        <f>-104+160</f>
        <v>56</v>
      </c>
      <c r="H23" s="1589">
        <v>760.72</v>
      </c>
      <c r="I23" s="2387">
        <f>'T-6 (22-23)'!I24</f>
        <v>0.33394422609999996</v>
      </c>
      <c r="J23" s="2394">
        <v>765.21</v>
      </c>
      <c r="K23" s="2387">
        <v>1.5960000000000001</v>
      </c>
      <c r="L23" s="1025">
        <f t="shared" si="9"/>
        <v>1.4372300710430579</v>
      </c>
      <c r="M23" s="2394">
        <v>72</v>
      </c>
      <c r="N23" s="2394">
        <v>770</v>
      </c>
      <c r="O23" s="2389">
        <v>1.7956377379999999</v>
      </c>
      <c r="P23" s="1026">
        <f t="shared" si="0"/>
        <v>0.12508630200501242</v>
      </c>
      <c r="Q23" s="1519"/>
      <c r="S23" s="1519"/>
    </row>
    <row r="24" spans="1:19" ht="28.5" customHeight="1">
      <c r="A24" s="1022">
        <f t="shared" si="10"/>
        <v>6</v>
      </c>
      <c r="B24" s="1014" t="s">
        <v>539</v>
      </c>
      <c r="C24" s="1022" t="s">
        <v>1496</v>
      </c>
      <c r="D24" s="2386">
        <v>4796</v>
      </c>
      <c r="E24" s="2396">
        <v>9949.3700000000008</v>
      </c>
      <c r="F24" s="2387">
        <f>'T-6 (21-22)'!I25</f>
        <v>36.607145578099995</v>
      </c>
      <c r="G24" s="1589">
        <v>5359</v>
      </c>
      <c r="H24" s="1589">
        <v>10776.15</v>
      </c>
      <c r="I24" s="2387">
        <f>'T-6 (22-23)'!I25</f>
        <v>16.412723983499998</v>
      </c>
      <c r="J24" s="2394">
        <v>12966.71</v>
      </c>
      <c r="K24" s="2387">
        <v>33.948999999999998</v>
      </c>
      <c r="L24" s="1025">
        <f t="shared" si="9"/>
        <v>-7.261275185821145E-2</v>
      </c>
      <c r="M24" s="2394">
        <v>6236</v>
      </c>
      <c r="N24" s="2394">
        <v>15157</v>
      </c>
      <c r="O24" s="2389">
        <v>34.678076047899999</v>
      </c>
      <c r="P24" s="1026">
        <f t="shared" si="0"/>
        <v>2.1475626613449629E-2</v>
      </c>
      <c r="Q24" s="1519"/>
      <c r="S24" s="1519"/>
    </row>
    <row r="25" spans="1:19" ht="28.5" customHeight="1">
      <c r="A25" s="1022">
        <f t="shared" si="10"/>
        <v>7</v>
      </c>
      <c r="B25" s="1014" t="s">
        <v>4088</v>
      </c>
      <c r="C25" s="1022" t="s">
        <v>1496</v>
      </c>
      <c r="D25" s="2386">
        <v>2506</v>
      </c>
      <c r="E25" s="2396">
        <v>26793.3</v>
      </c>
      <c r="F25" s="2387">
        <f>'T-6 (21-22)'!I26</f>
        <v>12.8702998053</v>
      </c>
      <c r="G25" s="1589">
        <v>2587</v>
      </c>
      <c r="H25" s="1589">
        <v>28065.78</v>
      </c>
      <c r="I25" s="2387">
        <f>'T-6 (22-23)'!I26</f>
        <v>5.9210935877000006</v>
      </c>
      <c r="J25" s="2394">
        <v>29605.336759999998</v>
      </c>
      <c r="K25" s="2387">
        <v>13.7938093954</v>
      </c>
      <c r="L25" s="1025">
        <f t="shared" si="9"/>
        <v>7.175509538011679E-2</v>
      </c>
      <c r="M25" s="2394">
        <v>2685</v>
      </c>
      <c r="N25" s="2394">
        <v>31145</v>
      </c>
      <c r="O25" s="2389">
        <v>14.536469326299997</v>
      </c>
      <c r="P25" s="1026">
        <f t="shared" si="0"/>
        <v>5.3840089391670239E-2</v>
      </c>
      <c r="Q25" s="1519"/>
    </row>
    <row r="26" spans="1:19" ht="28.5" customHeight="1">
      <c r="A26" s="1022">
        <f t="shared" si="10"/>
        <v>8</v>
      </c>
      <c r="B26" s="1014" t="s">
        <v>4089</v>
      </c>
      <c r="C26" s="1022" t="s">
        <v>1496</v>
      </c>
      <c r="D26" s="2386">
        <v>979</v>
      </c>
      <c r="E26" s="2397">
        <v>26685</v>
      </c>
      <c r="F26" s="2387">
        <f>'T-6 (21-22)'!I27</f>
        <v>26.524870305599997</v>
      </c>
      <c r="G26" s="1589">
        <f>1828-880</f>
        <v>948</v>
      </c>
      <c r="H26" s="1589">
        <v>43699.07</v>
      </c>
      <c r="I26" s="2387">
        <f>'T-6 (22-23)'!I27</f>
        <v>13.239338833099998</v>
      </c>
      <c r="J26" s="2397">
        <v>45609</v>
      </c>
      <c r="K26" s="2387">
        <v>27.346370906200001</v>
      </c>
      <c r="L26" s="1025">
        <f t="shared" si="9"/>
        <v>3.0970956356629824E-2</v>
      </c>
      <c r="M26" s="2386">
        <v>1114</v>
      </c>
      <c r="N26" s="2397">
        <v>47518.93</v>
      </c>
      <c r="O26" s="2389">
        <f>27.9335506541+1</f>
        <v>28.933550654099999</v>
      </c>
      <c r="P26" s="1026">
        <f t="shared" si="0"/>
        <v>5.8039867642552583E-2</v>
      </c>
      <c r="Q26" s="1519"/>
    </row>
    <row r="27" spans="1:19" ht="28.5" customHeight="1">
      <c r="A27" s="1022">
        <f t="shared" si="10"/>
        <v>9</v>
      </c>
      <c r="B27" s="1014" t="s">
        <v>4090</v>
      </c>
      <c r="C27" s="1022" t="s">
        <v>1496</v>
      </c>
      <c r="D27" s="2386">
        <v>12112</v>
      </c>
      <c r="E27" s="2396">
        <v>34856.04</v>
      </c>
      <c r="F27" s="2387">
        <f>'T-6 (21-22)'!I28</f>
        <v>33.366072639560002</v>
      </c>
      <c r="G27" s="1589">
        <v>13378</v>
      </c>
      <c r="H27" s="1589">
        <v>36642.61</v>
      </c>
      <c r="I27" s="2387">
        <f>'T-6 (22-23)'!I28</f>
        <v>23.1600364289</v>
      </c>
      <c r="J27" s="2394">
        <v>39217</v>
      </c>
      <c r="K27" s="1885">
        <v>45.365766586399999</v>
      </c>
      <c r="L27" s="1025">
        <f t="shared" si="9"/>
        <v>0.35963758984965866</v>
      </c>
      <c r="M27" s="2396">
        <v>15994</v>
      </c>
      <c r="N27" s="2396">
        <v>41791.39</v>
      </c>
      <c r="O27" s="2398">
        <v>48.002167556800003</v>
      </c>
      <c r="P27" s="1026">
        <f t="shared" si="0"/>
        <v>5.8114326479613787E-2</v>
      </c>
      <c r="Q27" s="1519"/>
    </row>
    <row r="28" spans="1:19" ht="28.5" customHeight="1">
      <c r="A28" s="1022">
        <f t="shared" si="10"/>
        <v>10</v>
      </c>
      <c r="B28" s="1014" t="s">
        <v>4091</v>
      </c>
      <c r="C28" s="1022" t="s">
        <v>1496</v>
      </c>
      <c r="D28" s="2386">
        <v>4576</v>
      </c>
      <c r="E28" s="2396">
        <v>28476.55</v>
      </c>
      <c r="F28" s="2387">
        <f>'T-6 (21-22)'!I29</f>
        <v>61.304437916119994</v>
      </c>
      <c r="G28" s="1589">
        <f>-7+4732</f>
        <v>4725</v>
      </c>
      <c r="H28" s="1589">
        <v>29705.169999999995</v>
      </c>
      <c r="I28" s="2387">
        <f>'T-6 (22-23)'!I29</f>
        <v>32.737839028800003</v>
      </c>
      <c r="J28" s="2394">
        <v>31416</v>
      </c>
      <c r="K28" s="1885">
        <v>65.709885111600002</v>
      </c>
      <c r="L28" s="1025">
        <f t="shared" si="9"/>
        <v>7.1861799002345891E-2</v>
      </c>
      <c r="M28" s="2396">
        <v>5107</v>
      </c>
      <c r="N28" s="2396">
        <v>33126.83</v>
      </c>
      <c r="O28" s="2398">
        <v>68.553638419539993</v>
      </c>
      <c r="P28" s="1026">
        <f t="shared" si="0"/>
        <v>4.3277404961372751E-2</v>
      </c>
      <c r="Q28" s="1519"/>
    </row>
    <row r="29" spans="1:19" ht="28.5" customHeight="1">
      <c r="A29" s="1022">
        <f t="shared" si="10"/>
        <v>11</v>
      </c>
      <c r="B29" s="1014" t="s">
        <v>4092</v>
      </c>
      <c r="C29" s="1022" t="s">
        <v>1496</v>
      </c>
      <c r="D29" s="1022">
        <v>5</v>
      </c>
      <c r="E29" s="1022">
        <v>826</v>
      </c>
      <c r="F29" s="2387">
        <f>'T-6 (21-22)'!I30</f>
        <v>1.773537696</v>
      </c>
      <c r="G29" s="1589">
        <v>7</v>
      </c>
      <c r="H29" s="1589">
        <v>848</v>
      </c>
      <c r="I29" s="2387">
        <f>'T-6 (22-23)'!I30</f>
        <v>0.95160673299999998</v>
      </c>
      <c r="J29" s="1022">
        <v>945</v>
      </c>
      <c r="K29" s="1885">
        <v>2.1459999999999999</v>
      </c>
      <c r="L29" s="1025">
        <f t="shared" si="9"/>
        <v>0.21001093173268526</v>
      </c>
      <c r="M29" s="1022">
        <v>10</v>
      </c>
      <c r="N29" s="1022">
        <v>1042</v>
      </c>
      <c r="O29" s="2398">
        <v>2.2476946512999998</v>
      </c>
      <c r="P29" s="1026">
        <f t="shared" si="0"/>
        <v>4.7388001537744591E-2</v>
      </c>
      <c r="Q29" s="1519"/>
    </row>
    <row r="30" spans="1:19" ht="28.5" customHeight="1">
      <c r="A30" s="1022">
        <f t="shared" si="10"/>
        <v>12</v>
      </c>
      <c r="B30" s="1014" t="s">
        <v>4093</v>
      </c>
      <c r="C30" s="1022" t="s">
        <v>1496</v>
      </c>
      <c r="D30" s="1022">
        <v>2</v>
      </c>
      <c r="E30" s="1022">
        <v>233</v>
      </c>
      <c r="F30" s="2387">
        <f>'T-6 (21-22)'!I31</f>
        <v>0.41344932000000006</v>
      </c>
      <c r="G30" s="1589">
        <v>15</v>
      </c>
      <c r="H30" s="1589">
        <v>539.70000000000005</v>
      </c>
      <c r="I30" s="3102">
        <f>'T-6 (22-23)'!I31</f>
        <v>0.33473512200000005</v>
      </c>
      <c r="J30" s="1022">
        <v>551</v>
      </c>
      <c r="K30" s="1885">
        <v>0.79807432</v>
      </c>
      <c r="L30" s="1025">
        <f t="shared" si="9"/>
        <v>0.93028330533957559</v>
      </c>
      <c r="M30" s="1022">
        <v>18</v>
      </c>
      <c r="N30" s="1022">
        <v>562.29999999999995</v>
      </c>
      <c r="O30" s="2398">
        <v>0.8</v>
      </c>
      <c r="P30" s="1026">
        <f t="shared" si="0"/>
        <v>2.412908111114314E-3</v>
      </c>
      <c r="Q30" s="1519"/>
    </row>
    <row r="31" spans="1:19" ht="28.5" customHeight="1">
      <c r="A31" s="1022">
        <f t="shared" si="10"/>
        <v>13</v>
      </c>
      <c r="B31" s="1014" t="s">
        <v>890</v>
      </c>
      <c r="C31" s="1022" t="s">
        <v>1496</v>
      </c>
      <c r="D31" s="1022">
        <v>1</v>
      </c>
      <c r="E31" s="1022">
        <v>117</v>
      </c>
      <c r="F31" s="2387">
        <f>'T-6 (21-22)'!I32</f>
        <v>1.6165000000000002E-2</v>
      </c>
      <c r="G31" s="1589">
        <v>1</v>
      </c>
      <c r="H31" s="1589">
        <v>116.6</v>
      </c>
      <c r="I31" s="3102">
        <f>'T-6 (22-23)'!I33</f>
        <v>0</v>
      </c>
      <c r="J31" s="1022">
        <v>116</v>
      </c>
      <c r="K31" s="1885">
        <v>0.129</v>
      </c>
      <c r="L31" s="1025">
        <f t="shared" si="9"/>
        <v>6.9802041447571908</v>
      </c>
      <c r="M31" s="1022"/>
      <c r="N31" s="1022"/>
      <c r="O31" s="2398"/>
      <c r="P31" s="1026">
        <f t="shared" si="0"/>
        <v>-1</v>
      </c>
      <c r="Q31" s="1052">
        <f>1300/1800</f>
        <v>0.72222222222222221</v>
      </c>
    </row>
    <row r="32" spans="1:19" ht="28.5" customHeight="1">
      <c r="A32" s="1022"/>
      <c r="B32" s="1027" t="s">
        <v>4094</v>
      </c>
      <c r="C32" s="1027"/>
      <c r="D32" s="1300">
        <f t="shared" ref="D32:E32" si="11">D15+D20+SUM(D21:D31)</f>
        <v>2339393</v>
      </c>
      <c r="E32" s="2399">
        <f t="shared" si="11"/>
        <v>2408988.7400000002</v>
      </c>
      <c r="F32" s="1028">
        <f t="shared" ref="F32:I32" si="12">F15+F20+SUM(F21:F31)</f>
        <v>2158.8392029773399</v>
      </c>
      <c r="G32" s="1300">
        <f t="shared" ref="G32:H32" si="13">G15+G20+SUM(G21:G31)</f>
        <v>2384539</v>
      </c>
      <c r="H32" s="1300">
        <f t="shared" si="13"/>
        <v>2871447.2829999998</v>
      </c>
      <c r="I32" s="1028">
        <f t="shared" si="12"/>
        <v>1174.9254790145699</v>
      </c>
      <c r="J32" s="1300">
        <f t="shared" ref="J32:K32" si="14">J15+J20+SUM(J21:J31)</f>
        <v>2799047.5805599997</v>
      </c>
      <c r="K32" s="1028">
        <f t="shared" si="14"/>
        <v>2385.0961995057</v>
      </c>
      <c r="L32" s="1025">
        <f t="shared" si="9"/>
        <v>0.10480493230636177</v>
      </c>
      <c r="M32" s="1300">
        <f t="shared" ref="M32:N32" si="15">M15+M20+SUM(M21:M31)</f>
        <v>2422870</v>
      </c>
      <c r="N32" s="1300">
        <f t="shared" si="15"/>
        <v>2690230.2202000003</v>
      </c>
      <c r="O32" s="1028">
        <f>O15+O20+SUM(O21:O31)</f>
        <v>2552.77486749437</v>
      </c>
      <c r="P32" s="1026">
        <f t="shared" si="0"/>
        <v>7.0302685494790781E-2</v>
      </c>
      <c r="Q32" s="1519"/>
    </row>
    <row r="33" spans="1:17" ht="18.75" customHeight="1">
      <c r="A33" s="1014"/>
      <c r="B33" s="1761" t="s">
        <v>1333</v>
      </c>
      <c r="C33" s="1022"/>
      <c r="D33" s="1022"/>
      <c r="E33" s="1022"/>
      <c r="F33" s="1022"/>
      <c r="G33" s="1022"/>
      <c r="H33" s="1022"/>
      <c r="I33" s="1022"/>
      <c r="J33" s="1022"/>
      <c r="K33" s="1022"/>
      <c r="L33" s="1022"/>
      <c r="M33" s="1022"/>
      <c r="N33" s="1022"/>
      <c r="O33" s="1022"/>
      <c r="P33" s="1026"/>
      <c r="Q33" s="1519"/>
    </row>
    <row r="34" spans="1:17" ht="18.75" customHeight="1">
      <c r="A34" s="1022">
        <v>13</v>
      </c>
      <c r="B34" s="1014" t="s">
        <v>1334</v>
      </c>
      <c r="C34" s="1022" t="s">
        <v>169</v>
      </c>
      <c r="D34" s="1022">
        <v>13</v>
      </c>
      <c r="E34" s="2397">
        <v>3896</v>
      </c>
      <c r="F34" s="1885">
        <f>'T-6 (21-22)'!I35</f>
        <v>7.0087631409999993</v>
      </c>
      <c r="G34" s="1022">
        <v>13</v>
      </c>
      <c r="H34" s="1022">
        <v>5345.73</v>
      </c>
      <c r="I34" s="1885">
        <f>'T-6 (22-23)'!I36</f>
        <v>3.9321679145000004</v>
      </c>
      <c r="J34" s="2396">
        <v>6124</v>
      </c>
      <c r="K34" s="2390">
        <v>6.5432570800000001</v>
      </c>
      <c r="L34" s="1025">
        <f t="shared" si="9"/>
        <v>-6.6417719023328492E-2</v>
      </c>
      <c r="M34" s="1022">
        <v>58</v>
      </c>
      <c r="N34" s="2396">
        <v>6902.27</v>
      </c>
      <c r="O34" s="1885">
        <v>6.8</v>
      </c>
      <c r="P34" s="1026">
        <f t="shared" si="0"/>
        <v>3.9237785839831278E-2</v>
      </c>
      <c r="Q34" s="1519"/>
    </row>
    <row r="35" spans="1:17" ht="18.75" customHeight="1">
      <c r="A35" s="1022">
        <f>A34+1</f>
        <v>14</v>
      </c>
      <c r="B35" s="1014" t="s">
        <v>4085</v>
      </c>
      <c r="C35" s="1022" t="s">
        <v>169</v>
      </c>
      <c r="D35" s="1022">
        <v>18</v>
      </c>
      <c r="E35" s="1022">
        <v>25049</v>
      </c>
      <c r="F35" s="1885">
        <f>'T-6 (21-22)'!I36</f>
        <v>1.9886474819999993</v>
      </c>
      <c r="G35" s="1022">
        <v>21</v>
      </c>
      <c r="H35" s="1022">
        <v>27806.880000000001</v>
      </c>
      <c r="I35" s="1885">
        <f>'T-6 (22-23)'!I37</f>
        <v>1.0611088687000001</v>
      </c>
      <c r="J35" s="2396">
        <v>28387</v>
      </c>
      <c r="K35" s="2390">
        <v>4.0729660000000001</v>
      </c>
      <c r="L35" s="1025">
        <f t="shared" si="9"/>
        <v>1.0481085948444639</v>
      </c>
      <c r="M35" s="1022">
        <v>121</v>
      </c>
      <c r="N35" s="2396">
        <v>30000</v>
      </c>
      <c r="O35" s="1885">
        <v>4.29</v>
      </c>
      <c r="P35" s="1026">
        <f t="shared" si="0"/>
        <v>5.3286474770474379E-2</v>
      </c>
      <c r="Q35" s="1519"/>
    </row>
    <row r="36" spans="1:17" ht="18.75" customHeight="1">
      <c r="A36" s="1022">
        <f t="shared" ref="A36:A48" si="16">A35+1</f>
        <v>15</v>
      </c>
      <c r="B36" s="1014" t="s">
        <v>4086</v>
      </c>
      <c r="C36" s="1022" t="s">
        <v>169</v>
      </c>
      <c r="D36" s="1022">
        <v>43</v>
      </c>
      <c r="E36" s="1022">
        <v>9969</v>
      </c>
      <c r="F36" s="1885">
        <f>'T-6 (21-22)'!I37</f>
        <v>24.180700729000002</v>
      </c>
      <c r="G36" s="1022">
        <v>54</v>
      </c>
      <c r="H36" s="1022">
        <v>20030.63</v>
      </c>
      <c r="I36" s="1885">
        <f>'T-6 (22-23)'!I38</f>
        <v>13.2220994501</v>
      </c>
      <c r="J36" s="2396">
        <v>21119</v>
      </c>
      <c r="K36" s="2390">
        <v>15.784859099999998</v>
      </c>
      <c r="L36" s="1025">
        <f t="shared" si="9"/>
        <v>-0.34721250318982028</v>
      </c>
      <c r="M36" s="1022">
        <v>300</v>
      </c>
      <c r="N36" s="2396">
        <v>22207.37</v>
      </c>
      <c r="O36" s="1885">
        <v>16.748321029999996</v>
      </c>
      <c r="P36" s="1026">
        <f t="shared" si="0"/>
        <v>6.1037094084672422E-2</v>
      </c>
      <c r="Q36" s="1519"/>
    </row>
    <row r="37" spans="1:17" ht="18.75" customHeight="1">
      <c r="A37" s="1022">
        <f t="shared" si="16"/>
        <v>16</v>
      </c>
      <c r="B37" s="1014" t="s">
        <v>4087</v>
      </c>
      <c r="C37" s="1022" t="s">
        <v>169</v>
      </c>
      <c r="D37" s="1022">
        <v>6</v>
      </c>
      <c r="E37" s="1022">
        <v>1256</v>
      </c>
      <c r="F37" s="1885">
        <f>'T-6 (21-22)'!I38</f>
        <v>2.0018564299999997</v>
      </c>
      <c r="G37" s="1022">
        <v>6</v>
      </c>
      <c r="H37" s="1022">
        <v>1730.87</v>
      </c>
      <c r="I37" s="1885">
        <f>'T-6 (22-23)'!I39</f>
        <v>1.1453639</v>
      </c>
      <c r="J37" s="2396">
        <v>1959</v>
      </c>
      <c r="K37" s="2390">
        <v>1.6439446799999999</v>
      </c>
      <c r="L37" s="1025">
        <f t="shared" si="9"/>
        <v>-0.17878991951485743</v>
      </c>
      <c r="M37" s="1022">
        <v>15</v>
      </c>
      <c r="N37" s="2396">
        <v>2187.13</v>
      </c>
      <c r="O37" s="1885">
        <v>1.75</v>
      </c>
      <c r="P37" s="1026">
        <f t="shared" si="0"/>
        <v>6.4512706108821177E-2</v>
      </c>
      <c r="Q37" s="1519"/>
    </row>
    <row r="38" spans="1:17" ht="18.75" customHeight="1">
      <c r="A38" s="1022">
        <f t="shared" si="16"/>
        <v>17</v>
      </c>
      <c r="B38" s="1014" t="s">
        <v>4090</v>
      </c>
      <c r="C38" s="1022" t="s">
        <v>169</v>
      </c>
      <c r="D38" s="1022">
        <v>47</v>
      </c>
      <c r="E38" s="1022">
        <v>16208</v>
      </c>
      <c r="F38" s="1885">
        <f>'T-6 (21-22)'!I39</f>
        <v>20.441265025000003</v>
      </c>
      <c r="G38" s="1022">
        <v>58</v>
      </c>
      <c r="H38" s="1022">
        <v>21039.239999999998</v>
      </c>
      <c r="I38" s="1885">
        <f>'T-6 (22-23)'!I40</f>
        <v>16.0333230044</v>
      </c>
      <c r="J38" s="2396">
        <v>20698</v>
      </c>
      <c r="K38" s="2390">
        <v>23.149768519999999</v>
      </c>
      <c r="L38" s="1025">
        <f t="shared" si="9"/>
        <v>0.13250175523322313</v>
      </c>
      <c r="M38" s="1022">
        <v>134</v>
      </c>
      <c r="N38" s="2396">
        <v>20356.760000000002</v>
      </c>
      <c r="O38" s="1885">
        <v>24.425999999999998</v>
      </c>
      <c r="P38" s="1026">
        <f t="shared" si="0"/>
        <v>5.5129340878610218E-2</v>
      </c>
      <c r="Q38" s="1519"/>
    </row>
    <row r="39" spans="1:17" ht="18.75" customHeight="1">
      <c r="A39" s="1022">
        <f t="shared" si="16"/>
        <v>18</v>
      </c>
      <c r="B39" s="1014" t="s">
        <v>4095</v>
      </c>
      <c r="C39" s="1022" t="s">
        <v>169</v>
      </c>
      <c r="D39" s="1022">
        <v>158</v>
      </c>
      <c r="E39" s="1022">
        <v>13005</v>
      </c>
      <c r="F39" s="1885">
        <f>'T-6 (21-22)'!I40</f>
        <v>9.488680703</v>
      </c>
      <c r="G39" s="1022">
        <v>128</v>
      </c>
      <c r="H39" s="1022">
        <v>10397.14</v>
      </c>
      <c r="I39" s="1885">
        <f>'T-6 (22-23)'!I41</f>
        <v>7.2793433759999999</v>
      </c>
      <c r="J39" s="2396">
        <v>12028</v>
      </c>
      <c r="K39" s="2390">
        <v>11.958036662</v>
      </c>
      <c r="L39" s="1025">
        <f t="shared" si="9"/>
        <v>0.26024228618202661</v>
      </c>
      <c r="M39" s="1022">
        <v>152</v>
      </c>
      <c r="N39" s="1022">
        <v>13658.86</v>
      </c>
      <c r="O39" s="1885">
        <v>12.509414705999999</v>
      </c>
      <c r="P39" s="1026">
        <f t="shared" si="0"/>
        <v>4.6109412404810354E-2</v>
      </c>
      <c r="Q39" s="1519"/>
    </row>
    <row r="40" spans="1:17" ht="18.75" customHeight="1">
      <c r="A40" s="1022">
        <f t="shared" si="16"/>
        <v>19</v>
      </c>
      <c r="B40" s="1014" t="s">
        <v>4096</v>
      </c>
      <c r="C40" s="1022" t="s">
        <v>169</v>
      </c>
      <c r="D40" s="1022">
        <v>1062</v>
      </c>
      <c r="E40" s="1022">
        <v>66782</v>
      </c>
      <c r="F40" s="1885">
        <f>'T-6 (21-22)'!I41</f>
        <v>40.414855878599994</v>
      </c>
      <c r="G40" s="1022">
        <v>880</v>
      </c>
      <c r="H40" s="1022">
        <v>55149.21</v>
      </c>
      <c r="I40" s="1885">
        <f>'T-6 (22-23)'!I42</f>
        <v>19.383776037300002</v>
      </c>
      <c r="J40" s="2396">
        <v>56124</v>
      </c>
      <c r="K40" s="2390">
        <v>43.0273177762</v>
      </c>
      <c r="L40" s="1025">
        <f t="shared" si="9"/>
        <v>6.4641128634664438E-2</v>
      </c>
      <c r="M40" s="1022">
        <v>902</v>
      </c>
      <c r="N40" s="1022">
        <v>57098.79</v>
      </c>
      <c r="O40" s="1885">
        <v>45.667000000000002</v>
      </c>
      <c r="P40" s="1026">
        <f t="shared" si="0"/>
        <v>6.1348983860204903E-2</v>
      </c>
      <c r="Q40" s="1519"/>
    </row>
    <row r="41" spans="1:17" ht="18.75" customHeight="1">
      <c r="A41" s="1022">
        <f t="shared" si="16"/>
        <v>20</v>
      </c>
      <c r="B41" s="1014" t="s">
        <v>4801</v>
      </c>
      <c r="C41" s="1022" t="s">
        <v>169</v>
      </c>
      <c r="D41" s="1022">
        <v>90</v>
      </c>
      <c r="E41" s="1022">
        <v>26233</v>
      </c>
      <c r="F41" s="1885">
        <f>'T-6 (21-22)'!I42</f>
        <v>32.932545650000002</v>
      </c>
      <c r="G41" s="1022">
        <v>103</v>
      </c>
      <c r="H41" s="1022">
        <v>24591</v>
      </c>
      <c r="I41" s="1885">
        <f>'T-6 (22-23)'!I43</f>
        <v>22.107020057</v>
      </c>
      <c r="J41" s="2396">
        <v>25255</v>
      </c>
      <c r="K41" s="2390">
        <v>44.083258114000003</v>
      </c>
      <c r="L41" s="1025">
        <f t="shared" si="9"/>
        <v>0.3385924848478879</v>
      </c>
      <c r="M41" s="1022">
        <v>117</v>
      </c>
      <c r="N41" s="2396">
        <v>25919</v>
      </c>
      <c r="O41" s="1885">
        <v>45.836118998000003</v>
      </c>
      <c r="P41" s="1026">
        <f t="shared" si="0"/>
        <v>3.9762507559379448E-2</v>
      </c>
      <c r="Q41" s="1519"/>
    </row>
    <row r="42" spans="1:17" ht="18.75" customHeight="1">
      <c r="A42" s="1022">
        <f t="shared" si="16"/>
        <v>21</v>
      </c>
      <c r="B42" s="1014" t="s">
        <v>1332</v>
      </c>
      <c r="C42" s="1022" t="s">
        <v>169</v>
      </c>
      <c r="D42" s="1022">
        <v>15</v>
      </c>
      <c r="E42" s="1022">
        <v>6189</v>
      </c>
      <c r="F42" s="1885">
        <f>'T-6 (21-22)'!I43</f>
        <v>27.125846551000002</v>
      </c>
      <c r="G42" s="1022">
        <v>24</v>
      </c>
      <c r="H42" s="1022">
        <v>8555.7900000000009</v>
      </c>
      <c r="I42" s="1885">
        <f>'T-6 (22-23)'!I44</f>
        <v>14.599472376000001</v>
      </c>
      <c r="J42" s="2396">
        <v>11974</v>
      </c>
      <c r="K42" s="2390">
        <v>26.623884559999997</v>
      </c>
      <c r="L42" s="1025">
        <f t="shared" si="9"/>
        <v>-1.8504933663775383E-2</v>
      </c>
      <c r="M42" s="1022">
        <v>70</v>
      </c>
      <c r="N42" s="2396">
        <v>15392.21</v>
      </c>
      <c r="O42" s="1885">
        <v>27.767368269999992</v>
      </c>
      <c r="P42" s="1026">
        <f t="shared" si="0"/>
        <v>4.294954432449638E-2</v>
      </c>
      <c r="Q42" s="1519"/>
    </row>
    <row r="43" spans="1:17" ht="18.75" customHeight="1">
      <c r="A43" s="1022">
        <f t="shared" si="16"/>
        <v>22</v>
      </c>
      <c r="B43" s="1014" t="s">
        <v>890</v>
      </c>
      <c r="C43" s="1022" t="s">
        <v>169</v>
      </c>
      <c r="D43" s="1022">
        <v>255</v>
      </c>
      <c r="E43" s="1022">
        <v>83545</v>
      </c>
      <c r="F43" s="1885">
        <f>'T-6 (21-22)'!I44</f>
        <v>159.74244885000002</v>
      </c>
      <c r="G43" s="1022">
        <v>268</v>
      </c>
      <c r="H43" s="1022">
        <v>99276.42</v>
      </c>
      <c r="I43" s="1885">
        <f>'T-6 (22-23)'!I45+'T-6 (22-23)'!I46</f>
        <v>117.43069167999998</v>
      </c>
      <c r="J43" s="2396">
        <v>100244</v>
      </c>
      <c r="K43" s="2390">
        <v>190</v>
      </c>
      <c r="L43" s="1025">
        <f t="shared" si="9"/>
        <v>0.18941459435376609</v>
      </c>
      <c r="M43" s="1022">
        <v>316</v>
      </c>
      <c r="N43" s="2396">
        <v>101212</v>
      </c>
      <c r="O43" s="1885">
        <v>205</v>
      </c>
      <c r="P43" s="1026">
        <f t="shared" si="0"/>
        <v>7.8947368421052627E-2</v>
      </c>
      <c r="Q43" s="1519"/>
    </row>
    <row r="44" spans="1:17" ht="18.75" customHeight="1">
      <c r="A44" s="1022">
        <f t="shared" si="16"/>
        <v>23</v>
      </c>
      <c r="B44" s="1014" t="s">
        <v>893</v>
      </c>
      <c r="C44" s="1022" t="s">
        <v>169</v>
      </c>
      <c r="D44" s="1022"/>
      <c r="E44" s="1022"/>
      <c r="F44" s="1022"/>
      <c r="G44" s="1022"/>
      <c r="H44" s="1022"/>
      <c r="I44" s="1885"/>
      <c r="J44" s="1022"/>
      <c r="K44" s="1885"/>
      <c r="L44" s="1025"/>
      <c r="M44" s="1022">
        <v>0</v>
      </c>
      <c r="N44" s="1022"/>
      <c r="O44" s="1022"/>
      <c r="P44" s="1029"/>
      <c r="Q44" s="1519"/>
    </row>
    <row r="45" spans="1:17" ht="18.75" customHeight="1">
      <c r="A45" s="1022">
        <f t="shared" si="16"/>
        <v>24</v>
      </c>
      <c r="B45" s="1014" t="s">
        <v>1336</v>
      </c>
      <c r="C45" s="1022" t="s">
        <v>169</v>
      </c>
      <c r="D45" s="1022"/>
      <c r="E45" s="1022"/>
      <c r="F45" s="1022"/>
      <c r="G45" s="1022"/>
      <c r="H45" s="1022"/>
      <c r="I45" s="1885"/>
      <c r="J45" s="1022"/>
      <c r="K45" s="1885"/>
      <c r="L45" s="1025"/>
      <c r="M45" s="1022">
        <v>0</v>
      </c>
      <c r="N45" s="1022"/>
      <c r="O45" s="1022"/>
      <c r="P45" s="1029"/>
      <c r="Q45" s="1519"/>
    </row>
    <row r="46" spans="1:17" ht="18.75" customHeight="1">
      <c r="A46" s="1022">
        <f t="shared" si="16"/>
        <v>25</v>
      </c>
      <c r="B46" s="1014" t="s">
        <v>891</v>
      </c>
      <c r="C46" s="1022" t="s">
        <v>169</v>
      </c>
      <c r="D46" s="1022"/>
      <c r="E46" s="1022"/>
      <c r="F46" s="1022"/>
      <c r="G46" s="1022"/>
      <c r="H46" s="1022"/>
      <c r="I46" s="1885"/>
      <c r="J46" s="1022"/>
      <c r="K46" s="1885"/>
      <c r="L46" s="1025"/>
      <c r="M46" s="1022">
        <v>0</v>
      </c>
      <c r="N46" s="1022"/>
      <c r="O46" s="1022"/>
      <c r="P46" s="1029"/>
      <c r="Q46" s="1519"/>
    </row>
    <row r="47" spans="1:17" ht="18.75" customHeight="1">
      <c r="A47" s="1022">
        <f t="shared" si="16"/>
        <v>26</v>
      </c>
      <c r="B47" s="1014" t="s">
        <v>1463</v>
      </c>
      <c r="C47" s="1022" t="s">
        <v>169</v>
      </c>
      <c r="D47" s="1022"/>
      <c r="E47" s="1022"/>
      <c r="F47" s="1022"/>
      <c r="G47" s="1022"/>
      <c r="H47" s="1022"/>
      <c r="I47" s="1885"/>
      <c r="J47" s="1022"/>
      <c r="K47" s="1885"/>
      <c r="L47" s="1025"/>
      <c r="M47" s="1022">
        <v>0</v>
      </c>
      <c r="N47" s="1022"/>
      <c r="O47" s="1022"/>
      <c r="P47" s="1029"/>
      <c r="Q47" s="1519"/>
    </row>
    <row r="48" spans="1:17" ht="18.75" customHeight="1">
      <c r="A48" s="1022">
        <f t="shared" si="16"/>
        <v>27</v>
      </c>
      <c r="B48" s="1014" t="s">
        <v>1337</v>
      </c>
      <c r="C48" s="1022" t="s">
        <v>169</v>
      </c>
      <c r="D48" s="1022"/>
      <c r="E48" s="1022"/>
      <c r="F48" s="1022">
        <f>'T-6 (21-22)'!I50</f>
        <v>0</v>
      </c>
      <c r="G48" s="1022"/>
      <c r="H48" s="1022"/>
      <c r="I48" s="1885"/>
      <c r="J48" s="1022"/>
      <c r="K48" s="2390">
        <v>0.33479999999999999</v>
      </c>
      <c r="L48" s="1025" t="e">
        <f t="shared" si="9"/>
        <v>#DIV/0!</v>
      </c>
      <c r="M48" s="1022">
        <v>0</v>
      </c>
      <c r="N48" s="1022"/>
      <c r="O48" s="1885">
        <v>0.5</v>
      </c>
      <c r="P48" s="1026">
        <f t="shared" si="0"/>
        <v>0.49342891278375156</v>
      </c>
      <c r="Q48" s="1519"/>
    </row>
    <row r="49" spans="1:19" ht="18.75" customHeight="1">
      <c r="A49" s="1022"/>
      <c r="B49" s="1027" t="s">
        <v>4094</v>
      </c>
      <c r="C49" s="1022"/>
      <c r="D49" s="1300">
        <f>SUM(D34:D48)</f>
        <v>1707</v>
      </c>
      <c r="E49" s="2399">
        <f>SUM(E34:E48)</f>
        <v>252132</v>
      </c>
      <c r="F49" s="1028">
        <f t="shared" ref="F49:K49" si="17">SUM(F34:F48)</f>
        <v>325.32561043960004</v>
      </c>
      <c r="G49" s="1300">
        <f t="shared" si="17"/>
        <v>1555</v>
      </c>
      <c r="H49" s="1300">
        <f t="shared" si="17"/>
        <v>273922.91000000003</v>
      </c>
      <c r="I49" s="1028">
        <f t="shared" si="17"/>
        <v>216.19436666399997</v>
      </c>
      <c r="J49" s="1300">
        <f t="shared" si="17"/>
        <v>283912</v>
      </c>
      <c r="K49" s="1028">
        <f t="shared" si="17"/>
        <v>367.22209249219998</v>
      </c>
      <c r="L49" s="1025">
        <f t="shared" si="9"/>
        <v>0.12878322735178097</v>
      </c>
      <c r="M49" s="1300">
        <f t="shared" ref="M49:N49" si="18">SUM(M34:M48)</f>
        <v>2185</v>
      </c>
      <c r="N49" s="1300">
        <f t="shared" si="18"/>
        <v>294934.39</v>
      </c>
      <c r="O49" s="1028">
        <f>SUM(O34:O48)</f>
        <v>391.29422300399995</v>
      </c>
      <c r="P49" s="1025">
        <f t="shared" si="0"/>
        <v>6.5551967062851144E-2</v>
      </c>
      <c r="Q49" s="1519"/>
    </row>
    <row r="50" spans="1:19" ht="18.75" customHeight="1">
      <c r="A50" s="1014"/>
      <c r="B50" s="1761" t="s">
        <v>1338</v>
      </c>
      <c r="C50" s="1022"/>
      <c r="D50" s="1022"/>
      <c r="E50" s="1022"/>
      <c r="F50" s="1022"/>
      <c r="G50" s="1022"/>
      <c r="H50" s="1022"/>
      <c r="I50" s="1022"/>
      <c r="J50" s="1022"/>
      <c r="K50" s="1885"/>
      <c r="L50" s="1022"/>
      <c r="M50" s="1022"/>
      <c r="N50" s="1022"/>
      <c r="O50" s="1885"/>
      <c r="P50" s="1026"/>
      <c r="Q50" s="1519"/>
    </row>
    <row r="51" spans="1:19" ht="18.75" customHeight="1">
      <c r="A51" s="1022">
        <f>A48+1</f>
        <v>28</v>
      </c>
      <c r="B51" s="1014" t="s">
        <v>670</v>
      </c>
      <c r="C51" s="1022" t="s">
        <v>1494</v>
      </c>
      <c r="D51" s="1022"/>
      <c r="E51" s="1022"/>
      <c r="F51" s="1022"/>
      <c r="G51" s="1022"/>
      <c r="H51" s="1022"/>
      <c r="I51" s="1022"/>
      <c r="J51" s="1022"/>
      <c r="K51" s="1022"/>
      <c r="L51" s="1022"/>
      <c r="M51" s="1022"/>
      <c r="N51" s="1665"/>
      <c r="O51" s="1022"/>
      <c r="P51" s="1026"/>
      <c r="Q51" s="1519"/>
    </row>
    <row r="52" spans="1:19" ht="18.75" customHeight="1">
      <c r="A52" s="1022">
        <f t="shared" ref="A52:A58" si="19">A51+1</f>
        <v>29</v>
      </c>
      <c r="B52" s="1014" t="s">
        <v>890</v>
      </c>
      <c r="C52" s="1022" t="s">
        <v>1494</v>
      </c>
      <c r="D52" s="1022">
        <v>4</v>
      </c>
      <c r="E52" s="1022">
        <v>43601</v>
      </c>
      <c r="F52" s="1022">
        <f>'T-6 (21-22)'!I54</f>
        <v>112.18249000000003</v>
      </c>
      <c r="G52" s="1022">
        <v>4</v>
      </c>
      <c r="H52" s="1022">
        <v>36445</v>
      </c>
      <c r="I52" s="2390">
        <f>'T-6 (22-23)'!I55+'T-6 (22-23)'!I61</f>
        <v>120.244947</v>
      </c>
      <c r="J52" s="2396">
        <v>48445</v>
      </c>
      <c r="K52" s="2398">
        <v>210</v>
      </c>
      <c r="L52" s="1025">
        <f t="shared" ref="L52:L61" si="20">(K52-F52)/F52</f>
        <v>0.8719498916452999</v>
      </c>
      <c r="M52" s="1022">
        <v>4</v>
      </c>
      <c r="N52" s="1665">
        <v>48445</v>
      </c>
      <c r="O52" s="2398">
        <v>220</v>
      </c>
      <c r="P52" s="1026">
        <f t="shared" si="0"/>
        <v>4.7619047619047616E-2</v>
      </c>
      <c r="Q52" s="1519"/>
    </row>
    <row r="53" spans="1:19" ht="18.75" customHeight="1">
      <c r="A53" s="1022">
        <f t="shared" si="19"/>
        <v>30</v>
      </c>
      <c r="B53" s="1014" t="s">
        <v>891</v>
      </c>
      <c r="C53" s="1022" t="s">
        <v>1494</v>
      </c>
      <c r="D53" s="1022">
        <v>10</v>
      </c>
      <c r="E53" s="1022">
        <v>94680</v>
      </c>
      <c r="F53" s="1022">
        <f>'T-6 (21-22)'!I55</f>
        <v>262.35451999999998</v>
      </c>
      <c r="G53" s="1022">
        <v>12</v>
      </c>
      <c r="H53" s="1022">
        <f>137200+1000</f>
        <v>138200</v>
      </c>
      <c r="I53" s="2390">
        <f>'T-6 (22-23)'!I56</f>
        <v>139.99779065519999</v>
      </c>
      <c r="J53" s="1022">
        <v>137200</v>
      </c>
      <c r="K53" s="2398">
        <v>265.99558131039998</v>
      </c>
      <c r="L53" s="1025">
        <f t="shared" si="20"/>
        <v>1.3878401296078318E-2</v>
      </c>
      <c r="M53" s="1022">
        <v>12</v>
      </c>
      <c r="N53" s="1665">
        <v>137200</v>
      </c>
      <c r="O53" s="2398">
        <v>270</v>
      </c>
      <c r="P53" s="1026">
        <f t="shared" si="0"/>
        <v>1.5054455678822397E-2</v>
      </c>
      <c r="Q53" s="1519"/>
    </row>
    <row r="54" spans="1:19" ht="18.75" customHeight="1">
      <c r="A54" s="1022">
        <f t="shared" si="19"/>
        <v>31</v>
      </c>
      <c r="B54" s="1014" t="s">
        <v>892</v>
      </c>
      <c r="C54" s="1022" t="s">
        <v>1494</v>
      </c>
      <c r="D54" s="1022"/>
      <c r="E54" s="1022"/>
      <c r="F54" s="1022">
        <f>'T-6 (21-22)'!I56</f>
        <v>0</v>
      </c>
      <c r="G54" s="1022"/>
      <c r="H54" s="1022"/>
      <c r="I54" s="2390">
        <f>'T-6 (22-23)'!I57</f>
        <v>0</v>
      </c>
      <c r="J54" s="1022"/>
      <c r="K54" s="2386">
        <v>0</v>
      </c>
      <c r="L54" s="1025"/>
      <c r="M54" s="1022"/>
      <c r="N54" s="1665"/>
      <c r="O54" s="2386"/>
      <c r="P54" s="1026"/>
      <c r="Q54" s="1519"/>
      <c r="S54" s="3125">
        <f>'T-7(CUR)'!U70</f>
        <v>-1.2751475370237131E-2</v>
      </c>
    </row>
    <row r="55" spans="1:19" ht="18.75" customHeight="1">
      <c r="A55" s="1022">
        <f t="shared" si="19"/>
        <v>32</v>
      </c>
      <c r="B55" s="1014" t="s">
        <v>893</v>
      </c>
      <c r="C55" s="1022" t="s">
        <v>1494</v>
      </c>
      <c r="D55" s="1022">
        <v>1</v>
      </c>
      <c r="E55" s="1022">
        <v>28888</v>
      </c>
      <c r="F55" s="1022">
        <f>'T-6 (21-22)'!I57</f>
        <v>132.89894100000001</v>
      </c>
      <c r="G55" s="1022">
        <v>1</v>
      </c>
      <c r="H55" s="1022">
        <v>28888</v>
      </c>
      <c r="I55" s="2390">
        <f>'T-6 (22-23)'!I58</f>
        <v>70.854220999999995</v>
      </c>
      <c r="J55" s="1022">
        <v>28888</v>
      </c>
      <c r="K55" s="2398">
        <v>125.88800000000001</v>
      </c>
      <c r="L55" s="1025">
        <f t="shared" si="20"/>
        <v>-5.2753926760033418E-2</v>
      </c>
      <c r="M55" s="1022">
        <v>1</v>
      </c>
      <c r="N55" s="1665">
        <v>28888</v>
      </c>
      <c r="O55" s="2398">
        <v>135</v>
      </c>
      <c r="P55" s="1026">
        <f t="shared" si="0"/>
        <v>7.2381799694966914E-2</v>
      </c>
      <c r="Q55" s="1519"/>
    </row>
    <row r="56" spans="1:19" ht="18.75" customHeight="1">
      <c r="A56" s="1022">
        <f t="shared" si="19"/>
        <v>33</v>
      </c>
      <c r="B56" s="1014" t="s">
        <v>1336</v>
      </c>
      <c r="C56" s="1022" t="s">
        <v>1494</v>
      </c>
      <c r="D56" s="1022"/>
      <c r="E56" s="1022"/>
      <c r="F56" s="1022">
        <f>'T-6 (21-22)'!I58</f>
        <v>0</v>
      </c>
      <c r="G56" s="1022"/>
      <c r="H56" s="1022"/>
      <c r="I56" s="2390">
        <f>'T-6 (22-23)'!I59</f>
        <v>0</v>
      </c>
      <c r="J56" s="1022"/>
      <c r="K56" s="2386">
        <v>0</v>
      </c>
      <c r="L56" s="1025"/>
      <c r="M56" s="1022"/>
      <c r="N56" s="1022"/>
      <c r="O56" s="2386"/>
      <c r="P56" s="1026"/>
      <c r="Q56" s="1519"/>
    </row>
    <row r="57" spans="1:19" ht="18.75" customHeight="1">
      <c r="A57" s="1022">
        <f t="shared" si="19"/>
        <v>34</v>
      </c>
      <c r="B57" s="1014" t="s">
        <v>1339</v>
      </c>
      <c r="C57" s="1022" t="s">
        <v>1494</v>
      </c>
      <c r="D57" s="1022">
        <v>1</v>
      </c>
      <c r="E57" s="1022"/>
      <c r="F57" s="1022">
        <f>'T-6 (21-22)'!I59</f>
        <v>29.941791999999992</v>
      </c>
      <c r="G57" s="1022">
        <v>1</v>
      </c>
      <c r="H57" s="1022">
        <v>0</v>
      </c>
      <c r="I57" s="2390">
        <f>'T-6 (22-23)'!I60</f>
        <v>5.1591430000000003</v>
      </c>
      <c r="J57" s="1022"/>
      <c r="K57" s="2398">
        <v>8.1616</v>
      </c>
      <c r="L57" s="1025"/>
      <c r="M57" s="1022">
        <v>1</v>
      </c>
      <c r="N57" s="1022"/>
      <c r="O57" s="2398">
        <v>8.1620000000000008</v>
      </c>
      <c r="P57" s="1026">
        <f t="shared" si="0"/>
        <v>4.9009998039703505E-5</v>
      </c>
      <c r="Q57" s="1519"/>
    </row>
    <row r="58" spans="1:19" ht="18.75" customHeight="1">
      <c r="A58" s="1022">
        <f t="shared" si="19"/>
        <v>35</v>
      </c>
      <c r="B58" s="1014" t="s">
        <v>1337</v>
      </c>
      <c r="C58" s="1022" t="s">
        <v>1494</v>
      </c>
      <c r="D58" s="1022"/>
      <c r="E58" s="1022"/>
      <c r="F58" s="1022">
        <f>'T-6 (21-22)'!I60</f>
        <v>0</v>
      </c>
      <c r="G58" s="1022"/>
      <c r="H58" s="1022"/>
      <c r="I58" s="2390"/>
      <c r="J58" s="1022"/>
      <c r="K58" s="2398">
        <v>9.2899999999999991</v>
      </c>
      <c r="L58" s="1025" t="e">
        <f t="shared" si="20"/>
        <v>#DIV/0!</v>
      </c>
      <c r="M58" s="1022"/>
      <c r="N58" s="1022"/>
      <c r="O58" s="2398">
        <v>9.31</v>
      </c>
      <c r="P58" s="1026">
        <f t="shared" si="0"/>
        <v>2.1528525296018678E-3</v>
      </c>
      <c r="Q58" s="1519"/>
    </row>
    <row r="59" spans="1:19" ht="18.75" customHeight="1">
      <c r="A59" s="1022"/>
      <c r="B59" s="1027" t="s">
        <v>4094</v>
      </c>
      <c r="C59" s="1014"/>
      <c r="D59" s="1300">
        <f>SUM(D52:D58)</f>
        <v>16</v>
      </c>
      <c r="E59" s="1300">
        <f>SUM(E52:E58)</f>
        <v>167169</v>
      </c>
      <c r="F59" s="1300">
        <f t="shared" ref="F59:K59" si="21">SUM(F52:F58)</f>
        <v>537.37774300000001</v>
      </c>
      <c r="G59" s="1300">
        <f t="shared" si="21"/>
        <v>18</v>
      </c>
      <c r="H59" s="1300">
        <f t="shared" si="21"/>
        <v>203533</v>
      </c>
      <c r="I59" s="1028">
        <f t="shared" si="21"/>
        <v>336.25610165520004</v>
      </c>
      <c r="J59" s="1300">
        <f t="shared" si="21"/>
        <v>214533</v>
      </c>
      <c r="K59" s="1028">
        <f t="shared" si="21"/>
        <v>619.3351813104</v>
      </c>
      <c r="L59" s="1025">
        <f t="shared" si="20"/>
        <v>0.15251364496947539</v>
      </c>
      <c r="M59" s="1300">
        <f t="shared" ref="M59:N59" si="22">SUM(M52:M58)</f>
        <v>18</v>
      </c>
      <c r="N59" s="1300">
        <f t="shared" si="22"/>
        <v>214533</v>
      </c>
      <c r="O59" s="1028">
        <f>SUM(O52:O58)</f>
        <v>642.47199999999998</v>
      </c>
      <c r="P59" s="1025">
        <f t="shared" si="0"/>
        <v>3.7357507514181092E-2</v>
      </c>
      <c r="Q59" s="1519"/>
    </row>
    <row r="60" spans="1:19" ht="18.75" customHeight="1">
      <c r="A60" s="1022"/>
      <c r="B60" s="1027"/>
      <c r="C60" s="1022"/>
      <c r="D60" s="1022"/>
      <c r="E60" s="1022"/>
      <c r="F60" s="1022"/>
      <c r="G60" s="1022"/>
      <c r="H60" s="1022"/>
      <c r="I60" s="1022"/>
      <c r="J60" s="1022"/>
      <c r="K60" s="1022"/>
      <c r="L60" s="1022"/>
      <c r="M60" s="1022"/>
      <c r="N60" s="1022"/>
      <c r="O60" s="1022"/>
      <c r="P60" s="1029"/>
    </row>
    <row r="61" spans="1:19" ht="18.75" customHeight="1">
      <c r="A61" s="1022"/>
      <c r="B61" s="1761" t="s">
        <v>1340</v>
      </c>
      <c r="C61" s="1022"/>
      <c r="D61" s="1300">
        <f t="shared" ref="D61:K61" si="23">D59+D49+D32</f>
        <v>2341116</v>
      </c>
      <c r="E61" s="1300">
        <f t="shared" si="23"/>
        <v>2828289.74</v>
      </c>
      <c r="F61" s="1028">
        <f t="shared" si="23"/>
        <v>3021.54255641694</v>
      </c>
      <c r="G61" s="1300">
        <f t="shared" si="23"/>
        <v>2386112</v>
      </c>
      <c r="H61" s="1300">
        <f t="shared" si="23"/>
        <v>3348903.193</v>
      </c>
      <c r="I61" s="1028">
        <f t="shared" si="23"/>
        <v>1727.37594733377</v>
      </c>
      <c r="J61" s="1300">
        <f t="shared" si="23"/>
        <v>3297492.5805599997</v>
      </c>
      <c r="K61" s="1028">
        <f t="shared" si="23"/>
        <v>3371.6534733082999</v>
      </c>
      <c r="L61" s="1030">
        <f t="shared" si="20"/>
        <v>0.11587158226443607</v>
      </c>
      <c r="M61" s="1300">
        <f t="shared" ref="M61:N61" si="24">M59+M49+M32</f>
        <v>2425073</v>
      </c>
      <c r="N61" s="1300">
        <f t="shared" si="24"/>
        <v>3199697.6102000005</v>
      </c>
      <c r="O61" s="1028">
        <f>O59+O49+O32</f>
        <v>3586.5410904983701</v>
      </c>
      <c r="P61" s="1029">
        <f t="shared" si="0"/>
        <v>6.3733601003551618E-2</v>
      </c>
      <c r="Q61" s="1007">
        <v>2613.415</v>
      </c>
      <c r="R61" s="1042">
        <f>O61-Q61</f>
        <v>973.1260904983701</v>
      </c>
    </row>
    <row r="62" spans="1:19" ht="18.75" customHeight="1">
      <c r="A62" s="1022">
        <v>36</v>
      </c>
      <c r="B62" s="1014" t="s">
        <v>4097</v>
      </c>
      <c r="C62" s="1022"/>
      <c r="D62" s="1022"/>
      <c r="E62" s="1022"/>
      <c r="F62" s="1885">
        <f>'T-6 (21-22)'!I71</f>
        <v>3941.5407756566683</v>
      </c>
      <c r="G62" s="1022"/>
      <c r="H62" s="1022"/>
      <c r="I62" s="1885">
        <f>'T-6 (22-23)'!I73</f>
        <v>2248.4833159999998</v>
      </c>
      <c r="J62" s="1022"/>
      <c r="K62" s="1885">
        <v>4495.3606545443999</v>
      </c>
      <c r="L62" s="1022">
        <f>K62*77%</f>
        <v>3461.427703999188</v>
      </c>
      <c r="M62" s="1022"/>
      <c r="N62" s="1022"/>
      <c r="O62" s="1885">
        <v>4781.2681206644938</v>
      </c>
      <c r="P62" s="1022">
        <f>O62*77%</f>
        <v>3681.5764529116605</v>
      </c>
      <c r="Q62" s="1042">
        <f>1-O61/O62</f>
        <v>0.24987660177486182</v>
      </c>
    </row>
    <row r="63" spans="1:19" ht="18.75" customHeight="1">
      <c r="A63" s="1022">
        <f>A62+1</f>
        <v>37</v>
      </c>
      <c r="B63" s="1014" t="s">
        <v>4098</v>
      </c>
      <c r="C63" s="1027"/>
      <c r="D63" s="1022"/>
      <c r="E63" s="1022"/>
      <c r="F63" s="1885">
        <f>F62-F61</f>
        <v>919.99821923972831</v>
      </c>
      <c r="G63" s="1022"/>
      <c r="H63" s="1022"/>
      <c r="I63" s="1885">
        <f>I62-I61</f>
        <v>521.10736866622983</v>
      </c>
      <c r="J63" s="1022"/>
      <c r="K63" s="1885">
        <f>K62-K61</f>
        <v>1123.7071812361</v>
      </c>
      <c r="L63" s="1885">
        <f>L62-K61</f>
        <v>89.774230690888089</v>
      </c>
      <c r="M63" s="1022"/>
      <c r="N63" s="1022"/>
      <c r="O63" s="1885">
        <f>O62-O61</f>
        <v>1194.7270301661238</v>
      </c>
      <c r="P63" s="1885">
        <f>P62-O61</f>
        <v>95.035362413290386</v>
      </c>
      <c r="R63" s="1042"/>
    </row>
    <row r="64" spans="1:19" s="1034" customFormat="1" ht="18.75" customHeight="1">
      <c r="A64" s="1022">
        <f>A63+1</f>
        <v>38</v>
      </c>
      <c r="B64" s="1520" t="s">
        <v>4099</v>
      </c>
      <c r="C64" s="1300"/>
      <c r="D64" s="1300"/>
      <c r="E64" s="1300"/>
      <c r="F64" s="1031">
        <f>F63/F62</f>
        <v>0.23341080851471208</v>
      </c>
      <c r="G64" s="1300"/>
      <c r="H64" s="1300"/>
      <c r="I64" s="1031">
        <f>I63/I62</f>
        <v>0.23175949981842331</v>
      </c>
      <c r="J64" s="1300"/>
      <c r="K64" s="1031">
        <f>K63/K62</f>
        <v>0.24997041785738247</v>
      </c>
      <c r="L64" s="1032">
        <f>K64-F64</f>
        <v>1.6559609342670395E-2</v>
      </c>
      <c r="M64" s="1300"/>
      <c r="N64" s="2010"/>
      <c r="O64" s="1031">
        <f>O63/O62</f>
        <v>0.24987660177486185</v>
      </c>
      <c r="P64" s="1032">
        <f>O64-K64</f>
        <v>-9.3816082520625788E-5</v>
      </c>
    </row>
    <row r="65" spans="1:57" ht="18.75" customHeight="1">
      <c r="A65" s="1022">
        <f>A64+1</f>
        <v>39</v>
      </c>
      <c r="B65" s="1014" t="s">
        <v>4100</v>
      </c>
      <c r="C65" s="1022"/>
      <c r="D65" s="1022"/>
      <c r="E65" s="1022"/>
      <c r="F65" s="1035"/>
      <c r="G65" s="1022"/>
      <c r="H65" s="1022"/>
      <c r="I65" s="1035"/>
      <c r="J65" s="1022"/>
      <c r="K65" s="1035">
        <v>0.94</v>
      </c>
      <c r="L65" s="1022"/>
      <c r="M65" s="1022"/>
      <c r="N65" s="1885"/>
      <c r="O65" s="1035">
        <v>0.94</v>
      </c>
      <c r="P65" s="1022"/>
    </row>
    <row r="66" spans="1:57" s="1034" customFormat="1" ht="18.75" customHeight="1">
      <c r="A66" s="1022">
        <f>A65+1</f>
        <v>40</v>
      </c>
      <c r="B66" s="1520" t="s">
        <v>4101</v>
      </c>
      <c r="C66" s="1300"/>
      <c r="D66" s="1300"/>
      <c r="E66" s="1300"/>
      <c r="F66" s="1031"/>
      <c r="G66" s="1300"/>
      <c r="H66" s="1300"/>
      <c r="I66" s="1031"/>
      <c r="J66" s="1300"/>
      <c r="K66" s="1031">
        <f>1-((K61/K62)*K65)</f>
        <v>0.29497219278593956</v>
      </c>
      <c r="L66" s="1032">
        <f>K66-F66</f>
        <v>0.29497219278593956</v>
      </c>
      <c r="M66" s="1300"/>
      <c r="N66" s="1300"/>
      <c r="O66" s="1031">
        <f>1-((O61/O62)*O65)</f>
        <v>0.29488400566837014</v>
      </c>
      <c r="P66" s="1032">
        <f>O66-K66</f>
        <v>-8.8187117569415996E-5</v>
      </c>
    </row>
    <row r="67" spans="1:57" ht="18.75" customHeight="1">
      <c r="A67" s="1022"/>
      <c r="B67" s="1014"/>
      <c r="C67" s="1014"/>
      <c r="D67" s="1022"/>
      <c r="E67" s="1022"/>
      <c r="F67" s="1022"/>
      <c r="G67" s="1022"/>
      <c r="H67" s="1022"/>
      <c r="I67" s="1022"/>
      <c r="J67" s="1022"/>
      <c r="K67" s="1022"/>
      <c r="L67" s="1022"/>
      <c r="M67" s="1022"/>
      <c r="N67" s="1022"/>
      <c r="O67" s="1022"/>
      <c r="P67" s="1022"/>
    </row>
    <row r="68" spans="1:57">
      <c r="A68" s="1023"/>
      <c r="B68" s="1023"/>
      <c r="C68" s="1023"/>
      <c r="D68" s="1023"/>
      <c r="E68" s="1023"/>
      <c r="F68" s="1023"/>
      <c r="G68" s="1023"/>
      <c r="H68" s="1023"/>
      <c r="I68" s="1023"/>
      <c r="J68" s="1023"/>
      <c r="K68" s="1023">
        <v>1976.873</v>
      </c>
      <c r="L68" s="1023"/>
      <c r="M68" s="1023"/>
      <c r="N68" s="1023"/>
      <c r="O68" s="1023">
        <v>2259.8679999999999</v>
      </c>
      <c r="P68" s="1023"/>
      <c r="Q68" s="1023"/>
      <c r="R68" s="1023"/>
      <c r="S68" s="1023"/>
      <c r="T68" s="1023"/>
      <c r="U68" s="1023"/>
      <c r="V68" s="1023"/>
      <c r="W68" s="1023"/>
      <c r="X68" s="1023"/>
      <c r="Y68" s="1023"/>
      <c r="Z68" s="1023"/>
      <c r="AA68" s="1023"/>
      <c r="AB68" s="1023"/>
      <c r="AC68" s="1023"/>
      <c r="AD68" s="1023"/>
      <c r="AE68" s="1023"/>
      <c r="AF68" s="1023"/>
      <c r="AG68" s="1023"/>
      <c r="AH68" s="1023"/>
      <c r="AI68" s="1023"/>
      <c r="AJ68" s="1023"/>
      <c r="AK68" s="1023"/>
      <c r="AL68" s="1023"/>
      <c r="AM68" s="1023"/>
      <c r="AN68" s="1023"/>
      <c r="AO68" s="1023"/>
      <c r="AP68" s="1023"/>
      <c r="AQ68" s="1023"/>
      <c r="AR68" s="1023"/>
      <c r="AS68" s="1023"/>
      <c r="AT68" s="1023"/>
      <c r="AU68" s="1023"/>
      <c r="AV68" s="1023"/>
      <c r="AW68" s="1023"/>
      <c r="AX68" s="1023"/>
      <c r="AY68" s="1023"/>
      <c r="AZ68" s="1023"/>
      <c r="BA68" s="1023"/>
      <c r="BB68" s="1023"/>
      <c r="BC68" s="1023"/>
      <c r="BD68" s="1023"/>
      <c r="BE68" s="1023"/>
    </row>
    <row r="69" spans="1:57">
      <c r="A69" s="1023"/>
      <c r="B69" s="1023"/>
      <c r="C69" s="1023"/>
      <c r="D69" s="1023"/>
      <c r="E69" s="1023"/>
      <c r="F69" s="1023"/>
      <c r="G69" s="1023"/>
      <c r="H69" s="1023"/>
      <c r="I69" s="1023"/>
      <c r="J69" s="1023"/>
      <c r="K69" s="1036">
        <f>K61-K68</f>
        <v>1394.7804733082999</v>
      </c>
      <c r="L69" s="1023"/>
      <c r="M69" s="1023"/>
      <c r="N69" s="1023"/>
      <c r="O69" s="1036">
        <f>O61-O68</f>
        <v>1326.6730904983701</v>
      </c>
      <c r="P69" s="1023"/>
      <c r="Q69" s="1023"/>
      <c r="R69" s="1023"/>
      <c r="S69" s="1023"/>
      <c r="T69" s="1023"/>
      <c r="U69" s="1023"/>
      <c r="V69" s="1023"/>
      <c r="W69" s="1023"/>
      <c r="X69" s="1023"/>
      <c r="Y69" s="1023"/>
      <c r="Z69" s="1023"/>
      <c r="AA69" s="1023"/>
      <c r="AB69" s="1023"/>
      <c r="AC69" s="1023"/>
      <c r="AD69" s="1023"/>
      <c r="AE69" s="1023"/>
      <c r="AF69" s="1023"/>
      <c r="AG69" s="1023"/>
      <c r="AH69" s="1023"/>
      <c r="AI69" s="1023"/>
      <c r="AJ69" s="1023"/>
      <c r="AK69" s="1023"/>
      <c r="AL69" s="1023"/>
      <c r="AM69" s="1023"/>
      <c r="AN69" s="1023"/>
      <c r="AO69" s="1023"/>
      <c r="AP69" s="1023"/>
      <c r="AQ69" s="1023"/>
      <c r="AR69" s="1023"/>
      <c r="AS69" s="1023"/>
      <c r="AT69" s="1023"/>
      <c r="AU69" s="1023"/>
      <c r="AV69" s="1023"/>
      <c r="AW69" s="1023"/>
      <c r="AX69" s="1023"/>
      <c r="AY69" s="1023"/>
      <c r="AZ69" s="1023"/>
      <c r="BA69" s="1023"/>
      <c r="BB69" s="1023"/>
      <c r="BC69" s="1023"/>
      <c r="BD69" s="1023"/>
      <c r="BE69" s="1023"/>
    </row>
    <row r="70" spans="1:57">
      <c r="A70" s="1023"/>
      <c r="B70" s="1023"/>
      <c r="C70" s="1023"/>
      <c r="D70" s="1023" t="s">
        <v>4102</v>
      </c>
      <c r="E70" s="1023" t="s">
        <v>1266</v>
      </c>
      <c r="F70" s="1886">
        <f>F32+F49</f>
        <v>2484.16481341694</v>
      </c>
      <c r="G70" s="1023"/>
      <c r="H70" s="1023"/>
      <c r="I70" s="1887">
        <f>I32+I49</f>
        <v>1391.1198456785698</v>
      </c>
      <c r="J70" s="1023"/>
      <c r="K70" s="1886">
        <f>K32+K49</f>
        <v>2752.3182919978999</v>
      </c>
      <c r="L70" s="1036"/>
      <c r="M70" s="1036"/>
      <c r="N70" s="1036"/>
      <c r="O70" s="1886">
        <f>O32+O49</f>
        <v>2944.0690904983699</v>
      </c>
      <c r="P70" s="1023"/>
      <c r="Q70" s="1023"/>
      <c r="R70" s="1023"/>
      <c r="S70" s="1023"/>
      <c r="T70" s="1023"/>
      <c r="U70" s="1023"/>
      <c r="V70" s="1023"/>
      <c r="W70" s="1023"/>
      <c r="X70" s="1023"/>
      <c r="Y70" s="1023"/>
      <c r="Z70" s="1023"/>
      <c r="AA70" s="1023"/>
      <c r="AB70" s="1023"/>
      <c r="AC70" s="1023"/>
      <c r="AD70" s="1023"/>
      <c r="AE70" s="1023"/>
      <c r="AF70" s="1023"/>
      <c r="AG70" s="1023"/>
      <c r="AH70" s="1023"/>
      <c r="AI70" s="1023"/>
      <c r="AJ70" s="1023"/>
      <c r="AK70" s="1023"/>
      <c r="AL70" s="1023"/>
      <c r="AM70" s="1023"/>
      <c r="AN70" s="1023"/>
      <c r="AO70" s="1023"/>
      <c r="AP70" s="1023"/>
      <c r="AQ70" s="1023"/>
      <c r="AR70" s="1023"/>
      <c r="AS70" s="1023"/>
      <c r="AT70" s="1023"/>
      <c r="AU70" s="1023"/>
      <c r="AV70" s="1023"/>
      <c r="AW70" s="1023"/>
      <c r="AX70" s="1023"/>
      <c r="AY70" s="1023"/>
      <c r="AZ70" s="1023"/>
      <c r="BA70" s="1023"/>
      <c r="BB70" s="1023"/>
      <c r="BC70" s="1023"/>
      <c r="BD70" s="1023"/>
      <c r="BE70" s="1023"/>
    </row>
    <row r="71" spans="1:57">
      <c r="A71" s="1023"/>
      <c r="B71" s="1023"/>
      <c r="C71" s="1023"/>
      <c r="D71" s="1023" t="s">
        <v>1267</v>
      </c>
      <c r="E71" s="1023" t="s">
        <v>1266</v>
      </c>
      <c r="F71" s="1886">
        <f>F62-F59</f>
        <v>3404.1630326566683</v>
      </c>
      <c r="G71" s="1023"/>
      <c r="H71" s="1023"/>
      <c r="I71" s="1887">
        <f>I62-I59</f>
        <v>1912.2272143447999</v>
      </c>
      <c r="J71" s="1023"/>
      <c r="K71" s="1886">
        <f>K62-K59</f>
        <v>3876.0254732339999</v>
      </c>
      <c r="L71" s="1036"/>
      <c r="M71" s="1036"/>
      <c r="N71" s="1036"/>
      <c r="O71" s="1886">
        <f>O62-O59</f>
        <v>4138.7961206644941</v>
      </c>
      <c r="P71" s="1023"/>
      <c r="Q71" s="1023"/>
      <c r="R71" s="1023"/>
      <c r="S71" s="1023"/>
      <c r="T71" s="1023"/>
      <c r="U71" s="1023"/>
      <c r="V71" s="1023"/>
      <c r="W71" s="1023"/>
      <c r="X71" s="1023"/>
      <c r="Y71" s="1023"/>
      <c r="Z71" s="1023"/>
      <c r="AA71" s="1023"/>
      <c r="AB71" s="1023"/>
      <c r="AC71" s="1023"/>
      <c r="AD71" s="1023"/>
      <c r="AE71" s="1023"/>
      <c r="AF71" s="1023"/>
      <c r="AG71" s="1023"/>
      <c r="AH71" s="1023"/>
      <c r="AI71" s="1023"/>
      <c r="AJ71" s="1023"/>
      <c r="AK71" s="1023"/>
      <c r="AL71" s="1023"/>
      <c r="AM71" s="1023"/>
      <c r="AN71" s="1023"/>
      <c r="AO71" s="1023"/>
      <c r="AP71" s="1023"/>
      <c r="AQ71" s="1023"/>
      <c r="AR71" s="1023"/>
      <c r="AS71" s="1023"/>
      <c r="AT71" s="1023"/>
      <c r="AU71" s="1023"/>
      <c r="AV71" s="1023"/>
      <c r="AW71" s="1023"/>
      <c r="AX71" s="1023"/>
      <c r="AY71" s="1023"/>
      <c r="AZ71" s="1023"/>
      <c r="BA71" s="1023"/>
      <c r="BB71" s="1023"/>
      <c r="BC71" s="1023"/>
      <c r="BD71" s="1023"/>
      <c r="BE71" s="1023"/>
    </row>
    <row r="72" spans="1:57">
      <c r="A72" s="1023"/>
      <c r="B72" s="1023"/>
      <c r="C72" s="1023"/>
      <c r="D72" s="1033" t="s">
        <v>1382</v>
      </c>
      <c r="E72" s="1033" t="s">
        <v>1266</v>
      </c>
      <c r="F72" s="1037">
        <f>1-F70/F71</f>
        <v>0.27025680333581015</v>
      </c>
      <c r="G72" s="1033"/>
      <c r="H72" s="1033"/>
      <c r="I72" s="1037">
        <f>1-I70/I71</f>
        <v>0.27251331052977446</v>
      </c>
      <c r="J72" s="1033"/>
      <c r="K72" s="1037">
        <f>1-K70/K71</f>
        <v>0.28991222813056594</v>
      </c>
      <c r="L72" s="1038">
        <f>K72-F72</f>
        <v>1.9655424794755794E-2</v>
      </c>
      <c r="M72" s="1033"/>
      <c r="N72" s="1033"/>
      <c r="O72" s="1037">
        <f>1-O70/O71</f>
        <v>0.28866534985886372</v>
      </c>
      <c r="P72" s="1038">
        <f>O72-K72</f>
        <v>-1.2468782717022231E-3</v>
      </c>
      <c r="Q72" s="1023"/>
      <c r="R72" s="1023"/>
      <c r="S72" s="1023"/>
      <c r="T72" s="1023"/>
      <c r="U72" s="1023"/>
      <c r="V72" s="1023"/>
      <c r="W72" s="1023"/>
      <c r="X72" s="1023"/>
      <c r="Y72" s="1023"/>
      <c r="Z72" s="1023"/>
      <c r="AA72" s="1023"/>
      <c r="AB72" s="1023"/>
      <c r="AC72" s="1023"/>
      <c r="AD72" s="1023"/>
      <c r="AE72" s="1023"/>
      <c r="AF72" s="1023"/>
      <c r="AG72" s="1023"/>
      <c r="AH72" s="1023"/>
      <c r="AI72" s="1023"/>
      <c r="AJ72" s="1023"/>
      <c r="AK72" s="1023"/>
      <c r="AL72" s="1023"/>
      <c r="AM72" s="1023"/>
      <c r="AN72" s="1023"/>
      <c r="AO72" s="1023"/>
      <c r="AP72" s="1023"/>
      <c r="AQ72" s="1023"/>
      <c r="AR72" s="1023"/>
      <c r="AS72" s="1023"/>
      <c r="AT72" s="1023"/>
      <c r="AU72" s="1023"/>
      <c r="AV72" s="1023"/>
      <c r="AW72" s="1023"/>
      <c r="AX72" s="1023"/>
      <c r="AY72" s="1023"/>
      <c r="AZ72" s="1023"/>
      <c r="BA72" s="1023"/>
      <c r="BB72" s="1023"/>
      <c r="BC72" s="1023"/>
      <c r="BD72" s="1023"/>
      <c r="BE72" s="1023"/>
    </row>
    <row r="73" spans="1:57">
      <c r="A73" s="1023"/>
      <c r="B73" s="1023"/>
      <c r="C73" s="1023"/>
      <c r="D73" s="1023"/>
      <c r="E73" s="1023"/>
      <c r="F73" s="1023"/>
      <c r="G73" s="1023"/>
      <c r="H73" s="1023"/>
      <c r="I73" s="1023"/>
      <c r="J73" s="1023"/>
      <c r="K73" s="1023"/>
      <c r="L73" s="1023"/>
      <c r="M73" s="1023"/>
      <c r="N73" s="1023"/>
      <c r="O73" s="1023"/>
      <c r="P73" s="1023"/>
      <c r="Q73" s="1023"/>
      <c r="R73" s="1023"/>
      <c r="S73" s="1023"/>
      <c r="T73" s="1023"/>
      <c r="U73" s="1023"/>
      <c r="V73" s="1023"/>
      <c r="W73" s="1023"/>
      <c r="X73" s="1023"/>
      <c r="Y73" s="1023"/>
      <c r="Z73" s="1023"/>
      <c r="AA73" s="1023"/>
      <c r="AB73" s="1023"/>
      <c r="AC73" s="1023"/>
      <c r="AD73" s="1023"/>
      <c r="AE73" s="1023"/>
      <c r="AF73" s="1023"/>
      <c r="AG73" s="1023"/>
      <c r="AH73" s="1023"/>
      <c r="AI73" s="1023"/>
      <c r="AJ73" s="1023"/>
      <c r="AK73" s="1023"/>
      <c r="AL73" s="1023"/>
      <c r="AM73" s="1023"/>
      <c r="AN73" s="1023"/>
      <c r="AO73" s="1023"/>
      <c r="AP73" s="1023"/>
      <c r="AQ73" s="1023"/>
      <c r="AR73" s="1023"/>
      <c r="AS73" s="1023"/>
      <c r="AT73" s="1023"/>
      <c r="AU73" s="1023"/>
      <c r="AV73" s="1023"/>
      <c r="AW73" s="1023"/>
      <c r="AX73" s="1023"/>
      <c r="AY73" s="1023"/>
      <c r="AZ73" s="1023"/>
      <c r="BA73" s="1023"/>
      <c r="BB73" s="1023"/>
      <c r="BC73" s="1023"/>
      <c r="BD73" s="1023"/>
      <c r="BE73" s="1023"/>
    </row>
    <row r="74" spans="1:57">
      <c r="A74" s="1023"/>
      <c r="B74" s="1023"/>
      <c r="C74" s="1023"/>
      <c r="D74" s="1023"/>
      <c r="E74" s="1023"/>
      <c r="F74" s="1023"/>
      <c r="G74" s="1023"/>
      <c r="H74" s="1023"/>
      <c r="I74" s="1023"/>
      <c r="J74" s="1023"/>
      <c r="K74" s="1023"/>
      <c r="L74" s="1023"/>
      <c r="M74" s="1023"/>
      <c r="N74" s="1023"/>
      <c r="O74" s="1023"/>
      <c r="P74" s="1023"/>
      <c r="Q74" s="1023"/>
      <c r="R74" s="1023"/>
      <c r="S74" s="1023"/>
      <c r="T74" s="1023"/>
      <c r="U74" s="1023"/>
      <c r="V74" s="1023"/>
      <c r="W74" s="1023"/>
      <c r="X74" s="1023"/>
      <c r="Y74" s="1023"/>
      <c r="Z74" s="1023"/>
      <c r="AA74" s="1023"/>
      <c r="AB74" s="1023"/>
      <c r="AC74" s="1023"/>
      <c r="AD74" s="1023"/>
      <c r="AE74" s="1023"/>
      <c r="AF74" s="1023"/>
      <c r="AG74" s="1023"/>
      <c r="AH74" s="1023"/>
      <c r="AI74" s="1023"/>
      <c r="AJ74" s="1023"/>
      <c r="AK74" s="1023"/>
      <c r="AL74" s="1023"/>
      <c r="AM74" s="1023"/>
      <c r="AN74" s="1023"/>
      <c r="AO74" s="1023"/>
      <c r="AP74" s="1023"/>
      <c r="AQ74" s="1023"/>
      <c r="AR74" s="1023"/>
      <c r="AS74" s="1023"/>
      <c r="AT74" s="1023"/>
      <c r="AU74" s="1023"/>
      <c r="AV74" s="1023"/>
      <c r="AW74" s="1023"/>
      <c r="AX74" s="1023"/>
      <c r="AY74" s="1023"/>
      <c r="AZ74" s="1023"/>
      <c r="BA74" s="1023"/>
      <c r="BB74" s="1023"/>
      <c r="BC74" s="1023"/>
      <c r="BD74" s="1023"/>
      <c r="BE74" s="1023"/>
    </row>
    <row r="75" spans="1:57">
      <c r="A75" s="1023"/>
      <c r="B75" s="1023"/>
      <c r="C75" s="1023"/>
      <c r="D75" s="1023"/>
      <c r="E75" s="1023"/>
      <c r="F75" s="1023"/>
      <c r="G75" s="1023"/>
      <c r="H75" s="1023"/>
      <c r="I75" s="1023"/>
      <c r="J75" s="1023"/>
      <c r="K75" s="1039" t="s">
        <v>1100</v>
      </c>
      <c r="L75" s="1023" t="s">
        <v>4103</v>
      </c>
      <c r="M75" s="1023" t="s">
        <v>4104</v>
      </c>
      <c r="N75" s="1023"/>
      <c r="O75" s="1036"/>
      <c r="P75" s="1023"/>
      <c r="Q75" s="1023"/>
      <c r="R75" s="1023"/>
      <c r="S75" s="1023"/>
      <c r="T75" s="1023"/>
      <c r="U75" s="1023"/>
      <c r="V75" s="1023"/>
      <c r="W75" s="1023"/>
      <c r="X75" s="1023"/>
      <c r="Y75" s="1023"/>
      <c r="Z75" s="1023"/>
      <c r="AA75" s="1023"/>
      <c r="AB75" s="1023"/>
      <c r="AC75" s="1023"/>
      <c r="AD75" s="1023"/>
      <c r="AE75" s="1023"/>
      <c r="AF75" s="1023"/>
      <c r="AG75" s="1023"/>
      <c r="AH75" s="1023"/>
      <c r="AI75" s="1023"/>
      <c r="AJ75" s="1023"/>
      <c r="AK75" s="1023"/>
      <c r="AL75" s="1023"/>
      <c r="AM75" s="1023"/>
      <c r="AN75" s="1023"/>
      <c r="AO75" s="1023"/>
      <c r="AP75" s="1023"/>
      <c r="AQ75" s="1023"/>
      <c r="AR75" s="1023"/>
      <c r="AS75" s="1023"/>
      <c r="AT75" s="1023"/>
      <c r="AU75" s="1023"/>
      <c r="AV75" s="1023"/>
      <c r="AW75" s="1023"/>
      <c r="AX75" s="1023"/>
      <c r="AY75" s="1023"/>
      <c r="AZ75" s="1023"/>
      <c r="BA75" s="1023"/>
      <c r="BB75" s="1023"/>
      <c r="BC75" s="1023"/>
      <c r="BD75" s="1023"/>
      <c r="BE75" s="1023"/>
    </row>
    <row r="76" spans="1:57">
      <c r="A76" s="1023"/>
      <c r="B76" s="1023"/>
      <c r="C76" s="1023"/>
      <c r="D76" s="1023"/>
      <c r="E76" s="1023"/>
      <c r="F76" s="1023"/>
      <c r="G76" s="1023"/>
      <c r="H76" s="1023"/>
      <c r="I76" s="1023"/>
      <c r="J76" s="1023" t="s">
        <v>4105</v>
      </c>
      <c r="K76" s="1023">
        <v>839204</v>
      </c>
      <c r="L76" s="1023"/>
      <c r="M76" s="1023"/>
      <c r="N76" s="1023"/>
      <c r="O76" s="1023"/>
      <c r="P76" s="1023"/>
      <c r="Q76" s="1023"/>
      <c r="R76" s="1023"/>
      <c r="S76" s="1023"/>
      <c r="T76" s="1023"/>
      <c r="U76" s="1023"/>
      <c r="V76" s="1023"/>
      <c r="W76" s="1023"/>
      <c r="X76" s="1023"/>
      <c r="Y76" s="1023"/>
      <c r="Z76" s="1023"/>
      <c r="AA76" s="1023"/>
      <c r="AB76" s="1023"/>
      <c r="AC76" s="1023"/>
      <c r="AD76" s="1023"/>
      <c r="AE76" s="1023"/>
      <c r="AF76" s="1023"/>
      <c r="AG76" s="1023"/>
      <c r="AH76" s="1023"/>
      <c r="AI76" s="1023"/>
      <c r="AJ76" s="1023"/>
      <c r="AK76" s="1023"/>
      <c r="AL76" s="1023"/>
      <c r="AM76" s="1023"/>
      <c r="AN76" s="1023"/>
      <c r="AO76" s="1023"/>
      <c r="AP76" s="1023"/>
      <c r="AQ76" s="1023"/>
      <c r="AR76" s="1023"/>
      <c r="AS76" s="1023"/>
      <c r="AT76" s="1023"/>
      <c r="AU76" s="1023"/>
      <c r="AV76" s="1023"/>
      <c r="AW76" s="1023"/>
      <c r="AX76" s="1023"/>
      <c r="AY76" s="1023"/>
      <c r="AZ76" s="1023"/>
      <c r="BA76" s="1023"/>
      <c r="BB76" s="1023"/>
      <c r="BC76" s="1023"/>
      <c r="BD76" s="1023"/>
      <c r="BE76" s="1023"/>
    </row>
    <row r="77" spans="1:57">
      <c r="A77" s="1023"/>
      <c r="B77" s="1023"/>
      <c r="C77" s="1023"/>
      <c r="D77" s="1023"/>
      <c r="E77" s="1023"/>
      <c r="F77" s="1023"/>
      <c r="G77" s="1023"/>
      <c r="H77" s="1023"/>
      <c r="I77" s="1023"/>
      <c r="J77" s="1023" t="s">
        <v>4106</v>
      </c>
      <c r="K77" s="1023">
        <v>557371</v>
      </c>
      <c r="L77" s="1023">
        <v>202225</v>
      </c>
      <c r="M77" s="1023">
        <f>K77-L77</f>
        <v>355146</v>
      </c>
      <c r="N77" s="1023"/>
      <c r="O77" s="1023"/>
      <c r="P77" s="1023"/>
      <c r="Q77" s="1023"/>
      <c r="R77" s="1023"/>
      <c r="S77" s="1023"/>
      <c r="T77" s="1023"/>
      <c r="U77" s="1023"/>
      <c r="V77" s="1023"/>
      <c r="W77" s="1023"/>
      <c r="X77" s="1023"/>
      <c r="Y77" s="1023"/>
      <c r="Z77" s="1023"/>
      <c r="AA77" s="1023"/>
      <c r="AB77" s="1023"/>
      <c r="AC77" s="1023"/>
      <c r="AD77" s="1023"/>
      <c r="AE77" s="1023"/>
      <c r="AF77" s="1023"/>
      <c r="AG77" s="1023"/>
      <c r="AH77" s="1023"/>
      <c r="AI77" s="1023"/>
      <c r="AJ77" s="1023"/>
      <c r="AK77" s="1023"/>
      <c r="AL77" s="1023"/>
      <c r="AM77" s="1023"/>
      <c r="AN77" s="1023"/>
      <c r="AO77" s="1023"/>
      <c r="AP77" s="1023"/>
      <c r="AQ77" s="1023"/>
      <c r="AR77" s="1023"/>
      <c r="AS77" s="1023"/>
      <c r="AT77" s="1023"/>
      <c r="AU77" s="1023"/>
      <c r="AV77" s="1023"/>
      <c r="AW77" s="1023"/>
      <c r="AX77" s="1023"/>
      <c r="AY77" s="1023"/>
      <c r="AZ77" s="1023"/>
      <c r="BA77" s="1023"/>
      <c r="BB77" s="1023"/>
      <c r="BC77" s="1023"/>
      <c r="BD77" s="1023"/>
      <c r="BE77" s="1023"/>
    </row>
    <row r="78" spans="1:57">
      <c r="A78" s="1023"/>
      <c r="B78" s="1023"/>
      <c r="C78" s="1023"/>
      <c r="D78" s="1023"/>
      <c r="E78" s="1023"/>
      <c r="F78" s="1023"/>
      <c r="G78" s="1023"/>
      <c r="H78" s="1023"/>
      <c r="I78" s="1023"/>
      <c r="J78" s="1023" t="s">
        <v>4107</v>
      </c>
      <c r="K78" s="1023">
        <f>K76-K77</f>
        <v>281833</v>
      </c>
      <c r="L78" s="1023"/>
      <c r="M78" s="1023"/>
      <c r="N78" s="1023"/>
      <c r="O78" s="1023"/>
      <c r="P78" s="1023"/>
      <c r="Q78" s="1023"/>
      <c r="R78" s="1023"/>
      <c r="S78" s="1023"/>
      <c r="T78" s="1023"/>
      <c r="U78" s="1023"/>
      <c r="V78" s="1023"/>
      <c r="W78" s="1023"/>
      <c r="X78" s="1023"/>
      <c r="Y78" s="1023"/>
      <c r="Z78" s="1023"/>
      <c r="AA78" s="1023"/>
      <c r="AB78" s="1023"/>
      <c r="AC78" s="1023"/>
      <c r="AD78" s="1023"/>
      <c r="AE78" s="1023"/>
      <c r="AF78" s="1023"/>
      <c r="AG78" s="1023"/>
      <c r="AH78" s="1023"/>
      <c r="AI78" s="1023"/>
      <c r="AJ78" s="1023"/>
      <c r="AK78" s="1023"/>
      <c r="AL78" s="1023"/>
      <c r="AM78" s="1023"/>
      <c r="AN78" s="1023"/>
      <c r="AO78" s="1023"/>
      <c r="AP78" s="1023"/>
      <c r="AQ78" s="1023"/>
      <c r="AR78" s="1023"/>
      <c r="AS78" s="1023"/>
      <c r="AT78" s="1023"/>
      <c r="AU78" s="1023"/>
      <c r="AV78" s="1023"/>
      <c r="AW78" s="1023"/>
      <c r="AX78" s="1023"/>
      <c r="AY78" s="1023"/>
      <c r="AZ78" s="1023"/>
      <c r="BA78" s="1023"/>
      <c r="BB78" s="1023"/>
      <c r="BC78" s="1023"/>
      <c r="BD78" s="1023"/>
      <c r="BE78" s="1023"/>
    </row>
    <row r="79" spans="1:57">
      <c r="A79" s="1023"/>
      <c r="B79" s="1023"/>
      <c r="C79" s="1023"/>
      <c r="D79" s="1023"/>
      <c r="E79" s="1023"/>
      <c r="F79" s="1023"/>
      <c r="G79" s="1023"/>
      <c r="H79" s="1023"/>
      <c r="I79" s="1023"/>
      <c r="J79" s="1023" t="s">
        <v>4108</v>
      </c>
      <c r="K79" s="1023">
        <v>120000</v>
      </c>
      <c r="L79" s="1023"/>
      <c r="M79" s="1023"/>
      <c r="N79" s="1023"/>
      <c r="O79" s="1023"/>
      <c r="P79" s="1023"/>
      <c r="Q79" s="1023"/>
      <c r="R79" s="1023"/>
      <c r="S79" s="1023"/>
      <c r="T79" s="1023"/>
      <c r="U79" s="1023"/>
      <c r="V79" s="1023"/>
      <c r="W79" s="1023"/>
      <c r="X79" s="1023"/>
      <c r="Y79" s="1023"/>
      <c r="Z79" s="1023"/>
      <c r="AA79" s="1023"/>
      <c r="AB79" s="1023"/>
      <c r="AC79" s="1023"/>
      <c r="AD79" s="1023"/>
      <c r="AE79" s="1023"/>
      <c r="AF79" s="1023"/>
      <c r="AG79" s="1023"/>
      <c r="AH79" s="1023"/>
      <c r="AI79" s="1023"/>
      <c r="AJ79" s="1023"/>
      <c r="AK79" s="1023"/>
      <c r="AL79" s="1023"/>
      <c r="AM79" s="1023"/>
      <c r="AN79" s="1023"/>
      <c r="AO79" s="1023"/>
      <c r="AP79" s="1023"/>
      <c r="AQ79" s="1023"/>
      <c r="AR79" s="1023"/>
      <c r="AS79" s="1023"/>
      <c r="AT79" s="1023"/>
      <c r="AU79" s="1023"/>
      <c r="AV79" s="1023"/>
      <c r="AW79" s="1023"/>
      <c r="AX79" s="1023"/>
      <c r="AY79" s="1023"/>
      <c r="AZ79" s="1023"/>
      <c r="BA79" s="1023"/>
      <c r="BB79" s="1023"/>
      <c r="BC79" s="1023"/>
      <c r="BD79" s="1023"/>
      <c r="BE79" s="1023"/>
    </row>
    <row r="80" spans="1:57">
      <c r="A80" s="1023"/>
      <c r="B80" s="1023"/>
      <c r="C80" s="1023"/>
      <c r="D80" s="1023"/>
      <c r="E80" s="1023"/>
      <c r="F80" s="1023"/>
      <c r="G80" s="1023"/>
      <c r="H80" s="1023"/>
      <c r="I80" s="1023"/>
      <c r="J80" s="1023" t="s">
        <v>4058</v>
      </c>
      <c r="K80" s="1023">
        <f>K77+K79</f>
        <v>677371</v>
      </c>
      <c r="L80" s="1023"/>
      <c r="M80" s="1023">
        <f>K79+M77</f>
        <v>475146</v>
      </c>
      <c r="N80" s="1023"/>
      <c r="O80" s="1023"/>
      <c r="P80" s="1023"/>
      <c r="Q80" s="1023"/>
      <c r="R80" s="1023"/>
      <c r="S80" s="1023"/>
      <c r="T80" s="1023"/>
      <c r="U80" s="1023"/>
      <c r="V80" s="1023"/>
      <c r="W80" s="1023"/>
      <c r="X80" s="1023"/>
      <c r="Y80" s="1023"/>
      <c r="Z80" s="1023"/>
      <c r="AA80" s="1023"/>
      <c r="AB80" s="1023"/>
      <c r="AC80" s="1023"/>
      <c r="AD80" s="1023"/>
      <c r="AE80" s="1023"/>
      <c r="AF80" s="1023"/>
      <c r="AG80" s="1023"/>
      <c r="AH80" s="1023"/>
      <c r="AI80" s="1023"/>
      <c r="AJ80" s="1023"/>
      <c r="AK80" s="1023"/>
      <c r="AL80" s="1023"/>
      <c r="AM80" s="1023"/>
      <c r="AN80" s="1023"/>
      <c r="AO80" s="1023"/>
      <c r="AP80" s="1023"/>
      <c r="AQ80" s="1023"/>
      <c r="AR80" s="1023"/>
      <c r="AS80" s="1023"/>
      <c r="AT80" s="1023"/>
      <c r="AU80" s="1023"/>
      <c r="AV80" s="1023"/>
      <c r="AW80" s="1023"/>
      <c r="AX80" s="1023"/>
      <c r="AY80" s="1023"/>
      <c r="AZ80" s="1023"/>
      <c r="BA80" s="1023"/>
      <c r="BB80" s="1023"/>
      <c r="BC80" s="1023"/>
      <c r="BD80" s="1023"/>
      <c r="BE80" s="1023"/>
    </row>
    <row r="81" spans="1:57">
      <c r="A81" s="1023"/>
      <c r="B81" s="1023"/>
      <c r="C81" s="1023"/>
      <c r="D81" s="1023"/>
      <c r="E81" s="1023"/>
      <c r="F81" s="1023"/>
      <c r="G81" s="1023"/>
      <c r="H81" s="1023"/>
      <c r="I81" s="1023"/>
      <c r="J81" s="1023" t="s">
        <v>4109</v>
      </c>
      <c r="K81" s="1023">
        <f>K76-K80</f>
        <v>161833</v>
      </c>
      <c r="L81" s="1023"/>
      <c r="M81" s="1023">
        <f>M80</f>
        <v>475146</v>
      </c>
      <c r="N81" s="1023"/>
      <c r="O81" s="1023"/>
      <c r="P81" s="1023"/>
      <c r="Q81" s="1023"/>
      <c r="R81" s="1023"/>
      <c r="S81" s="1023"/>
      <c r="T81" s="1023"/>
      <c r="U81" s="1023"/>
      <c r="V81" s="1023"/>
      <c r="W81" s="1023"/>
      <c r="X81" s="1023"/>
      <c r="Y81" s="1023"/>
      <c r="Z81" s="1023"/>
      <c r="AA81" s="1023"/>
      <c r="AB81" s="1023"/>
      <c r="AC81" s="1023"/>
      <c r="AD81" s="1023"/>
      <c r="AE81" s="1023"/>
      <c r="AF81" s="1023"/>
      <c r="AG81" s="1023"/>
      <c r="AH81" s="1023"/>
      <c r="AI81" s="1023"/>
      <c r="AJ81" s="1023"/>
      <c r="AK81" s="1023"/>
      <c r="AL81" s="1023"/>
      <c r="AM81" s="1023"/>
      <c r="AN81" s="1023"/>
      <c r="AO81" s="1023"/>
      <c r="AP81" s="1023"/>
      <c r="AQ81" s="1023"/>
      <c r="AR81" s="1023"/>
      <c r="AS81" s="1023"/>
      <c r="AT81" s="1023"/>
      <c r="AU81" s="1023"/>
      <c r="AV81" s="1023"/>
      <c r="AW81" s="1023"/>
      <c r="AX81" s="1023"/>
      <c r="AY81" s="1023"/>
      <c r="AZ81" s="1023"/>
      <c r="BA81" s="1023"/>
      <c r="BB81" s="1023"/>
      <c r="BC81" s="1023"/>
      <c r="BD81" s="1023"/>
      <c r="BE81" s="1023"/>
    </row>
    <row r="82" spans="1:57">
      <c r="A82" s="1023"/>
      <c r="B82" s="1023"/>
      <c r="C82" s="1023"/>
      <c r="D82" s="1023"/>
      <c r="E82" s="1023"/>
      <c r="F82" s="1023"/>
      <c r="G82" s="1023"/>
      <c r="H82" s="1023"/>
      <c r="I82" s="1023"/>
      <c r="J82" s="1040">
        <v>42109</v>
      </c>
      <c r="K82" s="1023">
        <v>25000</v>
      </c>
      <c r="L82" s="1023"/>
      <c r="M82" s="1023">
        <f>M81+K82-L82</f>
        <v>500146</v>
      </c>
      <c r="N82" s="1036">
        <f>M82*30/1000000</f>
        <v>15.004379999999999</v>
      </c>
      <c r="O82" s="1023"/>
      <c r="P82" s="1023"/>
      <c r="Q82" s="1023"/>
      <c r="R82" s="1023"/>
      <c r="S82" s="1023"/>
      <c r="T82" s="1023"/>
      <c r="U82" s="1023"/>
      <c r="V82" s="1023"/>
      <c r="W82" s="1023"/>
      <c r="X82" s="1023"/>
      <c r="Y82" s="1023"/>
      <c r="Z82" s="1023"/>
      <c r="AA82" s="1023"/>
      <c r="AB82" s="1023"/>
      <c r="AC82" s="1023"/>
      <c r="AD82" s="1023"/>
      <c r="AE82" s="1023"/>
      <c r="AF82" s="1023"/>
      <c r="AG82" s="1023"/>
      <c r="AH82" s="1023"/>
      <c r="AI82" s="1023"/>
      <c r="AJ82" s="1023"/>
      <c r="AK82" s="1023"/>
      <c r="AL82" s="1023"/>
      <c r="AM82" s="1023"/>
      <c r="AN82" s="1023"/>
      <c r="AO82" s="1023"/>
      <c r="AP82" s="1023"/>
      <c r="AQ82" s="1023"/>
      <c r="AR82" s="1023"/>
      <c r="AS82" s="1023"/>
      <c r="AT82" s="1023"/>
      <c r="AU82" s="1023"/>
      <c r="AV82" s="1023"/>
      <c r="AW82" s="1023"/>
      <c r="AX82" s="1023"/>
      <c r="AY82" s="1023"/>
      <c r="AZ82" s="1023"/>
      <c r="BA82" s="1023"/>
      <c r="BB82" s="1023"/>
      <c r="BC82" s="1023"/>
      <c r="BD82" s="1023"/>
      <c r="BE82" s="1023"/>
    </row>
    <row r="83" spans="1:57">
      <c r="J83" s="1040">
        <v>42140</v>
      </c>
      <c r="K83" s="1023">
        <v>25000</v>
      </c>
      <c r="L83" s="1023"/>
      <c r="M83" s="1023">
        <f t="shared" ref="M83:M90" si="25">M82+K83-L83</f>
        <v>525146</v>
      </c>
      <c r="N83" s="1036">
        <f>M83*30/1000000</f>
        <v>15.754379999999999</v>
      </c>
      <c r="O83" s="1023"/>
      <c r="P83" s="1023"/>
    </row>
    <row r="84" spans="1:57">
      <c r="J84" s="1040">
        <v>42171</v>
      </c>
      <c r="K84" s="1023">
        <v>25000</v>
      </c>
      <c r="L84" s="1023"/>
      <c r="M84" s="1023">
        <f t="shared" si="25"/>
        <v>550146</v>
      </c>
      <c r="N84" s="1036">
        <f t="shared" ref="N84:N90" si="26">M84*30/1000000</f>
        <v>16.504380000000001</v>
      </c>
      <c r="O84" s="1023"/>
      <c r="P84" s="1023"/>
    </row>
    <row r="85" spans="1:57">
      <c r="J85" s="1040">
        <v>42202</v>
      </c>
      <c r="K85" s="1023">
        <v>25000</v>
      </c>
      <c r="L85" s="1023"/>
      <c r="M85" s="1023">
        <f t="shared" si="25"/>
        <v>575146</v>
      </c>
      <c r="N85" s="1036">
        <f t="shared" si="26"/>
        <v>17.254380000000001</v>
      </c>
      <c r="O85" s="1023"/>
      <c r="P85" s="1023"/>
    </row>
    <row r="86" spans="1:57">
      <c r="J86" s="1040">
        <v>42233</v>
      </c>
      <c r="K86" s="1023">
        <v>25000</v>
      </c>
      <c r="L86" s="1023"/>
      <c r="M86" s="1023">
        <f t="shared" si="25"/>
        <v>600146</v>
      </c>
      <c r="N86" s="1036">
        <f t="shared" si="26"/>
        <v>18.004380000000001</v>
      </c>
      <c r="O86" s="1023"/>
      <c r="P86" s="1023"/>
    </row>
    <row r="87" spans="1:57">
      <c r="J87" s="1040">
        <v>42264</v>
      </c>
      <c r="K87" s="1023">
        <v>25000</v>
      </c>
      <c r="L87" s="1023"/>
      <c r="M87" s="1023">
        <f t="shared" si="25"/>
        <v>625146</v>
      </c>
      <c r="N87" s="1036">
        <f t="shared" si="26"/>
        <v>18.754380000000001</v>
      </c>
      <c r="O87" s="1023"/>
      <c r="P87" s="1023"/>
    </row>
    <row r="88" spans="1:57">
      <c r="J88" s="1040">
        <v>42294</v>
      </c>
      <c r="K88" s="1023">
        <v>11833</v>
      </c>
      <c r="L88" s="1023"/>
      <c r="M88" s="1023">
        <f t="shared" si="25"/>
        <v>636979</v>
      </c>
      <c r="N88" s="1036">
        <f t="shared" si="26"/>
        <v>19.109369999999998</v>
      </c>
    </row>
    <row r="89" spans="1:57">
      <c r="J89" s="1040">
        <v>42325</v>
      </c>
      <c r="K89" s="1023"/>
      <c r="L89" s="1023"/>
      <c r="M89" s="1023">
        <f t="shared" si="25"/>
        <v>636979</v>
      </c>
      <c r="N89" s="1036">
        <f t="shared" si="26"/>
        <v>19.109369999999998</v>
      </c>
    </row>
    <row r="90" spans="1:57">
      <c r="J90" s="1040">
        <v>42355</v>
      </c>
      <c r="K90" s="1023"/>
      <c r="L90" s="1023"/>
      <c r="M90" s="1023">
        <f t="shared" si="25"/>
        <v>636979</v>
      </c>
      <c r="N90" s="1036">
        <f t="shared" si="26"/>
        <v>19.109369999999998</v>
      </c>
    </row>
    <row r="91" spans="1:57">
      <c r="J91" s="1007" t="s">
        <v>1100</v>
      </c>
      <c r="K91" s="1007">
        <f>SUM(K82:K90)</f>
        <v>161833</v>
      </c>
      <c r="L91" s="1007">
        <f>SUM(L82:L90)</f>
        <v>0</v>
      </c>
      <c r="N91" s="1041">
        <f>SUM(N82:N90)</f>
        <v>158.60439000000002</v>
      </c>
    </row>
    <row r="92" spans="1:57">
      <c r="J92" s="1007" t="s">
        <v>4110</v>
      </c>
      <c r="N92" s="1042">
        <f>N90*3</f>
        <v>57.328109999999995</v>
      </c>
    </row>
    <row r="93" spans="1:57">
      <c r="K93" s="1007" t="s">
        <v>1100</v>
      </c>
      <c r="N93" s="1042">
        <f>N91+N92</f>
        <v>215.9325</v>
      </c>
    </row>
  </sheetData>
  <mergeCells count="5">
    <mergeCell ref="B2:P2"/>
    <mergeCell ref="C4:F4"/>
    <mergeCell ref="G4:I4"/>
    <mergeCell ref="J4:L4"/>
    <mergeCell ref="M4:P4"/>
  </mergeCells>
  <printOptions horizontalCentered="1" verticalCentered="1"/>
  <pageMargins left="0.48" right="0.34" top="0.43" bottom="0.39" header="0.25" footer="0.17"/>
  <pageSetup paperSize="9" scale="53" fitToWidth="2" fitToHeight="2" orientation="landscape" r:id="rId1"/>
  <headerFooter alignWithMargins="0"/>
  <rowBreaks count="1" manualBreakCount="1">
    <brk id="32" max="15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</sheetPr>
  <dimension ref="A1:S56"/>
  <sheetViews>
    <sheetView zoomScale="63" zoomScaleNormal="63" zoomScaleSheetLayoutView="85" workbookViewId="0">
      <selection activeCell="K21" sqref="K21"/>
    </sheetView>
  </sheetViews>
  <sheetFormatPr defaultColWidth="14.7265625" defaultRowHeight="15.5"/>
  <cols>
    <col min="1" max="1" width="6" style="1062" customWidth="1"/>
    <col min="2" max="2" width="37.1796875" style="1063" customWidth="1"/>
    <col min="3" max="3" width="13.54296875" style="1007" customWidth="1"/>
    <col min="4" max="4" width="13.7265625" style="1007" customWidth="1"/>
    <col min="5" max="8" width="12.54296875" style="1007" customWidth="1"/>
    <col min="9" max="9" width="13.1796875" style="1007" customWidth="1"/>
    <col min="10" max="10" width="12.54296875" style="1007" customWidth="1"/>
    <col min="11" max="11" width="14" style="1007" customWidth="1"/>
    <col min="12" max="12" width="15.81640625" style="1007" bestFit="1" customWidth="1"/>
    <col min="13" max="13" width="14.7265625" style="1007" customWidth="1"/>
    <col min="14" max="14" width="21.453125" style="1007" customWidth="1"/>
    <col min="15" max="16" width="14.7265625" style="1007" customWidth="1"/>
    <col min="17" max="17" width="16.26953125" style="1007" customWidth="1"/>
    <col min="18" max="256" width="14.7265625" style="1007"/>
    <col min="257" max="257" width="6" style="1007" customWidth="1"/>
    <col min="258" max="258" width="37.1796875" style="1007" customWidth="1"/>
    <col min="259" max="259" width="13.54296875" style="1007" customWidth="1"/>
    <col min="260" max="260" width="13.7265625" style="1007" customWidth="1"/>
    <col min="261" max="264" width="12.54296875" style="1007" customWidth="1"/>
    <col min="265" max="265" width="13.1796875" style="1007" customWidth="1"/>
    <col min="266" max="268" width="12.54296875" style="1007" customWidth="1"/>
    <col min="269" max="269" width="14.7265625" style="1007" customWidth="1"/>
    <col min="270" max="270" width="21.453125" style="1007" customWidth="1"/>
    <col min="271" max="272" width="14.7265625" style="1007" customWidth="1"/>
    <col min="273" max="273" width="16.26953125" style="1007" customWidth="1"/>
    <col min="274" max="512" width="14.7265625" style="1007"/>
    <col min="513" max="513" width="6" style="1007" customWidth="1"/>
    <col min="514" max="514" width="37.1796875" style="1007" customWidth="1"/>
    <col min="515" max="515" width="13.54296875" style="1007" customWidth="1"/>
    <col min="516" max="516" width="13.7265625" style="1007" customWidth="1"/>
    <col min="517" max="520" width="12.54296875" style="1007" customWidth="1"/>
    <col min="521" max="521" width="13.1796875" style="1007" customWidth="1"/>
    <col min="522" max="524" width="12.54296875" style="1007" customWidth="1"/>
    <col min="525" max="525" width="14.7265625" style="1007" customWidth="1"/>
    <col min="526" max="526" width="21.453125" style="1007" customWidth="1"/>
    <col min="527" max="528" width="14.7265625" style="1007" customWidth="1"/>
    <col min="529" max="529" width="16.26953125" style="1007" customWidth="1"/>
    <col min="530" max="768" width="14.7265625" style="1007"/>
    <col min="769" max="769" width="6" style="1007" customWidth="1"/>
    <col min="770" max="770" width="37.1796875" style="1007" customWidth="1"/>
    <col min="771" max="771" width="13.54296875" style="1007" customWidth="1"/>
    <col min="772" max="772" width="13.7265625" style="1007" customWidth="1"/>
    <col min="773" max="776" width="12.54296875" style="1007" customWidth="1"/>
    <col min="777" max="777" width="13.1796875" style="1007" customWidth="1"/>
    <col min="778" max="780" width="12.54296875" style="1007" customWidth="1"/>
    <col min="781" max="781" width="14.7265625" style="1007" customWidth="1"/>
    <col min="782" max="782" width="21.453125" style="1007" customWidth="1"/>
    <col min="783" max="784" width="14.7265625" style="1007" customWidth="1"/>
    <col min="785" max="785" width="16.26953125" style="1007" customWidth="1"/>
    <col min="786" max="1024" width="14.7265625" style="1007"/>
    <col min="1025" max="1025" width="6" style="1007" customWidth="1"/>
    <col min="1026" max="1026" width="37.1796875" style="1007" customWidth="1"/>
    <col min="1027" max="1027" width="13.54296875" style="1007" customWidth="1"/>
    <col min="1028" max="1028" width="13.7265625" style="1007" customWidth="1"/>
    <col min="1029" max="1032" width="12.54296875" style="1007" customWidth="1"/>
    <col min="1033" max="1033" width="13.1796875" style="1007" customWidth="1"/>
    <col min="1034" max="1036" width="12.54296875" style="1007" customWidth="1"/>
    <col min="1037" max="1037" width="14.7265625" style="1007" customWidth="1"/>
    <col min="1038" max="1038" width="21.453125" style="1007" customWidth="1"/>
    <col min="1039" max="1040" width="14.7265625" style="1007" customWidth="1"/>
    <col min="1041" max="1041" width="16.26953125" style="1007" customWidth="1"/>
    <col min="1042" max="1280" width="14.7265625" style="1007"/>
    <col min="1281" max="1281" width="6" style="1007" customWidth="1"/>
    <col min="1282" max="1282" width="37.1796875" style="1007" customWidth="1"/>
    <col min="1283" max="1283" width="13.54296875" style="1007" customWidth="1"/>
    <col min="1284" max="1284" width="13.7265625" style="1007" customWidth="1"/>
    <col min="1285" max="1288" width="12.54296875" style="1007" customWidth="1"/>
    <col min="1289" max="1289" width="13.1796875" style="1007" customWidth="1"/>
    <col min="1290" max="1292" width="12.54296875" style="1007" customWidth="1"/>
    <col min="1293" max="1293" width="14.7265625" style="1007" customWidth="1"/>
    <col min="1294" max="1294" width="21.453125" style="1007" customWidth="1"/>
    <col min="1295" max="1296" width="14.7265625" style="1007" customWidth="1"/>
    <col min="1297" max="1297" width="16.26953125" style="1007" customWidth="1"/>
    <col min="1298" max="1536" width="14.7265625" style="1007"/>
    <col min="1537" max="1537" width="6" style="1007" customWidth="1"/>
    <col min="1538" max="1538" width="37.1796875" style="1007" customWidth="1"/>
    <col min="1539" max="1539" width="13.54296875" style="1007" customWidth="1"/>
    <col min="1540" max="1540" width="13.7265625" style="1007" customWidth="1"/>
    <col min="1541" max="1544" width="12.54296875" style="1007" customWidth="1"/>
    <col min="1545" max="1545" width="13.1796875" style="1007" customWidth="1"/>
    <col min="1546" max="1548" width="12.54296875" style="1007" customWidth="1"/>
    <col min="1549" max="1549" width="14.7265625" style="1007" customWidth="1"/>
    <col min="1550" max="1550" width="21.453125" style="1007" customWidth="1"/>
    <col min="1551" max="1552" width="14.7265625" style="1007" customWidth="1"/>
    <col min="1553" max="1553" width="16.26953125" style="1007" customWidth="1"/>
    <col min="1554" max="1792" width="14.7265625" style="1007"/>
    <col min="1793" max="1793" width="6" style="1007" customWidth="1"/>
    <col min="1794" max="1794" width="37.1796875" style="1007" customWidth="1"/>
    <col min="1795" max="1795" width="13.54296875" style="1007" customWidth="1"/>
    <col min="1796" max="1796" width="13.7265625" style="1007" customWidth="1"/>
    <col min="1797" max="1800" width="12.54296875" style="1007" customWidth="1"/>
    <col min="1801" max="1801" width="13.1796875" style="1007" customWidth="1"/>
    <col min="1802" max="1804" width="12.54296875" style="1007" customWidth="1"/>
    <col min="1805" max="1805" width="14.7265625" style="1007" customWidth="1"/>
    <col min="1806" max="1806" width="21.453125" style="1007" customWidth="1"/>
    <col min="1807" max="1808" width="14.7265625" style="1007" customWidth="1"/>
    <col min="1809" max="1809" width="16.26953125" style="1007" customWidth="1"/>
    <col min="1810" max="2048" width="14.7265625" style="1007"/>
    <col min="2049" max="2049" width="6" style="1007" customWidth="1"/>
    <col min="2050" max="2050" width="37.1796875" style="1007" customWidth="1"/>
    <col min="2051" max="2051" width="13.54296875" style="1007" customWidth="1"/>
    <col min="2052" max="2052" width="13.7265625" style="1007" customWidth="1"/>
    <col min="2053" max="2056" width="12.54296875" style="1007" customWidth="1"/>
    <col min="2057" max="2057" width="13.1796875" style="1007" customWidth="1"/>
    <col min="2058" max="2060" width="12.54296875" style="1007" customWidth="1"/>
    <col min="2061" max="2061" width="14.7265625" style="1007" customWidth="1"/>
    <col min="2062" max="2062" width="21.453125" style="1007" customWidth="1"/>
    <col min="2063" max="2064" width="14.7265625" style="1007" customWidth="1"/>
    <col min="2065" max="2065" width="16.26953125" style="1007" customWidth="1"/>
    <col min="2066" max="2304" width="14.7265625" style="1007"/>
    <col min="2305" max="2305" width="6" style="1007" customWidth="1"/>
    <col min="2306" max="2306" width="37.1796875" style="1007" customWidth="1"/>
    <col min="2307" max="2307" width="13.54296875" style="1007" customWidth="1"/>
    <col min="2308" max="2308" width="13.7265625" style="1007" customWidth="1"/>
    <col min="2309" max="2312" width="12.54296875" style="1007" customWidth="1"/>
    <col min="2313" max="2313" width="13.1796875" style="1007" customWidth="1"/>
    <col min="2314" max="2316" width="12.54296875" style="1007" customWidth="1"/>
    <col min="2317" max="2317" width="14.7265625" style="1007" customWidth="1"/>
    <col min="2318" max="2318" width="21.453125" style="1007" customWidth="1"/>
    <col min="2319" max="2320" width="14.7265625" style="1007" customWidth="1"/>
    <col min="2321" max="2321" width="16.26953125" style="1007" customWidth="1"/>
    <col min="2322" max="2560" width="14.7265625" style="1007"/>
    <col min="2561" max="2561" width="6" style="1007" customWidth="1"/>
    <col min="2562" max="2562" width="37.1796875" style="1007" customWidth="1"/>
    <col min="2563" max="2563" width="13.54296875" style="1007" customWidth="1"/>
    <col min="2564" max="2564" width="13.7265625" style="1007" customWidth="1"/>
    <col min="2565" max="2568" width="12.54296875" style="1007" customWidth="1"/>
    <col min="2569" max="2569" width="13.1796875" style="1007" customWidth="1"/>
    <col min="2570" max="2572" width="12.54296875" style="1007" customWidth="1"/>
    <col min="2573" max="2573" width="14.7265625" style="1007" customWidth="1"/>
    <col min="2574" max="2574" width="21.453125" style="1007" customWidth="1"/>
    <col min="2575" max="2576" width="14.7265625" style="1007" customWidth="1"/>
    <col min="2577" max="2577" width="16.26953125" style="1007" customWidth="1"/>
    <col min="2578" max="2816" width="14.7265625" style="1007"/>
    <col min="2817" max="2817" width="6" style="1007" customWidth="1"/>
    <col min="2818" max="2818" width="37.1796875" style="1007" customWidth="1"/>
    <col min="2819" max="2819" width="13.54296875" style="1007" customWidth="1"/>
    <col min="2820" max="2820" width="13.7265625" style="1007" customWidth="1"/>
    <col min="2821" max="2824" width="12.54296875" style="1007" customWidth="1"/>
    <col min="2825" max="2825" width="13.1796875" style="1007" customWidth="1"/>
    <col min="2826" max="2828" width="12.54296875" style="1007" customWidth="1"/>
    <col min="2829" max="2829" width="14.7265625" style="1007" customWidth="1"/>
    <col min="2830" max="2830" width="21.453125" style="1007" customWidth="1"/>
    <col min="2831" max="2832" width="14.7265625" style="1007" customWidth="1"/>
    <col min="2833" max="2833" width="16.26953125" style="1007" customWidth="1"/>
    <col min="2834" max="3072" width="14.7265625" style="1007"/>
    <col min="3073" max="3073" width="6" style="1007" customWidth="1"/>
    <col min="3074" max="3074" width="37.1796875" style="1007" customWidth="1"/>
    <col min="3075" max="3075" width="13.54296875" style="1007" customWidth="1"/>
    <col min="3076" max="3076" width="13.7265625" style="1007" customWidth="1"/>
    <col min="3077" max="3080" width="12.54296875" style="1007" customWidth="1"/>
    <col min="3081" max="3081" width="13.1796875" style="1007" customWidth="1"/>
    <col min="3082" max="3084" width="12.54296875" style="1007" customWidth="1"/>
    <col min="3085" max="3085" width="14.7265625" style="1007" customWidth="1"/>
    <col min="3086" max="3086" width="21.453125" style="1007" customWidth="1"/>
    <col min="3087" max="3088" width="14.7265625" style="1007" customWidth="1"/>
    <col min="3089" max="3089" width="16.26953125" style="1007" customWidth="1"/>
    <col min="3090" max="3328" width="14.7265625" style="1007"/>
    <col min="3329" max="3329" width="6" style="1007" customWidth="1"/>
    <col min="3330" max="3330" width="37.1796875" style="1007" customWidth="1"/>
    <col min="3331" max="3331" width="13.54296875" style="1007" customWidth="1"/>
    <col min="3332" max="3332" width="13.7265625" style="1007" customWidth="1"/>
    <col min="3333" max="3336" width="12.54296875" style="1007" customWidth="1"/>
    <col min="3337" max="3337" width="13.1796875" style="1007" customWidth="1"/>
    <col min="3338" max="3340" width="12.54296875" style="1007" customWidth="1"/>
    <col min="3341" max="3341" width="14.7265625" style="1007" customWidth="1"/>
    <col min="3342" max="3342" width="21.453125" style="1007" customWidth="1"/>
    <col min="3343" max="3344" width="14.7265625" style="1007" customWidth="1"/>
    <col min="3345" max="3345" width="16.26953125" style="1007" customWidth="1"/>
    <col min="3346" max="3584" width="14.7265625" style="1007"/>
    <col min="3585" max="3585" width="6" style="1007" customWidth="1"/>
    <col min="3586" max="3586" width="37.1796875" style="1007" customWidth="1"/>
    <col min="3587" max="3587" width="13.54296875" style="1007" customWidth="1"/>
    <col min="3588" max="3588" width="13.7265625" style="1007" customWidth="1"/>
    <col min="3589" max="3592" width="12.54296875" style="1007" customWidth="1"/>
    <col min="3593" max="3593" width="13.1796875" style="1007" customWidth="1"/>
    <col min="3594" max="3596" width="12.54296875" style="1007" customWidth="1"/>
    <col min="3597" max="3597" width="14.7265625" style="1007" customWidth="1"/>
    <col min="3598" max="3598" width="21.453125" style="1007" customWidth="1"/>
    <col min="3599" max="3600" width="14.7265625" style="1007" customWidth="1"/>
    <col min="3601" max="3601" width="16.26953125" style="1007" customWidth="1"/>
    <col min="3602" max="3840" width="14.7265625" style="1007"/>
    <col min="3841" max="3841" width="6" style="1007" customWidth="1"/>
    <col min="3842" max="3842" width="37.1796875" style="1007" customWidth="1"/>
    <col min="3843" max="3843" width="13.54296875" style="1007" customWidth="1"/>
    <col min="3844" max="3844" width="13.7265625" style="1007" customWidth="1"/>
    <col min="3845" max="3848" width="12.54296875" style="1007" customWidth="1"/>
    <col min="3849" max="3849" width="13.1796875" style="1007" customWidth="1"/>
    <col min="3850" max="3852" width="12.54296875" style="1007" customWidth="1"/>
    <col min="3853" max="3853" width="14.7265625" style="1007" customWidth="1"/>
    <col min="3854" max="3854" width="21.453125" style="1007" customWidth="1"/>
    <col min="3855" max="3856" width="14.7265625" style="1007" customWidth="1"/>
    <col min="3857" max="3857" width="16.26953125" style="1007" customWidth="1"/>
    <col min="3858" max="4096" width="14.7265625" style="1007"/>
    <col min="4097" max="4097" width="6" style="1007" customWidth="1"/>
    <col min="4098" max="4098" width="37.1796875" style="1007" customWidth="1"/>
    <col min="4099" max="4099" width="13.54296875" style="1007" customWidth="1"/>
    <col min="4100" max="4100" width="13.7265625" style="1007" customWidth="1"/>
    <col min="4101" max="4104" width="12.54296875" style="1007" customWidth="1"/>
    <col min="4105" max="4105" width="13.1796875" style="1007" customWidth="1"/>
    <col min="4106" max="4108" width="12.54296875" style="1007" customWidth="1"/>
    <col min="4109" max="4109" width="14.7265625" style="1007" customWidth="1"/>
    <col min="4110" max="4110" width="21.453125" style="1007" customWidth="1"/>
    <col min="4111" max="4112" width="14.7265625" style="1007" customWidth="1"/>
    <col min="4113" max="4113" width="16.26953125" style="1007" customWidth="1"/>
    <col min="4114" max="4352" width="14.7265625" style="1007"/>
    <col min="4353" max="4353" width="6" style="1007" customWidth="1"/>
    <col min="4354" max="4354" width="37.1796875" style="1007" customWidth="1"/>
    <col min="4355" max="4355" width="13.54296875" style="1007" customWidth="1"/>
    <col min="4356" max="4356" width="13.7265625" style="1007" customWidth="1"/>
    <col min="4357" max="4360" width="12.54296875" style="1007" customWidth="1"/>
    <col min="4361" max="4361" width="13.1796875" style="1007" customWidth="1"/>
    <col min="4362" max="4364" width="12.54296875" style="1007" customWidth="1"/>
    <col min="4365" max="4365" width="14.7265625" style="1007" customWidth="1"/>
    <col min="4366" max="4366" width="21.453125" style="1007" customWidth="1"/>
    <col min="4367" max="4368" width="14.7265625" style="1007" customWidth="1"/>
    <col min="4369" max="4369" width="16.26953125" style="1007" customWidth="1"/>
    <col min="4370" max="4608" width="14.7265625" style="1007"/>
    <col min="4609" max="4609" width="6" style="1007" customWidth="1"/>
    <col min="4610" max="4610" width="37.1796875" style="1007" customWidth="1"/>
    <col min="4611" max="4611" width="13.54296875" style="1007" customWidth="1"/>
    <col min="4612" max="4612" width="13.7265625" style="1007" customWidth="1"/>
    <col min="4613" max="4616" width="12.54296875" style="1007" customWidth="1"/>
    <col min="4617" max="4617" width="13.1796875" style="1007" customWidth="1"/>
    <col min="4618" max="4620" width="12.54296875" style="1007" customWidth="1"/>
    <col min="4621" max="4621" width="14.7265625" style="1007" customWidth="1"/>
    <col min="4622" max="4622" width="21.453125" style="1007" customWidth="1"/>
    <col min="4623" max="4624" width="14.7265625" style="1007" customWidth="1"/>
    <col min="4625" max="4625" width="16.26953125" style="1007" customWidth="1"/>
    <col min="4626" max="4864" width="14.7265625" style="1007"/>
    <col min="4865" max="4865" width="6" style="1007" customWidth="1"/>
    <col min="4866" max="4866" width="37.1796875" style="1007" customWidth="1"/>
    <col min="4867" max="4867" width="13.54296875" style="1007" customWidth="1"/>
    <col min="4868" max="4868" width="13.7265625" style="1007" customWidth="1"/>
    <col min="4869" max="4872" width="12.54296875" style="1007" customWidth="1"/>
    <col min="4873" max="4873" width="13.1796875" style="1007" customWidth="1"/>
    <col min="4874" max="4876" width="12.54296875" style="1007" customWidth="1"/>
    <col min="4877" max="4877" width="14.7265625" style="1007" customWidth="1"/>
    <col min="4878" max="4878" width="21.453125" style="1007" customWidth="1"/>
    <col min="4879" max="4880" width="14.7265625" style="1007" customWidth="1"/>
    <col min="4881" max="4881" width="16.26953125" style="1007" customWidth="1"/>
    <col min="4882" max="5120" width="14.7265625" style="1007"/>
    <col min="5121" max="5121" width="6" style="1007" customWidth="1"/>
    <col min="5122" max="5122" width="37.1796875" style="1007" customWidth="1"/>
    <col min="5123" max="5123" width="13.54296875" style="1007" customWidth="1"/>
    <col min="5124" max="5124" width="13.7265625" style="1007" customWidth="1"/>
    <col min="5125" max="5128" width="12.54296875" style="1007" customWidth="1"/>
    <col min="5129" max="5129" width="13.1796875" style="1007" customWidth="1"/>
    <col min="5130" max="5132" width="12.54296875" style="1007" customWidth="1"/>
    <col min="5133" max="5133" width="14.7265625" style="1007" customWidth="1"/>
    <col min="5134" max="5134" width="21.453125" style="1007" customWidth="1"/>
    <col min="5135" max="5136" width="14.7265625" style="1007" customWidth="1"/>
    <col min="5137" max="5137" width="16.26953125" style="1007" customWidth="1"/>
    <col min="5138" max="5376" width="14.7265625" style="1007"/>
    <col min="5377" max="5377" width="6" style="1007" customWidth="1"/>
    <col min="5378" max="5378" width="37.1796875" style="1007" customWidth="1"/>
    <col min="5379" max="5379" width="13.54296875" style="1007" customWidth="1"/>
    <col min="5380" max="5380" width="13.7265625" style="1007" customWidth="1"/>
    <col min="5381" max="5384" width="12.54296875" style="1007" customWidth="1"/>
    <col min="5385" max="5385" width="13.1796875" style="1007" customWidth="1"/>
    <col min="5386" max="5388" width="12.54296875" style="1007" customWidth="1"/>
    <col min="5389" max="5389" width="14.7265625" style="1007" customWidth="1"/>
    <col min="5390" max="5390" width="21.453125" style="1007" customWidth="1"/>
    <col min="5391" max="5392" width="14.7265625" style="1007" customWidth="1"/>
    <col min="5393" max="5393" width="16.26953125" style="1007" customWidth="1"/>
    <col min="5394" max="5632" width="14.7265625" style="1007"/>
    <col min="5633" max="5633" width="6" style="1007" customWidth="1"/>
    <col min="5634" max="5634" width="37.1796875" style="1007" customWidth="1"/>
    <col min="5635" max="5635" width="13.54296875" style="1007" customWidth="1"/>
    <col min="5636" max="5636" width="13.7265625" style="1007" customWidth="1"/>
    <col min="5637" max="5640" width="12.54296875" style="1007" customWidth="1"/>
    <col min="5641" max="5641" width="13.1796875" style="1007" customWidth="1"/>
    <col min="5642" max="5644" width="12.54296875" style="1007" customWidth="1"/>
    <col min="5645" max="5645" width="14.7265625" style="1007" customWidth="1"/>
    <col min="5646" max="5646" width="21.453125" style="1007" customWidth="1"/>
    <col min="5647" max="5648" width="14.7265625" style="1007" customWidth="1"/>
    <col min="5649" max="5649" width="16.26953125" style="1007" customWidth="1"/>
    <col min="5650" max="5888" width="14.7265625" style="1007"/>
    <col min="5889" max="5889" width="6" style="1007" customWidth="1"/>
    <col min="5890" max="5890" width="37.1796875" style="1007" customWidth="1"/>
    <col min="5891" max="5891" width="13.54296875" style="1007" customWidth="1"/>
    <col min="5892" max="5892" width="13.7265625" style="1007" customWidth="1"/>
    <col min="5893" max="5896" width="12.54296875" style="1007" customWidth="1"/>
    <col min="5897" max="5897" width="13.1796875" style="1007" customWidth="1"/>
    <col min="5898" max="5900" width="12.54296875" style="1007" customWidth="1"/>
    <col min="5901" max="5901" width="14.7265625" style="1007" customWidth="1"/>
    <col min="5902" max="5902" width="21.453125" style="1007" customWidth="1"/>
    <col min="5903" max="5904" width="14.7265625" style="1007" customWidth="1"/>
    <col min="5905" max="5905" width="16.26953125" style="1007" customWidth="1"/>
    <col min="5906" max="6144" width="14.7265625" style="1007"/>
    <col min="6145" max="6145" width="6" style="1007" customWidth="1"/>
    <col min="6146" max="6146" width="37.1796875" style="1007" customWidth="1"/>
    <col min="6147" max="6147" width="13.54296875" style="1007" customWidth="1"/>
    <col min="6148" max="6148" width="13.7265625" style="1007" customWidth="1"/>
    <col min="6149" max="6152" width="12.54296875" style="1007" customWidth="1"/>
    <col min="6153" max="6153" width="13.1796875" style="1007" customWidth="1"/>
    <col min="6154" max="6156" width="12.54296875" style="1007" customWidth="1"/>
    <col min="6157" max="6157" width="14.7265625" style="1007" customWidth="1"/>
    <col min="6158" max="6158" width="21.453125" style="1007" customWidth="1"/>
    <col min="6159" max="6160" width="14.7265625" style="1007" customWidth="1"/>
    <col min="6161" max="6161" width="16.26953125" style="1007" customWidth="1"/>
    <col min="6162" max="6400" width="14.7265625" style="1007"/>
    <col min="6401" max="6401" width="6" style="1007" customWidth="1"/>
    <col min="6402" max="6402" width="37.1796875" style="1007" customWidth="1"/>
    <col min="6403" max="6403" width="13.54296875" style="1007" customWidth="1"/>
    <col min="6404" max="6404" width="13.7265625" style="1007" customWidth="1"/>
    <col min="6405" max="6408" width="12.54296875" style="1007" customWidth="1"/>
    <col min="6409" max="6409" width="13.1796875" style="1007" customWidth="1"/>
    <col min="6410" max="6412" width="12.54296875" style="1007" customWidth="1"/>
    <col min="6413" max="6413" width="14.7265625" style="1007" customWidth="1"/>
    <col min="6414" max="6414" width="21.453125" style="1007" customWidth="1"/>
    <col min="6415" max="6416" width="14.7265625" style="1007" customWidth="1"/>
    <col min="6417" max="6417" width="16.26953125" style="1007" customWidth="1"/>
    <col min="6418" max="6656" width="14.7265625" style="1007"/>
    <col min="6657" max="6657" width="6" style="1007" customWidth="1"/>
    <col min="6658" max="6658" width="37.1796875" style="1007" customWidth="1"/>
    <col min="6659" max="6659" width="13.54296875" style="1007" customWidth="1"/>
    <col min="6660" max="6660" width="13.7265625" style="1007" customWidth="1"/>
    <col min="6661" max="6664" width="12.54296875" style="1007" customWidth="1"/>
    <col min="6665" max="6665" width="13.1796875" style="1007" customWidth="1"/>
    <col min="6666" max="6668" width="12.54296875" style="1007" customWidth="1"/>
    <col min="6669" max="6669" width="14.7265625" style="1007" customWidth="1"/>
    <col min="6670" max="6670" width="21.453125" style="1007" customWidth="1"/>
    <col min="6671" max="6672" width="14.7265625" style="1007" customWidth="1"/>
    <col min="6673" max="6673" width="16.26953125" style="1007" customWidth="1"/>
    <col min="6674" max="6912" width="14.7265625" style="1007"/>
    <col min="6913" max="6913" width="6" style="1007" customWidth="1"/>
    <col min="6914" max="6914" width="37.1796875" style="1007" customWidth="1"/>
    <col min="6915" max="6915" width="13.54296875" style="1007" customWidth="1"/>
    <col min="6916" max="6916" width="13.7265625" style="1007" customWidth="1"/>
    <col min="6917" max="6920" width="12.54296875" style="1007" customWidth="1"/>
    <col min="6921" max="6921" width="13.1796875" style="1007" customWidth="1"/>
    <col min="6922" max="6924" width="12.54296875" style="1007" customWidth="1"/>
    <col min="6925" max="6925" width="14.7265625" style="1007" customWidth="1"/>
    <col min="6926" max="6926" width="21.453125" style="1007" customWidth="1"/>
    <col min="6927" max="6928" width="14.7265625" style="1007" customWidth="1"/>
    <col min="6929" max="6929" width="16.26953125" style="1007" customWidth="1"/>
    <col min="6930" max="7168" width="14.7265625" style="1007"/>
    <col min="7169" max="7169" width="6" style="1007" customWidth="1"/>
    <col min="7170" max="7170" width="37.1796875" style="1007" customWidth="1"/>
    <col min="7171" max="7171" width="13.54296875" style="1007" customWidth="1"/>
    <col min="7172" max="7172" width="13.7265625" style="1007" customWidth="1"/>
    <col min="7173" max="7176" width="12.54296875" style="1007" customWidth="1"/>
    <col min="7177" max="7177" width="13.1796875" style="1007" customWidth="1"/>
    <col min="7178" max="7180" width="12.54296875" style="1007" customWidth="1"/>
    <col min="7181" max="7181" width="14.7265625" style="1007" customWidth="1"/>
    <col min="7182" max="7182" width="21.453125" style="1007" customWidth="1"/>
    <col min="7183" max="7184" width="14.7265625" style="1007" customWidth="1"/>
    <col min="7185" max="7185" width="16.26953125" style="1007" customWidth="1"/>
    <col min="7186" max="7424" width="14.7265625" style="1007"/>
    <col min="7425" max="7425" width="6" style="1007" customWidth="1"/>
    <col min="7426" max="7426" width="37.1796875" style="1007" customWidth="1"/>
    <col min="7427" max="7427" width="13.54296875" style="1007" customWidth="1"/>
    <col min="7428" max="7428" width="13.7265625" style="1007" customWidth="1"/>
    <col min="7429" max="7432" width="12.54296875" style="1007" customWidth="1"/>
    <col min="7433" max="7433" width="13.1796875" style="1007" customWidth="1"/>
    <col min="7434" max="7436" width="12.54296875" style="1007" customWidth="1"/>
    <col min="7437" max="7437" width="14.7265625" style="1007" customWidth="1"/>
    <col min="7438" max="7438" width="21.453125" style="1007" customWidth="1"/>
    <col min="7439" max="7440" width="14.7265625" style="1007" customWidth="1"/>
    <col min="7441" max="7441" width="16.26953125" style="1007" customWidth="1"/>
    <col min="7442" max="7680" width="14.7265625" style="1007"/>
    <col min="7681" max="7681" width="6" style="1007" customWidth="1"/>
    <col min="7682" max="7682" width="37.1796875" style="1007" customWidth="1"/>
    <col min="7683" max="7683" width="13.54296875" style="1007" customWidth="1"/>
    <col min="7684" max="7684" width="13.7265625" style="1007" customWidth="1"/>
    <col min="7685" max="7688" width="12.54296875" style="1007" customWidth="1"/>
    <col min="7689" max="7689" width="13.1796875" style="1007" customWidth="1"/>
    <col min="7690" max="7692" width="12.54296875" style="1007" customWidth="1"/>
    <col min="7693" max="7693" width="14.7265625" style="1007" customWidth="1"/>
    <col min="7694" max="7694" width="21.453125" style="1007" customWidth="1"/>
    <col min="7695" max="7696" width="14.7265625" style="1007" customWidth="1"/>
    <col min="7697" max="7697" width="16.26953125" style="1007" customWidth="1"/>
    <col min="7698" max="7936" width="14.7265625" style="1007"/>
    <col min="7937" max="7937" width="6" style="1007" customWidth="1"/>
    <col min="7938" max="7938" width="37.1796875" style="1007" customWidth="1"/>
    <col min="7939" max="7939" width="13.54296875" style="1007" customWidth="1"/>
    <col min="7940" max="7940" width="13.7265625" style="1007" customWidth="1"/>
    <col min="7941" max="7944" width="12.54296875" style="1007" customWidth="1"/>
    <col min="7945" max="7945" width="13.1796875" style="1007" customWidth="1"/>
    <col min="7946" max="7948" width="12.54296875" style="1007" customWidth="1"/>
    <col min="7949" max="7949" width="14.7265625" style="1007" customWidth="1"/>
    <col min="7950" max="7950" width="21.453125" style="1007" customWidth="1"/>
    <col min="7951" max="7952" width="14.7265625" style="1007" customWidth="1"/>
    <col min="7953" max="7953" width="16.26953125" style="1007" customWidth="1"/>
    <col min="7954" max="8192" width="14.7265625" style="1007"/>
    <col min="8193" max="8193" width="6" style="1007" customWidth="1"/>
    <col min="8194" max="8194" width="37.1796875" style="1007" customWidth="1"/>
    <col min="8195" max="8195" width="13.54296875" style="1007" customWidth="1"/>
    <col min="8196" max="8196" width="13.7265625" style="1007" customWidth="1"/>
    <col min="8197" max="8200" width="12.54296875" style="1007" customWidth="1"/>
    <col min="8201" max="8201" width="13.1796875" style="1007" customWidth="1"/>
    <col min="8202" max="8204" width="12.54296875" style="1007" customWidth="1"/>
    <col min="8205" max="8205" width="14.7265625" style="1007" customWidth="1"/>
    <col min="8206" max="8206" width="21.453125" style="1007" customWidth="1"/>
    <col min="8207" max="8208" width="14.7265625" style="1007" customWidth="1"/>
    <col min="8209" max="8209" width="16.26953125" style="1007" customWidth="1"/>
    <col min="8210" max="8448" width="14.7265625" style="1007"/>
    <col min="8449" max="8449" width="6" style="1007" customWidth="1"/>
    <col min="8450" max="8450" width="37.1796875" style="1007" customWidth="1"/>
    <col min="8451" max="8451" width="13.54296875" style="1007" customWidth="1"/>
    <col min="8452" max="8452" width="13.7265625" style="1007" customWidth="1"/>
    <col min="8453" max="8456" width="12.54296875" style="1007" customWidth="1"/>
    <col min="8457" max="8457" width="13.1796875" style="1007" customWidth="1"/>
    <col min="8458" max="8460" width="12.54296875" style="1007" customWidth="1"/>
    <col min="8461" max="8461" width="14.7265625" style="1007" customWidth="1"/>
    <col min="8462" max="8462" width="21.453125" style="1007" customWidth="1"/>
    <col min="8463" max="8464" width="14.7265625" style="1007" customWidth="1"/>
    <col min="8465" max="8465" width="16.26953125" style="1007" customWidth="1"/>
    <col min="8466" max="8704" width="14.7265625" style="1007"/>
    <col min="8705" max="8705" width="6" style="1007" customWidth="1"/>
    <col min="8706" max="8706" width="37.1796875" style="1007" customWidth="1"/>
    <col min="8707" max="8707" width="13.54296875" style="1007" customWidth="1"/>
    <col min="8708" max="8708" width="13.7265625" style="1007" customWidth="1"/>
    <col min="8709" max="8712" width="12.54296875" style="1007" customWidth="1"/>
    <col min="8713" max="8713" width="13.1796875" style="1007" customWidth="1"/>
    <col min="8714" max="8716" width="12.54296875" style="1007" customWidth="1"/>
    <col min="8717" max="8717" width="14.7265625" style="1007" customWidth="1"/>
    <col min="8718" max="8718" width="21.453125" style="1007" customWidth="1"/>
    <col min="8719" max="8720" width="14.7265625" style="1007" customWidth="1"/>
    <col min="8721" max="8721" width="16.26953125" style="1007" customWidth="1"/>
    <col min="8722" max="8960" width="14.7265625" style="1007"/>
    <col min="8961" max="8961" width="6" style="1007" customWidth="1"/>
    <col min="8962" max="8962" width="37.1796875" style="1007" customWidth="1"/>
    <col min="8963" max="8963" width="13.54296875" style="1007" customWidth="1"/>
    <col min="8964" max="8964" width="13.7265625" style="1007" customWidth="1"/>
    <col min="8965" max="8968" width="12.54296875" style="1007" customWidth="1"/>
    <col min="8969" max="8969" width="13.1796875" style="1007" customWidth="1"/>
    <col min="8970" max="8972" width="12.54296875" style="1007" customWidth="1"/>
    <col min="8973" max="8973" width="14.7265625" style="1007" customWidth="1"/>
    <col min="8974" max="8974" width="21.453125" style="1007" customWidth="1"/>
    <col min="8975" max="8976" width="14.7265625" style="1007" customWidth="1"/>
    <col min="8977" max="8977" width="16.26953125" style="1007" customWidth="1"/>
    <col min="8978" max="9216" width="14.7265625" style="1007"/>
    <col min="9217" max="9217" width="6" style="1007" customWidth="1"/>
    <col min="9218" max="9218" width="37.1796875" style="1007" customWidth="1"/>
    <col min="9219" max="9219" width="13.54296875" style="1007" customWidth="1"/>
    <col min="9220" max="9220" width="13.7265625" style="1007" customWidth="1"/>
    <col min="9221" max="9224" width="12.54296875" style="1007" customWidth="1"/>
    <col min="9225" max="9225" width="13.1796875" style="1007" customWidth="1"/>
    <col min="9226" max="9228" width="12.54296875" style="1007" customWidth="1"/>
    <col min="9229" max="9229" width="14.7265625" style="1007" customWidth="1"/>
    <col min="9230" max="9230" width="21.453125" style="1007" customWidth="1"/>
    <col min="9231" max="9232" width="14.7265625" style="1007" customWidth="1"/>
    <col min="9233" max="9233" width="16.26953125" style="1007" customWidth="1"/>
    <col min="9234" max="9472" width="14.7265625" style="1007"/>
    <col min="9473" max="9473" width="6" style="1007" customWidth="1"/>
    <col min="9474" max="9474" width="37.1796875" style="1007" customWidth="1"/>
    <col min="9475" max="9475" width="13.54296875" style="1007" customWidth="1"/>
    <col min="9476" max="9476" width="13.7265625" style="1007" customWidth="1"/>
    <col min="9477" max="9480" width="12.54296875" style="1007" customWidth="1"/>
    <col min="9481" max="9481" width="13.1796875" style="1007" customWidth="1"/>
    <col min="9482" max="9484" width="12.54296875" style="1007" customWidth="1"/>
    <col min="9485" max="9485" width="14.7265625" style="1007" customWidth="1"/>
    <col min="9486" max="9486" width="21.453125" style="1007" customWidth="1"/>
    <col min="9487" max="9488" width="14.7265625" style="1007" customWidth="1"/>
    <col min="9489" max="9489" width="16.26953125" style="1007" customWidth="1"/>
    <col min="9490" max="9728" width="14.7265625" style="1007"/>
    <col min="9729" max="9729" width="6" style="1007" customWidth="1"/>
    <col min="9730" max="9730" width="37.1796875" style="1007" customWidth="1"/>
    <col min="9731" max="9731" width="13.54296875" style="1007" customWidth="1"/>
    <col min="9732" max="9732" width="13.7265625" style="1007" customWidth="1"/>
    <col min="9733" max="9736" width="12.54296875" style="1007" customWidth="1"/>
    <col min="9737" max="9737" width="13.1796875" style="1007" customWidth="1"/>
    <col min="9738" max="9740" width="12.54296875" style="1007" customWidth="1"/>
    <col min="9741" max="9741" width="14.7265625" style="1007" customWidth="1"/>
    <col min="9742" max="9742" width="21.453125" style="1007" customWidth="1"/>
    <col min="9743" max="9744" width="14.7265625" style="1007" customWidth="1"/>
    <col min="9745" max="9745" width="16.26953125" style="1007" customWidth="1"/>
    <col min="9746" max="9984" width="14.7265625" style="1007"/>
    <col min="9985" max="9985" width="6" style="1007" customWidth="1"/>
    <col min="9986" max="9986" width="37.1796875" style="1007" customWidth="1"/>
    <col min="9987" max="9987" width="13.54296875" style="1007" customWidth="1"/>
    <col min="9988" max="9988" width="13.7265625" style="1007" customWidth="1"/>
    <col min="9989" max="9992" width="12.54296875" style="1007" customWidth="1"/>
    <col min="9993" max="9993" width="13.1796875" style="1007" customWidth="1"/>
    <col min="9994" max="9996" width="12.54296875" style="1007" customWidth="1"/>
    <col min="9997" max="9997" width="14.7265625" style="1007" customWidth="1"/>
    <col min="9998" max="9998" width="21.453125" style="1007" customWidth="1"/>
    <col min="9999" max="10000" width="14.7265625" style="1007" customWidth="1"/>
    <col min="10001" max="10001" width="16.26953125" style="1007" customWidth="1"/>
    <col min="10002" max="10240" width="14.7265625" style="1007"/>
    <col min="10241" max="10241" width="6" style="1007" customWidth="1"/>
    <col min="10242" max="10242" width="37.1796875" style="1007" customWidth="1"/>
    <col min="10243" max="10243" width="13.54296875" style="1007" customWidth="1"/>
    <col min="10244" max="10244" width="13.7265625" style="1007" customWidth="1"/>
    <col min="10245" max="10248" width="12.54296875" style="1007" customWidth="1"/>
    <col min="10249" max="10249" width="13.1796875" style="1007" customWidth="1"/>
    <col min="10250" max="10252" width="12.54296875" style="1007" customWidth="1"/>
    <col min="10253" max="10253" width="14.7265625" style="1007" customWidth="1"/>
    <col min="10254" max="10254" width="21.453125" style="1007" customWidth="1"/>
    <col min="10255" max="10256" width="14.7265625" style="1007" customWidth="1"/>
    <col min="10257" max="10257" width="16.26953125" style="1007" customWidth="1"/>
    <col min="10258" max="10496" width="14.7265625" style="1007"/>
    <col min="10497" max="10497" width="6" style="1007" customWidth="1"/>
    <col min="10498" max="10498" width="37.1796875" style="1007" customWidth="1"/>
    <col min="10499" max="10499" width="13.54296875" style="1007" customWidth="1"/>
    <col min="10500" max="10500" width="13.7265625" style="1007" customWidth="1"/>
    <col min="10501" max="10504" width="12.54296875" style="1007" customWidth="1"/>
    <col min="10505" max="10505" width="13.1796875" style="1007" customWidth="1"/>
    <col min="10506" max="10508" width="12.54296875" style="1007" customWidth="1"/>
    <col min="10509" max="10509" width="14.7265625" style="1007" customWidth="1"/>
    <col min="10510" max="10510" width="21.453125" style="1007" customWidth="1"/>
    <col min="10511" max="10512" width="14.7265625" style="1007" customWidth="1"/>
    <col min="10513" max="10513" width="16.26953125" style="1007" customWidth="1"/>
    <col min="10514" max="10752" width="14.7265625" style="1007"/>
    <col min="10753" max="10753" width="6" style="1007" customWidth="1"/>
    <col min="10754" max="10754" width="37.1796875" style="1007" customWidth="1"/>
    <col min="10755" max="10755" width="13.54296875" style="1007" customWidth="1"/>
    <col min="10756" max="10756" width="13.7265625" style="1007" customWidth="1"/>
    <col min="10757" max="10760" width="12.54296875" style="1007" customWidth="1"/>
    <col min="10761" max="10761" width="13.1796875" style="1007" customWidth="1"/>
    <col min="10762" max="10764" width="12.54296875" style="1007" customWidth="1"/>
    <col min="10765" max="10765" width="14.7265625" style="1007" customWidth="1"/>
    <col min="10766" max="10766" width="21.453125" style="1007" customWidth="1"/>
    <col min="10767" max="10768" width="14.7265625" style="1007" customWidth="1"/>
    <col min="10769" max="10769" width="16.26953125" style="1007" customWidth="1"/>
    <col min="10770" max="11008" width="14.7265625" style="1007"/>
    <col min="11009" max="11009" width="6" style="1007" customWidth="1"/>
    <col min="11010" max="11010" width="37.1796875" style="1007" customWidth="1"/>
    <col min="11011" max="11011" width="13.54296875" style="1007" customWidth="1"/>
    <col min="11012" max="11012" width="13.7265625" style="1007" customWidth="1"/>
    <col min="11013" max="11016" width="12.54296875" style="1007" customWidth="1"/>
    <col min="11017" max="11017" width="13.1796875" style="1007" customWidth="1"/>
    <col min="11018" max="11020" width="12.54296875" style="1007" customWidth="1"/>
    <col min="11021" max="11021" width="14.7265625" style="1007" customWidth="1"/>
    <col min="11022" max="11022" width="21.453125" style="1007" customWidth="1"/>
    <col min="11023" max="11024" width="14.7265625" style="1007" customWidth="1"/>
    <col min="11025" max="11025" width="16.26953125" style="1007" customWidth="1"/>
    <col min="11026" max="11264" width="14.7265625" style="1007"/>
    <col min="11265" max="11265" width="6" style="1007" customWidth="1"/>
    <col min="11266" max="11266" width="37.1796875" style="1007" customWidth="1"/>
    <col min="11267" max="11267" width="13.54296875" style="1007" customWidth="1"/>
    <col min="11268" max="11268" width="13.7265625" style="1007" customWidth="1"/>
    <col min="11269" max="11272" width="12.54296875" style="1007" customWidth="1"/>
    <col min="11273" max="11273" width="13.1796875" style="1007" customWidth="1"/>
    <col min="11274" max="11276" width="12.54296875" style="1007" customWidth="1"/>
    <col min="11277" max="11277" width="14.7265625" style="1007" customWidth="1"/>
    <col min="11278" max="11278" width="21.453125" style="1007" customWidth="1"/>
    <col min="11279" max="11280" width="14.7265625" style="1007" customWidth="1"/>
    <col min="11281" max="11281" width="16.26953125" style="1007" customWidth="1"/>
    <col min="11282" max="11520" width="14.7265625" style="1007"/>
    <col min="11521" max="11521" width="6" style="1007" customWidth="1"/>
    <col min="11522" max="11522" width="37.1796875" style="1007" customWidth="1"/>
    <col min="11523" max="11523" width="13.54296875" style="1007" customWidth="1"/>
    <col min="11524" max="11524" width="13.7265625" style="1007" customWidth="1"/>
    <col min="11525" max="11528" width="12.54296875" style="1007" customWidth="1"/>
    <col min="11529" max="11529" width="13.1796875" style="1007" customWidth="1"/>
    <col min="11530" max="11532" width="12.54296875" style="1007" customWidth="1"/>
    <col min="11533" max="11533" width="14.7265625" style="1007" customWidth="1"/>
    <col min="11534" max="11534" width="21.453125" style="1007" customWidth="1"/>
    <col min="11535" max="11536" width="14.7265625" style="1007" customWidth="1"/>
    <col min="11537" max="11537" width="16.26953125" style="1007" customWidth="1"/>
    <col min="11538" max="11776" width="14.7265625" style="1007"/>
    <col min="11777" max="11777" width="6" style="1007" customWidth="1"/>
    <col min="11778" max="11778" width="37.1796875" style="1007" customWidth="1"/>
    <col min="11779" max="11779" width="13.54296875" style="1007" customWidth="1"/>
    <col min="11780" max="11780" width="13.7265625" style="1007" customWidth="1"/>
    <col min="11781" max="11784" width="12.54296875" style="1007" customWidth="1"/>
    <col min="11785" max="11785" width="13.1796875" style="1007" customWidth="1"/>
    <col min="11786" max="11788" width="12.54296875" style="1007" customWidth="1"/>
    <col min="11789" max="11789" width="14.7265625" style="1007" customWidth="1"/>
    <col min="11790" max="11790" width="21.453125" style="1007" customWidth="1"/>
    <col min="11791" max="11792" width="14.7265625" style="1007" customWidth="1"/>
    <col min="11793" max="11793" width="16.26953125" style="1007" customWidth="1"/>
    <col min="11794" max="12032" width="14.7265625" style="1007"/>
    <col min="12033" max="12033" width="6" style="1007" customWidth="1"/>
    <col min="12034" max="12034" width="37.1796875" style="1007" customWidth="1"/>
    <col min="12035" max="12035" width="13.54296875" style="1007" customWidth="1"/>
    <col min="12036" max="12036" width="13.7265625" style="1007" customWidth="1"/>
    <col min="12037" max="12040" width="12.54296875" style="1007" customWidth="1"/>
    <col min="12041" max="12041" width="13.1796875" style="1007" customWidth="1"/>
    <col min="12042" max="12044" width="12.54296875" style="1007" customWidth="1"/>
    <col min="12045" max="12045" width="14.7265625" style="1007" customWidth="1"/>
    <col min="12046" max="12046" width="21.453125" style="1007" customWidth="1"/>
    <col min="12047" max="12048" width="14.7265625" style="1007" customWidth="1"/>
    <col min="12049" max="12049" width="16.26953125" style="1007" customWidth="1"/>
    <col min="12050" max="12288" width="14.7265625" style="1007"/>
    <col min="12289" max="12289" width="6" style="1007" customWidth="1"/>
    <col min="12290" max="12290" width="37.1796875" style="1007" customWidth="1"/>
    <col min="12291" max="12291" width="13.54296875" style="1007" customWidth="1"/>
    <col min="12292" max="12292" width="13.7265625" style="1007" customWidth="1"/>
    <col min="12293" max="12296" width="12.54296875" style="1007" customWidth="1"/>
    <col min="12297" max="12297" width="13.1796875" style="1007" customWidth="1"/>
    <col min="12298" max="12300" width="12.54296875" style="1007" customWidth="1"/>
    <col min="12301" max="12301" width="14.7265625" style="1007" customWidth="1"/>
    <col min="12302" max="12302" width="21.453125" style="1007" customWidth="1"/>
    <col min="12303" max="12304" width="14.7265625" style="1007" customWidth="1"/>
    <col min="12305" max="12305" width="16.26953125" style="1007" customWidth="1"/>
    <col min="12306" max="12544" width="14.7265625" style="1007"/>
    <col min="12545" max="12545" width="6" style="1007" customWidth="1"/>
    <col min="12546" max="12546" width="37.1796875" style="1007" customWidth="1"/>
    <col min="12547" max="12547" width="13.54296875" style="1007" customWidth="1"/>
    <col min="12548" max="12548" width="13.7265625" style="1007" customWidth="1"/>
    <col min="12549" max="12552" width="12.54296875" style="1007" customWidth="1"/>
    <col min="12553" max="12553" width="13.1796875" style="1007" customWidth="1"/>
    <col min="12554" max="12556" width="12.54296875" style="1007" customWidth="1"/>
    <col min="12557" max="12557" width="14.7265625" style="1007" customWidth="1"/>
    <col min="12558" max="12558" width="21.453125" style="1007" customWidth="1"/>
    <col min="12559" max="12560" width="14.7265625" style="1007" customWidth="1"/>
    <col min="12561" max="12561" width="16.26953125" style="1007" customWidth="1"/>
    <col min="12562" max="12800" width="14.7265625" style="1007"/>
    <col min="12801" max="12801" width="6" style="1007" customWidth="1"/>
    <col min="12802" max="12802" width="37.1796875" style="1007" customWidth="1"/>
    <col min="12803" max="12803" width="13.54296875" style="1007" customWidth="1"/>
    <col min="12804" max="12804" width="13.7265625" style="1007" customWidth="1"/>
    <col min="12805" max="12808" width="12.54296875" style="1007" customWidth="1"/>
    <col min="12809" max="12809" width="13.1796875" style="1007" customWidth="1"/>
    <col min="12810" max="12812" width="12.54296875" style="1007" customWidth="1"/>
    <col min="12813" max="12813" width="14.7265625" style="1007" customWidth="1"/>
    <col min="12814" max="12814" width="21.453125" style="1007" customWidth="1"/>
    <col min="12815" max="12816" width="14.7265625" style="1007" customWidth="1"/>
    <col min="12817" max="12817" width="16.26953125" style="1007" customWidth="1"/>
    <col min="12818" max="13056" width="14.7265625" style="1007"/>
    <col min="13057" max="13057" width="6" style="1007" customWidth="1"/>
    <col min="13058" max="13058" width="37.1796875" style="1007" customWidth="1"/>
    <col min="13059" max="13059" width="13.54296875" style="1007" customWidth="1"/>
    <col min="13060" max="13060" width="13.7265625" style="1007" customWidth="1"/>
    <col min="13061" max="13064" width="12.54296875" style="1007" customWidth="1"/>
    <col min="13065" max="13065" width="13.1796875" style="1007" customWidth="1"/>
    <col min="13066" max="13068" width="12.54296875" style="1007" customWidth="1"/>
    <col min="13069" max="13069" width="14.7265625" style="1007" customWidth="1"/>
    <col min="13070" max="13070" width="21.453125" style="1007" customWidth="1"/>
    <col min="13071" max="13072" width="14.7265625" style="1007" customWidth="1"/>
    <col min="13073" max="13073" width="16.26953125" style="1007" customWidth="1"/>
    <col min="13074" max="13312" width="14.7265625" style="1007"/>
    <col min="13313" max="13313" width="6" style="1007" customWidth="1"/>
    <col min="13314" max="13314" width="37.1796875" style="1007" customWidth="1"/>
    <col min="13315" max="13315" width="13.54296875" style="1007" customWidth="1"/>
    <col min="13316" max="13316" width="13.7265625" style="1007" customWidth="1"/>
    <col min="13317" max="13320" width="12.54296875" style="1007" customWidth="1"/>
    <col min="13321" max="13321" width="13.1796875" style="1007" customWidth="1"/>
    <col min="13322" max="13324" width="12.54296875" style="1007" customWidth="1"/>
    <col min="13325" max="13325" width="14.7265625" style="1007" customWidth="1"/>
    <col min="13326" max="13326" width="21.453125" style="1007" customWidth="1"/>
    <col min="13327" max="13328" width="14.7265625" style="1007" customWidth="1"/>
    <col min="13329" max="13329" width="16.26953125" style="1007" customWidth="1"/>
    <col min="13330" max="13568" width="14.7265625" style="1007"/>
    <col min="13569" max="13569" width="6" style="1007" customWidth="1"/>
    <col min="13570" max="13570" width="37.1796875" style="1007" customWidth="1"/>
    <col min="13571" max="13571" width="13.54296875" style="1007" customWidth="1"/>
    <col min="13572" max="13572" width="13.7265625" style="1007" customWidth="1"/>
    <col min="13573" max="13576" width="12.54296875" style="1007" customWidth="1"/>
    <col min="13577" max="13577" width="13.1796875" style="1007" customWidth="1"/>
    <col min="13578" max="13580" width="12.54296875" style="1007" customWidth="1"/>
    <col min="13581" max="13581" width="14.7265625" style="1007" customWidth="1"/>
    <col min="13582" max="13582" width="21.453125" style="1007" customWidth="1"/>
    <col min="13583" max="13584" width="14.7265625" style="1007" customWidth="1"/>
    <col min="13585" max="13585" width="16.26953125" style="1007" customWidth="1"/>
    <col min="13586" max="13824" width="14.7265625" style="1007"/>
    <col min="13825" max="13825" width="6" style="1007" customWidth="1"/>
    <col min="13826" max="13826" width="37.1796875" style="1007" customWidth="1"/>
    <col min="13827" max="13827" width="13.54296875" style="1007" customWidth="1"/>
    <col min="13828" max="13828" width="13.7265625" style="1007" customWidth="1"/>
    <col min="13829" max="13832" width="12.54296875" style="1007" customWidth="1"/>
    <col min="13833" max="13833" width="13.1796875" style="1007" customWidth="1"/>
    <col min="13834" max="13836" width="12.54296875" style="1007" customWidth="1"/>
    <col min="13837" max="13837" width="14.7265625" style="1007" customWidth="1"/>
    <col min="13838" max="13838" width="21.453125" style="1007" customWidth="1"/>
    <col min="13839" max="13840" width="14.7265625" style="1007" customWidth="1"/>
    <col min="13841" max="13841" width="16.26953125" style="1007" customWidth="1"/>
    <col min="13842" max="14080" width="14.7265625" style="1007"/>
    <col min="14081" max="14081" width="6" style="1007" customWidth="1"/>
    <col min="14082" max="14082" width="37.1796875" style="1007" customWidth="1"/>
    <col min="14083" max="14083" width="13.54296875" style="1007" customWidth="1"/>
    <col min="14084" max="14084" width="13.7265625" style="1007" customWidth="1"/>
    <col min="14085" max="14088" width="12.54296875" style="1007" customWidth="1"/>
    <col min="14089" max="14089" width="13.1796875" style="1007" customWidth="1"/>
    <col min="14090" max="14092" width="12.54296875" style="1007" customWidth="1"/>
    <col min="14093" max="14093" width="14.7265625" style="1007" customWidth="1"/>
    <col min="14094" max="14094" width="21.453125" style="1007" customWidth="1"/>
    <col min="14095" max="14096" width="14.7265625" style="1007" customWidth="1"/>
    <col min="14097" max="14097" width="16.26953125" style="1007" customWidth="1"/>
    <col min="14098" max="14336" width="14.7265625" style="1007"/>
    <col min="14337" max="14337" width="6" style="1007" customWidth="1"/>
    <col min="14338" max="14338" width="37.1796875" style="1007" customWidth="1"/>
    <col min="14339" max="14339" width="13.54296875" style="1007" customWidth="1"/>
    <col min="14340" max="14340" width="13.7265625" style="1007" customWidth="1"/>
    <col min="14341" max="14344" width="12.54296875" style="1007" customWidth="1"/>
    <col min="14345" max="14345" width="13.1796875" style="1007" customWidth="1"/>
    <col min="14346" max="14348" width="12.54296875" style="1007" customWidth="1"/>
    <col min="14349" max="14349" width="14.7265625" style="1007" customWidth="1"/>
    <col min="14350" max="14350" width="21.453125" style="1007" customWidth="1"/>
    <col min="14351" max="14352" width="14.7265625" style="1007" customWidth="1"/>
    <col min="14353" max="14353" width="16.26953125" style="1007" customWidth="1"/>
    <col min="14354" max="14592" width="14.7265625" style="1007"/>
    <col min="14593" max="14593" width="6" style="1007" customWidth="1"/>
    <col min="14594" max="14594" width="37.1796875" style="1007" customWidth="1"/>
    <col min="14595" max="14595" width="13.54296875" style="1007" customWidth="1"/>
    <col min="14596" max="14596" width="13.7265625" style="1007" customWidth="1"/>
    <col min="14597" max="14600" width="12.54296875" style="1007" customWidth="1"/>
    <col min="14601" max="14601" width="13.1796875" style="1007" customWidth="1"/>
    <col min="14602" max="14604" width="12.54296875" style="1007" customWidth="1"/>
    <col min="14605" max="14605" width="14.7265625" style="1007" customWidth="1"/>
    <col min="14606" max="14606" width="21.453125" style="1007" customWidth="1"/>
    <col min="14607" max="14608" width="14.7265625" style="1007" customWidth="1"/>
    <col min="14609" max="14609" width="16.26953125" style="1007" customWidth="1"/>
    <col min="14610" max="14848" width="14.7265625" style="1007"/>
    <col min="14849" max="14849" width="6" style="1007" customWidth="1"/>
    <col min="14850" max="14850" width="37.1796875" style="1007" customWidth="1"/>
    <col min="14851" max="14851" width="13.54296875" style="1007" customWidth="1"/>
    <col min="14852" max="14852" width="13.7265625" style="1007" customWidth="1"/>
    <col min="14853" max="14856" width="12.54296875" style="1007" customWidth="1"/>
    <col min="14857" max="14857" width="13.1796875" style="1007" customWidth="1"/>
    <col min="14858" max="14860" width="12.54296875" style="1007" customWidth="1"/>
    <col min="14861" max="14861" width="14.7265625" style="1007" customWidth="1"/>
    <col min="14862" max="14862" width="21.453125" style="1007" customWidth="1"/>
    <col min="14863" max="14864" width="14.7265625" style="1007" customWidth="1"/>
    <col min="14865" max="14865" width="16.26953125" style="1007" customWidth="1"/>
    <col min="14866" max="15104" width="14.7265625" style="1007"/>
    <col min="15105" max="15105" width="6" style="1007" customWidth="1"/>
    <col min="15106" max="15106" width="37.1796875" style="1007" customWidth="1"/>
    <col min="15107" max="15107" width="13.54296875" style="1007" customWidth="1"/>
    <col min="15108" max="15108" width="13.7265625" style="1007" customWidth="1"/>
    <col min="15109" max="15112" width="12.54296875" style="1007" customWidth="1"/>
    <col min="15113" max="15113" width="13.1796875" style="1007" customWidth="1"/>
    <col min="15114" max="15116" width="12.54296875" style="1007" customWidth="1"/>
    <col min="15117" max="15117" width="14.7265625" style="1007" customWidth="1"/>
    <col min="15118" max="15118" width="21.453125" style="1007" customWidth="1"/>
    <col min="15119" max="15120" width="14.7265625" style="1007" customWidth="1"/>
    <col min="15121" max="15121" width="16.26953125" style="1007" customWidth="1"/>
    <col min="15122" max="15360" width="14.7265625" style="1007"/>
    <col min="15361" max="15361" width="6" style="1007" customWidth="1"/>
    <col min="15362" max="15362" width="37.1796875" style="1007" customWidth="1"/>
    <col min="15363" max="15363" width="13.54296875" style="1007" customWidth="1"/>
    <col min="15364" max="15364" width="13.7265625" style="1007" customWidth="1"/>
    <col min="15365" max="15368" width="12.54296875" style="1007" customWidth="1"/>
    <col min="15369" max="15369" width="13.1796875" style="1007" customWidth="1"/>
    <col min="15370" max="15372" width="12.54296875" style="1007" customWidth="1"/>
    <col min="15373" max="15373" width="14.7265625" style="1007" customWidth="1"/>
    <col min="15374" max="15374" width="21.453125" style="1007" customWidth="1"/>
    <col min="15375" max="15376" width="14.7265625" style="1007" customWidth="1"/>
    <col min="15377" max="15377" width="16.26953125" style="1007" customWidth="1"/>
    <col min="15378" max="15616" width="14.7265625" style="1007"/>
    <col min="15617" max="15617" width="6" style="1007" customWidth="1"/>
    <col min="15618" max="15618" width="37.1796875" style="1007" customWidth="1"/>
    <col min="15619" max="15619" width="13.54296875" style="1007" customWidth="1"/>
    <col min="15620" max="15620" width="13.7265625" style="1007" customWidth="1"/>
    <col min="15621" max="15624" width="12.54296875" style="1007" customWidth="1"/>
    <col min="15625" max="15625" width="13.1796875" style="1007" customWidth="1"/>
    <col min="15626" max="15628" width="12.54296875" style="1007" customWidth="1"/>
    <col min="15629" max="15629" width="14.7265625" style="1007" customWidth="1"/>
    <col min="15630" max="15630" width="21.453125" style="1007" customWidth="1"/>
    <col min="15631" max="15632" width="14.7265625" style="1007" customWidth="1"/>
    <col min="15633" max="15633" width="16.26953125" style="1007" customWidth="1"/>
    <col min="15634" max="15872" width="14.7265625" style="1007"/>
    <col min="15873" max="15873" width="6" style="1007" customWidth="1"/>
    <col min="15874" max="15874" width="37.1796875" style="1007" customWidth="1"/>
    <col min="15875" max="15875" width="13.54296875" style="1007" customWidth="1"/>
    <col min="15876" max="15876" width="13.7265625" style="1007" customWidth="1"/>
    <col min="15877" max="15880" width="12.54296875" style="1007" customWidth="1"/>
    <col min="15881" max="15881" width="13.1796875" style="1007" customWidth="1"/>
    <col min="15882" max="15884" width="12.54296875" style="1007" customWidth="1"/>
    <col min="15885" max="15885" width="14.7265625" style="1007" customWidth="1"/>
    <col min="15886" max="15886" width="21.453125" style="1007" customWidth="1"/>
    <col min="15887" max="15888" width="14.7265625" style="1007" customWidth="1"/>
    <col min="15889" max="15889" width="16.26953125" style="1007" customWidth="1"/>
    <col min="15890" max="16128" width="14.7265625" style="1007"/>
    <col min="16129" max="16129" width="6" style="1007" customWidth="1"/>
    <col min="16130" max="16130" width="37.1796875" style="1007" customWidth="1"/>
    <col min="16131" max="16131" width="13.54296875" style="1007" customWidth="1"/>
    <col min="16132" max="16132" width="13.7265625" style="1007" customWidth="1"/>
    <col min="16133" max="16136" width="12.54296875" style="1007" customWidth="1"/>
    <col min="16137" max="16137" width="13.1796875" style="1007" customWidth="1"/>
    <col min="16138" max="16140" width="12.54296875" style="1007" customWidth="1"/>
    <col min="16141" max="16141" width="14.7265625" style="1007" customWidth="1"/>
    <col min="16142" max="16142" width="21.453125" style="1007" customWidth="1"/>
    <col min="16143" max="16144" width="14.7265625" style="1007" customWidth="1"/>
    <col min="16145" max="16145" width="16.26953125" style="1007" customWidth="1"/>
    <col min="16146" max="16384" width="14.7265625" style="1007"/>
  </cols>
  <sheetData>
    <row r="1" spans="1:19" ht="17.5">
      <c r="A1" s="1661"/>
      <c r="B1" s="1580" t="s">
        <v>5525</v>
      </c>
      <c r="C1" s="1664"/>
      <c r="D1" s="1664"/>
      <c r="E1" s="1664"/>
      <c r="F1" s="1664"/>
      <c r="G1" s="1664"/>
      <c r="H1" s="1664"/>
      <c r="I1" s="1664"/>
      <c r="J1" s="1664"/>
      <c r="K1" s="1769" t="s">
        <v>124</v>
      </c>
      <c r="L1" s="1770" t="s">
        <v>1502</v>
      </c>
    </row>
    <row r="2" spans="1:19" ht="17.5">
      <c r="A2" s="1661"/>
      <c r="B2" s="1771"/>
      <c r="C2" s="1664"/>
      <c r="D2" s="1664"/>
      <c r="E2" s="1664"/>
      <c r="F2" s="1664"/>
      <c r="G2" s="1664"/>
      <c r="H2" s="1664"/>
      <c r="I2" s="1664"/>
      <c r="J2" s="1664"/>
      <c r="K2" s="1664"/>
      <c r="L2" s="1664"/>
    </row>
    <row r="3" spans="1:19" ht="18">
      <c r="A3" s="1661"/>
      <c r="B3" s="1662" t="s">
        <v>8483</v>
      </c>
      <c r="C3" s="1664"/>
      <c r="D3" s="1664"/>
      <c r="E3" s="1664"/>
      <c r="F3" s="1664"/>
      <c r="G3" s="1664"/>
      <c r="H3" s="1664"/>
      <c r="I3" s="1664"/>
      <c r="J3" s="1664"/>
      <c r="K3" s="1664"/>
      <c r="L3" s="1771"/>
    </row>
    <row r="4" spans="1:19" ht="18">
      <c r="A4" s="1661"/>
      <c r="B4" s="1663"/>
      <c r="C4" s="1664"/>
      <c r="D4" s="1664"/>
      <c r="E4" s="1664"/>
      <c r="F4" s="1664"/>
      <c r="G4" s="1664"/>
      <c r="H4" s="1664"/>
      <c r="I4" s="1664"/>
      <c r="J4" s="1664"/>
      <c r="K4" s="1664"/>
      <c r="L4" s="1664"/>
    </row>
    <row r="5" spans="1:19" ht="18">
      <c r="A5" s="1772" t="s">
        <v>126</v>
      </c>
      <c r="B5" s="1773" t="s">
        <v>1503</v>
      </c>
      <c r="C5" s="1662" t="s">
        <v>1504</v>
      </c>
      <c r="D5" s="1664"/>
      <c r="E5" s="1664"/>
      <c r="F5" s="1771"/>
      <c r="G5" s="1664"/>
      <c r="H5" s="1664"/>
      <c r="I5" s="1664"/>
      <c r="J5" s="1664"/>
      <c r="K5" s="1664"/>
      <c r="L5" s="1664"/>
    </row>
    <row r="6" spans="1:19" ht="18">
      <c r="A6" s="1661"/>
      <c r="B6" s="1664"/>
      <c r="C6" s="1663"/>
      <c r="D6" s="1664"/>
      <c r="E6" s="1664"/>
      <c r="F6" s="1662" t="s">
        <v>1505</v>
      </c>
      <c r="G6" s="1664"/>
      <c r="H6" s="1664"/>
      <c r="I6" s="1662" t="s">
        <v>4111</v>
      </c>
      <c r="J6" s="1664"/>
      <c r="K6" s="1664"/>
      <c r="L6" s="1664"/>
    </row>
    <row r="7" spans="1:19" ht="18" customHeight="1">
      <c r="A7" s="3488"/>
      <c r="B7" s="3489" t="s">
        <v>1508</v>
      </c>
      <c r="C7" s="3489" t="s">
        <v>4112</v>
      </c>
      <c r="D7" s="3489" t="s">
        <v>4113</v>
      </c>
      <c r="E7" s="1619"/>
      <c r="F7" s="1667" t="s">
        <v>1507</v>
      </c>
      <c r="G7" s="1667"/>
      <c r="H7" s="1667"/>
      <c r="I7" s="1667"/>
      <c r="J7" s="1619"/>
      <c r="K7" s="1619"/>
      <c r="L7" s="1619"/>
    </row>
    <row r="8" spans="1:19" s="1048" customFormat="1" ht="85.5" customHeight="1">
      <c r="A8" s="3488"/>
      <c r="B8" s="3489"/>
      <c r="C8" s="3489"/>
      <c r="D8" s="3489"/>
      <c r="E8" s="1666" t="s">
        <v>4114</v>
      </c>
      <c r="F8" s="1666" t="s">
        <v>1448</v>
      </c>
      <c r="G8" s="1666" t="s">
        <v>4115</v>
      </c>
      <c r="H8" s="1666" t="s">
        <v>4116</v>
      </c>
      <c r="I8" s="1666" t="s">
        <v>1449</v>
      </c>
      <c r="J8" s="1666" t="s">
        <v>4117</v>
      </c>
      <c r="K8" s="1666" t="s">
        <v>4118</v>
      </c>
      <c r="L8" s="1666" t="s">
        <v>4119</v>
      </c>
    </row>
    <row r="9" spans="1:19" ht="17.5">
      <c r="A9" s="1665"/>
      <c r="B9" s="1666" t="s">
        <v>652</v>
      </c>
      <c r="C9" s="1619"/>
      <c r="D9" s="1619"/>
      <c r="E9" s="1619"/>
      <c r="F9" s="1619"/>
      <c r="G9" s="1619"/>
      <c r="H9" s="1619"/>
      <c r="I9" s="1619"/>
      <c r="J9" s="1619"/>
      <c r="K9" s="1669"/>
      <c r="L9" s="1669"/>
    </row>
    <row r="10" spans="1:19" ht="17.5">
      <c r="A10" s="1665">
        <v>1</v>
      </c>
      <c r="B10" s="1902" t="s">
        <v>653</v>
      </c>
      <c r="C10" s="1614">
        <v>230774</v>
      </c>
      <c r="D10" s="1614">
        <v>160741.42000000001</v>
      </c>
      <c r="E10" s="1614"/>
      <c r="F10" s="1614">
        <v>72.319999999999993</v>
      </c>
      <c r="G10" s="1614">
        <v>56.576000000000001</v>
      </c>
      <c r="H10" s="1614">
        <v>12.263999999999999</v>
      </c>
      <c r="I10" s="1614">
        <v>6.15</v>
      </c>
      <c r="J10" s="1614">
        <f>SUM(F10:I10)</f>
        <v>147.31</v>
      </c>
      <c r="K10" s="1615">
        <v>5753.8745449316002</v>
      </c>
      <c r="L10" s="1615">
        <v>4612.9311939999989</v>
      </c>
      <c r="M10" s="1052"/>
      <c r="N10" s="1042"/>
      <c r="O10" s="1052"/>
      <c r="P10" s="1052"/>
    </row>
    <row r="11" spans="1:19" ht="17.5">
      <c r="A11" s="1665">
        <v>2</v>
      </c>
      <c r="B11" s="1902" t="s">
        <v>654</v>
      </c>
      <c r="C11" s="1614">
        <v>220958</v>
      </c>
      <c r="D11" s="1614">
        <v>402389.6</v>
      </c>
      <c r="E11" s="1614"/>
      <c r="F11" s="1614">
        <f>118.102</f>
        <v>118.102</v>
      </c>
      <c r="G11" s="1614">
        <f>106.284+16.67</f>
        <v>122.95400000000001</v>
      </c>
      <c r="H11" s="1614">
        <v>32.344000000000001</v>
      </c>
      <c r="I11" s="1614">
        <v>15.622</v>
      </c>
      <c r="J11" s="1614">
        <f t="shared" ref="J11:J16" si="0">SUM(F11:I11)</f>
        <v>289.02200000000005</v>
      </c>
      <c r="K11" s="1615">
        <f>11155.443513673+2000</f>
        <v>13155.443513673001</v>
      </c>
      <c r="L11" s="1615">
        <v>10237.402382800003</v>
      </c>
      <c r="M11" s="1052"/>
      <c r="N11" s="1042"/>
      <c r="O11" s="1052"/>
      <c r="P11" s="1052"/>
    </row>
    <row r="12" spans="1:19" ht="17.5">
      <c r="A12" s="1665">
        <v>3</v>
      </c>
      <c r="B12" s="1902" t="s">
        <v>655</v>
      </c>
      <c r="C12" s="1614">
        <v>44443</v>
      </c>
      <c r="D12" s="1614">
        <v>118474.59</v>
      </c>
      <c r="E12" s="1614"/>
      <c r="F12" s="1614">
        <f>27.014</f>
        <v>27.013999999999999</v>
      </c>
      <c r="G12" s="1614">
        <f>50.386+2.5</f>
        <v>52.886000000000003</v>
      </c>
      <c r="H12" s="1614">
        <v>17.934000000000001</v>
      </c>
      <c r="I12" s="1614">
        <v>10.53</v>
      </c>
      <c r="J12" s="1614">
        <f t="shared" si="0"/>
        <v>108.364</v>
      </c>
      <c r="K12" s="1615">
        <v>4618.5368949333997</v>
      </c>
      <c r="L12" s="1615">
        <v>4377.4473832000003</v>
      </c>
      <c r="M12" s="1052"/>
      <c r="N12" s="1042"/>
      <c r="O12" s="1052"/>
      <c r="P12" s="1052"/>
    </row>
    <row r="13" spans="1:19" ht="17.5">
      <c r="A13" s="1665">
        <v>4</v>
      </c>
      <c r="B13" s="1902">
        <v>4</v>
      </c>
      <c r="C13" s="1614">
        <v>11759</v>
      </c>
      <c r="D13" s="1614">
        <v>42802.239999999998</v>
      </c>
      <c r="E13" s="1614"/>
      <c r="F13" s="1614">
        <v>7.2839999999999998</v>
      </c>
      <c r="G13" s="1614">
        <v>12.620000000000001</v>
      </c>
      <c r="H13" s="1614">
        <v>9.77</v>
      </c>
      <c r="I13" s="1614">
        <v>5.726</v>
      </c>
      <c r="J13" s="1614">
        <f t="shared" si="0"/>
        <v>35.4</v>
      </c>
      <c r="K13" s="1615">
        <v>1634.044381832</v>
      </c>
      <c r="L13" s="1615">
        <v>1507.9852298999997</v>
      </c>
      <c r="M13" s="1052"/>
      <c r="N13" s="1042"/>
      <c r="O13" s="1052"/>
      <c r="P13" s="1052"/>
    </row>
    <row r="14" spans="1:19" ht="17.5">
      <c r="A14" s="1665">
        <v>5</v>
      </c>
      <c r="B14" s="1903" t="s">
        <v>4120</v>
      </c>
      <c r="C14" s="1614">
        <v>6380</v>
      </c>
      <c r="D14" s="1614">
        <v>33423.760000000002</v>
      </c>
      <c r="E14" s="1614"/>
      <c r="F14" s="1614">
        <v>4.0140000000000002</v>
      </c>
      <c r="G14" s="1614">
        <v>9.8279999999999994</v>
      </c>
      <c r="H14" s="1614">
        <v>7.27</v>
      </c>
      <c r="I14" s="1614">
        <v>9.5</v>
      </c>
      <c r="J14" s="1614">
        <f t="shared" si="0"/>
        <v>30.611999999999998</v>
      </c>
      <c r="K14" s="1615">
        <v>1551.8151184801002</v>
      </c>
      <c r="L14" s="1615">
        <v>1438.4107042999999</v>
      </c>
      <c r="M14" s="1052"/>
      <c r="N14" s="1042"/>
      <c r="O14" s="1052"/>
      <c r="P14" s="1052"/>
      <c r="Q14" s="1052"/>
      <c r="R14" s="1052"/>
      <c r="S14" s="1052"/>
    </row>
    <row r="15" spans="1:19" ht="17.5">
      <c r="A15" s="1665">
        <v>6</v>
      </c>
      <c r="B15" s="1903" t="s">
        <v>656</v>
      </c>
      <c r="C15" s="1904">
        <f>SUM(C10:C14)</f>
        <v>514314</v>
      </c>
      <c r="D15" s="1904">
        <f>SUM(D10:D14)</f>
        <v>757831.61</v>
      </c>
      <c r="E15" s="1904"/>
      <c r="F15" s="1904">
        <f t="shared" ref="F15:L15" si="1">SUM(F10:F14)</f>
        <v>228.73400000000001</v>
      </c>
      <c r="G15" s="1904">
        <f t="shared" si="1"/>
        <v>254.864</v>
      </c>
      <c r="H15" s="1904">
        <f t="shared" si="1"/>
        <v>79.581999999999994</v>
      </c>
      <c r="I15" s="1904">
        <f t="shared" si="1"/>
        <v>47.527999999999999</v>
      </c>
      <c r="J15" s="1905">
        <f t="shared" si="1"/>
        <v>610.70799999999997</v>
      </c>
      <c r="K15" s="1906">
        <f t="shared" si="1"/>
        <v>26713.714453850098</v>
      </c>
      <c r="L15" s="1906">
        <f t="shared" si="1"/>
        <v>22174.176894200005</v>
      </c>
      <c r="M15" s="1042"/>
      <c r="N15" s="1052"/>
      <c r="O15" s="1113"/>
      <c r="P15" s="1113"/>
      <c r="Q15" s="1113"/>
      <c r="R15" s="1113"/>
      <c r="S15" s="1052"/>
    </row>
    <row r="16" spans="1:19" ht="35">
      <c r="A16" s="1665">
        <v>7</v>
      </c>
      <c r="B16" s="1907" t="s">
        <v>4121</v>
      </c>
      <c r="C16" s="1614">
        <v>9</v>
      </c>
      <c r="D16" s="1614">
        <v>2449.3000000000002</v>
      </c>
      <c r="E16" s="1614"/>
      <c r="F16" s="1614"/>
      <c r="G16" s="1614"/>
      <c r="H16" s="1614"/>
      <c r="I16" s="1614">
        <f>6.307-1.42523</f>
        <v>4.8817700000000004</v>
      </c>
      <c r="J16" s="1908">
        <f t="shared" si="0"/>
        <v>4.8817700000000004</v>
      </c>
      <c r="K16" s="1615">
        <f>357.415161322-68</f>
        <v>289.41516132200002</v>
      </c>
      <c r="L16" s="1615">
        <v>321.65498699999995</v>
      </c>
      <c r="N16" s="1052"/>
      <c r="O16" s="1042"/>
      <c r="P16" s="1042"/>
      <c r="Q16" s="1042"/>
      <c r="R16" s="1042"/>
      <c r="S16" s="1052"/>
    </row>
    <row r="17" spans="1:16" ht="17.5">
      <c r="A17" s="1665">
        <v>8</v>
      </c>
      <c r="B17" s="1903" t="s">
        <v>656</v>
      </c>
      <c r="C17" s="1614">
        <f>SUM(C16)</f>
        <v>9</v>
      </c>
      <c r="D17" s="1614">
        <f t="shared" ref="D17:L17" si="2">SUM(D16)</f>
        <v>2449.3000000000002</v>
      </c>
      <c r="E17" s="1614">
        <f t="shared" si="2"/>
        <v>0</v>
      </c>
      <c r="F17" s="1614">
        <f t="shared" si="2"/>
        <v>0</v>
      </c>
      <c r="G17" s="1614">
        <f t="shared" si="2"/>
        <v>0</v>
      </c>
      <c r="H17" s="1614">
        <f t="shared" si="2"/>
        <v>0</v>
      </c>
      <c r="I17" s="1614">
        <f t="shared" si="2"/>
        <v>4.8817700000000004</v>
      </c>
      <c r="J17" s="1908">
        <f t="shared" si="2"/>
        <v>4.8817700000000004</v>
      </c>
      <c r="K17" s="1615">
        <f t="shared" si="2"/>
        <v>289.41516132200002</v>
      </c>
      <c r="L17" s="1615">
        <f t="shared" si="2"/>
        <v>321.65498699999995</v>
      </c>
      <c r="N17" s="1052"/>
      <c r="O17" s="1052"/>
    </row>
    <row r="18" spans="1:16" ht="17.5">
      <c r="A18" s="1665">
        <v>9</v>
      </c>
      <c r="B18" s="1903" t="s">
        <v>657</v>
      </c>
      <c r="C18" s="1614">
        <v>18928</v>
      </c>
      <c r="D18" s="1614">
        <v>3886.73</v>
      </c>
      <c r="E18" s="1614">
        <v>1.9849999999999999</v>
      </c>
      <c r="F18" s="1614"/>
      <c r="G18" s="1614"/>
      <c r="H18" s="1614"/>
      <c r="I18" s="1614"/>
      <c r="J18" s="1908">
        <f>SUM(E18:I18)</f>
        <v>1.9849999999999999</v>
      </c>
      <c r="K18" s="1615">
        <f>61.5981227114+119</f>
        <v>180.59812271140001</v>
      </c>
      <c r="L18" s="1615">
        <v>35.1426905</v>
      </c>
      <c r="M18" s="1042"/>
      <c r="N18" s="1052"/>
      <c r="P18" s="1042"/>
    </row>
    <row r="19" spans="1:16" ht="17.5">
      <c r="A19" s="1665">
        <v>10</v>
      </c>
      <c r="B19" s="1903" t="s">
        <v>658</v>
      </c>
      <c r="C19" s="1909"/>
      <c r="D19" s="1910"/>
      <c r="E19" s="1911"/>
      <c r="F19" s="1911"/>
      <c r="G19" s="1911"/>
      <c r="H19" s="1911"/>
      <c r="I19" s="1911"/>
      <c r="J19" s="1911"/>
      <c r="K19" s="1912"/>
      <c r="L19" s="1912"/>
      <c r="N19" s="1052"/>
      <c r="P19" s="1052"/>
    </row>
    <row r="20" spans="1:16" ht="17.5">
      <c r="A20" s="1665">
        <v>11</v>
      </c>
      <c r="B20" s="1903" t="s">
        <v>659</v>
      </c>
      <c r="C20" s="1913">
        <f>C18</f>
        <v>18928</v>
      </c>
      <c r="D20" s="1913">
        <f>D18</f>
        <v>3886.73</v>
      </c>
      <c r="E20" s="1914">
        <f>E18</f>
        <v>1.9849999999999999</v>
      </c>
      <c r="F20" s="1914">
        <f t="shared" ref="F20:L20" si="3">F18</f>
        <v>0</v>
      </c>
      <c r="G20" s="1914">
        <f t="shared" si="3"/>
        <v>0</v>
      </c>
      <c r="H20" s="1914">
        <f t="shared" si="3"/>
        <v>0</v>
      </c>
      <c r="I20" s="1914">
        <f t="shared" si="3"/>
        <v>0</v>
      </c>
      <c r="J20" s="1914">
        <f t="shared" si="3"/>
        <v>1.9849999999999999</v>
      </c>
      <c r="K20" s="1912">
        <f t="shared" si="3"/>
        <v>180.59812271140001</v>
      </c>
      <c r="L20" s="1912">
        <f t="shared" si="3"/>
        <v>35.1426905</v>
      </c>
      <c r="M20" s="1042"/>
      <c r="N20" s="3110"/>
      <c r="P20" s="1052"/>
    </row>
    <row r="21" spans="1:16" ht="17.5">
      <c r="A21" s="1665"/>
      <c r="B21" s="1903"/>
      <c r="C21" s="1911"/>
      <c r="D21" s="1911"/>
      <c r="E21" s="1911"/>
      <c r="F21" s="1911"/>
      <c r="G21" s="1911"/>
      <c r="H21" s="1911"/>
      <c r="I21" s="1911"/>
      <c r="J21" s="1911"/>
      <c r="K21" s="1912"/>
      <c r="L21" s="1912"/>
      <c r="N21" s="1042"/>
      <c r="P21" s="1052"/>
    </row>
    <row r="22" spans="1:16" ht="18">
      <c r="A22" s="1665">
        <v>12</v>
      </c>
      <c r="B22" s="1903" t="s">
        <v>4122</v>
      </c>
      <c r="C22" s="1915">
        <f>C20+C16+C15</f>
        <v>533251</v>
      </c>
      <c r="D22" s="1915">
        <f t="shared" ref="D22:L22" si="4">D20+D16+D15</f>
        <v>764167.64</v>
      </c>
      <c r="E22" s="1916">
        <f t="shared" si="4"/>
        <v>1.9849999999999999</v>
      </c>
      <c r="F22" s="1916">
        <f t="shared" si="4"/>
        <v>228.73400000000001</v>
      </c>
      <c r="G22" s="1916">
        <f t="shared" si="4"/>
        <v>254.864</v>
      </c>
      <c r="H22" s="1916">
        <f t="shared" si="4"/>
        <v>79.581999999999994</v>
      </c>
      <c r="I22" s="1916">
        <f t="shared" si="4"/>
        <v>52.409770000000002</v>
      </c>
      <c r="J22" s="1916">
        <f t="shared" si="4"/>
        <v>617.57476999999994</v>
      </c>
      <c r="K22" s="1917">
        <f t="shared" si="4"/>
        <v>27183.727737883499</v>
      </c>
      <c r="L22" s="1917">
        <f t="shared" si="4"/>
        <v>22530.974571700004</v>
      </c>
    </row>
    <row r="23" spans="1:16" ht="17.5">
      <c r="A23" s="1661"/>
      <c r="B23" s="1918"/>
      <c r="C23" s="1919"/>
      <c r="D23" s="1919"/>
      <c r="E23" s="1919"/>
      <c r="F23" s="1920"/>
      <c r="G23" s="1920"/>
      <c r="H23" s="1920"/>
      <c r="I23" s="1920"/>
      <c r="J23" s="1920"/>
      <c r="K23" s="1920"/>
      <c r="L23" s="1920"/>
    </row>
    <row r="24" spans="1:16" ht="18">
      <c r="A24" s="1921" t="s">
        <v>1169</v>
      </c>
      <c r="B24" s="1922" t="s">
        <v>1503</v>
      </c>
      <c r="C24" s="1923" t="s">
        <v>660</v>
      </c>
      <c r="D24" s="1919"/>
      <c r="E24" s="1919"/>
      <c r="F24" s="1771"/>
      <c r="G24" s="1919"/>
      <c r="H24" s="1919"/>
      <c r="I24" s="1919"/>
      <c r="J24" s="1919"/>
      <c r="K24" s="1920"/>
      <c r="L24" s="1920"/>
    </row>
    <row r="25" spans="1:16" ht="18">
      <c r="A25" s="1661"/>
      <c r="B25" s="1918"/>
      <c r="C25" s="1924"/>
      <c r="D25" s="1919"/>
      <c r="E25" s="1919"/>
      <c r="F25" s="1923" t="s">
        <v>1505</v>
      </c>
      <c r="G25" s="1919"/>
      <c r="H25" s="1919"/>
      <c r="I25" s="1923" t="s">
        <v>4111</v>
      </c>
      <c r="J25" s="1919"/>
      <c r="K25" s="1920"/>
      <c r="L25" s="1920"/>
    </row>
    <row r="26" spans="1:16" ht="18" customHeight="1">
      <c r="A26" s="3488"/>
      <c r="B26" s="3490" t="s">
        <v>1508</v>
      </c>
      <c r="C26" s="3490" t="s">
        <v>4112</v>
      </c>
      <c r="D26" s="3490" t="s">
        <v>4113</v>
      </c>
      <c r="E26" s="1911"/>
      <c r="F26" s="1925" t="s">
        <v>1507</v>
      </c>
      <c r="G26" s="1925"/>
      <c r="H26" s="1925"/>
      <c r="I26" s="1925"/>
      <c r="J26" s="1911"/>
      <c r="K26" s="1912"/>
      <c r="L26" s="1912"/>
    </row>
    <row r="27" spans="1:16" s="1048" customFormat="1" ht="87.75" customHeight="1">
      <c r="A27" s="3488"/>
      <c r="B27" s="3490"/>
      <c r="C27" s="3490"/>
      <c r="D27" s="3490"/>
      <c r="E27" s="1926" t="s">
        <v>4114</v>
      </c>
      <c r="F27" s="1926" t="s">
        <v>1448</v>
      </c>
      <c r="G27" s="1926" t="s">
        <v>4115</v>
      </c>
      <c r="H27" s="1926" t="s">
        <v>4116</v>
      </c>
      <c r="I27" s="1926" t="s">
        <v>1449</v>
      </c>
      <c r="J27" s="1926" t="s">
        <v>4117</v>
      </c>
      <c r="K27" s="1927" t="s">
        <v>4118</v>
      </c>
      <c r="L27" s="1927" t="s">
        <v>4119</v>
      </c>
    </row>
    <row r="28" spans="1:16" ht="17.5">
      <c r="A28" s="1665"/>
      <c r="B28" s="1926" t="s">
        <v>652</v>
      </c>
      <c r="C28" s="1911"/>
      <c r="D28" s="1911"/>
      <c r="E28" s="1911"/>
      <c r="F28" s="1911"/>
      <c r="G28" s="1911"/>
      <c r="H28" s="1911"/>
      <c r="I28" s="1911"/>
      <c r="J28" s="1911"/>
      <c r="K28" s="1928"/>
      <c r="L28" s="1928"/>
    </row>
    <row r="29" spans="1:16" ht="17.5">
      <c r="A29" s="1665">
        <v>1</v>
      </c>
      <c r="B29" s="1902" t="s">
        <v>653</v>
      </c>
      <c r="C29" s="1617">
        <v>1318644</v>
      </c>
      <c r="D29" s="1617">
        <v>860946.53</v>
      </c>
      <c r="E29" s="1617"/>
      <c r="F29" s="1617">
        <f>412.696+20</f>
        <v>432.69600000000003</v>
      </c>
      <c r="G29" s="1617">
        <f>178.536+20</f>
        <v>198.536</v>
      </c>
      <c r="H29" s="1617">
        <v>38.82</v>
      </c>
      <c r="I29" s="1617">
        <v>56.268000000000001</v>
      </c>
      <c r="J29" s="1617">
        <f>SUM(F29:I29)</f>
        <v>726.32</v>
      </c>
      <c r="K29" s="3098">
        <f>-7489.95+39458.1354835284+397.51-398+957</f>
        <v>32924.695483528398</v>
      </c>
      <c r="L29" s="3099">
        <v>23485.179279</v>
      </c>
      <c r="M29" s="1052"/>
      <c r="N29" s="1052"/>
    </row>
    <row r="30" spans="1:16" ht="17.5">
      <c r="A30" s="1665">
        <v>2</v>
      </c>
      <c r="B30" s="1902" t="s">
        <v>654</v>
      </c>
      <c r="C30" s="1617">
        <v>86016</v>
      </c>
      <c r="D30" s="1617">
        <v>151878.38</v>
      </c>
      <c r="E30" s="1617"/>
      <c r="F30" s="1617">
        <f>90.108+8.43</f>
        <v>98.538000000000011</v>
      </c>
      <c r="G30" s="1616">
        <v>61.21</v>
      </c>
      <c r="H30" s="1617">
        <v>16.241999999999997</v>
      </c>
      <c r="I30" s="1617">
        <v>3.3460000000000001</v>
      </c>
      <c r="J30" s="1617">
        <f t="shared" ref="J30:J35" si="5">SUM(F30:I30)</f>
        <v>179.33600000000001</v>
      </c>
      <c r="K30" s="3098">
        <v>7061.5061255517003</v>
      </c>
      <c r="L30" s="3099">
        <v>5851.6969696000006</v>
      </c>
      <c r="M30" s="1052"/>
      <c r="N30" s="1052"/>
    </row>
    <row r="31" spans="1:16" ht="17.5">
      <c r="A31" s="1665">
        <v>3</v>
      </c>
      <c r="B31" s="1902" t="s">
        <v>655</v>
      </c>
      <c r="C31" s="1617">
        <v>8129</v>
      </c>
      <c r="D31" s="1617">
        <v>21548.36</v>
      </c>
      <c r="E31" s="1617"/>
      <c r="F31" s="1617">
        <v>7.4480000000000004</v>
      </c>
      <c r="G31" s="1617">
        <v>10.866</v>
      </c>
      <c r="H31" s="1617">
        <v>3.81</v>
      </c>
      <c r="I31" s="1617">
        <v>1.0920000000000001</v>
      </c>
      <c r="J31" s="1617">
        <f t="shared" si="5"/>
        <v>23.215999999999998</v>
      </c>
      <c r="K31" s="3098">
        <v>1094.8870695901001</v>
      </c>
      <c r="L31" s="3099">
        <v>989.14900399999988</v>
      </c>
      <c r="M31" s="1052"/>
      <c r="N31" s="1052"/>
    </row>
    <row r="32" spans="1:16" ht="17.5">
      <c r="A32" s="1665">
        <v>4</v>
      </c>
      <c r="B32" s="1902">
        <v>4</v>
      </c>
      <c r="C32" s="1617">
        <v>2360</v>
      </c>
      <c r="D32" s="1617">
        <v>8749.76</v>
      </c>
      <c r="E32" s="1617"/>
      <c r="F32" s="1617">
        <v>2.6459999999999999</v>
      </c>
      <c r="G32" s="1617">
        <v>3.4140000000000001</v>
      </c>
      <c r="H32" s="1617">
        <v>1.722</v>
      </c>
      <c r="I32" s="1617">
        <v>0.57999999999999996</v>
      </c>
      <c r="J32" s="1617">
        <f t="shared" si="5"/>
        <v>8.3620000000000001</v>
      </c>
      <c r="K32" s="3098">
        <v>410.01525370999997</v>
      </c>
      <c r="L32" s="3099">
        <v>371.67223439999998</v>
      </c>
      <c r="M32" s="1052"/>
      <c r="N32" s="1052"/>
    </row>
    <row r="33" spans="1:15" ht="17.5">
      <c r="A33" s="1665">
        <v>5</v>
      </c>
      <c r="B33" s="1903" t="s">
        <v>4120</v>
      </c>
      <c r="C33" s="1617">
        <v>1431</v>
      </c>
      <c r="D33" s="1617">
        <v>7247.89</v>
      </c>
      <c r="E33" s="1617"/>
      <c r="F33" s="1617">
        <v>1.266</v>
      </c>
      <c r="G33" s="1617">
        <v>3.2679999999999998</v>
      </c>
      <c r="H33" s="1617">
        <v>2.3359999999999999</v>
      </c>
      <c r="I33" s="1617">
        <v>1.038</v>
      </c>
      <c r="J33" s="1617">
        <f t="shared" si="5"/>
        <v>7.9079999999999995</v>
      </c>
      <c r="K33" s="3098">
        <v>408.6611131945001</v>
      </c>
      <c r="L33" s="3099">
        <v>368.910574</v>
      </c>
      <c r="M33" s="1052"/>
      <c r="N33" s="1052"/>
      <c r="O33" s="1052"/>
    </row>
    <row r="34" spans="1:15" ht="18">
      <c r="A34" s="1665">
        <v>6</v>
      </c>
      <c r="B34" s="1903" t="s">
        <v>656</v>
      </c>
      <c r="C34" s="1929">
        <f>SUM(C29:C33)</f>
        <v>1416580</v>
      </c>
      <c r="D34" s="1929">
        <f>SUM(D29:D33)</f>
        <v>1050370.92</v>
      </c>
      <c r="E34" s="1929"/>
      <c r="F34" s="1929">
        <f t="shared" ref="F34:L34" si="6">SUM(F29:F33)</f>
        <v>542.59399999999994</v>
      </c>
      <c r="G34" s="1929">
        <f t="shared" si="6"/>
        <v>277.29399999999993</v>
      </c>
      <c r="H34" s="1929">
        <f t="shared" si="6"/>
        <v>62.93</v>
      </c>
      <c r="I34" s="1929">
        <f t="shared" si="6"/>
        <v>62.323999999999998</v>
      </c>
      <c r="J34" s="1929">
        <f t="shared" si="6"/>
        <v>945.14200000000005</v>
      </c>
      <c r="K34" s="1930">
        <f t="shared" si="6"/>
        <v>41899.765045574699</v>
      </c>
      <c r="L34" s="1930">
        <f t="shared" si="6"/>
        <v>31066.608061000003</v>
      </c>
      <c r="N34" s="1042"/>
    </row>
    <row r="35" spans="1:15" ht="39" customHeight="1">
      <c r="A35" s="1665">
        <v>7</v>
      </c>
      <c r="B35" s="1907" t="s">
        <v>4121</v>
      </c>
      <c r="C35" s="1617">
        <v>3</v>
      </c>
      <c r="D35" s="1617">
        <v>1226</v>
      </c>
      <c r="E35" s="1617"/>
      <c r="F35" s="1617"/>
      <c r="G35" s="1617"/>
      <c r="H35" s="1617"/>
      <c r="I35" s="1617">
        <v>2.1269999999999998</v>
      </c>
      <c r="J35" s="1617">
        <f t="shared" si="5"/>
        <v>2.1269999999999998</v>
      </c>
      <c r="K35" s="1618">
        <v>105.43190879999997</v>
      </c>
      <c r="L35" s="1618">
        <v>105.90200570000007</v>
      </c>
      <c r="O35" s="1052"/>
    </row>
    <row r="36" spans="1:15" ht="17.5">
      <c r="A36" s="1665">
        <v>8</v>
      </c>
      <c r="B36" s="1903" t="s">
        <v>656</v>
      </c>
      <c r="C36" s="1614">
        <f>SUM(C35)</f>
        <v>3</v>
      </c>
      <c r="D36" s="1614">
        <f t="shared" ref="D36:L36" si="7">SUM(D35)</f>
        <v>1226</v>
      </c>
      <c r="E36" s="1614">
        <f t="shared" si="7"/>
        <v>0</v>
      </c>
      <c r="F36" s="1614">
        <f t="shared" si="7"/>
        <v>0</v>
      </c>
      <c r="G36" s="1614">
        <f t="shared" si="7"/>
        <v>0</v>
      </c>
      <c r="H36" s="1614">
        <f t="shared" si="7"/>
        <v>0</v>
      </c>
      <c r="I36" s="1614">
        <f t="shared" si="7"/>
        <v>2.1269999999999998</v>
      </c>
      <c r="J36" s="1908">
        <f t="shared" si="7"/>
        <v>2.1269999999999998</v>
      </c>
      <c r="K36" s="1615">
        <f t="shared" si="7"/>
        <v>105.43190879999997</v>
      </c>
      <c r="L36" s="1615">
        <f t="shared" si="7"/>
        <v>105.90200570000007</v>
      </c>
      <c r="M36" s="1052"/>
      <c r="O36" s="1052"/>
    </row>
    <row r="37" spans="1:15" ht="17.5">
      <c r="A37" s="1665">
        <v>9</v>
      </c>
      <c r="B37" s="1903" t="s">
        <v>657</v>
      </c>
      <c r="C37" s="1617">
        <v>250684</v>
      </c>
      <c r="D37" s="1617">
        <v>104317</v>
      </c>
      <c r="E37" s="1617">
        <f>36.86-E18</f>
        <v>34.875</v>
      </c>
      <c r="F37" s="1617"/>
      <c r="G37" s="1617"/>
      <c r="H37" s="1617"/>
      <c r="I37" s="1617"/>
      <c r="J37" s="1617">
        <f>SUM(E37:I37)</f>
        <v>34.875</v>
      </c>
      <c r="K37" s="1618">
        <f>942.4421583628+300</f>
        <v>1242.4421583628</v>
      </c>
      <c r="L37" s="1618">
        <v>441.86463850000001</v>
      </c>
      <c r="N37" s="1052"/>
    </row>
    <row r="38" spans="1:15" ht="17.5">
      <c r="A38" s="1665">
        <v>10</v>
      </c>
      <c r="B38" s="1903" t="s">
        <v>658</v>
      </c>
      <c r="C38" s="1931"/>
      <c r="D38" s="1931"/>
      <c r="E38" s="1931"/>
      <c r="F38" s="1931"/>
      <c r="G38" s="1931"/>
      <c r="H38" s="1931"/>
      <c r="I38" s="1931"/>
      <c r="J38" s="1931"/>
      <c r="K38" s="1932"/>
      <c r="L38" s="1932"/>
      <c r="M38" s="1052"/>
    </row>
    <row r="39" spans="1:15" ht="17.5">
      <c r="A39" s="1665">
        <v>11</v>
      </c>
      <c r="B39" s="1903" t="s">
        <v>659</v>
      </c>
      <c r="C39" s="1931">
        <f>C37</f>
        <v>250684</v>
      </c>
      <c r="D39" s="1931">
        <f t="shared" ref="D39:L39" si="8">D37</f>
        <v>104317</v>
      </c>
      <c r="E39" s="1931">
        <f t="shared" si="8"/>
        <v>34.875</v>
      </c>
      <c r="F39" s="1933">
        <f t="shared" si="8"/>
        <v>0</v>
      </c>
      <c r="G39" s="1933">
        <f t="shared" si="8"/>
        <v>0</v>
      </c>
      <c r="H39" s="1933">
        <f t="shared" si="8"/>
        <v>0</v>
      </c>
      <c r="I39" s="1933">
        <f t="shared" si="8"/>
        <v>0</v>
      </c>
      <c r="J39" s="1933">
        <f t="shared" si="8"/>
        <v>34.875</v>
      </c>
      <c r="K39" s="1932">
        <f t="shared" si="8"/>
        <v>1242.4421583628</v>
      </c>
      <c r="L39" s="1932">
        <f t="shared" si="8"/>
        <v>441.86463850000001</v>
      </c>
    </row>
    <row r="40" spans="1:15" ht="17.5">
      <c r="A40" s="1665"/>
      <c r="B40" s="1903"/>
      <c r="C40" s="1931"/>
      <c r="D40" s="1931"/>
      <c r="E40" s="1931"/>
      <c r="F40" s="1931"/>
      <c r="G40" s="1931"/>
      <c r="H40" s="1931"/>
      <c r="I40" s="1931"/>
      <c r="J40" s="1931"/>
      <c r="K40" s="1932"/>
      <c r="L40" s="1932"/>
    </row>
    <row r="41" spans="1:15" ht="18">
      <c r="A41" s="1665">
        <v>12</v>
      </c>
      <c r="B41" s="1903" t="s">
        <v>4123</v>
      </c>
      <c r="C41" s="1934">
        <f>C34+C35+C39</f>
        <v>1667267</v>
      </c>
      <c r="D41" s="1934">
        <f t="shared" ref="D41:L41" si="9">D34+D35+D39</f>
        <v>1155913.92</v>
      </c>
      <c r="E41" s="1935">
        <f t="shared" si="9"/>
        <v>34.875</v>
      </c>
      <c r="F41" s="1935">
        <f t="shared" si="9"/>
        <v>542.59399999999994</v>
      </c>
      <c r="G41" s="1935">
        <f t="shared" si="9"/>
        <v>277.29399999999993</v>
      </c>
      <c r="H41" s="1935">
        <f t="shared" si="9"/>
        <v>62.93</v>
      </c>
      <c r="I41" s="1935">
        <f t="shared" si="9"/>
        <v>64.450999999999993</v>
      </c>
      <c r="J41" s="1935">
        <f t="shared" si="9"/>
        <v>982.14400000000001</v>
      </c>
      <c r="K41" s="1936">
        <f t="shared" si="9"/>
        <v>43247.639112737495</v>
      </c>
      <c r="L41" s="1936">
        <f t="shared" si="9"/>
        <v>31614.374705200004</v>
      </c>
    </row>
    <row r="42" spans="1:15" ht="17.5">
      <c r="A42" s="1665"/>
      <c r="B42" s="1903"/>
      <c r="C42" s="1931"/>
      <c r="D42" s="1931"/>
      <c r="E42" s="1931"/>
      <c r="F42" s="1931"/>
      <c r="G42" s="1931"/>
      <c r="H42" s="1931"/>
      <c r="I42" s="1931"/>
      <c r="J42" s="1931"/>
      <c r="K42" s="1932"/>
      <c r="L42" s="1932"/>
      <c r="N42" s="1052"/>
    </row>
    <row r="43" spans="1:15" ht="18">
      <c r="A43" s="1665"/>
      <c r="B43" s="1937" t="s">
        <v>661</v>
      </c>
      <c r="C43" s="1934">
        <f>C41+C22</f>
        <v>2200518</v>
      </c>
      <c r="D43" s="1934">
        <f t="shared" ref="D43:L43" si="10">D41+D22</f>
        <v>1920081.56</v>
      </c>
      <c r="E43" s="1935">
        <f t="shared" si="10"/>
        <v>36.86</v>
      </c>
      <c r="F43" s="1935">
        <f t="shared" si="10"/>
        <v>771.32799999999997</v>
      </c>
      <c r="G43" s="1935">
        <f t="shared" si="10"/>
        <v>532.1579999999999</v>
      </c>
      <c r="H43" s="1935">
        <f t="shared" si="10"/>
        <v>142.512</v>
      </c>
      <c r="I43" s="1935">
        <f>I41+I22</f>
        <v>116.86077</v>
      </c>
      <c r="J43" s="1935">
        <f t="shared" si="10"/>
        <v>1599.7187699999999</v>
      </c>
      <c r="K43" s="1938">
        <f t="shared" si="10"/>
        <v>70431.366850620994</v>
      </c>
      <c r="L43" s="1938">
        <f t="shared" si="10"/>
        <v>54145.349276900008</v>
      </c>
      <c r="M43" s="1052"/>
      <c r="N43" s="1052">
        <f>'T-1'!F15-'T-2'!J43</f>
        <v>-7.0083763555801397</v>
      </c>
      <c r="O43" s="1042"/>
    </row>
    <row r="44" spans="1:15" ht="18" customHeight="1">
      <c r="A44" s="1661"/>
      <c r="B44" s="1918"/>
      <c r="C44" s="1919"/>
      <c r="D44" s="1919"/>
      <c r="E44" s="1919"/>
      <c r="F44" s="1920"/>
      <c r="G44" s="1920"/>
      <c r="H44" s="1920"/>
      <c r="I44" s="1920"/>
      <c r="J44" s="1920"/>
      <c r="K44" s="1919"/>
      <c r="L44" s="1939"/>
    </row>
    <row r="45" spans="1:15" ht="18" customHeight="1">
      <c r="A45" s="1661"/>
      <c r="B45" s="1923" t="s">
        <v>4124</v>
      </c>
      <c r="C45" s="1924"/>
      <c r="D45" s="1924"/>
      <c r="E45" s="1919"/>
      <c r="F45" s="1919"/>
      <c r="G45" s="1919"/>
      <c r="H45" s="1919"/>
      <c r="I45" s="1919"/>
      <c r="J45" s="1919"/>
      <c r="K45" s="1919"/>
      <c r="L45" s="1939"/>
      <c r="N45" s="1059"/>
    </row>
    <row r="46" spans="1:15" ht="54" customHeight="1">
      <c r="A46" s="1665"/>
      <c r="B46" s="1940"/>
      <c r="C46" s="3487" t="s">
        <v>476</v>
      </c>
      <c r="D46" s="3487"/>
      <c r="E46" s="3487" t="s">
        <v>483</v>
      </c>
      <c r="F46" s="3487"/>
      <c r="G46" s="3487" t="s">
        <v>4125</v>
      </c>
      <c r="H46" s="3487"/>
      <c r="I46" s="1911"/>
      <c r="J46" s="1911"/>
      <c r="K46" s="1911"/>
      <c r="L46" s="1911"/>
    </row>
    <row r="47" spans="1:15" ht="18">
      <c r="A47" s="1665"/>
      <c r="B47" s="1903"/>
      <c r="C47" s="1941" t="s">
        <v>1504</v>
      </c>
      <c r="D47" s="1941" t="s">
        <v>660</v>
      </c>
      <c r="E47" s="1941" t="s">
        <v>1504</v>
      </c>
      <c r="F47" s="1941" t="s">
        <v>660</v>
      </c>
      <c r="G47" s="1941" t="s">
        <v>1504</v>
      </c>
      <c r="H47" s="1941" t="s">
        <v>660</v>
      </c>
      <c r="I47" s="1911"/>
      <c r="J47" s="1911"/>
      <c r="K47" s="1911"/>
      <c r="L47" s="1911"/>
    </row>
    <row r="48" spans="1:15" ht="18">
      <c r="A48" s="1665">
        <v>1</v>
      </c>
      <c r="B48" s="1926" t="s">
        <v>15</v>
      </c>
      <c r="C48" s="1617">
        <v>8919</v>
      </c>
      <c r="D48" s="1617">
        <v>160173</v>
      </c>
      <c r="E48" s="1617">
        <v>0</v>
      </c>
      <c r="F48" s="1617">
        <v>0</v>
      </c>
      <c r="G48" s="1617">
        <v>10009</v>
      </c>
      <c r="H48" s="1617">
        <v>90511</v>
      </c>
      <c r="I48" s="1925">
        <f>SUM(C48:H48)</f>
        <v>269612</v>
      </c>
      <c r="J48" s="1911"/>
      <c r="K48" s="1911"/>
      <c r="L48" s="1911"/>
    </row>
    <row r="49" spans="1:12" ht="18">
      <c r="A49" s="1665"/>
      <c r="B49" s="1926" t="s">
        <v>652</v>
      </c>
      <c r="C49" s="1617"/>
      <c r="D49" s="1617"/>
      <c r="E49" s="1617"/>
      <c r="F49" s="1617"/>
      <c r="G49" s="1617"/>
      <c r="H49" s="1617"/>
      <c r="I49" s="1925">
        <f t="shared" ref="I49:I54" si="11">SUM(C49:H49)</f>
        <v>0</v>
      </c>
      <c r="J49" s="1911"/>
      <c r="K49" s="1911"/>
      <c r="L49" s="1911"/>
    </row>
    <row r="50" spans="1:12" ht="18">
      <c r="A50" s="1665">
        <v>2</v>
      </c>
      <c r="B50" s="1902" t="s">
        <v>653</v>
      </c>
      <c r="C50" s="1617">
        <v>198947</v>
      </c>
      <c r="D50" s="1617">
        <v>1122985</v>
      </c>
      <c r="E50" s="1617">
        <v>0</v>
      </c>
      <c r="F50" s="1617"/>
      <c r="G50" s="1617">
        <v>31828</v>
      </c>
      <c r="H50" s="1617">
        <v>195658</v>
      </c>
      <c r="I50" s="1925">
        <f t="shared" si="11"/>
        <v>1549418</v>
      </c>
      <c r="J50" s="1911"/>
      <c r="K50" s="1911"/>
      <c r="L50" s="1911"/>
    </row>
    <row r="51" spans="1:12" ht="18">
      <c r="A51" s="1665">
        <v>3</v>
      </c>
      <c r="B51" s="1902" t="s">
        <v>654</v>
      </c>
      <c r="C51" s="1617">
        <v>200463</v>
      </c>
      <c r="D51" s="1617">
        <v>73806</v>
      </c>
      <c r="E51" s="1617">
        <v>0</v>
      </c>
      <c r="F51" s="1617">
        <v>0</v>
      </c>
      <c r="G51" s="1617">
        <v>20495</v>
      </c>
      <c r="H51" s="1617">
        <v>12210</v>
      </c>
      <c r="I51" s="1925">
        <f t="shared" si="11"/>
        <v>306974</v>
      </c>
      <c r="J51" s="1911"/>
      <c r="K51" s="1911"/>
      <c r="L51" s="1911"/>
    </row>
    <row r="52" spans="1:12" ht="18">
      <c r="A52" s="1665">
        <v>4</v>
      </c>
      <c r="B52" s="1902" t="s">
        <v>655</v>
      </c>
      <c r="C52" s="1617">
        <v>42283</v>
      </c>
      <c r="D52" s="1617">
        <v>7319</v>
      </c>
      <c r="E52" s="1617">
        <v>0</v>
      </c>
      <c r="F52" s="1617">
        <v>0</v>
      </c>
      <c r="G52" s="1617">
        <v>2160</v>
      </c>
      <c r="H52" s="1617">
        <v>810</v>
      </c>
      <c r="I52" s="1925">
        <f t="shared" si="11"/>
        <v>52572</v>
      </c>
      <c r="J52" s="1911"/>
      <c r="K52" s="1942"/>
      <c r="L52" s="1943"/>
    </row>
    <row r="53" spans="1:12" ht="18">
      <c r="A53" s="1665">
        <v>5</v>
      </c>
      <c r="B53" s="1902">
        <v>4</v>
      </c>
      <c r="C53" s="1617">
        <v>11323</v>
      </c>
      <c r="D53" s="1617">
        <v>2181</v>
      </c>
      <c r="E53" s="1617"/>
      <c r="F53" s="1617"/>
      <c r="G53" s="1617">
        <v>436</v>
      </c>
      <c r="H53" s="1617">
        <v>179</v>
      </c>
      <c r="I53" s="1925">
        <f t="shared" si="11"/>
        <v>14119</v>
      </c>
      <c r="J53" s="1911"/>
      <c r="K53" s="1942"/>
      <c r="L53" s="1942"/>
    </row>
    <row r="54" spans="1:12" ht="18">
      <c r="A54" s="1665">
        <v>6</v>
      </c>
      <c r="B54" s="1903" t="s">
        <v>4120</v>
      </c>
      <c r="C54" s="1617">
        <v>6163</v>
      </c>
      <c r="D54" s="1617">
        <v>1332</v>
      </c>
      <c r="E54" s="1617"/>
      <c r="F54" s="1617"/>
      <c r="G54" s="1617">
        <v>217</v>
      </c>
      <c r="H54" s="1617">
        <v>87</v>
      </c>
      <c r="I54" s="1925">
        <f t="shared" si="11"/>
        <v>7799</v>
      </c>
      <c r="J54" s="1911"/>
      <c r="K54" s="1911"/>
      <c r="L54" s="1911"/>
    </row>
    <row r="55" spans="1:12" ht="18">
      <c r="A55" s="1665">
        <v>7</v>
      </c>
      <c r="B55" s="1944" t="s">
        <v>1100</v>
      </c>
      <c r="C55" s="1925">
        <f t="shared" ref="C55:H55" si="12">SUM(C48:C54)</f>
        <v>468098</v>
      </c>
      <c r="D55" s="1925">
        <f t="shared" si="12"/>
        <v>1367796</v>
      </c>
      <c r="E55" s="1925">
        <f t="shared" si="12"/>
        <v>0</v>
      </c>
      <c r="F55" s="1925">
        <f t="shared" si="12"/>
        <v>0</v>
      </c>
      <c r="G55" s="1925">
        <f t="shared" si="12"/>
        <v>65145</v>
      </c>
      <c r="H55" s="1925">
        <f t="shared" si="12"/>
        <v>299455</v>
      </c>
      <c r="I55" s="1925">
        <f>SUM(C55:H55)</f>
        <v>2200494</v>
      </c>
      <c r="J55" s="1911"/>
      <c r="K55" s="1911"/>
      <c r="L55" s="1911"/>
    </row>
    <row r="56" spans="1:12" ht="17.5">
      <c r="A56" s="1060"/>
      <c r="B56" s="1061"/>
      <c r="C56" s="1008"/>
      <c r="D56" s="1008"/>
      <c r="G56" s="1008"/>
      <c r="H56" s="1008"/>
      <c r="I56" s="1008"/>
      <c r="J56" s="1008"/>
      <c r="K56" s="1008"/>
      <c r="L56" s="1008"/>
    </row>
  </sheetData>
  <mergeCells count="11">
    <mergeCell ref="C46:D46"/>
    <mergeCell ref="E46:F46"/>
    <mergeCell ref="G46:H46"/>
    <mergeCell ref="A7:A8"/>
    <mergeCell ref="B7:B8"/>
    <mergeCell ref="C7:C8"/>
    <mergeCell ref="D7:D8"/>
    <mergeCell ref="A26:A27"/>
    <mergeCell ref="B26:B27"/>
    <mergeCell ref="C26:C27"/>
    <mergeCell ref="D26:D27"/>
  </mergeCells>
  <printOptions horizontalCentered="1" verticalCentered="1"/>
  <pageMargins left="0" right="0" top="0" bottom="0" header="0" footer="0"/>
  <pageSetup paperSize="9" scale="5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S56"/>
  <sheetViews>
    <sheetView view="pageBreakPreview" zoomScale="60" zoomScaleNormal="47" workbookViewId="0">
      <selection activeCell="D13" sqref="D13"/>
    </sheetView>
  </sheetViews>
  <sheetFormatPr defaultColWidth="14.7265625" defaultRowHeight="15.5"/>
  <cols>
    <col min="1" max="1" width="6" style="1062" customWidth="1"/>
    <col min="2" max="2" width="37.1796875" style="1063" customWidth="1"/>
    <col min="3" max="3" width="13.54296875" style="1007" customWidth="1"/>
    <col min="4" max="4" width="13.7265625" style="1007" customWidth="1"/>
    <col min="5" max="8" width="12.54296875" style="1007" customWidth="1"/>
    <col min="9" max="9" width="13.1796875" style="1007" customWidth="1"/>
    <col min="10" max="11" width="12.54296875" style="1007" customWidth="1"/>
    <col min="12" max="12" width="15.1796875" style="1007" customWidth="1"/>
    <col min="13" max="15" width="14.7265625" style="1007" customWidth="1"/>
    <col min="16" max="16" width="16.26953125" style="1007" customWidth="1"/>
    <col min="17" max="255" width="14.7265625" style="1007"/>
    <col min="256" max="256" width="6" style="1007" customWidth="1"/>
    <col min="257" max="257" width="37.1796875" style="1007" customWidth="1"/>
    <col min="258" max="258" width="13.54296875" style="1007" customWidth="1"/>
    <col min="259" max="259" width="13.7265625" style="1007" customWidth="1"/>
    <col min="260" max="263" width="12.54296875" style="1007" customWidth="1"/>
    <col min="264" max="264" width="13.1796875" style="1007" customWidth="1"/>
    <col min="265" max="267" width="12.54296875" style="1007" customWidth="1"/>
    <col min="268" max="268" width="14.7265625" style="1007" customWidth="1"/>
    <col min="269" max="269" width="21.453125" style="1007" customWidth="1"/>
    <col min="270" max="271" width="14.7265625" style="1007" customWidth="1"/>
    <col min="272" max="272" width="16.26953125" style="1007" customWidth="1"/>
    <col min="273" max="511" width="14.7265625" style="1007"/>
    <col min="512" max="512" width="6" style="1007" customWidth="1"/>
    <col min="513" max="513" width="37.1796875" style="1007" customWidth="1"/>
    <col min="514" max="514" width="13.54296875" style="1007" customWidth="1"/>
    <col min="515" max="515" width="13.7265625" style="1007" customWidth="1"/>
    <col min="516" max="519" width="12.54296875" style="1007" customWidth="1"/>
    <col min="520" max="520" width="13.1796875" style="1007" customWidth="1"/>
    <col min="521" max="523" width="12.54296875" style="1007" customWidth="1"/>
    <col min="524" max="524" width="14.7265625" style="1007" customWidth="1"/>
    <col min="525" max="525" width="21.453125" style="1007" customWidth="1"/>
    <col min="526" max="527" width="14.7265625" style="1007" customWidth="1"/>
    <col min="528" max="528" width="16.26953125" style="1007" customWidth="1"/>
    <col min="529" max="767" width="14.7265625" style="1007"/>
    <col min="768" max="768" width="6" style="1007" customWidth="1"/>
    <col min="769" max="769" width="37.1796875" style="1007" customWidth="1"/>
    <col min="770" max="770" width="13.54296875" style="1007" customWidth="1"/>
    <col min="771" max="771" width="13.7265625" style="1007" customWidth="1"/>
    <col min="772" max="775" width="12.54296875" style="1007" customWidth="1"/>
    <col min="776" max="776" width="13.1796875" style="1007" customWidth="1"/>
    <col min="777" max="779" width="12.54296875" style="1007" customWidth="1"/>
    <col min="780" max="780" width="14.7265625" style="1007" customWidth="1"/>
    <col min="781" max="781" width="21.453125" style="1007" customWidth="1"/>
    <col min="782" max="783" width="14.7265625" style="1007" customWidth="1"/>
    <col min="784" max="784" width="16.26953125" style="1007" customWidth="1"/>
    <col min="785" max="1023" width="14.7265625" style="1007"/>
    <col min="1024" max="1024" width="6" style="1007" customWidth="1"/>
    <col min="1025" max="1025" width="37.1796875" style="1007" customWidth="1"/>
    <col min="1026" max="1026" width="13.54296875" style="1007" customWidth="1"/>
    <col min="1027" max="1027" width="13.7265625" style="1007" customWidth="1"/>
    <col min="1028" max="1031" width="12.54296875" style="1007" customWidth="1"/>
    <col min="1032" max="1032" width="13.1796875" style="1007" customWidth="1"/>
    <col min="1033" max="1035" width="12.54296875" style="1007" customWidth="1"/>
    <col min="1036" max="1036" width="14.7265625" style="1007" customWidth="1"/>
    <col min="1037" max="1037" width="21.453125" style="1007" customWidth="1"/>
    <col min="1038" max="1039" width="14.7265625" style="1007" customWidth="1"/>
    <col min="1040" max="1040" width="16.26953125" style="1007" customWidth="1"/>
    <col min="1041" max="1279" width="14.7265625" style="1007"/>
    <col min="1280" max="1280" width="6" style="1007" customWidth="1"/>
    <col min="1281" max="1281" width="37.1796875" style="1007" customWidth="1"/>
    <col min="1282" max="1282" width="13.54296875" style="1007" customWidth="1"/>
    <col min="1283" max="1283" width="13.7265625" style="1007" customWidth="1"/>
    <col min="1284" max="1287" width="12.54296875" style="1007" customWidth="1"/>
    <col min="1288" max="1288" width="13.1796875" style="1007" customWidth="1"/>
    <col min="1289" max="1291" width="12.54296875" style="1007" customWidth="1"/>
    <col min="1292" max="1292" width="14.7265625" style="1007" customWidth="1"/>
    <col min="1293" max="1293" width="21.453125" style="1007" customWidth="1"/>
    <col min="1294" max="1295" width="14.7265625" style="1007" customWidth="1"/>
    <col min="1296" max="1296" width="16.26953125" style="1007" customWidth="1"/>
    <col min="1297" max="1535" width="14.7265625" style="1007"/>
    <col min="1536" max="1536" width="6" style="1007" customWidth="1"/>
    <col min="1537" max="1537" width="37.1796875" style="1007" customWidth="1"/>
    <col min="1538" max="1538" width="13.54296875" style="1007" customWidth="1"/>
    <col min="1539" max="1539" width="13.7265625" style="1007" customWidth="1"/>
    <col min="1540" max="1543" width="12.54296875" style="1007" customWidth="1"/>
    <col min="1544" max="1544" width="13.1796875" style="1007" customWidth="1"/>
    <col min="1545" max="1547" width="12.54296875" style="1007" customWidth="1"/>
    <col min="1548" max="1548" width="14.7265625" style="1007" customWidth="1"/>
    <col min="1549" max="1549" width="21.453125" style="1007" customWidth="1"/>
    <col min="1550" max="1551" width="14.7265625" style="1007" customWidth="1"/>
    <col min="1552" max="1552" width="16.26953125" style="1007" customWidth="1"/>
    <col min="1553" max="1791" width="14.7265625" style="1007"/>
    <col min="1792" max="1792" width="6" style="1007" customWidth="1"/>
    <col min="1793" max="1793" width="37.1796875" style="1007" customWidth="1"/>
    <col min="1794" max="1794" width="13.54296875" style="1007" customWidth="1"/>
    <col min="1795" max="1795" width="13.7265625" style="1007" customWidth="1"/>
    <col min="1796" max="1799" width="12.54296875" style="1007" customWidth="1"/>
    <col min="1800" max="1800" width="13.1796875" style="1007" customWidth="1"/>
    <col min="1801" max="1803" width="12.54296875" style="1007" customWidth="1"/>
    <col min="1804" max="1804" width="14.7265625" style="1007" customWidth="1"/>
    <col min="1805" max="1805" width="21.453125" style="1007" customWidth="1"/>
    <col min="1806" max="1807" width="14.7265625" style="1007" customWidth="1"/>
    <col min="1808" max="1808" width="16.26953125" style="1007" customWidth="1"/>
    <col min="1809" max="2047" width="14.7265625" style="1007"/>
    <col min="2048" max="2048" width="6" style="1007" customWidth="1"/>
    <col min="2049" max="2049" width="37.1796875" style="1007" customWidth="1"/>
    <col min="2050" max="2050" width="13.54296875" style="1007" customWidth="1"/>
    <col min="2051" max="2051" width="13.7265625" style="1007" customWidth="1"/>
    <col min="2052" max="2055" width="12.54296875" style="1007" customWidth="1"/>
    <col min="2056" max="2056" width="13.1796875" style="1007" customWidth="1"/>
    <col min="2057" max="2059" width="12.54296875" style="1007" customWidth="1"/>
    <col min="2060" max="2060" width="14.7265625" style="1007" customWidth="1"/>
    <col min="2061" max="2061" width="21.453125" style="1007" customWidth="1"/>
    <col min="2062" max="2063" width="14.7265625" style="1007" customWidth="1"/>
    <col min="2064" max="2064" width="16.26953125" style="1007" customWidth="1"/>
    <col min="2065" max="2303" width="14.7265625" style="1007"/>
    <col min="2304" max="2304" width="6" style="1007" customWidth="1"/>
    <col min="2305" max="2305" width="37.1796875" style="1007" customWidth="1"/>
    <col min="2306" max="2306" width="13.54296875" style="1007" customWidth="1"/>
    <col min="2307" max="2307" width="13.7265625" style="1007" customWidth="1"/>
    <col min="2308" max="2311" width="12.54296875" style="1007" customWidth="1"/>
    <col min="2312" max="2312" width="13.1796875" style="1007" customWidth="1"/>
    <col min="2313" max="2315" width="12.54296875" style="1007" customWidth="1"/>
    <col min="2316" max="2316" width="14.7265625" style="1007" customWidth="1"/>
    <col min="2317" max="2317" width="21.453125" style="1007" customWidth="1"/>
    <col min="2318" max="2319" width="14.7265625" style="1007" customWidth="1"/>
    <col min="2320" max="2320" width="16.26953125" style="1007" customWidth="1"/>
    <col min="2321" max="2559" width="14.7265625" style="1007"/>
    <col min="2560" max="2560" width="6" style="1007" customWidth="1"/>
    <col min="2561" max="2561" width="37.1796875" style="1007" customWidth="1"/>
    <col min="2562" max="2562" width="13.54296875" style="1007" customWidth="1"/>
    <col min="2563" max="2563" width="13.7265625" style="1007" customWidth="1"/>
    <col min="2564" max="2567" width="12.54296875" style="1007" customWidth="1"/>
    <col min="2568" max="2568" width="13.1796875" style="1007" customWidth="1"/>
    <col min="2569" max="2571" width="12.54296875" style="1007" customWidth="1"/>
    <col min="2572" max="2572" width="14.7265625" style="1007" customWidth="1"/>
    <col min="2573" max="2573" width="21.453125" style="1007" customWidth="1"/>
    <col min="2574" max="2575" width="14.7265625" style="1007" customWidth="1"/>
    <col min="2576" max="2576" width="16.26953125" style="1007" customWidth="1"/>
    <col min="2577" max="2815" width="14.7265625" style="1007"/>
    <col min="2816" max="2816" width="6" style="1007" customWidth="1"/>
    <col min="2817" max="2817" width="37.1796875" style="1007" customWidth="1"/>
    <col min="2818" max="2818" width="13.54296875" style="1007" customWidth="1"/>
    <col min="2819" max="2819" width="13.7265625" style="1007" customWidth="1"/>
    <col min="2820" max="2823" width="12.54296875" style="1007" customWidth="1"/>
    <col min="2824" max="2824" width="13.1796875" style="1007" customWidth="1"/>
    <col min="2825" max="2827" width="12.54296875" style="1007" customWidth="1"/>
    <col min="2828" max="2828" width="14.7265625" style="1007" customWidth="1"/>
    <col min="2829" max="2829" width="21.453125" style="1007" customWidth="1"/>
    <col min="2830" max="2831" width="14.7265625" style="1007" customWidth="1"/>
    <col min="2832" max="2832" width="16.26953125" style="1007" customWidth="1"/>
    <col min="2833" max="3071" width="14.7265625" style="1007"/>
    <col min="3072" max="3072" width="6" style="1007" customWidth="1"/>
    <col min="3073" max="3073" width="37.1796875" style="1007" customWidth="1"/>
    <col min="3074" max="3074" width="13.54296875" style="1007" customWidth="1"/>
    <col min="3075" max="3075" width="13.7265625" style="1007" customWidth="1"/>
    <col min="3076" max="3079" width="12.54296875" style="1007" customWidth="1"/>
    <col min="3080" max="3080" width="13.1796875" style="1007" customWidth="1"/>
    <col min="3081" max="3083" width="12.54296875" style="1007" customWidth="1"/>
    <col min="3084" max="3084" width="14.7265625" style="1007" customWidth="1"/>
    <col min="3085" max="3085" width="21.453125" style="1007" customWidth="1"/>
    <col min="3086" max="3087" width="14.7265625" style="1007" customWidth="1"/>
    <col min="3088" max="3088" width="16.26953125" style="1007" customWidth="1"/>
    <col min="3089" max="3327" width="14.7265625" style="1007"/>
    <col min="3328" max="3328" width="6" style="1007" customWidth="1"/>
    <col min="3329" max="3329" width="37.1796875" style="1007" customWidth="1"/>
    <col min="3330" max="3330" width="13.54296875" style="1007" customWidth="1"/>
    <col min="3331" max="3331" width="13.7265625" style="1007" customWidth="1"/>
    <col min="3332" max="3335" width="12.54296875" style="1007" customWidth="1"/>
    <col min="3336" max="3336" width="13.1796875" style="1007" customWidth="1"/>
    <col min="3337" max="3339" width="12.54296875" style="1007" customWidth="1"/>
    <col min="3340" max="3340" width="14.7265625" style="1007" customWidth="1"/>
    <col min="3341" max="3341" width="21.453125" style="1007" customWidth="1"/>
    <col min="3342" max="3343" width="14.7265625" style="1007" customWidth="1"/>
    <col min="3344" max="3344" width="16.26953125" style="1007" customWidth="1"/>
    <col min="3345" max="3583" width="14.7265625" style="1007"/>
    <col min="3584" max="3584" width="6" style="1007" customWidth="1"/>
    <col min="3585" max="3585" width="37.1796875" style="1007" customWidth="1"/>
    <col min="3586" max="3586" width="13.54296875" style="1007" customWidth="1"/>
    <col min="3587" max="3587" width="13.7265625" style="1007" customWidth="1"/>
    <col min="3588" max="3591" width="12.54296875" style="1007" customWidth="1"/>
    <col min="3592" max="3592" width="13.1796875" style="1007" customWidth="1"/>
    <col min="3593" max="3595" width="12.54296875" style="1007" customWidth="1"/>
    <col min="3596" max="3596" width="14.7265625" style="1007" customWidth="1"/>
    <col min="3597" max="3597" width="21.453125" style="1007" customWidth="1"/>
    <col min="3598" max="3599" width="14.7265625" style="1007" customWidth="1"/>
    <col min="3600" max="3600" width="16.26953125" style="1007" customWidth="1"/>
    <col min="3601" max="3839" width="14.7265625" style="1007"/>
    <col min="3840" max="3840" width="6" style="1007" customWidth="1"/>
    <col min="3841" max="3841" width="37.1796875" style="1007" customWidth="1"/>
    <col min="3842" max="3842" width="13.54296875" style="1007" customWidth="1"/>
    <col min="3843" max="3843" width="13.7265625" style="1007" customWidth="1"/>
    <col min="3844" max="3847" width="12.54296875" style="1007" customWidth="1"/>
    <col min="3848" max="3848" width="13.1796875" style="1007" customWidth="1"/>
    <col min="3849" max="3851" width="12.54296875" style="1007" customWidth="1"/>
    <col min="3852" max="3852" width="14.7265625" style="1007" customWidth="1"/>
    <col min="3853" max="3853" width="21.453125" style="1007" customWidth="1"/>
    <col min="3854" max="3855" width="14.7265625" style="1007" customWidth="1"/>
    <col min="3856" max="3856" width="16.26953125" style="1007" customWidth="1"/>
    <col min="3857" max="4095" width="14.7265625" style="1007"/>
    <col min="4096" max="4096" width="6" style="1007" customWidth="1"/>
    <col min="4097" max="4097" width="37.1796875" style="1007" customWidth="1"/>
    <col min="4098" max="4098" width="13.54296875" style="1007" customWidth="1"/>
    <col min="4099" max="4099" width="13.7265625" style="1007" customWidth="1"/>
    <col min="4100" max="4103" width="12.54296875" style="1007" customWidth="1"/>
    <col min="4104" max="4104" width="13.1796875" style="1007" customWidth="1"/>
    <col min="4105" max="4107" width="12.54296875" style="1007" customWidth="1"/>
    <col min="4108" max="4108" width="14.7265625" style="1007" customWidth="1"/>
    <col min="4109" max="4109" width="21.453125" style="1007" customWidth="1"/>
    <col min="4110" max="4111" width="14.7265625" style="1007" customWidth="1"/>
    <col min="4112" max="4112" width="16.26953125" style="1007" customWidth="1"/>
    <col min="4113" max="4351" width="14.7265625" style="1007"/>
    <col min="4352" max="4352" width="6" style="1007" customWidth="1"/>
    <col min="4353" max="4353" width="37.1796875" style="1007" customWidth="1"/>
    <col min="4354" max="4354" width="13.54296875" style="1007" customWidth="1"/>
    <col min="4355" max="4355" width="13.7265625" style="1007" customWidth="1"/>
    <col min="4356" max="4359" width="12.54296875" style="1007" customWidth="1"/>
    <col min="4360" max="4360" width="13.1796875" style="1007" customWidth="1"/>
    <col min="4361" max="4363" width="12.54296875" style="1007" customWidth="1"/>
    <col min="4364" max="4364" width="14.7265625" style="1007" customWidth="1"/>
    <col min="4365" max="4365" width="21.453125" style="1007" customWidth="1"/>
    <col min="4366" max="4367" width="14.7265625" style="1007" customWidth="1"/>
    <col min="4368" max="4368" width="16.26953125" style="1007" customWidth="1"/>
    <col min="4369" max="4607" width="14.7265625" style="1007"/>
    <col min="4608" max="4608" width="6" style="1007" customWidth="1"/>
    <col min="4609" max="4609" width="37.1796875" style="1007" customWidth="1"/>
    <col min="4610" max="4610" width="13.54296875" style="1007" customWidth="1"/>
    <col min="4611" max="4611" width="13.7265625" style="1007" customWidth="1"/>
    <col min="4612" max="4615" width="12.54296875" style="1007" customWidth="1"/>
    <col min="4616" max="4616" width="13.1796875" style="1007" customWidth="1"/>
    <col min="4617" max="4619" width="12.54296875" style="1007" customWidth="1"/>
    <col min="4620" max="4620" width="14.7265625" style="1007" customWidth="1"/>
    <col min="4621" max="4621" width="21.453125" style="1007" customWidth="1"/>
    <col min="4622" max="4623" width="14.7265625" style="1007" customWidth="1"/>
    <col min="4624" max="4624" width="16.26953125" style="1007" customWidth="1"/>
    <col min="4625" max="4863" width="14.7265625" style="1007"/>
    <col min="4864" max="4864" width="6" style="1007" customWidth="1"/>
    <col min="4865" max="4865" width="37.1796875" style="1007" customWidth="1"/>
    <col min="4866" max="4866" width="13.54296875" style="1007" customWidth="1"/>
    <col min="4867" max="4867" width="13.7265625" style="1007" customWidth="1"/>
    <col min="4868" max="4871" width="12.54296875" style="1007" customWidth="1"/>
    <col min="4872" max="4872" width="13.1796875" style="1007" customWidth="1"/>
    <col min="4873" max="4875" width="12.54296875" style="1007" customWidth="1"/>
    <col min="4876" max="4876" width="14.7265625" style="1007" customWidth="1"/>
    <col min="4877" max="4877" width="21.453125" style="1007" customWidth="1"/>
    <col min="4878" max="4879" width="14.7265625" style="1007" customWidth="1"/>
    <col min="4880" max="4880" width="16.26953125" style="1007" customWidth="1"/>
    <col min="4881" max="5119" width="14.7265625" style="1007"/>
    <col min="5120" max="5120" width="6" style="1007" customWidth="1"/>
    <col min="5121" max="5121" width="37.1796875" style="1007" customWidth="1"/>
    <col min="5122" max="5122" width="13.54296875" style="1007" customWidth="1"/>
    <col min="5123" max="5123" width="13.7265625" style="1007" customWidth="1"/>
    <col min="5124" max="5127" width="12.54296875" style="1007" customWidth="1"/>
    <col min="5128" max="5128" width="13.1796875" style="1007" customWidth="1"/>
    <col min="5129" max="5131" width="12.54296875" style="1007" customWidth="1"/>
    <col min="5132" max="5132" width="14.7265625" style="1007" customWidth="1"/>
    <col min="5133" max="5133" width="21.453125" style="1007" customWidth="1"/>
    <col min="5134" max="5135" width="14.7265625" style="1007" customWidth="1"/>
    <col min="5136" max="5136" width="16.26953125" style="1007" customWidth="1"/>
    <col min="5137" max="5375" width="14.7265625" style="1007"/>
    <col min="5376" max="5376" width="6" style="1007" customWidth="1"/>
    <col min="5377" max="5377" width="37.1796875" style="1007" customWidth="1"/>
    <col min="5378" max="5378" width="13.54296875" style="1007" customWidth="1"/>
    <col min="5379" max="5379" width="13.7265625" style="1007" customWidth="1"/>
    <col min="5380" max="5383" width="12.54296875" style="1007" customWidth="1"/>
    <col min="5384" max="5384" width="13.1796875" style="1007" customWidth="1"/>
    <col min="5385" max="5387" width="12.54296875" style="1007" customWidth="1"/>
    <col min="5388" max="5388" width="14.7265625" style="1007" customWidth="1"/>
    <col min="5389" max="5389" width="21.453125" style="1007" customWidth="1"/>
    <col min="5390" max="5391" width="14.7265625" style="1007" customWidth="1"/>
    <col min="5392" max="5392" width="16.26953125" style="1007" customWidth="1"/>
    <col min="5393" max="5631" width="14.7265625" style="1007"/>
    <col min="5632" max="5632" width="6" style="1007" customWidth="1"/>
    <col min="5633" max="5633" width="37.1796875" style="1007" customWidth="1"/>
    <col min="5634" max="5634" width="13.54296875" style="1007" customWidth="1"/>
    <col min="5635" max="5635" width="13.7265625" style="1007" customWidth="1"/>
    <col min="5636" max="5639" width="12.54296875" style="1007" customWidth="1"/>
    <col min="5640" max="5640" width="13.1796875" style="1007" customWidth="1"/>
    <col min="5641" max="5643" width="12.54296875" style="1007" customWidth="1"/>
    <col min="5644" max="5644" width="14.7265625" style="1007" customWidth="1"/>
    <col min="5645" max="5645" width="21.453125" style="1007" customWidth="1"/>
    <col min="5646" max="5647" width="14.7265625" style="1007" customWidth="1"/>
    <col min="5648" max="5648" width="16.26953125" style="1007" customWidth="1"/>
    <col min="5649" max="5887" width="14.7265625" style="1007"/>
    <col min="5888" max="5888" width="6" style="1007" customWidth="1"/>
    <col min="5889" max="5889" width="37.1796875" style="1007" customWidth="1"/>
    <col min="5890" max="5890" width="13.54296875" style="1007" customWidth="1"/>
    <col min="5891" max="5891" width="13.7265625" style="1007" customWidth="1"/>
    <col min="5892" max="5895" width="12.54296875" style="1007" customWidth="1"/>
    <col min="5896" max="5896" width="13.1796875" style="1007" customWidth="1"/>
    <col min="5897" max="5899" width="12.54296875" style="1007" customWidth="1"/>
    <col min="5900" max="5900" width="14.7265625" style="1007" customWidth="1"/>
    <col min="5901" max="5901" width="21.453125" style="1007" customWidth="1"/>
    <col min="5902" max="5903" width="14.7265625" style="1007" customWidth="1"/>
    <col min="5904" max="5904" width="16.26953125" style="1007" customWidth="1"/>
    <col min="5905" max="6143" width="14.7265625" style="1007"/>
    <col min="6144" max="6144" width="6" style="1007" customWidth="1"/>
    <col min="6145" max="6145" width="37.1796875" style="1007" customWidth="1"/>
    <col min="6146" max="6146" width="13.54296875" style="1007" customWidth="1"/>
    <col min="6147" max="6147" width="13.7265625" style="1007" customWidth="1"/>
    <col min="6148" max="6151" width="12.54296875" style="1007" customWidth="1"/>
    <col min="6152" max="6152" width="13.1796875" style="1007" customWidth="1"/>
    <col min="6153" max="6155" width="12.54296875" style="1007" customWidth="1"/>
    <col min="6156" max="6156" width="14.7265625" style="1007" customWidth="1"/>
    <col min="6157" max="6157" width="21.453125" style="1007" customWidth="1"/>
    <col min="6158" max="6159" width="14.7265625" style="1007" customWidth="1"/>
    <col min="6160" max="6160" width="16.26953125" style="1007" customWidth="1"/>
    <col min="6161" max="6399" width="14.7265625" style="1007"/>
    <col min="6400" max="6400" width="6" style="1007" customWidth="1"/>
    <col min="6401" max="6401" width="37.1796875" style="1007" customWidth="1"/>
    <col min="6402" max="6402" width="13.54296875" style="1007" customWidth="1"/>
    <col min="6403" max="6403" width="13.7265625" style="1007" customWidth="1"/>
    <col min="6404" max="6407" width="12.54296875" style="1007" customWidth="1"/>
    <col min="6408" max="6408" width="13.1796875" style="1007" customWidth="1"/>
    <col min="6409" max="6411" width="12.54296875" style="1007" customWidth="1"/>
    <col min="6412" max="6412" width="14.7265625" style="1007" customWidth="1"/>
    <col min="6413" max="6413" width="21.453125" style="1007" customWidth="1"/>
    <col min="6414" max="6415" width="14.7265625" style="1007" customWidth="1"/>
    <col min="6416" max="6416" width="16.26953125" style="1007" customWidth="1"/>
    <col min="6417" max="6655" width="14.7265625" style="1007"/>
    <col min="6656" max="6656" width="6" style="1007" customWidth="1"/>
    <col min="6657" max="6657" width="37.1796875" style="1007" customWidth="1"/>
    <col min="6658" max="6658" width="13.54296875" style="1007" customWidth="1"/>
    <col min="6659" max="6659" width="13.7265625" style="1007" customWidth="1"/>
    <col min="6660" max="6663" width="12.54296875" style="1007" customWidth="1"/>
    <col min="6664" max="6664" width="13.1796875" style="1007" customWidth="1"/>
    <col min="6665" max="6667" width="12.54296875" style="1007" customWidth="1"/>
    <col min="6668" max="6668" width="14.7265625" style="1007" customWidth="1"/>
    <col min="6669" max="6669" width="21.453125" style="1007" customWidth="1"/>
    <col min="6670" max="6671" width="14.7265625" style="1007" customWidth="1"/>
    <col min="6672" max="6672" width="16.26953125" style="1007" customWidth="1"/>
    <col min="6673" max="6911" width="14.7265625" style="1007"/>
    <col min="6912" max="6912" width="6" style="1007" customWidth="1"/>
    <col min="6913" max="6913" width="37.1796875" style="1007" customWidth="1"/>
    <col min="6914" max="6914" width="13.54296875" style="1007" customWidth="1"/>
    <col min="6915" max="6915" width="13.7265625" style="1007" customWidth="1"/>
    <col min="6916" max="6919" width="12.54296875" style="1007" customWidth="1"/>
    <col min="6920" max="6920" width="13.1796875" style="1007" customWidth="1"/>
    <col min="6921" max="6923" width="12.54296875" style="1007" customWidth="1"/>
    <col min="6924" max="6924" width="14.7265625" style="1007" customWidth="1"/>
    <col min="6925" max="6925" width="21.453125" style="1007" customWidth="1"/>
    <col min="6926" max="6927" width="14.7265625" style="1007" customWidth="1"/>
    <col min="6928" max="6928" width="16.26953125" style="1007" customWidth="1"/>
    <col min="6929" max="7167" width="14.7265625" style="1007"/>
    <col min="7168" max="7168" width="6" style="1007" customWidth="1"/>
    <col min="7169" max="7169" width="37.1796875" style="1007" customWidth="1"/>
    <col min="7170" max="7170" width="13.54296875" style="1007" customWidth="1"/>
    <col min="7171" max="7171" width="13.7265625" style="1007" customWidth="1"/>
    <col min="7172" max="7175" width="12.54296875" style="1007" customWidth="1"/>
    <col min="7176" max="7176" width="13.1796875" style="1007" customWidth="1"/>
    <col min="7177" max="7179" width="12.54296875" style="1007" customWidth="1"/>
    <col min="7180" max="7180" width="14.7265625" style="1007" customWidth="1"/>
    <col min="7181" max="7181" width="21.453125" style="1007" customWidth="1"/>
    <col min="7182" max="7183" width="14.7265625" style="1007" customWidth="1"/>
    <col min="7184" max="7184" width="16.26953125" style="1007" customWidth="1"/>
    <col min="7185" max="7423" width="14.7265625" style="1007"/>
    <col min="7424" max="7424" width="6" style="1007" customWidth="1"/>
    <col min="7425" max="7425" width="37.1796875" style="1007" customWidth="1"/>
    <col min="7426" max="7426" width="13.54296875" style="1007" customWidth="1"/>
    <col min="7427" max="7427" width="13.7265625" style="1007" customWidth="1"/>
    <col min="7428" max="7431" width="12.54296875" style="1007" customWidth="1"/>
    <col min="7432" max="7432" width="13.1796875" style="1007" customWidth="1"/>
    <col min="7433" max="7435" width="12.54296875" style="1007" customWidth="1"/>
    <col min="7436" max="7436" width="14.7265625" style="1007" customWidth="1"/>
    <col min="7437" max="7437" width="21.453125" style="1007" customWidth="1"/>
    <col min="7438" max="7439" width="14.7265625" style="1007" customWidth="1"/>
    <col min="7440" max="7440" width="16.26953125" style="1007" customWidth="1"/>
    <col min="7441" max="7679" width="14.7265625" style="1007"/>
    <col min="7680" max="7680" width="6" style="1007" customWidth="1"/>
    <col min="7681" max="7681" width="37.1796875" style="1007" customWidth="1"/>
    <col min="7682" max="7682" width="13.54296875" style="1007" customWidth="1"/>
    <col min="7683" max="7683" width="13.7265625" style="1007" customWidth="1"/>
    <col min="7684" max="7687" width="12.54296875" style="1007" customWidth="1"/>
    <col min="7688" max="7688" width="13.1796875" style="1007" customWidth="1"/>
    <col min="7689" max="7691" width="12.54296875" style="1007" customWidth="1"/>
    <col min="7692" max="7692" width="14.7265625" style="1007" customWidth="1"/>
    <col min="7693" max="7693" width="21.453125" style="1007" customWidth="1"/>
    <col min="7694" max="7695" width="14.7265625" style="1007" customWidth="1"/>
    <col min="7696" max="7696" width="16.26953125" style="1007" customWidth="1"/>
    <col min="7697" max="7935" width="14.7265625" style="1007"/>
    <col min="7936" max="7936" width="6" style="1007" customWidth="1"/>
    <col min="7937" max="7937" width="37.1796875" style="1007" customWidth="1"/>
    <col min="7938" max="7938" width="13.54296875" style="1007" customWidth="1"/>
    <col min="7939" max="7939" width="13.7265625" style="1007" customWidth="1"/>
    <col min="7940" max="7943" width="12.54296875" style="1007" customWidth="1"/>
    <col min="7944" max="7944" width="13.1796875" style="1007" customWidth="1"/>
    <col min="7945" max="7947" width="12.54296875" style="1007" customWidth="1"/>
    <col min="7948" max="7948" width="14.7265625" style="1007" customWidth="1"/>
    <col min="7949" max="7949" width="21.453125" style="1007" customWidth="1"/>
    <col min="7950" max="7951" width="14.7265625" style="1007" customWidth="1"/>
    <col min="7952" max="7952" width="16.26953125" style="1007" customWidth="1"/>
    <col min="7953" max="8191" width="14.7265625" style="1007"/>
    <col min="8192" max="8192" width="6" style="1007" customWidth="1"/>
    <col min="8193" max="8193" width="37.1796875" style="1007" customWidth="1"/>
    <col min="8194" max="8194" width="13.54296875" style="1007" customWidth="1"/>
    <col min="8195" max="8195" width="13.7265625" style="1007" customWidth="1"/>
    <col min="8196" max="8199" width="12.54296875" style="1007" customWidth="1"/>
    <col min="8200" max="8200" width="13.1796875" style="1007" customWidth="1"/>
    <col min="8201" max="8203" width="12.54296875" style="1007" customWidth="1"/>
    <col min="8204" max="8204" width="14.7265625" style="1007" customWidth="1"/>
    <col min="8205" max="8205" width="21.453125" style="1007" customWidth="1"/>
    <col min="8206" max="8207" width="14.7265625" style="1007" customWidth="1"/>
    <col min="8208" max="8208" width="16.26953125" style="1007" customWidth="1"/>
    <col min="8209" max="8447" width="14.7265625" style="1007"/>
    <col min="8448" max="8448" width="6" style="1007" customWidth="1"/>
    <col min="8449" max="8449" width="37.1796875" style="1007" customWidth="1"/>
    <col min="8450" max="8450" width="13.54296875" style="1007" customWidth="1"/>
    <col min="8451" max="8451" width="13.7265625" style="1007" customWidth="1"/>
    <col min="8452" max="8455" width="12.54296875" style="1007" customWidth="1"/>
    <col min="8456" max="8456" width="13.1796875" style="1007" customWidth="1"/>
    <col min="8457" max="8459" width="12.54296875" style="1007" customWidth="1"/>
    <col min="8460" max="8460" width="14.7265625" style="1007" customWidth="1"/>
    <col min="8461" max="8461" width="21.453125" style="1007" customWidth="1"/>
    <col min="8462" max="8463" width="14.7265625" style="1007" customWidth="1"/>
    <col min="8464" max="8464" width="16.26953125" style="1007" customWidth="1"/>
    <col min="8465" max="8703" width="14.7265625" style="1007"/>
    <col min="8704" max="8704" width="6" style="1007" customWidth="1"/>
    <col min="8705" max="8705" width="37.1796875" style="1007" customWidth="1"/>
    <col min="8706" max="8706" width="13.54296875" style="1007" customWidth="1"/>
    <col min="8707" max="8707" width="13.7265625" style="1007" customWidth="1"/>
    <col min="8708" max="8711" width="12.54296875" style="1007" customWidth="1"/>
    <col min="8712" max="8712" width="13.1796875" style="1007" customWidth="1"/>
    <col min="8713" max="8715" width="12.54296875" style="1007" customWidth="1"/>
    <col min="8716" max="8716" width="14.7265625" style="1007" customWidth="1"/>
    <col min="8717" max="8717" width="21.453125" style="1007" customWidth="1"/>
    <col min="8718" max="8719" width="14.7265625" style="1007" customWidth="1"/>
    <col min="8720" max="8720" width="16.26953125" style="1007" customWidth="1"/>
    <col min="8721" max="8959" width="14.7265625" style="1007"/>
    <col min="8960" max="8960" width="6" style="1007" customWidth="1"/>
    <col min="8961" max="8961" width="37.1796875" style="1007" customWidth="1"/>
    <col min="8962" max="8962" width="13.54296875" style="1007" customWidth="1"/>
    <col min="8963" max="8963" width="13.7265625" style="1007" customWidth="1"/>
    <col min="8964" max="8967" width="12.54296875" style="1007" customWidth="1"/>
    <col min="8968" max="8968" width="13.1796875" style="1007" customWidth="1"/>
    <col min="8969" max="8971" width="12.54296875" style="1007" customWidth="1"/>
    <col min="8972" max="8972" width="14.7265625" style="1007" customWidth="1"/>
    <col min="8973" max="8973" width="21.453125" style="1007" customWidth="1"/>
    <col min="8974" max="8975" width="14.7265625" style="1007" customWidth="1"/>
    <col min="8976" max="8976" width="16.26953125" style="1007" customWidth="1"/>
    <col min="8977" max="9215" width="14.7265625" style="1007"/>
    <col min="9216" max="9216" width="6" style="1007" customWidth="1"/>
    <col min="9217" max="9217" width="37.1796875" style="1007" customWidth="1"/>
    <col min="9218" max="9218" width="13.54296875" style="1007" customWidth="1"/>
    <col min="9219" max="9219" width="13.7265625" style="1007" customWidth="1"/>
    <col min="9220" max="9223" width="12.54296875" style="1007" customWidth="1"/>
    <col min="9224" max="9224" width="13.1796875" style="1007" customWidth="1"/>
    <col min="9225" max="9227" width="12.54296875" style="1007" customWidth="1"/>
    <col min="9228" max="9228" width="14.7265625" style="1007" customWidth="1"/>
    <col min="9229" max="9229" width="21.453125" style="1007" customWidth="1"/>
    <col min="9230" max="9231" width="14.7265625" style="1007" customWidth="1"/>
    <col min="9232" max="9232" width="16.26953125" style="1007" customWidth="1"/>
    <col min="9233" max="9471" width="14.7265625" style="1007"/>
    <col min="9472" max="9472" width="6" style="1007" customWidth="1"/>
    <col min="9473" max="9473" width="37.1796875" style="1007" customWidth="1"/>
    <col min="9474" max="9474" width="13.54296875" style="1007" customWidth="1"/>
    <col min="9475" max="9475" width="13.7265625" style="1007" customWidth="1"/>
    <col min="9476" max="9479" width="12.54296875" style="1007" customWidth="1"/>
    <col min="9480" max="9480" width="13.1796875" style="1007" customWidth="1"/>
    <col min="9481" max="9483" width="12.54296875" style="1007" customWidth="1"/>
    <col min="9484" max="9484" width="14.7265625" style="1007" customWidth="1"/>
    <col min="9485" max="9485" width="21.453125" style="1007" customWidth="1"/>
    <col min="9486" max="9487" width="14.7265625" style="1007" customWidth="1"/>
    <col min="9488" max="9488" width="16.26953125" style="1007" customWidth="1"/>
    <col min="9489" max="9727" width="14.7265625" style="1007"/>
    <col min="9728" max="9728" width="6" style="1007" customWidth="1"/>
    <col min="9729" max="9729" width="37.1796875" style="1007" customWidth="1"/>
    <col min="9730" max="9730" width="13.54296875" style="1007" customWidth="1"/>
    <col min="9731" max="9731" width="13.7265625" style="1007" customWidth="1"/>
    <col min="9732" max="9735" width="12.54296875" style="1007" customWidth="1"/>
    <col min="9736" max="9736" width="13.1796875" style="1007" customWidth="1"/>
    <col min="9737" max="9739" width="12.54296875" style="1007" customWidth="1"/>
    <col min="9740" max="9740" width="14.7265625" style="1007" customWidth="1"/>
    <col min="9741" max="9741" width="21.453125" style="1007" customWidth="1"/>
    <col min="9742" max="9743" width="14.7265625" style="1007" customWidth="1"/>
    <col min="9744" max="9744" width="16.26953125" style="1007" customWidth="1"/>
    <col min="9745" max="9983" width="14.7265625" style="1007"/>
    <col min="9984" max="9984" width="6" style="1007" customWidth="1"/>
    <col min="9985" max="9985" width="37.1796875" style="1007" customWidth="1"/>
    <col min="9986" max="9986" width="13.54296875" style="1007" customWidth="1"/>
    <col min="9987" max="9987" width="13.7265625" style="1007" customWidth="1"/>
    <col min="9988" max="9991" width="12.54296875" style="1007" customWidth="1"/>
    <col min="9992" max="9992" width="13.1796875" style="1007" customWidth="1"/>
    <col min="9993" max="9995" width="12.54296875" style="1007" customWidth="1"/>
    <col min="9996" max="9996" width="14.7265625" style="1007" customWidth="1"/>
    <col min="9997" max="9997" width="21.453125" style="1007" customWidth="1"/>
    <col min="9998" max="9999" width="14.7265625" style="1007" customWidth="1"/>
    <col min="10000" max="10000" width="16.26953125" style="1007" customWidth="1"/>
    <col min="10001" max="10239" width="14.7265625" style="1007"/>
    <col min="10240" max="10240" width="6" style="1007" customWidth="1"/>
    <col min="10241" max="10241" width="37.1796875" style="1007" customWidth="1"/>
    <col min="10242" max="10242" width="13.54296875" style="1007" customWidth="1"/>
    <col min="10243" max="10243" width="13.7265625" style="1007" customWidth="1"/>
    <col min="10244" max="10247" width="12.54296875" style="1007" customWidth="1"/>
    <col min="10248" max="10248" width="13.1796875" style="1007" customWidth="1"/>
    <col min="10249" max="10251" width="12.54296875" style="1007" customWidth="1"/>
    <col min="10252" max="10252" width="14.7265625" style="1007" customWidth="1"/>
    <col min="10253" max="10253" width="21.453125" style="1007" customWidth="1"/>
    <col min="10254" max="10255" width="14.7265625" style="1007" customWidth="1"/>
    <col min="10256" max="10256" width="16.26953125" style="1007" customWidth="1"/>
    <col min="10257" max="10495" width="14.7265625" style="1007"/>
    <col min="10496" max="10496" width="6" style="1007" customWidth="1"/>
    <col min="10497" max="10497" width="37.1796875" style="1007" customWidth="1"/>
    <col min="10498" max="10498" width="13.54296875" style="1007" customWidth="1"/>
    <col min="10499" max="10499" width="13.7265625" style="1007" customWidth="1"/>
    <col min="10500" max="10503" width="12.54296875" style="1007" customWidth="1"/>
    <col min="10504" max="10504" width="13.1796875" style="1007" customWidth="1"/>
    <col min="10505" max="10507" width="12.54296875" style="1007" customWidth="1"/>
    <col min="10508" max="10508" width="14.7265625" style="1007" customWidth="1"/>
    <col min="10509" max="10509" width="21.453125" style="1007" customWidth="1"/>
    <col min="10510" max="10511" width="14.7265625" style="1007" customWidth="1"/>
    <col min="10512" max="10512" width="16.26953125" style="1007" customWidth="1"/>
    <col min="10513" max="10751" width="14.7265625" style="1007"/>
    <col min="10752" max="10752" width="6" style="1007" customWidth="1"/>
    <col min="10753" max="10753" width="37.1796875" style="1007" customWidth="1"/>
    <col min="10754" max="10754" width="13.54296875" style="1007" customWidth="1"/>
    <col min="10755" max="10755" width="13.7265625" style="1007" customWidth="1"/>
    <col min="10756" max="10759" width="12.54296875" style="1007" customWidth="1"/>
    <col min="10760" max="10760" width="13.1796875" style="1007" customWidth="1"/>
    <col min="10761" max="10763" width="12.54296875" style="1007" customWidth="1"/>
    <col min="10764" max="10764" width="14.7265625" style="1007" customWidth="1"/>
    <col min="10765" max="10765" width="21.453125" style="1007" customWidth="1"/>
    <col min="10766" max="10767" width="14.7265625" style="1007" customWidth="1"/>
    <col min="10768" max="10768" width="16.26953125" style="1007" customWidth="1"/>
    <col min="10769" max="11007" width="14.7265625" style="1007"/>
    <col min="11008" max="11008" width="6" style="1007" customWidth="1"/>
    <col min="11009" max="11009" width="37.1796875" style="1007" customWidth="1"/>
    <col min="11010" max="11010" width="13.54296875" style="1007" customWidth="1"/>
    <col min="11011" max="11011" width="13.7265625" style="1007" customWidth="1"/>
    <col min="11012" max="11015" width="12.54296875" style="1007" customWidth="1"/>
    <col min="11016" max="11016" width="13.1796875" style="1007" customWidth="1"/>
    <col min="11017" max="11019" width="12.54296875" style="1007" customWidth="1"/>
    <col min="11020" max="11020" width="14.7265625" style="1007" customWidth="1"/>
    <col min="11021" max="11021" width="21.453125" style="1007" customWidth="1"/>
    <col min="11022" max="11023" width="14.7265625" style="1007" customWidth="1"/>
    <col min="11024" max="11024" width="16.26953125" style="1007" customWidth="1"/>
    <col min="11025" max="11263" width="14.7265625" style="1007"/>
    <col min="11264" max="11264" width="6" style="1007" customWidth="1"/>
    <col min="11265" max="11265" width="37.1796875" style="1007" customWidth="1"/>
    <col min="11266" max="11266" width="13.54296875" style="1007" customWidth="1"/>
    <col min="11267" max="11267" width="13.7265625" style="1007" customWidth="1"/>
    <col min="11268" max="11271" width="12.54296875" style="1007" customWidth="1"/>
    <col min="11272" max="11272" width="13.1796875" style="1007" customWidth="1"/>
    <col min="11273" max="11275" width="12.54296875" style="1007" customWidth="1"/>
    <col min="11276" max="11276" width="14.7265625" style="1007" customWidth="1"/>
    <col min="11277" max="11277" width="21.453125" style="1007" customWidth="1"/>
    <col min="11278" max="11279" width="14.7265625" style="1007" customWidth="1"/>
    <col min="11280" max="11280" width="16.26953125" style="1007" customWidth="1"/>
    <col min="11281" max="11519" width="14.7265625" style="1007"/>
    <col min="11520" max="11520" width="6" style="1007" customWidth="1"/>
    <col min="11521" max="11521" width="37.1796875" style="1007" customWidth="1"/>
    <col min="11522" max="11522" width="13.54296875" style="1007" customWidth="1"/>
    <col min="11523" max="11523" width="13.7265625" style="1007" customWidth="1"/>
    <col min="11524" max="11527" width="12.54296875" style="1007" customWidth="1"/>
    <col min="11528" max="11528" width="13.1796875" style="1007" customWidth="1"/>
    <col min="11529" max="11531" width="12.54296875" style="1007" customWidth="1"/>
    <col min="11532" max="11532" width="14.7265625" style="1007" customWidth="1"/>
    <col min="11533" max="11533" width="21.453125" style="1007" customWidth="1"/>
    <col min="11534" max="11535" width="14.7265625" style="1007" customWidth="1"/>
    <col min="11536" max="11536" width="16.26953125" style="1007" customWidth="1"/>
    <col min="11537" max="11775" width="14.7265625" style="1007"/>
    <col min="11776" max="11776" width="6" style="1007" customWidth="1"/>
    <col min="11777" max="11777" width="37.1796875" style="1007" customWidth="1"/>
    <col min="11778" max="11778" width="13.54296875" style="1007" customWidth="1"/>
    <col min="11779" max="11779" width="13.7265625" style="1007" customWidth="1"/>
    <col min="11780" max="11783" width="12.54296875" style="1007" customWidth="1"/>
    <col min="11784" max="11784" width="13.1796875" style="1007" customWidth="1"/>
    <col min="11785" max="11787" width="12.54296875" style="1007" customWidth="1"/>
    <col min="11788" max="11788" width="14.7265625" style="1007" customWidth="1"/>
    <col min="11789" max="11789" width="21.453125" style="1007" customWidth="1"/>
    <col min="11790" max="11791" width="14.7265625" style="1007" customWidth="1"/>
    <col min="11792" max="11792" width="16.26953125" style="1007" customWidth="1"/>
    <col min="11793" max="12031" width="14.7265625" style="1007"/>
    <col min="12032" max="12032" width="6" style="1007" customWidth="1"/>
    <col min="12033" max="12033" width="37.1796875" style="1007" customWidth="1"/>
    <col min="12034" max="12034" width="13.54296875" style="1007" customWidth="1"/>
    <col min="12035" max="12035" width="13.7265625" style="1007" customWidth="1"/>
    <col min="12036" max="12039" width="12.54296875" style="1007" customWidth="1"/>
    <col min="12040" max="12040" width="13.1796875" style="1007" customWidth="1"/>
    <col min="12041" max="12043" width="12.54296875" style="1007" customWidth="1"/>
    <col min="12044" max="12044" width="14.7265625" style="1007" customWidth="1"/>
    <col min="12045" max="12045" width="21.453125" style="1007" customWidth="1"/>
    <col min="12046" max="12047" width="14.7265625" style="1007" customWidth="1"/>
    <col min="12048" max="12048" width="16.26953125" style="1007" customWidth="1"/>
    <col min="12049" max="12287" width="14.7265625" style="1007"/>
    <col min="12288" max="12288" width="6" style="1007" customWidth="1"/>
    <col min="12289" max="12289" width="37.1796875" style="1007" customWidth="1"/>
    <col min="12290" max="12290" width="13.54296875" style="1007" customWidth="1"/>
    <col min="12291" max="12291" width="13.7265625" style="1007" customWidth="1"/>
    <col min="12292" max="12295" width="12.54296875" style="1007" customWidth="1"/>
    <col min="12296" max="12296" width="13.1796875" style="1007" customWidth="1"/>
    <col min="12297" max="12299" width="12.54296875" style="1007" customWidth="1"/>
    <col min="12300" max="12300" width="14.7265625" style="1007" customWidth="1"/>
    <col min="12301" max="12301" width="21.453125" style="1007" customWidth="1"/>
    <col min="12302" max="12303" width="14.7265625" style="1007" customWidth="1"/>
    <col min="12304" max="12304" width="16.26953125" style="1007" customWidth="1"/>
    <col min="12305" max="12543" width="14.7265625" style="1007"/>
    <col min="12544" max="12544" width="6" style="1007" customWidth="1"/>
    <col min="12545" max="12545" width="37.1796875" style="1007" customWidth="1"/>
    <col min="12546" max="12546" width="13.54296875" style="1007" customWidth="1"/>
    <col min="12547" max="12547" width="13.7265625" style="1007" customWidth="1"/>
    <col min="12548" max="12551" width="12.54296875" style="1007" customWidth="1"/>
    <col min="12552" max="12552" width="13.1796875" style="1007" customWidth="1"/>
    <col min="12553" max="12555" width="12.54296875" style="1007" customWidth="1"/>
    <col min="12556" max="12556" width="14.7265625" style="1007" customWidth="1"/>
    <col min="12557" max="12557" width="21.453125" style="1007" customWidth="1"/>
    <col min="12558" max="12559" width="14.7265625" style="1007" customWidth="1"/>
    <col min="12560" max="12560" width="16.26953125" style="1007" customWidth="1"/>
    <col min="12561" max="12799" width="14.7265625" style="1007"/>
    <col min="12800" max="12800" width="6" style="1007" customWidth="1"/>
    <col min="12801" max="12801" width="37.1796875" style="1007" customWidth="1"/>
    <col min="12802" max="12802" width="13.54296875" style="1007" customWidth="1"/>
    <col min="12803" max="12803" width="13.7265625" style="1007" customWidth="1"/>
    <col min="12804" max="12807" width="12.54296875" style="1007" customWidth="1"/>
    <col min="12808" max="12808" width="13.1796875" style="1007" customWidth="1"/>
    <col min="12809" max="12811" width="12.54296875" style="1007" customWidth="1"/>
    <col min="12812" max="12812" width="14.7265625" style="1007" customWidth="1"/>
    <col min="12813" max="12813" width="21.453125" style="1007" customWidth="1"/>
    <col min="12814" max="12815" width="14.7265625" style="1007" customWidth="1"/>
    <col min="12816" max="12816" width="16.26953125" style="1007" customWidth="1"/>
    <col min="12817" max="13055" width="14.7265625" style="1007"/>
    <col min="13056" max="13056" width="6" style="1007" customWidth="1"/>
    <col min="13057" max="13057" width="37.1796875" style="1007" customWidth="1"/>
    <col min="13058" max="13058" width="13.54296875" style="1007" customWidth="1"/>
    <col min="13059" max="13059" width="13.7265625" style="1007" customWidth="1"/>
    <col min="13060" max="13063" width="12.54296875" style="1007" customWidth="1"/>
    <col min="13064" max="13064" width="13.1796875" style="1007" customWidth="1"/>
    <col min="13065" max="13067" width="12.54296875" style="1007" customWidth="1"/>
    <col min="13068" max="13068" width="14.7265625" style="1007" customWidth="1"/>
    <col min="13069" max="13069" width="21.453125" style="1007" customWidth="1"/>
    <col min="13070" max="13071" width="14.7265625" style="1007" customWidth="1"/>
    <col min="13072" max="13072" width="16.26953125" style="1007" customWidth="1"/>
    <col min="13073" max="13311" width="14.7265625" style="1007"/>
    <col min="13312" max="13312" width="6" style="1007" customWidth="1"/>
    <col min="13313" max="13313" width="37.1796875" style="1007" customWidth="1"/>
    <col min="13314" max="13314" width="13.54296875" style="1007" customWidth="1"/>
    <col min="13315" max="13315" width="13.7265625" style="1007" customWidth="1"/>
    <col min="13316" max="13319" width="12.54296875" style="1007" customWidth="1"/>
    <col min="13320" max="13320" width="13.1796875" style="1007" customWidth="1"/>
    <col min="13321" max="13323" width="12.54296875" style="1007" customWidth="1"/>
    <col min="13324" max="13324" width="14.7265625" style="1007" customWidth="1"/>
    <col min="13325" max="13325" width="21.453125" style="1007" customWidth="1"/>
    <col min="13326" max="13327" width="14.7265625" style="1007" customWidth="1"/>
    <col min="13328" max="13328" width="16.26953125" style="1007" customWidth="1"/>
    <col min="13329" max="13567" width="14.7265625" style="1007"/>
    <col min="13568" max="13568" width="6" style="1007" customWidth="1"/>
    <col min="13569" max="13569" width="37.1796875" style="1007" customWidth="1"/>
    <col min="13570" max="13570" width="13.54296875" style="1007" customWidth="1"/>
    <col min="13571" max="13571" width="13.7265625" style="1007" customWidth="1"/>
    <col min="13572" max="13575" width="12.54296875" style="1007" customWidth="1"/>
    <col min="13576" max="13576" width="13.1796875" style="1007" customWidth="1"/>
    <col min="13577" max="13579" width="12.54296875" style="1007" customWidth="1"/>
    <col min="13580" max="13580" width="14.7265625" style="1007" customWidth="1"/>
    <col min="13581" max="13581" width="21.453125" style="1007" customWidth="1"/>
    <col min="13582" max="13583" width="14.7265625" style="1007" customWidth="1"/>
    <col min="13584" max="13584" width="16.26953125" style="1007" customWidth="1"/>
    <col min="13585" max="13823" width="14.7265625" style="1007"/>
    <col min="13824" max="13824" width="6" style="1007" customWidth="1"/>
    <col min="13825" max="13825" width="37.1796875" style="1007" customWidth="1"/>
    <col min="13826" max="13826" width="13.54296875" style="1007" customWidth="1"/>
    <col min="13827" max="13827" width="13.7265625" style="1007" customWidth="1"/>
    <col min="13828" max="13831" width="12.54296875" style="1007" customWidth="1"/>
    <col min="13832" max="13832" width="13.1796875" style="1007" customWidth="1"/>
    <col min="13833" max="13835" width="12.54296875" style="1007" customWidth="1"/>
    <col min="13836" max="13836" width="14.7265625" style="1007" customWidth="1"/>
    <col min="13837" max="13837" width="21.453125" style="1007" customWidth="1"/>
    <col min="13838" max="13839" width="14.7265625" style="1007" customWidth="1"/>
    <col min="13840" max="13840" width="16.26953125" style="1007" customWidth="1"/>
    <col min="13841" max="14079" width="14.7265625" style="1007"/>
    <col min="14080" max="14080" width="6" style="1007" customWidth="1"/>
    <col min="14081" max="14081" width="37.1796875" style="1007" customWidth="1"/>
    <col min="14082" max="14082" width="13.54296875" style="1007" customWidth="1"/>
    <col min="14083" max="14083" width="13.7265625" style="1007" customWidth="1"/>
    <col min="14084" max="14087" width="12.54296875" style="1007" customWidth="1"/>
    <col min="14088" max="14088" width="13.1796875" style="1007" customWidth="1"/>
    <col min="14089" max="14091" width="12.54296875" style="1007" customWidth="1"/>
    <col min="14092" max="14092" width="14.7265625" style="1007" customWidth="1"/>
    <col min="14093" max="14093" width="21.453125" style="1007" customWidth="1"/>
    <col min="14094" max="14095" width="14.7265625" style="1007" customWidth="1"/>
    <col min="14096" max="14096" width="16.26953125" style="1007" customWidth="1"/>
    <col min="14097" max="14335" width="14.7265625" style="1007"/>
    <col min="14336" max="14336" width="6" style="1007" customWidth="1"/>
    <col min="14337" max="14337" width="37.1796875" style="1007" customWidth="1"/>
    <col min="14338" max="14338" width="13.54296875" style="1007" customWidth="1"/>
    <col min="14339" max="14339" width="13.7265625" style="1007" customWidth="1"/>
    <col min="14340" max="14343" width="12.54296875" style="1007" customWidth="1"/>
    <col min="14344" max="14344" width="13.1796875" style="1007" customWidth="1"/>
    <col min="14345" max="14347" width="12.54296875" style="1007" customWidth="1"/>
    <col min="14348" max="14348" width="14.7265625" style="1007" customWidth="1"/>
    <col min="14349" max="14349" width="21.453125" style="1007" customWidth="1"/>
    <col min="14350" max="14351" width="14.7265625" style="1007" customWidth="1"/>
    <col min="14352" max="14352" width="16.26953125" style="1007" customWidth="1"/>
    <col min="14353" max="14591" width="14.7265625" style="1007"/>
    <col min="14592" max="14592" width="6" style="1007" customWidth="1"/>
    <col min="14593" max="14593" width="37.1796875" style="1007" customWidth="1"/>
    <col min="14594" max="14594" width="13.54296875" style="1007" customWidth="1"/>
    <col min="14595" max="14595" width="13.7265625" style="1007" customWidth="1"/>
    <col min="14596" max="14599" width="12.54296875" style="1007" customWidth="1"/>
    <col min="14600" max="14600" width="13.1796875" style="1007" customWidth="1"/>
    <col min="14601" max="14603" width="12.54296875" style="1007" customWidth="1"/>
    <col min="14604" max="14604" width="14.7265625" style="1007" customWidth="1"/>
    <col min="14605" max="14605" width="21.453125" style="1007" customWidth="1"/>
    <col min="14606" max="14607" width="14.7265625" style="1007" customWidth="1"/>
    <col min="14608" max="14608" width="16.26953125" style="1007" customWidth="1"/>
    <col min="14609" max="14847" width="14.7265625" style="1007"/>
    <col min="14848" max="14848" width="6" style="1007" customWidth="1"/>
    <col min="14849" max="14849" width="37.1796875" style="1007" customWidth="1"/>
    <col min="14850" max="14850" width="13.54296875" style="1007" customWidth="1"/>
    <col min="14851" max="14851" width="13.7265625" style="1007" customWidth="1"/>
    <col min="14852" max="14855" width="12.54296875" style="1007" customWidth="1"/>
    <col min="14856" max="14856" width="13.1796875" style="1007" customWidth="1"/>
    <col min="14857" max="14859" width="12.54296875" style="1007" customWidth="1"/>
    <col min="14860" max="14860" width="14.7265625" style="1007" customWidth="1"/>
    <col min="14861" max="14861" width="21.453125" style="1007" customWidth="1"/>
    <col min="14862" max="14863" width="14.7265625" style="1007" customWidth="1"/>
    <col min="14864" max="14864" width="16.26953125" style="1007" customWidth="1"/>
    <col min="14865" max="15103" width="14.7265625" style="1007"/>
    <col min="15104" max="15104" width="6" style="1007" customWidth="1"/>
    <col min="15105" max="15105" width="37.1796875" style="1007" customWidth="1"/>
    <col min="15106" max="15106" width="13.54296875" style="1007" customWidth="1"/>
    <col min="15107" max="15107" width="13.7265625" style="1007" customWidth="1"/>
    <col min="15108" max="15111" width="12.54296875" style="1007" customWidth="1"/>
    <col min="15112" max="15112" width="13.1796875" style="1007" customWidth="1"/>
    <col min="15113" max="15115" width="12.54296875" style="1007" customWidth="1"/>
    <col min="15116" max="15116" width="14.7265625" style="1007" customWidth="1"/>
    <col min="15117" max="15117" width="21.453125" style="1007" customWidth="1"/>
    <col min="15118" max="15119" width="14.7265625" style="1007" customWidth="1"/>
    <col min="15120" max="15120" width="16.26953125" style="1007" customWidth="1"/>
    <col min="15121" max="15359" width="14.7265625" style="1007"/>
    <col min="15360" max="15360" width="6" style="1007" customWidth="1"/>
    <col min="15361" max="15361" width="37.1796875" style="1007" customWidth="1"/>
    <col min="15362" max="15362" width="13.54296875" style="1007" customWidth="1"/>
    <col min="15363" max="15363" width="13.7265625" style="1007" customWidth="1"/>
    <col min="15364" max="15367" width="12.54296875" style="1007" customWidth="1"/>
    <col min="15368" max="15368" width="13.1796875" style="1007" customWidth="1"/>
    <col min="15369" max="15371" width="12.54296875" style="1007" customWidth="1"/>
    <col min="15372" max="15372" width="14.7265625" style="1007" customWidth="1"/>
    <col min="15373" max="15373" width="21.453125" style="1007" customWidth="1"/>
    <col min="15374" max="15375" width="14.7265625" style="1007" customWidth="1"/>
    <col min="15376" max="15376" width="16.26953125" style="1007" customWidth="1"/>
    <col min="15377" max="15615" width="14.7265625" style="1007"/>
    <col min="15616" max="15616" width="6" style="1007" customWidth="1"/>
    <col min="15617" max="15617" width="37.1796875" style="1007" customWidth="1"/>
    <col min="15618" max="15618" width="13.54296875" style="1007" customWidth="1"/>
    <col min="15619" max="15619" width="13.7265625" style="1007" customWidth="1"/>
    <col min="15620" max="15623" width="12.54296875" style="1007" customWidth="1"/>
    <col min="15624" max="15624" width="13.1796875" style="1007" customWidth="1"/>
    <col min="15625" max="15627" width="12.54296875" style="1007" customWidth="1"/>
    <col min="15628" max="15628" width="14.7265625" style="1007" customWidth="1"/>
    <col min="15629" max="15629" width="21.453125" style="1007" customWidth="1"/>
    <col min="15630" max="15631" width="14.7265625" style="1007" customWidth="1"/>
    <col min="15632" max="15632" width="16.26953125" style="1007" customWidth="1"/>
    <col min="15633" max="15871" width="14.7265625" style="1007"/>
    <col min="15872" max="15872" width="6" style="1007" customWidth="1"/>
    <col min="15873" max="15873" width="37.1796875" style="1007" customWidth="1"/>
    <col min="15874" max="15874" width="13.54296875" style="1007" customWidth="1"/>
    <col min="15875" max="15875" width="13.7265625" style="1007" customWidth="1"/>
    <col min="15876" max="15879" width="12.54296875" style="1007" customWidth="1"/>
    <col min="15880" max="15880" width="13.1796875" style="1007" customWidth="1"/>
    <col min="15881" max="15883" width="12.54296875" style="1007" customWidth="1"/>
    <col min="15884" max="15884" width="14.7265625" style="1007" customWidth="1"/>
    <col min="15885" max="15885" width="21.453125" style="1007" customWidth="1"/>
    <col min="15886" max="15887" width="14.7265625" style="1007" customWidth="1"/>
    <col min="15888" max="15888" width="16.26953125" style="1007" customWidth="1"/>
    <col min="15889" max="16127" width="14.7265625" style="1007"/>
    <col min="16128" max="16128" width="6" style="1007" customWidth="1"/>
    <col min="16129" max="16129" width="37.1796875" style="1007" customWidth="1"/>
    <col min="16130" max="16130" width="13.54296875" style="1007" customWidth="1"/>
    <col min="16131" max="16131" width="13.7265625" style="1007" customWidth="1"/>
    <col min="16132" max="16135" width="12.54296875" style="1007" customWidth="1"/>
    <col min="16136" max="16136" width="13.1796875" style="1007" customWidth="1"/>
    <col min="16137" max="16139" width="12.54296875" style="1007" customWidth="1"/>
    <col min="16140" max="16140" width="14.7265625" style="1007" customWidth="1"/>
    <col min="16141" max="16141" width="21.453125" style="1007" customWidth="1"/>
    <col min="16142" max="16143" width="14.7265625" style="1007" customWidth="1"/>
    <col min="16144" max="16144" width="16.26953125" style="1007" customWidth="1"/>
    <col min="16145" max="16384" width="14.7265625" style="1007"/>
  </cols>
  <sheetData>
    <row r="1" spans="1:17" ht="18">
      <c r="A1" s="1064"/>
      <c r="B1" s="1580" t="s">
        <v>5525</v>
      </c>
      <c r="C1" s="1008"/>
      <c r="D1" s="1008"/>
      <c r="E1" s="1008"/>
      <c r="F1" s="1008"/>
      <c r="G1" s="1008"/>
      <c r="H1" s="1008"/>
      <c r="I1" s="1008"/>
      <c r="J1" s="1008"/>
      <c r="K1" s="1011" t="s">
        <v>124</v>
      </c>
      <c r="L1" s="1065" t="s">
        <v>1502</v>
      </c>
    </row>
    <row r="2" spans="1:17" ht="17.5">
      <c r="A2" s="1064"/>
      <c r="B2" s="1066"/>
      <c r="C2" s="1008"/>
      <c r="D2" s="1008"/>
      <c r="E2" s="1008"/>
      <c r="F2" s="1008"/>
      <c r="G2" s="1008"/>
      <c r="H2" s="1008"/>
      <c r="I2" s="1008"/>
      <c r="J2" s="1008"/>
      <c r="K2" s="1008"/>
      <c r="L2" s="1008"/>
    </row>
    <row r="3" spans="1:17" ht="18">
      <c r="A3" s="1064"/>
      <c r="B3" s="1043" t="s">
        <v>8482</v>
      </c>
      <c r="C3" s="1008"/>
      <c r="D3" s="1008"/>
      <c r="E3" s="1008"/>
      <c r="F3" s="1008"/>
      <c r="G3" s="1008"/>
      <c r="H3" s="1008"/>
      <c r="I3" s="1008"/>
      <c r="J3" s="1008"/>
      <c r="K3" s="1008"/>
      <c r="L3" s="1066"/>
    </row>
    <row r="4" spans="1:17" ht="18">
      <c r="A4" s="1064"/>
      <c r="B4" s="1044"/>
      <c r="C4" s="1008"/>
      <c r="D4" s="1008"/>
      <c r="E4" s="1008"/>
      <c r="F4" s="1008"/>
      <c r="G4" s="1008"/>
      <c r="H4" s="1008"/>
      <c r="I4" s="1008"/>
      <c r="J4" s="1008"/>
      <c r="K4" s="1008"/>
      <c r="L4" s="1008"/>
    </row>
    <row r="5" spans="1:17" ht="18">
      <c r="A5" s="1067" t="s">
        <v>126</v>
      </c>
      <c r="B5" s="1045" t="s">
        <v>1503</v>
      </c>
      <c r="C5" s="1043" t="s">
        <v>1504</v>
      </c>
      <c r="D5" s="1008"/>
      <c r="E5" s="1008"/>
      <c r="F5" s="1066"/>
      <c r="G5" s="1008"/>
      <c r="H5" s="1008"/>
      <c r="I5" s="1008"/>
      <c r="J5" s="1008"/>
      <c r="K5" s="1008"/>
      <c r="L5" s="1008"/>
    </row>
    <row r="6" spans="1:17" ht="18">
      <c r="A6" s="1068"/>
      <c r="B6" s="1008"/>
      <c r="C6" s="1044"/>
      <c r="D6" s="1008"/>
      <c r="E6" s="1008"/>
      <c r="F6" s="1043" t="s">
        <v>1505</v>
      </c>
      <c r="G6" s="1008"/>
      <c r="H6" s="1008"/>
      <c r="I6" s="1043" t="s">
        <v>4111</v>
      </c>
      <c r="J6" s="1008"/>
      <c r="K6" s="1008"/>
      <c r="L6" s="1008"/>
    </row>
    <row r="7" spans="1:17" ht="18" customHeight="1">
      <c r="A7" s="3492"/>
      <c r="B7" s="3493" t="s">
        <v>1508</v>
      </c>
      <c r="C7" s="3493" t="s">
        <v>4112</v>
      </c>
      <c r="D7" s="3493" t="s">
        <v>4113</v>
      </c>
      <c r="E7" s="1046"/>
      <c r="F7" s="1047" t="s">
        <v>1507</v>
      </c>
      <c r="G7" s="1047"/>
      <c r="H7" s="1047"/>
      <c r="I7" s="1047"/>
      <c r="J7" s="1046"/>
      <c r="K7" s="1046"/>
      <c r="L7" s="1046"/>
    </row>
    <row r="8" spans="1:17" s="1048" customFormat="1" ht="95.25" customHeight="1">
      <c r="A8" s="3492"/>
      <c r="B8" s="3493"/>
      <c r="C8" s="3493"/>
      <c r="D8" s="3493"/>
      <c r="E8" s="1762" t="s">
        <v>4114</v>
      </c>
      <c r="F8" s="1762" t="s">
        <v>1448</v>
      </c>
      <c r="G8" s="1762" t="s">
        <v>4115</v>
      </c>
      <c r="H8" s="1762" t="s">
        <v>4116</v>
      </c>
      <c r="I8" s="1762" t="s">
        <v>1449</v>
      </c>
      <c r="J8" s="1762" t="s">
        <v>4117</v>
      </c>
      <c r="K8" s="1762" t="s">
        <v>4118</v>
      </c>
      <c r="L8" s="1762" t="s">
        <v>4119</v>
      </c>
    </row>
    <row r="9" spans="1:17" ht="17.5">
      <c r="A9" s="1763"/>
      <c r="B9" s="1762" t="s">
        <v>652</v>
      </c>
      <c r="C9" s="1046"/>
      <c r="D9" s="1046"/>
      <c r="E9" s="1046"/>
      <c r="F9" s="1046"/>
      <c r="G9" s="1046"/>
      <c r="H9" s="1046"/>
      <c r="I9" s="1046"/>
      <c r="J9" s="1046"/>
      <c r="K9" s="1049"/>
      <c r="L9" s="1049"/>
      <c r="O9" s="1052">
        <f>(K16+K35)/100</f>
        <v>2.11088537928</v>
      </c>
      <c r="P9" s="1052">
        <f>'T-6 (22-23)'!J36</f>
        <v>2.1072771099000005</v>
      </c>
      <c r="Q9" s="1052">
        <f t="shared" ref="Q9:Q11" si="0">P9-O9</f>
        <v>-3.6082693799994736E-3</v>
      </c>
    </row>
    <row r="10" spans="1:17" ht="17.5">
      <c r="A10" s="1763">
        <v>1</v>
      </c>
      <c r="B10" s="1050" t="s">
        <v>653</v>
      </c>
      <c r="C10" s="1945">
        <v>138172</v>
      </c>
      <c r="D10" s="1945">
        <v>106987.66099999999</v>
      </c>
      <c r="E10" s="1946"/>
      <c r="F10" s="1947">
        <f>40.27+7.36</f>
        <v>47.63</v>
      </c>
      <c r="G10" s="1947">
        <v>26.288</v>
      </c>
      <c r="H10" s="1947">
        <v>7.5019999999999998</v>
      </c>
      <c r="I10" s="1947">
        <v>5.0750000000000002</v>
      </c>
      <c r="J10" s="1948">
        <f>SUM(F10:I10)</f>
        <v>86.495000000000005</v>
      </c>
      <c r="K10" s="1949">
        <f>3558.1571099846+150</f>
        <v>3708.1571099846001</v>
      </c>
      <c r="L10" s="1949">
        <v>2716.0661980999998</v>
      </c>
      <c r="M10" s="1052"/>
      <c r="N10" s="1052"/>
      <c r="O10" s="1052">
        <f>(K18+K37)/100</f>
        <v>5.2055675154939998</v>
      </c>
      <c r="P10" s="1052">
        <f>'T-6 (22-23)'!J8</f>
        <v>5.2097980739999992</v>
      </c>
      <c r="Q10" s="1052">
        <f t="shared" si="0"/>
        <v>4.2305585059994044E-3</v>
      </c>
    </row>
    <row r="11" spans="1:17" ht="17.5">
      <c r="A11" s="1763">
        <v>2</v>
      </c>
      <c r="B11" s="1050" t="s">
        <v>654</v>
      </c>
      <c r="C11" s="1945">
        <v>159631</v>
      </c>
      <c r="D11" s="1945">
        <v>295423.33799999999</v>
      </c>
      <c r="E11" s="1946"/>
      <c r="F11" s="1947">
        <v>66.001000000000005</v>
      </c>
      <c r="G11" s="1947">
        <v>58.637</v>
      </c>
      <c r="H11" s="1947">
        <v>16.172000000000001</v>
      </c>
      <c r="I11" s="1947">
        <v>7.8109999999999999</v>
      </c>
      <c r="J11" s="1948">
        <f t="shared" ref="J11:J16" si="1">SUM(F11:I11)</f>
        <v>148.62100000000001</v>
      </c>
      <c r="K11" s="1949">
        <f>9178.9303495115+281</f>
        <v>9459.9303495115</v>
      </c>
      <c r="L11" s="1949">
        <v>5990.8208465999996</v>
      </c>
      <c r="M11" s="1052"/>
      <c r="N11" s="1052"/>
      <c r="O11" s="1052">
        <f>(K15+K34)/100</f>
        <v>392.108721835599</v>
      </c>
      <c r="P11" s="1052">
        <f>'T-6 (22-23)'!J9</f>
        <v>392.10722980100337</v>
      </c>
      <c r="Q11" s="1052">
        <f t="shared" si="0"/>
        <v>-1.4920345956284109E-3</v>
      </c>
    </row>
    <row r="12" spans="1:17" ht="17.5">
      <c r="A12" s="1763">
        <v>3</v>
      </c>
      <c r="B12" s="1050" t="s">
        <v>655</v>
      </c>
      <c r="C12" s="1945">
        <v>43367</v>
      </c>
      <c r="D12" s="1945">
        <v>116455.738</v>
      </c>
      <c r="E12" s="1946"/>
      <c r="F12" s="1947">
        <v>13.507</v>
      </c>
      <c r="G12" s="1947">
        <v>29.712999999999997</v>
      </c>
      <c r="H12" s="1947">
        <v>8.9670000000000005</v>
      </c>
      <c r="I12" s="1947">
        <v>5.2649999999999997</v>
      </c>
      <c r="J12" s="1948">
        <f t="shared" si="1"/>
        <v>57.451999999999998</v>
      </c>
      <c r="K12" s="1949">
        <v>2962.9571430941005</v>
      </c>
      <c r="L12" s="1949">
        <v>2559.7160214999999</v>
      </c>
      <c r="M12" s="1052"/>
      <c r="N12" s="1052"/>
      <c r="O12" s="1052">
        <f>J16+J35</f>
        <v>3.9321679145000004</v>
      </c>
      <c r="P12" s="1007">
        <f>'T-6 (22-23)'!I36</f>
        <v>3.9321679145000004</v>
      </c>
      <c r="Q12" s="1052">
        <f>P12-O12</f>
        <v>0</v>
      </c>
    </row>
    <row r="13" spans="1:17" ht="17.5">
      <c r="A13" s="1763">
        <v>4</v>
      </c>
      <c r="B13" s="1050">
        <v>4</v>
      </c>
      <c r="C13" s="1945">
        <v>11777</v>
      </c>
      <c r="D13" s="1945">
        <v>43009.101999999999</v>
      </c>
      <c r="E13" s="1946"/>
      <c r="F13" s="1947">
        <v>3.6419999999999999</v>
      </c>
      <c r="G13" s="1947">
        <v>8.1950000000000003</v>
      </c>
      <c r="H13" s="1947">
        <v>4.8849999999999998</v>
      </c>
      <c r="I13" s="1947">
        <v>2.863</v>
      </c>
      <c r="J13" s="1948">
        <f t="shared" si="1"/>
        <v>19.585000000000001</v>
      </c>
      <c r="K13" s="1949">
        <v>1003.1584263113999</v>
      </c>
      <c r="L13" s="1949">
        <v>868.72504240000012</v>
      </c>
      <c r="M13" s="1052"/>
      <c r="N13" s="1052"/>
      <c r="O13" s="1052">
        <f>J18+J37</f>
        <v>6.9939999999999998</v>
      </c>
      <c r="P13" s="1007">
        <f>'T-6 (22-23)'!I8</f>
        <v>6.9980088</v>
      </c>
      <c r="Q13" s="1052">
        <f>P13-O13</f>
        <v>4.0088000000002566E-3</v>
      </c>
    </row>
    <row r="14" spans="1:17" ht="17.5">
      <c r="A14" s="1763">
        <v>5</v>
      </c>
      <c r="B14" s="1950" t="s">
        <v>4120</v>
      </c>
      <c r="C14" s="1945">
        <v>7210</v>
      </c>
      <c r="D14" s="1945">
        <v>40868.623</v>
      </c>
      <c r="E14" s="1946"/>
      <c r="F14" s="1947">
        <v>3.9470000000000001</v>
      </c>
      <c r="G14" s="1947">
        <v>5.9139999999999997</v>
      </c>
      <c r="H14" s="1947">
        <v>3.6349999999999998</v>
      </c>
      <c r="I14" s="1947">
        <v>2.75</v>
      </c>
      <c r="J14" s="1948">
        <f t="shared" si="1"/>
        <v>16.246000000000002</v>
      </c>
      <c r="K14" s="1949">
        <v>928.68885061209994</v>
      </c>
      <c r="L14" s="1949">
        <v>826.49736169999994</v>
      </c>
      <c r="M14" s="1052"/>
      <c r="N14" s="1052"/>
      <c r="O14" s="1052">
        <f>J15+J34</f>
        <v>857.18299999999999</v>
      </c>
      <c r="P14" s="1007">
        <f>'T-6 (22-23)'!I9</f>
        <v>857.18793930150002</v>
      </c>
      <c r="Q14" s="1052">
        <f>P14-O14</f>
        <v>4.939301500030524E-3</v>
      </c>
    </row>
    <row r="15" spans="1:17" ht="18">
      <c r="A15" s="1763">
        <v>6</v>
      </c>
      <c r="B15" s="1950" t="s">
        <v>656</v>
      </c>
      <c r="C15" s="172">
        <f>SUM(C10:C14)</f>
        <v>360157</v>
      </c>
      <c r="D15" s="172">
        <f t="shared" ref="D15:L15" si="2">SUM(D10:D14)</f>
        <v>602744.46199999994</v>
      </c>
      <c r="E15" s="172"/>
      <c r="F15" s="1951">
        <f t="shared" si="2"/>
        <v>134.727</v>
      </c>
      <c r="G15" s="1951">
        <f t="shared" si="2"/>
        <v>128.74699999999999</v>
      </c>
      <c r="H15" s="1951">
        <f t="shared" si="2"/>
        <v>41.160999999999994</v>
      </c>
      <c r="I15" s="1951">
        <f t="shared" si="2"/>
        <v>23.763999999999999</v>
      </c>
      <c r="J15" s="1951">
        <f t="shared" si="2"/>
        <v>328.39899999999994</v>
      </c>
      <c r="K15" s="1952">
        <f t="shared" si="2"/>
        <v>18062.8918795137</v>
      </c>
      <c r="L15" s="1952">
        <f t="shared" si="2"/>
        <v>12961.825470299998</v>
      </c>
      <c r="M15" s="1052"/>
      <c r="O15" s="1052"/>
    </row>
    <row r="16" spans="1:17" ht="35">
      <c r="A16" s="1763">
        <v>7</v>
      </c>
      <c r="B16" s="1953" t="s">
        <v>4121</v>
      </c>
      <c r="C16" s="1945">
        <v>38</v>
      </c>
      <c r="D16" s="1945">
        <v>3679.73</v>
      </c>
      <c r="E16" s="1046"/>
      <c r="F16" s="1054"/>
      <c r="G16" s="1046"/>
      <c r="H16" s="1046"/>
      <c r="I16" s="1046">
        <v>3.3079999999999998</v>
      </c>
      <c r="J16" s="1948">
        <f t="shared" si="1"/>
        <v>3.3079999999999998</v>
      </c>
      <c r="K16" s="1055">
        <v>179.99637365800001</v>
      </c>
      <c r="L16" s="1055">
        <v>122.72</v>
      </c>
      <c r="N16" s="1052"/>
    </row>
    <row r="17" spans="1:19" ht="17.5">
      <c r="A17" s="1763">
        <v>8</v>
      </c>
      <c r="B17" s="1950" t="s">
        <v>656</v>
      </c>
      <c r="C17" s="1046"/>
      <c r="D17" s="1046"/>
      <c r="E17" s="1046"/>
      <c r="F17" s="1046"/>
      <c r="G17" s="1046"/>
      <c r="H17" s="1046"/>
      <c r="I17" s="1046"/>
      <c r="J17" s="1046"/>
      <c r="K17" s="1046"/>
      <c r="L17" s="1046"/>
      <c r="N17" s="1052"/>
      <c r="O17" s="1042">
        <f>F15+F34</f>
        <v>449.10899999999992</v>
      </c>
      <c r="P17" s="1042">
        <f t="shared" ref="P17:R17" si="3">G15+G34</f>
        <v>276.512</v>
      </c>
      <c r="Q17" s="1042">
        <f t="shared" si="3"/>
        <v>73.635999999999996</v>
      </c>
      <c r="R17" s="1042">
        <f t="shared" si="3"/>
        <v>57.926000000000002</v>
      </c>
      <c r="S17" s="1042">
        <f>J15+J34</f>
        <v>857.18299999999999</v>
      </c>
    </row>
    <row r="18" spans="1:19" ht="17.5">
      <c r="A18" s="1763">
        <v>9</v>
      </c>
      <c r="B18" s="1950" t="s">
        <v>657</v>
      </c>
      <c r="C18" s="1945">
        <v>6340</v>
      </c>
      <c r="D18" s="1945">
        <v>1299.96</v>
      </c>
      <c r="E18" s="1945">
        <v>0.34</v>
      </c>
      <c r="F18" s="1945"/>
      <c r="G18" s="1954"/>
      <c r="H18" s="1954"/>
      <c r="I18" s="1954"/>
      <c r="J18" s="1948">
        <f>SUM(E18:I18)</f>
        <v>0.34</v>
      </c>
      <c r="K18" s="1955">
        <v>25.553068800000002</v>
      </c>
      <c r="L18" s="1948">
        <v>28.06</v>
      </c>
      <c r="M18" s="1052"/>
      <c r="N18" s="1052"/>
      <c r="O18" s="1052">
        <f>F43</f>
        <v>449.10899999999992</v>
      </c>
      <c r="P18" s="1052">
        <f t="shared" ref="P18:S18" si="4">G43</f>
        <v>276.512</v>
      </c>
      <c r="Q18" s="1052">
        <f t="shared" si="4"/>
        <v>73.635999999999996</v>
      </c>
      <c r="R18" s="1052">
        <f t="shared" si="4"/>
        <v>61.233999999999995</v>
      </c>
      <c r="S18" s="1052">
        <f t="shared" si="4"/>
        <v>868.10916791450006</v>
      </c>
    </row>
    <row r="19" spans="1:19" ht="17.5">
      <c r="A19" s="1763">
        <v>10</v>
      </c>
      <c r="B19" s="1950" t="s">
        <v>658</v>
      </c>
      <c r="C19" s="1046"/>
      <c r="D19" s="1055"/>
      <c r="E19" s="1046"/>
      <c r="F19" s="1046"/>
      <c r="G19" s="1046"/>
      <c r="H19" s="1046"/>
      <c r="I19" s="1046"/>
      <c r="J19" s="1046"/>
      <c r="K19" s="1055"/>
      <c r="L19" s="1046"/>
      <c r="N19" s="1052"/>
      <c r="O19" s="1042">
        <f>O17-O18</f>
        <v>0</v>
      </c>
      <c r="P19" s="1042">
        <f t="shared" ref="P19:S19" si="5">P17-P18</f>
        <v>0</v>
      </c>
      <c r="Q19" s="1042">
        <f t="shared" si="5"/>
        <v>0</v>
      </c>
      <c r="R19" s="1042">
        <f t="shared" si="5"/>
        <v>-3.3079999999999927</v>
      </c>
      <c r="S19" s="1042">
        <f t="shared" si="5"/>
        <v>-10.92616791450007</v>
      </c>
    </row>
    <row r="20" spans="1:19" ht="17.5">
      <c r="A20" s="1763">
        <v>11</v>
      </c>
      <c r="B20" s="1950" t="s">
        <v>659</v>
      </c>
      <c r="C20" s="1046">
        <v>6340</v>
      </c>
      <c r="D20" s="1054">
        <v>1299.96</v>
      </c>
      <c r="E20" s="1054">
        <v>0.34</v>
      </c>
      <c r="F20" s="1046">
        <v>0</v>
      </c>
      <c r="G20" s="1046">
        <v>0</v>
      </c>
      <c r="H20" s="1046">
        <v>0</v>
      </c>
      <c r="I20" s="1046">
        <v>0</v>
      </c>
      <c r="J20" s="1046">
        <f t="shared" ref="J20:L20" si="6">J18</f>
        <v>0.34</v>
      </c>
      <c r="K20" s="1055">
        <v>25.553068800000002</v>
      </c>
      <c r="L20" s="1046">
        <f t="shared" si="6"/>
        <v>28.06</v>
      </c>
    </row>
    <row r="21" spans="1:19" ht="17.5">
      <c r="A21" s="1763"/>
      <c r="B21" s="1950"/>
      <c r="C21" s="1046"/>
      <c r="D21" s="1046"/>
      <c r="E21" s="1046"/>
      <c r="F21" s="1046"/>
      <c r="G21" s="1046"/>
      <c r="H21" s="1046"/>
      <c r="I21" s="1046"/>
      <c r="J21" s="1046"/>
      <c r="K21" s="1046"/>
      <c r="L21" s="1046"/>
    </row>
    <row r="22" spans="1:19" ht="18">
      <c r="A22" s="1763">
        <v>12</v>
      </c>
      <c r="B22" s="1950" t="s">
        <v>4122</v>
      </c>
      <c r="C22" s="1047">
        <f>C15+C16+C20</f>
        <v>366535</v>
      </c>
      <c r="D22" s="1056">
        <f t="shared" ref="D22:L22" si="7">D15+D16+D20</f>
        <v>607724.15199999989</v>
      </c>
      <c r="E22" s="1057">
        <f t="shared" si="7"/>
        <v>0.34</v>
      </c>
      <c r="F22" s="1047">
        <f>F15+F16+F20</f>
        <v>134.727</v>
      </c>
      <c r="G22" s="1047">
        <f t="shared" si="7"/>
        <v>128.74699999999999</v>
      </c>
      <c r="H22" s="1047">
        <f>H15+H16+H20</f>
        <v>41.160999999999994</v>
      </c>
      <c r="I22" s="1047">
        <f t="shared" si="7"/>
        <v>27.071999999999999</v>
      </c>
      <c r="J22" s="1047">
        <f t="shared" si="7"/>
        <v>332.04699999999991</v>
      </c>
      <c r="K22" s="1058">
        <f t="shared" si="7"/>
        <v>18268.441321971699</v>
      </c>
      <c r="L22" s="1058">
        <f t="shared" si="7"/>
        <v>13112.605470299997</v>
      </c>
    </row>
    <row r="23" spans="1:19" ht="17.5">
      <c r="A23" s="1763"/>
      <c r="B23" s="1950"/>
      <c r="C23" s="1046"/>
      <c r="D23" s="1046"/>
      <c r="E23" s="1046"/>
      <c r="F23" s="1046"/>
      <c r="G23" s="1046"/>
      <c r="H23" s="1046"/>
      <c r="I23" s="1046"/>
      <c r="J23" s="1046"/>
      <c r="K23" s="1046"/>
      <c r="L23" s="1046"/>
    </row>
    <row r="24" spans="1:19" ht="18">
      <c r="A24" s="1968" t="s">
        <v>1169</v>
      </c>
      <c r="B24" s="1968" t="s">
        <v>1503</v>
      </c>
      <c r="C24" s="1047" t="s">
        <v>660</v>
      </c>
      <c r="D24" s="1046"/>
      <c r="E24" s="1046"/>
      <c r="F24" s="1956"/>
      <c r="G24" s="1046"/>
      <c r="H24" s="1046"/>
      <c r="I24" s="1046"/>
      <c r="J24" s="1046"/>
      <c r="K24" s="1046"/>
      <c r="L24" s="1046"/>
    </row>
    <row r="25" spans="1:19" ht="18">
      <c r="A25" s="1763"/>
      <c r="B25" s="1950"/>
      <c r="C25" s="2518"/>
      <c r="D25" s="1046"/>
      <c r="E25" s="1046"/>
      <c r="F25" s="1047" t="s">
        <v>1505</v>
      </c>
      <c r="G25" s="1046"/>
      <c r="H25" s="1046"/>
      <c r="I25" s="1047" t="s">
        <v>4111</v>
      </c>
      <c r="J25" s="1046"/>
      <c r="K25" s="1046"/>
      <c r="L25" s="1046"/>
    </row>
    <row r="26" spans="1:19" ht="18" customHeight="1">
      <c r="A26" s="3492"/>
      <c r="B26" s="3493" t="s">
        <v>1508</v>
      </c>
      <c r="C26" s="3493" t="s">
        <v>4112</v>
      </c>
      <c r="D26" s="3493" t="s">
        <v>4113</v>
      </c>
      <c r="E26" s="1046"/>
      <c r="F26" s="1047" t="s">
        <v>1507</v>
      </c>
      <c r="G26" s="1047"/>
      <c r="H26" s="1047"/>
      <c r="I26" s="1047"/>
      <c r="J26" s="1046"/>
      <c r="K26" s="1046"/>
      <c r="L26" s="1046"/>
    </row>
    <row r="27" spans="1:19" s="1048" customFormat="1" ht="87.75" customHeight="1">
      <c r="A27" s="3492"/>
      <c r="B27" s="3493"/>
      <c r="C27" s="3493"/>
      <c r="D27" s="3493"/>
      <c r="E27" s="1762" t="s">
        <v>4114</v>
      </c>
      <c r="F27" s="1762" t="s">
        <v>1448</v>
      </c>
      <c r="G27" s="1762" t="s">
        <v>4115</v>
      </c>
      <c r="H27" s="1762" t="s">
        <v>4116</v>
      </c>
      <c r="I27" s="1762" t="s">
        <v>1449</v>
      </c>
      <c r="J27" s="1762" t="s">
        <v>4117</v>
      </c>
      <c r="K27" s="1762" t="s">
        <v>4118</v>
      </c>
      <c r="L27" s="1762" t="s">
        <v>4119</v>
      </c>
    </row>
    <row r="28" spans="1:19" ht="17.5">
      <c r="A28" s="1763"/>
      <c r="B28" s="1762" t="s">
        <v>652</v>
      </c>
      <c r="C28" s="1046"/>
      <c r="D28" s="1046"/>
      <c r="E28" s="1046"/>
      <c r="F28" s="1046"/>
      <c r="G28" s="1046"/>
      <c r="H28" s="1046"/>
      <c r="I28" s="1046"/>
      <c r="J28" s="1046"/>
      <c r="K28" s="1049"/>
      <c r="L28" s="1049"/>
    </row>
    <row r="29" spans="1:19" ht="17.5">
      <c r="A29" s="1763">
        <v>1</v>
      </c>
      <c r="B29" s="1050" t="s">
        <v>653</v>
      </c>
      <c r="C29" s="1945">
        <v>1554249</v>
      </c>
      <c r="D29" s="1945">
        <v>997620.39800000004</v>
      </c>
      <c r="E29" s="1946"/>
      <c r="F29" s="1947">
        <f>258.383+5</f>
        <v>263.38299999999998</v>
      </c>
      <c r="G29" s="1947">
        <f>100.028+5</f>
        <v>105.02800000000001</v>
      </c>
      <c r="H29" s="1947">
        <v>19.41</v>
      </c>
      <c r="I29" s="1947">
        <v>28.134</v>
      </c>
      <c r="J29" s="1948">
        <f>SUM(F29:I29)</f>
        <v>415.95500000000004</v>
      </c>
      <c r="K29" s="1949">
        <v>15739.405000000001</v>
      </c>
      <c r="L29" s="1949">
        <v>13455.818572199998</v>
      </c>
      <c r="M29" s="1052"/>
    </row>
    <row r="30" spans="1:19" ht="17.5">
      <c r="A30" s="1763">
        <v>2</v>
      </c>
      <c r="B30" s="1050" t="s">
        <v>654</v>
      </c>
      <c r="C30" s="1945">
        <v>157594</v>
      </c>
      <c r="D30" s="1945">
        <v>278615.80300000001</v>
      </c>
      <c r="E30" s="1946"/>
      <c r="F30" s="1947">
        <v>42.981000000000002</v>
      </c>
      <c r="G30" s="1947">
        <v>34.104999999999997</v>
      </c>
      <c r="H30" s="1947">
        <v>9.6609999999999996</v>
      </c>
      <c r="I30" s="1947">
        <v>4.673</v>
      </c>
      <c r="J30" s="1948">
        <f t="shared" ref="J30:J33" si="8">SUM(F30:I30)</f>
        <v>91.42</v>
      </c>
      <c r="K30" s="1949">
        <v>4169.0545024426001</v>
      </c>
      <c r="L30" s="1949">
        <v>3363.5375749999998</v>
      </c>
      <c r="M30" s="1052"/>
    </row>
    <row r="31" spans="1:19" ht="17.5">
      <c r="A31" s="1763">
        <v>3</v>
      </c>
      <c r="B31" s="1050" t="s">
        <v>655</v>
      </c>
      <c r="C31" s="1945">
        <v>13276</v>
      </c>
      <c r="D31" s="1945">
        <v>34526.855000000003</v>
      </c>
      <c r="E31" s="1946"/>
      <c r="F31" s="1947">
        <v>4.7240000000000002</v>
      </c>
      <c r="G31" s="1947">
        <v>5.7110000000000003</v>
      </c>
      <c r="H31" s="1947">
        <v>1.7</v>
      </c>
      <c r="I31" s="1947">
        <v>0.54600000000000004</v>
      </c>
      <c r="J31" s="1948">
        <f t="shared" si="8"/>
        <v>12.680999999999999</v>
      </c>
      <c r="K31" s="1949">
        <v>713.30692342049997</v>
      </c>
      <c r="L31" s="1949">
        <v>568.04788970000004</v>
      </c>
      <c r="M31" s="1052"/>
    </row>
    <row r="32" spans="1:19" ht="17.5">
      <c r="A32" s="1763">
        <v>4</v>
      </c>
      <c r="B32" s="1050">
        <v>4</v>
      </c>
      <c r="C32" s="1945">
        <v>3523</v>
      </c>
      <c r="D32" s="1945">
        <v>12842.65</v>
      </c>
      <c r="E32" s="1946"/>
      <c r="F32" s="1947">
        <v>1.7029999999999998</v>
      </c>
      <c r="G32" s="1947">
        <v>1.7070000000000001</v>
      </c>
      <c r="H32" s="1947">
        <v>0.86099999999999999</v>
      </c>
      <c r="I32" s="1947">
        <v>0.28999999999999998</v>
      </c>
      <c r="J32" s="1948">
        <f t="shared" si="8"/>
        <v>4.5609999999999999</v>
      </c>
      <c r="K32" s="1949">
        <v>266.86110529679996</v>
      </c>
      <c r="L32" s="1949">
        <v>206.20989649999999</v>
      </c>
      <c r="M32" s="1052"/>
      <c r="N32" s="1052"/>
    </row>
    <row r="33" spans="1:14" ht="17.5">
      <c r="A33" s="1763">
        <v>5</v>
      </c>
      <c r="B33" s="1950" t="s">
        <v>4120</v>
      </c>
      <c r="C33" s="1945">
        <v>2003</v>
      </c>
      <c r="D33" s="1945">
        <v>11168.634</v>
      </c>
      <c r="E33" s="1946"/>
      <c r="F33" s="1947">
        <v>1.591</v>
      </c>
      <c r="G33" s="1947">
        <v>1.214</v>
      </c>
      <c r="H33" s="1947">
        <v>0.84299999999999997</v>
      </c>
      <c r="I33" s="1947">
        <v>0.51900000000000002</v>
      </c>
      <c r="J33" s="1948">
        <f t="shared" si="8"/>
        <v>4.1669999999999998</v>
      </c>
      <c r="K33" s="1949">
        <v>259.35277288629999</v>
      </c>
      <c r="L33" s="1949">
        <v>204.54725180000003</v>
      </c>
      <c r="M33" s="1052"/>
      <c r="N33" s="1052"/>
    </row>
    <row r="34" spans="1:14" ht="18">
      <c r="A34" s="1763">
        <v>6</v>
      </c>
      <c r="B34" s="1950" t="s">
        <v>656</v>
      </c>
      <c r="C34" s="172">
        <f>SUM(C29:C33)</f>
        <v>1730645</v>
      </c>
      <c r="D34" s="172">
        <f>SUM(D29:D33)</f>
        <v>1334774.3400000001</v>
      </c>
      <c r="E34" s="172"/>
      <c r="F34" s="1951">
        <f t="shared" ref="F34:L34" si="9">SUM(F29:F33)</f>
        <v>314.38199999999995</v>
      </c>
      <c r="G34" s="1951">
        <f t="shared" si="9"/>
        <v>147.76500000000001</v>
      </c>
      <c r="H34" s="1951">
        <f t="shared" si="9"/>
        <v>32.474999999999994</v>
      </c>
      <c r="I34" s="1951">
        <f t="shared" si="9"/>
        <v>34.161999999999999</v>
      </c>
      <c r="J34" s="1951">
        <f t="shared" si="9"/>
        <v>528.78400000000011</v>
      </c>
      <c r="K34" s="1952">
        <f t="shared" si="9"/>
        <v>21147.980304046203</v>
      </c>
      <c r="L34" s="1952">
        <f t="shared" si="9"/>
        <v>17798.161185199995</v>
      </c>
    </row>
    <row r="35" spans="1:14" ht="39" customHeight="1">
      <c r="A35" s="1763">
        <v>7</v>
      </c>
      <c r="B35" s="1953" t="s">
        <v>4121</v>
      </c>
      <c r="C35" s="1945">
        <v>18</v>
      </c>
      <c r="D35" s="1945">
        <v>1666</v>
      </c>
      <c r="E35" s="1046"/>
      <c r="F35" s="1046"/>
      <c r="G35" s="1046"/>
      <c r="H35" s="1046"/>
      <c r="I35" s="1046"/>
      <c r="J35" s="1054">
        <v>0.62416791450000053</v>
      </c>
      <c r="K35" s="1055">
        <f>60.09216427-29</f>
        <v>31.092164269999998</v>
      </c>
      <c r="L35" s="1055">
        <f>K35*0.9</f>
        <v>27.982947842999998</v>
      </c>
      <c r="M35" s="1052"/>
    </row>
    <row r="36" spans="1:14" ht="17.5">
      <c r="A36" s="1763">
        <v>8</v>
      </c>
      <c r="B36" s="1950" t="s">
        <v>656</v>
      </c>
      <c r="C36" s="1046"/>
      <c r="D36" s="1046"/>
      <c r="E36" s="1046"/>
      <c r="F36" s="1046"/>
      <c r="G36" s="1046"/>
      <c r="H36" s="1046"/>
      <c r="I36" s="1046"/>
      <c r="J36" s="1046"/>
      <c r="K36" s="1046"/>
      <c r="L36" s="1046"/>
    </row>
    <row r="37" spans="1:14" ht="17.5">
      <c r="A37" s="1763">
        <v>9</v>
      </c>
      <c r="B37" s="1950" t="s">
        <v>657</v>
      </c>
      <c r="C37" s="1945">
        <v>139384</v>
      </c>
      <c r="D37" s="1945">
        <v>36096.476999999999</v>
      </c>
      <c r="E37" s="1947">
        <f>5.834+0.82</f>
        <v>6.6539999999999999</v>
      </c>
      <c r="F37" s="1947"/>
      <c r="G37" s="1948"/>
      <c r="H37" s="1948"/>
      <c r="I37" s="1948"/>
      <c r="J37" s="1054">
        <f>SUM(E37:I37)</f>
        <v>6.6539999999999999</v>
      </c>
      <c r="K37" s="1945">
        <f>189.0036827494+306</f>
        <v>495.00368274940001</v>
      </c>
      <c r="L37" s="1945">
        <v>239.54283789999999</v>
      </c>
    </row>
    <row r="38" spans="1:14" ht="17.5">
      <c r="A38" s="1763">
        <v>10</v>
      </c>
      <c r="B38" s="1950" t="s">
        <v>658</v>
      </c>
      <c r="C38" s="1956"/>
      <c r="D38" s="1051"/>
      <c r="E38" s="1046"/>
      <c r="F38" s="1046"/>
      <c r="G38" s="1046"/>
      <c r="H38" s="1046"/>
      <c r="I38" s="1046"/>
      <c r="J38" s="1046"/>
      <c r="K38" s="1046"/>
      <c r="L38" s="1046"/>
    </row>
    <row r="39" spans="1:14" ht="17.5">
      <c r="A39" s="1763">
        <v>11</v>
      </c>
      <c r="B39" s="1950" t="s">
        <v>659</v>
      </c>
      <c r="C39" s="1053">
        <v>139384</v>
      </c>
      <c r="D39" s="1055">
        <v>36096.476999999999</v>
      </c>
      <c r="E39" s="1054">
        <v>5.8339999999999996</v>
      </c>
      <c r="F39" s="1054">
        <v>0</v>
      </c>
      <c r="G39" s="1054">
        <v>0</v>
      </c>
      <c r="H39" s="1054">
        <v>0</v>
      </c>
      <c r="I39" s="1054">
        <v>0</v>
      </c>
      <c r="J39" s="1054">
        <f t="shared" ref="J39" si="10">J37</f>
        <v>6.6539999999999999</v>
      </c>
      <c r="K39" s="1046">
        <v>189.00368274939999</v>
      </c>
      <c r="L39" s="1046">
        <v>239.54283789999999</v>
      </c>
    </row>
    <row r="40" spans="1:14" ht="17.5">
      <c r="A40" s="1763"/>
      <c r="B40" s="1950"/>
      <c r="C40" s="1046"/>
      <c r="D40" s="1046"/>
      <c r="E40" s="1046"/>
      <c r="F40" s="1046"/>
      <c r="G40" s="1046"/>
      <c r="H40" s="1046"/>
      <c r="I40" s="1046"/>
      <c r="J40" s="1046"/>
      <c r="K40" s="1046"/>
      <c r="L40" s="1046"/>
    </row>
    <row r="41" spans="1:14" ht="18">
      <c r="A41" s="1763">
        <v>12</v>
      </c>
      <c r="B41" s="1950" t="s">
        <v>4123</v>
      </c>
      <c r="C41" s="1047">
        <f>C34+C35+C39</f>
        <v>1870047</v>
      </c>
      <c r="D41" s="1056">
        <f t="shared" ref="D41:L41" si="11">D34+D35+D39</f>
        <v>1372536.817</v>
      </c>
      <c r="E41" s="1057">
        <f t="shared" si="11"/>
        <v>5.8339999999999996</v>
      </c>
      <c r="F41" s="1057">
        <f t="shared" si="11"/>
        <v>314.38199999999995</v>
      </c>
      <c r="G41" s="1057">
        <f t="shared" si="11"/>
        <v>147.76500000000001</v>
      </c>
      <c r="H41" s="1057">
        <f t="shared" si="11"/>
        <v>32.474999999999994</v>
      </c>
      <c r="I41" s="1057">
        <f t="shared" si="11"/>
        <v>34.161999999999999</v>
      </c>
      <c r="J41" s="1057">
        <f t="shared" si="11"/>
        <v>536.06216791450015</v>
      </c>
      <c r="K41" s="1058">
        <f t="shared" si="11"/>
        <v>21368.076151065605</v>
      </c>
      <c r="L41" s="1058">
        <f t="shared" si="11"/>
        <v>18065.686970942996</v>
      </c>
    </row>
    <row r="42" spans="1:14" ht="17.5">
      <c r="A42" s="1763"/>
      <c r="B42" s="1950"/>
      <c r="C42" s="1046"/>
      <c r="D42" s="1053"/>
      <c r="E42" s="1046"/>
      <c r="F42" s="1046"/>
      <c r="G42" s="1046"/>
      <c r="H42" s="1046"/>
      <c r="I42" s="1046"/>
      <c r="J42" s="1046"/>
      <c r="K42" s="1046"/>
      <c r="L42" s="1046"/>
    </row>
    <row r="43" spans="1:14" ht="18">
      <c r="A43" s="1763"/>
      <c r="B43" s="1957" t="s">
        <v>661</v>
      </c>
      <c r="C43" s="1047">
        <f>C41+C22+12</f>
        <v>2236594</v>
      </c>
      <c r="D43" s="1056">
        <f t="shared" ref="D43:L43" si="12">D41+D22</f>
        <v>1980260.969</v>
      </c>
      <c r="E43" s="1057">
        <f t="shared" si="12"/>
        <v>6.1739999999999995</v>
      </c>
      <c r="F43" s="1047">
        <f t="shared" si="12"/>
        <v>449.10899999999992</v>
      </c>
      <c r="G43" s="1047">
        <f t="shared" si="12"/>
        <v>276.512</v>
      </c>
      <c r="H43" s="1047">
        <f t="shared" si="12"/>
        <v>73.635999999999996</v>
      </c>
      <c r="I43" s="1047">
        <f t="shared" si="12"/>
        <v>61.233999999999995</v>
      </c>
      <c r="J43" s="1057">
        <f t="shared" si="12"/>
        <v>868.10916791450006</v>
      </c>
      <c r="K43" s="1058">
        <f t="shared" si="12"/>
        <v>39636.517473037304</v>
      </c>
      <c r="L43" s="1058">
        <f t="shared" si="12"/>
        <v>31178.292441242993</v>
      </c>
      <c r="N43" s="1042"/>
    </row>
    <row r="44" spans="1:14" ht="18" customHeight="1">
      <c r="A44" s="1763"/>
      <c r="B44" s="1950"/>
      <c r="C44" s="1046"/>
      <c r="D44" s="1046"/>
      <c r="E44" s="1046"/>
      <c r="F44" s="1046"/>
      <c r="G44" s="1046"/>
      <c r="H44" s="1046"/>
      <c r="I44" s="1046"/>
      <c r="J44" s="1046"/>
      <c r="K44" s="1046"/>
      <c r="L44" s="1046"/>
    </row>
    <row r="45" spans="1:14" ht="18" customHeight="1">
      <c r="A45" s="1942"/>
      <c r="B45" s="1667" t="s">
        <v>4124</v>
      </c>
      <c r="C45" s="2519"/>
      <c r="D45" s="2519"/>
      <c r="E45" s="1619"/>
      <c r="F45" s="1619"/>
      <c r="G45" s="1619"/>
      <c r="H45" s="1619"/>
      <c r="I45" s="1619"/>
      <c r="J45" s="1619"/>
      <c r="K45" s="1619"/>
      <c r="L45" s="1619"/>
    </row>
    <row r="46" spans="1:14" ht="54" customHeight="1">
      <c r="A46" s="1942"/>
      <c r="B46" s="1959"/>
      <c r="C46" s="3491" t="s">
        <v>476</v>
      </c>
      <c r="D46" s="3491"/>
      <c r="E46" s="3491" t="s">
        <v>483</v>
      </c>
      <c r="F46" s="3491"/>
      <c r="G46" s="3491" t="s">
        <v>484</v>
      </c>
      <c r="H46" s="3491"/>
      <c r="I46" s="1619"/>
      <c r="J46" s="1619"/>
      <c r="K46" s="1619"/>
      <c r="L46" s="1619"/>
    </row>
    <row r="47" spans="1:14" ht="18">
      <c r="A47" s="1942"/>
      <c r="B47" s="1960"/>
      <c r="C47" s="1961" t="s">
        <v>1504</v>
      </c>
      <c r="D47" s="1961" t="s">
        <v>660</v>
      </c>
      <c r="E47" s="1961" t="s">
        <v>1504</v>
      </c>
      <c r="F47" s="1961" t="s">
        <v>660</v>
      </c>
      <c r="G47" s="1961" t="s">
        <v>1504</v>
      </c>
      <c r="H47" s="1961" t="s">
        <v>660</v>
      </c>
      <c r="I47" s="1619"/>
      <c r="J47" s="1619"/>
      <c r="K47" s="1619"/>
      <c r="L47" s="1619"/>
    </row>
    <row r="48" spans="1:14" ht="17.5">
      <c r="A48" s="1942">
        <v>1</v>
      </c>
      <c r="B48" s="1666" t="s">
        <v>15</v>
      </c>
      <c r="C48" s="1617">
        <v>3403</v>
      </c>
      <c r="D48" s="1617">
        <v>105894</v>
      </c>
      <c r="E48" s="1962">
        <v>0</v>
      </c>
      <c r="F48" s="1962">
        <v>0</v>
      </c>
      <c r="G48" s="1962">
        <v>2937</v>
      </c>
      <c r="H48" s="1962">
        <v>33490</v>
      </c>
      <c r="I48" s="1619">
        <f>SUM(C48:H48)</f>
        <v>145724</v>
      </c>
      <c r="J48" s="1619"/>
      <c r="K48" s="1619"/>
      <c r="L48" s="1619"/>
    </row>
    <row r="49" spans="1:12" ht="17.5">
      <c r="A49" s="1942"/>
      <c r="B49" s="1666" t="s">
        <v>652</v>
      </c>
      <c r="C49" s="1617"/>
      <c r="D49" s="1617"/>
      <c r="E49" s="1962"/>
      <c r="F49" s="1962"/>
      <c r="G49" s="1962"/>
      <c r="H49" s="1962"/>
      <c r="I49" s="1619"/>
      <c r="J49" s="1619"/>
      <c r="K49" s="1619"/>
      <c r="L49" s="1619"/>
    </row>
    <row r="50" spans="1:12" ht="17.5">
      <c r="A50" s="1942">
        <v>2</v>
      </c>
      <c r="B50" s="1668" t="s">
        <v>653</v>
      </c>
      <c r="C50" s="1617">
        <v>125158</v>
      </c>
      <c r="D50" s="1617">
        <v>1320554</v>
      </c>
      <c r="E50" s="1617">
        <v>0</v>
      </c>
      <c r="F50" s="1617"/>
      <c r="G50" s="1617">
        <v>13014</v>
      </c>
      <c r="H50" s="1617">
        <v>233651</v>
      </c>
      <c r="I50" s="1619">
        <f>SUM(C50:H50)</f>
        <v>1692377</v>
      </c>
      <c r="J50" s="1619"/>
      <c r="K50" s="1619"/>
      <c r="L50" s="1619"/>
    </row>
    <row r="51" spans="1:12" ht="17.5">
      <c r="A51" s="1942">
        <v>3</v>
      </c>
      <c r="B51" s="1668" t="s">
        <v>654</v>
      </c>
      <c r="C51" s="1617">
        <v>149916</v>
      </c>
      <c r="D51" s="1617">
        <v>142998</v>
      </c>
      <c r="E51" s="1617">
        <v>0</v>
      </c>
      <c r="F51" s="1617">
        <v>0</v>
      </c>
      <c r="G51" s="1617">
        <v>9715</v>
      </c>
      <c r="H51" s="1617">
        <v>14599</v>
      </c>
      <c r="I51" s="1619">
        <f t="shared" ref="I51:I54" si="13">SUM(C51:H51)</f>
        <v>317228</v>
      </c>
      <c r="J51" s="1619"/>
      <c r="K51" s="1619"/>
      <c r="L51" s="1619"/>
    </row>
    <row r="52" spans="1:12" ht="17.5">
      <c r="A52" s="1942">
        <v>4</v>
      </c>
      <c r="B52" s="1668" t="s">
        <v>655</v>
      </c>
      <c r="C52" s="1617">
        <v>41743</v>
      </c>
      <c r="D52" s="1617">
        <v>12320</v>
      </c>
      <c r="E52" s="1617">
        <v>0</v>
      </c>
      <c r="F52" s="1617">
        <v>0</v>
      </c>
      <c r="G52" s="1617">
        <v>1624</v>
      </c>
      <c r="H52" s="1617">
        <v>957</v>
      </c>
      <c r="I52" s="1619">
        <f t="shared" si="13"/>
        <v>56644</v>
      </c>
      <c r="J52" s="1619"/>
      <c r="K52" s="1669"/>
      <c r="L52" s="1669"/>
    </row>
    <row r="53" spans="1:12" ht="17.5">
      <c r="A53" s="1942">
        <v>5</v>
      </c>
      <c r="B53" s="1668">
        <v>4</v>
      </c>
      <c r="C53" s="1617">
        <v>11384</v>
      </c>
      <c r="D53" s="1617">
        <v>3288</v>
      </c>
      <c r="E53" s="1962"/>
      <c r="F53" s="1962"/>
      <c r="G53" s="1617">
        <v>393</v>
      </c>
      <c r="H53" s="1617">
        <v>237</v>
      </c>
      <c r="I53" s="1619">
        <f t="shared" si="13"/>
        <v>15302</v>
      </c>
      <c r="J53" s="1619"/>
      <c r="K53" s="1669"/>
      <c r="L53" s="1669"/>
    </row>
    <row r="54" spans="1:12" ht="17.5">
      <c r="A54" s="1942">
        <v>6</v>
      </c>
      <c r="B54" s="1960" t="s">
        <v>4120</v>
      </c>
      <c r="C54" s="1617">
        <v>7049</v>
      </c>
      <c r="D54" s="1617">
        <v>1896</v>
      </c>
      <c r="E54" s="1962"/>
      <c r="F54" s="1962"/>
      <c r="G54" s="1617">
        <v>199</v>
      </c>
      <c r="H54" s="1617">
        <v>119</v>
      </c>
      <c r="I54" s="1619">
        <f t="shared" si="13"/>
        <v>9263</v>
      </c>
      <c r="J54" s="1619"/>
      <c r="K54" s="1619"/>
      <c r="L54" s="1619"/>
    </row>
    <row r="55" spans="1:12" ht="18">
      <c r="A55" s="1942">
        <v>7</v>
      </c>
      <c r="B55" s="1963" t="s">
        <v>1100</v>
      </c>
      <c r="C55" s="1964">
        <f>SUM(C48:C54)</f>
        <v>338653</v>
      </c>
      <c r="D55" s="1964">
        <f t="shared" ref="D55:H55" si="14">SUM(D48:D54)</f>
        <v>1586950</v>
      </c>
      <c r="E55" s="1964">
        <f t="shared" si="14"/>
        <v>0</v>
      </c>
      <c r="F55" s="1964">
        <f t="shared" si="14"/>
        <v>0</v>
      </c>
      <c r="G55" s="1964">
        <f t="shared" si="14"/>
        <v>27882</v>
      </c>
      <c r="H55" s="1964">
        <f t="shared" si="14"/>
        <v>283053</v>
      </c>
      <c r="I55" s="1667">
        <f>SUM(I48:I54)</f>
        <v>2236538</v>
      </c>
      <c r="J55" s="1619"/>
      <c r="K55" s="1619"/>
      <c r="L55" s="1619"/>
    </row>
    <row r="56" spans="1:12" ht="17.5">
      <c r="A56" s="1060"/>
      <c r="B56" s="1061"/>
      <c r="C56" s="1008"/>
      <c r="D56" s="1008"/>
      <c r="G56" s="1008"/>
      <c r="H56" s="1008"/>
      <c r="I56" s="1008"/>
      <c r="J56" s="1008"/>
      <c r="K56" s="1008"/>
      <c r="L56" s="1008"/>
    </row>
  </sheetData>
  <mergeCells count="11">
    <mergeCell ref="C46:D46"/>
    <mergeCell ref="E46:F46"/>
    <mergeCell ref="G46:H46"/>
    <mergeCell ref="A7:A8"/>
    <mergeCell ref="B7:B8"/>
    <mergeCell ref="C7:C8"/>
    <mergeCell ref="D7:D8"/>
    <mergeCell ref="A26:A27"/>
    <mergeCell ref="B26:B27"/>
    <mergeCell ref="C26:C27"/>
    <mergeCell ref="D26:D27"/>
  </mergeCells>
  <printOptions horizontalCentered="1" verticalCentered="1"/>
  <pageMargins left="0.19685039370078741" right="0" top="0" bottom="0" header="0" footer="0"/>
  <pageSetup paperSize="9" scale="5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O47"/>
  <sheetViews>
    <sheetView view="pageBreakPreview" topLeftCell="A24" zoomScale="60" zoomScaleNormal="62" workbookViewId="0">
      <selection activeCell="D13" sqref="D13"/>
    </sheetView>
  </sheetViews>
  <sheetFormatPr defaultColWidth="14.7265625" defaultRowHeight="15.5"/>
  <cols>
    <col min="1" max="1" width="6" style="1062" customWidth="1"/>
    <col min="2" max="2" width="39.81640625" style="1063" customWidth="1"/>
    <col min="3" max="3" width="15.26953125" style="1007" customWidth="1"/>
    <col min="4" max="4" width="15.453125" style="1007" customWidth="1"/>
    <col min="5" max="6" width="12.54296875" style="1007" customWidth="1"/>
    <col min="7" max="7" width="13.1796875" style="1007" customWidth="1"/>
    <col min="8" max="8" width="12.54296875" style="1007" customWidth="1"/>
    <col min="9" max="9" width="15.26953125" style="1007" customWidth="1"/>
    <col min="10" max="10" width="15.7265625" style="1007" customWidth="1"/>
    <col min="11" max="11" width="16.26953125" style="1007" customWidth="1"/>
    <col min="12" max="252" width="14.7265625" style="1007"/>
    <col min="253" max="253" width="6" style="1007" customWidth="1"/>
    <col min="254" max="254" width="39.81640625" style="1007" customWidth="1"/>
    <col min="255" max="255" width="15.26953125" style="1007" customWidth="1"/>
    <col min="256" max="256" width="13.7265625" style="1007" customWidth="1"/>
    <col min="257" max="258" width="12.54296875" style="1007" customWidth="1"/>
    <col min="259" max="259" width="13.1796875" style="1007" customWidth="1"/>
    <col min="260" max="261" width="12.54296875" style="1007" customWidth="1"/>
    <col min="262" max="262" width="15.26953125" style="1007" customWidth="1"/>
    <col min="263" max="263" width="14.7265625" style="1007" customWidth="1"/>
    <col min="264" max="264" width="21.453125" style="1007" customWidth="1"/>
    <col min="265" max="266" width="14.7265625" style="1007" customWidth="1"/>
    <col min="267" max="267" width="16.26953125" style="1007" customWidth="1"/>
    <col min="268" max="508" width="14.7265625" style="1007"/>
    <col min="509" max="509" width="6" style="1007" customWidth="1"/>
    <col min="510" max="510" width="39.81640625" style="1007" customWidth="1"/>
    <col min="511" max="511" width="15.26953125" style="1007" customWidth="1"/>
    <col min="512" max="512" width="13.7265625" style="1007" customWidth="1"/>
    <col min="513" max="514" width="12.54296875" style="1007" customWidth="1"/>
    <col min="515" max="515" width="13.1796875" style="1007" customWidth="1"/>
    <col min="516" max="517" width="12.54296875" style="1007" customWidth="1"/>
    <col min="518" max="518" width="15.26953125" style="1007" customWidth="1"/>
    <col min="519" max="519" width="14.7265625" style="1007" customWidth="1"/>
    <col min="520" max="520" width="21.453125" style="1007" customWidth="1"/>
    <col min="521" max="522" width="14.7265625" style="1007" customWidth="1"/>
    <col min="523" max="523" width="16.26953125" style="1007" customWidth="1"/>
    <col min="524" max="764" width="14.7265625" style="1007"/>
    <col min="765" max="765" width="6" style="1007" customWidth="1"/>
    <col min="766" max="766" width="39.81640625" style="1007" customWidth="1"/>
    <col min="767" max="767" width="15.26953125" style="1007" customWidth="1"/>
    <col min="768" max="768" width="13.7265625" style="1007" customWidth="1"/>
    <col min="769" max="770" width="12.54296875" style="1007" customWidth="1"/>
    <col min="771" max="771" width="13.1796875" style="1007" customWidth="1"/>
    <col min="772" max="773" width="12.54296875" style="1007" customWidth="1"/>
    <col min="774" max="774" width="15.26953125" style="1007" customWidth="1"/>
    <col min="775" max="775" width="14.7265625" style="1007" customWidth="1"/>
    <col min="776" max="776" width="21.453125" style="1007" customWidth="1"/>
    <col min="777" max="778" width="14.7265625" style="1007" customWidth="1"/>
    <col min="779" max="779" width="16.26953125" style="1007" customWidth="1"/>
    <col min="780" max="1020" width="14.7265625" style="1007"/>
    <col min="1021" max="1021" width="6" style="1007" customWidth="1"/>
    <col min="1022" max="1022" width="39.81640625" style="1007" customWidth="1"/>
    <col min="1023" max="1023" width="15.26953125" style="1007" customWidth="1"/>
    <col min="1024" max="1024" width="13.7265625" style="1007" customWidth="1"/>
    <col min="1025" max="1026" width="12.54296875" style="1007" customWidth="1"/>
    <col min="1027" max="1027" width="13.1796875" style="1007" customWidth="1"/>
    <col min="1028" max="1029" width="12.54296875" style="1007" customWidth="1"/>
    <col min="1030" max="1030" width="15.26953125" style="1007" customWidth="1"/>
    <col min="1031" max="1031" width="14.7265625" style="1007" customWidth="1"/>
    <col min="1032" max="1032" width="21.453125" style="1007" customWidth="1"/>
    <col min="1033" max="1034" width="14.7265625" style="1007" customWidth="1"/>
    <col min="1035" max="1035" width="16.26953125" style="1007" customWidth="1"/>
    <col min="1036" max="1276" width="14.7265625" style="1007"/>
    <col min="1277" max="1277" width="6" style="1007" customWidth="1"/>
    <col min="1278" max="1278" width="39.81640625" style="1007" customWidth="1"/>
    <col min="1279" max="1279" width="15.26953125" style="1007" customWidth="1"/>
    <col min="1280" max="1280" width="13.7265625" style="1007" customWidth="1"/>
    <col min="1281" max="1282" width="12.54296875" style="1007" customWidth="1"/>
    <col min="1283" max="1283" width="13.1796875" style="1007" customWidth="1"/>
    <col min="1284" max="1285" width="12.54296875" style="1007" customWidth="1"/>
    <col min="1286" max="1286" width="15.26953125" style="1007" customWidth="1"/>
    <col min="1287" max="1287" width="14.7265625" style="1007" customWidth="1"/>
    <col min="1288" max="1288" width="21.453125" style="1007" customWidth="1"/>
    <col min="1289" max="1290" width="14.7265625" style="1007" customWidth="1"/>
    <col min="1291" max="1291" width="16.26953125" style="1007" customWidth="1"/>
    <col min="1292" max="1532" width="14.7265625" style="1007"/>
    <col min="1533" max="1533" width="6" style="1007" customWidth="1"/>
    <col min="1534" max="1534" width="39.81640625" style="1007" customWidth="1"/>
    <col min="1535" max="1535" width="15.26953125" style="1007" customWidth="1"/>
    <col min="1536" max="1536" width="13.7265625" style="1007" customWidth="1"/>
    <col min="1537" max="1538" width="12.54296875" style="1007" customWidth="1"/>
    <col min="1539" max="1539" width="13.1796875" style="1007" customWidth="1"/>
    <col min="1540" max="1541" width="12.54296875" style="1007" customWidth="1"/>
    <col min="1542" max="1542" width="15.26953125" style="1007" customWidth="1"/>
    <col min="1543" max="1543" width="14.7265625" style="1007" customWidth="1"/>
    <col min="1544" max="1544" width="21.453125" style="1007" customWidth="1"/>
    <col min="1545" max="1546" width="14.7265625" style="1007" customWidth="1"/>
    <col min="1547" max="1547" width="16.26953125" style="1007" customWidth="1"/>
    <col min="1548" max="1788" width="14.7265625" style="1007"/>
    <col min="1789" max="1789" width="6" style="1007" customWidth="1"/>
    <col min="1790" max="1790" width="39.81640625" style="1007" customWidth="1"/>
    <col min="1791" max="1791" width="15.26953125" style="1007" customWidth="1"/>
    <col min="1792" max="1792" width="13.7265625" style="1007" customWidth="1"/>
    <col min="1793" max="1794" width="12.54296875" style="1007" customWidth="1"/>
    <col min="1795" max="1795" width="13.1796875" style="1007" customWidth="1"/>
    <col min="1796" max="1797" width="12.54296875" style="1007" customWidth="1"/>
    <col min="1798" max="1798" width="15.26953125" style="1007" customWidth="1"/>
    <col min="1799" max="1799" width="14.7265625" style="1007" customWidth="1"/>
    <col min="1800" max="1800" width="21.453125" style="1007" customWidth="1"/>
    <col min="1801" max="1802" width="14.7265625" style="1007" customWidth="1"/>
    <col min="1803" max="1803" width="16.26953125" style="1007" customWidth="1"/>
    <col min="1804" max="2044" width="14.7265625" style="1007"/>
    <col min="2045" max="2045" width="6" style="1007" customWidth="1"/>
    <col min="2046" max="2046" width="39.81640625" style="1007" customWidth="1"/>
    <col min="2047" max="2047" width="15.26953125" style="1007" customWidth="1"/>
    <col min="2048" max="2048" width="13.7265625" style="1007" customWidth="1"/>
    <col min="2049" max="2050" width="12.54296875" style="1007" customWidth="1"/>
    <col min="2051" max="2051" width="13.1796875" style="1007" customWidth="1"/>
    <col min="2052" max="2053" width="12.54296875" style="1007" customWidth="1"/>
    <col min="2054" max="2054" width="15.26953125" style="1007" customWidth="1"/>
    <col min="2055" max="2055" width="14.7265625" style="1007" customWidth="1"/>
    <col min="2056" max="2056" width="21.453125" style="1007" customWidth="1"/>
    <col min="2057" max="2058" width="14.7265625" style="1007" customWidth="1"/>
    <col min="2059" max="2059" width="16.26953125" style="1007" customWidth="1"/>
    <col min="2060" max="2300" width="14.7265625" style="1007"/>
    <col min="2301" max="2301" width="6" style="1007" customWidth="1"/>
    <col min="2302" max="2302" width="39.81640625" style="1007" customWidth="1"/>
    <col min="2303" max="2303" width="15.26953125" style="1007" customWidth="1"/>
    <col min="2304" max="2304" width="13.7265625" style="1007" customWidth="1"/>
    <col min="2305" max="2306" width="12.54296875" style="1007" customWidth="1"/>
    <col min="2307" max="2307" width="13.1796875" style="1007" customWidth="1"/>
    <col min="2308" max="2309" width="12.54296875" style="1007" customWidth="1"/>
    <col min="2310" max="2310" width="15.26953125" style="1007" customWidth="1"/>
    <col min="2311" max="2311" width="14.7265625" style="1007" customWidth="1"/>
    <col min="2312" max="2312" width="21.453125" style="1007" customWidth="1"/>
    <col min="2313" max="2314" width="14.7265625" style="1007" customWidth="1"/>
    <col min="2315" max="2315" width="16.26953125" style="1007" customWidth="1"/>
    <col min="2316" max="2556" width="14.7265625" style="1007"/>
    <col min="2557" max="2557" width="6" style="1007" customWidth="1"/>
    <col min="2558" max="2558" width="39.81640625" style="1007" customWidth="1"/>
    <col min="2559" max="2559" width="15.26953125" style="1007" customWidth="1"/>
    <col min="2560" max="2560" width="13.7265625" style="1007" customWidth="1"/>
    <col min="2561" max="2562" width="12.54296875" style="1007" customWidth="1"/>
    <col min="2563" max="2563" width="13.1796875" style="1007" customWidth="1"/>
    <col min="2564" max="2565" width="12.54296875" style="1007" customWidth="1"/>
    <col min="2566" max="2566" width="15.26953125" style="1007" customWidth="1"/>
    <col min="2567" max="2567" width="14.7265625" style="1007" customWidth="1"/>
    <col min="2568" max="2568" width="21.453125" style="1007" customWidth="1"/>
    <col min="2569" max="2570" width="14.7265625" style="1007" customWidth="1"/>
    <col min="2571" max="2571" width="16.26953125" style="1007" customWidth="1"/>
    <col min="2572" max="2812" width="14.7265625" style="1007"/>
    <col min="2813" max="2813" width="6" style="1007" customWidth="1"/>
    <col min="2814" max="2814" width="39.81640625" style="1007" customWidth="1"/>
    <col min="2815" max="2815" width="15.26953125" style="1007" customWidth="1"/>
    <col min="2816" max="2816" width="13.7265625" style="1007" customWidth="1"/>
    <col min="2817" max="2818" width="12.54296875" style="1007" customWidth="1"/>
    <col min="2819" max="2819" width="13.1796875" style="1007" customWidth="1"/>
    <col min="2820" max="2821" width="12.54296875" style="1007" customWidth="1"/>
    <col min="2822" max="2822" width="15.26953125" style="1007" customWidth="1"/>
    <col min="2823" max="2823" width="14.7265625" style="1007" customWidth="1"/>
    <col min="2824" max="2824" width="21.453125" style="1007" customWidth="1"/>
    <col min="2825" max="2826" width="14.7265625" style="1007" customWidth="1"/>
    <col min="2827" max="2827" width="16.26953125" style="1007" customWidth="1"/>
    <col min="2828" max="3068" width="14.7265625" style="1007"/>
    <col min="3069" max="3069" width="6" style="1007" customWidth="1"/>
    <col min="3070" max="3070" width="39.81640625" style="1007" customWidth="1"/>
    <col min="3071" max="3071" width="15.26953125" style="1007" customWidth="1"/>
    <col min="3072" max="3072" width="13.7265625" style="1007" customWidth="1"/>
    <col min="3073" max="3074" width="12.54296875" style="1007" customWidth="1"/>
    <col min="3075" max="3075" width="13.1796875" style="1007" customWidth="1"/>
    <col min="3076" max="3077" width="12.54296875" style="1007" customWidth="1"/>
    <col min="3078" max="3078" width="15.26953125" style="1007" customWidth="1"/>
    <col min="3079" max="3079" width="14.7265625" style="1007" customWidth="1"/>
    <col min="3080" max="3080" width="21.453125" style="1007" customWidth="1"/>
    <col min="3081" max="3082" width="14.7265625" style="1007" customWidth="1"/>
    <col min="3083" max="3083" width="16.26953125" style="1007" customWidth="1"/>
    <col min="3084" max="3324" width="14.7265625" style="1007"/>
    <col min="3325" max="3325" width="6" style="1007" customWidth="1"/>
    <col min="3326" max="3326" width="39.81640625" style="1007" customWidth="1"/>
    <col min="3327" max="3327" width="15.26953125" style="1007" customWidth="1"/>
    <col min="3328" max="3328" width="13.7265625" style="1007" customWidth="1"/>
    <col min="3329" max="3330" width="12.54296875" style="1007" customWidth="1"/>
    <col min="3331" max="3331" width="13.1796875" style="1007" customWidth="1"/>
    <col min="3332" max="3333" width="12.54296875" style="1007" customWidth="1"/>
    <col min="3334" max="3334" width="15.26953125" style="1007" customWidth="1"/>
    <col min="3335" max="3335" width="14.7265625" style="1007" customWidth="1"/>
    <col min="3336" max="3336" width="21.453125" style="1007" customWidth="1"/>
    <col min="3337" max="3338" width="14.7265625" style="1007" customWidth="1"/>
    <col min="3339" max="3339" width="16.26953125" style="1007" customWidth="1"/>
    <col min="3340" max="3580" width="14.7265625" style="1007"/>
    <col min="3581" max="3581" width="6" style="1007" customWidth="1"/>
    <col min="3582" max="3582" width="39.81640625" style="1007" customWidth="1"/>
    <col min="3583" max="3583" width="15.26953125" style="1007" customWidth="1"/>
    <col min="3584" max="3584" width="13.7265625" style="1007" customWidth="1"/>
    <col min="3585" max="3586" width="12.54296875" style="1007" customWidth="1"/>
    <col min="3587" max="3587" width="13.1796875" style="1007" customWidth="1"/>
    <col min="3588" max="3589" width="12.54296875" style="1007" customWidth="1"/>
    <col min="3590" max="3590" width="15.26953125" style="1007" customWidth="1"/>
    <col min="3591" max="3591" width="14.7265625" style="1007" customWidth="1"/>
    <col min="3592" max="3592" width="21.453125" style="1007" customWidth="1"/>
    <col min="3593" max="3594" width="14.7265625" style="1007" customWidth="1"/>
    <col min="3595" max="3595" width="16.26953125" style="1007" customWidth="1"/>
    <col min="3596" max="3836" width="14.7265625" style="1007"/>
    <col min="3837" max="3837" width="6" style="1007" customWidth="1"/>
    <col min="3838" max="3838" width="39.81640625" style="1007" customWidth="1"/>
    <col min="3839" max="3839" width="15.26953125" style="1007" customWidth="1"/>
    <col min="3840" max="3840" width="13.7265625" style="1007" customWidth="1"/>
    <col min="3841" max="3842" width="12.54296875" style="1007" customWidth="1"/>
    <col min="3843" max="3843" width="13.1796875" style="1007" customWidth="1"/>
    <col min="3844" max="3845" width="12.54296875" style="1007" customWidth="1"/>
    <col min="3846" max="3846" width="15.26953125" style="1007" customWidth="1"/>
    <col min="3847" max="3847" width="14.7265625" style="1007" customWidth="1"/>
    <col min="3848" max="3848" width="21.453125" style="1007" customWidth="1"/>
    <col min="3849" max="3850" width="14.7265625" style="1007" customWidth="1"/>
    <col min="3851" max="3851" width="16.26953125" style="1007" customWidth="1"/>
    <col min="3852" max="4092" width="14.7265625" style="1007"/>
    <col min="4093" max="4093" width="6" style="1007" customWidth="1"/>
    <col min="4094" max="4094" width="39.81640625" style="1007" customWidth="1"/>
    <col min="4095" max="4095" width="15.26953125" style="1007" customWidth="1"/>
    <col min="4096" max="4096" width="13.7265625" style="1007" customWidth="1"/>
    <col min="4097" max="4098" width="12.54296875" style="1007" customWidth="1"/>
    <col min="4099" max="4099" width="13.1796875" style="1007" customWidth="1"/>
    <col min="4100" max="4101" width="12.54296875" style="1007" customWidth="1"/>
    <col min="4102" max="4102" width="15.26953125" style="1007" customWidth="1"/>
    <col min="4103" max="4103" width="14.7265625" style="1007" customWidth="1"/>
    <col min="4104" max="4104" width="21.453125" style="1007" customWidth="1"/>
    <col min="4105" max="4106" width="14.7265625" style="1007" customWidth="1"/>
    <col min="4107" max="4107" width="16.26953125" style="1007" customWidth="1"/>
    <col min="4108" max="4348" width="14.7265625" style="1007"/>
    <col min="4349" max="4349" width="6" style="1007" customWidth="1"/>
    <col min="4350" max="4350" width="39.81640625" style="1007" customWidth="1"/>
    <col min="4351" max="4351" width="15.26953125" style="1007" customWidth="1"/>
    <col min="4352" max="4352" width="13.7265625" style="1007" customWidth="1"/>
    <col min="4353" max="4354" width="12.54296875" style="1007" customWidth="1"/>
    <col min="4355" max="4355" width="13.1796875" style="1007" customWidth="1"/>
    <col min="4356" max="4357" width="12.54296875" style="1007" customWidth="1"/>
    <col min="4358" max="4358" width="15.26953125" style="1007" customWidth="1"/>
    <col min="4359" max="4359" width="14.7265625" style="1007" customWidth="1"/>
    <col min="4360" max="4360" width="21.453125" style="1007" customWidth="1"/>
    <col min="4361" max="4362" width="14.7265625" style="1007" customWidth="1"/>
    <col min="4363" max="4363" width="16.26953125" style="1007" customWidth="1"/>
    <col min="4364" max="4604" width="14.7265625" style="1007"/>
    <col min="4605" max="4605" width="6" style="1007" customWidth="1"/>
    <col min="4606" max="4606" width="39.81640625" style="1007" customWidth="1"/>
    <col min="4607" max="4607" width="15.26953125" style="1007" customWidth="1"/>
    <col min="4608" max="4608" width="13.7265625" style="1007" customWidth="1"/>
    <col min="4609" max="4610" width="12.54296875" style="1007" customWidth="1"/>
    <col min="4611" max="4611" width="13.1796875" style="1007" customWidth="1"/>
    <col min="4612" max="4613" width="12.54296875" style="1007" customWidth="1"/>
    <col min="4614" max="4614" width="15.26953125" style="1007" customWidth="1"/>
    <col min="4615" max="4615" width="14.7265625" style="1007" customWidth="1"/>
    <col min="4616" max="4616" width="21.453125" style="1007" customWidth="1"/>
    <col min="4617" max="4618" width="14.7265625" style="1007" customWidth="1"/>
    <col min="4619" max="4619" width="16.26953125" style="1007" customWidth="1"/>
    <col min="4620" max="4860" width="14.7265625" style="1007"/>
    <col min="4861" max="4861" width="6" style="1007" customWidth="1"/>
    <col min="4862" max="4862" width="39.81640625" style="1007" customWidth="1"/>
    <col min="4863" max="4863" width="15.26953125" style="1007" customWidth="1"/>
    <col min="4864" max="4864" width="13.7265625" style="1007" customWidth="1"/>
    <col min="4865" max="4866" width="12.54296875" style="1007" customWidth="1"/>
    <col min="4867" max="4867" width="13.1796875" style="1007" customWidth="1"/>
    <col min="4868" max="4869" width="12.54296875" style="1007" customWidth="1"/>
    <col min="4870" max="4870" width="15.26953125" style="1007" customWidth="1"/>
    <col min="4871" max="4871" width="14.7265625" style="1007" customWidth="1"/>
    <col min="4872" max="4872" width="21.453125" style="1007" customWidth="1"/>
    <col min="4873" max="4874" width="14.7265625" style="1007" customWidth="1"/>
    <col min="4875" max="4875" width="16.26953125" style="1007" customWidth="1"/>
    <col min="4876" max="5116" width="14.7265625" style="1007"/>
    <col min="5117" max="5117" width="6" style="1007" customWidth="1"/>
    <col min="5118" max="5118" width="39.81640625" style="1007" customWidth="1"/>
    <col min="5119" max="5119" width="15.26953125" style="1007" customWidth="1"/>
    <col min="5120" max="5120" width="13.7265625" style="1007" customWidth="1"/>
    <col min="5121" max="5122" width="12.54296875" style="1007" customWidth="1"/>
    <col min="5123" max="5123" width="13.1796875" style="1007" customWidth="1"/>
    <col min="5124" max="5125" width="12.54296875" style="1007" customWidth="1"/>
    <col min="5126" max="5126" width="15.26953125" style="1007" customWidth="1"/>
    <col min="5127" max="5127" width="14.7265625" style="1007" customWidth="1"/>
    <col min="5128" max="5128" width="21.453125" style="1007" customWidth="1"/>
    <col min="5129" max="5130" width="14.7265625" style="1007" customWidth="1"/>
    <col min="5131" max="5131" width="16.26953125" style="1007" customWidth="1"/>
    <col min="5132" max="5372" width="14.7265625" style="1007"/>
    <col min="5373" max="5373" width="6" style="1007" customWidth="1"/>
    <col min="5374" max="5374" width="39.81640625" style="1007" customWidth="1"/>
    <col min="5375" max="5375" width="15.26953125" style="1007" customWidth="1"/>
    <col min="5376" max="5376" width="13.7265625" style="1007" customWidth="1"/>
    <col min="5377" max="5378" width="12.54296875" style="1007" customWidth="1"/>
    <col min="5379" max="5379" width="13.1796875" style="1007" customWidth="1"/>
    <col min="5380" max="5381" width="12.54296875" style="1007" customWidth="1"/>
    <col min="5382" max="5382" width="15.26953125" style="1007" customWidth="1"/>
    <col min="5383" max="5383" width="14.7265625" style="1007" customWidth="1"/>
    <col min="5384" max="5384" width="21.453125" style="1007" customWidth="1"/>
    <col min="5385" max="5386" width="14.7265625" style="1007" customWidth="1"/>
    <col min="5387" max="5387" width="16.26953125" style="1007" customWidth="1"/>
    <col min="5388" max="5628" width="14.7265625" style="1007"/>
    <col min="5629" max="5629" width="6" style="1007" customWidth="1"/>
    <col min="5630" max="5630" width="39.81640625" style="1007" customWidth="1"/>
    <col min="5631" max="5631" width="15.26953125" style="1007" customWidth="1"/>
    <col min="5632" max="5632" width="13.7265625" style="1007" customWidth="1"/>
    <col min="5633" max="5634" width="12.54296875" style="1007" customWidth="1"/>
    <col min="5635" max="5635" width="13.1796875" style="1007" customWidth="1"/>
    <col min="5636" max="5637" width="12.54296875" style="1007" customWidth="1"/>
    <col min="5638" max="5638" width="15.26953125" style="1007" customWidth="1"/>
    <col min="5639" max="5639" width="14.7265625" style="1007" customWidth="1"/>
    <col min="5640" max="5640" width="21.453125" style="1007" customWidth="1"/>
    <col min="5641" max="5642" width="14.7265625" style="1007" customWidth="1"/>
    <col min="5643" max="5643" width="16.26953125" style="1007" customWidth="1"/>
    <col min="5644" max="5884" width="14.7265625" style="1007"/>
    <col min="5885" max="5885" width="6" style="1007" customWidth="1"/>
    <col min="5886" max="5886" width="39.81640625" style="1007" customWidth="1"/>
    <col min="5887" max="5887" width="15.26953125" style="1007" customWidth="1"/>
    <col min="5888" max="5888" width="13.7265625" style="1007" customWidth="1"/>
    <col min="5889" max="5890" width="12.54296875" style="1007" customWidth="1"/>
    <col min="5891" max="5891" width="13.1796875" style="1007" customWidth="1"/>
    <col min="5892" max="5893" width="12.54296875" style="1007" customWidth="1"/>
    <col min="5894" max="5894" width="15.26953125" style="1007" customWidth="1"/>
    <col min="5895" max="5895" width="14.7265625" style="1007" customWidth="1"/>
    <col min="5896" max="5896" width="21.453125" style="1007" customWidth="1"/>
    <col min="5897" max="5898" width="14.7265625" style="1007" customWidth="1"/>
    <col min="5899" max="5899" width="16.26953125" style="1007" customWidth="1"/>
    <col min="5900" max="6140" width="14.7265625" style="1007"/>
    <col min="6141" max="6141" width="6" style="1007" customWidth="1"/>
    <col min="6142" max="6142" width="39.81640625" style="1007" customWidth="1"/>
    <col min="6143" max="6143" width="15.26953125" style="1007" customWidth="1"/>
    <col min="6144" max="6144" width="13.7265625" style="1007" customWidth="1"/>
    <col min="6145" max="6146" width="12.54296875" style="1007" customWidth="1"/>
    <col min="6147" max="6147" width="13.1796875" style="1007" customWidth="1"/>
    <col min="6148" max="6149" width="12.54296875" style="1007" customWidth="1"/>
    <col min="6150" max="6150" width="15.26953125" style="1007" customWidth="1"/>
    <col min="6151" max="6151" width="14.7265625" style="1007" customWidth="1"/>
    <col min="6152" max="6152" width="21.453125" style="1007" customWidth="1"/>
    <col min="6153" max="6154" width="14.7265625" style="1007" customWidth="1"/>
    <col min="6155" max="6155" width="16.26953125" style="1007" customWidth="1"/>
    <col min="6156" max="6396" width="14.7265625" style="1007"/>
    <col min="6397" max="6397" width="6" style="1007" customWidth="1"/>
    <col min="6398" max="6398" width="39.81640625" style="1007" customWidth="1"/>
    <col min="6399" max="6399" width="15.26953125" style="1007" customWidth="1"/>
    <col min="6400" max="6400" width="13.7265625" style="1007" customWidth="1"/>
    <col min="6401" max="6402" width="12.54296875" style="1007" customWidth="1"/>
    <col min="6403" max="6403" width="13.1796875" style="1007" customWidth="1"/>
    <col min="6404" max="6405" width="12.54296875" style="1007" customWidth="1"/>
    <col min="6406" max="6406" width="15.26953125" style="1007" customWidth="1"/>
    <col min="6407" max="6407" width="14.7265625" style="1007" customWidth="1"/>
    <col min="6408" max="6408" width="21.453125" style="1007" customWidth="1"/>
    <col min="6409" max="6410" width="14.7265625" style="1007" customWidth="1"/>
    <col min="6411" max="6411" width="16.26953125" style="1007" customWidth="1"/>
    <col min="6412" max="6652" width="14.7265625" style="1007"/>
    <col min="6653" max="6653" width="6" style="1007" customWidth="1"/>
    <col min="6654" max="6654" width="39.81640625" style="1007" customWidth="1"/>
    <col min="6655" max="6655" width="15.26953125" style="1007" customWidth="1"/>
    <col min="6656" max="6656" width="13.7265625" style="1007" customWidth="1"/>
    <col min="6657" max="6658" width="12.54296875" style="1007" customWidth="1"/>
    <col min="6659" max="6659" width="13.1796875" style="1007" customWidth="1"/>
    <col min="6660" max="6661" width="12.54296875" style="1007" customWidth="1"/>
    <col min="6662" max="6662" width="15.26953125" style="1007" customWidth="1"/>
    <col min="6663" max="6663" width="14.7265625" style="1007" customWidth="1"/>
    <col min="6664" max="6664" width="21.453125" style="1007" customWidth="1"/>
    <col min="6665" max="6666" width="14.7265625" style="1007" customWidth="1"/>
    <col min="6667" max="6667" width="16.26953125" style="1007" customWidth="1"/>
    <col min="6668" max="6908" width="14.7265625" style="1007"/>
    <col min="6909" max="6909" width="6" style="1007" customWidth="1"/>
    <col min="6910" max="6910" width="39.81640625" style="1007" customWidth="1"/>
    <col min="6911" max="6911" width="15.26953125" style="1007" customWidth="1"/>
    <col min="6912" max="6912" width="13.7265625" style="1007" customWidth="1"/>
    <col min="6913" max="6914" width="12.54296875" style="1007" customWidth="1"/>
    <col min="6915" max="6915" width="13.1796875" style="1007" customWidth="1"/>
    <col min="6916" max="6917" width="12.54296875" style="1007" customWidth="1"/>
    <col min="6918" max="6918" width="15.26953125" style="1007" customWidth="1"/>
    <col min="6919" max="6919" width="14.7265625" style="1007" customWidth="1"/>
    <col min="6920" max="6920" width="21.453125" style="1007" customWidth="1"/>
    <col min="6921" max="6922" width="14.7265625" style="1007" customWidth="1"/>
    <col min="6923" max="6923" width="16.26953125" style="1007" customWidth="1"/>
    <col min="6924" max="7164" width="14.7265625" style="1007"/>
    <col min="7165" max="7165" width="6" style="1007" customWidth="1"/>
    <col min="7166" max="7166" width="39.81640625" style="1007" customWidth="1"/>
    <col min="7167" max="7167" width="15.26953125" style="1007" customWidth="1"/>
    <col min="7168" max="7168" width="13.7265625" style="1007" customWidth="1"/>
    <col min="7169" max="7170" width="12.54296875" style="1007" customWidth="1"/>
    <col min="7171" max="7171" width="13.1796875" style="1007" customWidth="1"/>
    <col min="7172" max="7173" width="12.54296875" style="1007" customWidth="1"/>
    <col min="7174" max="7174" width="15.26953125" style="1007" customWidth="1"/>
    <col min="7175" max="7175" width="14.7265625" style="1007" customWidth="1"/>
    <col min="7176" max="7176" width="21.453125" style="1007" customWidth="1"/>
    <col min="7177" max="7178" width="14.7265625" style="1007" customWidth="1"/>
    <col min="7179" max="7179" width="16.26953125" style="1007" customWidth="1"/>
    <col min="7180" max="7420" width="14.7265625" style="1007"/>
    <col min="7421" max="7421" width="6" style="1007" customWidth="1"/>
    <col min="7422" max="7422" width="39.81640625" style="1007" customWidth="1"/>
    <col min="7423" max="7423" width="15.26953125" style="1007" customWidth="1"/>
    <col min="7424" max="7424" width="13.7265625" style="1007" customWidth="1"/>
    <col min="7425" max="7426" width="12.54296875" style="1007" customWidth="1"/>
    <col min="7427" max="7427" width="13.1796875" style="1007" customWidth="1"/>
    <col min="7428" max="7429" width="12.54296875" style="1007" customWidth="1"/>
    <col min="7430" max="7430" width="15.26953125" style="1007" customWidth="1"/>
    <col min="7431" max="7431" width="14.7265625" style="1007" customWidth="1"/>
    <col min="7432" max="7432" width="21.453125" style="1007" customWidth="1"/>
    <col min="7433" max="7434" width="14.7265625" style="1007" customWidth="1"/>
    <col min="7435" max="7435" width="16.26953125" style="1007" customWidth="1"/>
    <col min="7436" max="7676" width="14.7265625" style="1007"/>
    <col min="7677" max="7677" width="6" style="1007" customWidth="1"/>
    <col min="7678" max="7678" width="39.81640625" style="1007" customWidth="1"/>
    <col min="7679" max="7679" width="15.26953125" style="1007" customWidth="1"/>
    <col min="7680" max="7680" width="13.7265625" style="1007" customWidth="1"/>
    <col min="7681" max="7682" width="12.54296875" style="1007" customWidth="1"/>
    <col min="7683" max="7683" width="13.1796875" style="1007" customWidth="1"/>
    <col min="7684" max="7685" width="12.54296875" style="1007" customWidth="1"/>
    <col min="7686" max="7686" width="15.26953125" style="1007" customWidth="1"/>
    <col min="7687" max="7687" width="14.7265625" style="1007" customWidth="1"/>
    <col min="7688" max="7688" width="21.453125" style="1007" customWidth="1"/>
    <col min="7689" max="7690" width="14.7265625" style="1007" customWidth="1"/>
    <col min="7691" max="7691" width="16.26953125" style="1007" customWidth="1"/>
    <col min="7692" max="7932" width="14.7265625" style="1007"/>
    <col min="7933" max="7933" width="6" style="1007" customWidth="1"/>
    <col min="7934" max="7934" width="39.81640625" style="1007" customWidth="1"/>
    <col min="7935" max="7935" width="15.26953125" style="1007" customWidth="1"/>
    <col min="7936" max="7936" width="13.7265625" style="1007" customWidth="1"/>
    <col min="7937" max="7938" width="12.54296875" style="1007" customWidth="1"/>
    <col min="7939" max="7939" width="13.1796875" style="1007" customWidth="1"/>
    <col min="7940" max="7941" width="12.54296875" style="1007" customWidth="1"/>
    <col min="7942" max="7942" width="15.26953125" style="1007" customWidth="1"/>
    <col min="7943" max="7943" width="14.7265625" style="1007" customWidth="1"/>
    <col min="7944" max="7944" width="21.453125" style="1007" customWidth="1"/>
    <col min="7945" max="7946" width="14.7265625" style="1007" customWidth="1"/>
    <col min="7947" max="7947" width="16.26953125" style="1007" customWidth="1"/>
    <col min="7948" max="8188" width="14.7265625" style="1007"/>
    <col min="8189" max="8189" width="6" style="1007" customWidth="1"/>
    <col min="8190" max="8190" width="39.81640625" style="1007" customWidth="1"/>
    <col min="8191" max="8191" width="15.26953125" style="1007" customWidth="1"/>
    <col min="8192" max="8192" width="13.7265625" style="1007" customWidth="1"/>
    <col min="8193" max="8194" width="12.54296875" style="1007" customWidth="1"/>
    <col min="8195" max="8195" width="13.1796875" style="1007" customWidth="1"/>
    <col min="8196" max="8197" width="12.54296875" style="1007" customWidth="1"/>
    <col min="8198" max="8198" width="15.26953125" style="1007" customWidth="1"/>
    <col min="8199" max="8199" width="14.7265625" style="1007" customWidth="1"/>
    <col min="8200" max="8200" width="21.453125" style="1007" customWidth="1"/>
    <col min="8201" max="8202" width="14.7265625" style="1007" customWidth="1"/>
    <col min="8203" max="8203" width="16.26953125" style="1007" customWidth="1"/>
    <col min="8204" max="8444" width="14.7265625" style="1007"/>
    <col min="8445" max="8445" width="6" style="1007" customWidth="1"/>
    <col min="8446" max="8446" width="39.81640625" style="1007" customWidth="1"/>
    <col min="8447" max="8447" width="15.26953125" style="1007" customWidth="1"/>
    <col min="8448" max="8448" width="13.7265625" style="1007" customWidth="1"/>
    <col min="8449" max="8450" width="12.54296875" style="1007" customWidth="1"/>
    <col min="8451" max="8451" width="13.1796875" style="1007" customWidth="1"/>
    <col min="8452" max="8453" width="12.54296875" style="1007" customWidth="1"/>
    <col min="8454" max="8454" width="15.26953125" style="1007" customWidth="1"/>
    <col min="8455" max="8455" width="14.7265625" style="1007" customWidth="1"/>
    <col min="8456" max="8456" width="21.453125" style="1007" customWidth="1"/>
    <col min="8457" max="8458" width="14.7265625" style="1007" customWidth="1"/>
    <col min="8459" max="8459" width="16.26953125" style="1007" customWidth="1"/>
    <col min="8460" max="8700" width="14.7265625" style="1007"/>
    <col min="8701" max="8701" width="6" style="1007" customWidth="1"/>
    <col min="8702" max="8702" width="39.81640625" style="1007" customWidth="1"/>
    <col min="8703" max="8703" width="15.26953125" style="1007" customWidth="1"/>
    <col min="8704" max="8704" width="13.7265625" style="1007" customWidth="1"/>
    <col min="8705" max="8706" width="12.54296875" style="1007" customWidth="1"/>
    <col min="8707" max="8707" width="13.1796875" style="1007" customWidth="1"/>
    <col min="8708" max="8709" width="12.54296875" style="1007" customWidth="1"/>
    <col min="8710" max="8710" width="15.26953125" style="1007" customWidth="1"/>
    <col min="8711" max="8711" width="14.7265625" style="1007" customWidth="1"/>
    <col min="8712" max="8712" width="21.453125" style="1007" customWidth="1"/>
    <col min="8713" max="8714" width="14.7265625" style="1007" customWidth="1"/>
    <col min="8715" max="8715" width="16.26953125" style="1007" customWidth="1"/>
    <col min="8716" max="8956" width="14.7265625" style="1007"/>
    <col min="8957" max="8957" width="6" style="1007" customWidth="1"/>
    <col min="8958" max="8958" width="39.81640625" style="1007" customWidth="1"/>
    <col min="8959" max="8959" width="15.26953125" style="1007" customWidth="1"/>
    <col min="8960" max="8960" width="13.7265625" style="1007" customWidth="1"/>
    <col min="8961" max="8962" width="12.54296875" style="1007" customWidth="1"/>
    <col min="8963" max="8963" width="13.1796875" style="1007" customWidth="1"/>
    <col min="8964" max="8965" width="12.54296875" style="1007" customWidth="1"/>
    <col min="8966" max="8966" width="15.26953125" style="1007" customWidth="1"/>
    <col min="8967" max="8967" width="14.7265625" style="1007" customWidth="1"/>
    <col min="8968" max="8968" width="21.453125" style="1007" customWidth="1"/>
    <col min="8969" max="8970" width="14.7265625" style="1007" customWidth="1"/>
    <col min="8971" max="8971" width="16.26953125" style="1007" customWidth="1"/>
    <col min="8972" max="9212" width="14.7265625" style="1007"/>
    <col min="9213" max="9213" width="6" style="1007" customWidth="1"/>
    <col min="9214" max="9214" width="39.81640625" style="1007" customWidth="1"/>
    <col min="9215" max="9215" width="15.26953125" style="1007" customWidth="1"/>
    <col min="9216" max="9216" width="13.7265625" style="1007" customWidth="1"/>
    <col min="9217" max="9218" width="12.54296875" style="1007" customWidth="1"/>
    <col min="9219" max="9219" width="13.1796875" style="1007" customWidth="1"/>
    <col min="9220" max="9221" width="12.54296875" style="1007" customWidth="1"/>
    <col min="9222" max="9222" width="15.26953125" style="1007" customWidth="1"/>
    <col min="9223" max="9223" width="14.7265625" style="1007" customWidth="1"/>
    <col min="9224" max="9224" width="21.453125" style="1007" customWidth="1"/>
    <col min="9225" max="9226" width="14.7265625" style="1007" customWidth="1"/>
    <col min="9227" max="9227" width="16.26953125" style="1007" customWidth="1"/>
    <col min="9228" max="9468" width="14.7265625" style="1007"/>
    <col min="9469" max="9469" width="6" style="1007" customWidth="1"/>
    <col min="9470" max="9470" width="39.81640625" style="1007" customWidth="1"/>
    <col min="9471" max="9471" width="15.26953125" style="1007" customWidth="1"/>
    <col min="9472" max="9472" width="13.7265625" style="1007" customWidth="1"/>
    <col min="9473" max="9474" width="12.54296875" style="1007" customWidth="1"/>
    <col min="9475" max="9475" width="13.1796875" style="1007" customWidth="1"/>
    <col min="9476" max="9477" width="12.54296875" style="1007" customWidth="1"/>
    <col min="9478" max="9478" width="15.26953125" style="1007" customWidth="1"/>
    <col min="9479" max="9479" width="14.7265625" style="1007" customWidth="1"/>
    <col min="9480" max="9480" width="21.453125" style="1007" customWidth="1"/>
    <col min="9481" max="9482" width="14.7265625" style="1007" customWidth="1"/>
    <col min="9483" max="9483" width="16.26953125" style="1007" customWidth="1"/>
    <col min="9484" max="9724" width="14.7265625" style="1007"/>
    <col min="9725" max="9725" width="6" style="1007" customWidth="1"/>
    <col min="9726" max="9726" width="39.81640625" style="1007" customWidth="1"/>
    <col min="9727" max="9727" width="15.26953125" style="1007" customWidth="1"/>
    <col min="9728" max="9728" width="13.7265625" style="1007" customWidth="1"/>
    <col min="9729" max="9730" width="12.54296875" style="1007" customWidth="1"/>
    <col min="9731" max="9731" width="13.1796875" style="1007" customWidth="1"/>
    <col min="9732" max="9733" width="12.54296875" style="1007" customWidth="1"/>
    <col min="9734" max="9734" width="15.26953125" style="1007" customWidth="1"/>
    <col min="9735" max="9735" width="14.7265625" style="1007" customWidth="1"/>
    <col min="9736" max="9736" width="21.453125" style="1007" customWidth="1"/>
    <col min="9737" max="9738" width="14.7265625" style="1007" customWidth="1"/>
    <col min="9739" max="9739" width="16.26953125" style="1007" customWidth="1"/>
    <col min="9740" max="9980" width="14.7265625" style="1007"/>
    <col min="9981" max="9981" width="6" style="1007" customWidth="1"/>
    <col min="9982" max="9982" width="39.81640625" style="1007" customWidth="1"/>
    <col min="9983" max="9983" width="15.26953125" style="1007" customWidth="1"/>
    <col min="9984" max="9984" width="13.7265625" style="1007" customWidth="1"/>
    <col min="9985" max="9986" width="12.54296875" style="1007" customWidth="1"/>
    <col min="9987" max="9987" width="13.1796875" style="1007" customWidth="1"/>
    <col min="9988" max="9989" width="12.54296875" style="1007" customWidth="1"/>
    <col min="9990" max="9990" width="15.26953125" style="1007" customWidth="1"/>
    <col min="9991" max="9991" width="14.7265625" style="1007" customWidth="1"/>
    <col min="9992" max="9992" width="21.453125" style="1007" customWidth="1"/>
    <col min="9993" max="9994" width="14.7265625" style="1007" customWidth="1"/>
    <col min="9995" max="9995" width="16.26953125" style="1007" customWidth="1"/>
    <col min="9996" max="10236" width="14.7265625" style="1007"/>
    <col min="10237" max="10237" width="6" style="1007" customWidth="1"/>
    <col min="10238" max="10238" width="39.81640625" style="1007" customWidth="1"/>
    <col min="10239" max="10239" width="15.26953125" style="1007" customWidth="1"/>
    <col min="10240" max="10240" width="13.7265625" style="1007" customWidth="1"/>
    <col min="10241" max="10242" width="12.54296875" style="1007" customWidth="1"/>
    <col min="10243" max="10243" width="13.1796875" style="1007" customWidth="1"/>
    <col min="10244" max="10245" width="12.54296875" style="1007" customWidth="1"/>
    <col min="10246" max="10246" width="15.26953125" style="1007" customWidth="1"/>
    <col min="10247" max="10247" width="14.7265625" style="1007" customWidth="1"/>
    <col min="10248" max="10248" width="21.453125" style="1007" customWidth="1"/>
    <col min="10249" max="10250" width="14.7265625" style="1007" customWidth="1"/>
    <col min="10251" max="10251" width="16.26953125" style="1007" customWidth="1"/>
    <col min="10252" max="10492" width="14.7265625" style="1007"/>
    <col min="10493" max="10493" width="6" style="1007" customWidth="1"/>
    <col min="10494" max="10494" width="39.81640625" style="1007" customWidth="1"/>
    <col min="10495" max="10495" width="15.26953125" style="1007" customWidth="1"/>
    <col min="10496" max="10496" width="13.7265625" style="1007" customWidth="1"/>
    <col min="10497" max="10498" width="12.54296875" style="1007" customWidth="1"/>
    <col min="10499" max="10499" width="13.1796875" style="1007" customWidth="1"/>
    <col min="10500" max="10501" width="12.54296875" style="1007" customWidth="1"/>
    <col min="10502" max="10502" width="15.26953125" style="1007" customWidth="1"/>
    <col min="10503" max="10503" width="14.7265625" style="1007" customWidth="1"/>
    <col min="10504" max="10504" width="21.453125" style="1007" customWidth="1"/>
    <col min="10505" max="10506" width="14.7265625" style="1007" customWidth="1"/>
    <col min="10507" max="10507" width="16.26953125" style="1007" customWidth="1"/>
    <col min="10508" max="10748" width="14.7265625" style="1007"/>
    <col min="10749" max="10749" width="6" style="1007" customWidth="1"/>
    <col min="10750" max="10750" width="39.81640625" style="1007" customWidth="1"/>
    <col min="10751" max="10751" width="15.26953125" style="1007" customWidth="1"/>
    <col min="10752" max="10752" width="13.7265625" style="1007" customWidth="1"/>
    <col min="10753" max="10754" width="12.54296875" style="1007" customWidth="1"/>
    <col min="10755" max="10755" width="13.1796875" style="1007" customWidth="1"/>
    <col min="10756" max="10757" width="12.54296875" style="1007" customWidth="1"/>
    <col min="10758" max="10758" width="15.26953125" style="1007" customWidth="1"/>
    <col min="10759" max="10759" width="14.7265625" style="1007" customWidth="1"/>
    <col min="10760" max="10760" width="21.453125" style="1007" customWidth="1"/>
    <col min="10761" max="10762" width="14.7265625" style="1007" customWidth="1"/>
    <col min="10763" max="10763" width="16.26953125" style="1007" customWidth="1"/>
    <col min="10764" max="11004" width="14.7265625" style="1007"/>
    <col min="11005" max="11005" width="6" style="1007" customWidth="1"/>
    <col min="11006" max="11006" width="39.81640625" style="1007" customWidth="1"/>
    <col min="11007" max="11007" width="15.26953125" style="1007" customWidth="1"/>
    <col min="11008" max="11008" width="13.7265625" style="1007" customWidth="1"/>
    <col min="11009" max="11010" width="12.54296875" style="1007" customWidth="1"/>
    <col min="11011" max="11011" width="13.1796875" style="1007" customWidth="1"/>
    <col min="11012" max="11013" width="12.54296875" style="1007" customWidth="1"/>
    <col min="11014" max="11014" width="15.26953125" style="1007" customWidth="1"/>
    <col min="11015" max="11015" width="14.7265625" style="1007" customWidth="1"/>
    <col min="11016" max="11016" width="21.453125" style="1007" customWidth="1"/>
    <col min="11017" max="11018" width="14.7265625" style="1007" customWidth="1"/>
    <col min="11019" max="11019" width="16.26953125" style="1007" customWidth="1"/>
    <col min="11020" max="11260" width="14.7265625" style="1007"/>
    <col min="11261" max="11261" width="6" style="1007" customWidth="1"/>
    <col min="11262" max="11262" width="39.81640625" style="1007" customWidth="1"/>
    <col min="11263" max="11263" width="15.26953125" style="1007" customWidth="1"/>
    <col min="11264" max="11264" width="13.7265625" style="1007" customWidth="1"/>
    <col min="11265" max="11266" width="12.54296875" style="1007" customWidth="1"/>
    <col min="11267" max="11267" width="13.1796875" style="1007" customWidth="1"/>
    <col min="11268" max="11269" width="12.54296875" style="1007" customWidth="1"/>
    <col min="11270" max="11270" width="15.26953125" style="1007" customWidth="1"/>
    <col min="11271" max="11271" width="14.7265625" style="1007" customWidth="1"/>
    <col min="11272" max="11272" width="21.453125" style="1007" customWidth="1"/>
    <col min="11273" max="11274" width="14.7265625" style="1007" customWidth="1"/>
    <col min="11275" max="11275" width="16.26953125" style="1007" customWidth="1"/>
    <col min="11276" max="11516" width="14.7265625" style="1007"/>
    <col min="11517" max="11517" width="6" style="1007" customWidth="1"/>
    <col min="11518" max="11518" width="39.81640625" style="1007" customWidth="1"/>
    <col min="11519" max="11519" width="15.26953125" style="1007" customWidth="1"/>
    <col min="11520" max="11520" width="13.7265625" style="1007" customWidth="1"/>
    <col min="11521" max="11522" width="12.54296875" style="1007" customWidth="1"/>
    <col min="11523" max="11523" width="13.1796875" style="1007" customWidth="1"/>
    <col min="11524" max="11525" width="12.54296875" style="1007" customWidth="1"/>
    <col min="11526" max="11526" width="15.26953125" style="1007" customWidth="1"/>
    <col min="11527" max="11527" width="14.7265625" style="1007" customWidth="1"/>
    <col min="11528" max="11528" width="21.453125" style="1007" customWidth="1"/>
    <col min="11529" max="11530" width="14.7265625" style="1007" customWidth="1"/>
    <col min="11531" max="11531" width="16.26953125" style="1007" customWidth="1"/>
    <col min="11532" max="11772" width="14.7265625" style="1007"/>
    <col min="11773" max="11773" width="6" style="1007" customWidth="1"/>
    <col min="11774" max="11774" width="39.81640625" style="1007" customWidth="1"/>
    <col min="11775" max="11775" width="15.26953125" style="1007" customWidth="1"/>
    <col min="11776" max="11776" width="13.7265625" style="1007" customWidth="1"/>
    <col min="11777" max="11778" width="12.54296875" style="1007" customWidth="1"/>
    <col min="11779" max="11779" width="13.1796875" style="1007" customWidth="1"/>
    <col min="11780" max="11781" width="12.54296875" style="1007" customWidth="1"/>
    <col min="11782" max="11782" width="15.26953125" style="1007" customWidth="1"/>
    <col min="11783" max="11783" width="14.7265625" style="1007" customWidth="1"/>
    <col min="11784" max="11784" width="21.453125" style="1007" customWidth="1"/>
    <col min="11785" max="11786" width="14.7265625" style="1007" customWidth="1"/>
    <col min="11787" max="11787" width="16.26953125" style="1007" customWidth="1"/>
    <col min="11788" max="12028" width="14.7265625" style="1007"/>
    <col min="12029" max="12029" width="6" style="1007" customWidth="1"/>
    <col min="12030" max="12030" width="39.81640625" style="1007" customWidth="1"/>
    <col min="12031" max="12031" width="15.26953125" style="1007" customWidth="1"/>
    <col min="12032" max="12032" width="13.7265625" style="1007" customWidth="1"/>
    <col min="12033" max="12034" width="12.54296875" style="1007" customWidth="1"/>
    <col min="12035" max="12035" width="13.1796875" style="1007" customWidth="1"/>
    <col min="12036" max="12037" width="12.54296875" style="1007" customWidth="1"/>
    <col min="12038" max="12038" width="15.26953125" style="1007" customWidth="1"/>
    <col min="12039" max="12039" width="14.7265625" style="1007" customWidth="1"/>
    <col min="12040" max="12040" width="21.453125" style="1007" customWidth="1"/>
    <col min="12041" max="12042" width="14.7265625" style="1007" customWidth="1"/>
    <col min="12043" max="12043" width="16.26953125" style="1007" customWidth="1"/>
    <col min="12044" max="12284" width="14.7265625" style="1007"/>
    <col min="12285" max="12285" width="6" style="1007" customWidth="1"/>
    <col min="12286" max="12286" width="39.81640625" style="1007" customWidth="1"/>
    <col min="12287" max="12287" width="15.26953125" style="1007" customWidth="1"/>
    <col min="12288" max="12288" width="13.7265625" style="1007" customWidth="1"/>
    <col min="12289" max="12290" width="12.54296875" style="1007" customWidth="1"/>
    <col min="12291" max="12291" width="13.1796875" style="1007" customWidth="1"/>
    <col min="12292" max="12293" width="12.54296875" style="1007" customWidth="1"/>
    <col min="12294" max="12294" width="15.26953125" style="1007" customWidth="1"/>
    <col min="12295" max="12295" width="14.7265625" style="1007" customWidth="1"/>
    <col min="12296" max="12296" width="21.453125" style="1007" customWidth="1"/>
    <col min="12297" max="12298" width="14.7265625" style="1007" customWidth="1"/>
    <col min="12299" max="12299" width="16.26953125" style="1007" customWidth="1"/>
    <col min="12300" max="12540" width="14.7265625" style="1007"/>
    <col min="12541" max="12541" width="6" style="1007" customWidth="1"/>
    <col min="12542" max="12542" width="39.81640625" style="1007" customWidth="1"/>
    <col min="12543" max="12543" width="15.26953125" style="1007" customWidth="1"/>
    <col min="12544" max="12544" width="13.7265625" style="1007" customWidth="1"/>
    <col min="12545" max="12546" width="12.54296875" style="1007" customWidth="1"/>
    <col min="12547" max="12547" width="13.1796875" style="1007" customWidth="1"/>
    <col min="12548" max="12549" width="12.54296875" style="1007" customWidth="1"/>
    <col min="12550" max="12550" width="15.26953125" style="1007" customWidth="1"/>
    <col min="12551" max="12551" width="14.7265625" style="1007" customWidth="1"/>
    <col min="12552" max="12552" width="21.453125" style="1007" customWidth="1"/>
    <col min="12553" max="12554" width="14.7265625" style="1007" customWidth="1"/>
    <col min="12555" max="12555" width="16.26953125" style="1007" customWidth="1"/>
    <col min="12556" max="12796" width="14.7265625" style="1007"/>
    <col min="12797" max="12797" width="6" style="1007" customWidth="1"/>
    <col min="12798" max="12798" width="39.81640625" style="1007" customWidth="1"/>
    <col min="12799" max="12799" width="15.26953125" style="1007" customWidth="1"/>
    <col min="12800" max="12800" width="13.7265625" style="1007" customWidth="1"/>
    <col min="12801" max="12802" width="12.54296875" style="1007" customWidth="1"/>
    <col min="12803" max="12803" width="13.1796875" style="1007" customWidth="1"/>
    <col min="12804" max="12805" width="12.54296875" style="1007" customWidth="1"/>
    <col min="12806" max="12806" width="15.26953125" style="1007" customWidth="1"/>
    <col min="12807" max="12807" width="14.7265625" style="1007" customWidth="1"/>
    <col min="12808" max="12808" width="21.453125" style="1007" customWidth="1"/>
    <col min="12809" max="12810" width="14.7265625" style="1007" customWidth="1"/>
    <col min="12811" max="12811" width="16.26953125" style="1007" customWidth="1"/>
    <col min="12812" max="13052" width="14.7265625" style="1007"/>
    <col min="13053" max="13053" width="6" style="1007" customWidth="1"/>
    <col min="13054" max="13054" width="39.81640625" style="1007" customWidth="1"/>
    <col min="13055" max="13055" width="15.26953125" style="1007" customWidth="1"/>
    <col min="13056" max="13056" width="13.7265625" style="1007" customWidth="1"/>
    <col min="13057" max="13058" width="12.54296875" style="1007" customWidth="1"/>
    <col min="13059" max="13059" width="13.1796875" style="1007" customWidth="1"/>
    <col min="13060" max="13061" width="12.54296875" style="1007" customWidth="1"/>
    <col min="13062" max="13062" width="15.26953125" style="1007" customWidth="1"/>
    <col min="13063" max="13063" width="14.7265625" style="1007" customWidth="1"/>
    <col min="13064" max="13064" width="21.453125" style="1007" customWidth="1"/>
    <col min="13065" max="13066" width="14.7265625" style="1007" customWidth="1"/>
    <col min="13067" max="13067" width="16.26953125" style="1007" customWidth="1"/>
    <col min="13068" max="13308" width="14.7265625" style="1007"/>
    <col min="13309" max="13309" width="6" style="1007" customWidth="1"/>
    <col min="13310" max="13310" width="39.81640625" style="1007" customWidth="1"/>
    <col min="13311" max="13311" width="15.26953125" style="1007" customWidth="1"/>
    <col min="13312" max="13312" width="13.7265625" style="1007" customWidth="1"/>
    <col min="13313" max="13314" width="12.54296875" style="1007" customWidth="1"/>
    <col min="13315" max="13315" width="13.1796875" style="1007" customWidth="1"/>
    <col min="13316" max="13317" width="12.54296875" style="1007" customWidth="1"/>
    <col min="13318" max="13318" width="15.26953125" style="1007" customWidth="1"/>
    <col min="13319" max="13319" width="14.7265625" style="1007" customWidth="1"/>
    <col min="13320" max="13320" width="21.453125" style="1007" customWidth="1"/>
    <col min="13321" max="13322" width="14.7265625" style="1007" customWidth="1"/>
    <col min="13323" max="13323" width="16.26953125" style="1007" customWidth="1"/>
    <col min="13324" max="13564" width="14.7265625" style="1007"/>
    <col min="13565" max="13565" width="6" style="1007" customWidth="1"/>
    <col min="13566" max="13566" width="39.81640625" style="1007" customWidth="1"/>
    <col min="13567" max="13567" width="15.26953125" style="1007" customWidth="1"/>
    <col min="13568" max="13568" width="13.7265625" style="1007" customWidth="1"/>
    <col min="13569" max="13570" width="12.54296875" style="1007" customWidth="1"/>
    <col min="13571" max="13571" width="13.1796875" style="1007" customWidth="1"/>
    <col min="13572" max="13573" width="12.54296875" style="1007" customWidth="1"/>
    <col min="13574" max="13574" width="15.26953125" style="1007" customWidth="1"/>
    <col min="13575" max="13575" width="14.7265625" style="1007" customWidth="1"/>
    <col min="13576" max="13576" width="21.453125" style="1007" customWidth="1"/>
    <col min="13577" max="13578" width="14.7265625" style="1007" customWidth="1"/>
    <col min="13579" max="13579" width="16.26953125" style="1007" customWidth="1"/>
    <col min="13580" max="13820" width="14.7265625" style="1007"/>
    <col min="13821" max="13821" width="6" style="1007" customWidth="1"/>
    <col min="13822" max="13822" width="39.81640625" style="1007" customWidth="1"/>
    <col min="13823" max="13823" width="15.26953125" style="1007" customWidth="1"/>
    <col min="13824" max="13824" width="13.7265625" style="1007" customWidth="1"/>
    <col min="13825" max="13826" width="12.54296875" style="1007" customWidth="1"/>
    <col min="13827" max="13827" width="13.1796875" style="1007" customWidth="1"/>
    <col min="13828" max="13829" width="12.54296875" style="1007" customWidth="1"/>
    <col min="13830" max="13830" width="15.26953125" style="1007" customWidth="1"/>
    <col min="13831" max="13831" width="14.7265625" style="1007" customWidth="1"/>
    <col min="13832" max="13832" width="21.453125" style="1007" customWidth="1"/>
    <col min="13833" max="13834" width="14.7265625" style="1007" customWidth="1"/>
    <col min="13835" max="13835" width="16.26953125" style="1007" customWidth="1"/>
    <col min="13836" max="14076" width="14.7265625" style="1007"/>
    <col min="14077" max="14077" width="6" style="1007" customWidth="1"/>
    <col min="14078" max="14078" width="39.81640625" style="1007" customWidth="1"/>
    <col min="14079" max="14079" width="15.26953125" style="1007" customWidth="1"/>
    <col min="14080" max="14080" width="13.7265625" style="1007" customWidth="1"/>
    <col min="14081" max="14082" width="12.54296875" style="1007" customWidth="1"/>
    <col min="14083" max="14083" width="13.1796875" style="1007" customWidth="1"/>
    <col min="14084" max="14085" width="12.54296875" style="1007" customWidth="1"/>
    <col min="14086" max="14086" width="15.26953125" style="1007" customWidth="1"/>
    <col min="14087" max="14087" width="14.7265625" style="1007" customWidth="1"/>
    <col min="14088" max="14088" width="21.453125" style="1007" customWidth="1"/>
    <col min="14089" max="14090" width="14.7265625" style="1007" customWidth="1"/>
    <col min="14091" max="14091" width="16.26953125" style="1007" customWidth="1"/>
    <col min="14092" max="14332" width="14.7265625" style="1007"/>
    <col min="14333" max="14333" width="6" style="1007" customWidth="1"/>
    <col min="14334" max="14334" width="39.81640625" style="1007" customWidth="1"/>
    <col min="14335" max="14335" width="15.26953125" style="1007" customWidth="1"/>
    <col min="14336" max="14336" width="13.7265625" style="1007" customWidth="1"/>
    <col min="14337" max="14338" width="12.54296875" style="1007" customWidth="1"/>
    <col min="14339" max="14339" width="13.1796875" style="1007" customWidth="1"/>
    <col min="14340" max="14341" width="12.54296875" style="1007" customWidth="1"/>
    <col min="14342" max="14342" width="15.26953125" style="1007" customWidth="1"/>
    <col min="14343" max="14343" width="14.7265625" style="1007" customWidth="1"/>
    <col min="14344" max="14344" width="21.453125" style="1007" customWidth="1"/>
    <col min="14345" max="14346" width="14.7265625" style="1007" customWidth="1"/>
    <col min="14347" max="14347" width="16.26953125" style="1007" customWidth="1"/>
    <col min="14348" max="14588" width="14.7265625" style="1007"/>
    <col min="14589" max="14589" width="6" style="1007" customWidth="1"/>
    <col min="14590" max="14590" width="39.81640625" style="1007" customWidth="1"/>
    <col min="14591" max="14591" width="15.26953125" style="1007" customWidth="1"/>
    <col min="14592" max="14592" width="13.7265625" style="1007" customWidth="1"/>
    <col min="14593" max="14594" width="12.54296875" style="1007" customWidth="1"/>
    <col min="14595" max="14595" width="13.1796875" style="1007" customWidth="1"/>
    <col min="14596" max="14597" width="12.54296875" style="1007" customWidth="1"/>
    <col min="14598" max="14598" width="15.26953125" style="1007" customWidth="1"/>
    <col min="14599" max="14599" width="14.7265625" style="1007" customWidth="1"/>
    <col min="14600" max="14600" width="21.453125" style="1007" customWidth="1"/>
    <col min="14601" max="14602" width="14.7265625" style="1007" customWidth="1"/>
    <col min="14603" max="14603" width="16.26953125" style="1007" customWidth="1"/>
    <col min="14604" max="14844" width="14.7265625" style="1007"/>
    <col min="14845" max="14845" width="6" style="1007" customWidth="1"/>
    <col min="14846" max="14846" width="39.81640625" style="1007" customWidth="1"/>
    <col min="14847" max="14847" width="15.26953125" style="1007" customWidth="1"/>
    <col min="14848" max="14848" width="13.7265625" style="1007" customWidth="1"/>
    <col min="14849" max="14850" width="12.54296875" style="1007" customWidth="1"/>
    <col min="14851" max="14851" width="13.1796875" style="1007" customWidth="1"/>
    <col min="14852" max="14853" width="12.54296875" style="1007" customWidth="1"/>
    <col min="14854" max="14854" width="15.26953125" style="1007" customWidth="1"/>
    <col min="14855" max="14855" width="14.7265625" style="1007" customWidth="1"/>
    <col min="14856" max="14856" width="21.453125" style="1007" customWidth="1"/>
    <col min="14857" max="14858" width="14.7265625" style="1007" customWidth="1"/>
    <col min="14859" max="14859" width="16.26953125" style="1007" customWidth="1"/>
    <col min="14860" max="15100" width="14.7265625" style="1007"/>
    <col min="15101" max="15101" width="6" style="1007" customWidth="1"/>
    <col min="15102" max="15102" width="39.81640625" style="1007" customWidth="1"/>
    <col min="15103" max="15103" width="15.26953125" style="1007" customWidth="1"/>
    <col min="15104" max="15104" width="13.7265625" style="1007" customWidth="1"/>
    <col min="15105" max="15106" width="12.54296875" style="1007" customWidth="1"/>
    <col min="15107" max="15107" width="13.1796875" style="1007" customWidth="1"/>
    <col min="15108" max="15109" width="12.54296875" style="1007" customWidth="1"/>
    <col min="15110" max="15110" width="15.26953125" style="1007" customWidth="1"/>
    <col min="15111" max="15111" width="14.7265625" style="1007" customWidth="1"/>
    <col min="15112" max="15112" width="21.453125" style="1007" customWidth="1"/>
    <col min="15113" max="15114" width="14.7265625" style="1007" customWidth="1"/>
    <col min="15115" max="15115" width="16.26953125" style="1007" customWidth="1"/>
    <col min="15116" max="15356" width="14.7265625" style="1007"/>
    <col min="15357" max="15357" width="6" style="1007" customWidth="1"/>
    <col min="15358" max="15358" width="39.81640625" style="1007" customWidth="1"/>
    <col min="15359" max="15359" width="15.26953125" style="1007" customWidth="1"/>
    <col min="15360" max="15360" width="13.7265625" style="1007" customWidth="1"/>
    <col min="15361" max="15362" width="12.54296875" style="1007" customWidth="1"/>
    <col min="15363" max="15363" width="13.1796875" style="1007" customWidth="1"/>
    <col min="15364" max="15365" width="12.54296875" style="1007" customWidth="1"/>
    <col min="15366" max="15366" width="15.26953125" style="1007" customWidth="1"/>
    <col min="15367" max="15367" width="14.7265625" style="1007" customWidth="1"/>
    <col min="15368" max="15368" width="21.453125" style="1007" customWidth="1"/>
    <col min="15369" max="15370" width="14.7265625" style="1007" customWidth="1"/>
    <col min="15371" max="15371" width="16.26953125" style="1007" customWidth="1"/>
    <col min="15372" max="15612" width="14.7265625" style="1007"/>
    <col min="15613" max="15613" width="6" style="1007" customWidth="1"/>
    <col min="15614" max="15614" width="39.81640625" style="1007" customWidth="1"/>
    <col min="15615" max="15615" width="15.26953125" style="1007" customWidth="1"/>
    <col min="15616" max="15616" width="13.7265625" style="1007" customWidth="1"/>
    <col min="15617" max="15618" width="12.54296875" style="1007" customWidth="1"/>
    <col min="15619" max="15619" width="13.1796875" style="1007" customWidth="1"/>
    <col min="15620" max="15621" width="12.54296875" style="1007" customWidth="1"/>
    <col min="15622" max="15622" width="15.26953125" style="1007" customWidth="1"/>
    <col min="15623" max="15623" width="14.7265625" style="1007" customWidth="1"/>
    <col min="15624" max="15624" width="21.453125" style="1007" customWidth="1"/>
    <col min="15625" max="15626" width="14.7265625" style="1007" customWidth="1"/>
    <col min="15627" max="15627" width="16.26953125" style="1007" customWidth="1"/>
    <col min="15628" max="15868" width="14.7265625" style="1007"/>
    <col min="15869" max="15869" width="6" style="1007" customWidth="1"/>
    <col min="15870" max="15870" width="39.81640625" style="1007" customWidth="1"/>
    <col min="15871" max="15871" width="15.26953125" style="1007" customWidth="1"/>
    <col min="15872" max="15872" width="13.7265625" style="1007" customWidth="1"/>
    <col min="15873" max="15874" width="12.54296875" style="1007" customWidth="1"/>
    <col min="15875" max="15875" width="13.1796875" style="1007" customWidth="1"/>
    <col min="15876" max="15877" width="12.54296875" style="1007" customWidth="1"/>
    <col min="15878" max="15878" width="15.26953125" style="1007" customWidth="1"/>
    <col min="15879" max="15879" width="14.7265625" style="1007" customWidth="1"/>
    <col min="15880" max="15880" width="21.453125" style="1007" customWidth="1"/>
    <col min="15881" max="15882" width="14.7265625" style="1007" customWidth="1"/>
    <col min="15883" max="15883" width="16.26953125" style="1007" customWidth="1"/>
    <col min="15884" max="16124" width="14.7265625" style="1007"/>
    <col min="16125" max="16125" width="6" style="1007" customWidth="1"/>
    <col min="16126" max="16126" width="39.81640625" style="1007" customWidth="1"/>
    <col min="16127" max="16127" width="15.26953125" style="1007" customWidth="1"/>
    <col min="16128" max="16128" width="13.7265625" style="1007" customWidth="1"/>
    <col min="16129" max="16130" width="12.54296875" style="1007" customWidth="1"/>
    <col min="16131" max="16131" width="13.1796875" style="1007" customWidth="1"/>
    <col min="16132" max="16133" width="12.54296875" style="1007" customWidth="1"/>
    <col min="16134" max="16134" width="15.26953125" style="1007" customWidth="1"/>
    <col min="16135" max="16135" width="14.7265625" style="1007" customWidth="1"/>
    <col min="16136" max="16136" width="21.453125" style="1007" customWidth="1"/>
    <col min="16137" max="16138" width="14.7265625" style="1007" customWidth="1"/>
    <col min="16139" max="16139" width="16.26953125" style="1007" customWidth="1"/>
    <col min="16140" max="16384" width="14.7265625" style="1007"/>
  </cols>
  <sheetData>
    <row r="1" spans="1:15" ht="18">
      <c r="A1" s="1064"/>
      <c r="B1" s="1580" t="s">
        <v>5525</v>
      </c>
      <c r="C1" s="1008"/>
      <c r="D1" s="1008"/>
      <c r="E1" s="1008"/>
      <c r="F1" s="1008"/>
      <c r="G1" s="1008"/>
      <c r="H1" s="1008"/>
      <c r="I1" s="1011" t="s">
        <v>124</v>
      </c>
      <c r="J1" s="1065" t="s">
        <v>1268</v>
      </c>
    </row>
    <row r="2" spans="1:15" ht="17.5">
      <c r="A2" s="1064"/>
      <c r="B2" s="1066"/>
      <c r="C2" s="1008"/>
      <c r="D2" s="1008"/>
      <c r="E2" s="1008"/>
      <c r="F2" s="1008"/>
      <c r="G2" s="1008"/>
      <c r="H2" s="1008"/>
      <c r="I2" s="1008"/>
      <c r="J2" s="1008"/>
    </row>
    <row r="3" spans="1:15" s="1072" customFormat="1" ht="31.5" customHeight="1">
      <c r="A3" s="1070"/>
      <c r="B3" s="1071" t="s">
        <v>8481</v>
      </c>
      <c r="C3" s="1070"/>
      <c r="D3" s="1070"/>
      <c r="E3" s="1070"/>
      <c r="F3" s="1070"/>
      <c r="G3" s="1070"/>
      <c r="H3" s="1070"/>
      <c r="I3" s="1070"/>
      <c r="J3" s="1070"/>
    </row>
    <row r="4" spans="1:15" ht="18">
      <c r="A4" s="1064"/>
      <c r="B4" s="1044"/>
      <c r="C4" s="1008"/>
      <c r="D4" s="1008"/>
      <c r="E4" s="1008"/>
      <c r="F4" s="1008"/>
      <c r="G4" s="1008"/>
      <c r="H4" s="1008"/>
      <c r="I4" s="1008"/>
      <c r="J4" s="1008"/>
    </row>
    <row r="5" spans="1:15" ht="18">
      <c r="A5" s="1067" t="s">
        <v>126</v>
      </c>
      <c r="B5" s="1073" t="s">
        <v>4126</v>
      </c>
      <c r="C5" s="1043" t="s">
        <v>1504</v>
      </c>
      <c r="D5" s="1008"/>
      <c r="E5" s="1066"/>
      <c r="F5" s="1008"/>
      <c r="G5" s="1008"/>
      <c r="H5" s="1008"/>
      <c r="I5" s="1008"/>
      <c r="J5" s="1008"/>
    </row>
    <row r="6" spans="1:15" ht="18">
      <c r="A6" s="1068"/>
      <c r="B6" s="1008"/>
      <c r="C6" s="1044"/>
      <c r="D6" s="1008"/>
      <c r="E6" s="3494" t="s">
        <v>1505</v>
      </c>
      <c r="F6" s="3494"/>
      <c r="G6" s="3494"/>
      <c r="H6" s="1008"/>
      <c r="I6" s="1008"/>
      <c r="J6" s="1008"/>
    </row>
    <row r="7" spans="1:15" ht="18" customHeight="1">
      <c r="A7" s="3492"/>
      <c r="B7" s="3493" t="s">
        <v>1508</v>
      </c>
      <c r="C7" s="3493" t="s">
        <v>4112</v>
      </c>
      <c r="D7" s="3493" t="s">
        <v>4113</v>
      </c>
      <c r="E7" s="1047" t="s">
        <v>1507</v>
      </c>
      <c r="F7" s="1047"/>
      <c r="G7" s="1047"/>
      <c r="H7" s="1046"/>
      <c r="I7" s="1046"/>
      <c r="J7" s="1046"/>
    </row>
    <row r="8" spans="1:15" s="1048" customFormat="1" ht="78.75" customHeight="1">
      <c r="A8" s="3492"/>
      <c r="B8" s="3493"/>
      <c r="C8" s="3493"/>
      <c r="D8" s="3493"/>
      <c r="E8" s="1762" t="s">
        <v>1329</v>
      </c>
      <c r="F8" s="1762" t="s">
        <v>1271</v>
      </c>
      <c r="G8" s="1762" t="s">
        <v>1272</v>
      </c>
      <c r="H8" s="1762" t="s">
        <v>4117</v>
      </c>
      <c r="I8" s="1762" t="s">
        <v>4118</v>
      </c>
      <c r="J8" s="1762" t="s">
        <v>4119</v>
      </c>
    </row>
    <row r="9" spans="1:15" ht="17.5">
      <c r="A9" s="1763"/>
      <c r="B9" s="1762" t="s">
        <v>652</v>
      </c>
      <c r="C9" s="1046"/>
      <c r="D9" s="1046"/>
      <c r="E9" s="1046"/>
      <c r="F9" s="1046"/>
      <c r="G9" s="1046"/>
      <c r="H9" s="1046"/>
      <c r="I9" s="1049"/>
      <c r="J9" s="1049"/>
      <c r="M9" s="1042">
        <f>H16+H31</f>
        <v>42.420999999999999</v>
      </c>
      <c r="N9" s="1007">
        <f>'T-6 (21-22)'!I40+'T-6 (21-22)'!I42</f>
        <v>42.421226353000002</v>
      </c>
      <c r="O9" s="1042">
        <f>N9-M9</f>
        <v>2.263530000021774E-4</v>
      </c>
    </row>
    <row r="10" spans="1:15" ht="17.5">
      <c r="A10" s="1763">
        <v>1</v>
      </c>
      <c r="B10" s="1050" t="s">
        <v>653</v>
      </c>
      <c r="C10" s="1617">
        <v>16496</v>
      </c>
      <c r="D10" s="1617">
        <v>15223.448</v>
      </c>
      <c r="E10" s="1617">
        <v>10.422000000000001</v>
      </c>
      <c r="F10" s="1617">
        <v>5.3680000000000003</v>
      </c>
      <c r="G10" s="1617">
        <v>1.712</v>
      </c>
      <c r="H10" s="1616">
        <f>SUM(E10:G10)</f>
        <v>17.502000000000002</v>
      </c>
      <c r="I10" s="3097">
        <v>1014.3389365139998</v>
      </c>
      <c r="J10" s="3097">
        <v>848.13281440000014</v>
      </c>
      <c r="M10" s="1042">
        <f>H15+H30</f>
        <v>280.40899999999999</v>
      </c>
      <c r="N10" s="1007">
        <f>'T-6 (21-22)'!I21</f>
        <v>280.40925049928995</v>
      </c>
      <c r="O10" s="1042">
        <f>N10-M10</f>
        <v>2.5049928996168092E-4</v>
      </c>
    </row>
    <row r="11" spans="1:15" ht="17.5">
      <c r="A11" s="1763">
        <v>2</v>
      </c>
      <c r="B11" s="1050" t="s">
        <v>654</v>
      </c>
      <c r="C11" s="1617">
        <v>21975</v>
      </c>
      <c r="D11" s="1617">
        <v>36463.476999999999</v>
      </c>
      <c r="E11" s="1617">
        <v>13.696</v>
      </c>
      <c r="F11" s="1617">
        <v>11.388</v>
      </c>
      <c r="G11" s="1617">
        <v>6.3239999999999998</v>
      </c>
      <c r="H11" s="1616">
        <f t="shared" ref="H11:H14" si="0">SUM(E11:G11)</f>
        <v>31.408000000000001</v>
      </c>
      <c r="I11" s="3097">
        <f>1941.8705397598-150</f>
        <v>1791.8705397598001</v>
      </c>
      <c r="J11" s="3097">
        <v>1607.7826357873</v>
      </c>
    </row>
    <row r="12" spans="1:15" ht="17.5">
      <c r="A12" s="1763">
        <v>3</v>
      </c>
      <c r="B12" s="1050" t="s">
        <v>655</v>
      </c>
      <c r="C12" s="1617">
        <v>5135</v>
      </c>
      <c r="D12" s="1617">
        <v>13742.52</v>
      </c>
      <c r="E12" s="1617">
        <v>4.798</v>
      </c>
      <c r="F12" s="1617">
        <v>6.4560000000000004</v>
      </c>
      <c r="G12" s="1617">
        <v>2.4540000000000002</v>
      </c>
      <c r="H12" s="1616">
        <f t="shared" si="0"/>
        <v>13.708000000000002</v>
      </c>
      <c r="I12" s="3097">
        <v>877.23231234910008</v>
      </c>
      <c r="J12" s="3097">
        <v>738.59516499999995</v>
      </c>
      <c r="M12" s="1052">
        <f>(I16+I31)/100</f>
        <v>35.189438487010001</v>
      </c>
      <c r="N12" s="1052">
        <f>'T-6 (21-22)'!J40+'T-6 (21-22)'!J42</f>
        <v>35.189038136199997</v>
      </c>
      <c r="O12" s="1042">
        <f>N12-M12</f>
        <v>-4.003508100041131E-4</v>
      </c>
    </row>
    <row r="13" spans="1:15" ht="17.5">
      <c r="A13" s="1763">
        <v>4</v>
      </c>
      <c r="B13" s="1050">
        <v>4</v>
      </c>
      <c r="C13" s="1617">
        <v>2197</v>
      </c>
      <c r="D13" s="1617">
        <v>8105.5823799999998</v>
      </c>
      <c r="E13" s="1617">
        <v>2.2630000000000003</v>
      </c>
      <c r="F13" s="1617">
        <v>3.2719999999999998</v>
      </c>
      <c r="G13" s="1617">
        <v>2.3639999999999999</v>
      </c>
      <c r="H13" s="1616">
        <f t="shared" si="0"/>
        <v>7.899</v>
      </c>
      <c r="I13" s="3097">
        <v>494.79611352670003</v>
      </c>
      <c r="J13" s="3097">
        <v>432.57421219999992</v>
      </c>
      <c r="L13" s="1052"/>
      <c r="M13" s="1052">
        <f>(I15+I30)/100</f>
        <v>202.79894963811296</v>
      </c>
      <c r="N13" s="1052">
        <f>'T-6 (21-22)'!J21</f>
        <v>202.79858611091711</v>
      </c>
      <c r="O13" s="1042">
        <f>N13-M13</f>
        <v>-3.6352719584442639E-4</v>
      </c>
    </row>
    <row r="14" spans="1:15" ht="17.5">
      <c r="A14" s="1763">
        <v>5</v>
      </c>
      <c r="B14" s="1950" t="s">
        <v>4120</v>
      </c>
      <c r="C14" s="1617">
        <v>6107</v>
      </c>
      <c r="D14" s="1617">
        <v>84291.084900000002</v>
      </c>
      <c r="E14" s="1617">
        <v>11.899999999999999</v>
      </c>
      <c r="F14" s="1617">
        <v>6.9480000000000004</v>
      </c>
      <c r="G14" s="1617">
        <f>57.458+2.062</f>
        <v>59.519999999999996</v>
      </c>
      <c r="H14" s="1616">
        <f t="shared" si="0"/>
        <v>78.367999999999995</v>
      </c>
      <c r="I14" s="3097">
        <f>6925.2157142586-109.3</f>
        <v>6815.9157142586</v>
      </c>
      <c r="J14" s="3097">
        <v>7607.4011521470011</v>
      </c>
      <c r="L14" s="1052"/>
    </row>
    <row r="15" spans="1:15" ht="18">
      <c r="A15" s="1763">
        <v>6</v>
      </c>
      <c r="B15" s="1950" t="s">
        <v>656</v>
      </c>
      <c r="C15" s="1964">
        <f>SUM(C10:C14)</f>
        <v>51910</v>
      </c>
      <c r="D15" s="1964">
        <f>SUM(D10:D14)</f>
        <v>157826.11228</v>
      </c>
      <c r="E15" s="1965">
        <f t="shared" ref="E15:G15" si="1">SUM(E10:E14)</f>
        <v>43.079000000000008</v>
      </c>
      <c r="F15" s="1965">
        <f t="shared" si="1"/>
        <v>33.432000000000002</v>
      </c>
      <c r="G15" s="1965">
        <f t="shared" si="1"/>
        <v>72.373999999999995</v>
      </c>
      <c r="H15" s="1965">
        <f>SUM(H10:H14)</f>
        <v>148.88499999999999</v>
      </c>
      <c r="I15" s="1930">
        <f>SUM(I10:I14)</f>
        <v>10994.153616408199</v>
      </c>
      <c r="J15" s="1965">
        <f t="shared" ref="J15" si="2">SUM(J10:J14)</f>
        <v>11234.4859795343</v>
      </c>
      <c r="L15" s="1052"/>
    </row>
    <row r="16" spans="1:15" ht="35">
      <c r="A16" s="1763">
        <v>7</v>
      </c>
      <c r="B16" s="1953" t="s">
        <v>4127</v>
      </c>
      <c r="C16" s="1617">
        <v>90</v>
      </c>
      <c r="D16" s="1617">
        <v>7384.68</v>
      </c>
      <c r="E16" s="1616"/>
      <c r="F16" s="1962"/>
      <c r="G16" s="1962">
        <v>17.23</v>
      </c>
      <c r="H16" s="1616">
        <f>SUM(E16:G16)</f>
        <v>17.23</v>
      </c>
      <c r="I16" s="1618">
        <f>3431.9442467754-132.6</f>
        <v>3299.3442467754003</v>
      </c>
      <c r="J16" s="1618">
        <v>2723.8757024900001</v>
      </c>
    </row>
    <row r="17" spans="1:10" ht="17.5">
      <c r="A17" s="1763">
        <v>8</v>
      </c>
      <c r="B17" s="1950" t="s">
        <v>656</v>
      </c>
      <c r="C17" s="1619">
        <f>C16</f>
        <v>90</v>
      </c>
      <c r="D17" s="1619">
        <f t="shared" ref="D17:J17" si="3">D16</f>
        <v>7384.68</v>
      </c>
      <c r="E17" s="1620">
        <f t="shared" si="3"/>
        <v>0</v>
      </c>
      <c r="F17" s="1620">
        <f t="shared" si="3"/>
        <v>0</v>
      </c>
      <c r="G17" s="1620">
        <f t="shared" si="3"/>
        <v>17.23</v>
      </c>
      <c r="H17" s="1620">
        <f t="shared" si="3"/>
        <v>17.23</v>
      </c>
      <c r="I17" s="1621">
        <f t="shared" si="3"/>
        <v>3299.3442467754003</v>
      </c>
      <c r="J17" s="1621">
        <f t="shared" si="3"/>
        <v>2723.8757024900001</v>
      </c>
    </row>
    <row r="18" spans="1:10" ht="18">
      <c r="A18" s="1763">
        <v>9</v>
      </c>
      <c r="B18" s="1950" t="s">
        <v>4122</v>
      </c>
      <c r="C18" s="1056">
        <f>C15+C17</f>
        <v>52000</v>
      </c>
      <c r="D18" s="1056">
        <f t="shared" ref="D18:J18" si="4">D15+D17</f>
        <v>165210.79227999999</v>
      </c>
      <c r="E18" s="1057">
        <f t="shared" si="4"/>
        <v>43.079000000000008</v>
      </c>
      <c r="F18" s="1057">
        <f t="shared" si="4"/>
        <v>33.432000000000002</v>
      </c>
      <c r="G18" s="1057">
        <f t="shared" si="4"/>
        <v>89.603999999999999</v>
      </c>
      <c r="H18" s="1057">
        <f t="shared" si="4"/>
        <v>166.11499999999998</v>
      </c>
      <c r="I18" s="1058">
        <f t="shared" si="4"/>
        <v>14293.497863183598</v>
      </c>
      <c r="J18" s="1058">
        <f t="shared" si="4"/>
        <v>13958.361682024301</v>
      </c>
    </row>
    <row r="19" spans="1:10" ht="17.5">
      <c r="A19" s="1064"/>
      <c r="B19" s="1061"/>
      <c r="C19" s="1008"/>
      <c r="D19" s="1008"/>
      <c r="E19" s="1008"/>
      <c r="F19" s="1008"/>
      <c r="G19" s="1008"/>
      <c r="H19" s="1008"/>
      <c r="I19" s="1008"/>
      <c r="J19" s="1008"/>
    </row>
    <row r="20" spans="1:10" ht="18">
      <c r="A20" s="1045" t="s">
        <v>1169</v>
      </c>
      <c r="B20" s="1073" t="s">
        <v>4126</v>
      </c>
      <c r="C20" s="1043" t="s">
        <v>660</v>
      </c>
      <c r="D20" s="1008"/>
      <c r="E20" s="1066"/>
      <c r="F20" s="1008"/>
      <c r="G20" s="1008"/>
      <c r="H20" s="1008"/>
      <c r="I20" s="1008"/>
      <c r="J20" s="1008"/>
    </row>
    <row r="21" spans="1:10" ht="18">
      <c r="A21" s="1064"/>
      <c r="B21" s="1061"/>
      <c r="C21" s="1044"/>
      <c r="D21" s="1008"/>
      <c r="E21" s="3494" t="s">
        <v>1505</v>
      </c>
      <c r="F21" s="3494"/>
      <c r="G21" s="3494"/>
      <c r="H21" s="1008"/>
      <c r="I21" s="1008"/>
      <c r="J21" s="1008"/>
    </row>
    <row r="22" spans="1:10" ht="18" customHeight="1">
      <c r="A22" s="3492"/>
      <c r="B22" s="3493" t="s">
        <v>1508</v>
      </c>
      <c r="C22" s="3493" t="s">
        <v>4112</v>
      </c>
      <c r="D22" s="3493" t="s">
        <v>4113</v>
      </c>
      <c r="E22" s="1047" t="s">
        <v>1507</v>
      </c>
      <c r="F22" s="1047"/>
      <c r="G22" s="1047"/>
      <c r="H22" s="1046"/>
      <c r="I22" s="1046"/>
      <c r="J22" s="1046"/>
    </row>
    <row r="23" spans="1:10" s="1048" customFormat="1" ht="87.75" customHeight="1">
      <c r="A23" s="3492"/>
      <c r="B23" s="3493"/>
      <c r="C23" s="3493"/>
      <c r="D23" s="3493"/>
      <c r="E23" s="1762" t="s">
        <v>1329</v>
      </c>
      <c r="F23" s="1762" t="s">
        <v>1271</v>
      </c>
      <c r="G23" s="1762" t="s">
        <v>1272</v>
      </c>
      <c r="H23" s="1762" t="s">
        <v>4117</v>
      </c>
      <c r="I23" s="1762" t="s">
        <v>4118</v>
      </c>
      <c r="J23" s="1762" t="s">
        <v>4119</v>
      </c>
    </row>
    <row r="24" spans="1:10" ht="17.5">
      <c r="A24" s="1763"/>
      <c r="B24" s="1762" t="s">
        <v>652</v>
      </c>
      <c r="C24" s="1046"/>
      <c r="D24" s="1046"/>
      <c r="E24" s="1046"/>
      <c r="F24" s="1046"/>
      <c r="G24" s="1046"/>
      <c r="H24" s="1046"/>
      <c r="I24" s="1049"/>
      <c r="J24" s="1049"/>
    </row>
    <row r="25" spans="1:10" ht="17.5">
      <c r="A25" s="1763">
        <v>1</v>
      </c>
      <c r="B25" s="1050" t="s">
        <v>653</v>
      </c>
      <c r="C25" s="1945">
        <v>22910</v>
      </c>
      <c r="D25" s="1945">
        <v>19680.32</v>
      </c>
      <c r="E25" s="1947">
        <v>17.422000000000001</v>
      </c>
      <c r="F25" s="1947">
        <v>7.9039999999999999</v>
      </c>
      <c r="G25" s="1947">
        <v>3.851</v>
      </c>
      <c r="H25" s="1948">
        <f>SUM(E25:G25)</f>
        <v>29.177</v>
      </c>
      <c r="I25" s="1949">
        <v>1674.5375323416999</v>
      </c>
      <c r="J25" s="1949">
        <v>1302.9488384000003</v>
      </c>
    </row>
    <row r="26" spans="1:10" ht="17.5">
      <c r="A26" s="1763">
        <v>2</v>
      </c>
      <c r="B26" s="1050" t="s">
        <v>654</v>
      </c>
      <c r="C26" s="1945">
        <v>5275</v>
      </c>
      <c r="D26" s="1945">
        <v>9063.99</v>
      </c>
      <c r="E26" s="1947">
        <v>5.9039999999999999</v>
      </c>
      <c r="F26" s="1947">
        <v>4.7759999999999998</v>
      </c>
      <c r="G26" s="1947">
        <v>2.5499999999999998</v>
      </c>
      <c r="H26" s="1948">
        <f t="shared" ref="H26:H31" si="5">SUM(E26:G26)</f>
        <v>13.23</v>
      </c>
      <c r="I26" s="1949">
        <v>794.25674154929993</v>
      </c>
      <c r="J26" s="1949">
        <v>631.79308359999993</v>
      </c>
    </row>
    <row r="27" spans="1:10" ht="17.5">
      <c r="A27" s="1763">
        <v>3</v>
      </c>
      <c r="B27" s="1050" t="s">
        <v>655</v>
      </c>
      <c r="C27" s="1945">
        <v>2256</v>
      </c>
      <c r="D27" s="1945">
        <v>6121.6239999999998</v>
      </c>
      <c r="E27" s="1947">
        <v>4.33</v>
      </c>
      <c r="F27" s="1947">
        <v>2.3279999999999998</v>
      </c>
      <c r="G27" s="1947">
        <v>1.1100000000000001</v>
      </c>
      <c r="H27" s="1948">
        <f t="shared" si="5"/>
        <v>7.7679999999999998</v>
      </c>
      <c r="I27" s="1949">
        <v>502.67930079429999</v>
      </c>
      <c r="J27" s="1949">
        <v>376.08326829999999</v>
      </c>
    </row>
    <row r="28" spans="1:10" ht="17.5">
      <c r="A28" s="1763">
        <v>4</v>
      </c>
      <c r="B28" s="1050">
        <v>4</v>
      </c>
      <c r="C28" s="1945">
        <v>781</v>
      </c>
      <c r="D28" s="1945">
        <v>2932.2</v>
      </c>
      <c r="E28" s="1947">
        <v>1.5760000000000001</v>
      </c>
      <c r="F28" s="1947">
        <v>1.5640000000000001</v>
      </c>
      <c r="G28" s="1947">
        <v>0.42399999999999999</v>
      </c>
      <c r="H28" s="1948">
        <f t="shared" si="5"/>
        <v>3.5640000000000001</v>
      </c>
      <c r="I28" s="1949">
        <v>234.72920951239999</v>
      </c>
      <c r="J28" s="1949">
        <v>178.46281049999999</v>
      </c>
    </row>
    <row r="29" spans="1:10" ht="17.5">
      <c r="A29" s="1763">
        <v>5</v>
      </c>
      <c r="B29" s="1950" t="s">
        <v>4120</v>
      </c>
      <c r="C29" s="1945">
        <v>4036</v>
      </c>
      <c r="D29" s="1945">
        <v>51193.733</v>
      </c>
      <c r="E29" s="1947">
        <v>12.023</v>
      </c>
      <c r="F29" s="1947">
        <v>9.6539999999999999</v>
      </c>
      <c r="G29" s="1947">
        <f>53.608+2.5</f>
        <v>56.107999999999997</v>
      </c>
      <c r="H29" s="1948">
        <f t="shared" si="5"/>
        <v>77.784999999999997</v>
      </c>
      <c r="I29" s="1949">
        <v>6079.5385632053994</v>
      </c>
      <c r="J29" s="1949">
        <v>6488.2191421000007</v>
      </c>
    </row>
    <row r="30" spans="1:10" ht="18">
      <c r="A30" s="1763">
        <v>6</v>
      </c>
      <c r="B30" s="1950" t="s">
        <v>656</v>
      </c>
      <c r="C30" s="1964">
        <f t="shared" ref="C30:J30" si="6">SUM(C25:C29)</f>
        <v>35258</v>
      </c>
      <c r="D30" s="1964">
        <f t="shared" si="6"/>
        <v>88991.866999999998</v>
      </c>
      <c r="E30" s="1966">
        <f t="shared" si="6"/>
        <v>41.254999999999995</v>
      </c>
      <c r="F30" s="1966">
        <f t="shared" si="6"/>
        <v>26.225999999999999</v>
      </c>
      <c r="G30" s="1966">
        <f t="shared" si="6"/>
        <v>64.042999999999992</v>
      </c>
      <c r="H30" s="1966">
        <f t="shared" si="6"/>
        <v>131.524</v>
      </c>
      <c r="I30" s="1774">
        <f t="shared" si="6"/>
        <v>9285.7413474030982</v>
      </c>
      <c r="J30" s="1774">
        <f t="shared" si="6"/>
        <v>8977.5071429000018</v>
      </c>
    </row>
    <row r="31" spans="1:10" ht="39" customHeight="1">
      <c r="A31" s="1763">
        <v>7</v>
      </c>
      <c r="B31" s="1953" t="s">
        <v>4127</v>
      </c>
      <c r="C31" s="1069">
        <v>22</v>
      </c>
      <c r="D31" s="1069">
        <v>1800</v>
      </c>
      <c r="E31" s="1075"/>
      <c r="F31" s="1046"/>
      <c r="G31" s="1046">
        <f>25.625-0.434</f>
        <v>25.190999999999999</v>
      </c>
      <c r="H31" s="1948">
        <f t="shared" si="5"/>
        <v>25.190999999999999</v>
      </c>
      <c r="I31" s="1074">
        <v>219.59960192559998</v>
      </c>
      <c r="J31" s="1074">
        <v>153.11158050999998</v>
      </c>
    </row>
    <row r="32" spans="1:10" ht="17.5">
      <c r="A32" s="1763">
        <v>8</v>
      </c>
      <c r="B32" s="1950" t="s">
        <v>656</v>
      </c>
      <c r="C32" s="1046">
        <v>22</v>
      </c>
      <c r="D32" s="1046">
        <v>1800</v>
      </c>
      <c r="E32" s="1054">
        <f t="shared" ref="E32:J32" si="7">E31</f>
        <v>0</v>
      </c>
      <c r="F32" s="1054">
        <f t="shared" si="7"/>
        <v>0</v>
      </c>
      <c r="G32" s="1054">
        <f t="shared" si="7"/>
        <v>25.190999999999999</v>
      </c>
      <c r="H32" s="1054">
        <f t="shared" si="7"/>
        <v>25.190999999999999</v>
      </c>
      <c r="I32" s="1055">
        <f t="shared" si="7"/>
        <v>219.59960192559998</v>
      </c>
      <c r="J32" s="1055">
        <f t="shared" si="7"/>
        <v>153.11158050999998</v>
      </c>
    </row>
    <row r="33" spans="1:12" ht="17.5">
      <c r="A33" s="1763"/>
      <c r="B33" s="1950"/>
      <c r="C33" s="1046"/>
      <c r="D33" s="1046"/>
      <c r="E33" s="1046"/>
      <c r="F33" s="1046"/>
      <c r="G33" s="1046"/>
      <c r="H33" s="1046"/>
      <c r="I33" s="1046"/>
      <c r="J33" s="1046"/>
      <c r="L33" s="1052">
        <f>I30+I15</f>
        <v>20279.894963811297</v>
      </c>
    </row>
    <row r="34" spans="1:12" ht="18">
      <c r="A34" s="1763">
        <v>9</v>
      </c>
      <c r="B34" s="1950" t="s">
        <v>4123</v>
      </c>
      <c r="C34" s="1047">
        <f>C30+C32</f>
        <v>35280</v>
      </c>
      <c r="D34" s="1056">
        <f t="shared" ref="D34:J34" si="8">D30+D32</f>
        <v>90791.866999999998</v>
      </c>
      <c r="E34" s="1047">
        <f t="shared" si="8"/>
        <v>41.254999999999995</v>
      </c>
      <c r="F34" s="1057">
        <f t="shared" si="8"/>
        <v>26.225999999999999</v>
      </c>
      <c r="G34" s="1047">
        <f t="shared" si="8"/>
        <v>89.233999999999995</v>
      </c>
      <c r="H34" s="1057">
        <f t="shared" si="8"/>
        <v>156.715</v>
      </c>
      <c r="I34" s="1058">
        <f t="shared" si="8"/>
        <v>9505.3409493286981</v>
      </c>
      <c r="J34" s="1058">
        <f t="shared" si="8"/>
        <v>9130.6187234100016</v>
      </c>
      <c r="L34" s="1052">
        <f>'T-6 (21-22)'!J21</f>
        <v>202.79858611091711</v>
      </c>
    </row>
    <row r="35" spans="1:12" ht="18">
      <c r="A35" s="1763"/>
      <c r="B35" s="1957" t="s">
        <v>661</v>
      </c>
      <c r="C35" s="1047">
        <f>C34+C18</f>
        <v>87280</v>
      </c>
      <c r="D35" s="1056">
        <f t="shared" ref="D35:J35" si="9">D34+D18</f>
        <v>256002.65927999999</v>
      </c>
      <c r="E35" s="1047">
        <f t="shared" si="9"/>
        <v>84.334000000000003</v>
      </c>
      <c r="F35" s="1057">
        <f t="shared" si="9"/>
        <v>59.658000000000001</v>
      </c>
      <c r="G35" s="1047">
        <f t="shared" si="9"/>
        <v>178.83799999999999</v>
      </c>
      <c r="H35" s="1047">
        <f t="shared" si="9"/>
        <v>322.83</v>
      </c>
      <c r="I35" s="1058">
        <f t="shared" si="9"/>
        <v>23798.838812512295</v>
      </c>
      <c r="J35" s="1058">
        <f t="shared" si="9"/>
        <v>23088.980405434304</v>
      </c>
      <c r="L35" s="1052">
        <f>L33-L34</f>
        <v>20077.096377700382</v>
      </c>
    </row>
    <row r="36" spans="1:12" ht="18" customHeight="1">
      <c r="A36" s="1064"/>
      <c r="B36" s="1061"/>
      <c r="C36" s="1008"/>
      <c r="D36" s="1008"/>
      <c r="E36" s="1008"/>
      <c r="F36" s="1008"/>
      <c r="G36" s="1008"/>
      <c r="H36" s="1008"/>
      <c r="I36" s="1008"/>
      <c r="J36" s="1958"/>
    </row>
    <row r="37" spans="1:12" ht="18" customHeight="1">
      <c r="A37" s="1064"/>
      <c r="B37" s="1043" t="s">
        <v>4128</v>
      </c>
      <c r="C37" s="1044"/>
      <c r="D37" s="1044"/>
      <c r="E37" s="1008"/>
      <c r="F37" s="1008"/>
      <c r="G37" s="1008"/>
      <c r="H37" s="1008"/>
      <c r="I37" s="1008"/>
      <c r="J37" s="1958"/>
    </row>
    <row r="38" spans="1:12" ht="54" customHeight="1">
      <c r="A38" s="1763"/>
      <c r="B38" s="1967"/>
      <c r="C38" s="3497" t="s">
        <v>476</v>
      </c>
      <c r="D38" s="3497"/>
      <c r="E38" s="3497" t="s">
        <v>483</v>
      </c>
      <c r="F38" s="3497"/>
      <c r="G38" s="3495" t="s">
        <v>484</v>
      </c>
      <c r="H38" s="3496"/>
      <c r="I38" s="1046"/>
      <c r="J38" s="1046"/>
    </row>
    <row r="39" spans="1:12" ht="18">
      <c r="A39" s="1763"/>
      <c r="B39" s="1950"/>
      <c r="C39" s="1968" t="s">
        <v>1504</v>
      </c>
      <c r="D39" s="1968" t="s">
        <v>660</v>
      </c>
      <c r="E39" s="1968" t="s">
        <v>1504</v>
      </c>
      <c r="F39" s="1968" t="s">
        <v>660</v>
      </c>
      <c r="G39" s="1968" t="s">
        <v>1504</v>
      </c>
      <c r="H39" s="1968" t="s">
        <v>660</v>
      </c>
      <c r="I39" s="1046"/>
      <c r="J39" s="1046"/>
    </row>
    <row r="40" spans="1:12" ht="17.5">
      <c r="A40" s="1763"/>
      <c r="B40" s="1762" t="s">
        <v>652</v>
      </c>
      <c r="C40" s="1046"/>
      <c r="D40" s="1046"/>
      <c r="E40" s="1046"/>
      <c r="F40" s="1046"/>
      <c r="G40" s="1046"/>
      <c r="H40" s="1046"/>
      <c r="I40" s="1046"/>
      <c r="J40" s="1046"/>
    </row>
    <row r="41" spans="1:12" ht="17.5">
      <c r="A41" s="1763">
        <v>1</v>
      </c>
      <c r="B41" s="1050" t="s">
        <v>653</v>
      </c>
      <c r="C41" s="1046">
        <v>15692</v>
      </c>
      <c r="D41" s="1046">
        <v>20286</v>
      </c>
      <c r="E41" s="1945">
        <v>0</v>
      </c>
      <c r="F41" s="1945">
        <v>0</v>
      </c>
      <c r="G41" s="1046">
        <v>971</v>
      </c>
      <c r="H41" s="1046">
        <v>2624</v>
      </c>
      <c r="I41" s="1956"/>
      <c r="J41" s="1046"/>
    </row>
    <row r="42" spans="1:12" ht="17.5">
      <c r="A42" s="1763">
        <v>2</v>
      </c>
      <c r="B42" s="1050" t="s">
        <v>654</v>
      </c>
      <c r="C42" s="1046">
        <v>19696</v>
      </c>
      <c r="D42" s="1046">
        <v>4453</v>
      </c>
      <c r="E42" s="1945">
        <v>0</v>
      </c>
      <c r="F42" s="1945">
        <v>0</v>
      </c>
      <c r="G42" s="1046">
        <v>2112</v>
      </c>
      <c r="H42" s="1046">
        <v>822</v>
      </c>
      <c r="I42" s="1956"/>
      <c r="J42" s="1046"/>
    </row>
    <row r="43" spans="1:12" ht="17.5">
      <c r="A43" s="1763">
        <v>3</v>
      </c>
      <c r="B43" s="1050" t="s">
        <v>655</v>
      </c>
      <c r="C43" s="1046">
        <v>4676</v>
      </c>
      <c r="D43" s="1046">
        <v>1933</v>
      </c>
      <c r="E43" s="1945">
        <v>0</v>
      </c>
      <c r="F43" s="1945">
        <v>0</v>
      </c>
      <c r="G43" s="1046">
        <v>459</v>
      </c>
      <c r="H43" s="1046">
        <v>323</v>
      </c>
      <c r="I43" s="1956"/>
      <c r="J43" s="1049"/>
    </row>
    <row r="44" spans="1:12" ht="17.5">
      <c r="A44" s="1763">
        <v>4</v>
      </c>
      <c r="B44" s="1050">
        <v>4</v>
      </c>
      <c r="C44" s="1046">
        <v>2031</v>
      </c>
      <c r="D44" s="1046">
        <v>699</v>
      </c>
      <c r="E44" s="1945">
        <v>0</v>
      </c>
      <c r="F44" s="1945">
        <v>0</v>
      </c>
      <c r="G44" s="1046">
        <v>166</v>
      </c>
      <c r="H44" s="1046">
        <v>82</v>
      </c>
      <c r="I44" s="1956"/>
      <c r="J44" s="1049"/>
    </row>
    <row r="45" spans="1:12" ht="17.5">
      <c r="A45" s="1763">
        <v>5</v>
      </c>
      <c r="B45" s="1950" t="s">
        <v>4120</v>
      </c>
      <c r="C45" s="1046">
        <v>5921</v>
      </c>
      <c r="D45" s="1046">
        <v>3930</v>
      </c>
      <c r="E45" s="1945">
        <v>0</v>
      </c>
      <c r="F45" s="1945">
        <v>0</v>
      </c>
      <c r="G45" s="1046">
        <v>186</v>
      </c>
      <c r="H45" s="1046">
        <v>106</v>
      </c>
      <c r="I45" s="1956"/>
      <c r="J45" s="1046"/>
    </row>
    <row r="46" spans="1:12" ht="18">
      <c r="A46" s="1763">
        <v>6</v>
      </c>
      <c r="B46" s="1957" t="s">
        <v>1100</v>
      </c>
      <c r="C46" s="172">
        <f>SUM(C41:C45)</f>
        <v>48016</v>
      </c>
      <c r="D46" s="172">
        <f t="shared" ref="D46:H46" si="10">SUM(D41:D45)</f>
        <v>31301</v>
      </c>
      <c r="E46" s="172">
        <f t="shared" si="10"/>
        <v>0</v>
      </c>
      <c r="F46" s="172">
        <f t="shared" si="10"/>
        <v>0</v>
      </c>
      <c r="G46" s="172">
        <f t="shared" si="10"/>
        <v>3894</v>
      </c>
      <c r="H46" s="172">
        <f t="shared" si="10"/>
        <v>3957</v>
      </c>
      <c r="I46" s="1047">
        <f>SUM(C46:H46)</f>
        <v>87168</v>
      </c>
      <c r="J46" s="1046"/>
    </row>
    <row r="47" spans="1:12" ht="17.5">
      <c r="A47" s="1060"/>
      <c r="B47" s="1061"/>
      <c r="C47" s="1008"/>
      <c r="D47" s="1008"/>
      <c r="F47" s="1008"/>
      <c r="G47" s="1008"/>
      <c r="H47" s="1008"/>
      <c r="I47" s="1008"/>
      <c r="J47" s="1008"/>
    </row>
  </sheetData>
  <mergeCells count="13">
    <mergeCell ref="G38:H38"/>
    <mergeCell ref="A22:A23"/>
    <mergeCell ref="B22:B23"/>
    <mergeCell ref="C22:C23"/>
    <mergeCell ref="D22:D23"/>
    <mergeCell ref="C38:D38"/>
    <mergeCell ref="E38:F38"/>
    <mergeCell ref="E21:G21"/>
    <mergeCell ref="E6:G6"/>
    <mergeCell ref="A7:A8"/>
    <mergeCell ref="B7:B8"/>
    <mergeCell ref="C7:C8"/>
    <mergeCell ref="D7:D8"/>
  </mergeCells>
  <printOptions horizontalCentered="1" verticalCentered="1"/>
  <pageMargins left="0.47" right="0.17" top="0.57999999999999996" bottom="0.5" header="0.5" footer="0.18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O47"/>
  <sheetViews>
    <sheetView view="pageBreakPreview" topLeftCell="A14" zoomScale="60" zoomScaleNormal="60" workbookViewId="0">
      <selection activeCell="D13" sqref="D13"/>
    </sheetView>
  </sheetViews>
  <sheetFormatPr defaultColWidth="14.7265625" defaultRowHeight="15.5"/>
  <cols>
    <col min="1" max="1" width="6" style="1062" customWidth="1"/>
    <col min="2" max="2" width="39.81640625" style="1063" customWidth="1"/>
    <col min="3" max="3" width="15.26953125" style="1007" customWidth="1"/>
    <col min="4" max="4" width="16.1796875" style="1007" customWidth="1"/>
    <col min="5" max="5" width="15.54296875" style="1007" customWidth="1"/>
    <col min="6" max="8" width="14.7265625" style="1007" customWidth="1"/>
    <col min="9" max="9" width="14.81640625" style="1007" customWidth="1"/>
    <col min="10" max="10" width="14.26953125" style="1007" customWidth="1"/>
    <col min="11" max="11" width="14.7265625" style="1007" customWidth="1"/>
    <col min="12" max="12" width="21.453125" style="1007" customWidth="1"/>
    <col min="13" max="14" width="14.7265625" style="1007" customWidth="1"/>
    <col min="15" max="15" width="16.26953125" style="1007" customWidth="1"/>
    <col min="16" max="256" width="14.7265625" style="1007"/>
    <col min="257" max="257" width="6" style="1007" customWidth="1"/>
    <col min="258" max="258" width="39.81640625" style="1007" customWidth="1"/>
    <col min="259" max="259" width="15.26953125" style="1007" customWidth="1"/>
    <col min="260" max="260" width="16.1796875" style="1007" customWidth="1"/>
    <col min="261" max="261" width="15.54296875" style="1007" customWidth="1"/>
    <col min="262" max="264" width="14.7265625" style="1007" customWidth="1"/>
    <col min="265" max="265" width="14.81640625" style="1007" customWidth="1"/>
    <col min="266" max="266" width="14.26953125" style="1007" customWidth="1"/>
    <col min="267" max="267" width="14.7265625" style="1007" customWidth="1"/>
    <col min="268" max="268" width="21.453125" style="1007" customWidth="1"/>
    <col min="269" max="270" width="14.7265625" style="1007" customWidth="1"/>
    <col min="271" max="271" width="16.26953125" style="1007" customWidth="1"/>
    <col min="272" max="512" width="14.7265625" style="1007"/>
    <col min="513" max="513" width="6" style="1007" customWidth="1"/>
    <col min="514" max="514" width="39.81640625" style="1007" customWidth="1"/>
    <col min="515" max="515" width="15.26953125" style="1007" customWidth="1"/>
    <col min="516" max="516" width="16.1796875" style="1007" customWidth="1"/>
    <col min="517" max="517" width="15.54296875" style="1007" customWidth="1"/>
    <col min="518" max="520" width="14.7265625" style="1007" customWidth="1"/>
    <col min="521" max="521" width="14.81640625" style="1007" customWidth="1"/>
    <col min="522" max="522" width="14.26953125" style="1007" customWidth="1"/>
    <col min="523" max="523" width="14.7265625" style="1007" customWidth="1"/>
    <col min="524" max="524" width="21.453125" style="1007" customWidth="1"/>
    <col min="525" max="526" width="14.7265625" style="1007" customWidth="1"/>
    <col min="527" max="527" width="16.26953125" style="1007" customWidth="1"/>
    <col min="528" max="768" width="14.7265625" style="1007"/>
    <col min="769" max="769" width="6" style="1007" customWidth="1"/>
    <col min="770" max="770" width="39.81640625" style="1007" customWidth="1"/>
    <col min="771" max="771" width="15.26953125" style="1007" customWidth="1"/>
    <col min="772" max="772" width="16.1796875" style="1007" customWidth="1"/>
    <col min="773" max="773" width="15.54296875" style="1007" customWidth="1"/>
    <col min="774" max="776" width="14.7265625" style="1007" customWidth="1"/>
    <col min="777" max="777" width="14.81640625" style="1007" customWidth="1"/>
    <col min="778" max="778" width="14.26953125" style="1007" customWidth="1"/>
    <col min="779" max="779" width="14.7265625" style="1007" customWidth="1"/>
    <col min="780" max="780" width="21.453125" style="1007" customWidth="1"/>
    <col min="781" max="782" width="14.7265625" style="1007" customWidth="1"/>
    <col min="783" max="783" width="16.26953125" style="1007" customWidth="1"/>
    <col min="784" max="1024" width="14.7265625" style="1007"/>
    <col min="1025" max="1025" width="6" style="1007" customWidth="1"/>
    <col min="1026" max="1026" width="39.81640625" style="1007" customWidth="1"/>
    <col min="1027" max="1027" width="15.26953125" style="1007" customWidth="1"/>
    <col min="1028" max="1028" width="16.1796875" style="1007" customWidth="1"/>
    <col min="1029" max="1029" width="15.54296875" style="1007" customWidth="1"/>
    <col min="1030" max="1032" width="14.7265625" style="1007" customWidth="1"/>
    <col min="1033" max="1033" width="14.81640625" style="1007" customWidth="1"/>
    <col min="1034" max="1034" width="14.26953125" style="1007" customWidth="1"/>
    <col min="1035" max="1035" width="14.7265625" style="1007" customWidth="1"/>
    <col min="1036" max="1036" width="21.453125" style="1007" customWidth="1"/>
    <col min="1037" max="1038" width="14.7265625" style="1007" customWidth="1"/>
    <col min="1039" max="1039" width="16.26953125" style="1007" customWidth="1"/>
    <col min="1040" max="1280" width="14.7265625" style="1007"/>
    <col min="1281" max="1281" width="6" style="1007" customWidth="1"/>
    <col min="1282" max="1282" width="39.81640625" style="1007" customWidth="1"/>
    <col min="1283" max="1283" width="15.26953125" style="1007" customWidth="1"/>
    <col min="1284" max="1284" width="16.1796875" style="1007" customWidth="1"/>
    <col min="1285" max="1285" width="15.54296875" style="1007" customWidth="1"/>
    <col min="1286" max="1288" width="14.7265625" style="1007" customWidth="1"/>
    <col min="1289" max="1289" width="14.81640625" style="1007" customWidth="1"/>
    <col min="1290" max="1290" width="14.26953125" style="1007" customWidth="1"/>
    <col min="1291" max="1291" width="14.7265625" style="1007" customWidth="1"/>
    <col min="1292" max="1292" width="21.453125" style="1007" customWidth="1"/>
    <col min="1293" max="1294" width="14.7265625" style="1007" customWidth="1"/>
    <col min="1295" max="1295" width="16.26953125" style="1007" customWidth="1"/>
    <col min="1296" max="1536" width="14.7265625" style="1007"/>
    <col min="1537" max="1537" width="6" style="1007" customWidth="1"/>
    <col min="1538" max="1538" width="39.81640625" style="1007" customWidth="1"/>
    <col min="1539" max="1539" width="15.26953125" style="1007" customWidth="1"/>
    <col min="1540" max="1540" width="16.1796875" style="1007" customWidth="1"/>
    <col min="1541" max="1541" width="15.54296875" style="1007" customWidth="1"/>
    <col min="1542" max="1544" width="14.7265625" style="1007" customWidth="1"/>
    <col min="1545" max="1545" width="14.81640625" style="1007" customWidth="1"/>
    <col min="1546" max="1546" width="14.26953125" style="1007" customWidth="1"/>
    <col min="1547" max="1547" width="14.7265625" style="1007" customWidth="1"/>
    <col min="1548" max="1548" width="21.453125" style="1007" customWidth="1"/>
    <col min="1549" max="1550" width="14.7265625" style="1007" customWidth="1"/>
    <col min="1551" max="1551" width="16.26953125" style="1007" customWidth="1"/>
    <col min="1552" max="1792" width="14.7265625" style="1007"/>
    <col min="1793" max="1793" width="6" style="1007" customWidth="1"/>
    <col min="1794" max="1794" width="39.81640625" style="1007" customWidth="1"/>
    <col min="1795" max="1795" width="15.26953125" style="1007" customWidth="1"/>
    <col min="1796" max="1796" width="16.1796875" style="1007" customWidth="1"/>
    <col min="1797" max="1797" width="15.54296875" style="1007" customWidth="1"/>
    <col min="1798" max="1800" width="14.7265625" style="1007" customWidth="1"/>
    <col min="1801" max="1801" width="14.81640625" style="1007" customWidth="1"/>
    <col min="1802" max="1802" width="14.26953125" style="1007" customWidth="1"/>
    <col min="1803" max="1803" width="14.7265625" style="1007" customWidth="1"/>
    <col min="1804" max="1804" width="21.453125" style="1007" customWidth="1"/>
    <col min="1805" max="1806" width="14.7265625" style="1007" customWidth="1"/>
    <col min="1807" max="1807" width="16.26953125" style="1007" customWidth="1"/>
    <col min="1808" max="2048" width="14.7265625" style="1007"/>
    <col min="2049" max="2049" width="6" style="1007" customWidth="1"/>
    <col min="2050" max="2050" width="39.81640625" style="1007" customWidth="1"/>
    <col min="2051" max="2051" width="15.26953125" style="1007" customWidth="1"/>
    <col min="2052" max="2052" width="16.1796875" style="1007" customWidth="1"/>
    <col min="2053" max="2053" width="15.54296875" style="1007" customWidth="1"/>
    <col min="2054" max="2056" width="14.7265625" style="1007" customWidth="1"/>
    <col min="2057" max="2057" width="14.81640625" style="1007" customWidth="1"/>
    <col min="2058" max="2058" width="14.26953125" style="1007" customWidth="1"/>
    <col min="2059" max="2059" width="14.7265625" style="1007" customWidth="1"/>
    <col min="2060" max="2060" width="21.453125" style="1007" customWidth="1"/>
    <col min="2061" max="2062" width="14.7265625" style="1007" customWidth="1"/>
    <col min="2063" max="2063" width="16.26953125" style="1007" customWidth="1"/>
    <col min="2064" max="2304" width="14.7265625" style="1007"/>
    <col min="2305" max="2305" width="6" style="1007" customWidth="1"/>
    <col min="2306" max="2306" width="39.81640625" style="1007" customWidth="1"/>
    <col min="2307" max="2307" width="15.26953125" style="1007" customWidth="1"/>
    <col min="2308" max="2308" width="16.1796875" style="1007" customWidth="1"/>
    <col min="2309" max="2309" width="15.54296875" style="1007" customWidth="1"/>
    <col min="2310" max="2312" width="14.7265625" style="1007" customWidth="1"/>
    <col min="2313" max="2313" width="14.81640625" style="1007" customWidth="1"/>
    <col min="2314" max="2314" width="14.26953125" style="1007" customWidth="1"/>
    <col min="2315" max="2315" width="14.7265625" style="1007" customWidth="1"/>
    <col min="2316" max="2316" width="21.453125" style="1007" customWidth="1"/>
    <col min="2317" max="2318" width="14.7265625" style="1007" customWidth="1"/>
    <col min="2319" max="2319" width="16.26953125" style="1007" customWidth="1"/>
    <col min="2320" max="2560" width="14.7265625" style="1007"/>
    <col min="2561" max="2561" width="6" style="1007" customWidth="1"/>
    <col min="2562" max="2562" width="39.81640625" style="1007" customWidth="1"/>
    <col min="2563" max="2563" width="15.26953125" style="1007" customWidth="1"/>
    <col min="2564" max="2564" width="16.1796875" style="1007" customWidth="1"/>
    <col min="2565" max="2565" width="15.54296875" style="1007" customWidth="1"/>
    <col min="2566" max="2568" width="14.7265625" style="1007" customWidth="1"/>
    <col min="2569" max="2569" width="14.81640625" style="1007" customWidth="1"/>
    <col min="2570" max="2570" width="14.26953125" style="1007" customWidth="1"/>
    <col min="2571" max="2571" width="14.7265625" style="1007" customWidth="1"/>
    <col min="2572" max="2572" width="21.453125" style="1007" customWidth="1"/>
    <col min="2573" max="2574" width="14.7265625" style="1007" customWidth="1"/>
    <col min="2575" max="2575" width="16.26953125" style="1007" customWidth="1"/>
    <col min="2576" max="2816" width="14.7265625" style="1007"/>
    <col min="2817" max="2817" width="6" style="1007" customWidth="1"/>
    <col min="2818" max="2818" width="39.81640625" style="1007" customWidth="1"/>
    <col min="2819" max="2819" width="15.26953125" style="1007" customWidth="1"/>
    <col min="2820" max="2820" width="16.1796875" style="1007" customWidth="1"/>
    <col min="2821" max="2821" width="15.54296875" style="1007" customWidth="1"/>
    <col min="2822" max="2824" width="14.7265625" style="1007" customWidth="1"/>
    <col min="2825" max="2825" width="14.81640625" style="1007" customWidth="1"/>
    <col min="2826" max="2826" width="14.26953125" style="1007" customWidth="1"/>
    <col min="2827" max="2827" width="14.7265625" style="1007" customWidth="1"/>
    <col min="2828" max="2828" width="21.453125" style="1007" customWidth="1"/>
    <col min="2829" max="2830" width="14.7265625" style="1007" customWidth="1"/>
    <col min="2831" max="2831" width="16.26953125" style="1007" customWidth="1"/>
    <col min="2832" max="3072" width="14.7265625" style="1007"/>
    <col min="3073" max="3073" width="6" style="1007" customWidth="1"/>
    <col min="3074" max="3074" width="39.81640625" style="1007" customWidth="1"/>
    <col min="3075" max="3075" width="15.26953125" style="1007" customWidth="1"/>
    <col min="3076" max="3076" width="16.1796875" style="1007" customWidth="1"/>
    <col min="3077" max="3077" width="15.54296875" style="1007" customWidth="1"/>
    <col min="3078" max="3080" width="14.7265625" style="1007" customWidth="1"/>
    <col min="3081" max="3081" width="14.81640625" style="1007" customWidth="1"/>
    <col min="3082" max="3082" width="14.26953125" style="1007" customWidth="1"/>
    <col min="3083" max="3083" width="14.7265625" style="1007" customWidth="1"/>
    <col min="3084" max="3084" width="21.453125" style="1007" customWidth="1"/>
    <col min="3085" max="3086" width="14.7265625" style="1007" customWidth="1"/>
    <col min="3087" max="3087" width="16.26953125" style="1007" customWidth="1"/>
    <col min="3088" max="3328" width="14.7265625" style="1007"/>
    <col min="3329" max="3329" width="6" style="1007" customWidth="1"/>
    <col min="3330" max="3330" width="39.81640625" style="1007" customWidth="1"/>
    <col min="3331" max="3331" width="15.26953125" style="1007" customWidth="1"/>
    <col min="3332" max="3332" width="16.1796875" style="1007" customWidth="1"/>
    <col min="3333" max="3333" width="15.54296875" style="1007" customWidth="1"/>
    <col min="3334" max="3336" width="14.7265625" style="1007" customWidth="1"/>
    <col min="3337" max="3337" width="14.81640625" style="1007" customWidth="1"/>
    <col min="3338" max="3338" width="14.26953125" style="1007" customWidth="1"/>
    <col min="3339" max="3339" width="14.7265625" style="1007" customWidth="1"/>
    <col min="3340" max="3340" width="21.453125" style="1007" customWidth="1"/>
    <col min="3341" max="3342" width="14.7265625" style="1007" customWidth="1"/>
    <col min="3343" max="3343" width="16.26953125" style="1007" customWidth="1"/>
    <col min="3344" max="3584" width="14.7265625" style="1007"/>
    <col min="3585" max="3585" width="6" style="1007" customWidth="1"/>
    <col min="3586" max="3586" width="39.81640625" style="1007" customWidth="1"/>
    <col min="3587" max="3587" width="15.26953125" style="1007" customWidth="1"/>
    <col min="3588" max="3588" width="16.1796875" style="1007" customWidth="1"/>
    <col min="3589" max="3589" width="15.54296875" style="1007" customWidth="1"/>
    <col min="3590" max="3592" width="14.7265625" style="1007" customWidth="1"/>
    <col min="3593" max="3593" width="14.81640625" style="1007" customWidth="1"/>
    <col min="3594" max="3594" width="14.26953125" style="1007" customWidth="1"/>
    <col min="3595" max="3595" width="14.7265625" style="1007" customWidth="1"/>
    <col min="3596" max="3596" width="21.453125" style="1007" customWidth="1"/>
    <col min="3597" max="3598" width="14.7265625" style="1007" customWidth="1"/>
    <col min="3599" max="3599" width="16.26953125" style="1007" customWidth="1"/>
    <col min="3600" max="3840" width="14.7265625" style="1007"/>
    <col min="3841" max="3841" width="6" style="1007" customWidth="1"/>
    <col min="3842" max="3842" width="39.81640625" style="1007" customWidth="1"/>
    <col min="3843" max="3843" width="15.26953125" style="1007" customWidth="1"/>
    <col min="3844" max="3844" width="16.1796875" style="1007" customWidth="1"/>
    <col min="3845" max="3845" width="15.54296875" style="1007" customWidth="1"/>
    <col min="3846" max="3848" width="14.7265625" style="1007" customWidth="1"/>
    <col min="3849" max="3849" width="14.81640625" style="1007" customWidth="1"/>
    <col min="3850" max="3850" width="14.26953125" style="1007" customWidth="1"/>
    <col min="3851" max="3851" width="14.7265625" style="1007" customWidth="1"/>
    <col min="3852" max="3852" width="21.453125" style="1007" customWidth="1"/>
    <col min="3853" max="3854" width="14.7265625" style="1007" customWidth="1"/>
    <col min="3855" max="3855" width="16.26953125" style="1007" customWidth="1"/>
    <col min="3856" max="4096" width="14.7265625" style="1007"/>
    <col min="4097" max="4097" width="6" style="1007" customWidth="1"/>
    <col min="4098" max="4098" width="39.81640625" style="1007" customWidth="1"/>
    <col min="4099" max="4099" width="15.26953125" style="1007" customWidth="1"/>
    <col min="4100" max="4100" width="16.1796875" style="1007" customWidth="1"/>
    <col min="4101" max="4101" width="15.54296875" style="1007" customWidth="1"/>
    <col min="4102" max="4104" width="14.7265625" style="1007" customWidth="1"/>
    <col min="4105" max="4105" width="14.81640625" style="1007" customWidth="1"/>
    <col min="4106" max="4106" width="14.26953125" style="1007" customWidth="1"/>
    <col min="4107" max="4107" width="14.7265625" style="1007" customWidth="1"/>
    <col min="4108" max="4108" width="21.453125" style="1007" customWidth="1"/>
    <col min="4109" max="4110" width="14.7265625" style="1007" customWidth="1"/>
    <col min="4111" max="4111" width="16.26953125" style="1007" customWidth="1"/>
    <col min="4112" max="4352" width="14.7265625" style="1007"/>
    <col min="4353" max="4353" width="6" style="1007" customWidth="1"/>
    <col min="4354" max="4354" width="39.81640625" style="1007" customWidth="1"/>
    <col min="4355" max="4355" width="15.26953125" style="1007" customWidth="1"/>
    <col min="4356" max="4356" width="16.1796875" style="1007" customWidth="1"/>
    <col min="4357" max="4357" width="15.54296875" style="1007" customWidth="1"/>
    <col min="4358" max="4360" width="14.7265625" style="1007" customWidth="1"/>
    <col min="4361" max="4361" width="14.81640625" style="1007" customWidth="1"/>
    <col min="4362" max="4362" width="14.26953125" style="1007" customWidth="1"/>
    <col min="4363" max="4363" width="14.7265625" style="1007" customWidth="1"/>
    <col min="4364" max="4364" width="21.453125" style="1007" customWidth="1"/>
    <col min="4365" max="4366" width="14.7265625" style="1007" customWidth="1"/>
    <col min="4367" max="4367" width="16.26953125" style="1007" customWidth="1"/>
    <col min="4368" max="4608" width="14.7265625" style="1007"/>
    <col min="4609" max="4609" width="6" style="1007" customWidth="1"/>
    <col min="4610" max="4610" width="39.81640625" style="1007" customWidth="1"/>
    <col min="4611" max="4611" width="15.26953125" style="1007" customWidth="1"/>
    <col min="4612" max="4612" width="16.1796875" style="1007" customWidth="1"/>
    <col min="4613" max="4613" width="15.54296875" style="1007" customWidth="1"/>
    <col min="4614" max="4616" width="14.7265625" style="1007" customWidth="1"/>
    <col min="4617" max="4617" width="14.81640625" style="1007" customWidth="1"/>
    <col min="4618" max="4618" width="14.26953125" style="1007" customWidth="1"/>
    <col min="4619" max="4619" width="14.7265625" style="1007" customWidth="1"/>
    <col min="4620" max="4620" width="21.453125" style="1007" customWidth="1"/>
    <col min="4621" max="4622" width="14.7265625" style="1007" customWidth="1"/>
    <col min="4623" max="4623" width="16.26953125" style="1007" customWidth="1"/>
    <col min="4624" max="4864" width="14.7265625" style="1007"/>
    <col min="4865" max="4865" width="6" style="1007" customWidth="1"/>
    <col min="4866" max="4866" width="39.81640625" style="1007" customWidth="1"/>
    <col min="4867" max="4867" width="15.26953125" style="1007" customWidth="1"/>
    <col min="4868" max="4868" width="16.1796875" style="1007" customWidth="1"/>
    <col min="4869" max="4869" width="15.54296875" style="1007" customWidth="1"/>
    <col min="4870" max="4872" width="14.7265625" style="1007" customWidth="1"/>
    <col min="4873" max="4873" width="14.81640625" style="1007" customWidth="1"/>
    <col min="4874" max="4874" width="14.26953125" style="1007" customWidth="1"/>
    <col min="4875" max="4875" width="14.7265625" style="1007" customWidth="1"/>
    <col min="4876" max="4876" width="21.453125" style="1007" customWidth="1"/>
    <col min="4877" max="4878" width="14.7265625" style="1007" customWidth="1"/>
    <col min="4879" max="4879" width="16.26953125" style="1007" customWidth="1"/>
    <col min="4880" max="5120" width="14.7265625" style="1007"/>
    <col min="5121" max="5121" width="6" style="1007" customWidth="1"/>
    <col min="5122" max="5122" width="39.81640625" style="1007" customWidth="1"/>
    <col min="5123" max="5123" width="15.26953125" style="1007" customWidth="1"/>
    <col min="5124" max="5124" width="16.1796875" style="1007" customWidth="1"/>
    <col min="5125" max="5125" width="15.54296875" style="1007" customWidth="1"/>
    <col min="5126" max="5128" width="14.7265625" style="1007" customWidth="1"/>
    <col min="5129" max="5129" width="14.81640625" style="1007" customWidth="1"/>
    <col min="5130" max="5130" width="14.26953125" style="1007" customWidth="1"/>
    <col min="5131" max="5131" width="14.7265625" style="1007" customWidth="1"/>
    <col min="5132" max="5132" width="21.453125" style="1007" customWidth="1"/>
    <col min="5133" max="5134" width="14.7265625" style="1007" customWidth="1"/>
    <col min="5135" max="5135" width="16.26953125" style="1007" customWidth="1"/>
    <col min="5136" max="5376" width="14.7265625" style="1007"/>
    <col min="5377" max="5377" width="6" style="1007" customWidth="1"/>
    <col min="5378" max="5378" width="39.81640625" style="1007" customWidth="1"/>
    <col min="5379" max="5379" width="15.26953125" style="1007" customWidth="1"/>
    <col min="5380" max="5380" width="16.1796875" style="1007" customWidth="1"/>
    <col min="5381" max="5381" width="15.54296875" style="1007" customWidth="1"/>
    <col min="5382" max="5384" width="14.7265625" style="1007" customWidth="1"/>
    <col min="5385" max="5385" width="14.81640625" style="1007" customWidth="1"/>
    <col min="5386" max="5386" width="14.26953125" style="1007" customWidth="1"/>
    <col min="5387" max="5387" width="14.7265625" style="1007" customWidth="1"/>
    <col min="5388" max="5388" width="21.453125" style="1007" customWidth="1"/>
    <col min="5389" max="5390" width="14.7265625" style="1007" customWidth="1"/>
    <col min="5391" max="5391" width="16.26953125" style="1007" customWidth="1"/>
    <col min="5392" max="5632" width="14.7265625" style="1007"/>
    <col min="5633" max="5633" width="6" style="1007" customWidth="1"/>
    <col min="5634" max="5634" width="39.81640625" style="1007" customWidth="1"/>
    <col min="5635" max="5635" width="15.26953125" style="1007" customWidth="1"/>
    <col min="5636" max="5636" width="16.1796875" style="1007" customWidth="1"/>
    <col min="5637" max="5637" width="15.54296875" style="1007" customWidth="1"/>
    <col min="5638" max="5640" width="14.7265625" style="1007" customWidth="1"/>
    <col min="5641" max="5641" width="14.81640625" style="1007" customWidth="1"/>
    <col min="5642" max="5642" width="14.26953125" style="1007" customWidth="1"/>
    <col min="5643" max="5643" width="14.7265625" style="1007" customWidth="1"/>
    <col min="5644" max="5644" width="21.453125" style="1007" customWidth="1"/>
    <col min="5645" max="5646" width="14.7265625" style="1007" customWidth="1"/>
    <col min="5647" max="5647" width="16.26953125" style="1007" customWidth="1"/>
    <col min="5648" max="5888" width="14.7265625" style="1007"/>
    <col min="5889" max="5889" width="6" style="1007" customWidth="1"/>
    <col min="5890" max="5890" width="39.81640625" style="1007" customWidth="1"/>
    <col min="5891" max="5891" width="15.26953125" style="1007" customWidth="1"/>
    <col min="5892" max="5892" width="16.1796875" style="1007" customWidth="1"/>
    <col min="5893" max="5893" width="15.54296875" style="1007" customWidth="1"/>
    <col min="5894" max="5896" width="14.7265625" style="1007" customWidth="1"/>
    <col min="5897" max="5897" width="14.81640625" style="1007" customWidth="1"/>
    <col min="5898" max="5898" width="14.26953125" style="1007" customWidth="1"/>
    <col min="5899" max="5899" width="14.7265625" style="1007" customWidth="1"/>
    <col min="5900" max="5900" width="21.453125" style="1007" customWidth="1"/>
    <col min="5901" max="5902" width="14.7265625" style="1007" customWidth="1"/>
    <col min="5903" max="5903" width="16.26953125" style="1007" customWidth="1"/>
    <col min="5904" max="6144" width="14.7265625" style="1007"/>
    <col min="6145" max="6145" width="6" style="1007" customWidth="1"/>
    <col min="6146" max="6146" width="39.81640625" style="1007" customWidth="1"/>
    <col min="6147" max="6147" width="15.26953125" style="1007" customWidth="1"/>
    <col min="6148" max="6148" width="16.1796875" style="1007" customWidth="1"/>
    <col min="6149" max="6149" width="15.54296875" style="1007" customWidth="1"/>
    <col min="6150" max="6152" width="14.7265625" style="1007" customWidth="1"/>
    <col min="6153" max="6153" width="14.81640625" style="1007" customWidth="1"/>
    <col min="6154" max="6154" width="14.26953125" style="1007" customWidth="1"/>
    <col min="6155" max="6155" width="14.7265625" style="1007" customWidth="1"/>
    <col min="6156" max="6156" width="21.453125" style="1007" customWidth="1"/>
    <col min="6157" max="6158" width="14.7265625" style="1007" customWidth="1"/>
    <col min="6159" max="6159" width="16.26953125" style="1007" customWidth="1"/>
    <col min="6160" max="6400" width="14.7265625" style="1007"/>
    <col min="6401" max="6401" width="6" style="1007" customWidth="1"/>
    <col min="6402" max="6402" width="39.81640625" style="1007" customWidth="1"/>
    <col min="6403" max="6403" width="15.26953125" style="1007" customWidth="1"/>
    <col min="6404" max="6404" width="16.1796875" style="1007" customWidth="1"/>
    <col min="6405" max="6405" width="15.54296875" style="1007" customWidth="1"/>
    <col min="6406" max="6408" width="14.7265625" style="1007" customWidth="1"/>
    <col min="6409" max="6409" width="14.81640625" style="1007" customWidth="1"/>
    <col min="6410" max="6410" width="14.26953125" style="1007" customWidth="1"/>
    <col min="6411" max="6411" width="14.7265625" style="1007" customWidth="1"/>
    <col min="6412" max="6412" width="21.453125" style="1007" customWidth="1"/>
    <col min="6413" max="6414" width="14.7265625" style="1007" customWidth="1"/>
    <col min="6415" max="6415" width="16.26953125" style="1007" customWidth="1"/>
    <col min="6416" max="6656" width="14.7265625" style="1007"/>
    <col min="6657" max="6657" width="6" style="1007" customWidth="1"/>
    <col min="6658" max="6658" width="39.81640625" style="1007" customWidth="1"/>
    <col min="6659" max="6659" width="15.26953125" style="1007" customWidth="1"/>
    <col min="6660" max="6660" width="16.1796875" style="1007" customWidth="1"/>
    <col min="6661" max="6661" width="15.54296875" style="1007" customWidth="1"/>
    <col min="6662" max="6664" width="14.7265625" style="1007" customWidth="1"/>
    <col min="6665" max="6665" width="14.81640625" style="1007" customWidth="1"/>
    <col min="6666" max="6666" width="14.26953125" style="1007" customWidth="1"/>
    <col min="6667" max="6667" width="14.7265625" style="1007" customWidth="1"/>
    <col min="6668" max="6668" width="21.453125" style="1007" customWidth="1"/>
    <col min="6669" max="6670" width="14.7265625" style="1007" customWidth="1"/>
    <col min="6671" max="6671" width="16.26953125" style="1007" customWidth="1"/>
    <col min="6672" max="6912" width="14.7265625" style="1007"/>
    <col min="6913" max="6913" width="6" style="1007" customWidth="1"/>
    <col min="6914" max="6914" width="39.81640625" style="1007" customWidth="1"/>
    <col min="6915" max="6915" width="15.26953125" style="1007" customWidth="1"/>
    <col min="6916" max="6916" width="16.1796875" style="1007" customWidth="1"/>
    <col min="6917" max="6917" width="15.54296875" style="1007" customWidth="1"/>
    <col min="6918" max="6920" width="14.7265625" style="1007" customWidth="1"/>
    <col min="6921" max="6921" width="14.81640625" style="1007" customWidth="1"/>
    <col min="6922" max="6922" width="14.26953125" style="1007" customWidth="1"/>
    <col min="6923" max="6923" width="14.7265625" style="1007" customWidth="1"/>
    <col min="6924" max="6924" width="21.453125" style="1007" customWidth="1"/>
    <col min="6925" max="6926" width="14.7265625" style="1007" customWidth="1"/>
    <col min="6927" max="6927" width="16.26953125" style="1007" customWidth="1"/>
    <col min="6928" max="7168" width="14.7265625" style="1007"/>
    <col min="7169" max="7169" width="6" style="1007" customWidth="1"/>
    <col min="7170" max="7170" width="39.81640625" style="1007" customWidth="1"/>
    <col min="7171" max="7171" width="15.26953125" style="1007" customWidth="1"/>
    <col min="7172" max="7172" width="16.1796875" style="1007" customWidth="1"/>
    <col min="7173" max="7173" width="15.54296875" style="1007" customWidth="1"/>
    <col min="7174" max="7176" width="14.7265625" style="1007" customWidth="1"/>
    <col min="7177" max="7177" width="14.81640625" style="1007" customWidth="1"/>
    <col min="7178" max="7178" width="14.26953125" style="1007" customWidth="1"/>
    <col min="7179" max="7179" width="14.7265625" style="1007" customWidth="1"/>
    <col min="7180" max="7180" width="21.453125" style="1007" customWidth="1"/>
    <col min="7181" max="7182" width="14.7265625" style="1007" customWidth="1"/>
    <col min="7183" max="7183" width="16.26953125" style="1007" customWidth="1"/>
    <col min="7184" max="7424" width="14.7265625" style="1007"/>
    <col min="7425" max="7425" width="6" style="1007" customWidth="1"/>
    <col min="7426" max="7426" width="39.81640625" style="1007" customWidth="1"/>
    <col min="7427" max="7427" width="15.26953125" style="1007" customWidth="1"/>
    <col min="7428" max="7428" width="16.1796875" style="1007" customWidth="1"/>
    <col min="7429" max="7429" width="15.54296875" style="1007" customWidth="1"/>
    <col min="7430" max="7432" width="14.7265625" style="1007" customWidth="1"/>
    <col min="7433" max="7433" width="14.81640625" style="1007" customWidth="1"/>
    <col min="7434" max="7434" width="14.26953125" style="1007" customWidth="1"/>
    <col min="7435" max="7435" width="14.7265625" style="1007" customWidth="1"/>
    <col min="7436" max="7436" width="21.453125" style="1007" customWidth="1"/>
    <col min="7437" max="7438" width="14.7265625" style="1007" customWidth="1"/>
    <col min="7439" max="7439" width="16.26953125" style="1007" customWidth="1"/>
    <col min="7440" max="7680" width="14.7265625" style="1007"/>
    <col min="7681" max="7681" width="6" style="1007" customWidth="1"/>
    <col min="7682" max="7682" width="39.81640625" style="1007" customWidth="1"/>
    <col min="7683" max="7683" width="15.26953125" style="1007" customWidth="1"/>
    <col min="7684" max="7684" width="16.1796875" style="1007" customWidth="1"/>
    <col min="7685" max="7685" width="15.54296875" style="1007" customWidth="1"/>
    <col min="7686" max="7688" width="14.7265625" style="1007" customWidth="1"/>
    <col min="7689" max="7689" width="14.81640625" style="1007" customWidth="1"/>
    <col min="7690" max="7690" width="14.26953125" style="1007" customWidth="1"/>
    <col min="7691" max="7691" width="14.7265625" style="1007" customWidth="1"/>
    <col min="7692" max="7692" width="21.453125" style="1007" customWidth="1"/>
    <col min="7693" max="7694" width="14.7265625" style="1007" customWidth="1"/>
    <col min="7695" max="7695" width="16.26953125" style="1007" customWidth="1"/>
    <col min="7696" max="7936" width="14.7265625" style="1007"/>
    <col min="7937" max="7937" width="6" style="1007" customWidth="1"/>
    <col min="7938" max="7938" width="39.81640625" style="1007" customWidth="1"/>
    <col min="7939" max="7939" width="15.26953125" style="1007" customWidth="1"/>
    <col min="7940" max="7940" width="16.1796875" style="1007" customWidth="1"/>
    <col min="7941" max="7941" width="15.54296875" style="1007" customWidth="1"/>
    <col min="7942" max="7944" width="14.7265625" style="1007" customWidth="1"/>
    <col min="7945" max="7945" width="14.81640625" style="1007" customWidth="1"/>
    <col min="7946" max="7946" width="14.26953125" style="1007" customWidth="1"/>
    <col min="7947" max="7947" width="14.7265625" style="1007" customWidth="1"/>
    <col min="7948" max="7948" width="21.453125" style="1007" customWidth="1"/>
    <col min="7949" max="7950" width="14.7265625" style="1007" customWidth="1"/>
    <col min="7951" max="7951" width="16.26953125" style="1007" customWidth="1"/>
    <col min="7952" max="8192" width="14.7265625" style="1007"/>
    <col min="8193" max="8193" width="6" style="1007" customWidth="1"/>
    <col min="8194" max="8194" width="39.81640625" style="1007" customWidth="1"/>
    <col min="8195" max="8195" width="15.26953125" style="1007" customWidth="1"/>
    <col min="8196" max="8196" width="16.1796875" style="1007" customWidth="1"/>
    <col min="8197" max="8197" width="15.54296875" style="1007" customWidth="1"/>
    <col min="8198" max="8200" width="14.7265625" style="1007" customWidth="1"/>
    <col min="8201" max="8201" width="14.81640625" style="1007" customWidth="1"/>
    <col min="8202" max="8202" width="14.26953125" style="1007" customWidth="1"/>
    <col min="8203" max="8203" width="14.7265625" style="1007" customWidth="1"/>
    <col min="8204" max="8204" width="21.453125" style="1007" customWidth="1"/>
    <col min="8205" max="8206" width="14.7265625" style="1007" customWidth="1"/>
    <col min="8207" max="8207" width="16.26953125" style="1007" customWidth="1"/>
    <col min="8208" max="8448" width="14.7265625" style="1007"/>
    <col min="8449" max="8449" width="6" style="1007" customWidth="1"/>
    <col min="8450" max="8450" width="39.81640625" style="1007" customWidth="1"/>
    <col min="8451" max="8451" width="15.26953125" style="1007" customWidth="1"/>
    <col min="8452" max="8452" width="16.1796875" style="1007" customWidth="1"/>
    <col min="8453" max="8453" width="15.54296875" style="1007" customWidth="1"/>
    <col min="8454" max="8456" width="14.7265625" style="1007" customWidth="1"/>
    <col min="8457" max="8457" width="14.81640625" style="1007" customWidth="1"/>
    <col min="8458" max="8458" width="14.26953125" style="1007" customWidth="1"/>
    <col min="8459" max="8459" width="14.7265625" style="1007" customWidth="1"/>
    <col min="8460" max="8460" width="21.453125" style="1007" customWidth="1"/>
    <col min="8461" max="8462" width="14.7265625" style="1007" customWidth="1"/>
    <col min="8463" max="8463" width="16.26953125" style="1007" customWidth="1"/>
    <col min="8464" max="8704" width="14.7265625" style="1007"/>
    <col min="8705" max="8705" width="6" style="1007" customWidth="1"/>
    <col min="8706" max="8706" width="39.81640625" style="1007" customWidth="1"/>
    <col min="8707" max="8707" width="15.26953125" style="1007" customWidth="1"/>
    <col min="8708" max="8708" width="16.1796875" style="1007" customWidth="1"/>
    <col min="8709" max="8709" width="15.54296875" style="1007" customWidth="1"/>
    <col min="8710" max="8712" width="14.7265625" style="1007" customWidth="1"/>
    <col min="8713" max="8713" width="14.81640625" style="1007" customWidth="1"/>
    <col min="8714" max="8714" width="14.26953125" style="1007" customWidth="1"/>
    <col min="8715" max="8715" width="14.7265625" style="1007" customWidth="1"/>
    <col min="8716" max="8716" width="21.453125" style="1007" customWidth="1"/>
    <col min="8717" max="8718" width="14.7265625" style="1007" customWidth="1"/>
    <col min="8719" max="8719" width="16.26953125" style="1007" customWidth="1"/>
    <col min="8720" max="8960" width="14.7265625" style="1007"/>
    <col min="8961" max="8961" width="6" style="1007" customWidth="1"/>
    <col min="8962" max="8962" width="39.81640625" style="1007" customWidth="1"/>
    <col min="8963" max="8963" width="15.26953125" style="1007" customWidth="1"/>
    <col min="8964" max="8964" width="16.1796875" style="1007" customWidth="1"/>
    <col min="8965" max="8965" width="15.54296875" style="1007" customWidth="1"/>
    <col min="8966" max="8968" width="14.7265625" style="1007" customWidth="1"/>
    <col min="8969" max="8969" width="14.81640625" style="1007" customWidth="1"/>
    <col min="8970" max="8970" width="14.26953125" style="1007" customWidth="1"/>
    <col min="8971" max="8971" width="14.7265625" style="1007" customWidth="1"/>
    <col min="8972" max="8972" width="21.453125" style="1007" customWidth="1"/>
    <col min="8973" max="8974" width="14.7265625" style="1007" customWidth="1"/>
    <col min="8975" max="8975" width="16.26953125" style="1007" customWidth="1"/>
    <col min="8976" max="9216" width="14.7265625" style="1007"/>
    <col min="9217" max="9217" width="6" style="1007" customWidth="1"/>
    <col min="9218" max="9218" width="39.81640625" style="1007" customWidth="1"/>
    <col min="9219" max="9219" width="15.26953125" style="1007" customWidth="1"/>
    <col min="9220" max="9220" width="16.1796875" style="1007" customWidth="1"/>
    <col min="9221" max="9221" width="15.54296875" style="1007" customWidth="1"/>
    <col min="9222" max="9224" width="14.7265625" style="1007" customWidth="1"/>
    <col min="9225" max="9225" width="14.81640625" style="1007" customWidth="1"/>
    <col min="9226" max="9226" width="14.26953125" style="1007" customWidth="1"/>
    <col min="9227" max="9227" width="14.7265625" style="1007" customWidth="1"/>
    <col min="9228" max="9228" width="21.453125" style="1007" customWidth="1"/>
    <col min="9229" max="9230" width="14.7265625" style="1007" customWidth="1"/>
    <col min="9231" max="9231" width="16.26953125" style="1007" customWidth="1"/>
    <col min="9232" max="9472" width="14.7265625" style="1007"/>
    <col min="9473" max="9473" width="6" style="1007" customWidth="1"/>
    <col min="9474" max="9474" width="39.81640625" style="1007" customWidth="1"/>
    <col min="9475" max="9475" width="15.26953125" style="1007" customWidth="1"/>
    <col min="9476" max="9476" width="16.1796875" style="1007" customWidth="1"/>
    <col min="9477" max="9477" width="15.54296875" style="1007" customWidth="1"/>
    <col min="9478" max="9480" width="14.7265625" style="1007" customWidth="1"/>
    <col min="9481" max="9481" width="14.81640625" style="1007" customWidth="1"/>
    <col min="9482" max="9482" width="14.26953125" style="1007" customWidth="1"/>
    <col min="9483" max="9483" width="14.7265625" style="1007" customWidth="1"/>
    <col min="9484" max="9484" width="21.453125" style="1007" customWidth="1"/>
    <col min="9485" max="9486" width="14.7265625" style="1007" customWidth="1"/>
    <col min="9487" max="9487" width="16.26953125" style="1007" customWidth="1"/>
    <col min="9488" max="9728" width="14.7265625" style="1007"/>
    <col min="9729" max="9729" width="6" style="1007" customWidth="1"/>
    <col min="9730" max="9730" width="39.81640625" style="1007" customWidth="1"/>
    <col min="9731" max="9731" width="15.26953125" style="1007" customWidth="1"/>
    <col min="9732" max="9732" width="16.1796875" style="1007" customWidth="1"/>
    <col min="9733" max="9733" width="15.54296875" style="1007" customWidth="1"/>
    <col min="9734" max="9736" width="14.7265625" style="1007" customWidth="1"/>
    <col min="9737" max="9737" width="14.81640625" style="1007" customWidth="1"/>
    <col min="9738" max="9738" width="14.26953125" style="1007" customWidth="1"/>
    <col min="9739" max="9739" width="14.7265625" style="1007" customWidth="1"/>
    <col min="9740" max="9740" width="21.453125" style="1007" customWidth="1"/>
    <col min="9741" max="9742" width="14.7265625" style="1007" customWidth="1"/>
    <col min="9743" max="9743" width="16.26953125" style="1007" customWidth="1"/>
    <col min="9744" max="9984" width="14.7265625" style="1007"/>
    <col min="9985" max="9985" width="6" style="1007" customWidth="1"/>
    <col min="9986" max="9986" width="39.81640625" style="1007" customWidth="1"/>
    <col min="9987" max="9987" width="15.26953125" style="1007" customWidth="1"/>
    <col min="9988" max="9988" width="16.1796875" style="1007" customWidth="1"/>
    <col min="9989" max="9989" width="15.54296875" style="1007" customWidth="1"/>
    <col min="9990" max="9992" width="14.7265625" style="1007" customWidth="1"/>
    <col min="9993" max="9993" width="14.81640625" style="1007" customWidth="1"/>
    <col min="9994" max="9994" width="14.26953125" style="1007" customWidth="1"/>
    <col min="9995" max="9995" width="14.7265625" style="1007" customWidth="1"/>
    <col min="9996" max="9996" width="21.453125" style="1007" customWidth="1"/>
    <col min="9997" max="9998" width="14.7265625" style="1007" customWidth="1"/>
    <col min="9999" max="9999" width="16.26953125" style="1007" customWidth="1"/>
    <col min="10000" max="10240" width="14.7265625" style="1007"/>
    <col min="10241" max="10241" width="6" style="1007" customWidth="1"/>
    <col min="10242" max="10242" width="39.81640625" style="1007" customWidth="1"/>
    <col min="10243" max="10243" width="15.26953125" style="1007" customWidth="1"/>
    <col min="10244" max="10244" width="16.1796875" style="1007" customWidth="1"/>
    <col min="10245" max="10245" width="15.54296875" style="1007" customWidth="1"/>
    <col min="10246" max="10248" width="14.7265625" style="1007" customWidth="1"/>
    <col min="10249" max="10249" width="14.81640625" style="1007" customWidth="1"/>
    <col min="10250" max="10250" width="14.26953125" style="1007" customWidth="1"/>
    <col min="10251" max="10251" width="14.7265625" style="1007" customWidth="1"/>
    <col min="10252" max="10252" width="21.453125" style="1007" customWidth="1"/>
    <col min="10253" max="10254" width="14.7265625" style="1007" customWidth="1"/>
    <col min="10255" max="10255" width="16.26953125" style="1007" customWidth="1"/>
    <col min="10256" max="10496" width="14.7265625" style="1007"/>
    <col min="10497" max="10497" width="6" style="1007" customWidth="1"/>
    <col min="10498" max="10498" width="39.81640625" style="1007" customWidth="1"/>
    <col min="10499" max="10499" width="15.26953125" style="1007" customWidth="1"/>
    <col min="10500" max="10500" width="16.1796875" style="1007" customWidth="1"/>
    <col min="10501" max="10501" width="15.54296875" style="1007" customWidth="1"/>
    <col min="10502" max="10504" width="14.7265625" style="1007" customWidth="1"/>
    <col min="10505" max="10505" width="14.81640625" style="1007" customWidth="1"/>
    <col min="10506" max="10506" width="14.26953125" style="1007" customWidth="1"/>
    <col min="10507" max="10507" width="14.7265625" style="1007" customWidth="1"/>
    <col min="10508" max="10508" width="21.453125" style="1007" customWidth="1"/>
    <col min="10509" max="10510" width="14.7265625" style="1007" customWidth="1"/>
    <col min="10511" max="10511" width="16.26953125" style="1007" customWidth="1"/>
    <col min="10512" max="10752" width="14.7265625" style="1007"/>
    <col min="10753" max="10753" width="6" style="1007" customWidth="1"/>
    <col min="10754" max="10754" width="39.81640625" style="1007" customWidth="1"/>
    <col min="10755" max="10755" width="15.26953125" style="1007" customWidth="1"/>
    <col min="10756" max="10756" width="16.1796875" style="1007" customWidth="1"/>
    <col min="10757" max="10757" width="15.54296875" style="1007" customWidth="1"/>
    <col min="10758" max="10760" width="14.7265625" style="1007" customWidth="1"/>
    <col min="10761" max="10761" width="14.81640625" style="1007" customWidth="1"/>
    <col min="10762" max="10762" width="14.26953125" style="1007" customWidth="1"/>
    <col min="10763" max="10763" width="14.7265625" style="1007" customWidth="1"/>
    <col min="10764" max="10764" width="21.453125" style="1007" customWidth="1"/>
    <col min="10765" max="10766" width="14.7265625" style="1007" customWidth="1"/>
    <col min="10767" max="10767" width="16.26953125" style="1007" customWidth="1"/>
    <col min="10768" max="11008" width="14.7265625" style="1007"/>
    <col min="11009" max="11009" width="6" style="1007" customWidth="1"/>
    <col min="11010" max="11010" width="39.81640625" style="1007" customWidth="1"/>
    <col min="11011" max="11011" width="15.26953125" style="1007" customWidth="1"/>
    <col min="11012" max="11012" width="16.1796875" style="1007" customWidth="1"/>
    <col min="11013" max="11013" width="15.54296875" style="1007" customWidth="1"/>
    <col min="11014" max="11016" width="14.7265625" style="1007" customWidth="1"/>
    <col min="11017" max="11017" width="14.81640625" style="1007" customWidth="1"/>
    <col min="11018" max="11018" width="14.26953125" style="1007" customWidth="1"/>
    <col min="11019" max="11019" width="14.7265625" style="1007" customWidth="1"/>
    <col min="11020" max="11020" width="21.453125" style="1007" customWidth="1"/>
    <col min="11021" max="11022" width="14.7265625" style="1007" customWidth="1"/>
    <col min="11023" max="11023" width="16.26953125" style="1007" customWidth="1"/>
    <col min="11024" max="11264" width="14.7265625" style="1007"/>
    <col min="11265" max="11265" width="6" style="1007" customWidth="1"/>
    <col min="11266" max="11266" width="39.81640625" style="1007" customWidth="1"/>
    <col min="11267" max="11267" width="15.26953125" style="1007" customWidth="1"/>
    <col min="11268" max="11268" width="16.1796875" style="1007" customWidth="1"/>
    <col min="11269" max="11269" width="15.54296875" style="1007" customWidth="1"/>
    <col min="11270" max="11272" width="14.7265625" style="1007" customWidth="1"/>
    <col min="11273" max="11273" width="14.81640625" style="1007" customWidth="1"/>
    <col min="11274" max="11274" width="14.26953125" style="1007" customWidth="1"/>
    <col min="11275" max="11275" width="14.7265625" style="1007" customWidth="1"/>
    <col min="11276" max="11276" width="21.453125" style="1007" customWidth="1"/>
    <col min="11277" max="11278" width="14.7265625" style="1007" customWidth="1"/>
    <col min="11279" max="11279" width="16.26953125" style="1007" customWidth="1"/>
    <col min="11280" max="11520" width="14.7265625" style="1007"/>
    <col min="11521" max="11521" width="6" style="1007" customWidth="1"/>
    <col min="11522" max="11522" width="39.81640625" style="1007" customWidth="1"/>
    <col min="11523" max="11523" width="15.26953125" style="1007" customWidth="1"/>
    <col min="11524" max="11524" width="16.1796875" style="1007" customWidth="1"/>
    <col min="11525" max="11525" width="15.54296875" style="1007" customWidth="1"/>
    <col min="11526" max="11528" width="14.7265625" style="1007" customWidth="1"/>
    <col min="11529" max="11529" width="14.81640625" style="1007" customWidth="1"/>
    <col min="11530" max="11530" width="14.26953125" style="1007" customWidth="1"/>
    <col min="11531" max="11531" width="14.7265625" style="1007" customWidth="1"/>
    <col min="11532" max="11532" width="21.453125" style="1007" customWidth="1"/>
    <col min="11533" max="11534" width="14.7265625" style="1007" customWidth="1"/>
    <col min="11535" max="11535" width="16.26953125" style="1007" customWidth="1"/>
    <col min="11536" max="11776" width="14.7265625" style="1007"/>
    <col min="11777" max="11777" width="6" style="1007" customWidth="1"/>
    <col min="11778" max="11778" width="39.81640625" style="1007" customWidth="1"/>
    <col min="11779" max="11779" width="15.26953125" style="1007" customWidth="1"/>
    <col min="11780" max="11780" width="16.1796875" style="1007" customWidth="1"/>
    <col min="11781" max="11781" width="15.54296875" style="1007" customWidth="1"/>
    <col min="11782" max="11784" width="14.7265625" style="1007" customWidth="1"/>
    <col min="11785" max="11785" width="14.81640625" style="1007" customWidth="1"/>
    <col min="11786" max="11786" width="14.26953125" style="1007" customWidth="1"/>
    <col min="11787" max="11787" width="14.7265625" style="1007" customWidth="1"/>
    <col min="11788" max="11788" width="21.453125" style="1007" customWidth="1"/>
    <col min="11789" max="11790" width="14.7265625" style="1007" customWidth="1"/>
    <col min="11791" max="11791" width="16.26953125" style="1007" customWidth="1"/>
    <col min="11792" max="12032" width="14.7265625" style="1007"/>
    <col min="12033" max="12033" width="6" style="1007" customWidth="1"/>
    <col min="12034" max="12034" width="39.81640625" style="1007" customWidth="1"/>
    <col min="12035" max="12035" width="15.26953125" style="1007" customWidth="1"/>
    <col min="12036" max="12036" width="16.1796875" style="1007" customWidth="1"/>
    <col min="12037" max="12037" width="15.54296875" style="1007" customWidth="1"/>
    <col min="12038" max="12040" width="14.7265625" style="1007" customWidth="1"/>
    <col min="12041" max="12041" width="14.81640625" style="1007" customWidth="1"/>
    <col min="12042" max="12042" width="14.26953125" style="1007" customWidth="1"/>
    <col min="12043" max="12043" width="14.7265625" style="1007" customWidth="1"/>
    <col min="12044" max="12044" width="21.453125" style="1007" customWidth="1"/>
    <col min="12045" max="12046" width="14.7265625" style="1007" customWidth="1"/>
    <col min="12047" max="12047" width="16.26953125" style="1007" customWidth="1"/>
    <col min="12048" max="12288" width="14.7265625" style="1007"/>
    <col min="12289" max="12289" width="6" style="1007" customWidth="1"/>
    <col min="12290" max="12290" width="39.81640625" style="1007" customWidth="1"/>
    <col min="12291" max="12291" width="15.26953125" style="1007" customWidth="1"/>
    <col min="12292" max="12292" width="16.1796875" style="1007" customWidth="1"/>
    <col min="12293" max="12293" width="15.54296875" style="1007" customWidth="1"/>
    <col min="12294" max="12296" width="14.7265625" style="1007" customWidth="1"/>
    <col min="12297" max="12297" width="14.81640625" style="1007" customWidth="1"/>
    <col min="12298" max="12298" width="14.26953125" style="1007" customWidth="1"/>
    <col min="12299" max="12299" width="14.7265625" style="1007" customWidth="1"/>
    <col min="12300" max="12300" width="21.453125" style="1007" customWidth="1"/>
    <col min="12301" max="12302" width="14.7265625" style="1007" customWidth="1"/>
    <col min="12303" max="12303" width="16.26953125" style="1007" customWidth="1"/>
    <col min="12304" max="12544" width="14.7265625" style="1007"/>
    <col min="12545" max="12545" width="6" style="1007" customWidth="1"/>
    <col min="12546" max="12546" width="39.81640625" style="1007" customWidth="1"/>
    <col min="12547" max="12547" width="15.26953125" style="1007" customWidth="1"/>
    <col min="12548" max="12548" width="16.1796875" style="1007" customWidth="1"/>
    <col min="12549" max="12549" width="15.54296875" style="1007" customWidth="1"/>
    <col min="12550" max="12552" width="14.7265625" style="1007" customWidth="1"/>
    <col min="12553" max="12553" width="14.81640625" style="1007" customWidth="1"/>
    <col min="12554" max="12554" width="14.26953125" style="1007" customWidth="1"/>
    <col min="12555" max="12555" width="14.7265625" style="1007" customWidth="1"/>
    <col min="12556" max="12556" width="21.453125" style="1007" customWidth="1"/>
    <col min="12557" max="12558" width="14.7265625" style="1007" customWidth="1"/>
    <col min="12559" max="12559" width="16.26953125" style="1007" customWidth="1"/>
    <col min="12560" max="12800" width="14.7265625" style="1007"/>
    <col min="12801" max="12801" width="6" style="1007" customWidth="1"/>
    <col min="12802" max="12802" width="39.81640625" style="1007" customWidth="1"/>
    <col min="12803" max="12803" width="15.26953125" style="1007" customWidth="1"/>
    <col min="12804" max="12804" width="16.1796875" style="1007" customWidth="1"/>
    <col min="12805" max="12805" width="15.54296875" style="1007" customWidth="1"/>
    <col min="12806" max="12808" width="14.7265625" style="1007" customWidth="1"/>
    <col min="12809" max="12809" width="14.81640625" style="1007" customWidth="1"/>
    <col min="12810" max="12810" width="14.26953125" style="1007" customWidth="1"/>
    <col min="12811" max="12811" width="14.7265625" style="1007" customWidth="1"/>
    <col min="12812" max="12812" width="21.453125" style="1007" customWidth="1"/>
    <col min="12813" max="12814" width="14.7265625" style="1007" customWidth="1"/>
    <col min="12815" max="12815" width="16.26953125" style="1007" customWidth="1"/>
    <col min="12816" max="13056" width="14.7265625" style="1007"/>
    <col min="13057" max="13057" width="6" style="1007" customWidth="1"/>
    <col min="13058" max="13058" width="39.81640625" style="1007" customWidth="1"/>
    <col min="13059" max="13059" width="15.26953125" style="1007" customWidth="1"/>
    <col min="13060" max="13060" width="16.1796875" style="1007" customWidth="1"/>
    <col min="13061" max="13061" width="15.54296875" style="1007" customWidth="1"/>
    <col min="13062" max="13064" width="14.7265625" style="1007" customWidth="1"/>
    <col min="13065" max="13065" width="14.81640625" style="1007" customWidth="1"/>
    <col min="13066" max="13066" width="14.26953125" style="1007" customWidth="1"/>
    <col min="13067" max="13067" width="14.7265625" style="1007" customWidth="1"/>
    <col min="13068" max="13068" width="21.453125" style="1007" customWidth="1"/>
    <col min="13069" max="13070" width="14.7265625" style="1007" customWidth="1"/>
    <col min="13071" max="13071" width="16.26953125" style="1007" customWidth="1"/>
    <col min="13072" max="13312" width="14.7265625" style="1007"/>
    <col min="13313" max="13313" width="6" style="1007" customWidth="1"/>
    <col min="13314" max="13314" width="39.81640625" style="1007" customWidth="1"/>
    <col min="13315" max="13315" width="15.26953125" style="1007" customWidth="1"/>
    <col min="13316" max="13316" width="16.1796875" style="1007" customWidth="1"/>
    <col min="13317" max="13317" width="15.54296875" style="1007" customWidth="1"/>
    <col min="13318" max="13320" width="14.7265625" style="1007" customWidth="1"/>
    <col min="13321" max="13321" width="14.81640625" style="1007" customWidth="1"/>
    <col min="13322" max="13322" width="14.26953125" style="1007" customWidth="1"/>
    <col min="13323" max="13323" width="14.7265625" style="1007" customWidth="1"/>
    <col min="13324" max="13324" width="21.453125" style="1007" customWidth="1"/>
    <col min="13325" max="13326" width="14.7265625" style="1007" customWidth="1"/>
    <col min="13327" max="13327" width="16.26953125" style="1007" customWidth="1"/>
    <col min="13328" max="13568" width="14.7265625" style="1007"/>
    <col min="13569" max="13569" width="6" style="1007" customWidth="1"/>
    <col min="13570" max="13570" width="39.81640625" style="1007" customWidth="1"/>
    <col min="13571" max="13571" width="15.26953125" style="1007" customWidth="1"/>
    <col min="13572" max="13572" width="16.1796875" style="1007" customWidth="1"/>
    <col min="13573" max="13573" width="15.54296875" style="1007" customWidth="1"/>
    <col min="13574" max="13576" width="14.7265625" style="1007" customWidth="1"/>
    <col min="13577" max="13577" width="14.81640625" style="1007" customWidth="1"/>
    <col min="13578" max="13578" width="14.26953125" style="1007" customWidth="1"/>
    <col min="13579" max="13579" width="14.7265625" style="1007" customWidth="1"/>
    <col min="13580" max="13580" width="21.453125" style="1007" customWidth="1"/>
    <col min="13581" max="13582" width="14.7265625" style="1007" customWidth="1"/>
    <col min="13583" max="13583" width="16.26953125" style="1007" customWidth="1"/>
    <col min="13584" max="13824" width="14.7265625" style="1007"/>
    <col min="13825" max="13825" width="6" style="1007" customWidth="1"/>
    <col min="13826" max="13826" width="39.81640625" style="1007" customWidth="1"/>
    <col min="13827" max="13827" width="15.26953125" style="1007" customWidth="1"/>
    <col min="13828" max="13828" width="16.1796875" style="1007" customWidth="1"/>
    <col min="13829" max="13829" width="15.54296875" style="1007" customWidth="1"/>
    <col min="13830" max="13832" width="14.7265625" style="1007" customWidth="1"/>
    <col min="13833" max="13833" width="14.81640625" style="1007" customWidth="1"/>
    <col min="13834" max="13834" width="14.26953125" style="1007" customWidth="1"/>
    <col min="13835" max="13835" width="14.7265625" style="1007" customWidth="1"/>
    <col min="13836" max="13836" width="21.453125" style="1007" customWidth="1"/>
    <col min="13837" max="13838" width="14.7265625" style="1007" customWidth="1"/>
    <col min="13839" max="13839" width="16.26953125" style="1007" customWidth="1"/>
    <col min="13840" max="14080" width="14.7265625" style="1007"/>
    <col min="14081" max="14081" width="6" style="1007" customWidth="1"/>
    <col min="14082" max="14082" width="39.81640625" style="1007" customWidth="1"/>
    <col min="14083" max="14083" width="15.26953125" style="1007" customWidth="1"/>
    <col min="14084" max="14084" width="16.1796875" style="1007" customWidth="1"/>
    <col min="14085" max="14085" width="15.54296875" style="1007" customWidth="1"/>
    <col min="14086" max="14088" width="14.7265625" style="1007" customWidth="1"/>
    <col min="14089" max="14089" width="14.81640625" style="1007" customWidth="1"/>
    <col min="14090" max="14090" width="14.26953125" style="1007" customWidth="1"/>
    <col min="14091" max="14091" width="14.7265625" style="1007" customWidth="1"/>
    <col min="14092" max="14092" width="21.453125" style="1007" customWidth="1"/>
    <col min="14093" max="14094" width="14.7265625" style="1007" customWidth="1"/>
    <col min="14095" max="14095" width="16.26953125" style="1007" customWidth="1"/>
    <col min="14096" max="14336" width="14.7265625" style="1007"/>
    <col min="14337" max="14337" width="6" style="1007" customWidth="1"/>
    <col min="14338" max="14338" width="39.81640625" style="1007" customWidth="1"/>
    <col min="14339" max="14339" width="15.26953125" style="1007" customWidth="1"/>
    <col min="14340" max="14340" width="16.1796875" style="1007" customWidth="1"/>
    <col min="14341" max="14341" width="15.54296875" style="1007" customWidth="1"/>
    <col min="14342" max="14344" width="14.7265625" style="1007" customWidth="1"/>
    <col min="14345" max="14345" width="14.81640625" style="1007" customWidth="1"/>
    <col min="14346" max="14346" width="14.26953125" style="1007" customWidth="1"/>
    <col min="14347" max="14347" width="14.7265625" style="1007" customWidth="1"/>
    <col min="14348" max="14348" width="21.453125" style="1007" customWidth="1"/>
    <col min="14349" max="14350" width="14.7265625" style="1007" customWidth="1"/>
    <col min="14351" max="14351" width="16.26953125" style="1007" customWidth="1"/>
    <col min="14352" max="14592" width="14.7265625" style="1007"/>
    <col min="14593" max="14593" width="6" style="1007" customWidth="1"/>
    <col min="14594" max="14594" width="39.81640625" style="1007" customWidth="1"/>
    <col min="14595" max="14595" width="15.26953125" style="1007" customWidth="1"/>
    <col min="14596" max="14596" width="16.1796875" style="1007" customWidth="1"/>
    <col min="14597" max="14597" width="15.54296875" style="1007" customWidth="1"/>
    <col min="14598" max="14600" width="14.7265625" style="1007" customWidth="1"/>
    <col min="14601" max="14601" width="14.81640625" style="1007" customWidth="1"/>
    <col min="14602" max="14602" width="14.26953125" style="1007" customWidth="1"/>
    <col min="14603" max="14603" width="14.7265625" style="1007" customWidth="1"/>
    <col min="14604" max="14604" width="21.453125" style="1007" customWidth="1"/>
    <col min="14605" max="14606" width="14.7265625" style="1007" customWidth="1"/>
    <col min="14607" max="14607" width="16.26953125" style="1007" customWidth="1"/>
    <col min="14608" max="14848" width="14.7265625" style="1007"/>
    <col min="14849" max="14849" width="6" style="1007" customWidth="1"/>
    <col min="14850" max="14850" width="39.81640625" style="1007" customWidth="1"/>
    <col min="14851" max="14851" width="15.26953125" style="1007" customWidth="1"/>
    <col min="14852" max="14852" width="16.1796875" style="1007" customWidth="1"/>
    <col min="14853" max="14853" width="15.54296875" style="1007" customWidth="1"/>
    <col min="14854" max="14856" width="14.7265625" style="1007" customWidth="1"/>
    <col min="14857" max="14857" width="14.81640625" style="1007" customWidth="1"/>
    <col min="14858" max="14858" width="14.26953125" style="1007" customWidth="1"/>
    <col min="14859" max="14859" width="14.7265625" style="1007" customWidth="1"/>
    <col min="14860" max="14860" width="21.453125" style="1007" customWidth="1"/>
    <col min="14861" max="14862" width="14.7265625" style="1007" customWidth="1"/>
    <col min="14863" max="14863" width="16.26953125" style="1007" customWidth="1"/>
    <col min="14864" max="15104" width="14.7265625" style="1007"/>
    <col min="15105" max="15105" width="6" style="1007" customWidth="1"/>
    <col min="15106" max="15106" width="39.81640625" style="1007" customWidth="1"/>
    <col min="15107" max="15107" width="15.26953125" style="1007" customWidth="1"/>
    <col min="15108" max="15108" width="16.1796875" style="1007" customWidth="1"/>
    <col min="15109" max="15109" width="15.54296875" style="1007" customWidth="1"/>
    <col min="15110" max="15112" width="14.7265625" style="1007" customWidth="1"/>
    <col min="15113" max="15113" width="14.81640625" style="1007" customWidth="1"/>
    <col min="15114" max="15114" width="14.26953125" style="1007" customWidth="1"/>
    <col min="15115" max="15115" width="14.7265625" style="1007" customWidth="1"/>
    <col min="15116" max="15116" width="21.453125" style="1007" customWidth="1"/>
    <col min="15117" max="15118" width="14.7265625" style="1007" customWidth="1"/>
    <col min="15119" max="15119" width="16.26953125" style="1007" customWidth="1"/>
    <col min="15120" max="15360" width="14.7265625" style="1007"/>
    <col min="15361" max="15361" width="6" style="1007" customWidth="1"/>
    <col min="15362" max="15362" width="39.81640625" style="1007" customWidth="1"/>
    <col min="15363" max="15363" width="15.26953125" style="1007" customWidth="1"/>
    <col min="15364" max="15364" width="16.1796875" style="1007" customWidth="1"/>
    <col min="15365" max="15365" width="15.54296875" style="1007" customWidth="1"/>
    <col min="15366" max="15368" width="14.7265625" style="1007" customWidth="1"/>
    <col min="15369" max="15369" width="14.81640625" style="1007" customWidth="1"/>
    <col min="15370" max="15370" width="14.26953125" style="1007" customWidth="1"/>
    <col min="15371" max="15371" width="14.7265625" style="1007" customWidth="1"/>
    <col min="15372" max="15372" width="21.453125" style="1007" customWidth="1"/>
    <col min="15373" max="15374" width="14.7265625" style="1007" customWidth="1"/>
    <col min="15375" max="15375" width="16.26953125" style="1007" customWidth="1"/>
    <col min="15376" max="15616" width="14.7265625" style="1007"/>
    <col min="15617" max="15617" width="6" style="1007" customWidth="1"/>
    <col min="15618" max="15618" width="39.81640625" style="1007" customWidth="1"/>
    <col min="15619" max="15619" width="15.26953125" style="1007" customWidth="1"/>
    <col min="15620" max="15620" width="16.1796875" style="1007" customWidth="1"/>
    <col min="15621" max="15621" width="15.54296875" style="1007" customWidth="1"/>
    <col min="15622" max="15624" width="14.7265625" style="1007" customWidth="1"/>
    <col min="15625" max="15625" width="14.81640625" style="1007" customWidth="1"/>
    <col min="15626" max="15626" width="14.26953125" style="1007" customWidth="1"/>
    <col min="15627" max="15627" width="14.7265625" style="1007" customWidth="1"/>
    <col min="15628" max="15628" width="21.453125" style="1007" customWidth="1"/>
    <col min="15629" max="15630" width="14.7265625" style="1007" customWidth="1"/>
    <col min="15631" max="15631" width="16.26953125" style="1007" customWidth="1"/>
    <col min="15632" max="15872" width="14.7265625" style="1007"/>
    <col min="15873" max="15873" width="6" style="1007" customWidth="1"/>
    <col min="15874" max="15874" width="39.81640625" style="1007" customWidth="1"/>
    <col min="15875" max="15875" width="15.26953125" style="1007" customWidth="1"/>
    <col min="15876" max="15876" width="16.1796875" style="1007" customWidth="1"/>
    <col min="15877" max="15877" width="15.54296875" style="1007" customWidth="1"/>
    <col min="15878" max="15880" width="14.7265625" style="1007" customWidth="1"/>
    <col min="15881" max="15881" width="14.81640625" style="1007" customWidth="1"/>
    <col min="15882" max="15882" width="14.26953125" style="1007" customWidth="1"/>
    <col min="15883" max="15883" width="14.7265625" style="1007" customWidth="1"/>
    <col min="15884" max="15884" width="21.453125" style="1007" customWidth="1"/>
    <col min="15885" max="15886" width="14.7265625" style="1007" customWidth="1"/>
    <col min="15887" max="15887" width="16.26953125" style="1007" customWidth="1"/>
    <col min="15888" max="16128" width="14.7265625" style="1007"/>
    <col min="16129" max="16129" width="6" style="1007" customWidth="1"/>
    <col min="16130" max="16130" width="39.81640625" style="1007" customWidth="1"/>
    <col min="16131" max="16131" width="15.26953125" style="1007" customWidth="1"/>
    <col min="16132" max="16132" width="16.1796875" style="1007" customWidth="1"/>
    <col min="16133" max="16133" width="15.54296875" style="1007" customWidth="1"/>
    <col min="16134" max="16136" width="14.7265625" style="1007" customWidth="1"/>
    <col min="16137" max="16137" width="14.81640625" style="1007" customWidth="1"/>
    <col min="16138" max="16138" width="14.26953125" style="1007" customWidth="1"/>
    <col min="16139" max="16139" width="14.7265625" style="1007" customWidth="1"/>
    <col min="16140" max="16140" width="21.453125" style="1007" customWidth="1"/>
    <col min="16141" max="16142" width="14.7265625" style="1007" customWidth="1"/>
    <col min="16143" max="16143" width="16.26953125" style="1007" customWidth="1"/>
    <col min="16144" max="16384" width="14.7265625" style="1007"/>
  </cols>
  <sheetData>
    <row r="1" spans="1:15" ht="18">
      <c r="A1" s="1008"/>
      <c r="B1" s="1580" t="s">
        <v>5525</v>
      </c>
      <c r="C1" s="1008"/>
      <c r="D1" s="1008"/>
      <c r="E1" s="1008"/>
      <c r="F1" s="1008"/>
      <c r="G1" s="1008"/>
      <c r="H1" s="1008"/>
      <c r="I1" s="1011" t="s">
        <v>124</v>
      </c>
      <c r="J1" s="1065" t="s">
        <v>1268</v>
      </c>
    </row>
    <row r="2" spans="1:15" ht="17.5">
      <c r="A2" s="1064"/>
      <c r="B2" s="1066"/>
      <c r="C2" s="1008"/>
      <c r="D2" s="1008"/>
      <c r="E2" s="1008"/>
      <c r="F2" s="1008"/>
      <c r="G2" s="1008"/>
      <c r="H2" s="1008"/>
      <c r="I2" s="1008"/>
      <c r="J2" s="1008"/>
    </row>
    <row r="3" spans="1:15" s="1072" customFormat="1" ht="31.5" customHeight="1">
      <c r="A3" s="1071" t="s">
        <v>8480</v>
      </c>
      <c r="B3" s="1071"/>
      <c r="C3" s="1070"/>
      <c r="D3" s="1070"/>
      <c r="E3" s="1070"/>
      <c r="F3" s="1070"/>
      <c r="G3" s="1070"/>
      <c r="H3" s="1070"/>
      <c r="I3" s="1070"/>
      <c r="J3" s="1070"/>
    </row>
    <row r="4" spans="1:15" ht="18">
      <c r="A4" s="1064"/>
      <c r="B4" s="1044"/>
      <c r="C4" s="1008"/>
      <c r="D4" s="1008"/>
      <c r="E4" s="1008"/>
      <c r="F4" s="1008"/>
      <c r="G4" s="1008"/>
      <c r="H4" s="1008"/>
      <c r="I4" s="1008"/>
      <c r="J4" s="1008"/>
    </row>
    <row r="5" spans="1:15" ht="18">
      <c r="A5" s="1067" t="s">
        <v>126</v>
      </c>
      <c r="B5" s="1073" t="s">
        <v>4126</v>
      </c>
      <c r="C5" s="1043" t="s">
        <v>1504</v>
      </c>
      <c r="D5" s="1008"/>
      <c r="E5" s="1066"/>
      <c r="F5" s="1008"/>
      <c r="G5" s="1008"/>
      <c r="H5" s="1008"/>
      <c r="I5" s="1008"/>
      <c r="J5" s="1008"/>
    </row>
    <row r="6" spans="1:15" ht="18">
      <c r="A6" s="1068"/>
      <c r="B6" s="1008"/>
      <c r="C6" s="1044"/>
      <c r="D6" s="1008"/>
      <c r="E6" s="3494" t="s">
        <v>1505</v>
      </c>
      <c r="F6" s="3494"/>
      <c r="G6" s="3494"/>
      <c r="H6" s="1008"/>
      <c r="I6" s="1008"/>
      <c r="J6" s="1008"/>
    </row>
    <row r="7" spans="1:15" ht="18" customHeight="1">
      <c r="A7" s="3492"/>
      <c r="B7" s="3493" t="s">
        <v>1508</v>
      </c>
      <c r="C7" s="3493" t="s">
        <v>4112</v>
      </c>
      <c r="D7" s="3493" t="s">
        <v>4113</v>
      </c>
      <c r="E7" s="1047" t="s">
        <v>1507</v>
      </c>
      <c r="F7" s="1047"/>
      <c r="G7" s="1047"/>
      <c r="H7" s="1046"/>
      <c r="I7" s="1046"/>
      <c r="J7" s="1046"/>
    </row>
    <row r="8" spans="1:15" s="1048" customFormat="1" ht="78.75" customHeight="1">
      <c r="A8" s="3492"/>
      <c r="B8" s="3493"/>
      <c r="C8" s="3493"/>
      <c r="D8" s="3493"/>
      <c r="E8" s="1762" t="s">
        <v>1329</v>
      </c>
      <c r="F8" s="1762" t="s">
        <v>1271</v>
      </c>
      <c r="G8" s="1762" t="s">
        <v>1272</v>
      </c>
      <c r="H8" s="1762" t="s">
        <v>4117</v>
      </c>
      <c r="I8" s="1762" t="s">
        <v>4118</v>
      </c>
      <c r="J8" s="1762" t="s">
        <v>4119</v>
      </c>
    </row>
    <row r="9" spans="1:15" ht="17.5">
      <c r="A9" s="1763"/>
      <c r="B9" s="1762" t="s">
        <v>652</v>
      </c>
      <c r="C9" s="1046"/>
      <c r="D9" s="1046"/>
      <c r="E9" s="1046"/>
      <c r="F9" s="1046"/>
      <c r="G9" s="1046"/>
      <c r="H9" s="1046"/>
      <c r="I9" s="1049"/>
      <c r="J9" s="1049"/>
      <c r="M9" s="1052">
        <f>H15+H30</f>
        <v>160.54599999999999</v>
      </c>
      <c r="N9" s="1007">
        <f>'T-6 (22-23)'!I21</f>
        <v>160.54569395104997</v>
      </c>
      <c r="O9" s="1042">
        <f>N9-M9</f>
        <v>-3.0604895002284138E-4</v>
      </c>
    </row>
    <row r="10" spans="1:15" ht="17.5">
      <c r="A10" s="1763">
        <v>1</v>
      </c>
      <c r="B10" s="1050" t="s">
        <v>653</v>
      </c>
      <c r="C10" s="1617">
        <v>15374</v>
      </c>
      <c r="D10" s="1617">
        <v>13266.24</v>
      </c>
      <c r="E10" s="1947">
        <v>7.0369999999999999</v>
      </c>
      <c r="F10" s="1947">
        <v>3.2520000000000002</v>
      </c>
      <c r="G10" s="1947">
        <v>0.85599999999999998</v>
      </c>
      <c r="H10" s="1948">
        <f>SUM(E10:G10)</f>
        <v>11.145</v>
      </c>
      <c r="I10" s="1949">
        <v>742.49639829</v>
      </c>
      <c r="J10" s="1947">
        <v>566.37679309999999</v>
      </c>
      <c r="K10" s="1052"/>
      <c r="L10" s="1052"/>
      <c r="M10" s="1042">
        <f>H16+H31</f>
        <v>29.385999999999999</v>
      </c>
      <c r="N10" s="1007">
        <f>'T-6 (22-23)'!I41+'T-6 (22-23)'!I43</f>
        <v>29.386363433</v>
      </c>
      <c r="O10" s="1042">
        <f>N10-M10</f>
        <v>3.6343300000041268E-4</v>
      </c>
    </row>
    <row r="11" spans="1:15" ht="17.5">
      <c r="A11" s="1763">
        <v>2</v>
      </c>
      <c r="B11" s="1050" t="s">
        <v>654</v>
      </c>
      <c r="C11" s="1617">
        <v>20620</v>
      </c>
      <c r="D11" s="1617">
        <v>34524.28</v>
      </c>
      <c r="E11" s="1947">
        <v>9.3480000000000008</v>
      </c>
      <c r="F11" s="1947">
        <v>6.194</v>
      </c>
      <c r="G11" s="1947">
        <v>3.3220000000000001</v>
      </c>
      <c r="H11" s="1948">
        <f t="shared" ref="H11:H14" si="0">SUM(E11:G11)</f>
        <v>18.864000000000001</v>
      </c>
      <c r="I11" s="1949">
        <v>1037.9678651662</v>
      </c>
      <c r="J11" s="1947">
        <v>981.65545340000006</v>
      </c>
      <c r="K11" s="1052"/>
      <c r="L11" s="1052"/>
      <c r="M11" s="1052">
        <f>(I15+I30)/100</f>
        <v>118.57816435136301</v>
      </c>
      <c r="N11" s="1052">
        <f>'T-6 (22-23)'!J21</f>
        <v>118.57854317600001</v>
      </c>
      <c r="O11" s="1042">
        <f>N11-M11</f>
        <v>3.7882463699645541E-4</v>
      </c>
    </row>
    <row r="12" spans="1:15" ht="17.5">
      <c r="A12" s="1763">
        <v>3</v>
      </c>
      <c r="B12" s="1050" t="s">
        <v>655</v>
      </c>
      <c r="C12" s="1617">
        <v>5268</v>
      </c>
      <c r="D12" s="1617">
        <v>14201.95</v>
      </c>
      <c r="E12" s="1947">
        <v>2.9</v>
      </c>
      <c r="F12" s="1947">
        <v>3.9780000000000002</v>
      </c>
      <c r="G12" s="1947">
        <v>1.427</v>
      </c>
      <c r="H12" s="1948">
        <f t="shared" si="0"/>
        <v>8.3049999999999997</v>
      </c>
      <c r="I12" s="1949">
        <v>588.7521929784001</v>
      </c>
      <c r="J12" s="1947">
        <v>454.75905769999997</v>
      </c>
      <c r="K12" s="1052"/>
      <c r="M12" s="1052">
        <f>(I16+I31)/100</f>
        <v>22.964800669939997</v>
      </c>
      <c r="N12" s="1052">
        <f>'T-6 (22-23)'!J43+'T-6 (22-23)'!J41</f>
        <v>22.964646390800002</v>
      </c>
      <c r="O12" s="1042">
        <f>N12-M12</f>
        <v>-1.5427913999488396E-4</v>
      </c>
    </row>
    <row r="13" spans="1:15" ht="17.5">
      <c r="A13" s="1763">
        <v>4</v>
      </c>
      <c r="B13" s="1050">
        <v>4</v>
      </c>
      <c r="C13" s="1617">
        <v>2176</v>
      </c>
      <c r="D13" s="1617">
        <v>8047.07</v>
      </c>
      <c r="E13" s="1947">
        <v>1.762</v>
      </c>
      <c r="F13" s="1947">
        <v>1.6359999999999999</v>
      </c>
      <c r="G13" s="1947">
        <v>1.1819999999999999</v>
      </c>
      <c r="H13" s="1948">
        <f t="shared" si="0"/>
        <v>4.58</v>
      </c>
      <c r="I13" s="1949">
        <v>338.70585293779999</v>
      </c>
      <c r="J13" s="1947">
        <v>247.04514269999999</v>
      </c>
      <c r="K13" s="1052"/>
      <c r="L13" s="1052"/>
    </row>
    <row r="14" spans="1:15" ht="17.5">
      <c r="A14" s="1763">
        <v>5</v>
      </c>
      <c r="B14" s="1950" t="s">
        <v>4120</v>
      </c>
      <c r="C14" s="1617">
        <v>6485</v>
      </c>
      <c r="D14" s="1617">
        <v>75704.361999999994</v>
      </c>
      <c r="E14" s="1947">
        <v>11.712</v>
      </c>
      <c r="F14" s="1947">
        <v>4.4740000000000002</v>
      </c>
      <c r="G14" s="1947">
        <f>30.58-1.35</f>
        <v>29.229999999999997</v>
      </c>
      <c r="H14" s="1948">
        <f t="shared" si="0"/>
        <v>45.415999999999997</v>
      </c>
      <c r="I14" s="1949">
        <f>3655.4117365045+60</f>
        <v>3715.4117365044999</v>
      </c>
      <c r="J14" s="1947">
        <v>4132.5424991</v>
      </c>
      <c r="K14" s="1052"/>
      <c r="L14" s="1052"/>
    </row>
    <row r="15" spans="1:15" ht="18">
      <c r="A15" s="1763">
        <v>6</v>
      </c>
      <c r="B15" s="1950" t="s">
        <v>656</v>
      </c>
      <c r="C15" s="172">
        <f t="shared" ref="C15:J15" si="1">SUM(C10:C14)</f>
        <v>49923</v>
      </c>
      <c r="D15" s="172">
        <f t="shared" si="1"/>
        <v>145743.902</v>
      </c>
      <c r="E15" s="1951">
        <f t="shared" si="1"/>
        <v>32.759</v>
      </c>
      <c r="F15" s="1951">
        <f t="shared" si="1"/>
        <v>19.533999999999999</v>
      </c>
      <c r="G15" s="1951">
        <f t="shared" si="1"/>
        <v>36.016999999999996</v>
      </c>
      <c r="H15" s="1951">
        <f t="shared" si="1"/>
        <v>88.31</v>
      </c>
      <c r="I15" s="1952">
        <f t="shared" si="1"/>
        <v>6423.3340458768998</v>
      </c>
      <c r="J15" s="1951">
        <f t="shared" si="1"/>
        <v>6382.3789459999998</v>
      </c>
      <c r="K15" s="1052"/>
      <c r="L15" s="1052"/>
      <c r="N15" s="1052"/>
    </row>
    <row r="16" spans="1:15" ht="35">
      <c r="A16" s="1763">
        <v>7</v>
      </c>
      <c r="B16" s="1953" t="s">
        <v>4127</v>
      </c>
      <c r="C16" s="1946">
        <v>75</v>
      </c>
      <c r="D16" s="1946">
        <v>12895.73</v>
      </c>
      <c r="E16" s="1054"/>
      <c r="F16" s="1054"/>
      <c r="G16" s="1054">
        <f>12.83+1.5</f>
        <v>14.33</v>
      </c>
      <c r="H16" s="1054">
        <f>SUM(E16:G16)</f>
        <v>14.33</v>
      </c>
      <c r="I16" s="1949">
        <f>988.407474152+170</f>
        <v>1158.4074741519998</v>
      </c>
      <c r="J16" s="1949">
        <v>863.66815080000015</v>
      </c>
      <c r="K16" s="1048"/>
      <c r="L16" s="1052">
        <f>I15+I30</f>
        <v>11857.816435136301</v>
      </c>
    </row>
    <row r="17" spans="1:13" ht="17.5">
      <c r="A17" s="1763">
        <v>8</v>
      </c>
      <c r="B17" s="1950" t="s">
        <v>656</v>
      </c>
      <c r="C17" s="1046">
        <f>C16</f>
        <v>75</v>
      </c>
      <c r="D17" s="1046">
        <f t="shared" ref="D17:J17" si="2">D16</f>
        <v>12895.73</v>
      </c>
      <c r="E17" s="1054">
        <f t="shared" si="2"/>
        <v>0</v>
      </c>
      <c r="F17" s="1054">
        <f t="shared" si="2"/>
        <v>0</v>
      </c>
      <c r="G17" s="1054">
        <f t="shared" si="2"/>
        <v>14.33</v>
      </c>
      <c r="H17" s="1054">
        <f t="shared" si="2"/>
        <v>14.33</v>
      </c>
      <c r="I17" s="1055">
        <f t="shared" si="2"/>
        <v>1158.4074741519998</v>
      </c>
      <c r="J17" s="1055">
        <f t="shared" si="2"/>
        <v>863.66815080000015</v>
      </c>
    </row>
    <row r="18" spans="1:13" ht="18">
      <c r="A18" s="1763">
        <v>9</v>
      </c>
      <c r="B18" s="1950" t="s">
        <v>4122</v>
      </c>
      <c r="C18" s="1047">
        <f>C17+C15</f>
        <v>49998</v>
      </c>
      <c r="D18" s="1047">
        <f t="shared" ref="D18:J18" si="3">D17+D15</f>
        <v>158639.63200000001</v>
      </c>
      <c r="E18" s="1057">
        <f t="shared" si="3"/>
        <v>32.759</v>
      </c>
      <c r="F18" s="1057">
        <f t="shared" si="3"/>
        <v>19.533999999999999</v>
      </c>
      <c r="G18" s="1057">
        <f t="shared" si="3"/>
        <v>50.346999999999994</v>
      </c>
      <c r="H18" s="1057">
        <f t="shared" si="3"/>
        <v>102.64</v>
      </c>
      <c r="I18" s="1058">
        <f t="shared" si="3"/>
        <v>7581.7415200288997</v>
      </c>
      <c r="J18" s="1058">
        <f t="shared" si="3"/>
        <v>7246.0470968</v>
      </c>
    </row>
    <row r="19" spans="1:13" ht="17.5">
      <c r="A19" s="1064"/>
      <c r="B19" s="1061"/>
      <c r="C19" s="1008"/>
      <c r="D19" s="1008"/>
      <c r="E19" s="1008"/>
      <c r="F19" s="1008"/>
      <c r="G19" s="1008"/>
      <c r="H19" s="1008"/>
      <c r="I19" s="1008"/>
      <c r="J19" s="1008"/>
    </row>
    <row r="20" spans="1:13" ht="18">
      <c r="A20" s="1045" t="s">
        <v>1169</v>
      </c>
      <c r="B20" s="1073" t="s">
        <v>4126</v>
      </c>
      <c r="C20" s="1043" t="s">
        <v>660</v>
      </c>
      <c r="D20" s="1008"/>
      <c r="E20" s="1066"/>
      <c r="F20" s="1008"/>
      <c r="G20" s="1008"/>
      <c r="H20" s="1008"/>
      <c r="I20" s="1008"/>
      <c r="J20" s="1008"/>
    </row>
    <row r="21" spans="1:13" ht="18">
      <c r="A21" s="1064"/>
      <c r="B21" s="1061"/>
      <c r="C21" s="1044"/>
      <c r="D21" s="1008"/>
      <c r="E21" s="3494" t="s">
        <v>1505</v>
      </c>
      <c r="F21" s="3494"/>
      <c r="G21" s="3494"/>
      <c r="H21" s="1008"/>
      <c r="I21" s="1008"/>
      <c r="J21" s="1008"/>
    </row>
    <row r="22" spans="1:13" ht="18" customHeight="1">
      <c r="A22" s="3492"/>
      <c r="B22" s="3493" t="s">
        <v>1508</v>
      </c>
      <c r="C22" s="3493" t="s">
        <v>4112</v>
      </c>
      <c r="D22" s="3493" t="s">
        <v>4113</v>
      </c>
      <c r="E22" s="1047" t="s">
        <v>1507</v>
      </c>
      <c r="F22" s="1047"/>
      <c r="G22" s="1047"/>
      <c r="H22" s="1046"/>
      <c r="I22" s="1046"/>
      <c r="J22" s="1046"/>
    </row>
    <row r="23" spans="1:13" s="1048" customFormat="1" ht="87.75" customHeight="1">
      <c r="A23" s="3492"/>
      <c r="B23" s="3493"/>
      <c r="C23" s="3493"/>
      <c r="D23" s="3493"/>
      <c r="E23" s="1762" t="s">
        <v>1329</v>
      </c>
      <c r="F23" s="1762" t="s">
        <v>1271</v>
      </c>
      <c r="G23" s="1762" t="s">
        <v>1272</v>
      </c>
      <c r="H23" s="1762" t="s">
        <v>4117</v>
      </c>
      <c r="I23" s="1762" t="s">
        <v>4118</v>
      </c>
      <c r="J23" s="1762" t="s">
        <v>4119</v>
      </c>
    </row>
    <row r="24" spans="1:13" ht="17.5">
      <c r="A24" s="1763"/>
      <c r="B24" s="1762" t="s">
        <v>652</v>
      </c>
      <c r="C24" s="1046"/>
      <c r="D24" s="1046"/>
      <c r="E24" s="1046"/>
      <c r="F24" s="1046"/>
      <c r="G24" s="1046"/>
      <c r="H24" s="1046"/>
      <c r="I24" s="1049"/>
      <c r="J24" s="1049"/>
    </row>
    <row r="25" spans="1:13" ht="17.5">
      <c r="A25" s="1763">
        <v>1</v>
      </c>
      <c r="B25" s="1050" t="s">
        <v>653</v>
      </c>
      <c r="C25" s="1945">
        <v>24161</v>
      </c>
      <c r="D25" s="1945">
        <v>21321.87</v>
      </c>
      <c r="E25" s="1945">
        <v>7.7110000000000003</v>
      </c>
      <c r="F25" s="1945">
        <v>5.8520000000000003</v>
      </c>
      <c r="G25" s="1945">
        <v>3.444</v>
      </c>
      <c r="H25" s="1946">
        <f>SUM(E25:G25)</f>
        <v>17.007000000000001</v>
      </c>
      <c r="I25" s="1949">
        <v>1142.7498971831001</v>
      </c>
      <c r="J25" s="1949">
        <v>721.69592909999994</v>
      </c>
      <c r="K25" s="1052"/>
      <c r="L25" s="1042"/>
    </row>
    <row r="26" spans="1:13" ht="17.5">
      <c r="A26" s="1763">
        <v>2</v>
      </c>
      <c r="B26" s="1050" t="s">
        <v>654</v>
      </c>
      <c r="C26" s="1945">
        <v>8164</v>
      </c>
      <c r="D26" s="1945">
        <v>14118.371999999999</v>
      </c>
      <c r="E26" s="1945">
        <v>3.5609999999999999</v>
      </c>
      <c r="F26" s="1945">
        <v>2.3879999999999999</v>
      </c>
      <c r="G26" s="1945">
        <v>2.2679999999999998</v>
      </c>
      <c r="H26" s="1948">
        <f t="shared" ref="H26:H29" si="4">SUM(E26:G26)</f>
        <v>8.2169999999999987</v>
      </c>
      <c r="I26" s="1949">
        <v>573.32909717140001</v>
      </c>
      <c r="J26" s="1949">
        <v>335.15287360000002</v>
      </c>
      <c r="K26" s="1052"/>
      <c r="L26" s="1042"/>
    </row>
    <row r="27" spans="1:13" ht="17.5">
      <c r="A27" s="1763">
        <v>3</v>
      </c>
      <c r="B27" s="1050" t="s">
        <v>655</v>
      </c>
      <c r="C27" s="1945">
        <v>3197</v>
      </c>
      <c r="D27" s="1945">
        <v>8730.11</v>
      </c>
      <c r="E27" s="1945">
        <v>2.3959999999999999</v>
      </c>
      <c r="F27" s="1945">
        <v>1.5549999999999999</v>
      </c>
      <c r="G27" s="1945">
        <v>0.60499999999999998</v>
      </c>
      <c r="H27" s="1946">
        <f t="shared" si="4"/>
        <v>4.5559999999999992</v>
      </c>
      <c r="I27" s="1949">
        <v>336.87311409800003</v>
      </c>
      <c r="J27" s="1949">
        <v>210.87406340000001</v>
      </c>
      <c r="K27" s="1052"/>
      <c r="L27" s="1042"/>
    </row>
    <row r="28" spans="1:13" ht="17.5">
      <c r="A28" s="1763">
        <v>4</v>
      </c>
      <c r="B28" s="1050">
        <v>4</v>
      </c>
      <c r="C28" s="1945">
        <v>1160</v>
      </c>
      <c r="D28" s="1945">
        <v>4363.0630000000001</v>
      </c>
      <c r="E28" s="1945">
        <v>0.68699999999999994</v>
      </c>
      <c r="F28" s="1945">
        <v>0.86899999999999999</v>
      </c>
      <c r="G28" s="1945">
        <v>0.36199999999999999</v>
      </c>
      <c r="H28" s="1946">
        <f t="shared" si="4"/>
        <v>1.9180000000000001</v>
      </c>
      <c r="I28" s="1949">
        <v>146.28816990659999</v>
      </c>
      <c r="J28" s="1949">
        <v>93.6161599</v>
      </c>
      <c r="K28" s="1052"/>
      <c r="L28" s="1042"/>
    </row>
    <row r="29" spans="1:13" ht="17.5">
      <c r="A29" s="1763">
        <v>5</v>
      </c>
      <c r="B29" s="1950" t="s">
        <v>4120</v>
      </c>
      <c r="C29" s="1945">
        <v>5596</v>
      </c>
      <c r="D29" s="1945">
        <v>65084.654999999999</v>
      </c>
      <c r="E29" s="1945">
        <v>6.0069999999999997</v>
      </c>
      <c r="F29" s="1945">
        <v>6.827</v>
      </c>
      <c r="G29" s="1945">
        <f>29.099-1.395</f>
        <v>27.704000000000001</v>
      </c>
      <c r="H29" s="1946">
        <f t="shared" si="4"/>
        <v>40.537999999999997</v>
      </c>
      <c r="I29" s="1949">
        <f>3171.9421109003+63.3</f>
        <v>3235.2421109003003</v>
      </c>
      <c r="J29" s="1949">
        <v>3604.2413481000003</v>
      </c>
      <c r="K29" s="1052"/>
      <c r="L29" s="1042"/>
    </row>
    <row r="30" spans="1:13" ht="18">
      <c r="A30" s="1763">
        <v>6</v>
      </c>
      <c r="B30" s="1950" t="s">
        <v>656</v>
      </c>
      <c r="C30" s="172">
        <f t="shared" ref="C30:J30" si="5">SUM(C25:C29)</f>
        <v>42278</v>
      </c>
      <c r="D30" s="172">
        <f t="shared" si="5"/>
        <v>113618.07</v>
      </c>
      <c r="E30" s="1951">
        <f t="shared" si="5"/>
        <v>20.361999999999998</v>
      </c>
      <c r="F30" s="1951">
        <f t="shared" si="5"/>
        <v>17.491</v>
      </c>
      <c r="G30" s="1951">
        <f t="shared" si="5"/>
        <v>34.383000000000003</v>
      </c>
      <c r="H30" s="172">
        <f t="shared" si="5"/>
        <v>72.23599999999999</v>
      </c>
      <c r="I30" s="1952">
        <f t="shared" si="5"/>
        <v>5434.4823892594004</v>
      </c>
      <c r="J30" s="1952">
        <f t="shared" si="5"/>
        <v>4965.5803741</v>
      </c>
    </row>
    <row r="31" spans="1:13" ht="39" customHeight="1">
      <c r="A31" s="1763">
        <v>7</v>
      </c>
      <c r="B31" s="1953" t="s">
        <v>4127</v>
      </c>
      <c r="C31" s="1945">
        <v>49</v>
      </c>
      <c r="D31" s="1945">
        <v>12234.970000000001</v>
      </c>
      <c r="E31" s="1969"/>
      <c r="F31" s="1946"/>
      <c r="G31" s="1946">
        <f>12.94+2.116</f>
        <v>15.055999999999999</v>
      </c>
      <c r="H31" s="1948">
        <f>SUM(E31:G31)</f>
        <v>15.055999999999999</v>
      </c>
      <c r="I31" s="1949">
        <f>928.172592842+209.9</f>
        <v>1138.0725928419999</v>
      </c>
      <c r="J31" s="1949">
        <v>792.86190479999993</v>
      </c>
      <c r="K31" s="1277"/>
      <c r="L31" s="1052"/>
      <c r="M31" s="1052"/>
    </row>
    <row r="32" spans="1:13" ht="17.5">
      <c r="A32" s="1763">
        <v>8</v>
      </c>
      <c r="B32" s="1950" t="s">
        <v>656</v>
      </c>
      <c r="C32" s="1046">
        <v>49</v>
      </c>
      <c r="D32" s="1046">
        <v>12234.970000000001</v>
      </c>
      <c r="E32" s="1054">
        <v>0</v>
      </c>
      <c r="F32" s="1054">
        <v>0</v>
      </c>
      <c r="G32" s="1054">
        <v>12.94</v>
      </c>
      <c r="H32" s="1054">
        <f t="shared" ref="H32" si="6">H31</f>
        <v>15.055999999999999</v>
      </c>
      <c r="I32" s="1055">
        <v>928.17259284199997</v>
      </c>
      <c r="J32" s="1055">
        <v>792.86190479999993</v>
      </c>
    </row>
    <row r="33" spans="1:12" ht="17.5">
      <c r="A33" s="1763"/>
      <c r="B33" s="1950"/>
      <c r="C33" s="1046"/>
      <c r="D33" s="1046"/>
      <c r="E33" s="1046"/>
      <c r="F33" s="1046"/>
      <c r="G33" s="1046"/>
      <c r="H33" s="1046"/>
      <c r="I33" s="1046"/>
      <c r="J33" s="1046"/>
    </row>
    <row r="34" spans="1:12" ht="17.5">
      <c r="A34" s="1763">
        <v>9</v>
      </c>
      <c r="B34" s="1950" t="s">
        <v>4123</v>
      </c>
      <c r="C34" s="1046">
        <v>42327</v>
      </c>
      <c r="D34" s="1046">
        <v>125853.04000000001</v>
      </c>
      <c r="E34" s="1054">
        <v>20.361999999999998</v>
      </c>
      <c r="F34" s="1054">
        <v>17.491</v>
      </c>
      <c r="G34" s="1054">
        <v>48.717999999999996</v>
      </c>
      <c r="H34" s="1054">
        <f t="shared" ref="H34" si="7">H30+H32</f>
        <v>87.291999999999987</v>
      </c>
      <c r="I34" s="1055">
        <v>6299.3549821014003</v>
      </c>
      <c r="J34" s="1055">
        <v>5758.4422789</v>
      </c>
    </row>
    <row r="35" spans="1:12" ht="18">
      <c r="A35" s="1763"/>
      <c r="B35" s="1957" t="s">
        <v>661</v>
      </c>
      <c r="C35" s="1047">
        <f>C18+C34</f>
        <v>92325</v>
      </c>
      <c r="D35" s="1058">
        <f t="shared" ref="D35:J35" si="8">D18+D34</f>
        <v>284492.67200000002</v>
      </c>
      <c r="E35" s="1057">
        <f t="shared" si="8"/>
        <v>53.120999999999995</v>
      </c>
      <c r="F35" s="1057">
        <f t="shared" si="8"/>
        <v>37.024999999999999</v>
      </c>
      <c r="G35" s="1057">
        <f t="shared" si="8"/>
        <v>99.064999999999998</v>
      </c>
      <c r="H35" s="1057">
        <f t="shared" si="8"/>
        <v>189.93199999999999</v>
      </c>
      <c r="I35" s="1058">
        <f t="shared" si="8"/>
        <v>13881.0965021303</v>
      </c>
      <c r="J35" s="1058">
        <f t="shared" si="8"/>
        <v>13004.489375699999</v>
      </c>
    </row>
    <row r="36" spans="1:12" ht="18" customHeight="1">
      <c r="A36" s="1064"/>
      <c r="B36" s="1061"/>
      <c r="C36" s="1008"/>
      <c r="D36" s="1008"/>
      <c r="E36" s="1008"/>
      <c r="F36" s="1008"/>
      <c r="G36" s="1008"/>
      <c r="H36" s="1008"/>
      <c r="I36" s="1008"/>
      <c r="J36" s="1958"/>
    </row>
    <row r="37" spans="1:12" ht="18" customHeight="1">
      <c r="A37" s="1064"/>
      <c r="B37" s="1043" t="s">
        <v>4128</v>
      </c>
      <c r="C37" s="1044"/>
      <c r="D37" s="1044"/>
      <c r="E37" s="1008"/>
      <c r="F37" s="1008"/>
      <c r="G37" s="1008"/>
      <c r="H37" s="1008"/>
      <c r="I37" s="1008"/>
      <c r="J37" s="1958"/>
      <c r="L37" s="1059"/>
    </row>
    <row r="38" spans="1:12" ht="54" customHeight="1">
      <c r="A38" s="1763"/>
      <c r="B38" s="1967"/>
      <c r="C38" s="3497" t="s">
        <v>476</v>
      </c>
      <c r="D38" s="3497"/>
      <c r="E38" s="3497" t="s">
        <v>483</v>
      </c>
      <c r="F38" s="3497"/>
      <c r="G38" s="3495" t="s">
        <v>484</v>
      </c>
      <c r="H38" s="3496"/>
      <c r="I38" s="1046"/>
      <c r="J38" s="1046"/>
    </row>
    <row r="39" spans="1:12" ht="18">
      <c r="A39" s="1763"/>
      <c r="B39" s="1950"/>
      <c r="C39" s="1968" t="s">
        <v>1504</v>
      </c>
      <c r="D39" s="1968" t="s">
        <v>660</v>
      </c>
      <c r="E39" s="1968" t="s">
        <v>1504</v>
      </c>
      <c r="F39" s="1968" t="s">
        <v>660</v>
      </c>
      <c r="G39" s="1968" t="s">
        <v>1504</v>
      </c>
      <c r="H39" s="1968" t="s">
        <v>660</v>
      </c>
      <c r="I39" s="1046"/>
      <c r="J39" s="1046"/>
    </row>
    <row r="40" spans="1:12" ht="17.5">
      <c r="A40" s="1763"/>
      <c r="B40" s="1762" t="s">
        <v>652</v>
      </c>
      <c r="C40" s="1046"/>
      <c r="D40" s="1046"/>
      <c r="E40" s="1046"/>
      <c r="F40" s="1046"/>
      <c r="G40" s="1046"/>
      <c r="H40" s="1046"/>
      <c r="I40" s="1046"/>
      <c r="J40" s="1046"/>
    </row>
    <row r="41" spans="1:12" ht="17.5">
      <c r="A41" s="1763">
        <v>1</v>
      </c>
      <c r="B41" s="1050" t="s">
        <v>653</v>
      </c>
      <c r="C41" s="1945">
        <v>12370</v>
      </c>
      <c r="D41" s="1945">
        <v>24543</v>
      </c>
      <c r="E41" s="1945">
        <v>0</v>
      </c>
      <c r="F41" s="1945">
        <v>0</v>
      </c>
      <c r="G41" s="1945">
        <v>642</v>
      </c>
      <c r="H41" s="1945">
        <v>1980</v>
      </c>
      <c r="I41" s="1956"/>
      <c r="J41" s="1046"/>
    </row>
    <row r="42" spans="1:12" ht="17.5">
      <c r="A42" s="1763">
        <v>2</v>
      </c>
      <c r="B42" s="1050" t="s">
        <v>654</v>
      </c>
      <c r="C42" s="1945">
        <v>19453</v>
      </c>
      <c r="D42" s="1945">
        <v>7391</v>
      </c>
      <c r="E42" s="1945">
        <v>0</v>
      </c>
      <c r="F42" s="1945">
        <v>0</v>
      </c>
      <c r="G42" s="1945">
        <v>1043</v>
      </c>
      <c r="H42" s="1945">
        <v>773</v>
      </c>
      <c r="I42" s="1956"/>
      <c r="J42" s="1046"/>
    </row>
    <row r="43" spans="1:12" ht="17.5">
      <c r="A43" s="1763">
        <v>3</v>
      </c>
      <c r="B43" s="1050" t="s">
        <v>655</v>
      </c>
      <c r="C43" s="1945">
        <v>5005</v>
      </c>
      <c r="D43" s="1945">
        <v>2919</v>
      </c>
      <c r="E43" s="1945">
        <v>0</v>
      </c>
      <c r="F43" s="1945">
        <v>0</v>
      </c>
      <c r="G43" s="1945">
        <v>263</v>
      </c>
      <c r="H43" s="1945">
        <v>278</v>
      </c>
      <c r="I43" s="1956"/>
      <c r="J43" s="1049"/>
    </row>
    <row r="44" spans="1:12" ht="17.5">
      <c r="A44" s="1763">
        <v>4</v>
      </c>
      <c r="B44" s="1050">
        <v>4</v>
      </c>
      <c r="C44" s="1945">
        <v>2067</v>
      </c>
      <c r="D44" s="1945">
        <v>1070</v>
      </c>
      <c r="E44" s="1945">
        <v>0</v>
      </c>
      <c r="F44" s="1945">
        <v>0</v>
      </c>
      <c r="G44" s="1945">
        <v>109</v>
      </c>
      <c r="H44" s="1945">
        <v>90</v>
      </c>
      <c r="I44" s="1956"/>
      <c r="J44" s="1049"/>
    </row>
    <row r="45" spans="1:12" ht="17.5">
      <c r="A45" s="1763">
        <v>5</v>
      </c>
      <c r="B45" s="1950" t="s">
        <v>4120</v>
      </c>
      <c r="C45" s="1945">
        <v>6444</v>
      </c>
      <c r="D45" s="1945">
        <v>5509</v>
      </c>
      <c r="E45" s="1945">
        <v>0</v>
      </c>
      <c r="F45" s="1945">
        <v>0</v>
      </c>
      <c r="G45" s="1945">
        <v>116</v>
      </c>
      <c r="H45" s="1945">
        <v>136</v>
      </c>
      <c r="I45" s="1956"/>
      <c r="J45" s="1046"/>
    </row>
    <row r="46" spans="1:12" ht="18">
      <c r="A46" s="1763">
        <v>6</v>
      </c>
      <c r="B46" s="1957" t="s">
        <v>1100</v>
      </c>
      <c r="C46" s="172">
        <f>SUM(C41:C45)</f>
        <v>45339</v>
      </c>
      <c r="D46" s="172">
        <f t="shared" ref="D46:H46" si="9">SUM(D41:D45)</f>
        <v>41432</v>
      </c>
      <c r="E46" s="172">
        <f t="shared" si="9"/>
        <v>0</v>
      </c>
      <c r="F46" s="172">
        <f t="shared" si="9"/>
        <v>0</v>
      </c>
      <c r="G46" s="172">
        <f t="shared" si="9"/>
        <v>2173</v>
      </c>
      <c r="H46" s="172">
        <f t="shared" si="9"/>
        <v>3257</v>
      </c>
      <c r="I46" s="1047">
        <f>SUM(C46:H46)</f>
        <v>92201</v>
      </c>
      <c r="J46" s="1046"/>
    </row>
    <row r="47" spans="1:12" ht="17.5">
      <c r="A47" s="1060"/>
      <c r="B47" s="1061"/>
      <c r="C47" s="1008"/>
      <c r="D47" s="1008"/>
      <c r="F47" s="1008"/>
      <c r="G47" s="1008"/>
      <c r="H47" s="1008"/>
      <c r="I47" s="1008"/>
      <c r="J47" s="1008"/>
    </row>
  </sheetData>
  <mergeCells count="13">
    <mergeCell ref="G38:H38"/>
    <mergeCell ref="A22:A23"/>
    <mergeCell ref="B22:B23"/>
    <mergeCell ref="C22:C23"/>
    <mergeCell ref="D22:D23"/>
    <mergeCell ref="C38:D38"/>
    <mergeCell ref="E38:F38"/>
    <mergeCell ref="E21:G21"/>
    <mergeCell ref="E6:G6"/>
    <mergeCell ref="A7:A8"/>
    <mergeCell ref="B7:B8"/>
    <mergeCell ref="C7:C8"/>
    <mergeCell ref="D7:D8"/>
  </mergeCells>
  <pageMargins left="0.47" right="0.17" top="0.57999999999999996" bottom="0.26" header="0.5" footer="0.18"/>
  <pageSetup scale="61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O69"/>
  <sheetViews>
    <sheetView view="pageBreakPreview" topLeftCell="A13" zoomScale="60" zoomScaleNormal="48" workbookViewId="0">
      <selection activeCell="D13" sqref="D13"/>
    </sheetView>
  </sheetViews>
  <sheetFormatPr defaultColWidth="14.7265625" defaultRowHeight="15.5"/>
  <cols>
    <col min="1" max="1" width="6.26953125" style="1007" customWidth="1"/>
    <col min="2" max="2" width="44.1796875" style="1007" customWidth="1"/>
    <col min="3" max="3" width="17" style="1007" customWidth="1"/>
    <col min="4" max="4" width="17.7265625" style="1007" customWidth="1"/>
    <col min="5" max="5" width="15.54296875" style="1007" customWidth="1"/>
    <col min="6" max="6" width="17.7265625" style="1007" customWidth="1"/>
    <col min="7" max="7" width="15.54296875" style="1007" customWidth="1"/>
    <col min="8" max="8" width="17" style="1007" customWidth="1"/>
    <col min="9" max="9" width="14.26953125" style="1007" customWidth="1"/>
    <col min="10" max="10" width="18" style="1007" customWidth="1"/>
    <col min="11" max="11" width="18.453125" style="1007" customWidth="1"/>
    <col min="12" max="12" width="17.81640625" style="1007" customWidth="1"/>
    <col min="13" max="13" width="20.453125" style="1007" customWidth="1"/>
    <col min="14" max="23" width="13.81640625" style="1007" customWidth="1"/>
    <col min="24" max="256" width="14.7265625" style="1007"/>
    <col min="257" max="257" width="6.26953125" style="1007" customWidth="1"/>
    <col min="258" max="258" width="44.1796875" style="1007" customWidth="1"/>
    <col min="259" max="262" width="13.81640625" style="1007" customWidth="1"/>
    <col min="263" max="263" width="11.1796875" style="1007" customWidth="1"/>
    <col min="264" max="264" width="11.7265625" style="1007" customWidth="1"/>
    <col min="265" max="265" width="11.453125" style="1007" customWidth="1"/>
    <col min="266" max="266" width="18" style="1007" customWidth="1"/>
    <col min="267" max="267" width="18.453125" style="1007" customWidth="1"/>
    <col min="268" max="268" width="17.81640625" style="1007" customWidth="1"/>
    <col min="269" max="269" width="15.453125" style="1007" customWidth="1"/>
    <col min="270" max="279" width="13.81640625" style="1007" customWidth="1"/>
    <col min="280" max="512" width="14.7265625" style="1007"/>
    <col min="513" max="513" width="6.26953125" style="1007" customWidth="1"/>
    <col min="514" max="514" width="44.1796875" style="1007" customWidth="1"/>
    <col min="515" max="518" width="13.81640625" style="1007" customWidth="1"/>
    <col min="519" max="519" width="11.1796875" style="1007" customWidth="1"/>
    <col min="520" max="520" width="11.7265625" style="1007" customWidth="1"/>
    <col min="521" max="521" width="11.453125" style="1007" customWidth="1"/>
    <col min="522" max="522" width="18" style="1007" customWidth="1"/>
    <col min="523" max="523" width="18.453125" style="1007" customWidth="1"/>
    <col min="524" max="524" width="17.81640625" style="1007" customWidth="1"/>
    <col min="525" max="525" width="15.453125" style="1007" customWidth="1"/>
    <col min="526" max="535" width="13.81640625" style="1007" customWidth="1"/>
    <col min="536" max="768" width="14.7265625" style="1007"/>
    <col min="769" max="769" width="6.26953125" style="1007" customWidth="1"/>
    <col min="770" max="770" width="44.1796875" style="1007" customWidth="1"/>
    <col min="771" max="774" width="13.81640625" style="1007" customWidth="1"/>
    <col min="775" max="775" width="11.1796875" style="1007" customWidth="1"/>
    <col min="776" max="776" width="11.7265625" style="1007" customWidth="1"/>
    <col min="777" max="777" width="11.453125" style="1007" customWidth="1"/>
    <col min="778" max="778" width="18" style="1007" customWidth="1"/>
    <col min="779" max="779" width="18.453125" style="1007" customWidth="1"/>
    <col min="780" max="780" width="17.81640625" style="1007" customWidth="1"/>
    <col min="781" max="781" width="15.453125" style="1007" customWidth="1"/>
    <col min="782" max="791" width="13.81640625" style="1007" customWidth="1"/>
    <col min="792" max="1024" width="14.7265625" style="1007"/>
    <col min="1025" max="1025" width="6.26953125" style="1007" customWidth="1"/>
    <col min="1026" max="1026" width="44.1796875" style="1007" customWidth="1"/>
    <col min="1027" max="1030" width="13.81640625" style="1007" customWidth="1"/>
    <col min="1031" max="1031" width="11.1796875" style="1007" customWidth="1"/>
    <col min="1032" max="1032" width="11.7265625" style="1007" customWidth="1"/>
    <col min="1033" max="1033" width="11.453125" style="1007" customWidth="1"/>
    <col min="1034" max="1034" width="18" style="1007" customWidth="1"/>
    <col min="1035" max="1035" width="18.453125" style="1007" customWidth="1"/>
    <col min="1036" max="1036" width="17.81640625" style="1007" customWidth="1"/>
    <col min="1037" max="1037" width="15.453125" style="1007" customWidth="1"/>
    <col min="1038" max="1047" width="13.81640625" style="1007" customWidth="1"/>
    <col min="1048" max="1280" width="14.7265625" style="1007"/>
    <col min="1281" max="1281" width="6.26953125" style="1007" customWidth="1"/>
    <col min="1282" max="1282" width="44.1796875" style="1007" customWidth="1"/>
    <col min="1283" max="1286" width="13.81640625" style="1007" customWidth="1"/>
    <col min="1287" max="1287" width="11.1796875" style="1007" customWidth="1"/>
    <col min="1288" max="1288" width="11.7265625" style="1007" customWidth="1"/>
    <col min="1289" max="1289" width="11.453125" style="1007" customWidth="1"/>
    <col min="1290" max="1290" width="18" style="1007" customWidth="1"/>
    <col min="1291" max="1291" width="18.453125" style="1007" customWidth="1"/>
    <col min="1292" max="1292" width="17.81640625" style="1007" customWidth="1"/>
    <col min="1293" max="1293" width="15.453125" style="1007" customWidth="1"/>
    <col min="1294" max="1303" width="13.81640625" style="1007" customWidth="1"/>
    <col min="1304" max="1536" width="14.7265625" style="1007"/>
    <col min="1537" max="1537" width="6.26953125" style="1007" customWidth="1"/>
    <col min="1538" max="1538" width="44.1796875" style="1007" customWidth="1"/>
    <col min="1539" max="1542" width="13.81640625" style="1007" customWidth="1"/>
    <col min="1543" max="1543" width="11.1796875" style="1007" customWidth="1"/>
    <col min="1544" max="1544" width="11.7265625" style="1007" customWidth="1"/>
    <col min="1545" max="1545" width="11.453125" style="1007" customWidth="1"/>
    <col min="1546" max="1546" width="18" style="1007" customWidth="1"/>
    <col min="1547" max="1547" width="18.453125" style="1007" customWidth="1"/>
    <col min="1548" max="1548" width="17.81640625" style="1007" customWidth="1"/>
    <col min="1549" max="1549" width="15.453125" style="1007" customWidth="1"/>
    <col min="1550" max="1559" width="13.81640625" style="1007" customWidth="1"/>
    <col min="1560" max="1792" width="14.7265625" style="1007"/>
    <col min="1793" max="1793" width="6.26953125" style="1007" customWidth="1"/>
    <col min="1794" max="1794" width="44.1796875" style="1007" customWidth="1"/>
    <col min="1795" max="1798" width="13.81640625" style="1007" customWidth="1"/>
    <col min="1799" max="1799" width="11.1796875" style="1007" customWidth="1"/>
    <col min="1800" max="1800" width="11.7265625" style="1007" customWidth="1"/>
    <col min="1801" max="1801" width="11.453125" style="1007" customWidth="1"/>
    <col min="1802" max="1802" width="18" style="1007" customWidth="1"/>
    <col min="1803" max="1803" width="18.453125" style="1007" customWidth="1"/>
    <col min="1804" max="1804" width="17.81640625" style="1007" customWidth="1"/>
    <col min="1805" max="1805" width="15.453125" style="1007" customWidth="1"/>
    <col min="1806" max="1815" width="13.81640625" style="1007" customWidth="1"/>
    <col min="1816" max="2048" width="14.7265625" style="1007"/>
    <col min="2049" max="2049" width="6.26953125" style="1007" customWidth="1"/>
    <col min="2050" max="2050" width="44.1796875" style="1007" customWidth="1"/>
    <col min="2051" max="2054" width="13.81640625" style="1007" customWidth="1"/>
    <col min="2055" max="2055" width="11.1796875" style="1007" customWidth="1"/>
    <col min="2056" max="2056" width="11.7265625" style="1007" customWidth="1"/>
    <col min="2057" max="2057" width="11.453125" style="1007" customWidth="1"/>
    <col min="2058" max="2058" width="18" style="1007" customWidth="1"/>
    <col min="2059" max="2059" width="18.453125" style="1007" customWidth="1"/>
    <col min="2060" max="2060" width="17.81640625" style="1007" customWidth="1"/>
    <col min="2061" max="2061" width="15.453125" style="1007" customWidth="1"/>
    <col min="2062" max="2071" width="13.81640625" style="1007" customWidth="1"/>
    <col min="2072" max="2304" width="14.7265625" style="1007"/>
    <col min="2305" max="2305" width="6.26953125" style="1007" customWidth="1"/>
    <col min="2306" max="2306" width="44.1796875" style="1007" customWidth="1"/>
    <col min="2307" max="2310" width="13.81640625" style="1007" customWidth="1"/>
    <col min="2311" max="2311" width="11.1796875" style="1007" customWidth="1"/>
    <col min="2312" max="2312" width="11.7265625" style="1007" customWidth="1"/>
    <col min="2313" max="2313" width="11.453125" style="1007" customWidth="1"/>
    <col min="2314" max="2314" width="18" style="1007" customWidth="1"/>
    <col min="2315" max="2315" width="18.453125" style="1007" customWidth="1"/>
    <col min="2316" max="2316" width="17.81640625" style="1007" customWidth="1"/>
    <col min="2317" max="2317" width="15.453125" style="1007" customWidth="1"/>
    <col min="2318" max="2327" width="13.81640625" style="1007" customWidth="1"/>
    <col min="2328" max="2560" width="14.7265625" style="1007"/>
    <col min="2561" max="2561" width="6.26953125" style="1007" customWidth="1"/>
    <col min="2562" max="2562" width="44.1796875" style="1007" customWidth="1"/>
    <col min="2563" max="2566" width="13.81640625" style="1007" customWidth="1"/>
    <col min="2567" max="2567" width="11.1796875" style="1007" customWidth="1"/>
    <col min="2568" max="2568" width="11.7265625" style="1007" customWidth="1"/>
    <col min="2569" max="2569" width="11.453125" style="1007" customWidth="1"/>
    <col min="2570" max="2570" width="18" style="1007" customWidth="1"/>
    <col min="2571" max="2571" width="18.453125" style="1007" customWidth="1"/>
    <col min="2572" max="2572" width="17.81640625" style="1007" customWidth="1"/>
    <col min="2573" max="2573" width="15.453125" style="1007" customWidth="1"/>
    <col min="2574" max="2583" width="13.81640625" style="1007" customWidth="1"/>
    <col min="2584" max="2816" width="14.7265625" style="1007"/>
    <col min="2817" max="2817" width="6.26953125" style="1007" customWidth="1"/>
    <col min="2818" max="2818" width="44.1796875" style="1007" customWidth="1"/>
    <col min="2819" max="2822" width="13.81640625" style="1007" customWidth="1"/>
    <col min="2823" max="2823" width="11.1796875" style="1007" customWidth="1"/>
    <col min="2824" max="2824" width="11.7265625" style="1007" customWidth="1"/>
    <col min="2825" max="2825" width="11.453125" style="1007" customWidth="1"/>
    <col min="2826" max="2826" width="18" style="1007" customWidth="1"/>
    <col min="2827" max="2827" width="18.453125" style="1007" customWidth="1"/>
    <col min="2828" max="2828" width="17.81640625" style="1007" customWidth="1"/>
    <col min="2829" max="2829" width="15.453125" style="1007" customWidth="1"/>
    <col min="2830" max="2839" width="13.81640625" style="1007" customWidth="1"/>
    <col min="2840" max="3072" width="14.7265625" style="1007"/>
    <col min="3073" max="3073" width="6.26953125" style="1007" customWidth="1"/>
    <col min="3074" max="3074" width="44.1796875" style="1007" customWidth="1"/>
    <col min="3075" max="3078" width="13.81640625" style="1007" customWidth="1"/>
    <col min="3079" max="3079" width="11.1796875" style="1007" customWidth="1"/>
    <col min="3080" max="3080" width="11.7265625" style="1007" customWidth="1"/>
    <col min="3081" max="3081" width="11.453125" style="1007" customWidth="1"/>
    <col min="3082" max="3082" width="18" style="1007" customWidth="1"/>
    <col min="3083" max="3083" width="18.453125" style="1007" customWidth="1"/>
    <col min="3084" max="3084" width="17.81640625" style="1007" customWidth="1"/>
    <col min="3085" max="3085" width="15.453125" style="1007" customWidth="1"/>
    <col min="3086" max="3095" width="13.81640625" style="1007" customWidth="1"/>
    <col min="3096" max="3328" width="14.7265625" style="1007"/>
    <col min="3329" max="3329" width="6.26953125" style="1007" customWidth="1"/>
    <col min="3330" max="3330" width="44.1796875" style="1007" customWidth="1"/>
    <col min="3331" max="3334" width="13.81640625" style="1007" customWidth="1"/>
    <col min="3335" max="3335" width="11.1796875" style="1007" customWidth="1"/>
    <col min="3336" max="3336" width="11.7265625" style="1007" customWidth="1"/>
    <col min="3337" max="3337" width="11.453125" style="1007" customWidth="1"/>
    <col min="3338" max="3338" width="18" style="1007" customWidth="1"/>
    <col min="3339" max="3339" width="18.453125" style="1007" customWidth="1"/>
    <col min="3340" max="3340" width="17.81640625" style="1007" customWidth="1"/>
    <col min="3341" max="3341" width="15.453125" style="1007" customWidth="1"/>
    <col min="3342" max="3351" width="13.81640625" style="1007" customWidth="1"/>
    <col min="3352" max="3584" width="14.7265625" style="1007"/>
    <col min="3585" max="3585" width="6.26953125" style="1007" customWidth="1"/>
    <col min="3586" max="3586" width="44.1796875" style="1007" customWidth="1"/>
    <col min="3587" max="3590" width="13.81640625" style="1007" customWidth="1"/>
    <col min="3591" max="3591" width="11.1796875" style="1007" customWidth="1"/>
    <col min="3592" max="3592" width="11.7265625" style="1007" customWidth="1"/>
    <col min="3593" max="3593" width="11.453125" style="1007" customWidth="1"/>
    <col min="3594" max="3594" width="18" style="1007" customWidth="1"/>
    <col min="3595" max="3595" width="18.453125" style="1007" customWidth="1"/>
    <col min="3596" max="3596" width="17.81640625" style="1007" customWidth="1"/>
    <col min="3597" max="3597" width="15.453125" style="1007" customWidth="1"/>
    <col min="3598" max="3607" width="13.81640625" style="1007" customWidth="1"/>
    <col min="3608" max="3840" width="14.7265625" style="1007"/>
    <col min="3841" max="3841" width="6.26953125" style="1007" customWidth="1"/>
    <col min="3842" max="3842" width="44.1796875" style="1007" customWidth="1"/>
    <col min="3843" max="3846" width="13.81640625" style="1007" customWidth="1"/>
    <col min="3847" max="3847" width="11.1796875" style="1007" customWidth="1"/>
    <col min="3848" max="3848" width="11.7265625" style="1007" customWidth="1"/>
    <col min="3849" max="3849" width="11.453125" style="1007" customWidth="1"/>
    <col min="3850" max="3850" width="18" style="1007" customWidth="1"/>
    <col min="3851" max="3851" width="18.453125" style="1007" customWidth="1"/>
    <col min="3852" max="3852" width="17.81640625" style="1007" customWidth="1"/>
    <col min="3853" max="3853" width="15.453125" style="1007" customWidth="1"/>
    <col min="3854" max="3863" width="13.81640625" style="1007" customWidth="1"/>
    <col min="3864" max="4096" width="14.7265625" style="1007"/>
    <col min="4097" max="4097" width="6.26953125" style="1007" customWidth="1"/>
    <col min="4098" max="4098" width="44.1796875" style="1007" customWidth="1"/>
    <col min="4099" max="4102" width="13.81640625" style="1007" customWidth="1"/>
    <col min="4103" max="4103" width="11.1796875" style="1007" customWidth="1"/>
    <col min="4104" max="4104" width="11.7265625" style="1007" customWidth="1"/>
    <col min="4105" max="4105" width="11.453125" style="1007" customWidth="1"/>
    <col min="4106" max="4106" width="18" style="1007" customWidth="1"/>
    <col min="4107" max="4107" width="18.453125" style="1007" customWidth="1"/>
    <col min="4108" max="4108" width="17.81640625" style="1007" customWidth="1"/>
    <col min="4109" max="4109" width="15.453125" style="1007" customWidth="1"/>
    <col min="4110" max="4119" width="13.81640625" style="1007" customWidth="1"/>
    <col min="4120" max="4352" width="14.7265625" style="1007"/>
    <col min="4353" max="4353" width="6.26953125" style="1007" customWidth="1"/>
    <col min="4354" max="4354" width="44.1796875" style="1007" customWidth="1"/>
    <col min="4355" max="4358" width="13.81640625" style="1007" customWidth="1"/>
    <col min="4359" max="4359" width="11.1796875" style="1007" customWidth="1"/>
    <col min="4360" max="4360" width="11.7265625" style="1007" customWidth="1"/>
    <col min="4361" max="4361" width="11.453125" style="1007" customWidth="1"/>
    <col min="4362" max="4362" width="18" style="1007" customWidth="1"/>
    <col min="4363" max="4363" width="18.453125" style="1007" customWidth="1"/>
    <col min="4364" max="4364" width="17.81640625" style="1007" customWidth="1"/>
    <col min="4365" max="4365" width="15.453125" style="1007" customWidth="1"/>
    <col min="4366" max="4375" width="13.81640625" style="1007" customWidth="1"/>
    <col min="4376" max="4608" width="14.7265625" style="1007"/>
    <col min="4609" max="4609" width="6.26953125" style="1007" customWidth="1"/>
    <col min="4610" max="4610" width="44.1796875" style="1007" customWidth="1"/>
    <col min="4611" max="4614" width="13.81640625" style="1007" customWidth="1"/>
    <col min="4615" max="4615" width="11.1796875" style="1007" customWidth="1"/>
    <col min="4616" max="4616" width="11.7265625" style="1007" customWidth="1"/>
    <col min="4617" max="4617" width="11.453125" style="1007" customWidth="1"/>
    <col min="4618" max="4618" width="18" style="1007" customWidth="1"/>
    <col min="4619" max="4619" width="18.453125" style="1007" customWidth="1"/>
    <col min="4620" max="4620" width="17.81640625" style="1007" customWidth="1"/>
    <col min="4621" max="4621" width="15.453125" style="1007" customWidth="1"/>
    <col min="4622" max="4631" width="13.81640625" style="1007" customWidth="1"/>
    <col min="4632" max="4864" width="14.7265625" style="1007"/>
    <col min="4865" max="4865" width="6.26953125" style="1007" customWidth="1"/>
    <col min="4866" max="4866" width="44.1796875" style="1007" customWidth="1"/>
    <col min="4867" max="4870" width="13.81640625" style="1007" customWidth="1"/>
    <col min="4871" max="4871" width="11.1796875" style="1007" customWidth="1"/>
    <col min="4872" max="4872" width="11.7265625" style="1007" customWidth="1"/>
    <col min="4873" max="4873" width="11.453125" style="1007" customWidth="1"/>
    <col min="4874" max="4874" width="18" style="1007" customWidth="1"/>
    <col min="4875" max="4875" width="18.453125" style="1007" customWidth="1"/>
    <col min="4876" max="4876" width="17.81640625" style="1007" customWidth="1"/>
    <col min="4877" max="4877" width="15.453125" style="1007" customWidth="1"/>
    <col min="4878" max="4887" width="13.81640625" style="1007" customWidth="1"/>
    <col min="4888" max="5120" width="14.7265625" style="1007"/>
    <col min="5121" max="5121" width="6.26953125" style="1007" customWidth="1"/>
    <col min="5122" max="5122" width="44.1796875" style="1007" customWidth="1"/>
    <col min="5123" max="5126" width="13.81640625" style="1007" customWidth="1"/>
    <col min="5127" max="5127" width="11.1796875" style="1007" customWidth="1"/>
    <col min="5128" max="5128" width="11.7265625" style="1007" customWidth="1"/>
    <col min="5129" max="5129" width="11.453125" style="1007" customWidth="1"/>
    <col min="5130" max="5130" width="18" style="1007" customWidth="1"/>
    <col min="5131" max="5131" width="18.453125" style="1007" customWidth="1"/>
    <col min="5132" max="5132" width="17.81640625" style="1007" customWidth="1"/>
    <col min="5133" max="5133" width="15.453125" style="1007" customWidth="1"/>
    <col min="5134" max="5143" width="13.81640625" style="1007" customWidth="1"/>
    <col min="5144" max="5376" width="14.7265625" style="1007"/>
    <col min="5377" max="5377" width="6.26953125" style="1007" customWidth="1"/>
    <col min="5378" max="5378" width="44.1796875" style="1007" customWidth="1"/>
    <col min="5379" max="5382" width="13.81640625" style="1007" customWidth="1"/>
    <col min="5383" max="5383" width="11.1796875" style="1007" customWidth="1"/>
    <col min="5384" max="5384" width="11.7265625" style="1007" customWidth="1"/>
    <col min="5385" max="5385" width="11.453125" style="1007" customWidth="1"/>
    <col min="5386" max="5386" width="18" style="1007" customWidth="1"/>
    <col min="5387" max="5387" width="18.453125" style="1007" customWidth="1"/>
    <col min="5388" max="5388" width="17.81640625" style="1007" customWidth="1"/>
    <col min="5389" max="5389" width="15.453125" style="1007" customWidth="1"/>
    <col min="5390" max="5399" width="13.81640625" style="1007" customWidth="1"/>
    <col min="5400" max="5632" width="14.7265625" style="1007"/>
    <col min="5633" max="5633" width="6.26953125" style="1007" customWidth="1"/>
    <col min="5634" max="5634" width="44.1796875" style="1007" customWidth="1"/>
    <col min="5635" max="5638" width="13.81640625" style="1007" customWidth="1"/>
    <col min="5639" max="5639" width="11.1796875" style="1007" customWidth="1"/>
    <col min="5640" max="5640" width="11.7265625" style="1007" customWidth="1"/>
    <col min="5641" max="5641" width="11.453125" style="1007" customWidth="1"/>
    <col min="5642" max="5642" width="18" style="1007" customWidth="1"/>
    <col min="5643" max="5643" width="18.453125" style="1007" customWidth="1"/>
    <col min="5644" max="5644" width="17.81640625" style="1007" customWidth="1"/>
    <col min="5645" max="5645" width="15.453125" style="1007" customWidth="1"/>
    <col min="5646" max="5655" width="13.81640625" style="1007" customWidth="1"/>
    <col min="5656" max="5888" width="14.7265625" style="1007"/>
    <col min="5889" max="5889" width="6.26953125" style="1007" customWidth="1"/>
    <col min="5890" max="5890" width="44.1796875" style="1007" customWidth="1"/>
    <col min="5891" max="5894" width="13.81640625" style="1007" customWidth="1"/>
    <col min="5895" max="5895" width="11.1796875" style="1007" customWidth="1"/>
    <col min="5896" max="5896" width="11.7265625" style="1007" customWidth="1"/>
    <col min="5897" max="5897" width="11.453125" style="1007" customWidth="1"/>
    <col min="5898" max="5898" width="18" style="1007" customWidth="1"/>
    <col min="5899" max="5899" width="18.453125" style="1007" customWidth="1"/>
    <col min="5900" max="5900" width="17.81640625" style="1007" customWidth="1"/>
    <col min="5901" max="5901" width="15.453125" style="1007" customWidth="1"/>
    <col min="5902" max="5911" width="13.81640625" style="1007" customWidth="1"/>
    <col min="5912" max="6144" width="14.7265625" style="1007"/>
    <col min="6145" max="6145" width="6.26953125" style="1007" customWidth="1"/>
    <col min="6146" max="6146" width="44.1796875" style="1007" customWidth="1"/>
    <col min="6147" max="6150" width="13.81640625" style="1007" customWidth="1"/>
    <col min="6151" max="6151" width="11.1796875" style="1007" customWidth="1"/>
    <col min="6152" max="6152" width="11.7265625" style="1007" customWidth="1"/>
    <col min="6153" max="6153" width="11.453125" style="1007" customWidth="1"/>
    <col min="6154" max="6154" width="18" style="1007" customWidth="1"/>
    <col min="6155" max="6155" width="18.453125" style="1007" customWidth="1"/>
    <col min="6156" max="6156" width="17.81640625" style="1007" customWidth="1"/>
    <col min="6157" max="6157" width="15.453125" style="1007" customWidth="1"/>
    <col min="6158" max="6167" width="13.81640625" style="1007" customWidth="1"/>
    <col min="6168" max="6400" width="14.7265625" style="1007"/>
    <col min="6401" max="6401" width="6.26953125" style="1007" customWidth="1"/>
    <col min="6402" max="6402" width="44.1796875" style="1007" customWidth="1"/>
    <col min="6403" max="6406" width="13.81640625" style="1007" customWidth="1"/>
    <col min="6407" max="6407" width="11.1796875" style="1007" customWidth="1"/>
    <col min="6408" max="6408" width="11.7265625" style="1007" customWidth="1"/>
    <col min="6409" max="6409" width="11.453125" style="1007" customWidth="1"/>
    <col min="6410" max="6410" width="18" style="1007" customWidth="1"/>
    <col min="6411" max="6411" width="18.453125" style="1007" customWidth="1"/>
    <col min="6412" max="6412" width="17.81640625" style="1007" customWidth="1"/>
    <col min="6413" max="6413" width="15.453125" style="1007" customWidth="1"/>
    <col min="6414" max="6423" width="13.81640625" style="1007" customWidth="1"/>
    <col min="6424" max="6656" width="14.7265625" style="1007"/>
    <col min="6657" max="6657" width="6.26953125" style="1007" customWidth="1"/>
    <col min="6658" max="6658" width="44.1796875" style="1007" customWidth="1"/>
    <col min="6659" max="6662" width="13.81640625" style="1007" customWidth="1"/>
    <col min="6663" max="6663" width="11.1796875" style="1007" customWidth="1"/>
    <col min="6664" max="6664" width="11.7265625" style="1007" customWidth="1"/>
    <col min="6665" max="6665" width="11.453125" style="1007" customWidth="1"/>
    <col min="6666" max="6666" width="18" style="1007" customWidth="1"/>
    <col min="6667" max="6667" width="18.453125" style="1007" customWidth="1"/>
    <col min="6668" max="6668" width="17.81640625" style="1007" customWidth="1"/>
    <col min="6669" max="6669" width="15.453125" style="1007" customWidth="1"/>
    <col min="6670" max="6679" width="13.81640625" style="1007" customWidth="1"/>
    <col min="6680" max="6912" width="14.7265625" style="1007"/>
    <col min="6913" max="6913" width="6.26953125" style="1007" customWidth="1"/>
    <col min="6914" max="6914" width="44.1796875" style="1007" customWidth="1"/>
    <col min="6915" max="6918" width="13.81640625" style="1007" customWidth="1"/>
    <col min="6919" max="6919" width="11.1796875" style="1007" customWidth="1"/>
    <col min="6920" max="6920" width="11.7265625" style="1007" customWidth="1"/>
    <col min="6921" max="6921" width="11.453125" style="1007" customWidth="1"/>
    <col min="6922" max="6922" width="18" style="1007" customWidth="1"/>
    <col min="6923" max="6923" width="18.453125" style="1007" customWidth="1"/>
    <col min="6924" max="6924" width="17.81640625" style="1007" customWidth="1"/>
    <col min="6925" max="6925" width="15.453125" style="1007" customWidth="1"/>
    <col min="6926" max="6935" width="13.81640625" style="1007" customWidth="1"/>
    <col min="6936" max="7168" width="14.7265625" style="1007"/>
    <col min="7169" max="7169" width="6.26953125" style="1007" customWidth="1"/>
    <col min="7170" max="7170" width="44.1796875" style="1007" customWidth="1"/>
    <col min="7171" max="7174" width="13.81640625" style="1007" customWidth="1"/>
    <col min="7175" max="7175" width="11.1796875" style="1007" customWidth="1"/>
    <col min="7176" max="7176" width="11.7265625" style="1007" customWidth="1"/>
    <col min="7177" max="7177" width="11.453125" style="1007" customWidth="1"/>
    <col min="7178" max="7178" width="18" style="1007" customWidth="1"/>
    <col min="7179" max="7179" width="18.453125" style="1007" customWidth="1"/>
    <col min="7180" max="7180" width="17.81640625" style="1007" customWidth="1"/>
    <col min="7181" max="7181" width="15.453125" style="1007" customWidth="1"/>
    <col min="7182" max="7191" width="13.81640625" style="1007" customWidth="1"/>
    <col min="7192" max="7424" width="14.7265625" style="1007"/>
    <col min="7425" max="7425" width="6.26953125" style="1007" customWidth="1"/>
    <col min="7426" max="7426" width="44.1796875" style="1007" customWidth="1"/>
    <col min="7427" max="7430" width="13.81640625" style="1007" customWidth="1"/>
    <col min="7431" max="7431" width="11.1796875" style="1007" customWidth="1"/>
    <col min="7432" max="7432" width="11.7265625" style="1007" customWidth="1"/>
    <col min="7433" max="7433" width="11.453125" style="1007" customWidth="1"/>
    <col min="7434" max="7434" width="18" style="1007" customWidth="1"/>
    <col min="7435" max="7435" width="18.453125" style="1007" customWidth="1"/>
    <col min="7436" max="7436" width="17.81640625" style="1007" customWidth="1"/>
    <col min="7437" max="7437" width="15.453125" style="1007" customWidth="1"/>
    <col min="7438" max="7447" width="13.81640625" style="1007" customWidth="1"/>
    <col min="7448" max="7680" width="14.7265625" style="1007"/>
    <col min="7681" max="7681" width="6.26953125" style="1007" customWidth="1"/>
    <col min="7682" max="7682" width="44.1796875" style="1007" customWidth="1"/>
    <col min="7683" max="7686" width="13.81640625" style="1007" customWidth="1"/>
    <col min="7687" max="7687" width="11.1796875" style="1007" customWidth="1"/>
    <col min="7688" max="7688" width="11.7265625" style="1007" customWidth="1"/>
    <col min="7689" max="7689" width="11.453125" style="1007" customWidth="1"/>
    <col min="7690" max="7690" width="18" style="1007" customWidth="1"/>
    <col min="7691" max="7691" width="18.453125" style="1007" customWidth="1"/>
    <col min="7692" max="7692" width="17.81640625" style="1007" customWidth="1"/>
    <col min="7693" max="7693" width="15.453125" style="1007" customWidth="1"/>
    <col min="7694" max="7703" width="13.81640625" style="1007" customWidth="1"/>
    <col min="7704" max="7936" width="14.7265625" style="1007"/>
    <col min="7937" max="7937" width="6.26953125" style="1007" customWidth="1"/>
    <col min="7938" max="7938" width="44.1796875" style="1007" customWidth="1"/>
    <col min="7939" max="7942" width="13.81640625" style="1007" customWidth="1"/>
    <col min="7943" max="7943" width="11.1796875" style="1007" customWidth="1"/>
    <col min="7944" max="7944" width="11.7265625" style="1007" customWidth="1"/>
    <col min="7945" max="7945" width="11.453125" style="1007" customWidth="1"/>
    <col min="7946" max="7946" width="18" style="1007" customWidth="1"/>
    <col min="7947" max="7947" width="18.453125" style="1007" customWidth="1"/>
    <col min="7948" max="7948" width="17.81640625" style="1007" customWidth="1"/>
    <col min="7949" max="7949" width="15.453125" style="1007" customWidth="1"/>
    <col min="7950" max="7959" width="13.81640625" style="1007" customWidth="1"/>
    <col min="7960" max="8192" width="14.7265625" style="1007"/>
    <col min="8193" max="8193" width="6.26953125" style="1007" customWidth="1"/>
    <col min="8194" max="8194" width="44.1796875" style="1007" customWidth="1"/>
    <col min="8195" max="8198" width="13.81640625" style="1007" customWidth="1"/>
    <col min="8199" max="8199" width="11.1796875" style="1007" customWidth="1"/>
    <col min="8200" max="8200" width="11.7265625" style="1007" customWidth="1"/>
    <col min="8201" max="8201" width="11.453125" style="1007" customWidth="1"/>
    <col min="8202" max="8202" width="18" style="1007" customWidth="1"/>
    <col min="8203" max="8203" width="18.453125" style="1007" customWidth="1"/>
    <col min="8204" max="8204" width="17.81640625" style="1007" customWidth="1"/>
    <col min="8205" max="8205" width="15.453125" style="1007" customWidth="1"/>
    <col min="8206" max="8215" width="13.81640625" style="1007" customWidth="1"/>
    <col min="8216" max="8448" width="14.7265625" style="1007"/>
    <col min="8449" max="8449" width="6.26953125" style="1007" customWidth="1"/>
    <col min="8450" max="8450" width="44.1796875" style="1007" customWidth="1"/>
    <col min="8451" max="8454" width="13.81640625" style="1007" customWidth="1"/>
    <col min="8455" max="8455" width="11.1796875" style="1007" customWidth="1"/>
    <col min="8456" max="8456" width="11.7265625" style="1007" customWidth="1"/>
    <col min="8457" max="8457" width="11.453125" style="1007" customWidth="1"/>
    <col min="8458" max="8458" width="18" style="1007" customWidth="1"/>
    <col min="8459" max="8459" width="18.453125" style="1007" customWidth="1"/>
    <col min="8460" max="8460" width="17.81640625" style="1007" customWidth="1"/>
    <col min="8461" max="8461" width="15.453125" style="1007" customWidth="1"/>
    <col min="8462" max="8471" width="13.81640625" style="1007" customWidth="1"/>
    <col min="8472" max="8704" width="14.7265625" style="1007"/>
    <col min="8705" max="8705" width="6.26953125" style="1007" customWidth="1"/>
    <col min="8706" max="8706" width="44.1796875" style="1007" customWidth="1"/>
    <col min="8707" max="8710" width="13.81640625" style="1007" customWidth="1"/>
    <col min="8711" max="8711" width="11.1796875" style="1007" customWidth="1"/>
    <col min="8712" max="8712" width="11.7265625" style="1007" customWidth="1"/>
    <col min="8713" max="8713" width="11.453125" style="1007" customWidth="1"/>
    <col min="8714" max="8714" width="18" style="1007" customWidth="1"/>
    <col min="8715" max="8715" width="18.453125" style="1007" customWidth="1"/>
    <col min="8716" max="8716" width="17.81640625" style="1007" customWidth="1"/>
    <col min="8717" max="8717" width="15.453125" style="1007" customWidth="1"/>
    <col min="8718" max="8727" width="13.81640625" style="1007" customWidth="1"/>
    <col min="8728" max="8960" width="14.7265625" style="1007"/>
    <col min="8961" max="8961" width="6.26953125" style="1007" customWidth="1"/>
    <col min="8962" max="8962" width="44.1796875" style="1007" customWidth="1"/>
    <col min="8963" max="8966" width="13.81640625" style="1007" customWidth="1"/>
    <col min="8967" max="8967" width="11.1796875" style="1007" customWidth="1"/>
    <col min="8968" max="8968" width="11.7265625" style="1007" customWidth="1"/>
    <col min="8969" max="8969" width="11.453125" style="1007" customWidth="1"/>
    <col min="8970" max="8970" width="18" style="1007" customWidth="1"/>
    <col min="8971" max="8971" width="18.453125" style="1007" customWidth="1"/>
    <col min="8972" max="8972" width="17.81640625" style="1007" customWidth="1"/>
    <col min="8973" max="8973" width="15.453125" style="1007" customWidth="1"/>
    <col min="8974" max="8983" width="13.81640625" style="1007" customWidth="1"/>
    <col min="8984" max="9216" width="14.7265625" style="1007"/>
    <col min="9217" max="9217" width="6.26953125" style="1007" customWidth="1"/>
    <col min="9218" max="9218" width="44.1796875" style="1007" customWidth="1"/>
    <col min="9219" max="9222" width="13.81640625" style="1007" customWidth="1"/>
    <col min="9223" max="9223" width="11.1796875" style="1007" customWidth="1"/>
    <col min="9224" max="9224" width="11.7265625" style="1007" customWidth="1"/>
    <col min="9225" max="9225" width="11.453125" style="1007" customWidth="1"/>
    <col min="9226" max="9226" width="18" style="1007" customWidth="1"/>
    <col min="9227" max="9227" width="18.453125" style="1007" customWidth="1"/>
    <col min="9228" max="9228" width="17.81640625" style="1007" customWidth="1"/>
    <col min="9229" max="9229" width="15.453125" style="1007" customWidth="1"/>
    <col min="9230" max="9239" width="13.81640625" style="1007" customWidth="1"/>
    <col min="9240" max="9472" width="14.7265625" style="1007"/>
    <col min="9473" max="9473" width="6.26953125" style="1007" customWidth="1"/>
    <col min="9474" max="9474" width="44.1796875" style="1007" customWidth="1"/>
    <col min="9475" max="9478" width="13.81640625" style="1007" customWidth="1"/>
    <col min="9479" max="9479" width="11.1796875" style="1007" customWidth="1"/>
    <col min="9480" max="9480" width="11.7265625" style="1007" customWidth="1"/>
    <col min="9481" max="9481" width="11.453125" style="1007" customWidth="1"/>
    <col min="9482" max="9482" width="18" style="1007" customWidth="1"/>
    <col min="9483" max="9483" width="18.453125" style="1007" customWidth="1"/>
    <col min="9484" max="9484" width="17.81640625" style="1007" customWidth="1"/>
    <col min="9485" max="9485" width="15.453125" style="1007" customWidth="1"/>
    <col min="9486" max="9495" width="13.81640625" style="1007" customWidth="1"/>
    <col min="9496" max="9728" width="14.7265625" style="1007"/>
    <col min="9729" max="9729" width="6.26953125" style="1007" customWidth="1"/>
    <col min="9730" max="9730" width="44.1796875" style="1007" customWidth="1"/>
    <col min="9731" max="9734" width="13.81640625" style="1007" customWidth="1"/>
    <col min="9735" max="9735" width="11.1796875" style="1007" customWidth="1"/>
    <col min="9736" max="9736" width="11.7265625" style="1007" customWidth="1"/>
    <col min="9737" max="9737" width="11.453125" style="1007" customWidth="1"/>
    <col min="9738" max="9738" width="18" style="1007" customWidth="1"/>
    <col min="9739" max="9739" width="18.453125" style="1007" customWidth="1"/>
    <col min="9740" max="9740" width="17.81640625" style="1007" customWidth="1"/>
    <col min="9741" max="9741" width="15.453125" style="1007" customWidth="1"/>
    <col min="9742" max="9751" width="13.81640625" style="1007" customWidth="1"/>
    <col min="9752" max="9984" width="14.7265625" style="1007"/>
    <col min="9985" max="9985" width="6.26953125" style="1007" customWidth="1"/>
    <col min="9986" max="9986" width="44.1796875" style="1007" customWidth="1"/>
    <col min="9987" max="9990" width="13.81640625" style="1007" customWidth="1"/>
    <col min="9991" max="9991" width="11.1796875" style="1007" customWidth="1"/>
    <col min="9992" max="9992" width="11.7265625" style="1007" customWidth="1"/>
    <col min="9993" max="9993" width="11.453125" style="1007" customWidth="1"/>
    <col min="9994" max="9994" width="18" style="1007" customWidth="1"/>
    <col min="9995" max="9995" width="18.453125" style="1007" customWidth="1"/>
    <col min="9996" max="9996" width="17.81640625" style="1007" customWidth="1"/>
    <col min="9997" max="9997" width="15.453125" style="1007" customWidth="1"/>
    <col min="9998" max="10007" width="13.81640625" style="1007" customWidth="1"/>
    <col min="10008" max="10240" width="14.7265625" style="1007"/>
    <col min="10241" max="10241" width="6.26953125" style="1007" customWidth="1"/>
    <col min="10242" max="10242" width="44.1796875" style="1007" customWidth="1"/>
    <col min="10243" max="10246" width="13.81640625" style="1007" customWidth="1"/>
    <col min="10247" max="10247" width="11.1796875" style="1007" customWidth="1"/>
    <col min="10248" max="10248" width="11.7265625" style="1007" customWidth="1"/>
    <col min="10249" max="10249" width="11.453125" style="1007" customWidth="1"/>
    <col min="10250" max="10250" width="18" style="1007" customWidth="1"/>
    <col min="10251" max="10251" width="18.453125" style="1007" customWidth="1"/>
    <col min="10252" max="10252" width="17.81640625" style="1007" customWidth="1"/>
    <col min="10253" max="10253" width="15.453125" style="1007" customWidth="1"/>
    <col min="10254" max="10263" width="13.81640625" style="1007" customWidth="1"/>
    <col min="10264" max="10496" width="14.7265625" style="1007"/>
    <col min="10497" max="10497" width="6.26953125" style="1007" customWidth="1"/>
    <col min="10498" max="10498" width="44.1796875" style="1007" customWidth="1"/>
    <col min="10499" max="10502" width="13.81640625" style="1007" customWidth="1"/>
    <col min="10503" max="10503" width="11.1796875" style="1007" customWidth="1"/>
    <col min="10504" max="10504" width="11.7265625" style="1007" customWidth="1"/>
    <col min="10505" max="10505" width="11.453125" style="1007" customWidth="1"/>
    <col min="10506" max="10506" width="18" style="1007" customWidth="1"/>
    <col min="10507" max="10507" width="18.453125" style="1007" customWidth="1"/>
    <col min="10508" max="10508" width="17.81640625" style="1007" customWidth="1"/>
    <col min="10509" max="10509" width="15.453125" style="1007" customWidth="1"/>
    <col min="10510" max="10519" width="13.81640625" style="1007" customWidth="1"/>
    <col min="10520" max="10752" width="14.7265625" style="1007"/>
    <col min="10753" max="10753" width="6.26953125" style="1007" customWidth="1"/>
    <col min="10754" max="10754" width="44.1796875" style="1007" customWidth="1"/>
    <col min="10755" max="10758" width="13.81640625" style="1007" customWidth="1"/>
    <col min="10759" max="10759" width="11.1796875" style="1007" customWidth="1"/>
    <col min="10760" max="10760" width="11.7265625" style="1007" customWidth="1"/>
    <col min="10761" max="10761" width="11.453125" style="1007" customWidth="1"/>
    <col min="10762" max="10762" width="18" style="1007" customWidth="1"/>
    <col min="10763" max="10763" width="18.453125" style="1007" customWidth="1"/>
    <col min="10764" max="10764" width="17.81640625" style="1007" customWidth="1"/>
    <col min="10765" max="10765" width="15.453125" style="1007" customWidth="1"/>
    <col min="10766" max="10775" width="13.81640625" style="1007" customWidth="1"/>
    <col min="10776" max="11008" width="14.7265625" style="1007"/>
    <col min="11009" max="11009" width="6.26953125" style="1007" customWidth="1"/>
    <col min="11010" max="11010" width="44.1796875" style="1007" customWidth="1"/>
    <col min="11011" max="11014" width="13.81640625" style="1007" customWidth="1"/>
    <col min="11015" max="11015" width="11.1796875" style="1007" customWidth="1"/>
    <col min="11016" max="11016" width="11.7265625" style="1007" customWidth="1"/>
    <col min="11017" max="11017" width="11.453125" style="1007" customWidth="1"/>
    <col min="11018" max="11018" width="18" style="1007" customWidth="1"/>
    <col min="11019" max="11019" width="18.453125" style="1007" customWidth="1"/>
    <col min="11020" max="11020" width="17.81640625" style="1007" customWidth="1"/>
    <col min="11021" max="11021" width="15.453125" style="1007" customWidth="1"/>
    <col min="11022" max="11031" width="13.81640625" style="1007" customWidth="1"/>
    <col min="11032" max="11264" width="14.7265625" style="1007"/>
    <col min="11265" max="11265" width="6.26953125" style="1007" customWidth="1"/>
    <col min="11266" max="11266" width="44.1796875" style="1007" customWidth="1"/>
    <col min="11267" max="11270" width="13.81640625" style="1007" customWidth="1"/>
    <col min="11271" max="11271" width="11.1796875" style="1007" customWidth="1"/>
    <col min="11272" max="11272" width="11.7265625" style="1007" customWidth="1"/>
    <col min="11273" max="11273" width="11.453125" style="1007" customWidth="1"/>
    <col min="11274" max="11274" width="18" style="1007" customWidth="1"/>
    <col min="11275" max="11275" width="18.453125" style="1007" customWidth="1"/>
    <col min="11276" max="11276" width="17.81640625" style="1007" customWidth="1"/>
    <col min="11277" max="11277" width="15.453125" style="1007" customWidth="1"/>
    <col min="11278" max="11287" width="13.81640625" style="1007" customWidth="1"/>
    <col min="11288" max="11520" width="14.7265625" style="1007"/>
    <col min="11521" max="11521" width="6.26953125" style="1007" customWidth="1"/>
    <col min="11522" max="11522" width="44.1796875" style="1007" customWidth="1"/>
    <col min="11523" max="11526" width="13.81640625" style="1007" customWidth="1"/>
    <col min="11527" max="11527" width="11.1796875" style="1007" customWidth="1"/>
    <col min="11528" max="11528" width="11.7265625" style="1007" customWidth="1"/>
    <col min="11529" max="11529" width="11.453125" style="1007" customWidth="1"/>
    <col min="11530" max="11530" width="18" style="1007" customWidth="1"/>
    <col min="11531" max="11531" width="18.453125" style="1007" customWidth="1"/>
    <col min="11532" max="11532" width="17.81640625" style="1007" customWidth="1"/>
    <col min="11533" max="11533" width="15.453125" style="1007" customWidth="1"/>
    <col min="11534" max="11543" width="13.81640625" style="1007" customWidth="1"/>
    <col min="11544" max="11776" width="14.7265625" style="1007"/>
    <col min="11777" max="11777" width="6.26953125" style="1007" customWidth="1"/>
    <col min="11778" max="11778" width="44.1796875" style="1007" customWidth="1"/>
    <col min="11779" max="11782" width="13.81640625" style="1007" customWidth="1"/>
    <col min="11783" max="11783" width="11.1796875" style="1007" customWidth="1"/>
    <col min="11784" max="11784" width="11.7265625" style="1007" customWidth="1"/>
    <col min="11785" max="11785" width="11.453125" style="1007" customWidth="1"/>
    <col min="11786" max="11786" width="18" style="1007" customWidth="1"/>
    <col min="11787" max="11787" width="18.453125" style="1007" customWidth="1"/>
    <col min="11788" max="11788" width="17.81640625" style="1007" customWidth="1"/>
    <col min="11789" max="11789" width="15.453125" style="1007" customWidth="1"/>
    <col min="11790" max="11799" width="13.81640625" style="1007" customWidth="1"/>
    <col min="11800" max="12032" width="14.7265625" style="1007"/>
    <col min="12033" max="12033" width="6.26953125" style="1007" customWidth="1"/>
    <col min="12034" max="12034" width="44.1796875" style="1007" customWidth="1"/>
    <col min="12035" max="12038" width="13.81640625" style="1007" customWidth="1"/>
    <col min="12039" max="12039" width="11.1796875" style="1007" customWidth="1"/>
    <col min="12040" max="12040" width="11.7265625" style="1007" customWidth="1"/>
    <col min="12041" max="12041" width="11.453125" style="1007" customWidth="1"/>
    <col min="12042" max="12042" width="18" style="1007" customWidth="1"/>
    <col min="12043" max="12043" width="18.453125" style="1007" customWidth="1"/>
    <col min="12044" max="12044" width="17.81640625" style="1007" customWidth="1"/>
    <col min="12045" max="12045" width="15.453125" style="1007" customWidth="1"/>
    <col min="12046" max="12055" width="13.81640625" style="1007" customWidth="1"/>
    <col min="12056" max="12288" width="14.7265625" style="1007"/>
    <col min="12289" max="12289" width="6.26953125" style="1007" customWidth="1"/>
    <col min="12290" max="12290" width="44.1796875" style="1007" customWidth="1"/>
    <col min="12291" max="12294" width="13.81640625" style="1007" customWidth="1"/>
    <col min="12295" max="12295" width="11.1796875" style="1007" customWidth="1"/>
    <col min="12296" max="12296" width="11.7265625" style="1007" customWidth="1"/>
    <col min="12297" max="12297" width="11.453125" style="1007" customWidth="1"/>
    <col min="12298" max="12298" width="18" style="1007" customWidth="1"/>
    <col min="12299" max="12299" width="18.453125" style="1007" customWidth="1"/>
    <col min="12300" max="12300" width="17.81640625" style="1007" customWidth="1"/>
    <col min="12301" max="12301" width="15.453125" style="1007" customWidth="1"/>
    <col min="12302" max="12311" width="13.81640625" style="1007" customWidth="1"/>
    <col min="12312" max="12544" width="14.7265625" style="1007"/>
    <col min="12545" max="12545" width="6.26953125" style="1007" customWidth="1"/>
    <col min="12546" max="12546" width="44.1796875" style="1007" customWidth="1"/>
    <col min="12547" max="12550" width="13.81640625" style="1007" customWidth="1"/>
    <col min="12551" max="12551" width="11.1796875" style="1007" customWidth="1"/>
    <col min="12552" max="12552" width="11.7265625" style="1007" customWidth="1"/>
    <col min="12553" max="12553" width="11.453125" style="1007" customWidth="1"/>
    <col min="12554" max="12554" width="18" style="1007" customWidth="1"/>
    <col min="12555" max="12555" width="18.453125" style="1007" customWidth="1"/>
    <col min="12556" max="12556" width="17.81640625" style="1007" customWidth="1"/>
    <col min="12557" max="12557" width="15.453125" style="1007" customWidth="1"/>
    <col min="12558" max="12567" width="13.81640625" style="1007" customWidth="1"/>
    <col min="12568" max="12800" width="14.7265625" style="1007"/>
    <col min="12801" max="12801" width="6.26953125" style="1007" customWidth="1"/>
    <col min="12802" max="12802" width="44.1796875" style="1007" customWidth="1"/>
    <col min="12803" max="12806" width="13.81640625" style="1007" customWidth="1"/>
    <col min="12807" max="12807" width="11.1796875" style="1007" customWidth="1"/>
    <col min="12808" max="12808" width="11.7265625" style="1007" customWidth="1"/>
    <col min="12809" max="12809" width="11.453125" style="1007" customWidth="1"/>
    <col min="12810" max="12810" width="18" style="1007" customWidth="1"/>
    <col min="12811" max="12811" width="18.453125" style="1007" customWidth="1"/>
    <col min="12812" max="12812" width="17.81640625" style="1007" customWidth="1"/>
    <col min="12813" max="12813" width="15.453125" style="1007" customWidth="1"/>
    <col min="12814" max="12823" width="13.81640625" style="1007" customWidth="1"/>
    <col min="12824" max="13056" width="14.7265625" style="1007"/>
    <col min="13057" max="13057" width="6.26953125" style="1007" customWidth="1"/>
    <col min="13058" max="13058" width="44.1796875" style="1007" customWidth="1"/>
    <col min="13059" max="13062" width="13.81640625" style="1007" customWidth="1"/>
    <col min="13063" max="13063" width="11.1796875" style="1007" customWidth="1"/>
    <col min="13064" max="13064" width="11.7265625" style="1007" customWidth="1"/>
    <col min="13065" max="13065" width="11.453125" style="1007" customWidth="1"/>
    <col min="13066" max="13066" width="18" style="1007" customWidth="1"/>
    <col min="13067" max="13067" width="18.453125" style="1007" customWidth="1"/>
    <col min="13068" max="13068" width="17.81640625" style="1007" customWidth="1"/>
    <col min="13069" max="13069" width="15.453125" style="1007" customWidth="1"/>
    <col min="13070" max="13079" width="13.81640625" style="1007" customWidth="1"/>
    <col min="13080" max="13312" width="14.7265625" style="1007"/>
    <col min="13313" max="13313" width="6.26953125" style="1007" customWidth="1"/>
    <col min="13314" max="13314" width="44.1796875" style="1007" customWidth="1"/>
    <col min="13315" max="13318" width="13.81640625" style="1007" customWidth="1"/>
    <col min="13319" max="13319" width="11.1796875" style="1007" customWidth="1"/>
    <col min="13320" max="13320" width="11.7265625" style="1007" customWidth="1"/>
    <col min="13321" max="13321" width="11.453125" style="1007" customWidth="1"/>
    <col min="13322" max="13322" width="18" style="1007" customWidth="1"/>
    <col min="13323" max="13323" width="18.453125" style="1007" customWidth="1"/>
    <col min="13324" max="13324" width="17.81640625" style="1007" customWidth="1"/>
    <col min="13325" max="13325" width="15.453125" style="1007" customWidth="1"/>
    <col min="13326" max="13335" width="13.81640625" style="1007" customWidth="1"/>
    <col min="13336" max="13568" width="14.7265625" style="1007"/>
    <col min="13569" max="13569" width="6.26953125" style="1007" customWidth="1"/>
    <col min="13570" max="13570" width="44.1796875" style="1007" customWidth="1"/>
    <col min="13571" max="13574" width="13.81640625" style="1007" customWidth="1"/>
    <col min="13575" max="13575" width="11.1796875" style="1007" customWidth="1"/>
    <col min="13576" max="13576" width="11.7265625" style="1007" customWidth="1"/>
    <col min="13577" max="13577" width="11.453125" style="1007" customWidth="1"/>
    <col min="13578" max="13578" width="18" style="1007" customWidth="1"/>
    <col min="13579" max="13579" width="18.453125" style="1007" customWidth="1"/>
    <col min="13580" max="13580" width="17.81640625" style="1007" customWidth="1"/>
    <col min="13581" max="13581" width="15.453125" style="1007" customWidth="1"/>
    <col min="13582" max="13591" width="13.81640625" style="1007" customWidth="1"/>
    <col min="13592" max="13824" width="14.7265625" style="1007"/>
    <col min="13825" max="13825" width="6.26953125" style="1007" customWidth="1"/>
    <col min="13826" max="13826" width="44.1796875" style="1007" customWidth="1"/>
    <col min="13827" max="13830" width="13.81640625" style="1007" customWidth="1"/>
    <col min="13831" max="13831" width="11.1796875" style="1007" customWidth="1"/>
    <col min="13832" max="13832" width="11.7265625" style="1007" customWidth="1"/>
    <col min="13833" max="13833" width="11.453125" style="1007" customWidth="1"/>
    <col min="13834" max="13834" width="18" style="1007" customWidth="1"/>
    <col min="13835" max="13835" width="18.453125" style="1007" customWidth="1"/>
    <col min="13836" max="13836" width="17.81640625" style="1007" customWidth="1"/>
    <col min="13837" max="13837" width="15.453125" style="1007" customWidth="1"/>
    <col min="13838" max="13847" width="13.81640625" style="1007" customWidth="1"/>
    <col min="13848" max="14080" width="14.7265625" style="1007"/>
    <col min="14081" max="14081" width="6.26953125" style="1007" customWidth="1"/>
    <col min="14082" max="14082" width="44.1796875" style="1007" customWidth="1"/>
    <col min="14083" max="14086" width="13.81640625" style="1007" customWidth="1"/>
    <col min="14087" max="14087" width="11.1796875" style="1007" customWidth="1"/>
    <col min="14088" max="14088" width="11.7265625" style="1007" customWidth="1"/>
    <col min="14089" max="14089" width="11.453125" style="1007" customWidth="1"/>
    <col min="14090" max="14090" width="18" style="1007" customWidth="1"/>
    <col min="14091" max="14091" width="18.453125" style="1007" customWidth="1"/>
    <col min="14092" max="14092" width="17.81640625" style="1007" customWidth="1"/>
    <col min="14093" max="14093" width="15.453125" style="1007" customWidth="1"/>
    <col min="14094" max="14103" width="13.81640625" style="1007" customWidth="1"/>
    <col min="14104" max="14336" width="14.7265625" style="1007"/>
    <col min="14337" max="14337" width="6.26953125" style="1007" customWidth="1"/>
    <col min="14338" max="14338" width="44.1796875" style="1007" customWidth="1"/>
    <col min="14339" max="14342" width="13.81640625" style="1007" customWidth="1"/>
    <col min="14343" max="14343" width="11.1796875" style="1007" customWidth="1"/>
    <col min="14344" max="14344" width="11.7265625" style="1007" customWidth="1"/>
    <col min="14345" max="14345" width="11.453125" style="1007" customWidth="1"/>
    <col min="14346" max="14346" width="18" style="1007" customWidth="1"/>
    <col min="14347" max="14347" width="18.453125" style="1007" customWidth="1"/>
    <col min="14348" max="14348" width="17.81640625" style="1007" customWidth="1"/>
    <col min="14349" max="14349" width="15.453125" style="1007" customWidth="1"/>
    <col min="14350" max="14359" width="13.81640625" style="1007" customWidth="1"/>
    <col min="14360" max="14592" width="14.7265625" style="1007"/>
    <col min="14593" max="14593" width="6.26953125" style="1007" customWidth="1"/>
    <col min="14594" max="14594" width="44.1796875" style="1007" customWidth="1"/>
    <col min="14595" max="14598" width="13.81640625" style="1007" customWidth="1"/>
    <col min="14599" max="14599" width="11.1796875" style="1007" customWidth="1"/>
    <col min="14600" max="14600" width="11.7265625" style="1007" customWidth="1"/>
    <col min="14601" max="14601" width="11.453125" style="1007" customWidth="1"/>
    <col min="14602" max="14602" width="18" style="1007" customWidth="1"/>
    <col min="14603" max="14603" width="18.453125" style="1007" customWidth="1"/>
    <col min="14604" max="14604" width="17.81640625" style="1007" customWidth="1"/>
    <col min="14605" max="14605" width="15.453125" style="1007" customWidth="1"/>
    <col min="14606" max="14615" width="13.81640625" style="1007" customWidth="1"/>
    <col min="14616" max="14848" width="14.7265625" style="1007"/>
    <col min="14849" max="14849" width="6.26953125" style="1007" customWidth="1"/>
    <col min="14850" max="14850" width="44.1796875" style="1007" customWidth="1"/>
    <col min="14851" max="14854" width="13.81640625" style="1007" customWidth="1"/>
    <col min="14855" max="14855" width="11.1796875" style="1007" customWidth="1"/>
    <col min="14856" max="14856" width="11.7265625" style="1007" customWidth="1"/>
    <col min="14857" max="14857" width="11.453125" style="1007" customWidth="1"/>
    <col min="14858" max="14858" width="18" style="1007" customWidth="1"/>
    <col min="14859" max="14859" width="18.453125" style="1007" customWidth="1"/>
    <col min="14860" max="14860" width="17.81640625" style="1007" customWidth="1"/>
    <col min="14861" max="14861" width="15.453125" style="1007" customWidth="1"/>
    <col min="14862" max="14871" width="13.81640625" style="1007" customWidth="1"/>
    <col min="14872" max="15104" width="14.7265625" style="1007"/>
    <col min="15105" max="15105" width="6.26953125" style="1007" customWidth="1"/>
    <col min="15106" max="15106" width="44.1796875" style="1007" customWidth="1"/>
    <col min="15107" max="15110" width="13.81640625" style="1007" customWidth="1"/>
    <col min="15111" max="15111" width="11.1796875" style="1007" customWidth="1"/>
    <col min="15112" max="15112" width="11.7265625" style="1007" customWidth="1"/>
    <col min="15113" max="15113" width="11.453125" style="1007" customWidth="1"/>
    <col min="15114" max="15114" width="18" style="1007" customWidth="1"/>
    <col min="15115" max="15115" width="18.453125" style="1007" customWidth="1"/>
    <col min="15116" max="15116" width="17.81640625" style="1007" customWidth="1"/>
    <col min="15117" max="15117" width="15.453125" style="1007" customWidth="1"/>
    <col min="15118" max="15127" width="13.81640625" style="1007" customWidth="1"/>
    <col min="15128" max="15360" width="14.7265625" style="1007"/>
    <col min="15361" max="15361" width="6.26953125" style="1007" customWidth="1"/>
    <col min="15362" max="15362" width="44.1796875" style="1007" customWidth="1"/>
    <col min="15363" max="15366" width="13.81640625" style="1007" customWidth="1"/>
    <col min="15367" max="15367" width="11.1796875" style="1007" customWidth="1"/>
    <col min="15368" max="15368" width="11.7265625" style="1007" customWidth="1"/>
    <col min="15369" max="15369" width="11.453125" style="1007" customWidth="1"/>
    <col min="15370" max="15370" width="18" style="1007" customWidth="1"/>
    <col min="15371" max="15371" width="18.453125" style="1007" customWidth="1"/>
    <col min="15372" max="15372" width="17.81640625" style="1007" customWidth="1"/>
    <col min="15373" max="15373" width="15.453125" style="1007" customWidth="1"/>
    <col min="15374" max="15383" width="13.81640625" style="1007" customWidth="1"/>
    <col min="15384" max="15616" width="14.7265625" style="1007"/>
    <col min="15617" max="15617" width="6.26953125" style="1007" customWidth="1"/>
    <col min="15618" max="15618" width="44.1796875" style="1007" customWidth="1"/>
    <col min="15619" max="15622" width="13.81640625" style="1007" customWidth="1"/>
    <col min="15623" max="15623" width="11.1796875" style="1007" customWidth="1"/>
    <col min="15624" max="15624" width="11.7265625" style="1007" customWidth="1"/>
    <col min="15625" max="15625" width="11.453125" style="1007" customWidth="1"/>
    <col min="15626" max="15626" width="18" style="1007" customWidth="1"/>
    <col min="15627" max="15627" width="18.453125" style="1007" customWidth="1"/>
    <col min="15628" max="15628" width="17.81640625" style="1007" customWidth="1"/>
    <col min="15629" max="15629" width="15.453125" style="1007" customWidth="1"/>
    <col min="15630" max="15639" width="13.81640625" style="1007" customWidth="1"/>
    <col min="15640" max="15872" width="14.7265625" style="1007"/>
    <col min="15873" max="15873" width="6.26953125" style="1007" customWidth="1"/>
    <col min="15874" max="15874" width="44.1796875" style="1007" customWidth="1"/>
    <col min="15875" max="15878" width="13.81640625" style="1007" customWidth="1"/>
    <col min="15879" max="15879" width="11.1796875" style="1007" customWidth="1"/>
    <col min="15880" max="15880" width="11.7265625" style="1007" customWidth="1"/>
    <col min="15881" max="15881" width="11.453125" style="1007" customWidth="1"/>
    <col min="15882" max="15882" width="18" style="1007" customWidth="1"/>
    <col min="15883" max="15883" width="18.453125" style="1007" customWidth="1"/>
    <col min="15884" max="15884" width="17.81640625" style="1007" customWidth="1"/>
    <col min="15885" max="15885" width="15.453125" style="1007" customWidth="1"/>
    <col min="15886" max="15895" width="13.81640625" style="1007" customWidth="1"/>
    <col min="15896" max="16128" width="14.7265625" style="1007"/>
    <col min="16129" max="16129" width="6.26953125" style="1007" customWidth="1"/>
    <col min="16130" max="16130" width="44.1796875" style="1007" customWidth="1"/>
    <col min="16131" max="16134" width="13.81640625" style="1007" customWidth="1"/>
    <col min="16135" max="16135" width="11.1796875" style="1007" customWidth="1"/>
    <col min="16136" max="16136" width="11.7265625" style="1007" customWidth="1"/>
    <col min="16137" max="16137" width="11.453125" style="1007" customWidth="1"/>
    <col min="16138" max="16138" width="18" style="1007" customWidth="1"/>
    <col min="16139" max="16139" width="18.453125" style="1007" customWidth="1"/>
    <col min="16140" max="16140" width="17.81640625" style="1007" customWidth="1"/>
    <col min="16141" max="16141" width="15.453125" style="1007" customWidth="1"/>
    <col min="16142" max="16151" width="13.81640625" style="1007" customWidth="1"/>
    <col min="16152" max="16384" width="14.7265625" style="1007"/>
  </cols>
  <sheetData>
    <row r="1" spans="1:15" ht="26.25" customHeight="1">
      <c r="B1" s="1580" t="s">
        <v>5525</v>
      </c>
      <c r="E1" s="1008"/>
      <c r="L1" s="1010" t="s">
        <v>124</v>
      </c>
      <c r="M1" s="1034" t="s">
        <v>874</v>
      </c>
    </row>
    <row r="2" spans="1:15" ht="27.75" customHeight="1">
      <c r="B2" s="1043" t="s">
        <v>4129</v>
      </c>
      <c r="F2" s="1008"/>
      <c r="G2" s="1008"/>
      <c r="H2" s="1008"/>
      <c r="I2" s="1008"/>
    </row>
    <row r="3" spans="1:15" ht="24.75" customHeight="1">
      <c r="E3" s="1008"/>
      <c r="F3" s="1008"/>
      <c r="G3" s="1008"/>
      <c r="H3" s="1008"/>
      <c r="I3" s="1008"/>
    </row>
    <row r="4" spans="1:15" s="1065" customFormat="1" ht="22.5" customHeight="1">
      <c r="A4" s="3503" t="s">
        <v>551</v>
      </c>
      <c r="B4" s="3498"/>
      <c r="C4" s="3503" t="s">
        <v>8508</v>
      </c>
      <c r="D4" s="3505" t="s">
        <v>8509</v>
      </c>
      <c r="E4" s="3506"/>
      <c r="F4" s="3506"/>
      <c r="G4" s="3506"/>
      <c r="H4" s="3506"/>
      <c r="I4" s="3506"/>
      <c r="J4" s="3506"/>
      <c r="K4" s="3506"/>
      <c r="L4" s="3507"/>
      <c r="M4" s="3508" t="s">
        <v>8510</v>
      </c>
    </row>
    <row r="5" spans="1:15" s="1079" customFormat="1" ht="62.25" customHeight="1">
      <c r="A5" s="3504"/>
      <c r="B5" s="3499"/>
      <c r="C5" s="3504"/>
      <c r="D5" s="1076" t="s">
        <v>4130</v>
      </c>
      <c r="E5" s="1076" t="s">
        <v>3858</v>
      </c>
      <c r="F5" s="1076" t="s">
        <v>4131</v>
      </c>
      <c r="G5" s="1076" t="s">
        <v>4132</v>
      </c>
      <c r="H5" s="1076" t="s">
        <v>4133</v>
      </c>
      <c r="I5" s="1076" t="s">
        <v>4134</v>
      </c>
      <c r="J5" s="1077" t="s">
        <v>4135</v>
      </c>
      <c r="K5" s="1077" t="s">
        <v>4136</v>
      </c>
      <c r="L5" s="1764" t="s">
        <v>4137</v>
      </c>
      <c r="M5" s="3509"/>
      <c r="N5" s="1078"/>
    </row>
    <row r="6" spans="1:15" s="1082" customFormat="1" ht="30.75" customHeight="1">
      <c r="A6" s="451"/>
      <c r="B6" s="1623" t="s">
        <v>4138</v>
      </c>
      <c r="C6" s="1624">
        <f>'T-6 (21-22)'!I71</f>
        <v>3941.5407756566683</v>
      </c>
      <c r="D6" s="1624">
        <v>380.08791600000001</v>
      </c>
      <c r="E6" s="1624">
        <v>397.27166999999997</v>
      </c>
      <c r="F6" s="1624">
        <v>381.21159299999999</v>
      </c>
      <c r="G6" s="1624">
        <v>367.05879299999998</v>
      </c>
      <c r="H6" s="1624">
        <v>365.32143100000002</v>
      </c>
      <c r="I6" s="1624">
        <v>357.53191299999997</v>
      </c>
      <c r="J6" s="1625">
        <f>SUM(D6:I6)</f>
        <v>2248.4833159999998</v>
      </c>
      <c r="K6" s="1625">
        <f>J6/6</f>
        <v>374.74721933333331</v>
      </c>
      <c r="L6" s="3119">
        <f>'T-1'!K62</f>
        <v>4495.3606545443999</v>
      </c>
      <c r="M6" s="3119">
        <f>'T-1'!O62</f>
        <v>4781.2681206644938</v>
      </c>
      <c r="N6" s="1080"/>
      <c r="O6" s="1081"/>
    </row>
    <row r="7" spans="1:15" s="1082" customFormat="1" ht="22" customHeight="1">
      <c r="A7" s="451"/>
      <c r="B7" s="1626"/>
      <c r="C7" s="1627"/>
      <c r="D7" s="1628"/>
      <c r="E7" s="1628"/>
      <c r="F7" s="1628"/>
      <c r="G7" s="1628"/>
      <c r="H7" s="1628"/>
      <c r="I7" s="1628"/>
      <c r="J7" s="1629"/>
      <c r="K7" s="1628"/>
      <c r="L7" s="3120"/>
      <c r="M7" s="3120"/>
      <c r="N7" s="1080"/>
      <c r="O7" s="1081"/>
    </row>
    <row r="8" spans="1:15" s="1082" customFormat="1" ht="22" customHeight="1">
      <c r="A8" s="451"/>
      <c r="B8" s="1629" t="s">
        <v>4139</v>
      </c>
      <c r="C8" s="1630">
        <f>'T-6 (21-22)'!I70</f>
        <v>3021.54255641694</v>
      </c>
      <c r="D8" s="1625">
        <f>D60</f>
        <v>275.47208575239006</v>
      </c>
      <c r="E8" s="1625">
        <f t="shared" ref="E8:I8" si="0">E60</f>
        <v>295.02927347730002</v>
      </c>
      <c r="F8" s="1625">
        <f t="shared" si="0"/>
        <v>315.07943746449996</v>
      </c>
      <c r="G8" s="1625">
        <f t="shared" si="0"/>
        <v>277.7222587174</v>
      </c>
      <c r="H8" s="1625">
        <f t="shared" si="0"/>
        <v>284.30051330458002</v>
      </c>
      <c r="I8" s="1625">
        <f t="shared" si="0"/>
        <v>271.4277679352</v>
      </c>
      <c r="J8" s="1625">
        <f>SUM(D8:I8)</f>
        <v>1719.0313366513697</v>
      </c>
      <c r="K8" s="1625">
        <f>J8/6</f>
        <v>286.50522277522828</v>
      </c>
      <c r="L8" s="3119">
        <f>L60</f>
        <v>3371.6534733082995</v>
      </c>
      <c r="M8" s="3119">
        <f>M60</f>
        <v>3586.5410904983701</v>
      </c>
      <c r="N8" s="1080"/>
      <c r="O8" s="1081"/>
    </row>
    <row r="9" spans="1:15" s="1082" customFormat="1" ht="22" customHeight="1">
      <c r="A9" s="1024">
        <v>1</v>
      </c>
      <c r="B9" s="1014" t="s">
        <v>462</v>
      </c>
      <c r="C9" s="1631"/>
      <c r="D9" s="1628"/>
      <c r="E9" s="1628"/>
      <c r="F9" s="1628"/>
      <c r="G9" s="1628"/>
      <c r="H9" s="1628"/>
      <c r="I9" s="1628"/>
      <c r="J9" s="1629"/>
      <c r="K9" s="1632"/>
      <c r="L9" s="3120"/>
      <c r="M9" s="3121"/>
      <c r="N9" s="1080"/>
      <c r="O9" s="1084"/>
    </row>
    <row r="10" spans="1:15" s="1082" customFormat="1" ht="22" customHeight="1">
      <c r="A10" s="1024"/>
      <c r="B10" s="1022" t="s">
        <v>1323</v>
      </c>
      <c r="C10" s="1633">
        <f>'T-6 (21-22)'!I8</f>
        <v>36.859901999999991</v>
      </c>
      <c r="D10" s="1634">
        <v>0.81293100000000018</v>
      </c>
      <c r="E10" s="1634">
        <v>1.0351140000000001</v>
      </c>
      <c r="F10" s="1634">
        <v>1.2756189999999998</v>
      </c>
      <c r="G10" s="1634">
        <v>0.88081299999999996</v>
      </c>
      <c r="H10" s="1634">
        <v>1.1285139999999998</v>
      </c>
      <c r="I10" s="1634">
        <v>1.041493</v>
      </c>
      <c r="J10" s="1625">
        <f>SUM(D10:I10)</f>
        <v>6.1744840000000005</v>
      </c>
      <c r="K10" s="1625">
        <f>J10/6</f>
        <v>1.0290806666666668</v>
      </c>
      <c r="L10" s="3122">
        <f>'T-1'!K9</f>
        <v>20</v>
      </c>
      <c r="M10" s="3123">
        <f>'T-1'!O9</f>
        <v>20</v>
      </c>
      <c r="N10" s="1080"/>
      <c r="O10" s="1084"/>
    </row>
    <row r="11" spans="1:15" s="1082" customFormat="1" ht="22" customHeight="1">
      <c r="A11" s="1024"/>
      <c r="B11" s="1022" t="s">
        <v>116</v>
      </c>
      <c r="C11" s="1633">
        <f>'T-6 (21-22)'!I9</f>
        <v>1555.8504916444199</v>
      </c>
      <c r="D11" s="1634">
        <v>130.7683965642</v>
      </c>
      <c r="E11" s="1634">
        <v>139.3199368917</v>
      </c>
      <c r="F11" s="1634">
        <v>162.92655479229998</v>
      </c>
      <c r="G11" s="1634">
        <v>133.19301816299998</v>
      </c>
      <c r="H11" s="1634">
        <v>143.41188099590002</v>
      </c>
      <c r="I11" s="1634">
        <v>132.85897267759998</v>
      </c>
      <c r="J11" s="1625">
        <f>SUM(D11:I11)</f>
        <v>842.47876008469984</v>
      </c>
      <c r="K11" s="1625">
        <f>J11/6</f>
        <v>140.41312668078331</v>
      </c>
      <c r="L11" s="3122">
        <f>'T-1'!K10</f>
        <v>1750.26</v>
      </c>
      <c r="M11" s="3123">
        <f>'T-1'!O10</f>
        <v>1885.8364812775001</v>
      </c>
      <c r="N11" s="1080"/>
      <c r="O11" s="1084">
        <v>8.4352402143999825</v>
      </c>
    </row>
    <row r="12" spans="1:15" s="1082" customFormat="1" ht="22" customHeight="1">
      <c r="A12" s="1024"/>
      <c r="B12" s="1022" t="s">
        <v>4080</v>
      </c>
      <c r="C12" s="1633">
        <f>'T-6 (21-22)'!I10</f>
        <v>0</v>
      </c>
      <c r="D12" s="1628"/>
      <c r="E12" s="1634"/>
      <c r="F12" s="1634"/>
      <c r="G12" s="1634"/>
      <c r="H12" s="1634"/>
      <c r="I12" s="1634"/>
      <c r="J12" s="1634"/>
      <c r="K12" s="1634"/>
      <c r="L12" s="3122"/>
      <c r="M12" s="3122"/>
      <c r="N12" s="1080"/>
      <c r="O12" s="1084"/>
    </row>
    <row r="13" spans="1:15" s="1082" customFormat="1" ht="22" customHeight="1">
      <c r="A13" s="1024"/>
      <c r="B13" s="1022" t="s">
        <v>4081</v>
      </c>
      <c r="C13" s="1633">
        <f>'T-6 (21-22)'!I11</f>
        <v>0</v>
      </c>
      <c r="D13" s="1628"/>
      <c r="E13" s="1634"/>
      <c r="F13" s="1634"/>
      <c r="G13" s="1634"/>
      <c r="H13" s="1634"/>
      <c r="I13" s="1634"/>
      <c r="J13" s="1634"/>
      <c r="K13" s="1634"/>
      <c r="L13" s="3122"/>
      <c r="M13" s="3122"/>
      <c r="N13" s="1080"/>
      <c r="O13" s="1084"/>
    </row>
    <row r="14" spans="1:15" s="1082" customFormat="1" ht="22" customHeight="1">
      <c r="A14" s="1024"/>
      <c r="B14" s="1022" t="s">
        <v>4082</v>
      </c>
      <c r="C14" s="1633">
        <f>'T-6 (21-22)'!I12</f>
        <v>0</v>
      </c>
      <c r="D14" s="1628"/>
      <c r="E14" s="1634"/>
      <c r="F14" s="1634"/>
      <c r="G14" s="1634"/>
      <c r="H14" s="1634"/>
      <c r="I14" s="1634"/>
      <c r="J14" s="1634"/>
      <c r="K14" s="1634"/>
      <c r="L14" s="3122"/>
      <c r="M14" s="3122"/>
      <c r="N14" s="1080"/>
      <c r="O14" s="1084"/>
    </row>
    <row r="15" spans="1:15" s="1082" customFormat="1" ht="22" customHeight="1">
      <c r="A15" s="1024"/>
      <c r="B15" s="1022" t="s">
        <v>4083</v>
      </c>
      <c r="C15" s="1633">
        <f>'T-6 (21-22)'!I13</f>
        <v>0</v>
      </c>
      <c r="D15" s="1628"/>
      <c r="E15" s="1634"/>
      <c r="F15" s="1634"/>
      <c r="G15" s="1634"/>
      <c r="H15" s="1634"/>
      <c r="I15" s="1634"/>
      <c r="J15" s="1634"/>
      <c r="K15" s="1634"/>
      <c r="L15" s="3122"/>
      <c r="M15" s="3122"/>
      <c r="N15" s="1080"/>
      <c r="O15" s="1084"/>
    </row>
    <row r="16" spans="1:15" s="1082" customFormat="1" ht="22" customHeight="1">
      <c r="A16" s="1024"/>
      <c r="B16" s="1022" t="s">
        <v>4140</v>
      </c>
      <c r="C16" s="1633">
        <f>'T-6 (21-22)'!I14</f>
        <v>0</v>
      </c>
      <c r="D16" s="1634"/>
      <c r="E16" s="1634"/>
      <c r="F16" s="1634"/>
      <c r="G16" s="1634"/>
      <c r="H16" s="1634"/>
      <c r="I16" s="1634"/>
      <c r="J16" s="1625">
        <f>SUM(D16:I16)</f>
        <v>0</v>
      </c>
      <c r="K16" s="1625">
        <f>J16/6</f>
        <v>0</v>
      </c>
      <c r="L16" s="3122"/>
      <c r="M16" s="3122">
        <f>L16*1.04</f>
        <v>0</v>
      </c>
      <c r="N16" s="1080"/>
      <c r="O16" s="1084"/>
    </row>
    <row r="17" spans="1:15" s="1082" customFormat="1" ht="22" customHeight="1">
      <c r="A17" s="1024">
        <v>2</v>
      </c>
      <c r="B17" s="1014" t="s">
        <v>4084</v>
      </c>
      <c r="C17" s="1633">
        <f>'T-6 (21-22)'!I21</f>
        <v>280.40925049928995</v>
      </c>
      <c r="D17" s="1634">
        <v>28.547145889100001</v>
      </c>
      <c r="E17" s="1634">
        <v>28.776300907499991</v>
      </c>
      <c r="F17" s="1634">
        <v>30.349084491600006</v>
      </c>
      <c r="G17" s="1634">
        <v>27.106393138599994</v>
      </c>
      <c r="H17" s="1634">
        <v>24.377301657199997</v>
      </c>
      <c r="I17" s="1634">
        <v>24.134420509050003</v>
      </c>
      <c r="J17" s="1625">
        <f>SUM(D17:I17)</f>
        <v>163.29064659304998</v>
      </c>
      <c r="K17" s="1625">
        <f>J17/6</f>
        <v>27.215107765508332</v>
      </c>
      <c r="L17" s="3122">
        <f>'T-1'!K16</f>
        <v>289.58129318610003</v>
      </c>
      <c r="M17" s="3123">
        <f>'T-1'!O16</f>
        <v>305</v>
      </c>
      <c r="N17" s="1080"/>
      <c r="O17" s="1084"/>
    </row>
    <row r="18" spans="1:15" s="1082" customFormat="1" ht="22" customHeight="1">
      <c r="A18" s="1024"/>
      <c r="B18" s="1022" t="s">
        <v>1329</v>
      </c>
      <c r="C18" s="1633">
        <f>'T-6 (21-22)'!I16</f>
        <v>0</v>
      </c>
      <c r="D18" s="1634"/>
      <c r="E18" s="1634"/>
      <c r="F18" s="1634"/>
      <c r="G18" s="1634"/>
      <c r="H18" s="1634"/>
      <c r="I18" s="1634"/>
      <c r="J18" s="1634"/>
      <c r="K18" s="1634"/>
      <c r="L18" s="3122"/>
      <c r="M18" s="3122"/>
      <c r="N18" s="1080"/>
      <c r="O18" s="1084"/>
    </row>
    <row r="19" spans="1:15" s="1082" customFormat="1" ht="22" customHeight="1">
      <c r="A19" s="1024"/>
      <c r="B19" s="1022" t="s">
        <v>1330</v>
      </c>
      <c r="C19" s="1633">
        <f>'T-6 (21-22)'!I17</f>
        <v>0</v>
      </c>
      <c r="D19" s="1634"/>
      <c r="E19" s="1634"/>
      <c r="F19" s="1634"/>
      <c r="G19" s="1634"/>
      <c r="H19" s="1634"/>
      <c r="I19" s="1634"/>
      <c r="J19" s="1634"/>
      <c r="K19" s="1634"/>
      <c r="L19" s="3122"/>
      <c r="M19" s="3122"/>
      <c r="N19" s="1080"/>
      <c r="O19" s="1084"/>
    </row>
    <row r="20" spans="1:15" s="1082" customFormat="1" ht="22" customHeight="1">
      <c r="A20" s="1024"/>
      <c r="B20" s="1022" t="s">
        <v>1331</v>
      </c>
      <c r="C20" s="1633">
        <f>'T-6 (21-22)'!I18</f>
        <v>0</v>
      </c>
      <c r="D20" s="1634"/>
      <c r="E20" s="1634"/>
      <c r="F20" s="1634"/>
      <c r="G20" s="1634"/>
      <c r="H20" s="1634"/>
      <c r="I20" s="1634"/>
      <c r="J20" s="1634"/>
      <c r="K20" s="1634"/>
      <c r="L20" s="3122"/>
      <c r="M20" s="3122"/>
      <c r="N20" s="1080"/>
      <c r="O20" s="1084"/>
    </row>
    <row r="21" spans="1:15" s="1082" customFormat="1" ht="22" customHeight="1">
      <c r="A21" s="1024">
        <v>3</v>
      </c>
      <c r="B21" s="1014" t="s">
        <v>4085</v>
      </c>
      <c r="C21" s="1633">
        <f>'T-6 (21-22)'!I22</f>
        <v>106.99796581154999</v>
      </c>
      <c r="D21" s="1634">
        <v>13.815442055590001</v>
      </c>
      <c r="E21" s="1634">
        <v>13.607020180700006</v>
      </c>
      <c r="F21" s="1634">
        <v>8.2098312599000032</v>
      </c>
      <c r="G21" s="1634">
        <v>5.9950939813999939</v>
      </c>
      <c r="H21" s="1634">
        <v>4.3416147945799901</v>
      </c>
      <c r="I21" s="1634">
        <v>7.1279422786500009</v>
      </c>
      <c r="J21" s="1625">
        <f t="shared" ref="J21:J31" si="1">SUM(D21:I21)</f>
        <v>53.096944550820005</v>
      </c>
      <c r="K21" s="1625">
        <f>J21/6</f>
        <v>8.8494907584700009</v>
      </c>
      <c r="L21" s="3122">
        <f>'T-1'!K21</f>
        <v>115.2</v>
      </c>
      <c r="M21" s="3123">
        <f>'T-1'!O21</f>
        <v>121.50265799877999</v>
      </c>
      <c r="N21" s="1080"/>
      <c r="O21" s="1084"/>
    </row>
    <row r="22" spans="1:15" s="1082" customFormat="1" ht="22" customHeight="1">
      <c r="A22" s="1024">
        <f>A21+1</f>
        <v>4</v>
      </c>
      <c r="B22" s="1014" t="s">
        <v>4086</v>
      </c>
      <c r="C22" s="1633">
        <f>'T-6 (21-22)'!I23</f>
        <v>5.1907730133999994</v>
      </c>
      <c r="D22" s="1634">
        <v>1.7225922774999998</v>
      </c>
      <c r="E22" s="1634">
        <v>1.1558332321000002</v>
      </c>
      <c r="F22" s="1634">
        <v>1.7689735546999998</v>
      </c>
      <c r="G22" s="1634">
        <v>1.4034493287000003</v>
      </c>
      <c r="H22" s="1634">
        <v>1.3438000212999999</v>
      </c>
      <c r="I22" s="1634">
        <v>1.3237702448000002</v>
      </c>
      <c r="J22" s="1625">
        <f t="shared" si="1"/>
        <v>8.718418659100001</v>
      </c>
      <c r="K22" s="1625">
        <f>J22/6</f>
        <v>1.4530697765166669</v>
      </c>
      <c r="L22" s="3122">
        <f>'T-1'!K22</f>
        <v>19.221</v>
      </c>
      <c r="M22" s="3123">
        <f>'T-1'!O22</f>
        <v>20.88849382415</v>
      </c>
      <c r="N22" s="1080"/>
      <c r="O22" s="1084"/>
    </row>
    <row r="23" spans="1:15" s="1082" customFormat="1" ht="22" customHeight="1">
      <c r="A23" s="1024">
        <f t="shared" ref="A23:A31" si="2">A22+1</f>
        <v>5</v>
      </c>
      <c r="B23" s="1014" t="s">
        <v>4087</v>
      </c>
      <c r="C23" s="1633">
        <f>'T-6 (21-22)'!I24</f>
        <v>0.65484174799999995</v>
      </c>
      <c r="D23" s="1634">
        <v>0.108097791</v>
      </c>
      <c r="E23" s="1634">
        <v>0.12656109399999999</v>
      </c>
      <c r="F23" s="1634">
        <v>0.13090927560000001</v>
      </c>
      <c r="G23" s="1634">
        <v>0.11642120950000001</v>
      </c>
      <c r="H23" s="1634">
        <v>0.102564155</v>
      </c>
      <c r="I23" s="1634">
        <v>8.3340841000000013E-2</v>
      </c>
      <c r="J23" s="1625">
        <f t="shared" si="1"/>
        <v>0.66789436610000008</v>
      </c>
      <c r="K23" s="1625">
        <f t="shared" ref="K23:K48" si="3">J23/6</f>
        <v>0.11131572768333335</v>
      </c>
      <c r="L23" s="3122">
        <f>'T-1'!K23</f>
        <v>1.5960000000000001</v>
      </c>
      <c r="M23" s="3123">
        <f>'T-1'!O23</f>
        <v>1.7956377379999999</v>
      </c>
      <c r="N23" s="1080"/>
      <c r="O23" s="1084"/>
    </row>
    <row r="24" spans="1:15" s="1082" customFormat="1" ht="22" customHeight="1">
      <c r="A24" s="1024">
        <f t="shared" si="2"/>
        <v>6</v>
      </c>
      <c r="B24" s="1014" t="s">
        <v>539</v>
      </c>
      <c r="C24" s="1633">
        <f>'T-6 (21-22)'!I25</f>
        <v>36.607145578099995</v>
      </c>
      <c r="D24" s="1634">
        <v>2.6323130617999988</v>
      </c>
      <c r="E24" s="1634">
        <v>2.9193916546999992</v>
      </c>
      <c r="F24" s="1634">
        <v>2.6890763495000014</v>
      </c>
      <c r="G24" s="1634">
        <v>2.5504136866000002</v>
      </c>
      <c r="H24" s="1634">
        <v>2.3548901769000001</v>
      </c>
      <c r="I24" s="1634">
        <v>3.3282139540000002</v>
      </c>
      <c r="J24" s="1625">
        <f t="shared" si="1"/>
        <v>16.474298883500001</v>
      </c>
      <c r="K24" s="1625">
        <f t="shared" si="3"/>
        <v>2.7457164805833334</v>
      </c>
      <c r="L24" s="3122">
        <f>'T-1'!K24</f>
        <v>33.948999999999998</v>
      </c>
      <c r="M24" s="3123">
        <f>'T-1'!O24</f>
        <v>34.678076047899999</v>
      </c>
      <c r="N24" s="1080"/>
      <c r="O24" s="1084"/>
    </row>
    <row r="25" spans="1:15" s="1082" customFormat="1" ht="22" customHeight="1">
      <c r="A25" s="1024">
        <f t="shared" si="2"/>
        <v>7</v>
      </c>
      <c r="B25" s="1014" t="s">
        <v>4088</v>
      </c>
      <c r="C25" s="1633">
        <f>'T-6 (21-22)'!I26</f>
        <v>12.8702998053</v>
      </c>
      <c r="D25" s="1634">
        <v>1.1032067524999998</v>
      </c>
      <c r="E25" s="1634">
        <v>0.9888071893</v>
      </c>
      <c r="F25" s="1634">
        <v>1.1392252172999999</v>
      </c>
      <c r="G25" s="1634">
        <v>0.97501227049999994</v>
      </c>
      <c r="H25" s="1634">
        <v>0.88767329240000015</v>
      </c>
      <c r="I25" s="1634">
        <v>0.80297997570000024</v>
      </c>
      <c r="J25" s="1625">
        <f t="shared" si="1"/>
        <v>5.896904697700001</v>
      </c>
      <c r="K25" s="1625">
        <f t="shared" si="3"/>
        <v>0.98281744961666684</v>
      </c>
      <c r="L25" s="3122">
        <f>'T-1'!K25</f>
        <v>13.7938093954</v>
      </c>
      <c r="M25" s="3123">
        <f>'T-1'!O25</f>
        <v>14.536469326299997</v>
      </c>
      <c r="N25" s="1080"/>
      <c r="O25" s="1084"/>
    </row>
    <row r="26" spans="1:15" s="1082" customFormat="1" ht="22" customHeight="1">
      <c r="A26" s="1024">
        <f t="shared" si="2"/>
        <v>8</v>
      </c>
      <c r="B26" s="1014" t="s">
        <v>4089</v>
      </c>
      <c r="C26" s="1633">
        <f>'T-6 (21-22)'!I27</f>
        <v>26.524870305599997</v>
      </c>
      <c r="D26" s="1634">
        <v>2.5365731711999997</v>
      </c>
      <c r="E26" s="1634">
        <v>2.5166754439000001</v>
      </c>
      <c r="F26" s="1634">
        <v>2.5896921470000001</v>
      </c>
      <c r="G26" s="1634">
        <v>2.2549858914000001</v>
      </c>
      <c r="H26" s="1634">
        <v>1.8758619478999998</v>
      </c>
      <c r="I26" s="1634">
        <v>1.3993968516999997</v>
      </c>
      <c r="J26" s="1625">
        <f t="shared" si="1"/>
        <v>13.1731854531</v>
      </c>
      <c r="K26" s="1625">
        <f t="shared" si="3"/>
        <v>2.1955309088499999</v>
      </c>
      <c r="L26" s="3122">
        <f>'T-1'!K26</f>
        <v>27.346370906200001</v>
      </c>
      <c r="M26" s="3123">
        <f>'T-1'!O26</f>
        <v>28.933550654099999</v>
      </c>
      <c r="N26" s="1080"/>
      <c r="O26" s="1084"/>
    </row>
    <row r="27" spans="1:15" s="1082" customFormat="1" ht="22" customHeight="1">
      <c r="A27" s="1024">
        <f t="shared" si="2"/>
        <v>9</v>
      </c>
      <c r="B27" s="1014" t="s">
        <v>4090</v>
      </c>
      <c r="C27" s="1633">
        <f>'T-6 (21-22)'!I28</f>
        <v>33.366072639560002</v>
      </c>
      <c r="D27" s="1634">
        <v>4.7204450625000014</v>
      </c>
      <c r="E27" s="1634">
        <v>6.0264662685999983</v>
      </c>
      <c r="F27" s="1634">
        <v>4.3515665198000004</v>
      </c>
      <c r="G27" s="1634">
        <v>4.3797795419000005</v>
      </c>
      <c r="H27" s="1634">
        <v>3.6742219276000001</v>
      </c>
      <c r="I27" s="1634">
        <v>4.0305077728000001</v>
      </c>
      <c r="J27" s="1625">
        <f t="shared" si="1"/>
        <v>27.182987093200001</v>
      </c>
      <c r="K27" s="1625">
        <f t="shared" si="3"/>
        <v>4.5304978488666672</v>
      </c>
      <c r="L27" s="3122">
        <f>'T-1'!K27</f>
        <v>45.365766586399999</v>
      </c>
      <c r="M27" s="3123">
        <f>'T-1'!O27</f>
        <v>48.002167556800003</v>
      </c>
      <c r="N27" s="1080"/>
      <c r="O27" s="1084"/>
    </row>
    <row r="28" spans="1:15" s="1082" customFormat="1" ht="22" customHeight="1">
      <c r="A28" s="1024">
        <f t="shared" si="2"/>
        <v>10</v>
      </c>
      <c r="B28" s="1014" t="s">
        <v>4091</v>
      </c>
      <c r="C28" s="1633">
        <f>'T-6 (21-22)'!I29</f>
        <v>61.304437916119994</v>
      </c>
      <c r="D28" s="1634">
        <v>4.6420658459999986</v>
      </c>
      <c r="E28" s="1634">
        <v>6.3627215458999995</v>
      </c>
      <c r="F28" s="1634">
        <v>5.3861733155999989</v>
      </c>
      <c r="G28" s="1634">
        <v>6.6314936234999999</v>
      </c>
      <c r="H28" s="1634">
        <v>4.7841923596000004</v>
      </c>
      <c r="I28" s="1634">
        <v>6.0482958652000001</v>
      </c>
      <c r="J28" s="1625">
        <f t="shared" si="1"/>
        <v>33.854942555799994</v>
      </c>
      <c r="K28" s="1625">
        <f t="shared" si="3"/>
        <v>5.6424904259666659</v>
      </c>
      <c r="L28" s="3122">
        <f>'T-1'!K28</f>
        <v>65.709885111600002</v>
      </c>
      <c r="M28" s="3123">
        <f>'T-1'!O28</f>
        <v>68.553638419539993</v>
      </c>
      <c r="N28" s="1080"/>
      <c r="O28" s="1084"/>
    </row>
    <row r="29" spans="1:15" s="1082" customFormat="1" ht="22" customHeight="1">
      <c r="A29" s="1024">
        <f t="shared" si="2"/>
        <v>11</v>
      </c>
      <c r="B29" s="1014" t="s">
        <v>4092</v>
      </c>
      <c r="C29" s="1633">
        <f>'T-6 (21-22)'!I30</f>
        <v>1.773537696</v>
      </c>
      <c r="D29" s="1634">
        <v>0.15549438099999999</v>
      </c>
      <c r="E29" s="1634">
        <v>0.16935175599999999</v>
      </c>
      <c r="F29" s="1634">
        <v>0.16144324100000002</v>
      </c>
      <c r="G29" s="1634">
        <v>0.15449821900000002</v>
      </c>
      <c r="H29" s="1634">
        <v>0.15493776099999998</v>
      </c>
      <c r="I29" s="1634">
        <v>0.147230375</v>
      </c>
      <c r="J29" s="1625">
        <f t="shared" si="1"/>
        <v>0.94295573300000002</v>
      </c>
      <c r="K29" s="1625">
        <f t="shared" si="3"/>
        <v>0.15715928883333333</v>
      </c>
      <c r="L29" s="3122">
        <f>'T-1'!K29</f>
        <v>2.1459999999999999</v>
      </c>
      <c r="M29" s="3123">
        <f>'T-1'!O29</f>
        <v>2.2476946512999998</v>
      </c>
      <c r="N29" s="1080"/>
      <c r="O29" s="1084"/>
    </row>
    <row r="30" spans="1:15" s="1082" customFormat="1" ht="22" customHeight="1">
      <c r="A30" s="1024">
        <f t="shared" si="2"/>
        <v>12</v>
      </c>
      <c r="B30" s="1014" t="s">
        <v>4093</v>
      </c>
      <c r="C30" s="1633">
        <f>'T-6 (21-22)'!I31</f>
        <v>0.41344932000000006</v>
      </c>
      <c r="D30" s="1634">
        <v>6.9500000000000006E-2</v>
      </c>
      <c r="E30" s="1634">
        <v>8.0600000000000005E-2</v>
      </c>
      <c r="F30" s="1634">
        <v>7.5999999999999998E-2</v>
      </c>
      <c r="G30" s="1634">
        <v>5.7000000000000002E-2</v>
      </c>
      <c r="H30" s="1634">
        <v>5.3999999999999999E-2</v>
      </c>
      <c r="I30" s="1634">
        <v>6.1899999999999997E-2</v>
      </c>
      <c r="J30" s="1625">
        <f t="shared" si="1"/>
        <v>0.39900000000000002</v>
      </c>
      <c r="K30" s="1625">
        <f t="shared" si="3"/>
        <v>6.6500000000000004E-2</v>
      </c>
      <c r="L30" s="3122">
        <f>'T-1'!K30</f>
        <v>0.79807432</v>
      </c>
      <c r="M30" s="3123">
        <f>'T-1'!O30</f>
        <v>0.8</v>
      </c>
      <c r="N30" s="1080"/>
      <c r="O30" s="1084"/>
    </row>
    <row r="31" spans="1:15" s="1082" customFormat="1" ht="22" customHeight="1">
      <c r="A31" s="1024">
        <f t="shared" si="2"/>
        <v>13</v>
      </c>
      <c r="B31" s="1014" t="s">
        <v>890</v>
      </c>
      <c r="C31" s="1633">
        <f>'T-6 (21-22)'!I32</f>
        <v>1.6165000000000002E-2</v>
      </c>
      <c r="D31" s="1634">
        <v>0.103764</v>
      </c>
      <c r="E31" s="1634">
        <v>3.5952499999999998E-2</v>
      </c>
      <c r="F31" s="1634">
        <v>3.5528000000000004E-2</v>
      </c>
      <c r="G31" s="1634">
        <v>3.5395000000000001E-3</v>
      </c>
      <c r="H31" s="1634">
        <v>3.8167000000000001E-3</v>
      </c>
      <c r="I31" s="1634">
        <v>2.1725E-3</v>
      </c>
      <c r="J31" s="1625">
        <f t="shared" si="1"/>
        <v>0.1847732</v>
      </c>
      <c r="K31" s="1625">
        <f t="shared" si="3"/>
        <v>3.0795533333333333E-2</v>
      </c>
      <c r="L31" s="3122">
        <f>'T-1'!K31</f>
        <v>0.129</v>
      </c>
      <c r="M31" s="3123">
        <f>'T-1'!O31</f>
        <v>0</v>
      </c>
      <c r="N31" s="1080"/>
      <c r="O31" s="1084"/>
    </row>
    <row r="32" spans="1:15" s="1082" customFormat="1" ht="22" customHeight="1">
      <c r="A32" s="1024"/>
      <c r="B32" s="1027" t="s">
        <v>4094</v>
      </c>
      <c r="C32" s="1630">
        <f t="shared" ref="C32:M32" si="4">SUM(C10:C31)</f>
        <v>2158.8392029773404</v>
      </c>
      <c r="D32" s="1630">
        <f t="shared" si="4"/>
        <v>191.73796785239006</v>
      </c>
      <c r="E32" s="1630">
        <f t="shared" si="4"/>
        <v>203.12073266440001</v>
      </c>
      <c r="F32" s="1630">
        <f t="shared" si="4"/>
        <v>221.08967716429999</v>
      </c>
      <c r="G32" s="1630">
        <f t="shared" si="4"/>
        <v>185.70191155409995</v>
      </c>
      <c r="H32" s="1630">
        <f t="shared" si="4"/>
        <v>188.49526978938005</v>
      </c>
      <c r="I32" s="1630">
        <f t="shared" si="4"/>
        <v>182.39063684550001</v>
      </c>
      <c r="J32" s="1630">
        <f t="shared" si="4"/>
        <v>1172.5361958700696</v>
      </c>
      <c r="K32" s="1630">
        <f t="shared" si="4"/>
        <v>195.42269931167826</v>
      </c>
      <c r="L32" s="3124">
        <f t="shared" si="4"/>
        <v>2385.0961995056996</v>
      </c>
      <c r="M32" s="3124">
        <f t="shared" si="4"/>
        <v>2552.77486749437</v>
      </c>
      <c r="N32" s="1080"/>
      <c r="O32" s="1084"/>
    </row>
    <row r="33" spans="1:15" s="1082" customFormat="1" ht="22" customHeight="1">
      <c r="A33" s="1021"/>
      <c r="B33" s="1761" t="s">
        <v>1333</v>
      </c>
      <c r="C33" s="1633"/>
      <c r="D33" s="1634"/>
      <c r="E33" s="1634"/>
      <c r="F33" s="1634"/>
      <c r="G33" s="1634"/>
      <c r="H33" s="1634"/>
      <c r="I33" s="1634"/>
      <c r="J33" s="1634"/>
      <c r="K33" s="1625"/>
      <c r="L33" s="3122"/>
      <c r="M33" s="3122"/>
      <c r="N33" s="1080"/>
      <c r="O33" s="1084"/>
    </row>
    <row r="34" spans="1:15" s="1082" customFormat="1" ht="22" customHeight="1">
      <c r="A34" s="1024">
        <v>13</v>
      </c>
      <c r="B34" s="1014" t="s">
        <v>1334</v>
      </c>
      <c r="C34" s="1633">
        <f>'T-6 (21-22)'!I35</f>
        <v>7.0087631409999993</v>
      </c>
      <c r="D34" s="1634">
        <v>0.55455700000000008</v>
      </c>
      <c r="E34" s="1634">
        <v>0.57458300000000007</v>
      </c>
      <c r="F34" s="1634">
        <v>0.55330500000000005</v>
      </c>
      <c r="G34" s="1634">
        <v>0.53830199999999995</v>
      </c>
      <c r="H34" s="1634">
        <v>0.55265300000000006</v>
      </c>
      <c r="I34" s="1634">
        <v>0.49822854000000005</v>
      </c>
      <c r="J34" s="1625">
        <f t="shared" ref="J34:J43" si="5">SUM(D34:I34)</f>
        <v>3.2716285399999996</v>
      </c>
      <c r="K34" s="1625">
        <f t="shared" si="3"/>
        <v>0.54527142333333323</v>
      </c>
      <c r="L34" s="3122">
        <f>'T-1'!K34</f>
        <v>6.5432570800000001</v>
      </c>
      <c r="M34" s="3122">
        <f>'T-1'!O34</f>
        <v>6.8</v>
      </c>
      <c r="N34" s="1080"/>
      <c r="O34" s="1084"/>
    </row>
    <row r="35" spans="1:15" s="1082" customFormat="1" ht="22" customHeight="1">
      <c r="A35" s="1024">
        <f>A34+1</f>
        <v>14</v>
      </c>
      <c r="B35" s="1014" t="s">
        <v>4085</v>
      </c>
      <c r="C35" s="1633">
        <f>'T-6 (21-22)'!I36</f>
        <v>1.9886474819999993</v>
      </c>
      <c r="D35" s="1634">
        <v>8.7867999999999988E-2</v>
      </c>
      <c r="E35" s="1634">
        <v>6.4990999999999993E-2</v>
      </c>
      <c r="F35" s="1634">
        <v>0.11146199999999999</v>
      </c>
      <c r="G35" s="1634">
        <v>0.55520599999999998</v>
      </c>
      <c r="H35" s="1634">
        <v>0.88904299999999992</v>
      </c>
      <c r="I35" s="1634">
        <v>1.3279130000000001</v>
      </c>
      <c r="J35" s="1625">
        <f t="shared" si="5"/>
        <v>3.036483</v>
      </c>
      <c r="K35" s="1625">
        <f t="shared" si="3"/>
        <v>0.50608050000000004</v>
      </c>
      <c r="L35" s="3122">
        <f>'T-1'!K35</f>
        <v>4.0729660000000001</v>
      </c>
      <c r="M35" s="3122">
        <f>'T-1'!O35</f>
        <v>4.29</v>
      </c>
      <c r="N35" s="1080"/>
      <c r="O35" s="1084"/>
    </row>
    <row r="36" spans="1:15" s="1082" customFormat="1" ht="22" customHeight="1">
      <c r="A36" s="1024">
        <f t="shared" ref="A36:A48" si="6">A35+1</f>
        <v>15</v>
      </c>
      <c r="B36" s="1014" t="s">
        <v>4086</v>
      </c>
      <c r="C36" s="1633">
        <f>'T-6 (21-22)'!I37</f>
        <v>24.180700729000002</v>
      </c>
      <c r="D36" s="1634">
        <v>1.2543809999999997</v>
      </c>
      <c r="E36" s="1634">
        <v>1.4103020000000002</v>
      </c>
      <c r="F36" s="1634">
        <v>1.3725640000000001</v>
      </c>
      <c r="G36" s="1634">
        <v>1.3255640000000004</v>
      </c>
      <c r="H36" s="1634">
        <v>1.2556516000000004</v>
      </c>
      <c r="I36" s="1634">
        <v>1.2739669500000002</v>
      </c>
      <c r="J36" s="1625">
        <f t="shared" si="5"/>
        <v>7.892429550000001</v>
      </c>
      <c r="K36" s="1625">
        <f t="shared" si="3"/>
        <v>1.3154049250000002</v>
      </c>
      <c r="L36" s="3122">
        <f>'T-1'!K36</f>
        <v>15.784859099999998</v>
      </c>
      <c r="M36" s="3122">
        <f>'T-1'!O36</f>
        <v>16.748321029999996</v>
      </c>
      <c r="N36" s="1080"/>
      <c r="O36" s="1084"/>
    </row>
    <row r="37" spans="1:15" s="1082" customFormat="1" ht="22" customHeight="1">
      <c r="A37" s="1024">
        <f t="shared" si="6"/>
        <v>16</v>
      </c>
      <c r="B37" s="1014" t="s">
        <v>4087</v>
      </c>
      <c r="C37" s="1633">
        <f>'T-6 (21-22)'!I38</f>
        <v>2.0018564299999997</v>
      </c>
      <c r="D37" s="1634">
        <v>0.17766500000000002</v>
      </c>
      <c r="E37" s="1634">
        <v>0.145346</v>
      </c>
      <c r="F37" s="1634">
        <v>0.12978000000000001</v>
      </c>
      <c r="G37" s="1634">
        <v>0.124823</v>
      </c>
      <c r="H37" s="1634">
        <v>0.113112</v>
      </c>
      <c r="I37" s="1634">
        <v>0.13124633999999999</v>
      </c>
      <c r="J37" s="1625">
        <f t="shared" si="5"/>
        <v>0.82197234000000008</v>
      </c>
      <c r="K37" s="1625">
        <f t="shared" si="3"/>
        <v>0.13699539000000002</v>
      </c>
      <c r="L37" s="3122">
        <f>'T-1'!K37</f>
        <v>1.6439446799999999</v>
      </c>
      <c r="M37" s="3122">
        <f>'T-1'!O37</f>
        <v>1.75</v>
      </c>
      <c r="N37" s="1080"/>
      <c r="O37" s="1084"/>
    </row>
    <row r="38" spans="1:15" s="1082" customFormat="1" ht="22" customHeight="1">
      <c r="A38" s="1024">
        <f t="shared" si="6"/>
        <v>17</v>
      </c>
      <c r="B38" s="1014" t="s">
        <v>4090</v>
      </c>
      <c r="C38" s="1633">
        <f>'T-6 (21-22)'!I39</f>
        <v>20.441265025000003</v>
      </c>
      <c r="D38" s="1634">
        <v>2.3308901999999998</v>
      </c>
      <c r="E38" s="1634">
        <v>2.2903831000000001</v>
      </c>
      <c r="F38" s="1634">
        <v>2.1819746200000005</v>
      </c>
      <c r="G38" s="1634">
        <v>2.2626675000000001</v>
      </c>
      <c r="H38" s="1634">
        <v>2.2093059999999998</v>
      </c>
      <c r="I38" s="1634">
        <v>2.2996628399999999</v>
      </c>
      <c r="J38" s="1625">
        <f t="shared" si="5"/>
        <v>13.574884259999999</v>
      </c>
      <c r="K38" s="1625">
        <f t="shared" si="3"/>
        <v>2.2624807099999997</v>
      </c>
      <c r="L38" s="3122">
        <f>'T-1'!K38</f>
        <v>23.149768519999999</v>
      </c>
      <c r="M38" s="3122">
        <f>'T-1'!O38</f>
        <v>24.425999999999998</v>
      </c>
      <c r="N38" s="1080"/>
      <c r="O38" s="1084"/>
    </row>
    <row r="39" spans="1:15" s="1082" customFormat="1" ht="22" customHeight="1">
      <c r="A39" s="1024">
        <f t="shared" si="6"/>
        <v>18</v>
      </c>
      <c r="B39" s="1014" t="s">
        <v>4095</v>
      </c>
      <c r="C39" s="1633">
        <f>'T-6 (21-22)'!I40</f>
        <v>9.488680703</v>
      </c>
      <c r="D39" s="1634">
        <v>0.89251892999999993</v>
      </c>
      <c r="E39" s="1634">
        <v>1.2834139340000001</v>
      </c>
      <c r="F39" s="1634">
        <v>1.3619555559999998</v>
      </c>
      <c r="G39" s="1634">
        <v>1.2513843500000001</v>
      </c>
      <c r="H39" s="1634">
        <v>1.1204888850000003</v>
      </c>
      <c r="I39" s="1634">
        <v>1.069256676</v>
      </c>
      <c r="J39" s="1625">
        <f t="shared" si="5"/>
        <v>6.9790183310000007</v>
      </c>
      <c r="K39" s="1625">
        <f t="shared" si="3"/>
        <v>1.1631697218333334</v>
      </c>
      <c r="L39" s="3122">
        <f>'T-1'!K39</f>
        <v>11.958036662</v>
      </c>
      <c r="M39" s="3122">
        <f>'T-1'!O39</f>
        <v>12.509414705999999</v>
      </c>
      <c r="N39" s="1080"/>
      <c r="O39" s="1084"/>
    </row>
    <row r="40" spans="1:15" s="1082" customFormat="1" ht="22" customHeight="1">
      <c r="A40" s="1024">
        <f t="shared" si="6"/>
        <v>19</v>
      </c>
      <c r="B40" s="1014" t="s">
        <v>4093</v>
      </c>
      <c r="C40" s="1633">
        <f>'T-6 (21-22)'!I41</f>
        <v>40.414855878599994</v>
      </c>
      <c r="D40" s="1634">
        <v>3.4949240000000006</v>
      </c>
      <c r="E40" s="1634">
        <v>3.9456172970000005</v>
      </c>
      <c r="F40" s="1634">
        <v>3.7515509999999992</v>
      </c>
      <c r="G40" s="1634">
        <v>3.6618540000000004</v>
      </c>
      <c r="H40" s="1634">
        <v>3.5287316000000004</v>
      </c>
      <c r="I40" s="1634">
        <v>3.6589511600000009</v>
      </c>
      <c r="J40" s="1625">
        <f t="shared" si="5"/>
        <v>22.041629057000002</v>
      </c>
      <c r="K40" s="1625">
        <f t="shared" si="3"/>
        <v>3.6736048428333334</v>
      </c>
      <c r="L40" s="3122">
        <f>'T-1'!K40</f>
        <v>43.0273177762</v>
      </c>
      <c r="M40" s="3122">
        <f>'T-1'!O40</f>
        <v>45.667000000000002</v>
      </c>
      <c r="N40" s="1080"/>
      <c r="O40" s="1084"/>
    </row>
    <row r="41" spans="1:15" s="1082" customFormat="1" ht="22" customHeight="1">
      <c r="A41" s="1024">
        <f t="shared" si="6"/>
        <v>20</v>
      </c>
      <c r="B41" s="1014" t="s">
        <v>4096</v>
      </c>
      <c r="C41" s="1633">
        <f>'T-6 (21-22)'!I42</f>
        <v>32.932545650000002</v>
      </c>
      <c r="D41" s="1634">
        <v>4.2809082699999994</v>
      </c>
      <c r="E41" s="1634">
        <v>4.0937470267</v>
      </c>
      <c r="F41" s="1634">
        <v>4.6194345241999999</v>
      </c>
      <c r="G41" s="1634">
        <v>3.4322528132999999</v>
      </c>
      <c r="H41" s="1634">
        <v>2.7152638701999998</v>
      </c>
      <c r="I41" s="1634">
        <v>2.3720523836999998</v>
      </c>
      <c r="J41" s="1625">
        <f t="shared" si="5"/>
        <v>21.513658888099997</v>
      </c>
      <c r="K41" s="1625">
        <f t="shared" si="3"/>
        <v>3.5856098146833326</v>
      </c>
      <c r="L41" s="3122">
        <f>'T-1'!K41</f>
        <v>44.083258114000003</v>
      </c>
      <c r="M41" s="3122">
        <f>'T-1'!O41</f>
        <v>45.836118998000003</v>
      </c>
      <c r="N41" s="1080"/>
      <c r="O41" s="1084"/>
    </row>
    <row r="42" spans="1:15" s="1082" customFormat="1" ht="22" customHeight="1">
      <c r="A42" s="1024">
        <f t="shared" si="6"/>
        <v>21</v>
      </c>
      <c r="B42" s="1014" t="s">
        <v>1332</v>
      </c>
      <c r="C42" s="1633">
        <f>'T-6 (21-22)'!I43</f>
        <v>27.125846551000002</v>
      </c>
      <c r="D42" s="1634">
        <v>2.1199619999999997</v>
      </c>
      <c r="E42" s="1634">
        <v>2.2127709999999996</v>
      </c>
      <c r="F42" s="1634">
        <v>2.2038949999999997</v>
      </c>
      <c r="G42" s="1634">
        <v>2.2803879999999999</v>
      </c>
      <c r="H42" s="1634">
        <v>2.2508159999999999</v>
      </c>
      <c r="I42" s="1634">
        <v>2.2441102799999997</v>
      </c>
      <c r="J42" s="1625">
        <f t="shared" si="5"/>
        <v>13.311942279999998</v>
      </c>
      <c r="K42" s="1625">
        <f t="shared" si="3"/>
        <v>2.2186570466666664</v>
      </c>
      <c r="L42" s="3122">
        <f>'T-1'!K42</f>
        <v>26.623884559999997</v>
      </c>
      <c r="M42" s="3122">
        <f>'T-1'!O42</f>
        <v>27.767368269999992</v>
      </c>
      <c r="N42" s="1080"/>
      <c r="O42" s="1084"/>
    </row>
    <row r="43" spans="1:15" s="1082" customFormat="1" ht="22" customHeight="1">
      <c r="A43" s="1024">
        <f t="shared" si="6"/>
        <v>22</v>
      </c>
      <c r="B43" s="1014" t="s">
        <v>890</v>
      </c>
      <c r="C43" s="1633">
        <f>'T-6 (21-22)'!I44</f>
        <v>159.74244885000002</v>
      </c>
      <c r="D43" s="1634">
        <v>16.896463500000003</v>
      </c>
      <c r="E43" s="1634">
        <v>18.783096800000003</v>
      </c>
      <c r="F43" s="1634">
        <v>18.502687600000002</v>
      </c>
      <c r="G43" s="1634">
        <v>19.584431500000001</v>
      </c>
      <c r="H43" s="1634">
        <v>20.644536559999999</v>
      </c>
      <c r="I43" s="1634">
        <v>18.443831920000001</v>
      </c>
      <c r="J43" s="1625">
        <f t="shared" si="5"/>
        <v>112.85504788000003</v>
      </c>
      <c r="K43" s="1625">
        <f t="shared" si="3"/>
        <v>18.809174646666673</v>
      </c>
      <c r="L43" s="3122">
        <f>'T-1'!K43</f>
        <v>190</v>
      </c>
      <c r="M43" s="3122">
        <f>'T-1'!O43</f>
        <v>205</v>
      </c>
      <c r="N43" s="1080"/>
      <c r="O43" s="1084"/>
    </row>
    <row r="44" spans="1:15" s="1082" customFormat="1" ht="22" customHeight="1">
      <c r="A44" s="1024">
        <f t="shared" si="6"/>
        <v>23</v>
      </c>
      <c r="B44" s="1014" t="s">
        <v>893</v>
      </c>
      <c r="C44" s="1633">
        <f>'T-6 (21-22)'!I46</f>
        <v>0</v>
      </c>
      <c r="E44" s="1634"/>
      <c r="F44" s="1634"/>
      <c r="G44" s="1634"/>
      <c r="H44" s="1634"/>
      <c r="I44" s="1634"/>
      <c r="J44" s="1634"/>
      <c r="K44" s="1625">
        <f t="shared" si="3"/>
        <v>0</v>
      </c>
      <c r="L44" s="3122">
        <f>'T-1'!K44</f>
        <v>0</v>
      </c>
      <c r="M44" s="3122">
        <f>'T-1'!O44</f>
        <v>0</v>
      </c>
      <c r="N44" s="1080"/>
      <c r="O44" s="1084"/>
    </row>
    <row r="45" spans="1:15" s="1082" customFormat="1" ht="22" customHeight="1">
      <c r="A45" s="1024">
        <f t="shared" si="6"/>
        <v>24</v>
      </c>
      <c r="B45" s="1014" t="s">
        <v>1336</v>
      </c>
      <c r="C45" s="1633">
        <f>'T-6 (21-22)'!I47</f>
        <v>0</v>
      </c>
      <c r="D45" s="1634"/>
      <c r="E45" s="1634"/>
      <c r="F45" s="1634"/>
      <c r="G45" s="1634"/>
      <c r="H45" s="1634"/>
      <c r="I45" s="1634"/>
      <c r="J45" s="1634"/>
      <c r="K45" s="1625">
        <f t="shared" si="3"/>
        <v>0</v>
      </c>
      <c r="L45" s="3122">
        <f>'T-1'!K45</f>
        <v>0</v>
      </c>
      <c r="M45" s="3122">
        <f>'T-1'!O45</f>
        <v>0</v>
      </c>
      <c r="N45" s="1080"/>
      <c r="O45" s="1084"/>
    </row>
    <row r="46" spans="1:15" s="1082" customFormat="1" ht="22" customHeight="1">
      <c r="A46" s="1024">
        <f t="shared" si="6"/>
        <v>25</v>
      </c>
      <c r="B46" s="1014" t="s">
        <v>891</v>
      </c>
      <c r="C46" s="1633">
        <f>'T-6 (21-22)'!I48</f>
        <v>0</v>
      </c>
      <c r="D46" s="1634"/>
      <c r="E46" s="1634"/>
      <c r="F46" s="1634"/>
      <c r="G46" s="1634"/>
      <c r="H46" s="1634"/>
      <c r="I46" s="1634"/>
      <c r="J46" s="1634"/>
      <c r="K46" s="1625">
        <f t="shared" si="3"/>
        <v>0</v>
      </c>
      <c r="L46" s="3122">
        <f>'T-1'!K46</f>
        <v>0</v>
      </c>
      <c r="M46" s="3122">
        <f>'T-1'!O46</f>
        <v>0</v>
      </c>
      <c r="N46" s="1080"/>
      <c r="O46" s="1084"/>
    </row>
    <row r="47" spans="1:15" s="1082" customFormat="1" ht="22" customHeight="1">
      <c r="A47" s="1024">
        <f t="shared" si="6"/>
        <v>26</v>
      </c>
      <c r="B47" s="1014" t="s">
        <v>1463</v>
      </c>
      <c r="C47" s="1633">
        <f>'T-6 (21-22)'!I49</f>
        <v>0</v>
      </c>
      <c r="D47" s="1634"/>
      <c r="E47" s="1634"/>
      <c r="F47" s="1634"/>
      <c r="G47" s="1634"/>
      <c r="H47" s="1634"/>
      <c r="I47" s="1634"/>
      <c r="J47" s="1634"/>
      <c r="K47" s="1625">
        <f t="shared" si="3"/>
        <v>0</v>
      </c>
      <c r="L47" s="3122">
        <f>'T-1'!K47</f>
        <v>0</v>
      </c>
      <c r="M47" s="3122">
        <f>'T-1'!O47</f>
        <v>0</v>
      </c>
      <c r="N47" s="1080"/>
      <c r="O47" s="1084"/>
    </row>
    <row r="48" spans="1:15" s="1082" customFormat="1" ht="22" customHeight="1">
      <c r="A48" s="1024">
        <f t="shared" si="6"/>
        <v>27</v>
      </c>
      <c r="B48" s="1014" t="s">
        <v>1337</v>
      </c>
      <c r="C48" s="1633">
        <f>'T-6 (21-22)'!I50</f>
        <v>0</v>
      </c>
      <c r="D48" s="1634">
        <v>5.6999999999999995E-2</v>
      </c>
      <c r="E48" s="1634">
        <v>2.8000000000000001E-2</v>
      </c>
      <c r="F48" s="1634">
        <v>1.9099999999999999E-2</v>
      </c>
      <c r="G48" s="1634">
        <v>1.6500000000000001E-2</v>
      </c>
      <c r="H48" s="1634">
        <v>2.3800000000000002E-2</v>
      </c>
      <c r="I48" s="1634">
        <v>2.2599999999999999E-2</v>
      </c>
      <c r="J48" s="1625">
        <f>SUM(D48:I48)</f>
        <v>0.16700000000000001</v>
      </c>
      <c r="K48" s="1625">
        <f t="shared" si="3"/>
        <v>2.7833333333333335E-2</v>
      </c>
      <c r="L48" s="3122">
        <f>'T-1'!K48</f>
        <v>0.33479999999999999</v>
      </c>
      <c r="M48" s="3122">
        <f>'T-1'!O48</f>
        <v>0.5</v>
      </c>
      <c r="N48" s="1080"/>
      <c r="O48" s="1084"/>
    </row>
    <row r="49" spans="1:15" s="1082" customFormat="1" ht="22" customHeight="1">
      <c r="A49" s="1024"/>
      <c r="B49" s="1027" t="s">
        <v>4094</v>
      </c>
      <c r="C49" s="1630">
        <f>SUM(C34:C48)</f>
        <v>325.32561043960004</v>
      </c>
      <c r="D49" s="1630">
        <f t="shared" ref="D49:M49" si="7">SUM(D34:D48)</f>
        <v>32.147137900000004</v>
      </c>
      <c r="E49" s="1630">
        <f t="shared" si="7"/>
        <v>34.832251157700007</v>
      </c>
      <c r="F49" s="1630">
        <f t="shared" si="7"/>
        <v>34.807709300200003</v>
      </c>
      <c r="G49" s="1630">
        <f t="shared" si="7"/>
        <v>35.033373163300006</v>
      </c>
      <c r="H49" s="1630">
        <f t="shared" si="7"/>
        <v>35.303402515199998</v>
      </c>
      <c r="I49" s="1630">
        <f t="shared" si="7"/>
        <v>33.341820089700001</v>
      </c>
      <c r="J49" s="1630">
        <f t="shared" si="7"/>
        <v>205.46569412610003</v>
      </c>
      <c r="K49" s="1630">
        <f t="shared" si="7"/>
        <v>34.244282354350005</v>
      </c>
      <c r="L49" s="3124">
        <f t="shared" si="7"/>
        <v>367.22209249219998</v>
      </c>
      <c r="M49" s="3124">
        <f t="shared" si="7"/>
        <v>391.29422300399995</v>
      </c>
      <c r="N49" s="1080"/>
      <c r="O49" s="1084"/>
    </row>
    <row r="50" spans="1:15" s="1082" customFormat="1" ht="22" customHeight="1">
      <c r="A50" s="1021"/>
      <c r="B50" s="1761" t="s">
        <v>1338</v>
      </c>
      <c r="C50" s="1633"/>
      <c r="D50" s="1634"/>
      <c r="E50" s="1634"/>
      <c r="F50" s="1634"/>
      <c r="G50" s="1634"/>
      <c r="H50" s="1634"/>
      <c r="I50" s="1634"/>
      <c r="J50" s="1634"/>
      <c r="K50" s="1634"/>
      <c r="L50" s="3122"/>
      <c r="M50" s="3122"/>
      <c r="N50" s="1080"/>
      <c r="O50" s="1084"/>
    </row>
    <row r="51" spans="1:15" s="1082" customFormat="1" ht="22" customHeight="1">
      <c r="A51" s="1024">
        <f>A48+1</f>
        <v>28</v>
      </c>
      <c r="B51" s="1014" t="s">
        <v>670</v>
      </c>
      <c r="C51" s="1633"/>
      <c r="D51" s="1634"/>
      <c r="E51" s="1634"/>
      <c r="F51" s="1634"/>
      <c r="G51" s="1634"/>
      <c r="H51" s="1634"/>
      <c r="I51" s="1634"/>
      <c r="J51" s="1634"/>
      <c r="K51" s="1625">
        <f t="shared" ref="K51:K58" si="8">J51/6</f>
        <v>0</v>
      </c>
      <c r="L51" s="3122"/>
      <c r="M51" s="3122"/>
      <c r="N51" s="1080"/>
      <c r="O51" s="1084"/>
    </row>
    <row r="52" spans="1:15" s="1082" customFormat="1" ht="22" customHeight="1">
      <c r="A52" s="1024">
        <f t="shared" ref="A52:A58" si="9">A51+1</f>
        <v>29</v>
      </c>
      <c r="B52" s="1014" t="s">
        <v>890</v>
      </c>
      <c r="C52" s="1633">
        <f>'T-6 (21-22)'!I54</f>
        <v>112.18249000000003</v>
      </c>
      <c r="D52" s="1634">
        <v>10.6235</v>
      </c>
      <c r="E52" s="1634">
        <v>18.760620000000003</v>
      </c>
      <c r="F52" s="1634">
        <v>24.580669999999998</v>
      </c>
      <c r="G52" s="1634">
        <v>23.967020000000002</v>
      </c>
      <c r="H52" s="1634">
        <v>23.43984</v>
      </c>
      <c r="I52" s="1634">
        <v>20.489850000000001</v>
      </c>
      <c r="J52" s="1625">
        <f>SUM(D52:I52)</f>
        <v>121.86150000000001</v>
      </c>
      <c r="K52" s="1625">
        <f t="shared" si="8"/>
        <v>20.31025</v>
      </c>
      <c r="L52" s="3122">
        <f>'T-1'!K52</f>
        <v>210</v>
      </c>
      <c r="M52" s="3122">
        <f>'T-1'!O52</f>
        <v>220</v>
      </c>
      <c r="N52" s="1080"/>
      <c r="O52" s="1084"/>
    </row>
    <row r="53" spans="1:15" s="1082" customFormat="1" ht="22" customHeight="1">
      <c r="A53" s="1024">
        <f t="shared" si="9"/>
        <v>30</v>
      </c>
      <c r="B53" s="1014" t="s">
        <v>891</v>
      </c>
      <c r="C53" s="1633">
        <f>'T-6 (21-22)'!I55</f>
        <v>262.35451999999998</v>
      </c>
      <c r="D53" s="1634">
        <v>25.033380000000001</v>
      </c>
      <c r="E53" s="1634">
        <v>24.321169655199999</v>
      </c>
      <c r="F53" s="1634">
        <v>21.935480999999999</v>
      </c>
      <c r="G53" s="1634">
        <v>20.444240000000001</v>
      </c>
      <c r="H53" s="1634">
        <v>23.897880000000001</v>
      </c>
      <c r="I53" s="1634">
        <v>24.365639999999999</v>
      </c>
      <c r="J53" s="1625">
        <f t="shared" ref="J53:J58" si="10">SUM(D53:I53)</f>
        <v>139.99779065519999</v>
      </c>
      <c r="K53" s="1625">
        <f t="shared" si="8"/>
        <v>23.3329651092</v>
      </c>
      <c r="L53" s="3122">
        <f>'T-1'!K53</f>
        <v>265.99558131039998</v>
      </c>
      <c r="M53" s="3122">
        <f>'T-1'!O53</f>
        <v>270</v>
      </c>
      <c r="N53" s="1080"/>
      <c r="O53" s="1084"/>
    </row>
    <row r="54" spans="1:15" s="1082" customFormat="1" ht="22" customHeight="1">
      <c r="A54" s="1024">
        <f t="shared" si="9"/>
        <v>31</v>
      </c>
      <c r="B54" s="1014" t="s">
        <v>892</v>
      </c>
      <c r="C54" s="1633">
        <f>'T-6 (21-22)'!I56</f>
        <v>0</v>
      </c>
      <c r="D54" s="1634"/>
      <c r="E54" s="1634"/>
      <c r="F54" s="1634"/>
      <c r="G54" s="1634"/>
      <c r="H54" s="1634"/>
      <c r="I54" s="1634"/>
      <c r="J54" s="1625">
        <f t="shared" si="10"/>
        <v>0</v>
      </c>
      <c r="K54" s="1625">
        <f t="shared" si="8"/>
        <v>0</v>
      </c>
      <c r="L54" s="3122">
        <f>'T-1'!K54</f>
        <v>0</v>
      </c>
      <c r="M54" s="3122">
        <f>'T-1'!O54</f>
        <v>0</v>
      </c>
      <c r="N54" s="1080"/>
      <c r="O54" s="1084"/>
    </row>
    <row r="55" spans="1:15" s="1082" customFormat="1" ht="22" customHeight="1">
      <c r="A55" s="1024">
        <f t="shared" si="9"/>
        <v>32</v>
      </c>
      <c r="B55" s="1014" t="s">
        <v>893</v>
      </c>
      <c r="C55" s="1633">
        <f>'T-6 (21-22)'!I57</f>
        <v>132.89894100000001</v>
      </c>
      <c r="D55" s="1634">
        <v>13.693</v>
      </c>
      <c r="E55" s="1634">
        <v>13.369</v>
      </c>
      <c r="F55" s="1634">
        <v>10.964</v>
      </c>
      <c r="G55" s="1634">
        <v>9.7530140000000003</v>
      </c>
      <c r="H55" s="1634">
        <v>11.466920999999999</v>
      </c>
      <c r="I55" s="1634">
        <v>10.198221</v>
      </c>
      <c r="J55" s="1625">
        <f t="shared" si="10"/>
        <v>69.444155999999992</v>
      </c>
      <c r="K55" s="1625">
        <f t="shared" si="8"/>
        <v>11.574025999999998</v>
      </c>
      <c r="L55" s="3122">
        <f>'T-1'!K55</f>
        <v>125.88800000000001</v>
      </c>
      <c r="M55" s="3122">
        <f>'T-1'!O55</f>
        <v>135</v>
      </c>
      <c r="N55" s="1080"/>
      <c r="O55" s="1084"/>
    </row>
    <row r="56" spans="1:15" s="1082" customFormat="1" ht="22" customHeight="1">
      <c r="A56" s="1024">
        <f t="shared" si="9"/>
        <v>33</v>
      </c>
      <c r="B56" s="1014" t="s">
        <v>1336</v>
      </c>
      <c r="C56" s="1633">
        <f>'T-6 (21-22)'!I58</f>
        <v>0</v>
      </c>
      <c r="D56" s="1634"/>
      <c r="E56" s="1634"/>
      <c r="F56" s="1634"/>
      <c r="G56" s="1634"/>
      <c r="H56" s="1634"/>
      <c r="I56" s="1634"/>
      <c r="J56" s="1625">
        <f t="shared" si="10"/>
        <v>0</v>
      </c>
      <c r="K56" s="1625">
        <f t="shared" si="8"/>
        <v>0</v>
      </c>
      <c r="L56" s="3122">
        <f>'T-1'!K56</f>
        <v>0</v>
      </c>
      <c r="M56" s="3122">
        <f>'T-1'!O56</f>
        <v>0</v>
      </c>
      <c r="N56" s="1080"/>
      <c r="O56" s="1084"/>
    </row>
    <row r="57" spans="1:15" s="1082" customFormat="1" ht="22" customHeight="1">
      <c r="A57" s="1024">
        <f t="shared" si="9"/>
        <v>34</v>
      </c>
      <c r="B57" s="1014" t="s">
        <v>1339</v>
      </c>
      <c r="C57" s="1633">
        <f>'T-6 (21-22)'!I59</f>
        <v>29.941791999999992</v>
      </c>
      <c r="D57" s="1634">
        <v>0.16739999999999999</v>
      </c>
      <c r="E57" s="1634">
        <v>9.74E-2</v>
      </c>
      <c r="F57" s="1634">
        <v>1.0759000000000001</v>
      </c>
      <c r="G57" s="1634">
        <v>2.3468</v>
      </c>
      <c r="H57" s="1634">
        <v>1.24</v>
      </c>
      <c r="I57" s="1634">
        <v>0.15329999999999999</v>
      </c>
      <c r="J57" s="1625">
        <f t="shared" si="10"/>
        <v>5.0808</v>
      </c>
      <c r="K57" s="1625">
        <f t="shared" si="8"/>
        <v>0.8468</v>
      </c>
      <c r="L57" s="3122">
        <f>'T-1'!K57</f>
        <v>8.1616</v>
      </c>
      <c r="M57" s="3122">
        <f>'T-1'!O57</f>
        <v>8.1620000000000008</v>
      </c>
      <c r="N57" s="1080"/>
      <c r="O57" s="1084"/>
    </row>
    <row r="58" spans="1:15" s="1082" customFormat="1" ht="22" customHeight="1">
      <c r="A58" s="1024">
        <f t="shared" si="9"/>
        <v>35</v>
      </c>
      <c r="B58" s="1014" t="s">
        <v>1337</v>
      </c>
      <c r="C58" s="1633">
        <f>'T-6 (21-22)'!I60</f>
        <v>0</v>
      </c>
      <c r="D58" s="1634">
        <v>2.0697000000000001</v>
      </c>
      <c r="E58" s="1634">
        <v>0.52810000000000001</v>
      </c>
      <c r="F58" s="1634">
        <v>0.62599999999999989</v>
      </c>
      <c r="G58" s="1634">
        <v>0.47589999999999999</v>
      </c>
      <c r="H58" s="1634">
        <v>0.4572</v>
      </c>
      <c r="I58" s="1634">
        <v>0.48830000000000001</v>
      </c>
      <c r="J58" s="1625">
        <f t="shared" si="10"/>
        <v>4.6452</v>
      </c>
      <c r="K58" s="1625">
        <f t="shared" si="8"/>
        <v>0.7742</v>
      </c>
      <c r="L58" s="3122">
        <f>'T-1'!K58</f>
        <v>9.2899999999999991</v>
      </c>
      <c r="M58" s="3122">
        <f>'T-1'!O58</f>
        <v>9.31</v>
      </c>
      <c r="N58" s="1080"/>
      <c r="O58" s="1084"/>
    </row>
    <row r="59" spans="1:15" s="1082" customFormat="1" ht="22" customHeight="1">
      <c r="A59" s="1024"/>
      <c r="B59" s="1027" t="s">
        <v>4094</v>
      </c>
      <c r="C59" s="1630">
        <f>SUM(C51:C58)</f>
        <v>537.37774300000001</v>
      </c>
      <c r="D59" s="1630">
        <f t="shared" ref="D59:M59" si="11">SUM(D51:D58)</f>
        <v>51.586979999999997</v>
      </c>
      <c r="E59" s="1630">
        <f t="shared" si="11"/>
        <v>57.0762896552</v>
      </c>
      <c r="F59" s="1630">
        <f t="shared" si="11"/>
        <v>59.182050999999987</v>
      </c>
      <c r="G59" s="1630">
        <f t="shared" si="11"/>
        <v>56.986974000000004</v>
      </c>
      <c r="H59" s="1630">
        <f t="shared" si="11"/>
        <v>60.501841000000006</v>
      </c>
      <c r="I59" s="1630">
        <f t="shared" si="11"/>
        <v>55.695311000000011</v>
      </c>
      <c r="J59" s="1630">
        <f t="shared" si="11"/>
        <v>341.02944665519999</v>
      </c>
      <c r="K59" s="1630">
        <f t="shared" si="11"/>
        <v>56.838241109199998</v>
      </c>
      <c r="L59" s="3124">
        <f t="shared" si="11"/>
        <v>619.3351813104</v>
      </c>
      <c r="M59" s="3124">
        <f t="shared" si="11"/>
        <v>642.47199999999998</v>
      </c>
      <c r="N59" s="1080"/>
      <c r="O59" s="1084"/>
    </row>
    <row r="60" spans="1:15" s="1082" customFormat="1" ht="22" customHeight="1">
      <c r="A60" s="1024"/>
      <c r="B60" s="1761" t="s">
        <v>1340</v>
      </c>
      <c r="C60" s="1630">
        <f>C59+C49+C32</f>
        <v>3021.5425564169404</v>
      </c>
      <c r="D60" s="1630">
        <f t="shared" ref="D60:M60" si="12">D59+D49+D32</f>
        <v>275.47208575239006</v>
      </c>
      <c r="E60" s="1630">
        <f t="shared" si="12"/>
        <v>295.02927347730002</v>
      </c>
      <c r="F60" s="1630">
        <f t="shared" si="12"/>
        <v>315.07943746449996</v>
      </c>
      <c r="G60" s="1630">
        <f t="shared" si="12"/>
        <v>277.7222587174</v>
      </c>
      <c r="H60" s="1630">
        <f t="shared" si="12"/>
        <v>284.30051330458002</v>
      </c>
      <c r="I60" s="1630">
        <f t="shared" si="12"/>
        <v>271.4277679352</v>
      </c>
      <c r="J60" s="1630">
        <f t="shared" si="12"/>
        <v>1719.0313366513697</v>
      </c>
      <c r="K60" s="1630">
        <f t="shared" si="12"/>
        <v>286.50522277522828</v>
      </c>
      <c r="L60" s="3124">
        <f t="shared" si="12"/>
        <v>3371.6534733082995</v>
      </c>
      <c r="M60" s="3124">
        <f t="shared" si="12"/>
        <v>3586.5410904983701</v>
      </c>
      <c r="N60" s="1080"/>
      <c r="O60" s="1084"/>
    </row>
    <row r="62" spans="1:15" ht="18">
      <c r="B62" s="1043" t="s">
        <v>4141</v>
      </c>
    </row>
    <row r="64" spans="1:15" s="1065" customFormat="1" ht="32.25" customHeight="1">
      <c r="B64" s="3498"/>
      <c r="C64" s="3500" t="s">
        <v>4142</v>
      </c>
      <c r="D64" s="3500" t="s">
        <v>4143</v>
      </c>
      <c r="E64" s="3501" t="s">
        <v>8509</v>
      </c>
      <c r="F64" s="3501"/>
      <c r="G64" s="3501"/>
      <c r="H64" s="3501"/>
      <c r="I64" s="3501"/>
      <c r="J64" s="3501"/>
      <c r="K64" s="3501"/>
      <c r="L64" s="3501"/>
      <c r="M64" s="3502" t="s">
        <v>8511</v>
      </c>
    </row>
    <row r="65" spans="1:14" s="1079" customFormat="1" ht="68.25" customHeight="1">
      <c r="A65" s="1085"/>
      <c r="B65" s="3499"/>
      <c r="C65" s="3500"/>
      <c r="D65" s="3500"/>
      <c r="E65" s="1076" t="s">
        <v>4130</v>
      </c>
      <c r="F65" s="1076" t="s">
        <v>3858</v>
      </c>
      <c r="G65" s="1076" t="s">
        <v>4131</v>
      </c>
      <c r="H65" s="1076" t="s">
        <v>4132</v>
      </c>
      <c r="I65" s="1076" t="s">
        <v>4133</v>
      </c>
      <c r="J65" s="1076" t="s">
        <v>4134</v>
      </c>
      <c r="K65" s="1077" t="s">
        <v>4136</v>
      </c>
      <c r="L65" s="1764" t="s">
        <v>4137</v>
      </c>
      <c r="M65" s="3502"/>
      <c r="N65" s="1078"/>
    </row>
    <row r="66" spans="1:14" s="1082" customFormat="1" ht="27" customHeight="1">
      <c r="A66" s="1086"/>
      <c r="B66" s="1083" t="s">
        <v>4144</v>
      </c>
      <c r="C66" s="1630">
        <v>613</v>
      </c>
      <c r="D66" s="1625">
        <v>650</v>
      </c>
      <c r="E66" s="1633">
        <v>668.48</v>
      </c>
      <c r="F66" s="1633">
        <v>708.62</v>
      </c>
      <c r="G66" s="1633">
        <v>721.41</v>
      </c>
      <c r="H66" s="1633">
        <v>674.64</v>
      </c>
      <c r="I66" s="1633">
        <v>665.42</v>
      </c>
      <c r="J66" s="1646">
        <v>682.44</v>
      </c>
      <c r="K66" s="1087">
        <f>SUM(E66:J66)/6</f>
        <v>686.83500000000004</v>
      </c>
      <c r="L66" s="1087">
        <v>730</v>
      </c>
      <c r="M66" s="1087">
        <v>800</v>
      </c>
      <c r="N66" s="1080"/>
    </row>
    <row r="69" spans="1:14">
      <c r="F69" s="1042"/>
    </row>
  </sheetData>
  <mergeCells count="10">
    <mergeCell ref="A4:A5"/>
    <mergeCell ref="B4:B5"/>
    <mergeCell ref="C4:C5"/>
    <mergeCell ref="D4:L4"/>
    <mergeCell ref="M4:M5"/>
    <mergeCell ref="B64:B65"/>
    <mergeCell ref="C64:C65"/>
    <mergeCell ref="D64:D65"/>
    <mergeCell ref="E64:L64"/>
    <mergeCell ref="M64:M65"/>
  </mergeCells>
  <printOptions horizontalCentered="1"/>
  <pageMargins left="0" right="0" top="0.59055118110236227" bottom="0" header="0" footer="0"/>
  <pageSetup scale="57" fitToHeight="2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P32"/>
  <sheetViews>
    <sheetView topLeftCell="A12" zoomScale="63" zoomScaleNormal="63" workbookViewId="0">
      <selection activeCell="D13" sqref="D13"/>
    </sheetView>
  </sheetViews>
  <sheetFormatPr defaultColWidth="14.7265625" defaultRowHeight="15.5"/>
  <cols>
    <col min="1" max="1" width="52.26953125" style="1072" customWidth="1"/>
    <col min="2" max="3" width="20.1796875" style="1072" customWidth="1"/>
    <col min="4" max="4" width="16.26953125" style="1072" customWidth="1"/>
    <col min="5" max="6" width="14.7265625" style="1072" customWidth="1"/>
    <col min="7" max="7" width="18.81640625" style="1072" customWidth="1"/>
    <col min="8" max="8" width="17.453125" style="1072" customWidth="1"/>
    <col min="9" max="9" width="16.26953125" style="1072" customWidth="1"/>
    <col min="10" max="10" width="13.26953125" style="1072" customWidth="1"/>
    <col min="11" max="11" width="17.453125" style="1072" customWidth="1"/>
    <col min="12" max="256" width="14.7265625" style="1072"/>
    <col min="257" max="257" width="52.26953125" style="1072" customWidth="1"/>
    <col min="258" max="259" width="20.1796875" style="1072" customWidth="1"/>
    <col min="260" max="260" width="16.26953125" style="1072" customWidth="1"/>
    <col min="261" max="262" width="14.7265625" style="1072" customWidth="1"/>
    <col min="263" max="263" width="18.81640625" style="1072" customWidth="1"/>
    <col min="264" max="264" width="17.453125" style="1072" customWidth="1"/>
    <col min="265" max="265" width="16.26953125" style="1072" customWidth="1"/>
    <col min="266" max="266" width="13.26953125" style="1072" customWidth="1"/>
    <col min="267" max="267" width="17.453125" style="1072" customWidth="1"/>
    <col min="268" max="512" width="14.7265625" style="1072"/>
    <col min="513" max="513" width="52.26953125" style="1072" customWidth="1"/>
    <col min="514" max="515" width="20.1796875" style="1072" customWidth="1"/>
    <col min="516" max="516" width="16.26953125" style="1072" customWidth="1"/>
    <col min="517" max="518" width="14.7265625" style="1072" customWidth="1"/>
    <col min="519" max="519" width="18.81640625" style="1072" customWidth="1"/>
    <col min="520" max="520" width="17.453125" style="1072" customWidth="1"/>
    <col min="521" max="521" width="16.26953125" style="1072" customWidth="1"/>
    <col min="522" max="522" width="13.26953125" style="1072" customWidth="1"/>
    <col min="523" max="523" width="17.453125" style="1072" customWidth="1"/>
    <col min="524" max="768" width="14.7265625" style="1072"/>
    <col min="769" max="769" width="52.26953125" style="1072" customWidth="1"/>
    <col min="770" max="771" width="20.1796875" style="1072" customWidth="1"/>
    <col min="772" max="772" width="16.26953125" style="1072" customWidth="1"/>
    <col min="773" max="774" width="14.7265625" style="1072" customWidth="1"/>
    <col min="775" max="775" width="18.81640625" style="1072" customWidth="1"/>
    <col min="776" max="776" width="17.453125" style="1072" customWidth="1"/>
    <col min="777" max="777" width="16.26953125" style="1072" customWidth="1"/>
    <col min="778" max="778" width="13.26953125" style="1072" customWidth="1"/>
    <col min="779" max="779" width="17.453125" style="1072" customWidth="1"/>
    <col min="780" max="1024" width="14.7265625" style="1072"/>
    <col min="1025" max="1025" width="52.26953125" style="1072" customWidth="1"/>
    <col min="1026" max="1027" width="20.1796875" style="1072" customWidth="1"/>
    <col min="1028" max="1028" width="16.26953125" style="1072" customWidth="1"/>
    <col min="1029" max="1030" width="14.7265625" style="1072" customWidth="1"/>
    <col min="1031" max="1031" width="18.81640625" style="1072" customWidth="1"/>
    <col min="1032" max="1032" width="17.453125" style="1072" customWidth="1"/>
    <col min="1033" max="1033" width="16.26953125" style="1072" customWidth="1"/>
    <col min="1034" max="1034" width="13.26953125" style="1072" customWidth="1"/>
    <col min="1035" max="1035" width="17.453125" style="1072" customWidth="1"/>
    <col min="1036" max="1280" width="14.7265625" style="1072"/>
    <col min="1281" max="1281" width="52.26953125" style="1072" customWidth="1"/>
    <col min="1282" max="1283" width="20.1796875" style="1072" customWidth="1"/>
    <col min="1284" max="1284" width="16.26953125" style="1072" customWidth="1"/>
    <col min="1285" max="1286" width="14.7265625" style="1072" customWidth="1"/>
    <col min="1287" max="1287" width="18.81640625" style="1072" customWidth="1"/>
    <col min="1288" max="1288" width="17.453125" style="1072" customWidth="1"/>
    <col min="1289" max="1289" width="16.26953125" style="1072" customWidth="1"/>
    <col min="1290" max="1290" width="13.26953125" style="1072" customWidth="1"/>
    <col min="1291" max="1291" width="17.453125" style="1072" customWidth="1"/>
    <col min="1292" max="1536" width="14.7265625" style="1072"/>
    <col min="1537" max="1537" width="52.26953125" style="1072" customWidth="1"/>
    <col min="1538" max="1539" width="20.1796875" style="1072" customWidth="1"/>
    <col min="1540" max="1540" width="16.26953125" style="1072" customWidth="1"/>
    <col min="1541" max="1542" width="14.7265625" style="1072" customWidth="1"/>
    <col min="1543" max="1543" width="18.81640625" style="1072" customWidth="1"/>
    <col min="1544" max="1544" width="17.453125" style="1072" customWidth="1"/>
    <col min="1545" max="1545" width="16.26953125" style="1072" customWidth="1"/>
    <col min="1546" max="1546" width="13.26953125" style="1072" customWidth="1"/>
    <col min="1547" max="1547" width="17.453125" style="1072" customWidth="1"/>
    <col min="1548" max="1792" width="14.7265625" style="1072"/>
    <col min="1793" max="1793" width="52.26953125" style="1072" customWidth="1"/>
    <col min="1794" max="1795" width="20.1796875" style="1072" customWidth="1"/>
    <col min="1796" max="1796" width="16.26953125" style="1072" customWidth="1"/>
    <col min="1797" max="1798" width="14.7265625" style="1072" customWidth="1"/>
    <col min="1799" max="1799" width="18.81640625" style="1072" customWidth="1"/>
    <col min="1800" max="1800" width="17.453125" style="1072" customWidth="1"/>
    <col min="1801" max="1801" width="16.26953125" style="1072" customWidth="1"/>
    <col min="1802" max="1802" width="13.26953125" style="1072" customWidth="1"/>
    <col min="1803" max="1803" width="17.453125" style="1072" customWidth="1"/>
    <col min="1804" max="2048" width="14.7265625" style="1072"/>
    <col min="2049" max="2049" width="52.26953125" style="1072" customWidth="1"/>
    <col min="2050" max="2051" width="20.1796875" style="1072" customWidth="1"/>
    <col min="2052" max="2052" width="16.26953125" style="1072" customWidth="1"/>
    <col min="2053" max="2054" width="14.7265625" style="1072" customWidth="1"/>
    <col min="2055" max="2055" width="18.81640625" style="1072" customWidth="1"/>
    <col min="2056" max="2056" width="17.453125" style="1072" customWidth="1"/>
    <col min="2057" max="2057" width="16.26953125" style="1072" customWidth="1"/>
    <col min="2058" max="2058" width="13.26953125" style="1072" customWidth="1"/>
    <col min="2059" max="2059" width="17.453125" style="1072" customWidth="1"/>
    <col min="2060" max="2304" width="14.7265625" style="1072"/>
    <col min="2305" max="2305" width="52.26953125" style="1072" customWidth="1"/>
    <col min="2306" max="2307" width="20.1796875" style="1072" customWidth="1"/>
    <col min="2308" max="2308" width="16.26953125" style="1072" customWidth="1"/>
    <col min="2309" max="2310" width="14.7265625" style="1072" customWidth="1"/>
    <col min="2311" max="2311" width="18.81640625" style="1072" customWidth="1"/>
    <col min="2312" max="2312" width="17.453125" style="1072" customWidth="1"/>
    <col min="2313" max="2313" width="16.26953125" style="1072" customWidth="1"/>
    <col min="2314" max="2314" width="13.26953125" style="1072" customWidth="1"/>
    <col min="2315" max="2315" width="17.453125" style="1072" customWidth="1"/>
    <col min="2316" max="2560" width="14.7265625" style="1072"/>
    <col min="2561" max="2561" width="52.26953125" style="1072" customWidth="1"/>
    <col min="2562" max="2563" width="20.1796875" style="1072" customWidth="1"/>
    <col min="2564" max="2564" width="16.26953125" style="1072" customWidth="1"/>
    <col min="2565" max="2566" width="14.7265625" style="1072" customWidth="1"/>
    <col min="2567" max="2567" width="18.81640625" style="1072" customWidth="1"/>
    <col min="2568" max="2568" width="17.453125" style="1072" customWidth="1"/>
    <col min="2569" max="2569" width="16.26953125" style="1072" customWidth="1"/>
    <col min="2570" max="2570" width="13.26953125" style="1072" customWidth="1"/>
    <col min="2571" max="2571" width="17.453125" style="1072" customWidth="1"/>
    <col min="2572" max="2816" width="14.7265625" style="1072"/>
    <col min="2817" max="2817" width="52.26953125" style="1072" customWidth="1"/>
    <col min="2818" max="2819" width="20.1796875" style="1072" customWidth="1"/>
    <col min="2820" max="2820" width="16.26953125" style="1072" customWidth="1"/>
    <col min="2821" max="2822" width="14.7265625" style="1072" customWidth="1"/>
    <col min="2823" max="2823" width="18.81640625" style="1072" customWidth="1"/>
    <col min="2824" max="2824" width="17.453125" style="1072" customWidth="1"/>
    <col min="2825" max="2825" width="16.26953125" style="1072" customWidth="1"/>
    <col min="2826" max="2826" width="13.26953125" style="1072" customWidth="1"/>
    <col min="2827" max="2827" width="17.453125" style="1072" customWidth="1"/>
    <col min="2828" max="3072" width="14.7265625" style="1072"/>
    <col min="3073" max="3073" width="52.26953125" style="1072" customWidth="1"/>
    <col min="3074" max="3075" width="20.1796875" style="1072" customWidth="1"/>
    <col min="3076" max="3076" width="16.26953125" style="1072" customWidth="1"/>
    <col min="3077" max="3078" width="14.7265625" style="1072" customWidth="1"/>
    <col min="3079" max="3079" width="18.81640625" style="1072" customWidth="1"/>
    <col min="3080" max="3080" width="17.453125" style="1072" customWidth="1"/>
    <col min="3081" max="3081" width="16.26953125" style="1072" customWidth="1"/>
    <col min="3082" max="3082" width="13.26953125" style="1072" customWidth="1"/>
    <col min="3083" max="3083" width="17.453125" style="1072" customWidth="1"/>
    <col min="3084" max="3328" width="14.7265625" style="1072"/>
    <col min="3329" max="3329" width="52.26953125" style="1072" customWidth="1"/>
    <col min="3330" max="3331" width="20.1796875" style="1072" customWidth="1"/>
    <col min="3332" max="3332" width="16.26953125" style="1072" customWidth="1"/>
    <col min="3333" max="3334" width="14.7265625" style="1072" customWidth="1"/>
    <col min="3335" max="3335" width="18.81640625" style="1072" customWidth="1"/>
    <col min="3336" max="3336" width="17.453125" style="1072" customWidth="1"/>
    <col min="3337" max="3337" width="16.26953125" style="1072" customWidth="1"/>
    <col min="3338" max="3338" width="13.26953125" style="1072" customWidth="1"/>
    <col min="3339" max="3339" width="17.453125" style="1072" customWidth="1"/>
    <col min="3340" max="3584" width="14.7265625" style="1072"/>
    <col min="3585" max="3585" width="52.26953125" style="1072" customWidth="1"/>
    <col min="3586" max="3587" width="20.1796875" style="1072" customWidth="1"/>
    <col min="3588" max="3588" width="16.26953125" style="1072" customWidth="1"/>
    <col min="3589" max="3590" width="14.7265625" style="1072" customWidth="1"/>
    <col min="3591" max="3591" width="18.81640625" style="1072" customWidth="1"/>
    <col min="3592" max="3592" width="17.453125" style="1072" customWidth="1"/>
    <col min="3593" max="3593" width="16.26953125" style="1072" customWidth="1"/>
    <col min="3594" max="3594" width="13.26953125" style="1072" customWidth="1"/>
    <col min="3595" max="3595" width="17.453125" style="1072" customWidth="1"/>
    <col min="3596" max="3840" width="14.7265625" style="1072"/>
    <col min="3841" max="3841" width="52.26953125" style="1072" customWidth="1"/>
    <col min="3842" max="3843" width="20.1796875" style="1072" customWidth="1"/>
    <col min="3844" max="3844" width="16.26953125" style="1072" customWidth="1"/>
    <col min="3845" max="3846" width="14.7265625" style="1072" customWidth="1"/>
    <col min="3847" max="3847" width="18.81640625" style="1072" customWidth="1"/>
    <col min="3848" max="3848" width="17.453125" style="1072" customWidth="1"/>
    <col min="3849" max="3849" width="16.26953125" style="1072" customWidth="1"/>
    <col min="3850" max="3850" width="13.26953125" style="1072" customWidth="1"/>
    <col min="3851" max="3851" width="17.453125" style="1072" customWidth="1"/>
    <col min="3852" max="4096" width="14.7265625" style="1072"/>
    <col min="4097" max="4097" width="52.26953125" style="1072" customWidth="1"/>
    <col min="4098" max="4099" width="20.1796875" style="1072" customWidth="1"/>
    <col min="4100" max="4100" width="16.26953125" style="1072" customWidth="1"/>
    <col min="4101" max="4102" width="14.7265625" style="1072" customWidth="1"/>
    <col min="4103" max="4103" width="18.81640625" style="1072" customWidth="1"/>
    <col min="4104" max="4104" width="17.453125" style="1072" customWidth="1"/>
    <col min="4105" max="4105" width="16.26953125" style="1072" customWidth="1"/>
    <col min="4106" max="4106" width="13.26953125" style="1072" customWidth="1"/>
    <col min="4107" max="4107" width="17.453125" style="1072" customWidth="1"/>
    <col min="4108" max="4352" width="14.7265625" style="1072"/>
    <col min="4353" max="4353" width="52.26953125" style="1072" customWidth="1"/>
    <col min="4354" max="4355" width="20.1796875" style="1072" customWidth="1"/>
    <col min="4356" max="4356" width="16.26953125" style="1072" customWidth="1"/>
    <col min="4357" max="4358" width="14.7265625" style="1072" customWidth="1"/>
    <col min="4359" max="4359" width="18.81640625" style="1072" customWidth="1"/>
    <col min="4360" max="4360" width="17.453125" style="1072" customWidth="1"/>
    <col min="4361" max="4361" width="16.26953125" style="1072" customWidth="1"/>
    <col min="4362" max="4362" width="13.26953125" style="1072" customWidth="1"/>
    <col min="4363" max="4363" width="17.453125" style="1072" customWidth="1"/>
    <col min="4364" max="4608" width="14.7265625" style="1072"/>
    <col min="4609" max="4609" width="52.26953125" style="1072" customWidth="1"/>
    <col min="4610" max="4611" width="20.1796875" style="1072" customWidth="1"/>
    <col min="4612" max="4612" width="16.26953125" style="1072" customWidth="1"/>
    <col min="4613" max="4614" width="14.7265625" style="1072" customWidth="1"/>
    <col min="4615" max="4615" width="18.81640625" style="1072" customWidth="1"/>
    <col min="4616" max="4616" width="17.453125" style="1072" customWidth="1"/>
    <col min="4617" max="4617" width="16.26953125" style="1072" customWidth="1"/>
    <col min="4618" max="4618" width="13.26953125" style="1072" customWidth="1"/>
    <col min="4619" max="4619" width="17.453125" style="1072" customWidth="1"/>
    <col min="4620" max="4864" width="14.7265625" style="1072"/>
    <col min="4865" max="4865" width="52.26953125" style="1072" customWidth="1"/>
    <col min="4866" max="4867" width="20.1796875" style="1072" customWidth="1"/>
    <col min="4868" max="4868" width="16.26953125" style="1072" customWidth="1"/>
    <col min="4869" max="4870" width="14.7265625" style="1072" customWidth="1"/>
    <col min="4871" max="4871" width="18.81640625" style="1072" customWidth="1"/>
    <col min="4872" max="4872" width="17.453125" style="1072" customWidth="1"/>
    <col min="4873" max="4873" width="16.26953125" style="1072" customWidth="1"/>
    <col min="4874" max="4874" width="13.26953125" style="1072" customWidth="1"/>
    <col min="4875" max="4875" width="17.453125" style="1072" customWidth="1"/>
    <col min="4876" max="5120" width="14.7265625" style="1072"/>
    <col min="5121" max="5121" width="52.26953125" style="1072" customWidth="1"/>
    <col min="5122" max="5123" width="20.1796875" style="1072" customWidth="1"/>
    <col min="5124" max="5124" width="16.26953125" style="1072" customWidth="1"/>
    <col min="5125" max="5126" width="14.7265625" style="1072" customWidth="1"/>
    <col min="5127" max="5127" width="18.81640625" style="1072" customWidth="1"/>
    <col min="5128" max="5128" width="17.453125" style="1072" customWidth="1"/>
    <col min="5129" max="5129" width="16.26953125" style="1072" customWidth="1"/>
    <col min="5130" max="5130" width="13.26953125" style="1072" customWidth="1"/>
    <col min="5131" max="5131" width="17.453125" style="1072" customWidth="1"/>
    <col min="5132" max="5376" width="14.7265625" style="1072"/>
    <col min="5377" max="5377" width="52.26953125" style="1072" customWidth="1"/>
    <col min="5378" max="5379" width="20.1796875" style="1072" customWidth="1"/>
    <col min="5380" max="5380" width="16.26953125" style="1072" customWidth="1"/>
    <col min="5381" max="5382" width="14.7265625" style="1072" customWidth="1"/>
    <col min="5383" max="5383" width="18.81640625" style="1072" customWidth="1"/>
    <col min="5384" max="5384" width="17.453125" style="1072" customWidth="1"/>
    <col min="5385" max="5385" width="16.26953125" style="1072" customWidth="1"/>
    <col min="5386" max="5386" width="13.26953125" style="1072" customWidth="1"/>
    <col min="5387" max="5387" width="17.453125" style="1072" customWidth="1"/>
    <col min="5388" max="5632" width="14.7265625" style="1072"/>
    <col min="5633" max="5633" width="52.26953125" style="1072" customWidth="1"/>
    <col min="5634" max="5635" width="20.1796875" style="1072" customWidth="1"/>
    <col min="5636" max="5636" width="16.26953125" style="1072" customWidth="1"/>
    <col min="5637" max="5638" width="14.7265625" style="1072" customWidth="1"/>
    <col min="5639" max="5639" width="18.81640625" style="1072" customWidth="1"/>
    <col min="5640" max="5640" width="17.453125" style="1072" customWidth="1"/>
    <col min="5641" max="5641" width="16.26953125" style="1072" customWidth="1"/>
    <col min="5642" max="5642" width="13.26953125" style="1072" customWidth="1"/>
    <col min="5643" max="5643" width="17.453125" style="1072" customWidth="1"/>
    <col min="5644" max="5888" width="14.7265625" style="1072"/>
    <col min="5889" max="5889" width="52.26953125" style="1072" customWidth="1"/>
    <col min="5890" max="5891" width="20.1796875" style="1072" customWidth="1"/>
    <col min="5892" max="5892" width="16.26953125" style="1072" customWidth="1"/>
    <col min="5893" max="5894" width="14.7265625" style="1072" customWidth="1"/>
    <col min="5895" max="5895" width="18.81640625" style="1072" customWidth="1"/>
    <col min="5896" max="5896" width="17.453125" style="1072" customWidth="1"/>
    <col min="5897" max="5897" width="16.26953125" style="1072" customWidth="1"/>
    <col min="5898" max="5898" width="13.26953125" style="1072" customWidth="1"/>
    <col min="5899" max="5899" width="17.453125" style="1072" customWidth="1"/>
    <col min="5900" max="6144" width="14.7265625" style="1072"/>
    <col min="6145" max="6145" width="52.26953125" style="1072" customWidth="1"/>
    <col min="6146" max="6147" width="20.1796875" style="1072" customWidth="1"/>
    <col min="6148" max="6148" width="16.26953125" style="1072" customWidth="1"/>
    <col min="6149" max="6150" width="14.7265625" style="1072" customWidth="1"/>
    <col min="6151" max="6151" width="18.81640625" style="1072" customWidth="1"/>
    <col min="6152" max="6152" width="17.453125" style="1072" customWidth="1"/>
    <col min="6153" max="6153" width="16.26953125" style="1072" customWidth="1"/>
    <col min="6154" max="6154" width="13.26953125" style="1072" customWidth="1"/>
    <col min="6155" max="6155" width="17.453125" style="1072" customWidth="1"/>
    <col min="6156" max="6400" width="14.7265625" style="1072"/>
    <col min="6401" max="6401" width="52.26953125" style="1072" customWidth="1"/>
    <col min="6402" max="6403" width="20.1796875" style="1072" customWidth="1"/>
    <col min="6404" max="6404" width="16.26953125" style="1072" customWidth="1"/>
    <col min="6405" max="6406" width="14.7265625" style="1072" customWidth="1"/>
    <col min="6407" max="6407" width="18.81640625" style="1072" customWidth="1"/>
    <col min="6408" max="6408" width="17.453125" style="1072" customWidth="1"/>
    <col min="6409" max="6409" width="16.26953125" style="1072" customWidth="1"/>
    <col min="6410" max="6410" width="13.26953125" style="1072" customWidth="1"/>
    <col min="6411" max="6411" width="17.453125" style="1072" customWidth="1"/>
    <col min="6412" max="6656" width="14.7265625" style="1072"/>
    <col min="6657" max="6657" width="52.26953125" style="1072" customWidth="1"/>
    <col min="6658" max="6659" width="20.1796875" style="1072" customWidth="1"/>
    <col min="6660" max="6660" width="16.26953125" style="1072" customWidth="1"/>
    <col min="6661" max="6662" width="14.7265625" style="1072" customWidth="1"/>
    <col min="6663" max="6663" width="18.81640625" style="1072" customWidth="1"/>
    <col min="6664" max="6664" width="17.453125" style="1072" customWidth="1"/>
    <col min="6665" max="6665" width="16.26953125" style="1072" customWidth="1"/>
    <col min="6666" max="6666" width="13.26953125" style="1072" customWidth="1"/>
    <col min="6667" max="6667" width="17.453125" style="1072" customWidth="1"/>
    <col min="6668" max="6912" width="14.7265625" style="1072"/>
    <col min="6913" max="6913" width="52.26953125" style="1072" customWidth="1"/>
    <col min="6914" max="6915" width="20.1796875" style="1072" customWidth="1"/>
    <col min="6916" max="6916" width="16.26953125" style="1072" customWidth="1"/>
    <col min="6917" max="6918" width="14.7265625" style="1072" customWidth="1"/>
    <col min="6919" max="6919" width="18.81640625" style="1072" customWidth="1"/>
    <col min="6920" max="6920" width="17.453125" style="1072" customWidth="1"/>
    <col min="6921" max="6921" width="16.26953125" style="1072" customWidth="1"/>
    <col min="6922" max="6922" width="13.26953125" style="1072" customWidth="1"/>
    <col min="6923" max="6923" width="17.453125" style="1072" customWidth="1"/>
    <col min="6924" max="7168" width="14.7265625" style="1072"/>
    <col min="7169" max="7169" width="52.26953125" style="1072" customWidth="1"/>
    <col min="7170" max="7171" width="20.1796875" style="1072" customWidth="1"/>
    <col min="7172" max="7172" width="16.26953125" style="1072" customWidth="1"/>
    <col min="7173" max="7174" width="14.7265625" style="1072" customWidth="1"/>
    <col min="7175" max="7175" width="18.81640625" style="1072" customWidth="1"/>
    <col min="7176" max="7176" width="17.453125" style="1072" customWidth="1"/>
    <col min="7177" max="7177" width="16.26953125" style="1072" customWidth="1"/>
    <col min="7178" max="7178" width="13.26953125" style="1072" customWidth="1"/>
    <col min="7179" max="7179" width="17.453125" style="1072" customWidth="1"/>
    <col min="7180" max="7424" width="14.7265625" style="1072"/>
    <col min="7425" max="7425" width="52.26953125" style="1072" customWidth="1"/>
    <col min="7426" max="7427" width="20.1796875" style="1072" customWidth="1"/>
    <col min="7428" max="7428" width="16.26953125" style="1072" customWidth="1"/>
    <col min="7429" max="7430" width="14.7265625" style="1072" customWidth="1"/>
    <col min="7431" max="7431" width="18.81640625" style="1072" customWidth="1"/>
    <col min="7432" max="7432" width="17.453125" style="1072" customWidth="1"/>
    <col min="7433" max="7433" width="16.26953125" style="1072" customWidth="1"/>
    <col min="7434" max="7434" width="13.26953125" style="1072" customWidth="1"/>
    <col min="7435" max="7435" width="17.453125" style="1072" customWidth="1"/>
    <col min="7436" max="7680" width="14.7265625" style="1072"/>
    <col min="7681" max="7681" width="52.26953125" style="1072" customWidth="1"/>
    <col min="7682" max="7683" width="20.1796875" style="1072" customWidth="1"/>
    <col min="7684" max="7684" width="16.26953125" style="1072" customWidth="1"/>
    <col min="7685" max="7686" width="14.7265625" style="1072" customWidth="1"/>
    <col min="7687" max="7687" width="18.81640625" style="1072" customWidth="1"/>
    <col min="7688" max="7688" width="17.453125" style="1072" customWidth="1"/>
    <col min="7689" max="7689" width="16.26953125" style="1072" customWidth="1"/>
    <col min="7690" max="7690" width="13.26953125" style="1072" customWidth="1"/>
    <col min="7691" max="7691" width="17.453125" style="1072" customWidth="1"/>
    <col min="7692" max="7936" width="14.7265625" style="1072"/>
    <col min="7937" max="7937" width="52.26953125" style="1072" customWidth="1"/>
    <col min="7938" max="7939" width="20.1796875" style="1072" customWidth="1"/>
    <col min="7940" max="7940" width="16.26953125" style="1072" customWidth="1"/>
    <col min="7941" max="7942" width="14.7265625" style="1072" customWidth="1"/>
    <col min="7943" max="7943" width="18.81640625" style="1072" customWidth="1"/>
    <col min="7944" max="7944" width="17.453125" style="1072" customWidth="1"/>
    <col min="7945" max="7945" width="16.26953125" style="1072" customWidth="1"/>
    <col min="7946" max="7946" width="13.26953125" style="1072" customWidth="1"/>
    <col min="7947" max="7947" width="17.453125" style="1072" customWidth="1"/>
    <col min="7948" max="8192" width="14.7265625" style="1072"/>
    <col min="8193" max="8193" width="52.26953125" style="1072" customWidth="1"/>
    <col min="8194" max="8195" width="20.1796875" style="1072" customWidth="1"/>
    <col min="8196" max="8196" width="16.26953125" style="1072" customWidth="1"/>
    <col min="8197" max="8198" width="14.7265625" style="1072" customWidth="1"/>
    <col min="8199" max="8199" width="18.81640625" style="1072" customWidth="1"/>
    <col min="8200" max="8200" width="17.453125" style="1072" customWidth="1"/>
    <col min="8201" max="8201" width="16.26953125" style="1072" customWidth="1"/>
    <col min="8202" max="8202" width="13.26953125" style="1072" customWidth="1"/>
    <col min="8203" max="8203" width="17.453125" style="1072" customWidth="1"/>
    <col min="8204" max="8448" width="14.7265625" style="1072"/>
    <col min="8449" max="8449" width="52.26953125" style="1072" customWidth="1"/>
    <col min="8450" max="8451" width="20.1796875" style="1072" customWidth="1"/>
    <col min="8452" max="8452" width="16.26953125" style="1072" customWidth="1"/>
    <col min="8453" max="8454" width="14.7265625" style="1072" customWidth="1"/>
    <col min="8455" max="8455" width="18.81640625" style="1072" customWidth="1"/>
    <col min="8456" max="8456" width="17.453125" style="1072" customWidth="1"/>
    <col min="8457" max="8457" width="16.26953125" style="1072" customWidth="1"/>
    <col min="8458" max="8458" width="13.26953125" style="1072" customWidth="1"/>
    <col min="8459" max="8459" width="17.453125" style="1072" customWidth="1"/>
    <col min="8460" max="8704" width="14.7265625" style="1072"/>
    <col min="8705" max="8705" width="52.26953125" style="1072" customWidth="1"/>
    <col min="8706" max="8707" width="20.1796875" style="1072" customWidth="1"/>
    <col min="8708" max="8708" width="16.26953125" style="1072" customWidth="1"/>
    <col min="8709" max="8710" width="14.7265625" style="1072" customWidth="1"/>
    <col min="8711" max="8711" width="18.81640625" style="1072" customWidth="1"/>
    <col min="8712" max="8712" width="17.453125" style="1072" customWidth="1"/>
    <col min="8713" max="8713" width="16.26953125" style="1072" customWidth="1"/>
    <col min="8714" max="8714" width="13.26953125" style="1072" customWidth="1"/>
    <col min="8715" max="8715" width="17.453125" style="1072" customWidth="1"/>
    <col min="8716" max="8960" width="14.7265625" style="1072"/>
    <col min="8961" max="8961" width="52.26953125" style="1072" customWidth="1"/>
    <col min="8962" max="8963" width="20.1796875" style="1072" customWidth="1"/>
    <col min="8964" max="8964" width="16.26953125" style="1072" customWidth="1"/>
    <col min="8965" max="8966" width="14.7265625" style="1072" customWidth="1"/>
    <col min="8967" max="8967" width="18.81640625" style="1072" customWidth="1"/>
    <col min="8968" max="8968" width="17.453125" style="1072" customWidth="1"/>
    <col min="8969" max="8969" width="16.26953125" style="1072" customWidth="1"/>
    <col min="8970" max="8970" width="13.26953125" style="1072" customWidth="1"/>
    <col min="8971" max="8971" width="17.453125" style="1072" customWidth="1"/>
    <col min="8972" max="9216" width="14.7265625" style="1072"/>
    <col min="9217" max="9217" width="52.26953125" style="1072" customWidth="1"/>
    <col min="9218" max="9219" width="20.1796875" style="1072" customWidth="1"/>
    <col min="9220" max="9220" width="16.26953125" style="1072" customWidth="1"/>
    <col min="9221" max="9222" width="14.7265625" style="1072" customWidth="1"/>
    <col min="9223" max="9223" width="18.81640625" style="1072" customWidth="1"/>
    <col min="9224" max="9224" width="17.453125" style="1072" customWidth="1"/>
    <col min="9225" max="9225" width="16.26953125" style="1072" customWidth="1"/>
    <col min="9226" max="9226" width="13.26953125" style="1072" customWidth="1"/>
    <col min="9227" max="9227" width="17.453125" style="1072" customWidth="1"/>
    <col min="9228" max="9472" width="14.7265625" style="1072"/>
    <col min="9473" max="9473" width="52.26953125" style="1072" customWidth="1"/>
    <col min="9474" max="9475" width="20.1796875" style="1072" customWidth="1"/>
    <col min="9476" max="9476" width="16.26953125" style="1072" customWidth="1"/>
    <col min="9477" max="9478" width="14.7265625" style="1072" customWidth="1"/>
    <col min="9479" max="9479" width="18.81640625" style="1072" customWidth="1"/>
    <col min="9480" max="9480" width="17.453125" style="1072" customWidth="1"/>
    <col min="9481" max="9481" width="16.26953125" style="1072" customWidth="1"/>
    <col min="9482" max="9482" width="13.26953125" style="1072" customWidth="1"/>
    <col min="9483" max="9483" width="17.453125" style="1072" customWidth="1"/>
    <col min="9484" max="9728" width="14.7265625" style="1072"/>
    <col min="9729" max="9729" width="52.26953125" style="1072" customWidth="1"/>
    <col min="9730" max="9731" width="20.1796875" style="1072" customWidth="1"/>
    <col min="9732" max="9732" width="16.26953125" style="1072" customWidth="1"/>
    <col min="9733" max="9734" width="14.7265625" style="1072" customWidth="1"/>
    <col min="9735" max="9735" width="18.81640625" style="1072" customWidth="1"/>
    <col min="9736" max="9736" width="17.453125" style="1072" customWidth="1"/>
    <col min="9737" max="9737" width="16.26953125" style="1072" customWidth="1"/>
    <col min="9738" max="9738" width="13.26953125" style="1072" customWidth="1"/>
    <col min="9739" max="9739" width="17.453125" style="1072" customWidth="1"/>
    <col min="9740" max="9984" width="14.7265625" style="1072"/>
    <col min="9985" max="9985" width="52.26953125" style="1072" customWidth="1"/>
    <col min="9986" max="9987" width="20.1796875" style="1072" customWidth="1"/>
    <col min="9988" max="9988" width="16.26953125" style="1072" customWidth="1"/>
    <col min="9989" max="9990" width="14.7265625" style="1072" customWidth="1"/>
    <col min="9991" max="9991" width="18.81640625" style="1072" customWidth="1"/>
    <col min="9992" max="9992" width="17.453125" style="1072" customWidth="1"/>
    <col min="9993" max="9993" width="16.26953125" style="1072" customWidth="1"/>
    <col min="9994" max="9994" width="13.26953125" style="1072" customWidth="1"/>
    <col min="9995" max="9995" width="17.453125" style="1072" customWidth="1"/>
    <col min="9996" max="10240" width="14.7265625" style="1072"/>
    <col min="10241" max="10241" width="52.26953125" style="1072" customWidth="1"/>
    <col min="10242" max="10243" width="20.1796875" style="1072" customWidth="1"/>
    <col min="10244" max="10244" width="16.26953125" style="1072" customWidth="1"/>
    <col min="10245" max="10246" width="14.7265625" style="1072" customWidth="1"/>
    <col min="10247" max="10247" width="18.81640625" style="1072" customWidth="1"/>
    <col min="10248" max="10248" width="17.453125" style="1072" customWidth="1"/>
    <col min="10249" max="10249" width="16.26953125" style="1072" customWidth="1"/>
    <col min="10250" max="10250" width="13.26953125" style="1072" customWidth="1"/>
    <col min="10251" max="10251" width="17.453125" style="1072" customWidth="1"/>
    <col min="10252" max="10496" width="14.7265625" style="1072"/>
    <col min="10497" max="10497" width="52.26953125" style="1072" customWidth="1"/>
    <col min="10498" max="10499" width="20.1796875" style="1072" customWidth="1"/>
    <col min="10500" max="10500" width="16.26953125" style="1072" customWidth="1"/>
    <col min="10501" max="10502" width="14.7265625" style="1072" customWidth="1"/>
    <col min="10503" max="10503" width="18.81640625" style="1072" customWidth="1"/>
    <col min="10504" max="10504" width="17.453125" style="1072" customWidth="1"/>
    <col min="10505" max="10505" width="16.26953125" style="1072" customWidth="1"/>
    <col min="10506" max="10506" width="13.26953125" style="1072" customWidth="1"/>
    <col min="10507" max="10507" width="17.453125" style="1072" customWidth="1"/>
    <col min="10508" max="10752" width="14.7265625" style="1072"/>
    <col min="10753" max="10753" width="52.26953125" style="1072" customWidth="1"/>
    <col min="10754" max="10755" width="20.1796875" style="1072" customWidth="1"/>
    <col min="10756" max="10756" width="16.26953125" style="1072" customWidth="1"/>
    <col min="10757" max="10758" width="14.7265625" style="1072" customWidth="1"/>
    <col min="10759" max="10759" width="18.81640625" style="1072" customWidth="1"/>
    <col min="10760" max="10760" width="17.453125" style="1072" customWidth="1"/>
    <col min="10761" max="10761" width="16.26953125" style="1072" customWidth="1"/>
    <col min="10762" max="10762" width="13.26953125" style="1072" customWidth="1"/>
    <col min="10763" max="10763" width="17.453125" style="1072" customWidth="1"/>
    <col min="10764" max="11008" width="14.7265625" style="1072"/>
    <col min="11009" max="11009" width="52.26953125" style="1072" customWidth="1"/>
    <col min="11010" max="11011" width="20.1796875" style="1072" customWidth="1"/>
    <col min="11012" max="11012" width="16.26953125" style="1072" customWidth="1"/>
    <col min="11013" max="11014" width="14.7265625" style="1072" customWidth="1"/>
    <col min="11015" max="11015" width="18.81640625" style="1072" customWidth="1"/>
    <col min="11016" max="11016" width="17.453125" style="1072" customWidth="1"/>
    <col min="11017" max="11017" width="16.26953125" style="1072" customWidth="1"/>
    <col min="11018" max="11018" width="13.26953125" style="1072" customWidth="1"/>
    <col min="11019" max="11019" width="17.453125" style="1072" customWidth="1"/>
    <col min="11020" max="11264" width="14.7265625" style="1072"/>
    <col min="11265" max="11265" width="52.26953125" style="1072" customWidth="1"/>
    <col min="11266" max="11267" width="20.1796875" style="1072" customWidth="1"/>
    <col min="11268" max="11268" width="16.26953125" style="1072" customWidth="1"/>
    <col min="11269" max="11270" width="14.7265625" style="1072" customWidth="1"/>
    <col min="11271" max="11271" width="18.81640625" style="1072" customWidth="1"/>
    <col min="11272" max="11272" width="17.453125" style="1072" customWidth="1"/>
    <col min="11273" max="11273" width="16.26953125" style="1072" customWidth="1"/>
    <col min="11274" max="11274" width="13.26953125" style="1072" customWidth="1"/>
    <col min="11275" max="11275" width="17.453125" style="1072" customWidth="1"/>
    <col min="11276" max="11520" width="14.7265625" style="1072"/>
    <col min="11521" max="11521" width="52.26953125" style="1072" customWidth="1"/>
    <col min="11522" max="11523" width="20.1796875" style="1072" customWidth="1"/>
    <col min="11524" max="11524" width="16.26953125" style="1072" customWidth="1"/>
    <col min="11525" max="11526" width="14.7265625" style="1072" customWidth="1"/>
    <col min="11527" max="11527" width="18.81640625" style="1072" customWidth="1"/>
    <col min="11528" max="11528" width="17.453125" style="1072" customWidth="1"/>
    <col min="11529" max="11529" width="16.26953125" style="1072" customWidth="1"/>
    <col min="11530" max="11530" width="13.26953125" style="1072" customWidth="1"/>
    <col min="11531" max="11531" width="17.453125" style="1072" customWidth="1"/>
    <col min="11532" max="11776" width="14.7265625" style="1072"/>
    <col min="11777" max="11777" width="52.26953125" style="1072" customWidth="1"/>
    <col min="11778" max="11779" width="20.1796875" style="1072" customWidth="1"/>
    <col min="11780" max="11780" width="16.26953125" style="1072" customWidth="1"/>
    <col min="11781" max="11782" width="14.7265625" style="1072" customWidth="1"/>
    <col min="11783" max="11783" width="18.81640625" style="1072" customWidth="1"/>
    <col min="11784" max="11784" width="17.453125" style="1072" customWidth="1"/>
    <col min="11785" max="11785" width="16.26953125" style="1072" customWidth="1"/>
    <col min="11786" max="11786" width="13.26953125" style="1072" customWidth="1"/>
    <col min="11787" max="11787" width="17.453125" style="1072" customWidth="1"/>
    <col min="11788" max="12032" width="14.7265625" style="1072"/>
    <col min="12033" max="12033" width="52.26953125" style="1072" customWidth="1"/>
    <col min="12034" max="12035" width="20.1796875" style="1072" customWidth="1"/>
    <col min="12036" max="12036" width="16.26953125" style="1072" customWidth="1"/>
    <col min="12037" max="12038" width="14.7265625" style="1072" customWidth="1"/>
    <col min="12039" max="12039" width="18.81640625" style="1072" customWidth="1"/>
    <col min="12040" max="12040" width="17.453125" style="1072" customWidth="1"/>
    <col min="12041" max="12041" width="16.26953125" style="1072" customWidth="1"/>
    <col min="12042" max="12042" width="13.26953125" style="1072" customWidth="1"/>
    <col min="12043" max="12043" width="17.453125" style="1072" customWidth="1"/>
    <col min="12044" max="12288" width="14.7265625" style="1072"/>
    <col min="12289" max="12289" width="52.26953125" style="1072" customWidth="1"/>
    <col min="12290" max="12291" width="20.1796875" style="1072" customWidth="1"/>
    <col min="12292" max="12292" width="16.26953125" style="1072" customWidth="1"/>
    <col min="12293" max="12294" width="14.7265625" style="1072" customWidth="1"/>
    <col min="12295" max="12295" width="18.81640625" style="1072" customWidth="1"/>
    <col min="12296" max="12296" width="17.453125" style="1072" customWidth="1"/>
    <col min="12297" max="12297" width="16.26953125" style="1072" customWidth="1"/>
    <col min="12298" max="12298" width="13.26953125" style="1072" customWidth="1"/>
    <col min="12299" max="12299" width="17.453125" style="1072" customWidth="1"/>
    <col min="12300" max="12544" width="14.7265625" style="1072"/>
    <col min="12545" max="12545" width="52.26953125" style="1072" customWidth="1"/>
    <col min="12546" max="12547" width="20.1796875" style="1072" customWidth="1"/>
    <col min="12548" max="12548" width="16.26953125" style="1072" customWidth="1"/>
    <col min="12549" max="12550" width="14.7265625" style="1072" customWidth="1"/>
    <col min="12551" max="12551" width="18.81640625" style="1072" customWidth="1"/>
    <col min="12552" max="12552" width="17.453125" style="1072" customWidth="1"/>
    <col min="12553" max="12553" width="16.26953125" style="1072" customWidth="1"/>
    <col min="12554" max="12554" width="13.26953125" style="1072" customWidth="1"/>
    <col min="12555" max="12555" width="17.453125" style="1072" customWidth="1"/>
    <col min="12556" max="12800" width="14.7265625" style="1072"/>
    <col min="12801" max="12801" width="52.26953125" style="1072" customWidth="1"/>
    <col min="12802" max="12803" width="20.1796875" style="1072" customWidth="1"/>
    <col min="12804" max="12804" width="16.26953125" style="1072" customWidth="1"/>
    <col min="12805" max="12806" width="14.7265625" style="1072" customWidth="1"/>
    <col min="12807" max="12807" width="18.81640625" style="1072" customWidth="1"/>
    <col min="12808" max="12808" width="17.453125" style="1072" customWidth="1"/>
    <col min="12809" max="12809" width="16.26953125" style="1072" customWidth="1"/>
    <col min="12810" max="12810" width="13.26953125" style="1072" customWidth="1"/>
    <col min="12811" max="12811" width="17.453125" style="1072" customWidth="1"/>
    <col min="12812" max="13056" width="14.7265625" style="1072"/>
    <col min="13057" max="13057" width="52.26953125" style="1072" customWidth="1"/>
    <col min="13058" max="13059" width="20.1796875" style="1072" customWidth="1"/>
    <col min="13060" max="13060" width="16.26953125" style="1072" customWidth="1"/>
    <col min="13061" max="13062" width="14.7265625" style="1072" customWidth="1"/>
    <col min="13063" max="13063" width="18.81640625" style="1072" customWidth="1"/>
    <col min="13064" max="13064" width="17.453125" style="1072" customWidth="1"/>
    <col min="13065" max="13065" width="16.26953125" style="1072" customWidth="1"/>
    <col min="13066" max="13066" width="13.26953125" style="1072" customWidth="1"/>
    <col min="13067" max="13067" width="17.453125" style="1072" customWidth="1"/>
    <col min="13068" max="13312" width="14.7265625" style="1072"/>
    <col min="13313" max="13313" width="52.26953125" style="1072" customWidth="1"/>
    <col min="13314" max="13315" width="20.1796875" style="1072" customWidth="1"/>
    <col min="13316" max="13316" width="16.26953125" style="1072" customWidth="1"/>
    <col min="13317" max="13318" width="14.7265625" style="1072" customWidth="1"/>
    <col min="13319" max="13319" width="18.81640625" style="1072" customWidth="1"/>
    <col min="13320" max="13320" width="17.453125" style="1072" customWidth="1"/>
    <col min="13321" max="13321" width="16.26953125" style="1072" customWidth="1"/>
    <col min="13322" max="13322" width="13.26953125" style="1072" customWidth="1"/>
    <col min="13323" max="13323" width="17.453125" style="1072" customWidth="1"/>
    <col min="13324" max="13568" width="14.7265625" style="1072"/>
    <col min="13569" max="13569" width="52.26953125" style="1072" customWidth="1"/>
    <col min="13570" max="13571" width="20.1796875" style="1072" customWidth="1"/>
    <col min="13572" max="13572" width="16.26953125" style="1072" customWidth="1"/>
    <col min="13573" max="13574" width="14.7265625" style="1072" customWidth="1"/>
    <col min="13575" max="13575" width="18.81640625" style="1072" customWidth="1"/>
    <col min="13576" max="13576" width="17.453125" style="1072" customWidth="1"/>
    <col min="13577" max="13577" width="16.26953125" style="1072" customWidth="1"/>
    <col min="13578" max="13578" width="13.26953125" style="1072" customWidth="1"/>
    <col min="13579" max="13579" width="17.453125" style="1072" customWidth="1"/>
    <col min="13580" max="13824" width="14.7265625" style="1072"/>
    <col min="13825" max="13825" width="52.26953125" style="1072" customWidth="1"/>
    <col min="13826" max="13827" width="20.1796875" style="1072" customWidth="1"/>
    <col min="13828" max="13828" width="16.26953125" style="1072" customWidth="1"/>
    <col min="13829" max="13830" width="14.7265625" style="1072" customWidth="1"/>
    <col min="13831" max="13831" width="18.81640625" style="1072" customWidth="1"/>
    <col min="13832" max="13832" width="17.453125" style="1072" customWidth="1"/>
    <col min="13833" max="13833" width="16.26953125" style="1072" customWidth="1"/>
    <col min="13834" max="13834" width="13.26953125" style="1072" customWidth="1"/>
    <col min="13835" max="13835" width="17.453125" style="1072" customWidth="1"/>
    <col min="13836" max="14080" width="14.7265625" style="1072"/>
    <col min="14081" max="14081" width="52.26953125" style="1072" customWidth="1"/>
    <col min="14082" max="14083" width="20.1796875" style="1072" customWidth="1"/>
    <col min="14084" max="14084" width="16.26953125" style="1072" customWidth="1"/>
    <col min="14085" max="14086" width="14.7265625" style="1072" customWidth="1"/>
    <col min="14087" max="14087" width="18.81640625" style="1072" customWidth="1"/>
    <col min="14088" max="14088" width="17.453125" style="1072" customWidth="1"/>
    <col min="14089" max="14089" width="16.26953125" style="1072" customWidth="1"/>
    <col min="14090" max="14090" width="13.26953125" style="1072" customWidth="1"/>
    <col min="14091" max="14091" width="17.453125" style="1072" customWidth="1"/>
    <col min="14092" max="14336" width="14.7265625" style="1072"/>
    <col min="14337" max="14337" width="52.26953125" style="1072" customWidth="1"/>
    <col min="14338" max="14339" width="20.1796875" style="1072" customWidth="1"/>
    <col min="14340" max="14340" width="16.26953125" style="1072" customWidth="1"/>
    <col min="14341" max="14342" width="14.7265625" style="1072" customWidth="1"/>
    <col min="14343" max="14343" width="18.81640625" style="1072" customWidth="1"/>
    <col min="14344" max="14344" width="17.453125" style="1072" customWidth="1"/>
    <col min="14345" max="14345" width="16.26953125" style="1072" customWidth="1"/>
    <col min="14346" max="14346" width="13.26953125" style="1072" customWidth="1"/>
    <col min="14347" max="14347" width="17.453125" style="1072" customWidth="1"/>
    <col min="14348" max="14592" width="14.7265625" style="1072"/>
    <col min="14593" max="14593" width="52.26953125" style="1072" customWidth="1"/>
    <col min="14594" max="14595" width="20.1796875" style="1072" customWidth="1"/>
    <col min="14596" max="14596" width="16.26953125" style="1072" customWidth="1"/>
    <col min="14597" max="14598" width="14.7265625" style="1072" customWidth="1"/>
    <col min="14599" max="14599" width="18.81640625" style="1072" customWidth="1"/>
    <col min="14600" max="14600" width="17.453125" style="1072" customWidth="1"/>
    <col min="14601" max="14601" width="16.26953125" style="1072" customWidth="1"/>
    <col min="14602" max="14602" width="13.26953125" style="1072" customWidth="1"/>
    <col min="14603" max="14603" width="17.453125" style="1072" customWidth="1"/>
    <col min="14604" max="14848" width="14.7265625" style="1072"/>
    <col min="14849" max="14849" width="52.26953125" style="1072" customWidth="1"/>
    <col min="14850" max="14851" width="20.1796875" style="1072" customWidth="1"/>
    <col min="14852" max="14852" width="16.26953125" style="1072" customWidth="1"/>
    <col min="14853" max="14854" width="14.7265625" style="1072" customWidth="1"/>
    <col min="14855" max="14855" width="18.81640625" style="1072" customWidth="1"/>
    <col min="14856" max="14856" width="17.453125" style="1072" customWidth="1"/>
    <col min="14857" max="14857" width="16.26953125" style="1072" customWidth="1"/>
    <col min="14858" max="14858" width="13.26953125" style="1072" customWidth="1"/>
    <col min="14859" max="14859" width="17.453125" style="1072" customWidth="1"/>
    <col min="14860" max="15104" width="14.7265625" style="1072"/>
    <col min="15105" max="15105" width="52.26953125" style="1072" customWidth="1"/>
    <col min="15106" max="15107" width="20.1796875" style="1072" customWidth="1"/>
    <col min="15108" max="15108" width="16.26953125" style="1072" customWidth="1"/>
    <col min="15109" max="15110" width="14.7265625" style="1072" customWidth="1"/>
    <col min="15111" max="15111" width="18.81640625" style="1072" customWidth="1"/>
    <col min="15112" max="15112" width="17.453125" style="1072" customWidth="1"/>
    <col min="15113" max="15113" width="16.26953125" style="1072" customWidth="1"/>
    <col min="15114" max="15114" width="13.26953125" style="1072" customWidth="1"/>
    <col min="15115" max="15115" width="17.453125" style="1072" customWidth="1"/>
    <col min="15116" max="15360" width="14.7265625" style="1072"/>
    <col min="15361" max="15361" width="52.26953125" style="1072" customWidth="1"/>
    <col min="15362" max="15363" width="20.1796875" style="1072" customWidth="1"/>
    <col min="15364" max="15364" width="16.26953125" style="1072" customWidth="1"/>
    <col min="15365" max="15366" width="14.7265625" style="1072" customWidth="1"/>
    <col min="15367" max="15367" width="18.81640625" style="1072" customWidth="1"/>
    <col min="15368" max="15368" width="17.453125" style="1072" customWidth="1"/>
    <col min="15369" max="15369" width="16.26953125" style="1072" customWidth="1"/>
    <col min="15370" max="15370" width="13.26953125" style="1072" customWidth="1"/>
    <col min="15371" max="15371" width="17.453125" style="1072" customWidth="1"/>
    <col min="15372" max="15616" width="14.7265625" style="1072"/>
    <col min="15617" max="15617" width="52.26953125" style="1072" customWidth="1"/>
    <col min="15618" max="15619" width="20.1796875" style="1072" customWidth="1"/>
    <col min="15620" max="15620" width="16.26953125" style="1072" customWidth="1"/>
    <col min="15621" max="15622" width="14.7265625" style="1072" customWidth="1"/>
    <col min="15623" max="15623" width="18.81640625" style="1072" customWidth="1"/>
    <col min="15624" max="15624" width="17.453125" style="1072" customWidth="1"/>
    <col min="15625" max="15625" width="16.26953125" style="1072" customWidth="1"/>
    <col min="15626" max="15626" width="13.26953125" style="1072" customWidth="1"/>
    <col min="15627" max="15627" width="17.453125" style="1072" customWidth="1"/>
    <col min="15628" max="15872" width="14.7265625" style="1072"/>
    <col min="15873" max="15873" width="52.26953125" style="1072" customWidth="1"/>
    <col min="15874" max="15875" width="20.1796875" style="1072" customWidth="1"/>
    <col min="15876" max="15876" width="16.26953125" style="1072" customWidth="1"/>
    <col min="15877" max="15878" width="14.7265625" style="1072" customWidth="1"/>
    <col min="15879" max="15879" width="18.81640625" style="1072" customWidth="1"/>
    <col min="15880" max="15880" width="17.453125" style="1072" customWidth="1"/>
    <col min="15881" max="15881" width="16.26953125" style="1072" customWidth="1"/>
    <col min="15882" max="15882" width="13.26953125" style="1072" customWidth="1"/>
    <col min="15883" max="15883" width="17.453125" style="1072" customWidth="1"/>
    <col min="15884" max="16128" width="14.7265625" style="1072"/>
    <col min="16129" max="16129" width="52.26953125" style="1072" customWidth="1"/>
    <col min="16130" max="16131" width="20.1796875" style="1072" customWidth="1"/>
    <col min="16132" max="16132" width="16.26953125" style="1072" customWidth="1"/>
    <col min="16133" max="16134" width="14.7265625" style="1072" customWidth="1"/>
    <col min="16135" max="16135" width="18.81640625" style="1072" customWidth="1"/>
    <col min="16136" max="16136" width="17.453125" style="1072" customWidth="1"/>
    <col min="16137" max="16137" width="16.26953125" style="1072" customWidth="1"/>
    <col min="16138" max="16138" width="13.26953125" style="1072" customWidth="1"/>
    <col min="16139" max="16139" width="17.453125" style="1072" customWidth="1"/>
    <col min="16140" max="16384" width="14.7265625" style="1072"/>
  </cols>
  <sheetData>
    <row r="1" spans="1:16" ht="17.5">
      <c r="A1" s="1580" t="s">
        <v>5525</v>
      </c>
      <c r="B1" s="1088"/>
      <c r="C1" s="1088"/>
      <c r="D1" s="1088"/>
      <c r="E1" s="1088"/>
      <c r="F1" s="1088"/>
      <c r="I1" s="1089" t="s">
        <v>124</v>
      </c>
      <c r="J1" s="1090" t="s">
        <v>1445</v>
      </c>
    </row>
    <row r="2" spans="1:16" ht="17.5">
      <c r="A2" s="1088"/>
      <c r="B2" s="1088"/>
      <c r="C2" s="1088"/>
      <c r="D2" s="1088"/>
      <c r="E2" s="1088"/>
      <c r="F2" s="1088"/>
    </row>
    <row r="3" spans="1:16" ht="18">
      <c r="A3" s="1091" t="s">
        <v>1299</v>
      </c>
      <c r="B3" s="1091"/>
      <c r="C3" s="1088"/>
      <c r="D3" s="1088"/>
      <c r="E3" s="1088"/>
      <c r="F3" s="1088"/>
    </row>
    <row r="4" spans="1:16" ht="18">
      <c r="A4" s="1091"/>
      <c r="B4" s="1088"/>
      <c r="E4" s="1092"/>
      <c r="F4" s="1092"/>
      <c r="G4" s="1093"/>
    </row>
    <row r="5" spans="1:16" ht="18">
      <c r="A5" s="1094" t="s">
        <v>4145</v>
      </c>
      <c r="B5" s="1091"/>
      <c r="C5" s="1088"/>
      <c r="D5" s="1088"/>
      <c r="E5" s="1088"/>
      <c r="F5" s="1088"/>
    </row>
    <row r="6" spans="1:16" s="1090" customFormat="1" ht="18">
      <c r="A6" s="1095"/>
      <c r="B6" s="3510" t="s">
        <v>8477</v>
      </c>
      <c r="C6" s="3511"/>
      <c r="D6" s="3511"/>
      <c r="E6" s="3511"/>
      <c r="F6" s="3512"/>
      <c r="G6" s="3513" t="s">
        <v>8478</v>
      </c>
      <c r="H6" s="3514"/>
      <c r="I6" s="3514"/>
      <c r="J6" s="3514"/>
      <c r="K6" s="3515"/>
    </row>
    <row r="7" spans="1:16" ht="96.75" customHeight="1">
      <c r="A7" s="1096"/>
      <c r="B7" s="1762" t="s">
        <v>4112</v>
      </c>
      <c r="C7" s="1762" t="s">
        <v>4113</v>
      </c>
      <c r="D7" s="1762" t="s">
        <v>4117</v>
      </c>
      <c r="E7" s="1762" t="s">
        <v>4118</v>
      </c>
      <c r="F7" s="1762" t="s">
        <v>4119</v>
      </c>
      <c r="G7" s="1762" t="s">
        <v>4112</v>
      </c>
      <c r="H7" s="1762" t="s">
        <v>4113</v>
      </c>
      <c r="I7" s="1762" t="s">
        <v>4117</v>
      </c>
      <c r="J7" s="1762" t="s">
        <v>4118</v>
      </c>
      <c r="K7" s="1762" t="s">
        <v>4119</v>
      </c>
    </row>
    <row r="8" spans="1:16" ht="17.5">
      <c r="A8" s="1971" t="s">
        <v>1430</v>
      </c>
      <c r="B8" s="1972"/>
      <c r="C8" s="1972"/>
      <c r="D8" s="1972"/>
      <c r="E8" s="1971"/>
      <c r="F8" s="1971"/>
      <c r="G8" s="1972"/>
      <c r="H8" s="1972"/>
      <c r="I8" s="1972"/>
      <c r="J8" s="1971"/>
      <c r="K8" s="1096"/>
    </row>
    <row r="9" spans="1:16" ht="17.5">
      <c r="A9" s="1097">
        <v>1</v>
      </c>
      <c r="B9" s="1973">
        <v>176</v>
      </c>
      <c r="C9" s="1974">
        <v>166.74578</v>
      </c>
      <c r="D9" s="1975">
        <v>0.48931800000000003</v>
      </c>
      <c r="E9" s="1975">
        <v>7.7520227232999996</v>
      </c>
      <c r="F9" s="1973">
        <v>5.0510145999999994</v>
      </c>
      <c r="G9" s="1973">
        <v>223</v>
      </c>
      <c r="H9" s="1974">
        <v>218.44</v>
      </c>
      <c r="I9" s="1975">
        <v>0.19805</v>
      </c>
      <c r="J9" s="1975" t="s">
        <v>8476</v>
      </c>
      <c r="K9" s="1975">
        <v>2.9429979999999998</v>
      </c>
      <c r="L9" s="1098"/>
      <c r="M9" s="1098"/>
      <c r="N9" s="1099"/>
      <c r="O9" s="1099"/>
      <c r="P9" s="1098"/>
    </row>
    <row r="10" spans="1:16" ht="17.5">
      <c r="A10" s="1097">
        <v>2</v>
      </c>
      <c r="B10" s="1973">
        <v>2898</v>
      </c>
      <c r="C10" s="1974">
        <v>4805</v>
      </c>
      <c r="D10" s="1975">
        <v>8.9724710000000005</v>
      </c>
      <c r="E10" s="1975">
        <v>132.16575838329999</v>
      </c>
      <c r="F10" s="1973">
        <v>84.547258200000002</v>
      </c>
      <c r="G10" s="1973">
        <v>3051</v>
      </c>
      <c r="H10" s="1974">
        <v>5940</v>
      </c>
      <c r="I10" s="1975">
        <v>4.2964279999999997</v>
      </c>
      <c r="J10" s="1975">
        <v>68.260997700000004</v>
      </c>
      <c r="K10" s="1975">
        <v>40.486246000000001</v>
      </c>
      <c r="L10" s="1098">
        <f>D17</f>
        <v>141.014745</v>
      </c>
      <c r="M10" s="1098">
        <f>'T-6 (21-22)'!I22+'T-6 (21-22)'!I23+'T-6 (21-22)'!I24+'T-6 (21-22)'!I36+'T-6 (21-22)'!I37+'T-6 (21-22)'!I38</f>
        <v>141.01478521395001</v>
      </c>
      <c r="N10" s="1099">
        <f>M10-L10</f>
        <v>4.0213950001088961E-5</v>
      </c>
      <c r="O10" s="1099"/>
      <c r="P10" s="1098"/>
    </row>
    <row r="11" spans="1:16" ht="17.5">
      <c r="A11" s="1097">
        <v>3</v>
      </c>
      <c r="B11" s="1973">
        <v>11882</v>
      </c>
      <c r="C11" s="1974">
        <v>32208</v>
      </c>
      <c r="D11" s="1975">
        <f>40.151579+3.168</f>
        <v>43.319578999999997</v>
      </c>
      <c r="E11" s="1975">
        <f>646.0159396*1.25</f>
        <v>807.5199245</v>
      </c>
      <c r="F11" s="1973">
        <v>279.16276669999996</v>
      </c>
      <c r="G11" s="1973">
        <v>11328</v>
      </c>
      <c r="H11" s="1974">
        <v>36674</v>
      </c>
      <c r="I11" s="1975">
        <f>20.315513+5</f>
        <v>25.315512999999999</v>
      </c>
      <c r="J11" s="1975">
        <f>450.7893251+150</f>
        <v>600.78932510000004</v>
      </c>
      <c r="K11" s="1975">
        <v>122.03421409999999</v>
      </c>
      <c r="L11" s="1098">
        <f>E17/100</f>
        <v>27.482838298696997</v>
      </c>
      <c r="M11" s="1098">
        <f>'T-6 (21-22)'!J22+'T-6 (21-22)'!J23+'T-6 (21-22)'!J24+'T-6 (21-22)'!J36+'T-6 (21-22)'!J37+'T-6 (21-22)'!J38</f>
        <v>27.482970511123234</v>
      </c>
      <c r="N11" s="1099">
        <f>M11-L11</f>
        <v>1.3221242623728813E-4</v>
      </c>
      <c r="O11" s="1099"/>
      <c r="P11" s="1098"/>
    </row>
    <row r="12" spans="1:16" ht="17.5">
      <c r="A12" s="1097">
        <v>4</v>
      </c>
      <c r="B12" s="1973">
        <v>6127</v>
      </c>
      <c r="C12" s="1974">
        <v>23610.308700000001</v>
      </c>
      <c r="D12" s="1975">
        <v>21.011437000000001</v>
      </c>
      <c r="E12" s="1975">
        <f>275.0060470361+52</f>
        <v>327.00604703609997</v>
      </c>
      <c r="F12" s="1973">
        <v>124.0964371</v>
      </c>
      <c r="G12" s="1973">
        <v>4955</v>
      </c>
      <c r="H12" s="1974">
        <v>19607</v>
      </c>
      <c r="I12" s="1975">
        <v>9.6421540000000014</v>
      </c>
      <c r="J12" s="1975">
        <v>157.3206567</v>
      </c>
      <c r="K12" s="1975">
        <v>56.9698645</v>
      </c>
      <c r="L12" s="1098"/>
      <c r="M12" s="1098"/>
      <c r="N12" s="1099"/>
      <c r="O12" s="1099"/>
      <c r="P12" s="1098"/>
    </row>
    <row r="13" spans="1:16" ht="17.5">
      <c r="A13" s="1097">
        <v>5</v>
      </c>
      <c r="B13" s="1973">
        <v>467</v>
      </c>
      <c r="C13" s="1974">
        <v>2306</v>
      </c>
      <c r="D13" s="1975">
        <v>17.509937000000001</v>
      </c>
      <c r="E13" s="1975">
        <v>217.37336575200001</v>
      </c>
      <c r="F13" s="1973">
        <v>125.06001389999999</v>
      </c>
      <c r="G13" s="1973">
        <v>3469</v>
      </c>
      <c r="H13" s="1974">
        <v>17306</v>
      </c>
      <c r="I13" s="1975">
        <v>6.3994399999999994</v>
      </c>
      <c r="J13" s="1975">
        <v>106.76546436300001</v>
      </c>
      <c r="K13" s="1975">
        <v>37.391247500000006</v>
      </c>
      <c r="L13" s="1098">
        <f>I17</f>
        <v>72.864769999999993</v>
      </c>
      <c r="M13" s="1098">
        <f>'T-6 (22-23)'!I22+'T-6 (22-23)'!I23+'T-6 (22-23)'!I24+'T-6 (22-23)'!I37+'T-6 (22-23)'!I38+'T-6 (22-23)'!I39</f>
        <v>72.865035463819964</v>
      </c>
      <c r="N13" s="1099">
        <f t="shared" ref="N13:N14" si="0">M13-L13</f>
        <v>2.6546381997150093E-4</v>
      </c>
      <c r="O13" s="1099"/>
      <c r="P13" s="1098"/>
    </row>
    <row r="14" spans="1:16" ht="17.5">
      <c r="A14" s="1097">
        <v>6</v>
      </c>
      <c r="B14" s="1973">
        <v>213</v>
      </c>
      <c r="C14" s="1974">
        <v>1221.1358600000001</v>
      </c>
      <c r="D14" s="1975">
        <v>1.126787</v>
      </c>
      <c r="E14" s="1975">
        <v>13.954747699999999</v>
      </c>
      <c r="F14" s="1973">
        <v>13.7767914</v>
      </c>
      <c r="G14" s="1973">
        <v>152</v>
      </c>
      <c r="H14" s="1974">
        <v>883</v>
      </c>
      <c r="I14" s="1975">
        <v>0.49374899999999999</v>
      </c>
      <c r="J14" s="1975">
        <v>9.3987750999999982</v>
      </c>
      <c r="K14" s="1975">
        <v>6.8410403000000013</v>
      </c>
      <c r="L14" s="1098">
        <f>J17/100</f>
        <v>14.697440367629998</v>
      </c>
      <c r="M14" s="1098">
        <f>'T-6 (22-23)'!J22+'T-6 (22-23)'!J23+'T-6 (22-23)'!J24+'T-6 (22-23)'!J37+'T-6 (22-23)'!J38+'T-6 (22-23)'!J39</f>
        <v>14.697338358729997</v>
      </c>
      <c r="N14" s="1099">
        <f t="shared" si="0"/>
        <v>-1.0200890000078289E-4</v>
      </c>
      <c r="O14" s="1099"/>
      <c r="P14" s="1098"/>
    </row>
    <row r="15" spans="1:16" ht="17.5">
      <c r="A15" s="1097">
        <v>7</v>
      </c>
      <c r="B15" s="1973">
        <v>32</v>
      </c>
      <c r="C15" s="1974">
        <v>219.066</v>
      </c>
      <c r="D15" s="1975">
        <v>0.31436799999999998</v>
      </c>
      <c r="E15" s="1975">
        <v>5.3771009000000021</v>
      </c>
      <c r="F15" s="1973">
        <v>4.2824216000000002</v>
      </c>
      <c r="G15" s="1973">
        <v>43</v>
      </c>
      <c r="H15" s="1974">
        <v>292</v>
      </c>
      <c r="I15" s="1975">
        <v>0.12773499999999999</v>
      </c>
      <c r="J15" s="1975">
        <v>1.7376498999999999</v>
      </c>
      <c r="K15" s="1975">
        <v>2.1251111000000003</v>
      </c>
      <c r="L15" s="1098"/>
      <c r="M15" s="1098"/>
      <c r="N15" s="1099"/>
      <c r="O15" s="1099"/>
      <c r="P15" s="1098"/>
    </row>
    <row r="16" spans="1:16" ht="17.5">
      <c r="A16" s="1971" t="s">
        <v>4146</v>
      </c>
      <c r="B16" s="1973">
        <v>4935</v>
      </c>
      <c r="C16" s="1974">
        <v>53290.273999999998</v>
      </c>
      <c r="D16" s="1976">
        <f>44.270848+4</f>
        <v>48.270848000000001</v>
      </c>
      <c r="E16" s="1975">
        <f>989.7078903*1.25</f>
        <v>1237.134862875</v>
      </c>
      <c r="F16" s="1975">
        <v>322.36854470000003</v>
      </c>
      <c r="G16" s="1973">
        <v>5559</v>
      </c>
      <c r="H16" s="1974">
        <v>56879</v>
      </c>
      <c r="I16" s="1975">
        <f>21.003701+5.388</f>
        <v>26.391700999999998</v>
      </c>
      <c r="J16" s="1975">
        <f>327.8711679+197.6</f>
        <v>525.47116789999995</v>
      </c>
      <c r="K16" s="1975">
        <v>122.4639483</v>
      </c>
      <c r="L16" s="1098"/>
      <c r="M16" s="1098"/>
      <c r="N16" s="1099"/>
      <c r="O16" s="1099"/>
      <c r="P16" s="1098"/>
    </row>
    <row r="17" spans="1:15" ht="17.5">
      <c r="A17" s="1972" t="s">
        <v>4147</v>
      </c>
      <c r="B17" s="1977">
        <f t="shared" ref="B17:C17" si="1">SUM(B9:B16)</f>
        <v>26730</v>
      </c>
      <c r="C17" s="1572">
        <f t="shared" si="1"/>
        <v>117826.53034</v>
      </c>
      <c r="D17" s="1978">
        <f t="shared" ref="D17:K17" si="2">SUM(D9:D16)</f>
        <v>141.014745</v>
      </c>
      <c r="E17" s="1979">
        <f t="shared" si="2"/>
        <v>2748.2838298696997</v>
      </c>
      <c r="F17" s="1979">
        <f t="shared" si="2"/>
        <v>958.34524820000001</v>
      </c>
      <c r="G17" s="1980">
        <f t="shared" si="2"/>
        <v>28780</v>
      </c>
      <c r="H17" s="1981">
        <f t="shared" si="2"/>
        <v>137799.44</v>
      </c>
      <c r="I17" s="1978">
        <f t="shared" si="2"/>
        <v>72.864769999999993</v>
      </c>
      <c r="J17" s="1979">
        <f t="shared" si="2"/>
        <v>1469.7440367629997</v>
      </c>
      <c r="K17" s="1979">
        <f t="shared" si="2"/>
        <v>391.25466979999999</v>
      </c>
      <c r="L17" s="1098"/>
      <c r="M17" s="1098"/>
      <c r="N17" s="1099"/>
      <c r="O17" s="1099"/>
    </row>
    <row r="18" spans="1:15" ht="17.5">
      <c r="A18" s="1088"/>
      <c r="B18" s="1088"/>
      <c r="C18" s="1088"/>
      <c r="D18" s="1088"/>
      <c r="E18" s="1088"/>
      <c r="F18" s="1088"/>
      <c r="G18" s="1088"/>
      <c r="H18" s="1088"/>
      <c r="I18" s="1088"/>
      <c r="J18" s="1088"/>
    </row>
    <row r="19" spans="1:15" ht="18">
      <c r="A19" s="1047"/>
      <c r="B19" s="3516" t="s">
        <v>6889</v>
      </c>
      <c r="C19" s="3516"/>
      <c r="D19" s="3516"/>
      <c r="E19" s="3516" t="s">
        <v>8479</v>
      </c>
      <c r="F19" s="3516"/>
      <c r="G19" s="3516"/>
      <c r="H19" s="1008"/>
      <c r="I19" s="3517"/>
      <c r="J19" s="3517"/>
      <c r="K19" s="3517"/>
    </row>
    <row r="20" spans="1:15" ht="74.25" customHeight="1">
      <c r="A20" s="1967"/>
      <c r="B20" s="1970" t="s">
        <v>476</v>
      </c>
      <c r="C20" s="1970" t="s">
        <v>483</v>
      </c>
      <c r="D20" s="1970" t="s">
        <v>484</v>
      </c>
      <c r="E20" s="1970" t="s">
        <v>476</v>
      </c>
      <c r="F20" s="1970" t="s">
        <v>483</v>
      </c>
      <c r="G20" s="1970" t="s">
        <v>484</v>
      </c>
      <c r="H20" s="1008"/>
      <c r="I20" s="1982"/>
      <c r="J20" s="1982"/>
      <c r="K20" s="1982"/>
    </row>
    <row r="21" spans="1:15" ht="17.5">
      <c r="A21" s="1971" t="s">
        <v>1430</v>
      </c>
      <c r="B21" s="1972"/>
      <c r="C21" s="1972"/>
      <c r="D21" s="1972"/>
      <c r="E21" s="1972"/>
      <c r="F21" s="1972"/>
      <c r="G21" s="1096"/>
      <c r="H21" s="1088"/>
      <c r="I21" s="1088"/>
      <c r="J21" s="1088"/>
    </row>
    <row r="22" spans="1:15" ht="17.5">
      <c r="A22" s="1097">
        <v>1</v>
      </c>
      <c r="B22" s="1973">
        <v>160</v>
      </c>
      <c r="C22" s="1983">
        <v>0</v>
      </c>
      <c r="D22" s="1984">
        <v>16</v>
      </c>
      <c r="E22" s="1973">
        <v>197</v>
      </c>
      <c r="F22" s="1983"/>
      <c r="G22" s="1984">
        <v>26</v>
      </c>
      <c r="H22" s="1985"/>
      <c r="I22" s="1088"/>
      <c r="J22" s="1088"/>
    </row>
    <row r="23" spans="1:15" ht="17.5">
      <c r="A23" s="1097">
        <v>2</v>
      </c>
      <c r="B23" s="1973">
        <v>2142</v>
      </c>
      <c r="C23" s="1983">
        <v>0</v>
      </c>
      <c r="D23" s="1984">
        <v>756</v>
      </c>
      <c r="E23" s="1973">
        <v>2509</v>
      </c>
      <c r="F23" s="1983"/>
      <c r="G23" s="1984">
        <v>542</v>
      </c>
      <c r="H23" s="1985"/>
      <c r="I23" s="1088"/>
      <c r="J23" s="1088"/>
    </row>
    <row r="24" spans="1:15" ht="17.5">
      <c r="A24" s="1097">
        <v>3</v>
      </c>
      <c r="B24" s="1973">
        <v>9836</v>
      </c>
      <c r="C24" s="1983">
        <v>0</v>
      </c>
      <c r="D24" s="1984">
        <v>2046</v>
      </c>
      <c r="E24" s="1973">
        <v>9166</v>
      </c>
      <c r="F24" s="1983"/>
      <c r="G24" s="1984">
        <v>2162</v>
      </c>
      <c r="H24" s="1985"/>
      <c r="I24" s="1088"/>
      <c r="J24" s="1088"/>
    </row>
    <row r="25" spans="1:15" ht="17.5">
      <c r="A25" s="1097">
        <v>4</v>
      </c>
      <c r="B25" s="1973">
        <v>5230</v>
      </c>
      <c r="C25" s="1983">
        <v>0</v>
      </c>
      <c r="D25" s="1984">
        <v>897</v>
      </c>
      <c r="E25" s="1973">
        <v>4186</v>
      </c>
      <c r="F25" s="1983"/>
      <c r="G25" s="1984">
        <v>769</v>
      </c>
      <c r="H25" s="1985"/>
      <c r="I25" s="1088"/>
      <c r="J25" s="1088"/>
    </row>
    <row r="26" spans="1:15" ht="17.5">
      <c r="A26" s="1097">
        <v>5</v>
      </c>
      <c r="B26" s="1973">
        <v>391</v>
      </c>
      <c r="C26" s="1983">
        <v>0</v>
      </c>
      <c r="D26" s="1984">
        <v>76</v>
      </c>
      <c r="E26" s="1973">
        <v>2865</v>
      </c>
      <c r="F26" s="1983"/>
      <c r="G26" s="1984">
        <v>604</v>
      </c>
      <c r="H26" s="1985"/>
      <c r="I26" s="1088"/>
      <c r="J26" s="1088"/>
    </row>
    <row r="27" spans="1:15" ht="17.5">
      <c r="A27" s="1097">
        <v>6</v>
      </c>
      <c r="B27" s="1973">
        <v>181</v>
      </c>
      <c r="C27" s="1983">
        <v>0</v>
      </c>
      <c r="D27" s="1984">
        <v>32</v>
      </c>
      <c r="E27" s="1973">
        <v>129</v>
      </c>
      <c r="F27" s="1983"/>
      <c r="G27" s="1984">
        <v>23</v>
      </c>
      <c r="H27" s="1985"/>
      <c r="I27" s="1088"/>
      <c r="J27" s="1088"/>
      <c r="L27" s="1007"/>
    </row>
    <row r="28" spans="1:15" ht="17.5">
      <c r="A28" s="1097">
        <v>7</v>
      </c>
      <c r="B28" s="1973">
        <v>30</v>
      </c>
      <c r="C28" s="1983">
        <v>0</v>
      </c>
      <c r="D28" s="1984">
        <v>2</v>
      </c>
      <c r="E28" s="1973">
        <v>31</v>
      </c>
      <c r="F28" s="1983"/>
      <c r="G28" s="1984">
        <v>12</v>
      </c>
      <c r="H28" s="1985"/>
      <c r="I28" s="1088"/>
      <c r="J28" s="1088"/>
    </row>
    <row r="29" spans="1:15" ht="18">
      <c r="A29" s="1971" t="s">
        <v>4146</v>
      </c>
      <c r="B29" s="1983">
        <v>4162</v>
      </c>
      <c r="C29" s="1983">
        <v>0</v>
      </c>
      <c r="D29" s="1984">
        <v>773</v>
      </c>
      <c r="E29" s="12">
        <v>4308</v>
      </c>
      <c r="F29" s="1983"/>
      <c r="G29" s="1984">
        <v>1251</v>
      </c>
      <c r="H29" s="1088"/>
      <c r="I29" s="1091"/>
      <c r="J29" s="1091"/>
      <c r="K29" s="1090"/>
    </row>
    <row r="30" spans="1:15" ht="17.5">
      <c r="A30" s="1972" t="s">
        <v>4147</v>
      </c>
      <c r="B30" s="1980">
        <f>SUM(B22:B29)</f>
        <v>22132</v>
      </c>
      <c r="C30" s="1973">
        <f t="shared" ref="C30:D30" si="3">SUM(C22:C29)</f>
        <v>0</v>
      </c>
      <c r="D30" s="1980">
        <f t="shared" si="3"/>
        <v>4598</v>
      </c>
      <c r="E30" s="1980">
        <f>SUM(E22:E29)</f>
        <v>23391</v>
      </c>
      <c r="F30" s="1980">
        <f t="shared" ref="F30:G30" si="4">SUM(F22:F29)</f>
        <v>0</v>
      </c>
      <c r="G30" s="1980">
        <f t="shared" si="4"/>
        <v>5389</v>
      </c>
    </row>
    <row r="31" spans="1:15" ht="17.5">
      <c r="A31" s="1088"/>
      <c r="B31" s="1088"/>
      <c r="C31" s="1088"/>
      <c r="D31" s="1088"/>
      <c r="E31" s="1088"/>
      <c r="F31" s="1088"/>
    </row>
    <row r="32" spans="1:15" ht="17.5">
      <c r="A32" s="1100"/>
      <c r="B32" s="1088"/>
      <c r="C32" s="1088"/>
      <c r="D32" s="1088"/>
      <c r="E32" s="1088"/>
      <c r="F32" s="1088"/>
    </row>
  </sheetData>
  <mergeCells count="5">
    <mergeCell ref="B6:F6"/>
    <mergeCell ref="G6:K6"/>
    <mergeCell ref="B19:D19"/>
    <mergeCell ref="E19:G19"/>
    <mergeCell ref="I19:K19"/>
  </mergeCells>
  <printOptions horizontalCentered="1" verticalCentered="1"/>
  <pageMargins left="0.65" right="0.31" top="0.62" bottom="0.47" header="0.5" footer="0.5"/>
  <pageSetup paperSize="9" scale="63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</sheetPr>
  <dimension ref="A1:N73"/>
  <sheetViews>
    <sheetView topLeftCell="A51" zoomScale="77" zoomScaleNormal="77" workbookViewId="0">
      <selection activeCell="D13" sqref="D13"/>
    </sheetView>
  </sheetViews>
  <sheetFormatPr defaultRowHeight="15.5"/>
  <cols>
    <col min="1" max="1" width="8.54296875" style="1104" customWidth="1"/>
    <col min="2" max="2" width="35.453125" style="1104" customWidth="1"/>
    <col min="3" max="3" width="14.453125" style="1104" customWidth="1"/>
    <col min="4" max="4" width="13.453125" style="1104" customWidth="1"/>
    <col min="5" max="5" width="10" style="1104" customWidth="1"/>
    <col min="6" max="6" width="11.26953125" style="1104" customWidth="1"/>
    <col min="7" max="7" width="11.54296875" style="1104" customWidth="1"/>
    <col min="8" max="8" width="10.453125" style="1104" customWidth="1"/>
    <col min="9" max="9" width="11.54296875" style="1104" customWidth="1"/>
    <col min="10" max="10" width="16.1796875" style="1104" customWidth="1"/>
    <col min="11" max="11" width="15.7265625" style="1104" customWidth="1"/>
    <col min="12" max="256" width="9.1796875" style="1104"/>
    <col min="257" max="257" width="8.54296875" style="1104" customWidth="1"/>
    <col min="258" max="258" width="35.453125" style="1104" customWidth="1"/>
    <col min="259" max="259" width="14.453125" style="1104" customWidth="1"/>
    <col min="260" max="260" width="13.453125" style="1104" customWidth="1"/>
    <col min="261" max="261" width="10" style="1104" customWidth="1"/>
    <col min="262" max="262" width="11.26953125" style="1104" customWidth="1"/>
    <col min="263" max="263" width="11.54296875" style="1104" customWidth="1"/>
    <col min="264" max="264" width="10.453125" style="1104" customWidth="1"/>
    <col min="265" max="265" width="11.54296875" style="1104" customWidth="1"/>
    <col min="266" max="266" width="16.1796875" style="1104" customWidth="1"/>
    <col min="267" max="267" width="15.7265625" style="1104" customWidth="1"/>
    <col min="268" max="512" width="9.1796875" style="1104"/>
    <col min="513" max="513" width="8.54296875" style="1104" customWidth="1"/>
    <col min="514" max="514" width="35.453125" style="1104" customWidth="1"/>
    <col min="515" max="515" width="14.453125" style="1104" customWidth="1"/>
    <col min="516" max="516" width="13.453125" style="1104" customWidth="1"/>
    <col min="517" max="517" width="10" style="1104" customWidth="1"/>
    <col min="518" max="518" width="11.26953125" style="1104" customWidth="1"/>
    <col min="519" max="519" width="11.54296875" style="1104" customWidth="1"/>
    <col min="520" max="520" width="10.453125" style="1104" customWidth="1"/>
    <col min="521" max="521" width="11.54296875" style="1104" customWidth="1"/>
    <col min="522" max="522" width="16.1796875" style="1104" customWidth="1"/>
    <col min="523" max="523" width="15.7265625" style="1104" customWidth="1"/>
    <col min="524" max="768" width="9.1796875" style="1104"/>
    <col min="769" max="769" width="8.54296875" style="1104" customWidth="1"/>
    <col min="770" max="770" width="35.453125" style="1104" customWidth="1"/>
    <col min="771" max="771" width="14.453125" style="1104" customWidth="1"/>
    <col min="772" max="772" width="13.453125" style="1104" customWidth="1"/>
    <col min="773" max="773" width="10" style="1104" customWidth="1"/>
    <col min="774" max="774" width="11.26953125" style="1104" customWidth="1"/>
    <col min="775" max="775" width="11.54296875" style="1104" customWidth="1"/>
    <col min="776" max="776" width="10.453125" style="1104" customWidth="1"/>
    <col min="777" max="777" width="11.54296875" style="1104" customWidth="1"/>
    <col min="778" max="778" width="16.1796875" style="1104" customWidth="1"/>
    <col min="779" max="779" width="15.7265625" style="1104" customWidth="1"/>
    <col min="780" max="1024" width="9.1796875" style="1104"/>
    <col min="1025" max="1025" width="8.54296875" style="1104" customWidth="1"/>
    <col min="1026" max="1026" width="35.453125" style="1104" customWidth="1"/>
    <col min="1027" max="1027" width="14.453125" style="1104" customWidth="1"/>
    <col min="1028" max="1028" width="13.453125" style="1104" customWidth="1"/>
    <col min="1029" max="1029" width="10" style="1104" customWidth="1"/>
    <col min="1030" max="1030" width="11.26953125" style="1104" customWidth="1"/>
    <col min="1031" max="1031" width="11.54296875" style="1104" customWidth="1"/>
    <col min="1032" max="1032" width="10.453125" style="1104" customWidth="1"/>
    <col min="1033" max="1033" width="11.54296875" style="1104" customWidth="1"/>
    <col min="1034" max="1034" width="16.1796875" style="1104" customWidth="1"/>
    <col min="1035" max="1035" width="15.7265625" style="1104" customWidth="1"/>
    <col min="1036" max="1280" width="9.1796875" style="1104"/>
    <col min="1281" max="1281" width="8.54296875" style="1104" customWidth="1"/>
    <col min="1282" max="1282" width="35.453125" style="1104" customWidth="1"/>
    <col min="1283" max="1283" width="14.453125" style="1104" customWidth="1"/>
    <col min="1284" max="1284" width="13.453125" style="1104" customWidth="1"/>
    <col min="1285" max="1285" width="10" style="1104" customWidth="1"/>
    <col min="1286" max="1286" width="11.26953125" style="1104" customWidth="1"/>
    <col min="1287" max="1287" width="11.54296875" style="1104" customWidth="1"/>
    <col min="1288" max="1288" width="10.453125" style="1104" customWidth="1"/>
    <col min="1289" max="1289" width="11.54296875" style="1104" customWidth="1"/>
    <col min="1290" max="1290" width="16.1796875" style="1104" customWidth="1"/>
    <col min="1291" max="1291" width="15.7265625" style="1104" customWidth="1"/>
    <col min="1292" max="1536" width="9.1796875" style="1104"/>
    <col min="1537" max="1537" width="8.54296875" style="1104" customWidth="1"/>
    <col min="1538" max="1538" width="35.453125" style="1104" customWidth="1"/>
    <col min="1539" max="1539" width="14.453125" style="1104" customWidth="1"/>
    <col min="1540" max="1540" width="13.453125" style="1104" customWidth="1"/>
    <col min="1541" max="1541" width="10" style="1104" customWidth="1"/>
    <col min="1542" max="1542" width="11.26953125" style="1104" customWidth="1"/>
    <col min="1543" max="1543" width="11.54296875" style="1104" customWidth="1"/>
    <col min="1544" max="1544" width="10.453125" style="1104" customWidth="1"/>
    <col min="1545" max="1545" width="11.54296875" style="1104" customWidth="1"/>
    <col min="1546" max="1546" width="16.1796875" style="1104" customWidth="1"/>
    <col min="1547" max="1547" width="15.7265625" style="1104" customWidth="1"/>
    <col min="1548" max="1792" width="9.1796875" style="1104"/>
    <col min="1793" max="1793" width="8.54296875" style="1104" customWidth="1"/>
    <col min="1794" max="1794" width="35.453125" style="1104" customWidth="1"/>
    <col min="1795" max="1795" width="14.453125" style="1104" customWidth="1"/>
    <col min="1796" max="1796" width="13.453125" style="1104" customWidth="1"/>
    <col min="1797" max="1797" width="10" style="1104" customWidth="1"/>
    <col min="1798" max="1798" width="11.26953125" style="1104" customWidth="1"/>
    <col min="1799" max="1799" width="11.54296875" style="1104" customWidth="1"/>
    <col min="1800" max="1800" width="10.453125" style="1104" customWidth="1"/>
    <col min="1801" max="1801" width="11.54296875" style="1104" customWidth="1"/>
    <col min="1802" max="1802" width="16.1796875" style="1104" customWidth="1"/>
    <col min="1803" max="1803" width="15.7265625" style="1104" customWidth="1"/>
    <col min="1804" max="2048" width="9.1796875" style="1104"/>
    <col min="2049" max="2049" width="8.54296875" style="1104" customWidth="1"/>
    <col min="2050" max="2050" width="35.453125" style="1104" customWidth="1"/>
    <col min="2051" max="2051" width="14.453125" style="1104" customWidth="1"/>
    <col min="2052" max="2052" width="13.453125" style="1104" customWidth="1"/>
    <col min="2053" max="2053" width="10" style="1104" customWidth="1"/>
    <col min="2054" max="2054" width="11.26953125" style="1104" customWidth="1"/>
    <col min="2055" max="2055" width="11.54296875" style="1104" customWidth="1"/>
    <col min="2056" max="2056" width="10.453125" style="1104" customWidth="1"/>
    <col min="2057" max="2057" width="11.54296875" style="1104" customWidth="1"/>
    <col min="2058" max="2058" width="16.1796875" style="1104" customWidth="1"/>
    <col min="2059" max="2059" width="15.7265625" style="1104" customWidth="1"/>
    <col min="2060" max="2304" width="9.1796875" style="1104"/>
    <col min="2305" max="2305" width="8.54296875" style="1104" customWidth="1"/>
    <col min="2306" max="2306" width="35.453125" style="1104" customWidth="1"/>
    <col min="2307" max="2307" width="14.453125" style="1104" customWidth="1"/>
    <col min="2308" max="2308" width="13.453125" style="1104" customWidth="1"/>
    <col min="2309" max="2309" width="10" style="1104" customWidth="1"/>
    <col min="2310" max="2310" width="11.26953125" style="1104" customWidth="1"/>
    <col min="2311" max="2311" width="11.54296875" style="1104" customWidth="1"/>
    <col min="2312" max="2312" width="10.453125" style="1104" customWidth="1"/>
    <col min="2313" max="2313" width="11.54296875" style="1104" customWidth="1"/>
    <col min="2314" max="2314" width="16.1796875" style="1104" customWidth="1"/>
    <col min="2315" max="2315" width="15.7265625" style="1104" customWidth="1"/>
    <col min="2316" max="2560" width="9.1796875" style="1104"/>
    <col min="2561" max="2561" width="8.54296875" style="1104" customWidth="1"/>
    <col min="2562" max="2562" width="35.453125" style="1104" customWidth="1"/>
    <col min="2563" max="2563" width="14.453125" style="1104" customWidth="1"/>
    <col min="2564" max="2564" width="13.453125" style="1104" customWidth="1"/>
    <col min="2565" max="2565" width="10" style="1104" customWidth="1"/>
    <col min="2566" max="2566" width="11.26953125" style="1104" customWidth="1"/>
    <col min="2567" max="2567" width="11.54296875" style="1104" customWidth="1"/>
    <col min="2568" max="2568" width="10.453125" style="1104" customWidth="1"/>
    <col min="2569" max="2569" width="11.54296875" style="1104" customWidth="1"/>
    <col min="2570" max="2570" width="16.1796875" style="1104" customWidth="1"/>
    <col min="2571" max="2571" width="15.7265625" style="1104" customWidth="1"/>
    <col min="2572" max="2816" width="9.1796875" style="1104"/>
    <col min="2817" max="2817" width="8.54296875" style="1104" customWidth="1"/>
    <col min="2818" max="2818" width="35.453125" style="1104" customWidth="1"/>
    <col min="2819" max="2819" width="14.453125" style="1104" customWidth="1"/>
    <col min="2820" max="2820" width="13.453125" style="1104" customWidth="1"/>
    <col min="2821" max="2821" width="10" style="1104" customWidth="1"/>
    <col min="2822" max="2822" width="11.26953125" style="1104" customWidth="1"/>
    <col min="2823" max="2823" width="11.54296875" style="1104" customWidth="1"/>
    <col min="2824" max="2824" width="10.453125" style="1104" customWidth="1"/>
    <col min="2825" max="2825" width="11.54296875" style="1104" customWidth="1"/>
    <col min="2826" max="2826" width="16.1796875" style="1104" customWidth="1"/>
    <col min="2827" max="2827" width="15.7265625" style="1104" customWidth="1"/>
    <col min="2828" max="3072" width="9.1796875" style="1104"/>
    <col min="3073" max="3073" width="8.54296875" style="1104" customWidth="1"/>
    <col min="3074" max="3074" width="35.453125" style="1104" customWidth="1"/>
    <col min="3075" max="3075" width="14.453125" style="1104" customWidth="1"/>
    <col min="3076" max="3076" width="13.453125" style="1104" customWidth="1"/>
    <col min="3077" max="3077" width="10" style="1104" customWidth="1"/>
    <col min="3078" max="3078" width="11.26953125" style="1104" customWidth="1"/>
    <col min="3079" max="3079" width="11.54296875" style="1104" customWidth="1"/>
    <col min="3080" max="3080" width="10.453125" style="1104" customWidth="1"/>
    <col min="3081" max="3081" width="11.54296875" style="1104" customWidth="1"/>
    <col min="3082" max="3082" width="16.1796875" style="1104" customWidth="1"/>
    <col min="3083" max="3083" width="15.7265625" style="1104" customWidth="1"/>
    <col min="3084" max="3328" width="9.1796875" style="1104"/>
    <col min="3329" max="3329" width="8.54296875" style="1104" customWidth="1"/>
    <col min="3330" max="3330" width="35.453125" style="1104" customWidth="1"/>
    <col min="3331" max="3331" width="14.453125" style="1104" customWidth="1"/>
    <col min="3332" max="3332" width="13.453125" style="1104" customWidth="1"/>
    <col min="3333" max="3333" width="10" style="1104" customWidth="1"/>
    <col min="3334" max="3334" width="11.26953125" style="1104" customWidth="1"/>
    <col min="3335" max="3335" width="11.54296875" style="1104" customWidth="1"/>
    <col min="3336" max="3336" width="10.453125" style="1104" customWidth="1"/>
    <col min="3337" max="3337" width="11.54296875" style="1104" customWidth="1"/>
    <col min="3338" max="3338" width="16.1796875" style="1104" customWidth="1"/>
    <col min="3339" max="3339" width="15.7265625" style="1104" customWidth="1"/>
    <col min="3340" max="3584" width="9.1796875" style="1104"/>
    <col min="3585" max="3585" width="8.54296875" style="1104" customWidth="1"/>
    <col min="3586" max="3586" width="35.453125" style="1104" customWidth="1"/>
    <col min="3587" max="3587" width="14.453125" style="1104" customWidth="1"/>
    <col min="3588" max="3588" width="13.453125" style="1104" customWidth="1"/>
    <col min="3589" max="3589" width="10" style="1104" customWidth="1"/>
    <col min="3590" max="3590" width="11.26953125" style="1104" customWidth="1"/>
    <col min="3591" max="3591" width="11.54296875" style="1104" customWidth="1"/>
    <col min="3592" max="3592" width="10.453125" style="1104" customWidth="1"/>
    <col min="3593" max="3593" width="11.54296875" style="1104" customWidth="1"/>
    <col min="3594" max="3594" width="16.1796875" style="1104" customWidth="1"/>
    <col min="3595" max="3595" width="15.7265625" style="1104" customWidth="1"/>
    <col min="3596" max="3840" width="9.1796875" style="1104"/>
    <col min="3841" max="3841" width="8.54296875" style="1104" customWidth="1"/>
    <col min="3842" max="3842" width="35.453125" style="1104" customWidth="1"/>
    <col min="3843" max="3843" width="14.453125" style="1104" customWidth="1"/>
    <col min="3844" max="3844" width="13.453125" style="1104" customWidth="1"/>
    <col min="3845" max="3845" width="10" style="1104" customWidth="1"/>
    <col min="3846" max="3846" width="11.26953125" style="1104" customWidth="1"/>
    <col min="3847" max="3847" width="11.54296875" style="1104" customWidth="1"/>
    <col min="3848" max="3848" width="10.453125" style="1104" customWidth="1"/>
    <col min="3849" max="3849" width="11.54296875" style="1104" customWidth="1"/>
    <col min="3850" max="3850" width="16.1796875" style="1104" customWidth="1"/>
    <col min="3851" max="3851" width="15.7265625" style="1104" customWidth="1"/>
    <col min="3852" max="4096" width="9.1796875" style="1104"/>
    <col min="4097" max="4097" width="8.54296875" style="1104" customWidth="1"/>
    <col min="4098" max="4098" width="35.453125" style="1104" customWidth="1"/>
    <col min="4099" max="4099" width="14.453125" style="1104" customWidth="1"/>
    <col min="4100" max="4100" width="13.453125" style="1104" customWidth="1"/>
    <col min="4101" max="4101" width="10" style="1104" customWidth="1"/>
    <col min="4102" max="4102" width="11.26953125" style="1104" customWidth="1"/>
    <col min="4103" max="4103" width="11.54296875" style="1104" customWidth="1"/>
    <col min="4104" max="4104" width="10.453125" style="1104" customWidth="1"/>
    <col min="4105" max="4105" width="11.54296875" style="1104" customWidth="1"/>
    <col min="4106" max="4106" width="16.1796875" style="1104" customWidth="1"/>
    <col min="4107" max="4107" width="15.7265625" style="1104" customWidth="1"/>
    <col min="4108" max="4352" width="9.1796875" style="1104"/>
    <col min="4353" max="4353" width="8.54296875" style="1104" customWidth="1"/>
    <col min="4354" max="4354" width="35.453125" style="1104" customWidth="1"/>
    <col min="4355" max="4355" width="14.453125" style="1104" customWidth="1"/>
    <col min="4356" max="4356" width="13.453125" style="1104" customWidth="1"/>
    <col min="4357" max="4357" width="10" style="1104" customWidth="1"/>
    <col min="4358" max="4358" width="11.26953125" style="1104" customWidth="1"/>
    <col min="4359" max="4359" width="11.54296875" style="1104" customWidth="1"/>
    <col min="4360" max="4360" width="10.453125" style="1104" customWidth="1"/>
    <col min="4361" max="4361" width="11.54296875" style="1104" customWidth="1"/>
    <col min="4362" max="4362" width="16.1796875" style="1104" customWidth="1"/>
    <col min="4363" max="4363" width="15.7265625" style="1104" customWidth="1"/>
    <col min="4364" max="4608" width="9.1796875" style="1104"/>
    <col min="4609" max="4609" width="8.54296875" style="1104" customWidth="1"/>
    <col min="4610" max="4610" width="35.453125" style="1104" customWidth="1"/>
    <col min="4611" max="4611" width="14.453125" style="1104" customWidth="1"/>
    <col min="4612" max="4612" width="13.453125" style="1104" customWidth="1"/>
    <col min="4613" max="4613" width="10" style="1104" customWidth="1"/>
    <col min="4614" max="4614" width="11.26953125" style="1104" customWidth="1"/>
    <col min="4615" max="4615" width="11.54296875" style="1104" customWidth="1"/>
    <col min="4616" max="4616" width="10.453125" style="1104" customWidth="1"/>
    <col min="4617" max="4617" width="11.54296875" style="1104" customWidth="1"/>
    <col min="4618" max="4618" width="16.1796875" style="1104" customWidth="1"/>
    <col min="4619" max="4619" width="15.7265625" style="1104" customWidth="1"/>
    <col min="4620" max="4864" width="9.1796875" style="1104"/>
    <col min="4865" max="4865" width="8.54296875" style="1104" customWidth="1"/>
    <col min="4866" max="4866" width="35.453125" style="1104" customWidth="1"/>
    <col min="4867" max="4867" width="14.453125" style="1104" customWidth="1"/>
    <col min="4868" max="4868" width="13.453125" style="1104" customWidth="1"/>
    <col min="4869" max="4869" width="10" style="1104" customWidth="1"/>
    <col min="4870" max="4870" width="11.26953125" style="1104" customWidth="1"/>
    <col min="4871" max="4871" width="11.54296875" style="1104" customWidth="1"/>
    <col min="4872" max="4872" width="10.453125" style="1104" customWidth="1"/>
    <col min="4873" max="4873" width="11.54296875" style="1104" customWidth="1"/>
    <col min="4874" max="4874" width="16.1796875" style="1104" customWidth="1"/>
    <col min="4875" max="4875" width="15.7265625" style="1104" customWidth="1"/>
    <col min="4876" max="5120" width="9.1796875" style="1104"/>
    <col min="5121" max="5121" width="8.54296875" style="1104" customWidth="1"/>
    <col min="5122" max="5122" width="35.453125" style="1104" customWidth="1"/>
    <col min="5123" max="5123" width="14.453125" style="1104" customWidth="1"/>
    <col min="5124" max="5124" width="13.453125" style="1104" customWidth="1"/>
    <col min="5125" max="5125" width="10" style="1104" customWidth="1"/>
    <col min="5126" max="5126" width="11.26953125" style="1104" customWidth="1"/>
    <col min="5127" max="5127" width="11.54296875" style="1104" customWidth="1"/>
    <col min="5128" max="5128" width="10.453125" style="1104" customWidth="1"/>
    <col min="5129" max="5129" width="11.54296875" style="1104" customWidth="1"/>
    <col min="5130" max="5130" width="16.1796875" style="1104" customWidth="1"/>
    <col min="5131" max="5131" width="15.7265625" style="1104" customWidth="1"/>
    <col min="5132" max="5376" width="9.1796875" style="1104"/>
    <col min="5377" max="5377" width="8.54296875" style="1104" customWidth="1"/>
    <col min="5378" max="5378" width="35.453125" style="1104" customWidth="1"/>
    <col min="5379" max="5379" width="14.453125" style="1104" customWidth="1"/>
    <col min="5380" max="5380" width="13.453125" style="1104" customWidth="1"/>
    <col min="5381" max="5381" width="10" style="1104" customWidth="1"/>
    <col min="5382" max="5382" width="11.26953125" style="1104" customWidth="1"/>
    <col min="5383" max="5383" width="11.54296875" style="1104" customWidth="1"/>
    <col min="5384" max="5384" width="10.453125" style="1104" customWidth="1"/>
    <col min="5385" max="5385" width="11.54296875" style="1104" customWidth="1"/>
    <col min="5386" max="5386" width="16.1796875" style="1104" customWidth="1"/>
    <col min="5387" max="5387" width="15.7265625" style="1104" customWidth="1"/>
    <col min="5388" max="5632" width="9.1796875" style="1104"/>
    <col min="5633" max="5633" width="8.54296875" style="1104" customWidth="1"/>
    <col min="5634" max="5634" width="35.453125" style="1104" customWidth="1"/>
    <col min="5635" max="5635" width="14.453125" style="1104" customWidth="1"/>
    <col min="5636" max="5636" width="13.453125" style="1104" customWidth="1"/>
    <col min="5637" max="5637" width="10" style="1104" customWidth="1"/>
    <col min="5638" max="5638" width="11.26953125" style="1104" customWidth="1"/>
    <col min="5639" max="5639" width="11.54296875" style="1104" customWidth="1"/>
    <col min="5640" max="5640" width="10.453125" style="1104" customWidth="1"/>
    <col min="5641" max="5641" width="11.54296875" style="1104" customWidth="1"/>
    <col min="5642" max="5642" width="16.1796875" style="1104" customWidth="1"/>
    <col min="5643" max="5643" width="15.7265625" style="1104" customWidth="1"/>
    <col min="5644" max="5888" width="9.1796875" style="1104"/>
    <col min="5889" max="5889" width="8.54296875" style="1104" customWidth="1"/>
    <col min="5890" max="5890" width="35.453125" style="1104" customWidth="1"/>
    <col min="5891" max="5891" width="14.453125" style="1104" customWidth="1"/>
    <col min="5892" max="5892" width="13.453125" style="1104" customWidth="1"/>
    <col min="5893" max="5893" width="10" style="1104" customWidth="1"/>
    <col min="5894" max="5894" width="11.26953125" style="1104" customWidth="1"/>
    <col min="5895" max="5895" width="11.54296875" style="1104" customWidth="1"/>
    <col min="5896" max="5896" width="10.453125" style="1104" customWidth="1"/>
    <col min="5897" max="5897" width="11.54296875" style="1104" customWidth="1"/>
    <col min="5898" max="5898" width="16.1796875" style="1104" customWidth="1"/>
    <col min="5899" max="5899" width="15.7265625" style="1104" customWidth="1"/>
    <col min="5900" max="6144" width="9.1796875" style="1104"/>
    <col min="6145" max="6145" width="8.54296875" style="1104" customWidth="1"/>
    <col min="6146" max="6146" width="35.453125" style="1104" customWidth="1"/>
    <col min="6147" max="6147" width="14.453125" style="1104" customWidth="1"/>
    <col min="6148" max="6148" width="13.453125" style="1104" customWidth="1"/>
    <col min="6149" max="6149" width="10" style="1104" customWidth="1"/>
    <col min="6150" max="6150" width="11.26953125" style="1104" customWidth="1"/>
    <col min="6151" max="6151" width="11.54296875" style="1104" customWidth="1"/>
    <col min="6152" max="6152" width="10.453125" style="1104" customWidth="1"/>
    <col min="6153" max="6153" width="11.54296875" style="1104" customWidth="1"/>
    <col min="6154" max="6154" width="16.1796875" style="1104" customWidth="1"/>
    <col min="6155" max="6155" width="15.7265625" style="1104" customWidth="1"/>
    <col min="6156" max="6400" width="9.1796875" style="1104"/>
    <col min="6401" max="6401" width="8.54296875" style="1104" customWidth="1"/>
    <col min="6402" max="6402" width="35.453125" style="1104" customWidth="1"/>
    <col min="6403" max="6403" width="14.453125" style="1104" customWidth="1"/>
    <col min="6404" max="6404" width="13.453125" style="1104" customWidth="1"/>
    <col min="6405" max="6405" width="10" style="1104" customWidth="1"/>
    <col min="6406" max="6406" width="11.26953125" style="1104" customWidth="1"/>
    <col min="6407" max="6407" width="11.54296875" style="1104" customWidth="1"/>
    <col min="6408" max="6408" width="10.453125" style="1104" customWidth="1"/>
    <col min="6409" max="6409" width="11.54296875" style="1104" customWidth="1"/>
    <col min="6410" max="6410" width="16.1796875" style="1104" customWidth="1"/>
    <col min="6411" max="6411" width="15.7265625" style="1104" customWidth="1"/>
    <col min="6412" max="6656" width="9.1796875" style="1104"/>
    <col min="6657" max="6657" width="8.54296875" style="1104" customWidth="1"/>
    <col min="6658" max="6658" width="35.453125" style="1104" customWidth="1"/>
    <col min="6659" max="6659" width="14.453125" style="1104" customWidth="1"/>
    <col min="6660" max="6660" width="13.453125" style="1104" customWidth="1"/>
    <col min="6661" max="6661" width="10" style="1104" customWidth="1"/>
    <col min="6662" max="6662" width="11.26953125" style="1104" customWidth="1"/>
    <col min="6663" max="6663" width="11.54296875" style="1104" customWidth="1"/>
    <col min="6664" max="6664" width="10.453125" style="1104" customWidth="1"/>
    <col min="6665" max="6665" width="11.54296875" style="1104" customWidth="1"/>
    <col min="6666" max="6666" width="16.1796875" style="1104" customWidth="1"/>
    <col min="6667" max="6667" width="15.7265625" style="1104" customWidth="1"/>
    <col min="6668" max="6912" width="9.1796875" style="1104"/>
    <col min="6913" max="6913" width="8.54296875" style="1104" customWidth="1"/>
    <col min="6914" max="6914" width="35.453125" style="1104" customWidth="1"/>
    <col min="6915" max="6915" width="14.453125" style="1104" customWidth="1"/>
    <col min="6916" max="6916" width="13.453125" style="1104" customWidth="1"/>
    <col min="6917" max="6917" width="10" style="1104" customWidth="1"/>
    <col min="6918" max="6918" width="11.26953125" style="1104" customWidth="1"/>
    <col min="6919" max="6919" width="11.54296875" style="1104" customWidth="1"/>
    <col min="6920" max="6920" width="10.453125" style="1104" customWidth="1"/>
    <col min="6921" max="6921" width="11.54296875" style="1104" customWidth="1"/>
    <col min="6922" max="6922" width="16.1796875" style="1104" customWidth="1"/>
    <col min="6923" max="6923" width="15.7265625" style="1104" customWidth="1"/>
    <col min="6924" max="7168" width="9.1796875" style="1104"/>
    <col min="7169" max="7169" width="8.54296875" style="1104" customWidth="1"/>
    <col min="7170" max="7170" width="35.453125" style="1104" customWidth="1"/>
    <col min="7171" max="7171" width="14.453125" style="1104" customWidth="1"/>
    <col min="7172" max="7172" width="13.453125" style="1104" customWidth="1"/>
    <col min="7173" max="7173" width="10" style="1104" customWidth="1"/>
    <col min="7174" max="7174" width="11.26953125" style="1104" customWidth="1"/>
    <col min="7175" max="7175" width="11.54296875" style="1104" customWidth="1"/>
    <col min="7176" max="7176" width="10.453125" style="1104" customWidth="1"/>
    <col min="7177" max="7177" width="11.54296875" style="1104" customWidth="1"/>
    <col min="7178" max="7178" width="16.1796875" style="1104" customWidth="1"/>
    <col min="7179" max="7179" width="15.7265625" style="1104" customWidth="1"/>
    <col min="7180" max="7424" width="9.1796875" style="1104"/>
    <col min="7425" max="7425" width="8.54296875" style="1104" customWidth="1"/>
    <col min="7426" max="7426" width="35.453125" style="1104" customWidth="1"/>
    <col min="7427" max="7427" width="14.453125" style="1104" customWidth="1"/>
    <col min="7428" max="7428" width="13.453125" style="1104" customWidth="1"/>
    <col min="7429" max="7429" width="10" style="1104" customWidth="1"/>
    <col min="7430" max="7430" width="11.26953125" style="1104" customWidth="1"/>
    <col min="7431" max="7431" width="11.54296875" style="1104" customWidth="1"/>
    <col min="7432" max="7432" width="10.453125" style="1104" customWidth="1"/>
    <col min="7433" max="7433" width="11.54296875" style="1104" customWidth="1"/>
    <col min="7434" max="7434" width="16.1796875" style="1104" customWidth="1"/>
    <col min="7435" max="7435" width="15.7265625" style="1104" customWidth="1"/>
    <col min="7436" max="7680" width="9.1796875" style="1104"/>
    <col min="7681" max="7681" width="8.54296875" style="1104" customWidth="1"/>
    <col min="7682" max="7682" width="35.453125" style="1104" customWidth="1"/>
    <col min="7683" max="7683" width="14.453125" style="1104" customWidth="1"/>
    <col min="7684" max="7684" width="13.453125" style="1104" customWidth="1"/>
    <col min="7685" max="7685" width="10" style="1104" customWidth="1"/>
    <col min="7686" max="7686" width="11.26953125" style="1104" customWidth="1"/>
    <col min="7687" max="7687" width="11.54296875" style="1104" customWidth="1"/>
    <col min="7688" max="7688" width="10.453125" style="1104" customWidth="1"/>
    <col min="7689" max="7689" width="11.54296875" style="1104" customWidth="1"/>
    <col min="7690" max="7690" width="16.1796875" style="1104" customWidth="1"/>
    <col min="7691" max="7691" width="15.7265625" style="1104" customWidth="1"/>
    <col min="7692" max="7936" width="9.1796875" style="1104"/>
    <col min="7937" max="7937" width="8.54296875" style="1104" customWidth="1"/>
    <col min="7938" max="7938" width="35.453125" style="1104" customWidth="1"/>
    <col min="7939" max="7939" width="14.453125" style="1104" customWidth="1"/>
    <col min="7940" max="7940" width="13.453125" style="1104" customWidth="1"/>
    <col min="7941" max="7941" width="10" style="1104" customWidth="1"/>
    <col min="7942" max="7942" width="11.26953125" style="1104" customWidth="1"/>
    <col min="7943" max="7943" width="11.54296875" style="1104" customWidth="1"/>
    <col min="7944" max="7944" width="10.453125" style="1104" customWidth="1"/>
    <col min="7945" max="7945" width="11.54296875" style="1104" customWidth="1"/>
    <col min="7946" max="7946" width="16.1796875" style="1104" customWidth="1"/>
    <col min="7947" max="7947" width="15.7265625" style="1104" customWidth="1"/>
    <col min="7948" max="8192" width="9.1796875" style="1104"/>
    <col min="8193" max="8193" width="8.54296875" style="1104" customWidth="1"/>
    <col min="8194" max="8194" width="35.453125" style="1104" customWidth="1"/>
    <col min="8195" max="8195" width="14.453125" style="1104" customWidth="1"/>
    <col min="8196" max="8196" width="13.453125" style="1104" customWidth="1"/>
    <col min="8197" max="8197" width="10" style="1104" customWidth="1"/>
    <col min="8198" max="8198" width="11.26953125" style="1104" customWidth="1"/>
    <col min="8199" max="8199" width="11.54296875" style="1104" customWidth="1"/>
    <col min="8200" max="8200" width="10.453125" style="1104" customWidth="1"/>
    <col min="8201" max="8201" width="11.54296875" style="1104" customWidth="1"/>
    <col min="8202" max="8202" width="16.1796875" style="1104" customWidth="1"/>
    <col min="8203" max="8203" width="15.7265625" style="1104" customWidth="1"/>
    <col min="8204" max="8448" width="9.1796875" style="1104"/>
    <col min="8449" max="8449" width="8.54296875" style="1104" customWidth="1"/>
    <col min="8450" max="8450" width="35.453125" style="1104" customWidth="1"/>
    <col min="8451" max="8451" width="14.453125" style="1104" customWidth="1"/>
    <col min="8452" max="8452" width="13.453125" style="1104" customWidth="1"/>
    <col min="8453" max="8453" width="10" style="1104" customWidth="1"/>
    <col min="8454" max="8454" width="11.26953125" style="1104" customWidth="1"/>
    <col min="8455" max="8455" width="11.54296875" style="1104" customWidth="1"/>
    <col min="8456" max="8456" width="10.453125" style="1104" customWidth="1"/>
    <col min="8457" max="8457" width="11.54296875" style="1104" customWidth="1"/>
    <col min="8458" max="8458" width="16.1796875" style="1104" customWidth="1"/>
    <col min="8459" max="8459" width="15.7265625" style="1104" customWidth="1"/>
    <col min="8460" max="8704" width="9.1796875" style="1104"/>
    <col min="8705" max="8705" width="8.54296875" style="1104" customWidth="1"/>
    <col min="8706" max="8706" width="35.453125" style="1104" customWidth="1"/>
    <col min="8707" max="8707" width="14.453125" style="1104" customWidth="1"/>
    <col min="8708" max="8708" width="13.453125" style="1104" customWidth="1"/>
    <col min="8709" max="8709" width="10" style="1104" customWidth="1"/>
    <col min="8710" max="8710" width="11.26953125" style="1104" customWidth="1"/>
    <col min="8711" max="8711" width="11.54296875" style="1104" customWidth="1"/>
    <col min="8712" max="8712" width="10.453125" style="1104" customWidth="1"/>
    <col min="8713" max="8713" width="11.54296875" style="1104" customWidth="1"/>
    <col min="8714" max="8714" width="16.1796875" style="1104" customWidth="1"/>
    <col min="8715" max="8715" width="15.7265625" style="1104" customWidth="1"/>
    <col min="8716" max="8960" width="9.1796875" style="1104"/>
    <col min="8961" max="8961" width="8.54296875" style="1104" customWidth="1"/>
    <col min="8962" max="8962" width="35.453125" style="1104" customWidth="1"/>
    <col min="8963" max="8963" width="14.453125" style="1104" customWidth="1"/>
    <col min="8964" max="8964" width="13.453125" style="1104" customWidth="1"/>
    <col min="8965" max="8965" width="10" style="1104" customWidth="1"/>
    <col min="8966" max="8966" width="11.26953125" style="1104" customWidth="1"/>
    <col min="8967" max="8967" width="11.54296875" style="1104" customWidth="1"/>
    <col min="8968" max="8968" width="10.453125" style="1104" customWidth="1"/>
    <col min="8969" max="8969" width="11.54296875" style="1104" customWidth="1"/>
    <col min="8970" max="8970" width="16.1796875" style="1104" customWidth="1"/>
    <col min="8971" max="8971" width="15.7265625" style="1104" customWidth="1"/>
    <col min="8972" max="9216" width="9.1796875" style="1104"/>
    <col min="9217" max="9217" width="8.54296875" style="1104" customWidth="1"/>
    <col min="9218" max="9218" width="35.453125" style="1104" customWidth="1"/>
    <col min="9219" max="9219" width="14.453125" style="1104" customWidth="1"/>
    <col min="9220" max="9220" width="13.453125" style="1104" customWidth="1"/>
    <col min="9221" max="9221" width="10" style="1104" customWidth="1"/>
    <col min="9222" max="9222" width="11.26953125" style="1104" customWidth="1"/>
    <col min="9223" max="9223" width="11.54296875" style="1104" customWidth="1"/>
    <col min="9224" max="9224" width="10.453125" style="1104" customWidth="1"/>
    <col min="9225" max="9225" width="11.54296875" style="1104" customWidth="1"/>
    <col min="9226" max="9226" width="16.1796875" style="1104" customWidth="1"/>
    <col min="9227" max="9227" width="15.7265625" style="1104" customWidth="1"/>
    <col min="9228" max="9472" width="9.1796875" style="1104"/>
    <col min="9473" max="9473" width="8.54296875" style="1104" customWidth="1"/>
    <col min="9474" max="9474" width="35.453125" style="1104" customWidth="1"/>
    <col min="9475" max="9475" width="14.453125" style="1104" customWidth="1"/>
    <col min="9476" max="9476" width="13.453125" style="1104" customWidth="1"/>
    <col min="9477" max="9477" width="10" style="1104" customWidth="1"/>
    <col min="9478" max="9478" width="11.26953125" style="1104" customWidth="1"/>
    <col min="9479" max="9479" width="11.54296875" style="1104" customWidth="1"/>
    <col min="9480" max="9480" width="10.453125" style="1104" customWidth="1"/>
    <col min="9481" max="9481" width="11.54296875" style="1104" customWidth="1"/>
    <col min="9482" max="9482" width="16.1796875" style="1104" customWidth="1"/>
    <col min="9483" max="9483" width="15.7265625" style="1104" customWidth="1"/>
    <col min="9484" max="9728" width="9.1796875" style="1104"/>
    <col min="9729" max="9729" width="8.54296875" style="1104" customWidth="1"/>
    <col min="9730" max="9730" width="35.453125" style="1104" customWidth="1"/>
    <col min="9731" max="9731" width="14.453125" style="1104" customWidth="1"/>
    <col min="9732" max="9732" width="13.453125" style="1104" customWidth="1"/>
    <col min="9733" max="9733" width="10" style="1104" customWidth="1"/>
    <col min="9734" max="9734" width="11.26953125" style="1104" customWidth="1"/>
    <col min="9735" max="9735" width="11.54296875" style="1104" customWidth="1"/>
    <col min="9736" max="9736" width="10.453125" style="1104" customWidth="1"/>
    <col min="9737" max="9737" width="11.54296875" style="1104" customWidth="1"/>
    <col min="9738" max="9738" width="16.1796875" style="1104" customWidth="1"/>
    <col min="9739" max="9739" width="15.7265625" style="1104" customWidth="1"/>
    <col min="9740" max="9984" width="9.1796875" style="1104"/>
    <col min="9985" max="9985" width="8.54296875" style="1104" customWidth="1"/>
    <col min="9986" max="9986" width="35.453125" style="1104" customWidth="1"/>
    <col min="9987" max="9987" width="14.453125" style="1104" customWidth="1"/>
    <col min="9988" max="9988" width="13.453125" style="1104" customWidth="1"/>
    <col min="9989" max="9989" width="10" style="1104" customWidth="1"/>
    <col min="9990" max="9990" width="11.26953125" style="1104" customWidth="1"/>
    <col min="9991" max="9991" width="11.54296875" style="1104" customWidth="1"/>
    <col min="9992" max="9992" width="10.453125" style="1104" customWidth="1"/>
    <col min="9993" max="9993" width="11.54296875" style="1104" customWidth="1"/>
    <col min="9994" max="9994" width="16.1796875" style="1104" customWidth="1"/>
    <col min="9995" max="9995" width="15.7265625" style="1104" customWidth="1"/>
    <col min="9996" max="10240" width="9.1796875" style="1104"/>
    <col min="10241" max="10241" width="8.54296875" style="1104" customWidth="1"/>
    <col min="10242" max="10242" width="35.453125" style="1104" customWidth="1"/>
    <col min="10243" max="10243" width="14.453125" style="1104" customWidth="1"/>
    <col min="10244" max="10244" width="13.453125" style="1104" customWidth="1"/>
    <col min="10245" max="10245" width="10" style="1104" customWidth="1"/>
    <col min="10246" max="10246" width="11.26953125" style="1104" customWidth="1"/>
    <col min="10247" max="10247" width="11.54296875" style="1104" customWidth="1"/>
    <col min="10248" max="10248" width="10.453125" style="1104" customWidth="1"/>
    <col min="10249" max="10249" width="11.54296875" style="1104" customWidth="1"/>
    <col min="10250" max="10250" width="16.1796875" style="1104" customWidth="1"/>
    <col min="10251" max="10251" width="15.7265625" style="1104" customWidth="1"/>
    <col min="10252" max="10496" width="9.1796875" style="1104"/>
    <col min="10497" max="10497" width="8.54296875" style="1104" customWidth="1"/>
    <col min="10498" max="10498" width="35.453125" style="1104" customWidth="1"/>
    <col min="10499" max="10499" width="14.453125" style="1104" customWidth="1"/>
    <col min="10500" max="10500" width="13.453125" style="1104" customWidth="1"/>
    <col min="10501" max="10501" width="10" style="1104" customWidth="1"/>
    <col min="10502" max="10502" width="11.26953125" style="1104" customWidth="1"/>
    <col min="10503" max="10503" width="11.54296875" style="1104" customWidth="1"/>
    <col min="10504" max="10504" width="10.453125" style="1104" customWidth="1"/>
    <col min="10505" max="10505" width="11.54296875" style="1104" customWidth="1"/>
    <col min="10506" max="10506" width="16.1796875" style="1104" customWidth="1"/>
    <col min="10507" max="10507" width="15.7265625" style="1104" customWidth="1"/>
    <col min="10508" max="10752" width="9.1796875" style="1104"/>
    <col min="10753" max="10753" width="8.54296875" style="1104" customWidth="1"/>
    <col min="10754" max="10754" width="35.453125" style="1104" customWidth="1"/>
    <col min="10755" max="10755" width="14.453125" style="1104" customWidth="1"/>
    <col min="10756" max="10756" width="13.453125" style="1104" customWidth="1"/>
    <col min="10757" max="10757" width="10" style="1104" customWidth="1"/>
    <col min="10758" max="10758" width="11.26953125" style="1104" customWidth="1"/>
    <col min="10759" max="10759" width="11.54296875" style="1104" customWidth="1"/>
    <col min="10760" max="10760" width="10.453125" style="1104" customWidth="1"/>
    <col min="10761" max="10761" width="11.54296875" style="1104" customWidth="1"/>
    <col min="10762" max="10762" width="16.1796875" style="1104" customWidth="1"/>
    <col min="10763" max="10763" width="15.7265625" style="1104" customWidth="1"/>
    <col min="10764" max="11008" width="9.1796875" style="1104"/>
    <col min="11009" max="11009" width="8.54296875" style="1104" customWidth="1"/>
    <col min="11010" max="11010" width="35.453125" style="1104" customWidth="1"/>
    <col min="11011" max="11011" width="14.453125" style="1104" customWidth="1"/>
    <col min="11012" max="11012" width="13.453125" style="1104" customWidth="1"/>
    <col min="11013" max="11013" width="10" style="1104" customWidth="1"/>
    <col min="11014" max="11014" width="11.26953125" style="1104" customWidth="1"/>
    <col min="11015" max="11015" width="11.54296875" style="1104" customWidth="1"/>
    <col min="11016" max="11016" width="10.453125" style="1104" customWidth="1"/>
    <col min="11017" max="11017" width="11.54296875" style="1104" customWidth="1"/>
    <col min="11018" max="11018" width="16.1796875" style="1104" customWidth="1"/>
    <col min="11019" max="11019" width="15.7265625" style="1104" customWidth="1"/>
    <col min="11020" max="11264" width="9.1796875" style="1104"/>
    <col min="11265" max="11265" width="8.54296875" style="1104" customWidth="1"/>
    <col min="11266" max="11266" width="35.453125" style="1104" customWidth="1"/>
    <col min="11267" max="11267" width="14.453125" style="1104" customWidth="1"/>
    <col min="11268" max="11268" width="13.453125" style="1104" customWidth="1"/>
    <col min="11269" max="11269" width="10" style="1104" customWidth="1"/>
    <col min="11270" max="11270" width="11.26953125" style="1104" customWidth="1"/>
    <col min="11271" max="11271" width="11.54296875" style="1104" customWidth="1"/>
    <col min="11272" max="11272" width="10.453125" style="1104" customWidth="1"/>
    <col min="11273" max="11273" width="11.54296875" style="1104" customWidth="1"/>
    <col min="11274" max="11274" width="16.1796875" style="1104" customWidth="1"/>
    <col min="11275" max="11275" width="15.7265625" style="1104" customWidth="1"/>
    <col min="11276" max="11520" width="9.1796875" style="1104"/>
    <col min="11521" max="11521" width="8.54296875" style="1104" customWidth="1"/>
    <col min="11522" max="11522" width="35.453125" style="1104" customWidth="1"/>
    <col min="11523" max="11523" width="14.453125" style="1104" customWidth="1"/>
    <col min="11524" max="11524" width="13.453125" style="1104" customWidth="1"/>
    <col min="11525" max="11525" width="10" style="1104" customWidth="1"/>
    <col min="11526" max="11526" width="11.26953125" style="1104" customWidth="1"/>
    <col min="11527" max="11527" width="11.54296875" style="1104" customWidth="1"/>
    <col min="11528" max="11528" width="10.453125" style="1104" customWidth="1"/>
    <col min="11529" max="11529" width="11.54296875" style="1104" customWidth="1"/>
    <col min="11530" max="11530" width="16.1796875" style="1104" customWidth="1"/>
    <col min="11531" max="11531" width="15.7265625" style="1104" customWidth="1"/>
    <col min="11532" max="11776" width="9.1796875" style="1104"/>
    <col min="11777" max="11777" width="8.54296875" style="1104" customWidth="1"/>
    <col min="11778" max="11778" width="35.453125" style="1104" customWidth="1"/>
    <col min="11779" max="11779" width="14.453125" style="1104" customWidth="1"/>
    <col min="11780" max="11780" width="13.453125" style="1104" customWidth="1"/>
    <col min="11781" max="11781" width="10" style="1104" customWidth="1"/>
    <col min="11782" max="11782" width="11.26953125" style="1104" customWidth="1"/>
    <col min="11783" max="11783" width="11.54296875" style="1104" customWidth="1"/>
    <col min="11784" max="11784" width="10.453125" style="1104" customWidth="1"/>
    <col min="11785" max="11785" width="11.54296875" style="1104" customWidth="1"/>
    <col min="11786" max="11786" width="16.1796875" style="1104" customWidth="1"/>
    <col min="11787" max="11787" width="15.7265625" style="1104" customWidth="1"/>
    <col min="11788" max="12032" width="9.1796875" style="1104"/>
    <col min="12033" max="12033" width="8.54296875" style="1104" customWidth="1"/>
    <col min="12034" max="12034" width="35.453125" style="1104" customWidth="1"/>
    <col min="12035" max="12035" width="14.453125" style="1104" customWidth="1"/>
    <col min="12036" max="12036" width="13.453125" style="1104" customWidth="1"/>
    <col min="12037" max="12037" width="10" style="1104" customWidth="1"/>
    <col min="12038" max="12038" width="11.26953125" style="1104" customWidth="1"/>
    <col min="12039" max="12039" width="11.54296875" style="1104" customWidth="1"/>
    <col min="12040" max="12040" width="10.453125" style="1104" customWidth="1"/>
    <col min="12041" max="12041" width="11.54296875" style="1104" customWidth="1"/>
    <col min="12042" max="12042" width="16.1796875" style="1104" customWidth="1"/>
    <col min="12043" max="12043" width="15.7265625" style="1104" customWidth="1"/>
    <col min="12044" max="12288" width="9.1796875" style="1104"/>
    <col min="12289" max="12289" width="8.54296875" style="1104" customWidth="1"/>
    <col min="12290" max="12290" width="35.453125" style="1104" customWidth="1"/>
    <col min="12291" max="12291" width="14.453125" style="1104" customWidth="1"/>
    <col min="12292" max="12292" width="13.453125" style="1104" customWidth="1"/>
    <col min="12293" max="12293" width="10" style="1104" customWidth="1"/>
    <col min="12294" max="12294" width="11.26953125" style="1104" customWidth="1"/>
    <col min="12295" max="12295" width="11.54296875" style="1104" customWidth="1"/>
    <col min="12296" max="12296" width="10.453125" style="1104" customWidth="1"/>
    <col min="12297" max="12297" width="11.54296875" style="1104" customWidth="1"/>
    <col min="12298" max="12298" width="16.1796875" style="1104" customWidth="1"/>
    <col min="12299" max="12299" width="15.7265625" style="1104" customWidth="1"/>
    <col min="12300" max="12544" width="9.1796875" style="1104"/>
    <col min="12545" max="12545" width="8.54296875" style="1104" customWidth="1"/>
    <col min="12546" max="12546" width="35.453125" style="1104" customWidth="1"/>
    <col min="12547" max="12547" width="14.453125" style="1104" customWidth="1"/>
    <col min="12548" max="12548" width="13.453125" style="1104" customWidth="1"/>
    <col min="12549" max="12549" width="10" style="1104" customWidth="1"/>
    <col min="12550" max="12550" width="11.26953125" style="1104" customWidth="1"/>
    <col min="12551" max="12551" width="11.54296875" style="1104" customWidth="1"/>
    <col min="12552" max="12552" width="10.453125" style="1104" customWidth="1"/>
    <col min="12553" max="12553" width="11.54296875" style="1104" customWidth="1"/>
    <col min="12554" max="12554" width="16.1796875" style="1104" customWidth="1"/>
    <col min="12555" max="12555" width="15.7265625" style="1104" customWidth="1"/>
    <col min="12556" max="12800" width="9.1796875" style="1104"/>
    <col min="12801" max="12801" width="8.54296875" style="1104" customWidth="1"/>
    <col min="12802" max="12802" width="35.453125" style="1104" customWidth="1"/>
    <col min="12803" max="12803" width="14.453125" style="1104" customWidth="1"/>
    <col min="12804" max="12804" width="13.453125" style="1104" customWidth="1"/>
    <col min="12805" max="12805" width="10" style="1104" customWidth="1"/>
    <col min="12806" max="12806" width="11.26953125" style="1104" customWidth="1"/>
    <col min="12807" max="12807" width="11.54296875" style="1104" customWidth="1"/>
    <col min="12808" max="12808" width="10.453125" style="1104" customWidth="1"/>
    <col min="12809" max="12809" width="11.54296875" style="1104" customWidth="1"/>
    <col min="12810" max="12810" width="16.1796875" style="1104" customWidth="1"/>
    <col min="12811" max="12811" width="15.7265625" style="1104" customWidth="1"/>
    <col min="12812" max="13056" width="9.1796875" style="1104"/>
    <col min="13057" max="13057" width="8.54296875" style="1104" customWidth="1"/>
    <col min="13058" max="13058" width="35.453125" style="1104" customWidth="1"/>
    <col min="13059" max="13059" width="14.453125" style="1104" customWidth="1"/>
    <col min="13060" max="13060" width="13.453125" style="1104" customWidth="1"/>
    <col min="13061" max="13061" width="10" style="1104" customWidth="1"/>
    <col min="13062" max="13062" width="11.26953125" style="1104" customWidth="1"/>
    <col min="13063" max="13063" width="11.54296875" style="1104" customWidth="1"/>
    <col min="13064" max="13064" width="10.453125" style="1104" customWidth="1"/>
    <col min="13065" max="13065" width="11.54296875" style="1104" customWidth="1"/>
    <col min="13066" max="13066" width="16.1796875" style="1104" customWidth="1"/>
    <col min="13067" max="13067" width="15.7265625" style="1104" customWidth="1"/>
    <col min="13068" max="13312" width="9.1796875" style="1104"/>
    <col min="13313" max="13313" width="8.54296875" style="1104" customWidth="1"/>
    <col min="13314" max="13314" width="35.453125" style="1104" customWidth="1"/>
    <col min="13315" max="13315" width="14.453125" style="1104" customWidth="1"/>
    <col min="13316" max="13316" width="13.453125" style="1104" customWidth="1"/>
    <col min="13317" max="13317" width="10" style="1104" customWidth="1"/>
    <col min="13318" max="13318" width="11.26953125" style="1104" customWidth="1"/>
    <col min="13319" max="13319" width="11.54296875" style="1104" customWidth="1"/>
    <col min="13320" max="13320" width="10.453125" style="1104" customWidth="1"/>
    <col min="13321" max="13321" width="11.54296875" style="1104" customWidth="1"/>
    <col min="13322" max="13322" width="16.1796875" style="1104" customWidth="1"/>
    <col min="13323" max="13323" width="15.7265625" style="1104" customWidth="1"/>
    <col min="13324" max="13568" width="9.1796875" style="1104"/>
    <col min="13569" max="13569" width="8.54296875" style="1104" customWidth="1"/>
    <col min="13570" max="13570" width="35.453125" style="1104" customWidth="1"/>
    <col min="13571" max="13571" width="14.453125" style="1104" customWidth="1"/>
    <col min="13572" max="13572" width="13.453125" style="1104" customWidth="1"/>
    <col min="13573" max="13573" width="10" style="1104" customWidth="1"/>
    <col min="13574" max="13574" width="11.26953125" style="1104" customWidth="1"/>
    <col min="13575" max="13575" width="11.54296875" style="1104" customWidth="1"/>
    <col min="13576" max="13576" width="10.453125" style="1104" customWidth="1"/>
    <col min="13577" max="13577" width="11.54296875" style="1104" customWidth="1"/>
    <col min="13578" max="13578" width="16.1796875" style="1104" customWidth="1"/>
    <col min="13579" max="13579" width="15.7265625" style="1104" customWidth="1"/>
    <col min="13580" max="13824" width="9.1796875" style="1104"/>
    <col min="13825" max="13825" width="8.54296875" style="1104" customWidth="1"/>
    <col min="13826" max="13826" width="35.453125" style="1104" customWidth="1"/>
    <col min="13827" max="13827" width="14.453125" style="1104" customWidth="1"/>
    <col min="13828" max="13828" width="13.453125" style="1104" customWidth="1"/>
    <col min="13829" max="13829" width="10" style="1104" customWidth="1"/>
    <col min="13830" max="13830" width="11.26953125" style="1104" customWidth="1"/>
    <col min="13831" max="13831" width="11.54296875" style="1104" customWidth="1"/>
    <col min="13832" max="13832" width="10.453125" style="1104" customWidth="1"/>
    <col min="13833" max="13833" width="11.54296875" style="1104" customWidth="1"/>
    <col min="13834" max="13834" width="16.1796875" style="1104" customWidth="1"/>
    <col min="13835" max="13835" width="15.7265625" style="1104" customWidth="1"/>
    <col min="13836" max="14080" width="9.1796875" style="1104"/>
    <col min="14081" max="14081" width="8.54296875" style="1104" customWidth="1"/>
    <col min="14082" max="14082" width="35.453125" style="1104" customWidth="1"/>
    <col min="14083" max="14083" width="14.453125" style="1104" customWidth="1"/>
    <col min="14084" max="14084" width="13.453125" style="1104" customWidth="1"/>
    <col min="14085" max="14085" width="10" style="1104" customWidth="1"/>
    <col min="14086" max="14086" width="11.26953125" style="1104" customWidth="1"/>
    <col min="14087" max="14087" width="11.54296875" style="1104" customWidth="1"/>
    <col min="14088" max="14088" width="10.453125" style="1104" customWidth="1"/>
    <col min="14089" max="14089" width="11.54296875" style="1104" customWidth="1"/>
    <col min="14090" max="14090" width="16.1796875" style="1104" customWidth="1"/>
    <col min="14091" max="14091" width="15.7265625" style="1104" customWidth="1"/>
    <col min="14092" max="14336" width="9.1796875" style="1104"/>
    <col min="14337" max="14337" width="8.54296875" style="1104" customWidth="1"/>
    <col min="14338" max="14338" width="35.453125" style="1104" customWidth="1"/>
    <col min="14339" max="14339" width="14.453125" style="1104" customWidth="1"/>
    <col min="14340" max="14340" width="13.453125" style="1104" customWidth="1"/>
    <col min="14341" max="14341" width="10" style="1104" customWidth="1"/>
    <col min="14342" max="14342" width="11.26953125" style="1104" customWidth="1"/>
    <col min="14343" max="14343" width="11.54296875" style="1104" customWidth="1"/>
    <col min="14344" max="14344" width="10.453125" style="1104" customWidth="1"/>
    <col min="14345" max="14345" width="11.54296875" style="1104" customWidth="1"/>
    <col min="14346" max="14346" width="16.1796875" style="1104" customWidth="1"/>
    <col min="14347" max="14347" width="15.7265625" style="1104" customWidth="1"/>
    <col min="14348" max="14592" width="9.1796875" style="1104"/>
    <col min="14593" max="14593" width="8.54296875" style="1104" customWidth="1"/>
    <col min="14594" max="14594" width="35.453125" style="1104" customWidth="1"/>
    <col min="14595" max="14595" width="14.453125" style="1104" customWidth="1"/>
    <col min="14596" max="14596" width="13.453125" style="1104" customWidth="1"/>
    <col min="14597" max="14597" width="10" style="1104" customWidth="1"/>
    <col min="14598" max="14598" width="11.26953125" style="1104" customWidth="1"/>
    <col min="14599" max="14599" width="11.54296875" style="1104" customWidth="1"/>
    <col min="14600" max="14600" width="10.453125" style="1104" customWidth="1"/>
    <col min="14601" max="14601" width="11.54296875" style="1104" customWidth="1"/>
    <col min="14602" max="14602" width="16.1796875" style="1104" customWidth="1"/>
    <col min="14603" max="14603" width="15.7265625" style="1104" customWidth="1"/>
    <col min="14604" max="14848" width="9.1796875" style="1104"/>
    <col min="14849" max="14849" width="8.54296875" style="1104" customWidth="1"/>
    <col min="14850" max="14850" width="35.453125" style="1104" customWidth="1"/>
    <col min="14851" max="14851" width="14.453125" style="1104" customWidth="1"/>
    <col min="14852" max="14852" width="13.453125" style="1104" customWidth="1"/>
    <col min="14853" max="14853" width="10" style="1104" customWidth="1"/>
    <col min="14854" max="14854" width="11.26953125" style="1104" customWidth="1"/>
    <col min="14855" max="14855" width="11.54296875" style="1104" customWidth="1"/>
    <col min="14856" max="14856" width="10.453125" style="1104" customWidth="1"/>
    <col min="14857" max="14857" width="11.54296875" style="1104" customWidth="1"/>
    <col min="14858" max="14858" width="16.1796875" style="1104" customWidth="1"/>
    <col min="14859" max="14859" width="15.7265625" style="1104" customWidth="1"/>
    <col min="14860" max="15104" width="9.1796875" style="1104"/>
    <col min="15105" max="15105" width="8.54296875" style="1104" customWidth="1"/>
    <col min="15106" max="15106" width="35.453125" style="1104" customWidth="1"/>
    <col min="15107" max="15107" width="14.453125" style="1104" customWidth="1"/>
    <col min="15108" max="15108" width="13.453125" style="1104" customWidth="1"/>
    <col min="15109" max="15109" width="10" style="1104" customWidth="1"/>
    <col min="15110" max="15110" width="11.26953125" style="1104" customWidth="1"/>
    <col min="15111" max="15111" width="11.54296875" style="1104" customWidth="1"/>
    <col min="15112" max="15112" width="10.453125" style="1104" customWidth="1"/>
    <col min="15113" max="15113" width="11.54296875" style="1104" customWidth="1"/>
    <col min="15114" max="15114" width="16.1796875" style="1104" customWidth="1"/>
    <col min="15115" max="15115" width="15.7265625" style="1104" customWidth="1"/>
    <col min="15116" max="15360" width="9.1796875" style="1104"/>
    <col min="15361" max="15361" width="8.54296875" style="1104" customWidth="1"/>
    <col min="15362" max="15362" width="35.453125" style="1104" customWidth="1"/>
    <col min="15363" max="15363" width="14.453125" style="1104" customWidth="1"/>
    <col min="15364" max="15364" width="13.453125" style="1104" customWidth="1"/>
    <col min="15365" max="15365" width="10" style="1104" customWidth="1"/>
    <col min="15366" max="15366" width="11.26953125" style="1104" customWidth="1"/>
    <col min="15367" max="15367" width="11.54296875" style="1104" customWidth="1"/>
    <col min="15368" max="15368" width="10.453125" style="1104" customWidth="1"/>
    <col min="15369" max="15369" width="11.54296875" style="1104" customWidth="1"/>
    <col min="15370" max="15370" width="16.1796875" style="1104" customWidth="1"/>
    <col min="15371" max="15371" width="15.7265625" style="1104" customWidth="1"/>
    <col min="15372" max="15616" width="9.1796875" style="1104"/>
    <col min="15617" max="15617" width="8.54296875" style="1104" customWidth="1"/>
    <col min="15618" max="15618" width="35.453125" style="1104" customWidth="1"/>
    <col min="15619" max="15619" width="14.453125" style="1104" customWidth="1"/>
    <col min="15620" max="15620" width="13.453125" style="1104" customWidth="1"/>
    <col min="15621" max="15621" width="10" style="1104" customWidth="1"/>
    <col min="15622" max="15622" width="11.26953125" style="1104" customWidth="1"/>
    <col min="15623" max="15623" width="11.54296875" style="1104" customWidth="1"/>
    <col min="15624" max="15624" width="10.453125" style="1104" customWidth="1"/>
    <col min="15625" max="15625" width="11.54296875" style="1104" customWidth="1"/>
    <col min="15626" max="15626" width="16.1796875" style="1104" customWidth="1"/>
    <col min="15627" max="15627" width="15.7265625" style="1104" customWidth="1"/>
    <col min="15628" max="15872" width="9.1796875" style="1104"/>
    <col min="15873" max="15873" width="8.54296875" style="1104" customWidth="1"/>
    <col min="15874" max="15874" width="35.453125" style="1104" customWidth="1"/>
    <col min="15875" max="15875" width="14.453125" style="1104" customWidth="1"/>
    <col min="15876" max="15876" width="13.453125" style="1104" customWidth="1"/>
    <col min="15877" max="15877" width="10" style="1104" customWidth="1"/>
    <col min="15878" max="15878" width="11.26953125" style="1104" customWidth="1"/>
    <col min="15879" max="15879" width="11.54296875" style="1104" customWidth="1"/>
    <col min="15880" max="15880" width="10.453125" style="1104" customWidth="1"/>
    <col min="15881" max="15881" width="11.54296875" style="1104" customWidth="1"/>
    <col min="15882" max="15882" width="16.1796875" style="1104" customWidth="1"/>
    <col min="15883" max="15883" width="15.7265625" style="1104" customWidth="1"/>
    <col min="15884" max="16128" width="9.1796875" style="1104"/>
    <col min="16129" max="16129" width="8.54296875" style="1104" customWidth="1"/>
    <col min="16130" max="16130" width="35.453125" style="1104" customWidth="1"/>
    <col min="16131" max="16131" width="14.453125" style="1104" customWidth="1"/>
    <col min="16132" max="16132" width="13.453125" style="1104" customWidth="1"/>
    <col min="16133" max="16133" width="10" style="1104" customWidth="1"/>
    <col min="16134" max="16134" width="11.26953125" style="1104" customWidth="1"/>
    <col min="16135" max="16135" width="11.54296875" style="1104" customWidth="1"/>
    <col min="16136" max="16136" width="10.453125" style="1104" customWidth="1"/>
    <col min="16137" max="16137" width="11.54296875" style="1104" customWidth="1"/>
    <col min="16138" max="16138" width="16.1796875" style="1104" customWidth="1"/>
    <col min="16139" max="16139" width="15.7265625" style="1104" customWidth="1"/>
    <col min="16140" max="16384" width="9.1796875" style="1104"/>
  </cols>
  <sheetData>
    <row r="1" spans="1:14">
      <c r="A1" s="1101"/>
      <c r="B1" s="1580" t="s">
        <v>5525</v>
      </c>
      <c r="C1" s="1102"/>
      <c r="D1" s="1102"/>
      <c r="E1" s="1102"/>
      <c r="F1" s="1102"/>
      <c r="G1" s="1102"/>
      <c r="H1" s="1102"/>
      <c r="I1" s="1102"/>
      <c r="J1" s="1102"/>
      <c r="K1" s="1103" t="s">
        <v>1358</v>
      </c>
    </row>
    <row r="2" spans="1:14">
      <c r="A2" s="1101"/>
      <c r="B2" s="1105" t="s">
        <v>1557</v>
      </c>
      <c r="C2" s="1106"/>
      <c r="D2" s="1106"/>
      <c r="E2" s="1106"/>
      <c r="F2" s="1106"/>
      <c r="G2" s="1106"/>
      <c r="H2" s="1106"/>
      <c r="I2" s="1106"/>
      <c r="J2" s="1106"/>
      <c r="K2" s="1106"/>
    </row>
    <row r="3" spans="1:14">
      <c r="A3" s="1101"/>
      <c r="B3" s="1107" t="s">
        <v>3352</v>
      </c>
      <c r="C3" s="1102"/>
      <c r="D3" s="1102"/>
      <c r="E3" s="1102"/>
      <c r="F3" s="1102"/>
      <c r="G3" s="1102"/>
      <c r="H3" s="1108" t="s">
        <v>8496</v>
      </c>
      <c r="I3" s="1102"/>
      <c r="J3" s="1102"/>
      <c r="K3" s="1102"/>
    </row>
    <row r="4" spans="1:14" ht="70">
      <c r="A4" s="3107" t="s">
        <v>551</v>
      </c>
      <c r="B4" s="3107" t="s">
        <v>1427</v>
      </c>
      <c r="C4" s="3107" t="s">
        <v>1479</v>
      </c>
      <c r="D4" s="3107" t="s">
        <v>4148</v>
      </c>
      <c r="E4" s="3107" t="s">
        <v>1450</v>
      </c>
      <c r="F4" s="3107" t="s">
        <v>1288</v>
      </c>
      <c r="G4" s="3107" t="s">
        <v>1480</v>
      </c>
      <c r="H4" s="3107" t="s">
        <v>156</v>
      </c>
      <c r="I4" s="3107" t="s">
        <v>157</v>
      </c>
      <c r="J4" s="3107" t="s">
        <v>158</v>
      </c>
      <c r="K4" s="3107" t="s">
        <v>159</v>
      </c>
    </row>
    <row r="5" spans="1:14">
      <c r="A5" s="1109"/>
      <c r="B5" s="1110"/>
      <c r="C5" s="1110" t="s">
        <v>160</v>
      </c>
      <c r="D5" s="1110" t="s">
        <v>160</v>
      </c>
      <c r="E5" s="1110" t="s">
        <v>160</v>
      </c>
      <c r="F5" s="1110" t="s">
        <v>160</v>
      </c>
      <c r="G5" s="1110" t="s">
        <v>160</v>
      </c>
      <c r="H5" s="1110" t="s">
        <v>160</v>
      </c>
      <c r="I5" s="1110" t="s">
        <v>160</v>
      </c>
      <c r="J5" s="1110" t="s">
        <v>8497</v>
      </c>
      <c r="K5" s="1110" t="s">
        <v>8501</v>
      </c>
      <c r="N5" s="1104">
        <v>0</v>
      </c>
    </row>
    <row r="6" spans="1:14">
      <c r="A6" s="1109"/>
      <c r="B6" s="1986" t="s">
        <v>161</v>
      </c>
      <c r="C6" s="1110"/>
      <c r="D6" s="1110"/>
      <c r="E6" s="1110"/>
      <c r="F6" s="1110"/>
      <c r="G6" s="1110"/>
      <c r="H6" s="1110"/>
      <c r="I6" s="1111"/>
      <c r="J6" s="1112"/>
      <c r="K6" s="1112"/>
    </row>
    <row r="7" spans="1:14">
      <c r="A7" s="1109">
        <v>1</v>
      </c>
      <c r="B7" s="1987" t="s">
        <v>666</v>
      </c>
      <c r="C7" s="1112"/>
      <c r="D7" s="1112"/>
      <c r="E7" s="1112"/>
      <c r="F7" s="1112"/>
      <c r="G7" s="1112"/>
      <c r="H7" s="1112"/>
      <c r="I7" s="1112"/>
      <c r="J7" s="1112"/>
      <c r="K7" s="1112"/>
    </row>
    <row r="8" spans="1:14">
      <c r="A8" s="1109" t="s">
        <v>613</v>
      </c>
      <c r="B8" s="1987" t="s">
        <v>1323</v>
      </c>
      <c r="C8" s="1635">
        <v>0.11765300000000001</v>
      </c>
      <c r="D8" s="1635">
        <v>0.51786399999999999</v>
      </c>
      <c r="E8" s="1635">
        <v>0.45837900000000004</v>
      </c>
      <c r="F8" s="1635">
        <v>12.918175999999997</v>
      </c>
      <c r="G8" s="1635">
        <v>8.6490469999999995</v>
      </c>
      <c r="H8" s="1635">
        <v>14.198782999999999</v>
      </c>
      <c r="I8" s="1113">
        <f>SUM(C8:H8)</f>
        <v>36.859901999999991</v>
      </c>
      <c r="J8" s="1636">
        <v>14.231372296489972</v>
      </c>
      <c r="K8" s="1114">
        <f>J8*10/I8</f>
        <v>3.8609360102178183</v>
      </c>
    </row>
    <row r="9" spans="1:14">
      <c r="A9" s="1109" t="s">
        <v>614</v>
      </c>
      <c r="B9" s="1987" t="s">
        <v>116</v>
      </c>
      <c r="C9" s="1116">
        <v>275.55347864570001</v>
      </c>
      <c r="D9" s="1116">
        <v>221.34986073599998</v>
      </c>
      <c r="E9" s="1116">
        <v>165.384742225</v>
      </c>
      <c r="F9" s="1116">
        <v>233.50869443400001</v>
      </c>
      <c r="G9" s="1116">
        <v>240.98600231451996</v>
      </c>
      <c r="H9" s="1116">
        <v>419.06771328920001</v>
      </c>
      <c r="I9" s="1115">
        <f t="shared" ref="I9" si="0">SUM(C9:H9)</f>
        <v>1555.8504916444199</v>
      </c>
      <c r="J9" s="1115">
        <v>686.13763222497425</v>
      </c>
      <c r="K9" s="1116">
        <f>J9*10/I9</f>
        <v>4.4100486255576978</v>
      </c>
    </row>
    <row r="10" spans="1:14">
      <c r="A10" s="1109"/>
      <c r="B10" s="1988" t="s">
        <v>1453</v>
      </c>
      <c r="C10" s="1113"/>
      <c r="D10" s="1113"/>
      <c r="E10" s="1113"/>
      <c r="F10" s="1113"/>
      <c r="G10" s="1113"/>
      <c r="H10" s="1113"/>
      <c r="I10" s="1113"/>
      <c r="J10" s="1114"/>
      <c r="K10" s="1114"/>
    </row>
    <row r="11" spans="1:14">
      <c r="A11" s="1109"/>
      <c r="B11" s="1988" t="s">
        <v>1454</v>
      </c>
      <c r="C11" s="1113"/>
      <c r="D11" s="1113"/>
      <c r="E11" s="1113"/>
      <c r="F11" s="1113"/>
      <c r="G11" s="1113"/>
      <c r="H11" s="1113"/>
      <c r="I11" s="1113"/>
      <c r="J11" s="1114"/>
      <c r="K11" s="1114"/>
    </row>
    <row r="12" spans="1:14">
      <c r="A12" s="1109"/>
      <c r="B12" s="1988" t="s">
        <v>1455</v>
      </c>
      <c r="C12" s="1113"/>
      <c r="D12" s="1113"/>
      <c r="E12" s="1113"/>
      <c r="F12" s="1113"/>
      <c r="G12" s="1113"/>
      <c r="H12" s="1113"/>
      <c r="I12" s="1113"/>
      <c r="J12" s="1114"/>
      <c r="K12" s="1114"/>
    </row>
    <row r="13" spans="1:14">
      <c r="A13" s="1109"/>
      <c r="B13" s="1988" t="s">
        <v>1456</v>
      </c>
      <c r="C13" s="1113"/>
      <c r="D13" s="1113"/>
      <c r="E13" s="1113"/>
      <c r="F13" s="1113"/>
      <c r="G13" s="1113"/>
      <c r="H13" s="1113"/>
      <c r="I13" s="1113"/>
      <c r="J13" s="1114"/>
      <c r="K13" s="1114"/>
    </row>
    <row r="14" spans="1:14">
      <c r="A14" s="1109"/>
      <c r="B14" s="1987" t="s">
        <v>251</v>
      </c>
      <c r="C14" s="1635"/>
      <c r="D14" s="1635"/>
      <c r="E14" s="1635"/>
      <c r="F14" s="1635"/>
      <c r="G14" s="1635"/>
      <c r="H14" s="1635"/>
      <c r="I14" s="1113"/>
      <c r="J14" s="1636"/>
      <c r="K14" s="1114"/>
    </row>
    <row r="15" spans="1:14">
      <c r="A15" s="1109"/>
      <c r="B15" s="1989" t="s">
        <v>1327</v>
      </c>
      <c r="C15" s="1115">
        <f>SUM(C8:C9)</f>
        <v>275.67113164570003</v>
      </c>
      <c r="D15" s="1115">
        <f t="shared" ref="D15:J15" si="1">SUM(D8:D9)</f>
        <v>221.86772473599999</v>
      </c>
      <c r="E15" s="1115">
        <f t="shared" si="1"/>
        <v>165.843121225</v>
      </c>
      <c r="F15" s="1115">
        <f t="shared" si="1"/>
        <v>246.42687043399999</v>
      </c>
      <c r="G15" s="1115">
        <f t="shared" si="1"/>
        <v>249.63504931451996</v>
      </c>
      <c r="H15" s="1115">
        <f t="shared" si="1"/>
        <v>433.26649628920001</v>
      </c>
      <c r="I15" s="1115">
        <f t="shared" si="1"/>
        <v>1592.7103936444198</v>
      </c>
      <c r="J15" s="1115">
        <f t="shared" si="1"/>
        <v>700.36900452146426</v>
      </c>
      <c r="K15" s="1116">
        <f>J15*10/I15</f>
        <v>4.3973405794062081</v>
      </c>
    </row>
    <row r="16" spans="1:14">
      <c r="A16" s="1109">
        <v>2</v>
      </c>
      <c r="B16" s="1987" t="s">
        <v>1451</v>
      </c>
      <c r="C16" s="1113"/>
      <c r="D16" s="1113"/>
      <c r="E16" s="1113"/>
      <c r="F16" s="1113"/>
      <c r="G16" s="1113"/>
      <c r="H16" s="1113"/>
      <c r="I16" s="1113"/>
      <c r="J16" s="1114"/>
      <c r="K16" s="1114"/>
    </row>
    <row r="17" spans="1:11">
      <c r="A17" s="1109"/>
      <c r="B17" s="1987" t="s">
        <v>1328</v>
      </c>
      <c r="C17" s="1113"/>
      <c r="D17" s="1113"/>
      <c r="E17" s="1113"/>
      <c r="F17" s="1113"/>
      <c r="G17" s="1113"/>
      <c r="H17" s="1113"/>
      <c r="I17" s="1113"/>
      <c r="J17" s="1114"/>
      <c r="K17" s="1114"/>
    </row>
    <row r="18" spans="1:11">
      <c r="A18" s="1109"/>
      <c r="B18" s="1988" t="s">
        <v>563</v>
      </c>
      <c r="C18" s="1113"/>
      <c r="D18" s="1113"/>
      <c r="E18" s="1113"/>
      <c r="F18" s="1113"/>
      <c r="G18" s="1113"/>
      <c r="H18" s="1113"/>
      <c r="I18" s="1113"/>
      <c r="J18" s="1114"/>
      <c r="K18" s="3111"/>
    </row>
    <row r="19" spans="1:11">
      <c r="A19" s="1109"/>
      <c r="B19" s="1988" t="s">
        <v>547</v>
      </c>
      <c r="C19" s="1113"/>
      <c r="D19" s="1113"/>
      <c r="E19" s="1113"/>
      <c r="F19" s="1113"/>
      <c r="G19" s="1113"/>
      <c r="H19" s="1113"/>
      <c r="I19" s="1113"/>
      <c r="J19" s="1114"/>
      <c r="K19" s="3111"/>
    </row>
    <row r="20" spans="1:11">
      <c r="A20" s="1109"/>
      <c r="B20" s="1988" t="s">
        <v>548</v>
      </c>
      <c r="C20" s="1113"/>
      <c r="D20" s="1113"/>
      <c r="E20" s="1113"/>
      <c r="F20" s="1113"/>
      <c r="G20" s="1113"/>
      <c r="H20" s="1113"/>
      <c r="I20" s="1113"/>
      <c r="J20" s="1114"/>
      <c r="K20" s="3111"/>
    </row>
    <row r="21" spans="1:11">
      <c r="A21" s="1109"/>
      <c r="B21" s="1989" t="s">
        <v>1327</v>
      </c>
      <c r="C21" s="3112">
        <v>65.505140770099985</v>
      </c>
      <c r="D21" s="3112">
        <v>33.266246414999998</v>
      </c>
      <c r="E21" s="3112">
        <v>23.152747954079999</v>
      </c>
      <c r="F21" s="3112">
        <v>41.088582589640005</v>
      </c>
      <c r="G21" s="3112">
        <v>45.126706130219993</v>
      </c>
      <c r="H21" s="3112">
        <v>72.269826640249974</v>
      </c>
      <c r="I21" s="1115">
        <f>SUM(C21:H21)</f>
        <v>280.40925049928995</v>
      </c>
      <c r="J21" s="3113">
        <v>202.79858611091711</v>
      </c>
      <c r="K21" s="3114">
        <f t="shared" ref="K21:K33" si="2">J21*10/I21</f>
        <v>7.2322359462043009</v>
      </c>
    </row>
    <row r="22" spans="1:11">
      <c r="A22" s="1109">
        <v>3</v>
      </c>
      <c r="B22" s="1987" t="s">
        <v>667</v>
      </c>
      <c r="C22" s="1635">
        <v>1.1965423560000001</v>
      </c>
      <c r="D22" s="1635">
        <v>9.8442268405000046</v>
      </c>
      <c r="E22" s="1635">
        <v>6.0005529150000019</v>
      </c>
      <c r="F22" s="1635">
        <v>16.347793147850005</v>
      </c>
      <c r="G22" s="1635">
        <v>17.078365406300001</v>
      </c>
      <c r="H22" s="1635">
        <v>56.530485145899966</v>
      </c>
      <c r="I22" s="1113">
        <f t="shared" ref="I22:I32" si="3">SUM(C22:H22)</f>
        <v>106.99796581154999</v>
      </c>
      <c r="J22" s="1636">
        <v>17.971738598250784</v>
      </c>
      <c r="K22" s="3111">
        <f t="shared" si="2"/>
        <v>1.679633669849713</v>
      </c>
    </row>
    <row r="23" spans="1:11">
      <c r="A23" s="1109">
        <v>4</v>
      </c>
      <c r="B23" s="1987" t="s">
        <v>842</v>
      </c>
      <c r="C23" s="1635">
        <v>0.8621744390999998</v>
      </c>
      <c r="D23" s="1635">
        <v>1.2178512370000001</v>
      </c>
      <c r="E23" s="1635">
        <v>0.99951848200000015</v>
      </c>
      <c r="F23" s="1635">
        <v>0.43921712139999991</v>
      </c>
      <c r="G23" s="1635">
        <v>1.3885860838999997</v>
      </c>
      <c r="H23" s="1635">
        <v>0.28342564999999997</v>
      </c>
      <c r="I23" s="1113">
        <f t="shared" si="3"/>
        <v>5.1907730133999994</v>
      </c>
      <c r="J23" s="1636">
        <v>2.0572880580156423</v>
      </c>
      <c r="K23" s="3111">
        <f t="shared" si="2"/>
        <v>3.9633558483577409</v>
      </c>
    </row>
    <row r="24" spans="1:11">
      <c r="A24" s="1109">
        <v>5</v>
      </c>
      <c r="B24" s="1987" t="s">
        <v>843</v>
      </c>
      <c r="C24" s="1635">
        <v>0.23633940000000001</v>
      </c>
      <c r="D24" s="1635">
        <v>0.13867624100000001</v>
      </c>
      <c r="E24" s="1635">
        <v>3.9076632E-2</v>
      </c>
      <c r="F24" s="1635">
        <v>4.3836100000000003E-2</v>
      </c>
      <c r="G24" s="1635">
        <v>3.2170319999999995E-2</v>
      </c>
      <c r="H24" s="1635">
        <v>0.164743055</v>
      </c>
      <c r="I24" s="1113">
        <f t="shared" si="3"/>
        <v>0.65484174799999995</v>
      </c>
      <c r="J24" s="1636">
        <v>0.34176775015680588</v>
      </c>
      <c r="K24" s="3111">
        <f t="shared" si="2"/>
        <v>5.2190892104943485</v>
      </c>
    </row>
    <row r="25" spans="1:11">
      <c r="A25" s="1109">
        <v>6</v>
      </c>
      <c r="B25" s="1988" t="s">
        <v>549</v>
      </c>
      <c r="C25" s="1635">
        <v>7.1090287749999987</v>
      </c>
      <c r="D25" s="1635">
        <v>6.2481294249999992</v>
      </c>
      <c r="E25" s="1635">
        <v>4.3423632634000011</v>
      </c>
      <c r="F25" s="1635">
        <v>5.6189339149999977</v>
      </c>
      <c r="G25" s="1635">
        <v>5.9986417899999998</v>
      </c>
      <c r="H25" s="1635">
        <v>7.2900484096999989</v>
      </c>
      <c r="I25" s="1113">
        <f t="shared" si="3"/>
        <v>36.607145578099995</v>
      </c>
      <c r="J25" s="1636">
        <v>24.001234213646399</v>
      </c>
      <c r="K25" s="3111">
        <f t="shared" si="2"/>
        <v>6.5564342246899994</v>
      </c>
    </row>
    <row r="26" spans="1:11">
      <c r="A26" s="1109">
        <v>7</v>
      </c>
      <c r="B26" s="1987" t="s">
        <v>249</v>
      </c>
      <c r="C26" s="1635">
        <v>2.6298183651200002</v>
      </c>
      <c r="D26" s="1635">
        <v>2.4466332952999994</v>
      </c>
      <c r="E26" s="1635">
        <v>1.2907024820999999</v>
      </c>
      <c r="F26" s="1635">
        <v>2.2634881757</v>
      </c>
      <c r="G26" s="1635">
        <v>1.6893784810799997</v>
      </c>
      <c r="H26" s="1635">
        <v>2.5502790059999993</v>
      </c>
      <c r="I26" s="1113">
        <f t="shared" si="3"/>
        <v>12.8702998053</v>
      </c>
      <c r="J26" s="1636">
        <v>9.5962229642670582</v>
      </c>
      <c r="K26" s="3111">
        <f t="shared" si="2"/>
        <v>7.4560990104638627</v>
      </c>
    </row>
    <row r="27" spans="1:11">
      <c r="A27" s="1109">
        <v>8</v>
      </c>
      <c r="B27" s="1987" t="s">
        <v>250</v>
      </c>
      <c r="C27" s="1635">
        <v>4.6922392739000003</v>
      </c>
      <c r="D27" s="1635">
        <v>5.403808978999999</v>
      </c>
      <c r="E27" s="1635">
        <v>3.2942134816999995</v>
      </c>
      <c r="F27" s="1635">
        <v>2.0622096070000002</v>
      </c>
      <c r="G27" s="1635">
        <v>5.0441828040000001</v>
      </c>
      <c r="H27" s="1635">
        <v>6.0282161599999986</v>
      </c>
      <c r="I27" s="1113">
        <f t="shared" si="3"/>
        <v>26.524870305599997</v>
      </c>
      <c r="J27" s="1636">
        <v>20.553815251164878</v>
      </c>
      <c r="K27" s="3111">
        <f t="shared" si="2"/>
        <v>7.7488843543282115</v>
      </c>
    </row>
    <row r="28" spans="1:11">
      <c r="A28" s="1109">
        <v>9</v>
      </c>
      <c r="B28" s="1987" t="s">
        <v>561</v>
      </c>
      <c r="C28" s="1635">
        <v>5.3360070780000006</v>
      </c>
      <c r="D28" s="1635">
        <v>2.7248891372000008</v>
      </c>
      <c r="E28" s="1635">
        <v>1.9758837333999999</v>
      </c>
      <c r="F28" s="1635">
        <v>6.0622753963000005</v>
      </c>
      <c r="G28" s="1635">
        <v>7.4722975275599994</v>
      </c>
      <c r="H28" s="1635">
        <v>9.7947197670999984</v>
      </c>
      <c r="I28" s="1113">
        <f t="shared" si="3"/>
        <v>33.366072639560002</v>
      </c>
      <c r="J28" s="1636">
        <v>21.281831326854299</v>
      </c>
      <c r="K28" s="3111">
        <f t="shared" si="2"/>
        <v>6.378284779498383</v>
      </c>
    </row>
    <row r="29" spans="1:11">
      <c r="A29" s="1109">
        <v>10</v>
      </c>
      <c r="B29" s="1987" t="s">
        <v>1457</v>
      </c>
      <c r="C29" s="1635">
        <v>6.8015507441799983</v>
      </c>
      <c r="D29" s="1635">
        <v>11.331119416000002</v>
      </c>
      <c r="E29" s="1635">
        <v>7.5185482268799992</v>
      </c>
      <c r="F29" s="1635">
        <v>9.999044124320001</v>
      </c>
      <c r="G29" s="1635">
        <v>9.3088239821399998</v>
      </c>
      <c r="H29" s="1635">
        <v>16.345351422599993</v>
      </c>
      <c r="I29" s="1113">
        <f t="shared" si="3"/>
        <v>61.304437916119994</v>
      </c>
      <c r="J29" s="1636">
        <v>39.127664851721178</v>
      </c>
      <c r="K29" s="3111">
        <f t="shared" si="2"/>
        <v>6.3825175112538739</v>
      </c>
    </row>
    <row r="30" spans="1:11">
      <c r="A30" s="1109">
        <v>11</v>
      </c>
      <c r="B30" s="1987" t="s">
        <v>1458</v>
      </c>
      <c r="C30" s="1635">
        <v>0.52587899999999999</v>
      </c>
      <c r="D30" s="1635">
        <v>6.1495999999999995E-5</v>
      </c>
      <c r="E30" s="1635">
        <v>0</v>
      </c>
      <c r="F30" s="1635">
        <v>1.0332332</v>
      </c>
      <c r="G30" s="1635">
        <v>0.21436400000000003</v>
      </c>
      <c r="H30" s="1635">
        <v>0</v>
      </c>
      <c r="I30" s="1113">
        <f t="shared" si="3"/>
        <v>1.773537696</v>
      </c>
      <c r="J30" s="1636">
        <v>6.5425212752617638E-4</v>
      </c>
      <c r="K30" s="3111">
        <f t="shared" si="2"/>
        <v>3.688966572302145E-3</v>
      </c>
    </row>
    <row r="31" spans="1:11">
      <c r="A31" s="1109">
        <v>12</v>
      </c>
      <c r="B31" s="1989" t="s">
        <v>1459</v>
      </c>
      <c r="C31" s="1635">
        <v>0.11888800000000002</v>
      </c>
      <c r="D31" s="1635">
        <v>1.8543E-2</v>
      </c>
      <c r="E31" s="1635">
        <v>2.8062000000000004E-3</v>
      </c>
      <c r="F31" s="1635">
        <v>2.6699999999999998E-4</v>
      </c>
      <c r="G31" s="1635"/>
      <c r="H31" s="1635">
        <v>0.27294512000000004</v>
      </c>
      <c r="I31" s="1113">
        <f t="shared" si="3"/>
        <v>0.41344932000000006</v>
      </c>
      <c r="J31" s="1636">
        <v>3.0848305528144309E-2</v>
      </c>
      <c r="K31" s="3111">
        <f t="shared" si="2"/>
        <v>0.74612060138699232</v>
      </c>
    </row>
    <row r="32" spans="1:11">
      <c r="A32" s="1109">
        <v>13</v>
      </c>
      <c r="B32" s="1989" t="s">
        <v>560</v>
      </c>
      <c r="C32" s="1635">
        <v>1.6165000000000002E-2</v>
      </c>
      <c r="D32" s="1635">
        <v>0</v>
      </c>
      <c r="E32" s="1635">
        <v>0</v>
      </c>
      <c r="F32" s="1635">
        <v>0</v>
      </c>
      <c r="G32" s="1635">
        <v>0</v>
      </c>
      <c r="H32" s="1635"/>
      <c r="I32" s="1113">
        <f t="shared" si="3"/>
        <v>1.6165000000000002E-2</v>
      </c>
      <c r="J32" s="1636">
        <v>1.3786440850006307E-2</v>
      </c>
      <c r="K32" s="3111">
        <f t="shared" si="2"/>
        <v>8.5285746056333469</v>
      </c>
    </row>
    <row r="33" spans="1:14">
      <c r="A33" s="1109"/>
      <c r="B33" s="1990" t="s">
        <v>436</v>
      </c>
      <c r="C33" s="1115">
        <f>SUM(C21:C32)+C15</f>
        <v>370.70090484709999</v>
      </c>
      <c r="D33" s="1115">
        <f t="shared" ref="D33:I33" si="4">SUM(D21:D32)+D15</f>
        <v>294.50791021800001</v>
      </c>
      <c r="E33" s="1115">
        <f t="shared" si="4"/>
        <v>214.45953459556</v>
      </c>
      <c r="F33" s="1115">
        <f t="shared" si="4"/>
        <v>331.38575081120996</v>
      </c>
      <c r="G33" s="1115">
        <f t="shared" si="4"/>
        <v>342.98856583971997</v>
      </c>
      <c r="H33" s="1115">
        <f t="shared" si="4"/>
        <v>604.79653666574995</v>
      </c>
      <c r="I33" s="1115">
        <f t="shared" si="4"/>
        <v>2158.8392029773399</v>
      </c>
      <c r="J33" s="1115">
        <f>SUM(J22:J32)+J21+J15</f>
        <v>1038.1444426449641</v>
      </c>
      <c r="K33" s="3114">
        <f t="shared" si="2"/>
        <v>4.8088085542138499</v>
      </c>
    </row>
    <row r="34" spans="1:14">
      <c r="A34" s="1109"/>
      <c r="B34" s="1986" t="s">
        <v>1333</v>
      </c>
      <c r="C34" s="1113"/>
      <c r="D34" s="1113"/>
      <c r="E34" s="1113"/>
      <c r="F34" s="1113"/>
      <c r="G34" s="1113"/>
      <c r="H34" s="1113"/>
      <c r="I34" s="1113"/>
      <c r="J34" s="1114"/>
      <c r="K34" s="1114"/>
    </row>
    <row r="35" spans="1:14">
      <c r="A35" s="1109">
        <v>14</v>
      </c>
      <c r="B35" s="1989" t="s">
        <v>1334</v>
      </c>
      <c r="C35" s="1645">
        <v>1.3977188149999995</v>
      </c>
      <c r="D35" s="1645">
        <v>0.2109075</v>
      </c>
      <c r="E35" s="1645">
        <v>0.46661806399999989</v>
      </c>
      <c r="F35" s="1645">
        <v>8.2732680000000031E-2</v>
      </c>
      <c r="G35" s="1645">
        <v>1.6973041820000001</v>
      </c>
      <c r="H35" s="1645">
        <v>3.1534818999999996</v>
      </c>
      <c r="I35" s="1113">
        <f t="shared" ref="I35:I50" si="5">SUM(C35:H35)</f>
        <v>7.0087631409999993</v>
      </c>
      <c r="J35" s="1636">
        <v>3.9500856449999997</v>
      </c>
      <c r="K35" s="1114">
        <f>J35*10/I35</f>
        <v>5.6359240076080068</v>
      </c>
      <c r="N35" s="1808">
        <f>'T-2'!K16+'T-2'!K36</f>
        <v>394.84707012199999</v>
      </c>
    </row>
    <row r="36" spans="1:14">
      <c r="A36" s="1109">
        <v>15</v>
      </c>
      <c r="B36" s="1989" t="s">
        <v>841</v>
      </c>
      <c r="C36" s="1991">
        <v>9.3883487000000015E-2</v>
      </c>
      <c r="D36" s="1991">
        <v>0.21226959799999992</v>
      </c>
      <c r="E36" s="1991">
        <v>0.251325462</v>
      </c>
      <c r="F36" s="1991">
        <v>0.66301137999999982</v>
      </c>
      <c r="G36" s="1991">
        <v>0.50712999999999986</v>
      </c>
      <c r="H36" s="1991">
        <v>0.26102755499999997</v>
      </c>
      <c r="I36" s="1113">
        <f t="shared" si="5"/>
        <v>1.9886474819999993</v>
      </c>
      <c r="J36" s="1114">
        <v>0.75795293149999998</v>
      </c>
      <c r="K36" s="1114">
        <f t="shared" ref="K36:K44" si="6">J36*10/I36</f>
        <v>3.8113991462062469</v>
      </c>
    </row>
    <row r="37" spans="1:14">
      <c r="A37" s="1109">
        <v>16</v>
      </c>
      <c r="B37" s="1987" t="s">
        <v>842</v>
      </c>
      <c r="C37" s="1645">
        <v>12.259717309999999</v>
      </c>
      <c r="D37" s="1645">
        <v>7.2858219720000008</v>
      </c>
      <c r="E37" s="1645">
        <v>2.5580385749999999</v>
      </c>
      <c r="F37" s="1645">
        <v>0.60703439999999997</v>
      </c>
      <c r="G37" s="1645">
        <v>1.3232759219999997</v>
      </c>
      <c r="H37" s="1645">
        <v>0.14681255000000001</v>
      </c>
      <c r="I37" s="1113">
        <f t="shared" si="5"/>
        <v>24.180700729000002</v>
      </c>
      <c r="J37" s="1636">
        <v>5.2145056107999999</v>
      </c>
      <c r="K37" s="1114">
        <f t="shared" si="6"/>
        <v>2.1564741523582995</v>
      </c>
    </row>
    <row r="38" spans="1:14">
      <c r="A38" s="1109">
        <v>17</v>
      </c>
      <c r="B38" s="1987" t="s">
        <v>843</v>
      </c>
      <c r="C38" s="1645">
        <v>0.99164499999999989</v>
      </c>
      <c r="D38" s="1645">
        <v>4.5451229999999988E-2</v>
      </c>
      <c r="E38" s="1645">
        <v>6.014999999999996E-4</v>
      </c>
      <c r="F38" s="1645">
        <v>0</v>
      </c>
      <c r="G38" s="1645">
        <v>0</v>
      </c>
      <c r="H38" s="1645">
        <v>0.96415869999999992</v>
      </c>
      <c r="I38" s="1113">
        <f t="shared" si="5"/>
        <v>2.0018564299999997</v>
      </c>
      <c r="J38" s="1636">
        <v>1.1397175624</v>
      </c>
      <c r="K38" s="1114">
        <f t="shared" si="6"/>
        <v>5.6933032025678285</v>
      </c>
    </row>
    <row r="39" spans="1:14">
      <c r="A39" s="1109">
        <v>18</v>
      </c>
      <c r="B39" s="1987" t="s">
        <v>561</v>
      </c>
      <c r="C39" s="1645">
        <v>10.307657300000002</v>
      </c>
      <c r="D39" s="1645">
        <v>0.24702690999999999</v>
      </c>
      <c r="E39" s="1645">
        <v>0.22073515500000002</v>
      </c>
      <c r="F39" s="1645">
        <v>1.4886413999999999</v>
      </c>
      <c r="G39" s="1645">
        <v>4.54053605</v>
      </c>
      <c r="H39" s="1645">
        <v>3.6366682100000003</v>
      </c>
      <c r="I39" s="1113">
        <f t="shared" si="5"/>
        <v>20.441265025000003</v>
      </c>
      <c r="J39" s="1636">
        <v>17.159095457499998</v>
      </c>
      <c r="K39" s="1114">
        <f t="shared" si="6"/>
        <v>8.3943412682699154</v>
      </c>
    </row>
    <row r="40" spans="1:14">
      <c r="A40" s="1109">
        <v>19</v>
      </c>
      <c r="B40" s="1987" t="s">
        <v>1452</v>
      </c>
      <c r="C40" s="1645">
        <v>4.8728906799999994</v>
      </c>
      <c r="D40" s="1645">
        <v>0.56647950000000002</v>
      </c>
      <c r="E40" s="1645">
        <v>0.136580597</v>
      </c>
      <c r="F40" s="1645">
        <v>0.50188440000000001</v>
      </c>
      <c r="G40" s="1645">
        <v>1.4128223960000001</v>
      </c>
      <c r="H40" s="1645">
        <v>1.9980231300000002</v>
      </c>
      <c r="I40" s="1113">
        <f t="shared" si="5"/>
        <v>9.488680703</v>
      </c>
      <c r="J40" s="1636">
        <v>8.7330179394999981</v>
      </c>
      <c r="K40" s="1114">
        <f t="shared" si="6"/>
        <v>9.2036166173648493</v>
      </c>
    </row>
    <row r="41" spans="1:14">
      <c r="A41" s="1109">
        <v>20</v>
      </c>
      <c r="B41" s="1987" t="s">
        <v>1460</v>
      </c>
      <c r="C41" s="1645">
        <v>9.323615445999998</v>
      </c>
      <c r="D41" s="1645">
        <v>7.6305874126000006</v>
      </c>
      <c r="E41" s="1645">
        <v>5.1541769899999998</v>
      </c>
      <c r="F41" s="1645">
        <v>2.3526887980000004</v>
      </c>
      <c r="G41" s="1645">
        <v>6.6054224499999989</v>
      </c>
      <c r="H41" s="1645">
        <v>9.3483647819999973</v>
      </c>
      <c r="I41" s="1113">
        <f t="shared" si="5"/>
        <v>40.414855878599994</v>
      </c>
      <c r="J41" s="1636">
        <v>43.294525721999996</v>
      </c>
      <c r="K41" s="1114">
        <f t="shared" si="6"/>
        <v>10.712527554731381</v>
      </c>
    </row>
    <row r="42" spans="1:14">
      <c r="A42" s="1109">
        <v>21</v>
      </c>
      <c r="B42" s="1989" t="s">
        <v>1461</v>
      </c>
      <c r="C42" s="1645">
        <v>19.518236650000002</v>
      </c>
      <c r="D42" s="1645">
        <v>5.3143549999999999</v>
      </c>
      <c r="E42" s="1645">
        <v>0</v>
      </c>
      <c r="F42" s="1645">
        <v>0.18324299999999999</v>
      </c>
      <c r="G42" s="1645">
        <v>2.4028860000000001</v>
      </c>
      <c r="H42" s="1645">
        <v>5.5138249999999998</v>
      </c>
      <c r="I42" s="1113">
        <f t="shared" si="5"/>
        <v>32.932545650000002</v>
      </c>
      <c r="J42" s="1636">
        <v>26.456020196699999</v>
      </c>
      <c r="K42" s="1114">
        <f t="shared" si="6"/>
        <v>8.0333966520137512</v>
      </c>
    </row>
    <row r="43" spans="1:14">
      <c r="A43" s="1109">
        <v>22</v>
      </c>
      <c r="B43" s="1989" t="s">
        <v>1332</v>
      </c>
      <c r="C43" s="1645">
        <v>3.5354732449999995</v>
      </c>
      <c r="D43" s="1645">
        <v>4.1567513440000008</v>
      </c>
      <c r="E43" s="1645">
        <v>4.2139936819999999</v>
      </c>
      <c r="F43" s="1645">
        <v>0.57366199999999989</v>
      </c>
      <c r="G43" s="1645">
        <v>1.3774699999999998</v>
      </c>
      <c r="H43" s="1645">
        <v>13.268496279999999</v>
      </c>
      <c r="I43" s="1113">
        <f t="shared" si="5"/>
        <v>27.125846551000002</v>
      </c>
      <c r="J43" s="1636">
        <v>19.371641596700002</v>
      </c>
      <c r="K43" s="1114">
        <f t="shared" si="6"/>
        <v>7.1413961441825897</v>
      </c>
    </row>
    <row r="44" spans="1:14">
      <c r="A44" s="1109">
        <v>23</v>
      </c>
      <c r="B44" s="1989" t="s">
        <v>890</v>
      </c>
      <c r="C44" s="1645">
        <v>14.297287799999999</v>
      </c>
      <c r="D44" s="1645">
        <v>58.700419500000002</v>
      </c>
      <c r="E44" s="1645">
        <v>10.780207200000003</v>
      </c>
      <c r="F44" s="1645">
        <v>13.762137700000002</v>
      </c>
      <c r="G44" s="1645">
        <v>12.10677465</v>
      </c>
      <c r="H44" s="1645">
        <v>50.095621999999992</v>
      </c>
      <c r="I44" s="1113">
        <f t="shared" si="5"/>
        <v>159.74244885000002</v>
      </c>
      <c r="J44" s="1636">
        <v>126.52629011030002</v>
      </c>
      <c r="K44" s="1114">
        <f t="shared" si="6"/>
        <v>7.920642948769971</v>
      </c>
    </row>
    <row r="45" spans="1:14">
      <c r="A45" s="1109" t="s">
        <v>8498</v>
      </c>
      <c r="B45" s="1989" t="s">
        <v>8499</v>
      </c>
      <c r="C45" s="1645"/>
      <c r="D45" s="1645"/>
      <c r="E45" s="1645"/>
      <c r="F45" s="1645"/>
      <c r="G45" s="1645"/>
      <c r="H45" s="1645"/>
      <c r="I45" s="1113"/>
      <c r="J45" s="1636">
        <v>0.9979498494000002</v>
      </c>
      <c r="K45" s="1114"/>
    </row>
    <row r="46" spans="1:14">
      <c r="A46" s="1109">
        <v>24</v>
      </c>
      <c r="B46" s="1989" t="s">
        <v>893</v>
      </c>
      <c r="C46" s="1992"/>
      <c r="D46" s="1992"/>
      <c r="E46" s="1992"/>
      <c r="F46" s="1992"/>
      <c r="G46" s="1992"/>
      <c r="H46" s="1992"/>
      <c r="I46" s="1113"/>
      <c r="J46" s="1636">
        <v>0</v>
      </c>
      <c r="K46" s="1114"/>
    </row>
    <row r="47" spans="1:14">
      <c r="A47" s="1109">
        <v>25</v>
      </c>
      <c r="B47" s="1989" t="s">
        <v>1336</v>
      </c>
      <c r="C47" s="1992"/>
      <c r="D47" s="1992"/>
      <c r="E47" s="1992"/>
      <c r="F47" s="1992"/>
      <c r="G47" s="1992"/>
      <c r="H47" s="1992"/>
      <c r="I47" s="1113"/>
      <c r="J47" s="1636">
        <v>0</v>
      </c>
      <c r="K47" s="1114"/>
    </row>
    <row r="48" spans="1:14">
      <c r="A48" s="1109">
        <v>26</v>
      </c>
      <c r="B48" s="1989" t="s">
        <v>891</v>
      </c>
      <c r="C48" s="1992"/>
      <c r="D48" s="1992"/>
      <c r="E48" s="1992"/>
      <c r="F48" s="1992"/>
      <c r="G48" s="1992"/>
      <c r="H48" s="1992"/>
      <c r="I48" s="1113"/>
      <c r="J48" s="1636">
        <v>0</v>
      </c>
      <c r="K48" s="1114"/>
    </row>
    <row r="49" spans="1:11">
      <c r="A49" s="1109">
        <v>27</v>
      </c>
      <c r="B49" s="1989" t="s">
        <v>1462</v>
      </c>
      <c r="C49" s="1992"/>
      <c r="D49" s="1992"/>
      <c r="E49" s="1992"/>
      <c r="F49" s="1992"/>
      <c r="G49" s="1992"/>
      <c r="H49" s="1992"/>
      <c r="I49" s="1113"/>
      <c r="J49" s="1636">
        <v>0</v>
      </c>
      <c r="K49" s="1114"/>
    </row>
    <row r="50" spans="1:11">
      <c r="A50" s="1109">
        <v>28</v>
      </c>
      <c r="B50" s="1989" t="s">
        <v>1337</v>
      </c>
      <c r="C50" s="1637"/>
      <c r="D50" s="1637"/>
      <c r="E50" s="1637"/>
      <c r="F50" s="1637"/>
      <c r="G50" s="1637">
        <v>0</v>
      </c>
      <c r="H50" s="1645">
        <v>0</v>
      </c>
      <c r="I50" s="1113">
        <f t="shared" si="5"/>
        <v>0</v>
      </c>
      <c r="J50" s="1636">
        <v>0</v>
      </c>
      <c r="K50" s="1114"/>
    </row>
    <row r="51" spans="1:11">
      <c r="A51" s="1109"/>
      <c r="B51" s="1990" t="s">
        <v>562</v>
      </c>
      <c r="C51" s="3115">
        <f t="shared" ref="C51:J51" si="7">SUM(C35:C50)</f>
        <v>76.598125733000003</v>
      </c>
      <c r="D51" s="3115">
        <f t="shared" si="7"/>
        <v>84.370069966599999</v>
      </c>
      <c r="E51" s="3115">
        <f t="shared" si="7"/>
        <v>23.782277225000001</v>
      </c>
      <c r="F51" s="3115">
        <f t="shared" si="7"/>
        <v>20.215035757999999</v>
      </c>
      <c r="G51" s="3115">
        <f t="shared" si="7"/>
        <v>31.973621649999998</v>
      </c>
      <c r="H51" s="3115">
        <f t="shared" si="7"/>
        <v>88.386480106999983</v>
      </c>
      <c r="I51" s="3115">
        <f t="shared" si="7"/>
        <v>325.32561043960004</v>
      </c>
      <c r="J51" s="3115">
        <f t="shared" si="7"/>
        <v>253.6008026218</v>
      </c>
      <c r="K51" s="3114">
        <f>J51*10/I51</f>
        <v>7.795291685739679</v>
      </c>
    </row>
    <row r="52" spans="1:11">
      <c r="A52" s="1109"/>
      <c r="B52" s="1986" t="s">
        <v>1338</v>
      </c>
      <c r="C52" s="1113"/>
      <c r="D52" s="1113"/>
      <c r="E52" s="1113"/>
      <c r="F52" s="1113"/>
      <c r="G52" s="1113"/>
      <c r="H52" s="1113"/>
      <c r="I52" s="1113"/>
      <c r="J52" s="1114"/>
      <c r="K52" s="1114"/>
    </row>
    <row r="53" spans="1:11">
      <c r="A53" s="1109">
        <v>29</v>
      </c>
      <c r="B53" s="1989" t="s">
        <v>670</v>
      </c>
      <c r="C53" s="1113"/>
      <c r="D53" s="1113"/>
      <c r="E53" s="1113"/>
      <c r="F53" s="1113"/>
      <c r="G53" s="1113"/>
      <c r="H53" s="1113"/>
      <c r="I53" s="1113"/>
      <c r="J53" s="1114"/>
      <c r="K53" s="1114"/>
    </row>
    <row r="54" spans="1:11">
      <c r="A54" s="1109">
        <v>30</v>
      </c>
      <c r="B54" s="1989" t="s">
        <v>890</v>
      </c>
      <c r="C54" s="1635"/>
      <c r="D54" s="1635">
        <v>68.943140000000014</v>
      </c>
      <c r="E54" s="1635"/>
      <c r="F54" s="1635"/>
      <c r="G54" s="1635">
        <v>0.28644999999999998</v>
      </c>
      <c r="H54" s="1635">
        <v>42.952900000000007</v>
      </c>
      <c r="I54" s="1113">
        <f t="shared" ref="I54:I60" si="8">SUM(C54:H54)</f>
        <v>112.18249000000003</v>
      </c>
      <c r="J54" s="1636">
        <v>77.583130119000003</v>
      </c>
      <c r="K54" s="1114">
        <f>J54*10/I54</f>
        <v>6.9157967628459645</v>
      </c>
    </row>
    <row r="55" spans="1:11">
      <c r="A55" s="1109">
        <v>31</v>
      </c>
      <c r="B55" s="1989" t="s">
        <v>891</v>
      </c>
      <c r="C55" s="1635">
        <v>45.65903999999999</v>
      </c>
      <c r="D55" s="1635">
        <v>37.114800000000002</v>
      </c>
      <c r="E55" s="1635"/>
      <c r="F55" s="1635"/>
      <c r="G55" s="1635">
        <v>80.750080000000011</v>
      </c>
      <c r="H55" s="1635">
        <v>98.830599999999976</v>
      </c>
      <c r="I55" s="1113">
        <f t="shared" si="8"/>
        <v>262.35451999999998</v>
      </c>
      <c r="J55" s="1636">
        <v>192.55130943900002</v>
      </c>
      <c r="K55" s="1114">
        <f t="shared" ref="K55:K61" si="9">J55*10/I55</f>
        <v>7.3393555193560243</v>
      </c>
    </row>
    <row r="56" spans="1:11">
      <c r="A56" s="1109">
        <v>32</v>
      </c>
      <c r="B56" s="1989" t="s">
        <v>892</v>
      </c>
      <c r="C56" s="1113"/>
      <c r="D56" s="1113"/>
      <c r="E56" s="1113"/>
      <c r="F56" s="1113"/>
      <c r="G56" s="1113">
        <v>0</v>
      </c>
      <c r="H56" s="1113">
        <v>0</v>
      </c>
      <c r="I56" s="1113">
        <f t="shared" si="8"/>
        <v>0</v>
      </c>
      <c r="J56" s="1114">
        <v>0</v>
      </c>
      <c r="K56" s="1114"/>
    </row>
    <row r="57" spans="1:11">
      <c r="A57" s="1109">
        <v>33</v>
      </c>
      <c r="B57" s="1989" t="s">
        <v>893</v>
      </c>
      <c r="C57" s="1635"/>
      <c r="D57" s="1635">
        <v>132.89894100000001</v>
      </c>
      <c r="E57" s="1635"/>
      <c r="F57" s="1635"/>
      <c r="G57" s="1635">
        <v>0</v>
      </c>
      <c r="H57" s="1635">
        <v>0</v>
      </c>
      <c r="I57" s="1113">
        <f t="shared" si="8"/>
        <v>132.89894100000001</v>
      </c>
      <c r="J57" s="1636">
        <v>72.743409951000004</v>
      </c>
      <c r="K57" s="1114">
        <f t="shared" si="9"/>
        <v>5.4735883825439959</v>
      </c>
    </row>
    <row r="58" spans="1:11">
      <c r="A58" s="1109">
        <v>34</v>
      </c>
      <c r="B58" s="1989" t="s">
        <v>1336</v>
      </c>
      <c r="C58" s="1113"/>
      <c r="D58" s="1113"/>
      <c r="E58" s="1113"/>
      <c r="F58" s="1113"/>
      <c r="G58" s="1113">
        <v>0</v>
      </c>
      <c r="H58" s="1113">
        <v>0</v>
      </c>
      <c r="I58" s="1113">
        <f t="shared" si="8"/>
        <v>0</v>
      </c>
      <c r="J58" s="1114">
        <v>0</v>
      </c>
      <c r="K58" s="1114"/>
    </row>
    <row r="59" spans="1:11">
      <c r="A59" s="1109">
        <v>35</v>
      </c>
      <c r="B59" s="1989" t="s">
        <v>1463</v>
      </c>
      <c r="C59" s="1635"/>
      <c r="D59" s="1635">
        <v>27.203491999999994</v>
      </c>
      <c r="E59" s="1635"/>
      <c r="F59" s="1635"/>
      <c r="G59" s="1635">
        <v>2.7383000000000002</v>
      </c>
      <c r="H59" s="1635">
        <v>0</v>
      </c>
      <c r="I59" s="1113">
        <f t="shared" si="8"/>
        <v>29.941791999999992</v>
      </c>
      <c r="J59" s="1636">
        <v>20.224435908</v>
      </c>
      <c r="K59" s="1114">
        <f t="shared" si="9"/>
        <v>6.7545843308242892</v>
      </c>
    </row>
    <row r="60" spans="1:11">
      <c r="A60" s="1109">
        <v>36</v>
      </c>
      <c r="B60" s="1989" t="s">
        <v>1337</v>
      </c>
      <c r="C60" s="1635"/>
      <c r="D60" s="1635"/>
      <c r="E60" s="1635"/>
      <c r="F60" s="1635"/>
      <c r="G60" s="1635"/>
      <c r="H60" s="1635"/>
      <c r="I60" s="1113">
        <f t="shared" si="8"/>
        <v>0</v>
      </c>
      <c r="J60" s="1636"/>
      <c r="K60" s="1114"/>
    </row>
    <row r="61" spans="1:11">
      <c r="A61" s="1109" t="s">
        <v>942</v>
      </c>
      <c r="B61" s="1990" t="s">
        <v>1327</v>
      </c>
      <c r="C61" s="1115">
        <f t="shared" ref="C61:F61" si="10">SUM(C53:C60)</f>
        <v>45.65903999999999</v>
      </c>
      <c r="D61" s="1115">
        <f t="shared" si="10"/>
        <v>266.16037299999999</v>
      </c>
      <c r="E61" s="1115">
        <f t="shared" si="10"/>
        <v>0</v>
      </c>
      <c r="F61" s="1115">
        <f t="shared" si="10"/>
        <v>0</v>
      </c>
      <c r="G61" s="1115">
        <f t="shared" ref="G61:J61" si="11">SUM(G53:G60)</f>
        <v>83.774830000000009</v>
      </c>
      <c r="H61" s="1115">
        <f t="shared" si="11"/>
        <v>141.78349999999998</v>
      </c>
      <c r="I61" s="1115">
        <f t="shared" si="11"/>
        <v>537.37774300000001</v>
      </c>
      <c r="J61" s="1116">
        <f t="shared" si="11"/>
        <v>363.10228541700002</v>
      </c>
      <c r="K61" s="1116">
        <f t="shared" si="9"/>
        <v>6.7569282529254293</v>
      </c>
    </row>
    <row r="62" spans="1:11">
      <c r="A62" s="1109"/>
      <c r="B62" s="1986" t="s">
        <v>162</v>
      </c>
      <c r="C62" s="1115"/>
      <c r="D62" s="1115"/>
      <c r="E62" s="1115"/>
      <c r="F62" s="1115"/>
      <c r="G62" s="1115"/>
      <c r="H62" s="1115"/>
      <c r="I62" s="1115"/>
      <c r="J62" s="1114"/>
      <c r="K62" s="1114"/>
    </row>
    <row r="63" spans="1:11">
      <c r="A63" s="1109">
        <v>33</v>
      </c>
      <c r="B63" s="1989" t="s">
        <v>666</v>
      </c>
      <c r="C63" s="1113"/>
      <c r="D63" s="1113"/>
      <c r="E63" s="1113"/>
      <c r="F63" s="1113"/>
      <c r="G63" s="1113"/>
      <c r="H63" s="1113"/>
      <c r="I63" s="1113"/>
      <c r="J63" s="1114"/>
      <c r="K63" s="1114"/>
    </row>
    <row r="64" spans="1:11">
      <c r="A64" s="1109">
        <v>34</v>
      </c>
      <c r="B64" s="1989" t="s">
        <v>550</v>
      </c>
      <c r="C64" s="1113"/>
      <c r="D64" s="1113"/>
      <c r="E64" s="1113"/>
      <c r="F64" s="1113"/>
      <c r="G64" s="1113"/>
      <c r="H64" s="1113"/>
      <c r="I64" s="1113"/>
      <c r="J64" s="1114"/>
      <c r="K64" s="1114"/>
    </row>
    <row r="65" spans="1:11">
      <c r="A65" s="1109">
        <v>35</v>
      </c>
      <c r="B65" s="1989" t="s">
        <v>249</v>
      </c>
      <c r="C65" s="1113"/>
      <c r="D65" s="1113"/>
      <c r="E65" s="1113"/>
      <c r="F65" s="1113"/>
      <c r="G65" s="1113"/>
      <c r="H65" s="1113"/>
      <c r="I65" s="1113"/>
      <c r="J65" s="1114"/>
      <c r="K65" s="1114"/>
    </row>
    <row r="66" spans="1:11">
      <c r="A66" s="1109"/>
      <c r="B66" s="1990" t="s">
        <v>1327</v>
      </c>
      <c r="C66" s="1115"/>
      <c r="D66" s="1115"/>
      <c r="E66" s="1115"/>
      <c r="F66" s="1115"/>
      <c r="G66" s="1115"/>
      <c r="H66" s="1115"/>
      <c r="I66" s="1115"/>
      <c r="J66" s="1116"/>
      <c r="K66" s="1116"/>
    </row>
    <row r="67" spans="1:11">
      <c r="A67" s="1109"/>
      <c r="B67" s="1986" t="s">
        <v>163</v>
      </c>
      <c r="C67" s="1115">
        <v>0</v>
      </c>
      <c r="D67" s="1115">
        <v>0</v>
      </c>
      <c r="E67" s="1115">
        <v>0</v>
      </c>
      <c r="F67" s="1115">
        <v>0</v>
      </c>
      <c r="G67" s="1115">
        <v>0</v>
      </c>
      <c r="H67" s="1115">
        <v>0</v>
      </c>
      <c r="I67" s="1115">
        <v>0</v>
      </c>
      <c r="J67" s="1116">
        <v>0</v>
      </c>
      <c r="K67" s="1116">
        <v>0</v>
      </c>
    </row>
    <row r="68" spans="1:11">
      <c r="A68" s="1109"/>
      <c r="B68" s="1109" t="s">
        <v>164</v>
      </c>
      <c r="C68" s="1113"/>
      <c r="D68" s="1113"/>
      <c r="E68" s="1113"/>
      <c r="F68" s="1113"/>
      <c r="G68" s="1113"/>
      <c r="H68" s="1113"/>
      <c r="I68" s="1113"/>
      <c r="J68" s="1114"/>
      <c r="K68" s="1114"/>
    </row>
    <row r="69" spans="1:11">
      <c r="A69" s="1109"/>
      <c r="B69" s="1109" t="s">
        <v>165</v>
      </c>
      <c r="C69" s="1113"/>
      <c r="D69" s="1113"/>
      <c r="E69" s="1113"/>
      <c r="F69" s="1113"/>
      <c r="G69" s="1113"/>
      <c r="H69" s="1113"/>
      <c r="I69" s="1113"/>
      <c r="J69" s="1114"/>
      <c r="K69" s="1114"/>
    </row>
    <row r="70" spans="1:11">
      <c r="A70" s="1109"/>
      <c r="B70" s="1986" t="s">
        <v>166</v>
      </c>
      <c r="C70" s="1115">
        <f t="shared" ref="C70:I70" si="12">C33+C51+C61+C67</f>
        <v>492.95807058010001</v>
      </c>
      <c r="D70" s="1115">
        <f t="shared" si="12"/>
        <v>645.03835318460006</v>
      </c>
      <c r="E70" s="1115">
        <f t="shared" si="12"/>
        <v>238.24181182056</v>
      </c>
      <c r="F70" s="1115">
        <f t="shared" si="12"/>
        <v>351.60078656920996</v>
      </c>
      <c r="G70" s="1115">
        <f t="shared" si="12"/>
        <v>458.73701748971996</v>
      </c>
      <c r="H70" s="1115">
        <f t="shared" si="12"/>
        <v>834.96651677274997</v>
      </c>
      <c r="I70" s="1115">
        <f t="shared" si="12"/>
        <v>3021.54255641694</v>
      </c>
      <c r="J70" s="1116">
        <f>+J67+J61+J51+J33</f>
        <v>1654.847530683764</v>
      </c>
      <c r="K70" s="1116">
        <f t="shared" ref="K70" si="13">J70*10/I70</f>
        <v>5.4768301282711214</v>
      </c>
    </row>
    <row r="71" spans="1:11">
      <c r="A71" s="1109"/>
      <c r="B71" s="1109" t="s">
        <v>1413</v>
      </c>
      <c r="C71" s="3139">
        <v>556.89</v>
      </c>
      <c r="D71" s="3139">
        <v>872.77</v>
      </c>
      <c r="E71" s="3139">
        <v>420.61882674121125</v>
      </c>
      <c r="F71" s="3139">
        <v>483.04999276673919</v>
      </c>
      <c r="G71" s="3139">
        <v>510.95711182844695</v>
      </c>
      <c r="H71" s="3139">
        <v>1097.2548443202706</v>
      </c>
      <c r="I71" s="3140">
        <f>SUM(C71:H71)</f>
        <v>3941.5407756566683</v>
      </c>
      <c r="J71" s="1115"/>
      <c r="K71" s="1115"/>
    </row>
    <row r="72" spans="1:11">
      <c r="A72" s="1109"/>
      <c r="B72" s="1109" t="s">
        <v>167</v>
      </c>
      <c r="C72" s="1115">
        <f>C71-C70</f>
        <v>63.931929419899973</v>
      </c>
      <c r="D72" s="1115">
        <f t="shared" ref="D72:I72" si="14">D71-D70</f>
        <v>227.73164681539993</v>
      </c>
      <c r="E72" s="1115">
        <f t="shared" si="14"/>
        <v>182.37701492065125</v>
      </c>
      <c r="F72" s="1115">
        <f t="shared" si="14"/>
        <v>131.44920619752924</v>
      </c>
      <c r="G72" s="1115">
        <f t="shared" si="14"/>
        <v>52.220094338726994</v>
      </c>
      <c r="H72" s="1115">
        <f t="shared" si="14"/>
        <v>262.28832754752068</v>
      </c>
      <c r="I72" s="1115">
        <f t="shared" si="14"/>
        <v>919.99821923972831</v>
      </c>
      <c r="J72" s="1115"/>
      <c r="K72" s="1115"/>
    </row>
    <row r="73" spans="1:11">
      <c r="A73" s="1109"/>
      <c r="B73" s="1109" t="s">
        <v>168</v>
      </c>
      <c r="C73" s="1117">
        <f t="shared" ref="C73:I73" si="15">C72/C71</f>
        <v>0.11480171922623852</v>
      </c>
      <c r="D73" s="1117">
        <f t="shared" si="15"/>
        <v>0.26092973729092422</v>
      </c>
      <c r="E73" s="1117">
        <f t="shared" si="15"/>
        <v>0.4335921345547854</v>
      </c>
      <c r="F73" s="1117">
        <f t="shared" si="15"/>
        <v>0.27212339957741177</v>
      </c>
      <c r="G73" s="1117">
        <f t="shared" si="15"/>
        <v>0.10220054311771633</v>
      </c>
      <c r="H73" s="1117">
        <f t="shared" si="15"/>
        <v>0.23904048262370944</v>
      </c>
      <c r="I73" s="1117">
        <f t="shared" si="15"/>
        <v>0.23341080851471208</v>
      </c>
      <c r="J73" s="1115"/>
      <c r="K73" s="1115"/>
    </row>
  </sheetData>
  <printOptions horizontalCentered="1" verticalCentered="1"/>
  <pageMargins left="0.47244094488188981" right="0.15748031496062992" top="0.23622047244094491" bottom="0.27559055118110237" header="0.15748031496062992" footer="0.19685039370078741"/>
  <pageSetup paperSize="9" scale="85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</sheetPr>
  <dimension ref="A1:N77"/>
  <sheetViews>
    <sheetView zoomScale="70" zoomScaleNormal="70" workbookViewId="0">
      <pane ySplit="5" topLeftCell="A68" activePane="bottomLeft" state="frozen"/>
      <selection activeCell="D13" sqref="D13"/>
      <selection pane="bottomLeft" activeCell="D13" sqref="D13"/>
    </sheetView>
  </sheetViews>
  <sheetFormatPr defaultRowHeight="15.5"/>
  <cols>
    <col min="1" max="1" width="8.26953125" style="1104" customWidth="1"/>
    <col min="2" max="2" width="41.81640625" style="1104" customWidth="1"/>
    <col min="3" max="3" width="14.54296875" style="1104" customWidth="1"/>
    <col min="4" max="4" width="14.1796875" style="1104" customWidth="1"/>
    <col min="5" max="5" width="9.54296875" style="1104" bestFit="1" customWidth="1"/>
    <col min="6" max="6" width="15.54296875" style="1104" customWidth="1"/>
    <col min="7" max="7" width="14.26953125" style="1104" customWidth="1"/>
    <col min="8" max="8" width="13.1796875" style="1104" customWidth="1"/>
    <col min="9" max="9" width="10.81640625" style="1104" bestFit="1" customWidth="1"/>
    <col min="10" max="10" width="13.81640625" style="1104" customWidth="1"/>
    <col min="11" max="11" width="14" style="1104" customWidth="1"/>
    <col min="12" max="13" width="11.54296875" style="1104" bestFit="1" customWidth="1"/>
    <col min="14" max="256" width="9.1796875" style="1104"/>
    <col min="257" max="257" width="8.26953125" style="1104" customWidth="1"/>
    <col min="258" max="258" width="41.81640625" style="1104" customWidth="1"/>
    <col min="259" max="259" width="14.54296875" style="1104" customWidth="1"/>
    <col min="260" max="260" width="14.1796875" style="1104" customWidth="1"/>
    <col min="261" max="261" width="9.1796875" style="1104"/>
    <col min="262" max="262" width="15.54296875" style="1104" customWidth="1"/>
    <col min="263" max="263" width="14.26953125" style="1104" customWidth="1"/>
    <col min="264" max="264" width="13.1796875" style="1104" customWidth="1"/>
    <col min="265" max="265" width="9.1796875" style="1104"/>
    <col min="266" max="266" width="13.81640625" style="1104" customWidth="1"/>
    <col min="267" max="267" width="14" style="1104" customWidth="1"/>
    <col min="268" max="512" width="9.1796875" style="1104"/>
    <col min="513" max="513" width="8.26953125" style="1104" customWidth="1"/>
    <col min="514" max="514" width="41.81640625" style="1104" customWidth="1"/>
    <col min="515" max="515" width="14.54296875" style="1104" customWidth="1"/>
    <col min="516" max="516" width="14.1796875" style="1104" customWidth="1"/>
    <col min="517" max="517" width="9.1796875" style="1104"/>
    <col min="518" max="518" width="15.54296875" style="1104" customWidth="1"/>
    <col min="519" max="519" width="14.26953125" style="1104" customWidth="1"/>
    <col min="520" max="520" width="13.1796875" style="1104" customWidth="1"/>
    <col min="521" max="521" width="9.1796875" style="1104"/>
    <col min="522" max="522" width="13.81640625" style="1104" customWidth="1"/>
    <col min="523" max="523" width="14" style="1104" customWidth="1"/>
    <col min="524" max="768" width="9.1796875" style="1104"/>
    <col min="769" max="769" width="8.26953125" style="1104" customWidth="1"/>
    <col min="770" max="770" width="41.81640625" style="1104" customWidth="1"/>
    <col min="771" max="771" width="14.54296875" style="1104" customWidth="1"/>
    <col min="772" max="772" width="14.1796875" style="1104" customWidth="1"/>
    <col min="773" max="773" width="9.1796875" style="1104"/>
    <col min="774" max="774" width="15.54296875" style="1104" customWidth="1"/>
    <col min="775" max="775" width="14.26953125" style="1104" customWidth="1"/>
    <col min="776" max="776" width="13.1796875" style="1104" customWidth="1"/>
    <col min="777" max="777" width="9.1796875" style="1104"/>
    <col min="778" max="778" width="13.81640625" style="1104" customWidth="1"/>
    <col min="779" max="779" width="14" style="1104" customWidth="1"/>
    <col min="780" max="1024" width="9.1796875" style="1104"/>
    <col min="1025" max="1025" width="8.26953125" style="1104" customWidth="1"/>
    <col min="1026" max="1026" width="41.81640625" style="1104" customWidth="1"/>
    <col min="1027" max="1027" width="14.54296875" style="1104" customWidth="1"/>
    <col min="1028" max="1028" width="14.1796875" style="1104" customWidth="1"/>
    <col min="1029" max="1029" width="9.1796875" style="1104"/>
    <col min="1030" max="1030" width="15.54296875" style="1104" customWidth="1"/>
    <col min="1031" max="1031" width="14.26953125" style="1104" customWidth="1"/>
    <col min="1032" max="1032" width="13.1796875" style="1104" customWidth="1"/>
    <col min="1033" max="1033" width="9.1796875" style="1104"/>
    <col min="1034" max="1034" width="13.81640625" style="1104" customWidth="1"/>
    <col min="1035" max="1035" width="14" style="1104" customWidth="1"/>
    <col min="1036" max="1280" width="9.1796875" style="1104"/>
    <col min="1281" max="1281" width="8.26953125" style="1104" customWidth="1"/>
    <col min="1282" max="1282" width="41.81640625" style="1104" customWidth="1"/>
    <col min="1283" max="1283" width="14.54296875" style="1104" customWidth="1"/>
    <col min="1284" max="1284" width="14.1796875" style="1104" customWidth="1"/>
    <col min="1285" max="1285" width="9.1796875" style="1104"/>
    <col min="1286" max="1286" width="15.54296875" style="1104" customWidth="1"/>
    <col min="1287" max="1287" width="14.26953125" style="1104" customWidth="1"/>
    <col min="1288" max="1288" width="13.1796875" style="1104" customWidth="1"/>
    <col min="1289" max="1289" width="9.1796875" style="1104"/>
    <col min="1290" max="1290" width="13.81640625" style="1104" customWidth="1"/>
    <col min="1291" max="1291" width="14" style="1104" customWidth="1"/>
    <col min="1292" max="1536" width="9.1796875" style="1104"/>
    <col min="1537" max="1537" width="8.26953125" style="1104" customWidth="1"/>
    <col min="1538" max="1538" width="41.81640625" style="1104" customWidth="1"/>
    <col min="1539" max="1539" width="14.54296875" style="1104" customWidth="1"/>
    <col min="1540" max="1540" width="14.1796875" style="1104" customWidth="1"/>
    <col min="1541" max="1541" width="9.1796875" style="1104"/>
    <col min="1542" max="1542" width="15.54296875" style="1104" customWidth="1"/>
    <col min="1543" max="1543" width="14.26953125" style="1104" customWidth="1"/>
    <col min="1544" max="1544" width="13.1796875" style="1104" customWidth="1"/>
    <col min="1545" max="1545" width="9.1796875" style="1104"/>
    <col min="1546" max="1546" width="13.81640625" style="1104" customWidth="1"/>
    <col min="1547" max="1547" width="14" style="1104" customWidth="1"/>
    <col min="1548" max="1792" width="9.1796875" style="1104"/>
    <col min="1793" max="1793" width="8.26953125" style="1104" customWidth="1"/>
    <col min="1794" max="1794" width="41.81640625" style="1104" customWidth="1"/>
    <col min="1795" max="1795" width="14.54296875" style="1104" customWidth="1"/>
    <col min="1796" max="1796" width="14.1796875" style="1104" customWidth="1"/>
    <col min="1797" max="1797" width="9.1796875" style="1104"/>
    <col min="1798" max="1798" width="15.54296875" style="1104" customWidth="1"/>
    <col min="1799" max="1799" width="14.26953125" style="1104" customWidth="1"/>
    <col min="1800" max="1800" width="13.1796875" style="1104" customWidth="1"/>
    <col min="1801" max="1801" width="9.1796875" style="1104"/>
    <col min="1802" max="1802" width="13.81640625" style="1104" customWidth="1"/>
    <col min="1803" max="1803" width="14" style="1104" customWidth="1"/>
    <col min="1804" max="2048" width="9.1796875" style="1104"/>
    <col min="2049" max="2049" width="8.26953125" style="1104" customWidth="1"/>
    <col min="2050" max="2050" width="41.81640625" style="1104" customWidth="1"/>
    <col min="2051" max="2051" width="14.54296875" style="1104" customWidth="1"/>
    <col min="2052" max="2052" width="14.1796875" style="1104" customWidth="1"/>
    <col min="2053" max="2053" width="9.1796875" style="1104"/>
    <col min="2054" max="2054" width="15.54296875" style="1104" customWidth="1"/>
    <col min="2055" max="2055" width="14.26953125" style="1104" customWidth="1"/>
    <col min="2056" max="2056" width="13.1796875" style="1104" customWidth="1"/>
    <col min="2057" max="2057" width="9.1796875" style="1104"/>
    <col min="2058" max="2058" width="13.81640625" style="1104" customWidth="1"/>
    <col min="2059" max="2059" width="14" style="1104" customWidth="1"/>
    <col min="2060" max="2304" width="9.1796875" style="1104"/>
    <col min="2305" max="2305" width="8.26953125" style="1104" customWidth="1"/>
    <col min="2306" max="2306" width="41.81640625" style="1104" customWidth="1"/>
    <col min="2307" max="2307" width="14.54296875" style="1104" customWidth="1"/>
    <col min="2308" max="2308" width="14.1796875" style="1104" customWidth="1"/>
    <col min="2309" max="2309" width="9.1796875" style="1104"/>
    <col min="2310" max="2310" width="15.54296875" style="1104" customWidth="1"/>
    <col min="2311" max="2311" width="14.26953125" style="1104" customWidth="1"/>
    <col min="2312" max="2312" width="13.1796875" style="1104" customWidth="1"/>
    <col min="2313" max="2313" width="9.1796875" style="1104"/>
    <col min="2314" max="2314" width="13.81640625" style="1104" customWidth="1"/>
    <col min="2315" max="2315" width="14" style="1104" customWidth="1"/>
    <col min="2316" max="2560" width="9.1796875" style="1104"/>
    <col min="2561" max="2561" width="8.26953125" style="1104" customWidth="1"/>
    <col min="2562" max="2562" width="41.81640625" style="1104" customWidth="1"/>
    <col min="2563" max="2563" width="14.54296875" style="1104" customWidth="1"/>
    <col min="2564" max="2564" width="14.1796875" style="1104" customWidth="1"/>
    <col min="2565" max="2565" width="9.1796875" style="1104"/>
    <col min="2566" max="2566" width="15.54296875" style="1104" customWidth="1"/>
    <col min="2567" max="2567" width="14.26953125" style="1104" customWidth="1"/>
    <col min="2568" max="2568" width="13.1796875" style="1104" customWidth="1"/>
    <col min="2569" max="2569" width="9.1796875" style="1104"/>
    <col min="2570" max="2570" width="13.81640625" style="1104" customWidth="1"/>
    <col min="2571" max="2571" width="14" style="1104" customWidth="1"/>
    <col min="2572" max="2816" width="9.1796875" style="1104"/>
    <col min="2817" max="2817" width="8.26953125" style="1104" customWidth="1"/>
    <col min="2818" max="2818" width="41.81640625" style="1104" customWidth="1"/>
    <col min="2819" max="2819" width="14.54296875" style="1104" customWidth="1"/>
    <col min="2820" max="2820" width="14.1796875" style="1104" customWidth="1"/>
    <col min="2821" max="2821" width="9.1796875" style="1104"/>
    <col min="2822" max="2822" width="15.54296875" style="1104" customWidth="1"/>
    <col min="2823" max="2823" width="14.26953125" style="1104" customWidth="1"/>
    <col min="2824" max="2824" width="13.1796875" style="1104" customWidth="1"/>
    <col min="2825" max="2825" width="9.1796875" style="1104"/>
    <col min="2826" max="2826" width="13.81640625" style="1104" customWidth="1"/>
    <col min="2827" max="2827" width="14" style="1104" customWidth="1"/>
    <col min="2828" max="3072" width="9.1796875" style="1104"/>
    <col min="3073" max="3073" width="8.26953125" style="1104" customWidth="1"/>
    <col min="3074" max="3074" width="41.81640625" style="1104" customWidth="1"/>
    <col min="3075" max="3075" width="14.54296875" style="1104" customWidth="1"/>
    <col min="3076" max="3076" width="14.1796875" style="1104" customWidth="1"/>
    <col min="3077" max="3077" width="9.1796875" style="1104"/>
    <col min="3078" max="3078" width="15.54296875" style="1104" customWidth="1"/>
    <col min="3079" max="3079" width="14.26953125" style="1104" customWidth="1"/>
    <col min="3080" max="3080" width="13.1796875" style="1104" customWidth="1"/>
    <col min="3081" max="3081" width="9.1796875" style="1104"/>
    <col min="3082" max="3082" width="13.81640625" style="1104" customWidth="1"/>
    <col min="3083" max="3083" width="14" style="1104" customWidth="1"/>
    <col min="3084" max="3328" width="9.1796875" style="1104"/>
    <col min="3329" max="3329" width="8.26953125" style="1104" customWidth="1"/>
    <col min="3330" max="3330" width="41.81640625" style="1104" customWidth="1"/>
    <col min="3331" max="3331" width="14.54296875" style="1104" customWidth="1"/>
    <col min="3332" max="3332" width="14.1796875" style="1104" customWidth="1"/>
    <col min="3333" max="3333" width="9.1796875" style="1104"/>
    <col min="3334" max="3334" width="15.54296875" style="1104" customWidth="1"/>
    <col min="3335" max="3335" width="14.26953125" style="1104" customWidth="1"/>
    <col min="3336" max="3336" width="13.1796875" style="1104" customWidth="1"/>
    <col min="3337" max="3337" width="9.1796875" style="1104"/>
    <col min="3338" max="3338" width="13.81640625" style="1104" customWidth="1"/>
    <col min="3339" max="3339" width="14" style="1104" customWidth="1"/>
    <col min="3340" max="3584" width="9.1796875" style="1104"/>
    <col min="3585" max="3585" width="8.26953125" style="1104" customWidth="1"/>
    <col min="3586" max="3586" width="41.81640625" style="1104" customWidth="1"/>
    <col min="3587" max="3587" width="14.54296875" style="1104" customWidth="1"/>
    <col min="3588" max="3588" width="14.1796875" style="1104" customWidth="1"/>
    <col min="3589" max="3589" width="9.1796875" style="1104"/>
    <col min="3590" max="3590" width="15.54296875" style="1104" customWidth="1"/>
    <col min="3591" max="3591" width="14.26953125" style="1104" customWidth="1"/>
    <col min="3592" max="3592" width="13.1796875" style="1104" customWidth="1"/>
    <col min="3593" max="3593" width="9.1796875" style="1104"/>
    <col min="3594" max="3594" width="13.81640625" style="1104" customWidth="1"/>
    <col min="3595" max="3595" width="14" style="1104" customWidth="1"/>
    <col min="3596" max="3840" width="9.1796875" style="1104"/>
    <col min="3841" max="3841" width="8.26953125" style="1104" customWidth="1"/>
    <col min="3842" max="3842" width="41.81640625" style="1104" customWidth="1"/>
    <col min="3843" max="3843" width="14.54296875" style="1104" customWidth="1"/>
    <col min="3844" max="3844" width="14.1796875" style="1104" customWidth="1"/>
    <col min="3845" max="3845" width="9.1796875" style="1104"/>
    <col min="3846" max="3846" width="15.54296875" style="1104" customWidth="1"/>
    <col min="3847" max="3847" width="14.26953125" style="1104" customWidth="1"/>
    <col min="3848" max="3848" width="13.1796875" style="1104" customWidth="1"/>
    <col min="3849" max="3849" width="9.1796875" style="1104"/>
    <col min="3850" max="3850" width="13.81640625" style="1104" customWidth="1"/>
    <col min="3851" max="3851" width="14" style="1104" customWidth="1"/>
    <col min="3852" max="4096" width="9.1796875" style="1104"/>
    <col min="4097" max="4097" width="8.26953125" style="1104" customWidth="1"/>
    <col min="4098" max="4098" width="41.81640625" style="1104" customWidth="1"/>
    <col min="4099" max="4099" width="14.54296875" style="1104" customWidth="1"/>
    <col min="4100" max="4100" width="14.1796875" style="1104" customWidth="1"/>
    <col min="4101" max="4101" width="9.1796875" style="1104"/>
    <col min="4102" max="4102" width="15.54296875" style="1104" customWidth="1"/>
    <col min="4103" max="4103" width="14.26953125" style="1104" customWidth="1"/>
    <col min="4104" max="4104" width="13.1796875" style="1104" customWidth="1"/>
    <col min="4105" max="4105" width="9.1796875" style="1104"/>
    <col min="4106" max="4106" width="13.81640625" style="1104" customWidth="1"/>
    <col min="4107" max="4107" width="14" style="1104" customWidth="1"/>
    <col min="4108" max="4352" width="9.1796875" style="1104"/>
    <col min="4353" max="4353" width="8.26953125" style="1104" customWidth="1"/>
    <col min="4354" max="4354" width="41.81640625" style="1104" customWidth="1"/>
    <col min="4355" max="4355" width="14.54296875" style="1104" customWidth="1"/>
    <col min="4356" max="4356" width="14.1796875" style="1104" customWidth="1"/>
    <col min="4357" max="4357" width="9.1796875" style="1104"/>
    <col min="4358" max="4358" width="15.54296875" style="1104" customWidth="1"/>
    <col min="4359" max="4359" width="14.26953125" style="1104" customWidth="1"/>
    <col min="4360" max="4360" width="13.1796875" style="1104" customWidth="1"/>
    <col min="4361" max="4361" width="9.1796875" style="1104"/>
    <col min="4362" max="4362" width="13.81640625" style="1104" customWidth="1"/>
    <col min="4363" max="4363" width="14" style="1104" customWidth="1"/>
    <col min="4364" max="4608" width="9.1796875" style="1104"/>
    <col min="4609" max="4609" width="8.26953125" style="1104" customWidth="1"/>
    <col min="4610" max="4610" width="41.81640625" style="1104" customWidth="1"/>
    <col min="4611" max="4611" width="14.54296875" style="1104" customWidth="1"/>
    <col min="4612" max="4612" width="14.1796875" style="1104" customWidth="1"/>
    <col min="4613" max="4613" width="9.1796875" style="1104"/>
    <col min="4614" max="4614" width="15.54296875" style="1104" customWidth="1"/>
    <col min="4615" max="4615" width="14.26953125" style="1104" customWidth="1"/>
    <col min="4616" max="4616" width="13.1796875" style="1104" customWidth="1"/>
    <col min="4617" max="4617" width="9.1796875" style="1104"/>
    <col min="4618" max="4618" width="13.81640625" style="1104" customWidth="1"/>
    <col min="4619" max="4619" width="14" style="1104" customWidth="1"/>
    <col min="4620" max="4864" width="9.1796875" style="1104"/>
    <col min="4865" max="4865" width="8.26953125" style="1104" customWidth="1"/>
    <col min="4866" max="4866" width="41.81640625" style="1104" customWidth="1"/>
    <col min="4867" max="4867" width="14.54296875" style="1104" customWidth="1"/>
    <col min="4868" max="4868" width="14.1796875" style="1104" customWidth="1"/>
    <col min="4869" max="4869" width="9.1796875" style="1104"/>
    <col min="4870" max="4870" width="15.54296875" style="1104" customWidth="1"/>
    <col min="4871" max="4871" width="14.26953125" style="1104" customWidth="1"/>
    <col min="4872" max="4872" width="13.1796875" style="1104" customWidth="1"/>
    <col min="4873" max="4873" width="9.1796875" style="1104"/>
    <col min="4874" max="4874" width="13.81640625" style="1104" customWidth="1"/>
    <col min="4875" max="4875" width="14" style="1104" customWidth="1"/>
    <col min="4876" max="5120" width="9.1796875" style="1104"/>
    <col min="5121" max="5121" width="8.26953125" style="1104" customWidth="1"/>
    <col min="5122" max="5122" width="41.81640625" style="1104" customWidth="1"/>
    <col min="5123" max="5123" width="14.54296875" style="1104" customWidth="1"/>
    <col min="5124" max="5124" width="14.1796875" style="1104" customWidth="1"/>
    <col min="5125" max="5125" width="9.1796875" style="1104"/>
    <col min="5126" max="5126" width="15.54296875" style="1104" customWidth="1"/>
    <col min="5127" max="5127" width="14.26953125" style="1104" customWidth="1"/>
    <col min="5128" max="5128" width="13.1796875" style="1104" customWidth="1"/>
    <col min="5129" max="5129" width="9.1796875" style="1104"/>
    <col min="5130" max="5130" width="13.81640625" style="1104" customWidth="1"/>
    <col min="5131" max="5131" width="14" style="1104" customWidth="1"/>
    <col min="5132" max="5376" width="9.1796875" style="1104"/>
    <col min="5377" max="5377" width="8.26953125" style="1104" customWidth="1"/>
    <col min="5378" max="5378" width="41.81640625" style="1104" customWidth="1"/>
    <col min="5379" max="5379" width="14.54296875" style="1104" customWidth="1"/>
    <col min="5380" max="5380" width="14.1796875" style="1104" customWidth="1"/>
    <col min="5381" max="5381" width="9.1796875" style="1104"/>
    <col min="5382" max="5382" width="15.54296875" style="1104" customWidth="1"/>
    <col min="5383" max="5383" width="14.26953125" style="1104" customWidth="1"/>
    <col min="5384" max="5384" width="13.1796875" style="1104" customWidth="1"/>
    <col min="5385" max="5385" width="9.1796875" style="1104"/>
    <col min="5386" max="5386" width="13.81640625" style="1104" customWidth="1"/>
    <col min="5387" max="5387" width="14" style="1104" customWidth="1"/>
    <col min="5388" max="5632" width="9.1796875" style="1104"/>
    <col min="5633" max="5633" width="8.26953125" style="1104" customWidth="1"/>
    <col min="5634" max="5634" width="41.81640625" style="1104" customWidth="1"/>
    <col min="5635" max="5635" width="14.54296875" style="1104" customWidth="1"/>
    <col min="5636" max="5636" width="14.1796875" style="1104" customWidth="1"/>
    <col min="5637" max="5637" width="9.1796875" style="1104"/>
    <col min="5638" max="5638" width="15.54296875" style="1104" customWidth="1"/>
    <col min="5639" max="5639" width="14.26953125" style="1104" customWidth="1"/>
    <col min="5640" max="5640" width="13.1796875" style="1104" customWidth="1"/>
    <col min="5641" max="5641" width="9.1796875" style="1104"/>
    <col min="5642" max="5642" width="13.81640625" style="1104" customWidth="1"/>
    <col min="5643" max="5643" width="14" style="1104" customWidth="1"/>
    <col min="5644" max="5888" width="9.1796875" style="1104"/>
    <col min="5889" max="5889" width="8.26953125" style="1104" customWidth="1"/>
    <col min="5890" max="5890" width="41.81640625" style="1104" customWidth="1"/>
    <col min="5891" max="5891" width="14.54296875" style="1104" customWidth="1"/>
    <col min="5892" max="5892" width="14.1796875" style="1104" customWidth="1"/>
    <col min="5893" max="5893" width="9.1796875" style="1104"/>
    <col min="5894" max="5894" width="15.54296875" style="1104" customWidth="1"/>
    <col min="5895" max="5895" width="14.26953125" style="1104" customWidth="1"/>
    <col min="5896" max="5896" width="13.1796875" style="1104" customWidth="1"/>
    <col min="5897" max="5897" width="9.1796875" style="1104"/>
    <col min="5898" max="5898" width="13.81640625" style="1104" customWidth="1"/>
    <col min="5899" max="5899" width="14" style="1104" customWidth="1"/>
    <col min="5900" max="6144" width="9.1796875" style="1104"/>
    <col min="6145" max="6145" width="8.26953125" style="1104" customWidth="1"/>
    <col min="6146" max="6146" width="41.81640625" style="1104" customWidth="1"/>
    <col min="6147" max="6147" width="14.54296875" style="1104" customWidth="1"/>
    <col min="6148" max="6148" width="14.1796875" style="1104" customWidth="1"/>
    <col min="6149" max="6149" width="9.1796875" style="1104"/>
    <col min="6150" max="6150" width="15.54296875" style="1104" customWidth="1"/>
    <col min="6151" max="6151" width="14.26953125" style="1104" customWidth="1"/>
    <col min="6152" max="6152" width="13.1796875" style="1104" customWidth="1"/>
    <col min="6153" max="6153" width="9.1796875" style="1104"/>
    <col min="6154" max="6154" width="13.81640625" style="1104" customWidth="1"/>
    <col min="6155" max="6155" width="14" style="1104" customWidth="1"/>
    <col min="6156" max="6400" width="9.1796875" style="1104"/>
    <col min="6401" max="6401" width="8.26953125" style="1104" customWidth="1"/>
    <col min="6402" max="6402" width="41.81640625" style="1104" customWidth="1"/>
    <col min="6403" max="6403" width="14.54296875" style="1104" customWidth="1"/>
    <col min="6404" max="6404" width="14.1796875" style="1104" customWidth="1"/>
    <col min="6405" max="6405" width="9.1796875" style="1104"/>
    <col min="6406" max="6406" width="15.54296875" style="1104" customWidth="1"/>
    <col min="6407" max="6407" width="14.26953125" style="1104" customWidth="1"/>
    <col min="6408" max="6408" width="13.1796875" style="1104" customWidth="1"/>
    <col min="6409" max="6409" width="9.1796875" style="1104"/>
    <col min="6410" max="6410" width="13.81640625" style="1104" customWidth="1"/>
    <col min="6411" max="6411" width="14" style="1104" customWidth="1"/>
    <col min="6412" max="6656" width="9.1796875" style="1104"/>
    <col min="6657" max="6657" width="8.26953125" style="1104" customWidth="1"/>
    <col min="6658" max="6658" width="41.81640625" style="1104" customWidth="1"/>
    <col min="6659" max="6659" width="14.54296875" style="1104" customWidth="1"/>
    <col min="6660" max="6660" width="14.1796875" style="1104" customWidth="1"/>
    <col min="6661" max="6661" width="9.1796875" style="1104"/>
    <col min="6662" max="6662" width="15.54296875" style="1104" customWidth="1"/>
    <col min="6663" max="6663" width="14.26953125" style="1104" customWidth="1"/>
    <col min="6664" max="6664" width="13.1796875" style="1104" customWidth="1"/>
    <col min="6665" max="6665" width="9.1796875" style="1104"/>
    <col min="6666" max="6666" width="13.81640625" style="1104" customWidth="1"/>
    <col min="6667" max="6667" width="14" style="1104" customWidth="1"/>
    <col min="6668" max="6912" width="9.1796875" style="1104"/>
    <col min="6913" max="6913" width="8.26953125" style="1104" customWidth="1"/>
    <col min="6914" max="6914" width="41.81640625" style="1104" customWidth="1"/>
    <col min="6915" max="6915" width="14.54296875" style="1104" customWidth="1"/>
    <col min="6916" max="6916" width="14.1796875" style="1104" customWidth="1"/>
    <col min="6917" max="6917" width="9.1796875" style="1104"/>
    <col min="6918" max="6918" width="15.54296875" style="1104" customWidth="1"/>
    <col min="6919" max="6919" width="14.26953125" style="1104" customWidth="1"/>
    <col min="6920" max="6920" width="13.1796875" style="1104" customWidth="1"/>
    <col min="6921" max="6921" width="9.1796875" style="1104"/>
    <col min="6922" max="6922" width="13.81640625" style="1104" customWidth="1"/>
    <col min="6923" max="6923" width="14" style="1104" customWidth="1"/>
    <col min="6924" max="7168" width="9.1796875" style="1104"/>
    <col min="7169" max="7169" width="8.26953125" style="1104" customWidth="1"/>
    <col min="7170" max="7170" width="41.81640625" style="1104" customWidth="1"/>
    <col min="7171" max="7171" width="14.54296875" style="1104" customWidth="1"/>
    <col min="7172" max="7172" width="14.1796875" style="1104" customWidth="1"/>
    <col min="7173" max="7173" width="9.1796875" style="1104"/>
    <col min="7174" max="7174" width="15.54296875" style="1104" customWidth="1"/>
    <col min="7175" max="7175" width="14.26953125" style="1104" customWidth="1"/>
    <col min="7176" max="7176" width="13.1796875" style="1104" customWidth="1"/>
    <col min="7177" max="7177" width="9.1796875" style="1104"/>
    <col min="7178" max="7178" width="13.81640625" style="1104" customWidth="1"/>
    <col min="7179" max="7179" width="14" style="1104" customWidth="1"/>
    <col min="7180" max="7424" width="9.1796875" style="1104"/>
    <col min="7425" max="7425" width="8.26953125" style="1104" customWidth="1"/>
    <col min="7426" max="7426" width="41.81640625" style="1104" customWidth="1"/>
    <col min="7427" max="7427" width="14.54296875" style="1104" customWidth="1"/>
    <col min="7428" max="7428" width="14.1796875" style="1104" customWidth="1"/>
    <col min="7429" max="7429" width="9.1796875" style="1104"/>
    <col min="7430" max="7430" width="15.54296875" style="1104" customWidth="1"/>
    <col min="7431" max="7431" width="14.26953125" style="1104" customWidth="1"/>
    <col min="7432" max="7432" width="13.1796875" style="1104" customWidth="1"/>
    <col min="7433" max="7433" width="9.1796875" style="1104"/>
    <col min="7434" max="7434" width="13.81640625" style="1104" customWidth="1"/>
    <col min="7435" max="7435" width="14" style="1104" customWidth="1"/>
    <col min="7436" max="7680" width="9.1796875" style="1104"/>
    <col min="7681" max="7681" width="8.26953125" style="1104" customWidth="1"/>
    <col min="7682" max="7682" width="41.81640625" style="1104" customWidth="1"/>
    <col min="7683" max="7683" width="14.54296875" style="1104" customWidth="1"/>
    <col min="7684" max="7684" width="14.1796875" style="1104" customWidth="1"/>
    <col min="7685" max="7685" width="9.1796875" style="1104"/>
    <col min="7686" max="7686" width="15.54296875" style="1104" customWidth="1"/>
    <col min="7687" max="7687" width="14.26953125" style="1104" customWidth="1"/>
    <col min="7688" max="7688" width="13.1796875" style="1104" customWidth="1"/>
    <col min="7689" max="7689" width="9.1796875" style="1104"/>
    <col min="7690" max="7690" width="13.81640625" style="1104" customWidth="1"/>
    <col min="7691" max="7691" width="14" style="1104" customWidth="1"/>
    <col min="7692" max="7936" width="9.1796875" style="1104"/>
    <col min="7937" max="7937" width="8.26953125" style="1104" customWidth="1"/>
    <col min="7938" max="7938" width="41.81640625" style="1104" customWidth="1"/>
    <col min="7939" max="7939" width="14.54296875" style="1104" customWidth="1"/>
    <col min="7940" max="7940" width="14.1796875" style="1104" customWidth="1"/>
    <col min="7941" max="7941" width="9.1796875" style="1104"/>
    <col min="7942" max="7942" width="15.54296875" style="1104" customWidth="1"/>
    <col min="7943" max="7943" width="14.26953125" style="1104" customWidth="1"/>
    <col min="7944" max="7944" width="13.1796875" style="1104" customWidth="1"/>
    <col min="7945" max="7945" width="9.1796875" style="1104"/>
    <col min="7946" max="7946" width="13.81640625" style="1104" customWidth="1"/>
    <col min="7947" max="7947" width="14" style="1104" customWidth="1"/>
    <col min="7948" max="8192" width="9.1796875" style="1104"/>
    <col min="8193" max="8193" width="8.26953125" style="1104" customWidth="1"/>
    <col min="8194" max="8194" width="41.81640625" style="1104" customWidth="1"/>
    <col min="8195" max="8195" width="14.54296875" style="1104" customWidth="1"/>
    <col min="8196" max="8196" width="14.1796875" style="1104" customWidth="1"/>
    <col min="8197" max="8197" width="9.1796875" style="1104"/>
    <col min="8198" max="8198" width="15.54296875" style="1104" customWidth="1"/>
    <col min="8199" max="8199" width="14.26953125" style="1104" customWidth="1"/>
    <col min="8200" max="8200" width="13.1796875" style="1104" customWidth="1"/>
    <col min="8201" max="8201" width="9.1796875" style="1104"/>
    <col min="8202" max="8202" width="13.81640625" style="1104" customWidth="1"/>
    <col min="8203" max="8203" width="14" style="1104" customWidth="1"/>
    <col min="8204" max="8448" width="9.1796875" style="1104"/>
    <col min="8449" max="8449" width="8.26953125" style="1104" customWidth="1"/>
    <col min="8450" max="8450" width="41.81640625" style="1104" customWidth="1"/>
    <col min="8451" max="8451" width="14.54296875" style="1104" customWidth="1"/>
    <col min="8452" max="8452" width="14.1796875" style="1104" customWidth="1"/>
    <col min="8453" max="8453" width="9.1796875" style="1104"/>
    <col min="8454" max="8454" width="15.54296875" style="1104" customWidth="1"/>
    <col min="8455" max="8455" width="14.26953125" style="1104" customWidth="1"/>
    <col min="8456" max="8456" width="13.1796875" style="1104" customWidth="1"/>
    <col min="8457" max="8457" width="9.1796875" style="1104"/>
    <col min="8458" max="8458" width="13.81640625" style="1104" customWidth="1"/>
    <col min="8459" max="8459" width="14" style="1104" customWidth="1"/>
    <col min="8460" max="8704" width="9.1796875" style="1104"/>
    <col min="8705" max="8705" width="8.26953125" style="1104" customWidth="1"/>
    <col min="8706" max="8706" width="41.81640625" style="1104" customWidth="1"/>
    <col min="8707" max="8707" width="14.54296875" style="1104" customWidth="1"/>
    <col min="8708" max="8708" width="14.1796875" style="1104" customWidth="1"/>
    <col min="8709" max="8709" width="9.1796875" style="1104"/>
    <col min="8710" max="8710" width="15.54296875" style="1104" customWidth="1"/>
    <col min="8711" max="8711" width="14.26953125" style="1104" customWidth="1"/>
    <col min="8712" max="8712" width="13.1796875" style="1104" customWidth="1"/>
    <col min="8713" max="8713" width="9.1796875" style="1104"/>
    <col min="8714" max="8714" width="13.81640625" style="1104" customWidth="1"/>
    <col min="8715" max="8715" width="14" style="1104" customWidth="1"/>
    <col min="8716" max="8960" width="9.1796875" style="1104"/>
    <col min="8961" max="8961" width="8.26953125" style="1104" customWidth="1"/>
    <col min="8962" max="8962" width="41.81640625" style="1104" customWidth="1"/>
    <col min="8963" max="8963" width="14.54296875" style="1104" customWidth="1"/>
    <col min="8964" max="8964" width="14.1796875" style="1104" customWidth="1"/>
    <col min="8965" max="8965" width="9.1796875" style="1104"/>
    <col min="8966" max="8966" width="15.54296875" style="1104" customWidth="1"/>
    <col min="8967" max="8967" width="14.26953125" style="1104" customWidth="1"/>
    <col min="8968" max="8968" width="13.1796875" style="1104" customWidth="1"/>
    <col min="8969" max="8969" width="9.1796875" style="1104"/>
    <col min="8970" max="8970" width="13.81640625" style="1104" customWidth="1"/>
    <col min="8971" max="8971" width="14" style="1104" customWidth="1"/>
    <col min="8972" max="9216" width="9.1796875" style="1104"/>
    <col min="9217" max="9217" width="8.26953125" style="1104" customWidth="1"/>
    <col min="9218" max="9218" width="41.81640625" style="1104" customWidth="1"/>
    <col min="9219" max="9219" width="14.54296875" style="1104" customWidth="1"/>
    <col min="9220" max="9220" width="14.1796875" style="1104" customWidth="1"/>
    <col min="9221" max="9221" width="9.1796875" style="1104"/>
    <col min="9222" max="9222" width="15.54296875" style="1104" customWidth="1"/>
    <col min="9223" max="9223" width="14.26953125" style="1104" customWidth="1"/>
    <col min="9224" max="9224" width="13.1796875" style="1104" customWidth="1"/>
    <col min="9225" max="9225" width="9.1796875" style="1104"/>
    <col min="9226" max="9226" width="13.81640625" style="1104" customWidth="1"/>
    <col min="9227" max="9227" width="14" style="1104" customWidth="1"/>
    <col min="9228" max="9472" width="9.1796875" style="1104"/>
    <col min="9473" max="9473" width="8.26953125" style="1104" customWidth="1"/>
    <col min="9474" max="9474" width="41.81640625" style="1104" customWidth="1"/>
    <col min="9475" max="9475" width="14.54296875" style="1104" customWidth="1"/>
    <col min="9476" max="9476" width="14.1796875" style="1104" customWidth="1"/>
    <col min="9477" max="9477" width="9.1796875" style="1104"/>
    <col min="9478" max="9478" width="15.54296875" style="1104" customWidth="1"/>
    <col min="9479" max="9479" width="14.26953125" style="1104" customWidth="1"/>
    <col min="9480" max="9480" width="13.1796875" style="1104" customWidth="1"/>
    <col min="9481" max="9481" width="9.1796875" style="1104"/>
    <col min="9482" max="9482" width="13.81640625" style="1104" customWidth="1"/>
    <col min="9483" max="9483" width="14" style="1104" customWidth="1"/>
    <col min="9484" max="9728" width="9.1796875" style="1104"/>
    <col min="9729" max="9729" width="8.26953125" style="1104" customWidth="1"/>
    <col min="9730" max="9730" width="41.81640625" style="1104" customWidth="1"/>
    <col min="9731" max="9731" width="14.54296875" style="1104" customWidth="1"/>
    <col min="9732" max="9732" width="14.1796875" style="1104" customWidth="1"/>
    <col min="9733" max="9733" width="9.1796875" style="1104"/>
    <col min="9734" max="9734" width="15.54296875" style="1104" customWidth="1"/>
    <col min="9735" max="9735" width="14.26953125" style="1104" customWidth="1"/>
    <col min="9736" max="9736" width="13.1796875" style="1104" customWidth="1"/>
    <col min="9737" max="9737" width="9.1796875" style="1104"/>
    <col min="9738" max="9738" width="13.81640625" style="1104" customWidth="1"/>
    <col min="9739" max="9739" width="14" style="1104" customWidth="1"/>
    <col min="9740" max="9984" width="9.1796875" style="1104"/>
    <col min="9985" max="9985" width="8.26953125" style="1104" customWidth="1"/>
    <col min="9986" max="9986" width="41.81640625" style="1104" customWidth="1"/>
    <col min="9987" max="9987" width="14.54296875" style="1104" customWidth="1"/>
    <col min="9988" max="9988" width="14.1796875" style="1104" customWidth="1"/>
    <col min="9989" max="9989" width="9.1796875" style="1104"/>
    <col min="9990" max="9990" width="15.54296875" style="1104" customWidth="1"/>
    <col min="9991" max="9991" width="14.26953125" style="1104" customWidth="1"/>
    <col min="9992" max="9992" width="13.1796875" style="1104" customWidth="1"/>
    <col min="9993" max="9993" width="9.1796875" style="1104"/>
    <col min="9994" max="9994" width="13.81640625" style="1104" customWidth="1"/>
    <col min="9995" max="9995" width="14" style="1104" customWidth="1"/>
    <col min="9996" max="10240" width="9.1796875" style="1104"/>
    <col min="10241" max="10241" width="8.26953125" style="1104" customWidth="1"/>
    <col min="10242" max="10242" width="41.81640625" style="1104" customWidth="1"/>
    <col min="10243" max="10243" width="14.54296875" style="1104" customWidth="1"/>
    <col min="10244" max="10244" width="14.1796875" style="1104" customWidth="1"/>
    <col min="10245" max="10245" width="9.1796875" style="1104"/>
    <col min="10246" max="10246" width="15.54296875" style="1104" customWidth="1"/>
    <col min="10247" max="10247" width="14.26953125" style="1104" customWidth="1"/>
    <col min="10248" max="10248" width="13.1796875" style="1104" customWidth="1"/>
    <col min="10249" max="10249" width="9.1796875" style="1104"/>
    <col min="10250" max="10250" width="13.81640625" style="1104" customWidth="1"/>
    <col min="10251" max="10251" width="14" style="1104" customWidth="1"/>
    <col min="10252" max="10496" width="9.1796875" style="1104"/>
    <col min="10497" max="10497" width="8.26953125" style="1104" customWidth="1"/>
    <col min="10498" max="10498" width="41.81640625" style="1104" customWidth="1"/>
    <col min="10499" max="10499" width="14.54296875" style="1104" customWidth="1"/>
    <col min="10500" max="10500" width="14.1796875" style="1104" customWidth="1"/>
    <col min="10501" max="10501" width="9.1796875" style="1104"/>
    <col min="10502" max="10502" width="15.54296875" style="1104" customWidth="1"/>
    <col min="10503" max="10503" width="14.26953125" style="1104" customWidth="1"/>
    <col min="10504" max="10504" width="13.1796875" style="1104" customWidth="1"/>
    <col min="10505" max="10505" width="9.1796875" style="1104"/>
    <col min="10506" max="10506" width="13.81640625" style="1104" customWidth="1"/>
    <col min="10507" max="10507" width="14" style="1104" customWidth="1"/>
    <col min="10508" max="10752" width="9.1796875" style="1104"/>
    <col min="10753" max="10753" width="8.26953125" style="1104" customWidth="1"/>
    <col min="10754" max="10754" width="41.81640625" style="1104" customWidth="1"/>
    <col min="10755" max="10755" width="14.54296875" style="1104" customWidth="1"/>
    <col min="10756" max="10756" width="14.1796875" style="1104" customWidth="1"/>
    <col min="10757" max="10757" width="9.1796875" style="1104"/>
    <col min="10758" max="10758" width="15.54296875" style="1104" customWidth="1"/>
    <col min="10759" max="10759" width="14.26953125" style="1104" customWidth="1"/>
    <col min="10760" max="10760" width="13.1796875" style="1104" customWidth="1"/>
    <col min="10761" max="10761" width="9.1796875" style="1104"/>
    <col min="10762" max="10762" width="13.81640625" style="1104" customWidth="1"/>
    <col min="10763" max="10763" width="14" style="1104" customWidth="1"/>
    <col min="10764" max="11008" width="9.1796875" style="1104"/>
    <col min="11009" max="11009" width="8.26953125" style="1104" customWidth="1"/>
    <col min="11010" max="11010" width="41.81640625" style="1104" customWidth="1"/>
    <col min="11011" max="11011" width="14.54296875" style="1104" customWidth="1"/>
    <col min="11012" max="11012" width="14.1796875" style="1104" customWidth="1"/>
    <col min="11013" max="11013" width="9.1796875" style="1104"/>
    <col min="11014" max="11014" width="15.54296875" style="1104" customWidth="1"/>
    <col min="11015" max="11015" width="14.26953125" style="1104" customWidth="1"/>
    <col min="11016" max="11016" width="13.1796875" style="1104" customWidth="1"/>
    <col min="11017" max="11017" width="9.1796875" style="1104"/>
    <col min="11018" max="11018" width="13.81640625" style="1104" customWidth="1"/>
    <col min="11019" max="11019" width="14" style="1104" customWidth="1"/>
    <col min="11020" max="11264" width="9.1796875" style="1104"/>
    <col min="11265" max="11265" width="8.26953125" style="1104" customWidth="1"/>
    <col min="11266" max="11266" width="41.81640625" style="1104" customWidth="1"/>
    <col min="11267" max="11267" width="14.54296875" style="1104" customWidth="1"/>
    <col min="11268" max="11268" width="14.1796875" style="1104" customWidth="1"/>
    <col min="11269" max="11269" width="9.1796875" style="1104"/>
    <col min="11270" max="11270" width="15.54296875" style="1104" customWidth="1"/>
    <col min="11271" max="11271" width="14.26953125" style="1104" customWidth="1"/>
    <col min="11272" max="11272" width="13.1796875" style="1104" customWidth="1"/>
    <col min="11273" max="11273" width="9.1796875" style="1104"/>
    <col min="11274" max="11274" width="13.81640625" style="1104" customWidth="1"/>
    <col min="11275" max="11275" width="14" style="1104" customWidth="1"/>
    <col min="11276" max="11520" width="9.1796875" style="1104"/>
    <col min="11521" max="11521" width="8.26953125" style="1104" customWidth="1"/>
    <col min="11522" max="11522" width="41.81640625" style="1104" customWidth="1"/>
    <col min="11523" max="11523" width="14.54296875" style="1104" customWidth="1"/>
    <col min="11524" max="11524" width="14.1796875" style="1104" customWidth="1"/>
    <col min="11525" max="11525" width="9.1796875" style="1104"/>
    <col min="11526" max="11526" width="15.54296875" style="1104" customWidth="1"/>
    <col min="11527" max="11527" width="14.26953125" style="1104" customWidth="1"/>
    <col min="11528" max="11528" width="13.1796875" style="1104" customWidth="1"/>
    <col min="11529" max="11529" width="9.1796875" style="1104"/>
    <col min="11530" max="11530" width="13.81640625" style="1104" customWidth="1"/>
    <col min="11531" max="11531" width="14" style="1104" customWidth="1"/>
    <col min="11532" max="11776" width="9.1796875" style="1104"/>
    <col min="11777" max="11777" width="8.26953125" style="1104" customWidth="1"/>
    <col min="11778" max="11778" width="41.81640625" style="1104" customWidth="1"/>
    <col min="11779" max="11779" width="14.54296875" style="1104" customWidth="1"/>
    <col min="11780" max="11780" width="14.1796875" style="1104" customWidth="1"/>
    <col min="11781" max="11781" width="9.1796875" style="1104"/>
    <col min="11782" max="11782" width="15.54296875" style="1104" customWidth="1"/>
    <col min="11783" max="11783" width="14.26953125" style="1104" customWidth="1"/>
    <col min="11784" max="11784" width="13.1796875" style="1104" customWidth="1"/>
    <col min="11785" max="11785" width="9.1796875" style="1104"/>
    <col min="11786" max="11786" width="13.81640625" style="1104" customWidth="1"/>
    <col min="11787" max="11787" width="14" style="1104" customWidth="1"/>
    <col min="11788" max="12032" width="9.1796875" style="1104"/>
    <col min="12033" max="12033" width="8.26953125" style="1104" customWidth="1"/>
    <col min="12034" max="12034" width="41.81640625" style="1104" customWidth="1"/>
    <col min="12035" max="12035" width="14.54296875" style="1104" customWidth="1"/>
    <col min="12036" max="12036" width="14.1796875" style="1104" customWidth="1"/>
    <col min="12037" max="12037" width="9.1796875" style="1104"/>
    <col min="12038" max="12038" width="15.54296875" style="1104" customWidth="1"/>
    <col min="12039" max="12039" width="14.26953125" style="1104" customWidth="1"/>
    <col min="12040" max="12040" width="13.1796875" style="1104" customWidth="1"/>
    <col min="12041" max="12041" width="9.1796875" style="1104"/>
    <col min="12042" max="12042" width="13.81640625" style="1104" customWidth="1"/>
    <col min="12043" max="12043" width="14" style="1104" customWidth="1"/>
    <col min="12044" max="12288" width="9.1796875" style="1104"/>
    <col min="12289" max="12289" width="8.26953125" style="1104" customWidth="1"/>
    <col min="12290" max="12290" width="41.81640625" style="1104" customWidth="1"/>
    <col min="12291" max="12291" width="14.54296875" style="1104" customWidth="1"/>
    <col min="12292" max="12292" width="14.1796875" style="1104" customWidth="1"/>
    <col min="12293" max="12293" width="9.1796875" style="1104"/>
    <col min="12294" max="12294" width="15.54296875" style="1104" customWidth="1"/>
    <col min="12295" max="12295" width="14.26953125" style="1104" customWidth="1"/>
    <col min="12296" max="12296" width="13.1796875" style="1104" customWidth="1"/>
    <col min="12297" max="12297" width="9.1796875" style="1104"/>
    <col min="12298" max="12298" width="13.81640625" style="1104" customWidth="1"/>
    <col min="12299" max="12299" width="14" style="1104" customWidth="1"/>
    <col min="12300" max="12544" width="9.1796875" style="1104"/>
    <col min="12545" max="12545" width="8.26953125" style="1104" customWidth="1"/>
    <col min="12546" max="12546" width="41.81640625" style="1104" customWidth="1"/>
    <col min="12547" max="12547" width="14.54296875" style="1104" customWidth="1"/>
    <col min="12548" max="12548" width="14.1796875" style="1104" customWidth="1"/>
    <col min="12549" max="12549" width="9.1796875" style="1104"/>
    <col min="12550" max="12550" width="15.54296875" style="1104" customWidth="1"/>
    <col min="12551" max="12551" width="14.26953125" style="1104" customWidth="1"/>
    <col min="12552" max="12552" width="13.1796875" style="1104" customWidth="1"/>
    <col min="12553" max="12553" width="9.1796875" style="1104"/>
    <col min="12554" max="12554" width="13.81640625" style="1104" customWidth="1"/>
    <col min="12555" max="12555" width="14" style="1104" customWidth="1"/>
    <col min="12556" max="12800" width="9.1796875" style="1104"/>
    <col min="12801" max="12801" width="8.26953125" style="1104" customWidth="1"/>
    <col min="12802" max="12802" width="41.81640625" style="1104" customWidth="1"/>
    <col min="12803" max="12803" width="14.54296875" style="1104" customWidth="1"/>
    <col min="12804" max="12804" width="14.1796875" style="1104" customWidth="1"/>
    <col min="12805" max="12805" width="9.1796875" style="1104"/>
    <col min="12806" max="12806" width="15.54296875" style="1104" customWidth="1"/>
    <col min="12807" max="12807" width="14.26953125" style="1104" customWidth="1"/>
    <col min="12808" max="12808" width="13.1796875" style="1104" customWidth="1"/>
    <col min="12809" max="12809" width="9.1796875" style="1104"/>
    <col min="12810" max="12810" width="13.81640625" style="1104" customWidth="1"/>
    <col min="12811" max="12811" width="14" style="1104" customWidth="1"/>
    <col min="12812" max="13056" width="9.1796875" style="1104"/>
    <col min="13057" max="13057" width="8.26953125" style="1104" customWidth="1"/>
    <col min="13058" max="13058" width="41.81640625" style="1104" customWidth="1"/>
    <col min="13059" max="13059" width="14.54296875" style="1104" customWidth="1"/>
    <col min="13060" max="13060" width="14.1796875" style="1104" customWidth="1"/>
    <col min="13061" max="13061" width="9.1796875" style="1104"/>
    <col min="13062" max="13062" width="15.54296875" style="1104" customWidth="1"/>
    <col min="13063" max="13063" width="14.26953125" style="1104" customWidth="1"/>
    <col min="13064" max="13064" width="13.1796875" style="1104" customWidth="1"/>
    <col min="13065" max="13065" width="9.1796875" style="1104"/>
    <col min="13066" max="13066" width="13.81640625" style="1104" customWidth="1"/>
    <col min="13067" max="13067" width="14" style="1104" customWidth="1"/>
    <col min="13068" max="13312" width="9.1796875" style="1104"/>
    <col min="13313" max="13313" width="8.26953125" style="1104" customWidth="1"/>
    <col min="13314" max="13314" width="41.81640625" style="1104" customWidth="1"/>
    <col min="13315" max="13315" width="14.54296875" style="1104" customWidth="1"/>
    <col min="13316" max="13316" width="14.1796875" style="1104" customWidth="1"/>
    <col min="13317" max="13317" width="9.1796875" style="1104"/>
    <col min="13318" max="13318" width="15.54296875" style="1104" customWidth="1"/>
    <col min="13319" max="13319" width="14.26953125" style="1104" customWidth="1"/>
    <col min="13320" max="13320" width="13.1796875" style="1104" customWidth="1"/>
    <col min="13321" max="13321" width="9.1796875" style="1104"/>
    <col min="13322" max="13322" width="13.81640625" style="1104" customWidth="1"/>
    <col min="13323" max="13323" width="14" style="1104" customWidth="1"/>
    <col min="13324" max="13568" width="9.1796875" style="1104"/>
    <col min="13569" max="13569" width="8.26953125" style="1104" customWidth="1"/>
    <col min="13570" max="13570" width="41.81640625" style="1104" customWidth="1"/>
    <col min="13571" max="13571" width="14.54296875" style="1104" customWidth="1"/>
    <col min="13572" max="13572" width="14.1796875" style="1104" customWidth="1"/>
    <col min="13573" max="13573" width="9.1796875" style="1104"/>
    <col min="13574" max="13574" width="15.54296875" style="1104" customWidth="1"/>
    <col min="13575" max="13575" width="14.26953125" style="1104" customWidth="1"/>
    <col min="13576" max="13576" width="13.1796875" style="1104" customWidth="1"/>
    <col min="13577" max="13577" width="9.1796875" style="1104"/>
    <col min="13578" max="13578" width="13.81640625" style="1104" customWidth="1"/>
    <col min="13579" max="13579" width="14" style="1104" customWidth="1"/>
    <col min="13580" max="13824" width="9.1796875" style="1104"/>
    <col min="13825" max="13825" width="8.26953125" style="1104" customWidth="1"/>
    <col min="13826" max="13826" width="41.81640625" style="1104" customWidth="1"/>
    <col min="13827" max="13827" width="14.54296875" style="1104" customWidth="1"/>
    <col min="13828" max="13828" width="14.1796875" style="1104" customWidth="1"/>
    <col min="13829" max="13829" width="9.1796875" style="1104"/>
    <col min="13830" max="13830" width="15.54296875" style="1104" customWidth="1"/>
    <col min="13831" max="13831" width="14.26953125" style="1104" customWidth="1"/>
    <col min="13832" max="13832" width="13.1796875" style="1104" customWidth="1"/>
    <col min="13833" max="13833" width="9.1796875" style="1104"/>
    <col min="13834" max="13834" width="13.81640625" style="1104" customWidth="1"/>
    <col min="13835" max="13835" width="14" style="1104" customWidth="1"/>
    <col min="13836" max="14080" width="9.1796875" style="1104"/>
    <col min="14081" max="14081" width="8.26953125" style="1104" customWidth="1"/>
    <col min="14082" max="14082" width="41.81640625" style="1104" customWidth="1"/>
    <col min="14083" max="14083" width="14.54296875" style="1104" customWidth="1"/>
    <col min="14084" max="14084" width="14.1796875" style="1104" customWidth="1"/>
    <col min="14085" max="14085" width="9.1796875" style="1104"/>
    <col min="14086" max="14086" width="15.54296875" style="1104" customWidth="1"/>
    <col min="14087" max="14087" width="14.26953125" style="1104" customWidth="1"/>
    <col min="14088" max="14088" width="13.1796875" style="1104" customWidth="1"/>
    <col min="14089" max="14089" width="9.1796875" style="1104"/>
    <col min="14090" max="14090" width="13.81640625" style="1104" customWidth="1"/>
    <col min="14091" max="14091" width="14" style="1104" customWidth="1"/>
    <col min="14092" max="14336" width="9.1796875" style="1104"/>
    <col min="14337" max="14337" width="8.26953125" style="1104" customWidth="1"/>
    <col min="14338" max="14338" width="41.81640625" style="1104" customWidth="1"/>
    <col min="14339" max="14339" width="14.54296875" style="1104" customWidth="1"/>
    <col min="14340" max="14340" width="14.1796875" style="1104" customWidth="1"/>
    <col min="14341" max="14341" width="9.1796875" style="1104"/>
    <col min="14342" max="14342" width="15.54296875" style="1104" customWidth="1"/>
    <col min="14343" max="14343" width="14.26953125" style="1104" customWidth="1"/>
    <col min="14344" max="14344" width="13.1796875" style="1104" customWidth="1"/>
    <col min="14345" max="14345" width="9.1796875" style="1104"/>
    <col min="14346" max="14346" width="13.81640625" style="1104" customWidth="1"/>
    <col min="14347" max="14347" width="14" style="1104" customWidth="1"/>
    <col min="14348" max="14592" width="9.1796875" style="1104"/>
    <col min="14593" max="14593" width="8.26953125" style="1104" customWidth="1"/>
    <col min="14594" max="14594" width="41.81640625" style="1104" customWidth="1"/>
    <col min="14595" max="14595" width="14.54296875" style="1104" customWidth="1"/>
    <col min="14596" max="14596" width="14.1796875" style="1104" customWidth="1"/>
    <col min="14597" max="14597" width="9.1796875" style="1104"/>
    <col min="14598" max="14598" width="15.54296875" style="1104" customWidth="1"/>
    <col min="14599" max="14599" width="14.26953125" style="1104" customWidth="1"/>
    <col min="14600" max="14600" width="13.1796875" style="1104" customWidth="1"/>
    <col min="14601" max="14601" width="9.1796875" style="1104"/>
    <col min="14602" max="14602" width="13.81640625" style="1104" customWidth="1"/>
    <col min="14603" max="14603" width="14" style="1104" customWidth="1"/>
    <col min="14604" max="14848" width="9.1796875" style="1104"/>
    <col min="14849" max="14849" width="8.26953125" style="1104" customWidth="1"/>
    <col min="14850" max="14850" width="41.81640625" style="1104" customWidth="1"/>
    <col min="14851" max="14851" width="14.54296875" style="1104" customWidth="1"/>
    <col min="14852" max="14852" width="14.1796875" style="1104" customWidth="1"/>
    <col min="14853" max="14853" width="9.1796875" style="1104"/>
    <col min="14854" max="14854" width="15.54296875" style="1104" customWidth="1"/>
    <col min="14855" max="14855" width="14.26953125" style="1104" customWidth="1"/>
    <col min="14856" max="14856" width="13.1796875" style="1104" customWidth="1"/>
    <col min="14857" max="14857" width="9.1796875" style="1104"/>
    <col min="14858" max="14858" width="13.81640625" style="1104" customWidth="1"/>
    <col min="14859" max="14859" width="14" style="1104" customWidth="1"/>
    <col min="14860" max="15104" width="9.1796875" style="1104"/>
    <col min="15105" max="15105" width="8.26953125" style="1104" customWidth="1"/>
    <col min="15106" max="15106" width="41.81640625" style="1104" customWidth="1"/>
    <col min="15107" max="15107" width="14.54296875" style="1104" customWidth="1"/>
    <col min="15108" max="15108" width="14.1796875" style="1104" customWidth="1"/>
    <col min="15109" max="15109" width="9.1796875" style="1104"/>
    <col min="15110" max="15110" width="15.54296875" style="1104" customWidth="1"/>
    <col min="15111" max="15111" width="14.26953125" style="1104" customWidth="1"/>
    <col min="15112" max="15112" width="13.1796875" style="1104" customWidth="1"/>
    <col min="15113" max="15113" width="9.1796875" style="1104"/>
    <col min="15114" max="15114" width="13.81640625" style="1104" customWidth="1"/>
    <col min="15115" max="15115" width="14" style="1104" customWidth="1"/>
    <col min="15116" max="15360" width="9.1796875" style="1104"/>
    <col min="15361" max="15361" width="8.26953125" style="1104" customWidth="1"/>
    <col min="15362" max="15362" width="41.81640625" style="1104" customWidth="1"/>
    <col min="15363" max="15363" width="14.54296875" style="1104" customWidth="1"/>
    <col min="15364" max="15364" width="14.1796875" style="1104" customWidth="1"/>
    <col min="15365" max="15365" width="9.1796875" style="1104"/>
    <col min="15366" max="15366" width="15.54296875" style="1104" customWidth="1"/>
    <col min="15367" max="15367" width="14.26953125" style="1104" customWidth="1"/>
    <col min="15368" max="15368" width="13.1796875" style="1104" customWidth="1"/>
    <col min="15369" max="15369" width="9.1796875" style="1104"/>
    <col min="15370" max="15370" width="13.81640625" style="1104" customWidth="1"/>
    <col min="15371" max="15371" width="14" style="1104" customWidth="1"/>
    <col min="15372" max="15616" width="9.1796875" style="1104"/>
    <col min="15617" max="15617" width="8.26953125" style="1104" customWidth="1"/>
    <col min="15618" max="15618" width="41.81640625" style="1104" customWidth="1"/>
    <col min="15619" max="15619" width="14.54296875" style="1104" customWidth="1"/>
    <col min="15620" max="15620" width="14.1796875" style="1104" customWidth="1"/>
    <col min="15621" max="15621" width="9.1796875" style="1104"/>
    <col min="15622" max="15622" width="15.54296875" style="1104" customWidth="1"/>
    <col min="15623" max="15623" width="14.26953125" style="1104" customWidth="1"/>
    <col min="15624" max="15624" width="13.1796875" style="1104" customWidth="1"/>
    <col min="15625" max="15625" width="9.1796875" style="1104"/>
    <col min="15626" max="15626" width="13.81640625" style="1104" customWidth="1"/>
    <col min="15627" max="15627" width="14" style="1104" customWidth="1"/>
    <col min="15628" max="15872" width="9.1796875" style="1104"/>
    <col min="15873" max="15873" width="8.26953125" style="1104" customWidth="1"/>
    <col min="15874" max="15874" width="41.81640625" style="1104" customWidth="1"/>
    <col min="15875" max="15875" width="14.54296875" style="1104" customWidth="1"/>
    <col min="15876" max="15876" width="14.1796875" style="1104" customWidth="1"/>
    <col min="15877" max="15877" width="9.1796875" style="1104"/>
    <col min="15878" max="15878" width="15.54296875" style="1104" customWidth="1"/>
    <col min="15879" max="15879" width="14.26953125" style="1104" customWidth="1"/>
    <col min="15880" max="15880" width="13.1796875" style="1104" customWidth="1"/>
    <col min="15881" max="15881" width="9.1796875" style="1104"/>
    <col min="15882" max="15882" width="13.81640625" style="1104" customWidth="1"/>
    <col min="15883" max="15883" width="14" style="1104" customWidth="1"/>
    <col min="15884" max="16128" width="9.1796875" style="1104"/>
    <col min="16129" max="16129" width="8.26953125" style="1104" customWidth="1"/>
    <col min="16130" max="16130" width="41.81640625" style="1104" customWidth="1"/>
    <col min="16131" max="16131" width="14.54296875" style="1104" customWidth="1"/>
    <col min="16132" max="16132" width="14.1796875" style="1104" customWidth="1"/>
    <col min="16133" max="16133" width="9.1796875" style="1104"/>
    <col min="16134" max="16134" width="15.54296875" style="1104" customWidth="1"/>
    <col min="16135" max="16135" width="14.26953125" style="1104" customWidth="1"/>
    <col min="16136" max="16136" width="13.1796875" style="1104" customWidth="1"/>
    <col min="16137" max="16137" width="9.1796875" style="1104"/>
    <col min="16138" max="16138" width="13.81640625" style="1104" customWidth="1"/>
    <col min="16139" max="16139" width="14" style="1104" customWidth="1"/>
    <col min="16140" max="16384" width="9.1796875" style="1104"/>
  </cols>
  <sheetData>
    <row r="1" spans="1:11">
      <c r="A1" s="1118"/>
      <c r="B1" s="1580" t="s">
        <v>5525</v>
      </c>
      <c r="C1" s="1072"/>
      <c r="D1" s="1072"/>
      <c r="E1" s="1072"/>
      <c r="F1" s="1072"/>
      <c r="G1" s="1072"/>
      <c r="H1" s="1072"/>
      <c r="I1" s="1072"/>
      <c r="J1" s="1072"/>
      <c r="K1" s="1119" t="s">
        <v>1358</v>
      </c>
    </row>
    <row r="2" spans="1:11">
      <c r="A2" s="1118"/>
      <c r="B2" s="1120" t="s">
        <v>1557</v>
      </c>
      <c r="C2" s="1121"/>
      <c r="D2" s="1121"/>
      <c r="E2" s="1121"/>
      <c r="F2" s="1121"/>
      <c r="G2" s="1121"/>
      <c r="H2" s="1121"/>
      <c r="I2" s="1121"/>
      <c r="J2" s="1121"/>
      <c r="K2" s="1121"/>
    </row>
    <row r="3" spans="1:11">
      <c r="A3" s="1118"/>
      <c r="B3" s="1122" t="s">
        <v>3352</v>
      </c>
      <c r="C3" s="1072"/>
      <c r="D3" s="1072"/>
      <c r="E3" s="1072"/>
      <c r="F3" s="1072"/>
      <c r="G3" s="1072"/>
      <c r="H3" s="1123" t="s">
        <v>8495</v>
      </c>
      <c r="I3" s="1072"/>
      <c r="J3" s="1072"/>
      <c r="K3" s="1072"/>
    </row>
    <row r="4" spans="1:11" ht="77.5">
      <c r="A4" s="1124" t="s">
        <v>551</v>
      </c>
      <c r="B4" s="1124" t="s">
        <v>1427</v>
      </c>
      <c r="C4" s="1124" t="s">
        <v>1479</v>
      </c>
      <c r="D4" s="1124" t="s">
        <v>4148</v>
      </c>
      <c r="E4" s="1124" t="s">
        <v>1450</v>
      </c>
      <c r="F4" s="1124" t="s">
        <v>1288</v>
      </c>
      <c r="G4" s="1124" t="s">
        <v>1480</v>
      </c>
      <c r="H4" s="1124" t="s">
        <v>156</v>
      </c>
      <c r="I4" s="1124" t="s">
        <v>157</v>
      </c>
      <c r="J4" s="1124" t="s">
        <v>158</v>
      </c>
      <c r="K4" s="1124" t="s">
        <v>159</v>
      </c>
    </row>
    <row r="5" spans="1:11">
      <c r="A5" s="1125"/>
      <c r="B5" s="1126"/>
      <c r="C5" s="1126" t="s">
        <v>160</v>
      </c>
      <c r="D5" s="1126" t="s">
        <v>160</v>
      </c>
      <c r="E5" s="1126" t="s">
        <v>160</v>
      </c>
      <c r="F5" s="1126" t="s">
        <v>160</v>
      </c>
      <c r="G5" s="1126" t="s">
        <v>160</v>
      </c>
      <c r="H5" s="1126" t="s">
        <v>160</v>
      </c>
      <c r="I5" s="1126" t="s">
        <v>160</v>
      </c>
      <c r="J5" s="1126" t="s">
        <v>8500</v>
      </c>
      <c r="K5" s="1126" t="s">
        <v>8502</v>
      </c>
    </row>
    <row r="6" spans="1:11">
      <c r="A6" s="1125"/>
      <c r="B6" s="1127" t="s">
        <v>161</v>
      </c>
      <c r="C6" s="1126"/>
      <c r="D6" s="1126"/>
      <c r="E6" s="1126"/>
      <c r="F6" s="1126"/>
      <c r="G6" s="1126"/>
      <c r="H6" s="1126"/>
      <c r="I6" s="1128"/>
      <c r="J6" s="1129"/>
      <c r="K6" s="1129"/>
    </row>
    <row r="7" spans="1:11">
      <c r="A7" s="1125">
        <v>1</v>
      </c>
      <c r="B7" s="1993" t="s">
        <v>666</v>
      </c>
      <c r="C7" s="1994"/>
      <c r="D7" s="1129"/>
      <c r="E7" s="1129"/>
      <c r="F7" s="1129"/>
      <c r="G7" s="1129"/>
      <c r="H7" s="1129"/>
      <c r="I7" s="1129"/>
      <c r="J7" s="1129"/>
      <c r="K7" s="1129"/>
    </row>
    <row r="8" spans="1:11">
      <c r="A8" s="1125" t="s">
        <v>613</v>
      </c>
      <c r="B8" s="1993" t="s">
        <v>1323</v>
      </c>
      <c r="C8" s="1637">
        <v>7.0623000000000005E-2</v>
      </c>
      <c r="D8" s="1637">
        <v>1.2069999999999999E-2</v>
      </c>
      <c r="E8" s="1637">
        <v>7.1563000000000002E-2</v>
      </c>
      <c r="F8" s="1637">
        <v>1.5662417999999998</v>
      </c>
      <c r="G8" s="1637">
        <v>1.2432920000000001</v>
      </c>
      <c r="H8" s="1637">
        <v>4.0342190000000002</v>
      </c>
      <c r="I8" s="1992">
        <f>SUM(C8:H8)</f>
        <v>6.9980088</v>
      </c>
      <c r="J8" s="1638">
        <v>5.2097980739999992</v>
      </c>
      <c r="K8" s="1995">
        <f>J8*10/I8</f>
        <v>7.4446863713575198</v>
      </c>
    </row>
    <row r="9" spans="1:11">
      <c r="A9" s="1125" t="s">
        <v>614</v>
      </c>
      <c r="B9" s="1993" t="s">
        <v>116</v>
      </c>
      <c r="C9" s="1637">
        <v>123.7491474479</v>
      </c>
      <c r="D9" s="1637">
        <v>176.67650357479999</v>
      </c>
      <c r="E9" s="1637">
        <v>89.767282089000005</v>
      </c>
      <c r="F9" s="1637">
        <v>118.32710989939999</v>
      </c>
      <c r="G9" s="1637">
        <v>132.21347878009999</v>
      </c>
      <c r="H9" s="1637">
        <v>216.45441751030003</v>
      </c>
      <c r="I9" s="1992">
        <v>857.18793930150002</v>
      </c>
      <c r="J9" s="1638">
        <v>392.10722980100337</v>
      </c>
      <c r="K9" s="1995">
        <f t="shared" ref="K9:K15" si="0">J9*10/I9</f>
        <v>4.5743437561723193</v>
      </c>
    </row>
    <row r="10" spans="1:11">
      <c r="A10" s="1125"/>
      <c r="B10" s="1996" t="s">
        <v>1453</v>
      </c>
      <c r="C10" s="1992"/>
      <c r="D10" s="1992"/>
      <c r="E10" s="1992"/>
      <c r="F10" s="1992"/>
      <c r="G10" s="1992"/>
      <c r="H10" s="1992"/>
      <c r="I10" s="1992"/>
      <c r="J10" s="1995"/>
      <c r="K10" s="1995"/>
    </row>
    <row r="11" spans="1:11">
      <c r="A11" s="1125"/>
      <c r="B11" s="1996" t="s">
        <v>1454</v>
      </c>
      <c r="C11" s="1992"/>
      <c r="D11" s="1992"/>
      <c r="E11" s="1992"/>
      <c r="F11" s="1992"/>
      <c r="G11" s="1992"/>
      <c r="H11" s="1992"/>
      <c r="I11" s="1992"/>
      <c r="J11" s="1995"/>
      <c r="K11" s="1995"/>
    </row>
    <row r="12" spans="1:11">
      <c r="A12" s="1125"/>
      <c r="B12" s="1996" t="s">
        <v>1455</v>
      </c>
      <c r="C12" s="1992"/>
      <c r="D12" s="1992"/>
      <c r="E12" s="1992"/>
      <c r="F12" s="1992"/>
      <c r="G12" s="1992"/>
      <c r="H12" s="1992"/>
      <c r="I12" s="1992"/>
      <c r="J12" s="1995"/>
      <c r="K12" s="1995"/>
    </row>
    <row r="13" spans="1:11">
      <c r="A13" s="1125"/>
      <c r="B13" s="1996" t="s">
        <v>1456</v>
      </c>
      <c r="C13" s="1992"/>
      <c r="D13" s="1992"/>
      <c r="E13" s="1992"/>
      <c r="F13" s="1992"/>
      <c r="G13" s="1992"/>
      <c r="H13" s="1992"/>
      <c r="I13" s="1992"/>
      <c r="J13" s="1995"/>
      <c r="K13" s="1995"/>
    </row>
    <row r="14" spans="1:11">
      <c r="A14" s="1125"/>
      <c r="B14" s="1993" t="s">
        <v>251</v>
      </c>
      <c r="C14" s="1637"/>
      <c r="D14" s="1637"/>
      <c r="E14" s="1637"/>
      <c r="F14" s="1637"/>
      <c r="G14" s="1637"/>
      <c r="H14" s="1637"/>
      <c r="I14" s="1639"/>
      <c r="J14" s="1638"/>
      <c r="K14" s="1995"/>
    </row>
    <row r="15" spans="1:11">
      <c r="A15" s="1125"/>
      <c r="B15" s="1096" t="s">
        <v>1327</v>
      </c>
      <c r="C15" s="1130">
        <f>C8+C9+C14</f>
        <v>123.8197704479</v>
      </c>
      <c r="D15" s="1130">
        <f t="shared" ref="D15:J15" si="1">D8+D9+D14</f>
        <v>176.68857357479999</v>
      </c>
      <c r="E15" s="1130">
        <f t="shared" si="1"/>
        <v>89.838845089000003</v>
      </c>
      <c r="F15" s="1130">
        <f t="shared" si="1"/>
        <v>119.89335169939999</v>
      </c>
      <c r="G15" s="1130">
        <f t="shared" si="1"/>
        <v>133.45677078009999</v>
      </c>
      <c r="H15" s="1130">
        <f t="shared" si="1"/>
        <v>220.48863651030004</v>
      </c>
      <c r="I15" s="1130">
        <f>SUM(C15:H15)</f>
        <v>864.1859481015</v>
      </c>
      <c r="J15" s="1131">
        <f t="shared" si="1"/>
        <v>397.31702787500336</v>
      </c>
      <c r="K15" s="1131">
        <f t="shared" si="0"/>
        <v>4.5975872293209035</v>
      </c>
    </row>
    <row r="16" spans="1:11">
      <c r="A16" s="1125">
        <v>2</v>
      </c>
      <c r="B16" s="1993" t="s">
        <v>1451</v>
      </c>
      <c r="C16" s="1992"/>
      <c r="D16" s="1992"/>
      <c r="E16" s="1992"/>
      <c r="F16" s="1992"/>
      <c r="G16" s="1992"/>
      <c r="H16" s="1992"/>
      <c r="I16" s="1992"/>
      <c r="J16" s="1995"/>
      <c r="K16" s="1995"/>
    </row>
    <row r="17" spans="1:14">
      <c r="A17" s="1125"/>
      <c r="B17" s="1993" t="s">
        <v>1328</v>
      </c>
      <c r="C17" s="1992"/>
      <c r="D17" s="1992"/>
      <c r="E17" s="1992"/>
      <c r="F17" s="1992"/>
      <c r="G17" s="1992"/>
      <c r="H17" s="1992"/>
      <c r="I17" s="1992"/>
      <c r="J17" s="1995"/>
      <c r="K17" s="1995"/>
    </row>
    <row r="18" spans="1:14">
      <c r="A18" s="1125"/>
      <c r="B18" s="1996" t="s">
        <v>563</v>
      </c>
      <c r="C18" s="1992"/>
      <c r="D18" s="1992"/>
      <c r="E18" s="1992"/>
      <c r="F18" s="1992"/>
      <c r="G18" s="1992"/>
      <c r="H18" s="1992"/>
      <c r="I18" s="1992"/>
      <c r="J18" s="1995"/>
      <c r="K18" s="1995"/>
    </row>
    <row r="19" spans="1:14">
      <c r="A19" s="1125"/>
      <c r="B19" s="1996" t="s">
        <v>547</v>
      </c>
      <c r="C19" s="1992"/>
      <c r="D19" s="1992"/>
      <c r="E19" s="1992"/>
      <c r="F19" s="1992"/>
      <c r="G19" s="1992"/>
      <c r="H19" s="1992"/>
      <c r="I19" s="1992"/>
      <c r="J19" s="1995"/>
      <c r="K19" s="1995"/>
    </row>
    <row r="20" spans="1:14">
      <c r="A20" s="1125"/>
      <c r="B20" s="1996" t="s">
        <v>548</v>
      </c>
      <c r="C20" s="1992"/>
      <c r="D20" s="1992"/>
      <c r="E20" s="1992"/>
      <c r="F20" s="1992"/>
      <c r="G20" s="1992"/>
      <c r="H20" s="1992"/>
      <c r="I20" s="1992"/>
      <c r="J20" s="1995"/>
      <c r="K20" s="1995"/>
    </row>
    <row r="21" spans="1:14">
      <c r="A21" s="1125"/>
      <c r="B21" s="1096" t="s">
        <v>1327</v>
      </c>
      <c r="C21" s="1637">
        <v>19.741700396500001</v>
      </c>
      <c r="D21" s="1637">
        <v>41.786731607699991</v>
      </c>
      <c r="E21" s="1637">
        <v>12.67923255625</v>
      </c>
      <c r="F21" s="1637">
        <v>22.369321212899997</v>
      </c>
      <c r="G21" s="1637">
        <v>25.535639944700002</v>
      </c>
      <c r="H21" s="1637">
        <v>38.433068233000007</v>
      </c>
      <c r="I21" s="1992">
        <f t="shared" ref="I21:I33" si="2">SUM(C21:H21)</f>
        <v>160.54569395104997</v>
      </c>
      <c r="J21" s="1638">
        <v>118.57854317600001</v>
      </c>
      <c r="K21" s="1995">
        <f t="shared" ref="K21:K31" si="3">J21*10/I21</f>
        <v>7.3859684590577901</v>
      </c>
    </row>
    <row r="22" spans="1:14">
      <c r="A22" s="1125">
        <v>3</v>
      </c>
      <c r="B22" s="1993" t="s">
        <v>667</v>
      </c>
      <c r="C22" s="1637">
        <v>4.5580276166000004</v>
      </c>
      <c r="D22" s="1637">
        <v>0.56097068640000003</v>
      </c>
      <c r="E22" s="1637">
        <v>4.0765106134</v>
      </c>
      <c r="F22" s="1637">
        <v>9.0837513361399971</v>
      </c>
      <c r="G22" s="1637">
        <v>6.3774478205899969</v>
      </c>
      <c r="H22" s="1637">
        <v>29.692695736789961</v>
      </c>
      <c r="I22" s="1992">
        <f t="shared" si="2"/>
        <v>54.349403809919956</v>
      </c>
      <c r="J22" s="1638">
        <v>9.5281408349999968</v>
      </c>
      <c r="K22" s="1995">
        <f t="shared" si="3"/>
        <v>1.7531270201828602</v>
      </c>
    </row>
    <row r="23" spans="1:14">
      <c r="A23" s="1125">
        <v>4</v>
      </c>
      <c r="B23" s="1993" t="s">
        <v>842</v>
      </c>
      <c r="C23" s="1637">
        <v>0.6458829786000001</v>
      </c>
      <c r="D23" s="1637">
        <v>0.41759954199999999</v>
      </c>
      <c r="E23" s="1637">
        <v>0.53631019800000013</v>
      </c>
      <c r="F23" s="1637">
        <v>0.25406693139999997</v>
      </c>
      <c r="G23" s="1637">
        <v>0.71578242100000011</v>
      </c>
      <c r="H23" s="1637">
        <v>0.18347313799999995</v>
      </c>
      <c r="I23" s="1992">
        <f t="shared" si="2"/>
        <v>2.7531152090000006</v>
      </c>
      <c r="J23" s="1638">
        <v>1.351368093</v>
      </c>
      <c r="K23" s="1995">
        <f t="shared" si="3"/>
        <v>4.9085054217213457</v>
      </c>
    </row>
    <row r="24" spans="1:14">
      <c r="A24" s="1125">
        <v>5</v>
      </c>
      <c r="B24" s="1993" t="s">
        <v>843</v>
      </c>
      <c r="C24" s="1637">
        <v>4.340480909999999E-2</v>
      </c>
      <c r="D24" s="1637">
        <v>0.11846417000000001</v>
      </c>
      <c r="E24" s="1637">
        <v>1.9858679000000001E-2</v>
      </c>
      <c r="F24" s="1637">
        <v>5.1017106399999998E-2</v>
      </c>
      <c r="G24" s="1637">
        <v>2.7633755999999995E-2</v>
      </c>
      <c r="H24" s="1637">
        <v>7.3565705600000003E-2</v>
      </c>
      <c r="I24" s="1992">
        <f t="shared" si="2"/>
        <v>0.33394422609999996</v>
      </c>
      <c r="J24" s="1638">
        <v>0.17689498200000001</v>
      </c>
      <c r="K24" s="1995">
        <f t="shared" si="3"/>
        <v>5.2971415037141147</v>
      </c>
    </row>
    <row r="25" spans="1:14">
      <c r="A25" s="1125">
        <v>6</v>
      </c>
      <c r="B25" s="1996" t="s">
        <v>549</v>
      </c>
      <c r="C25" s="1637">
        <v>2.9482541992999995</v>
      </c>
      <c r="D25" s="1637">
        <v>3.657672067</v>
      </c>
      <c r="E25" s="1637">
        <v>1.5889518954999999</v>
      </c>
      <c r="F25" s="1637">
        <v>2.5061000175999992</v>
      </c>
      <c r="G25" s="1637">
        <v>2.4287300060000003</v>
      </c>
      <c r="H25" s="1637">
        <v>3.2830157981000001</v>
      </c>
      <c r="I25" s="1992">
        <f t="shared" si="2"/>
        <v>16.412723983499998</v>
      </c>
      <c r="J25" s="1638">
        <v>11.223160408999997</v>
      </c>
      <c r="K25" s="1995">
        <f t="shared" si="3"/>
        <v>6.8380851467939374</v>
      </c>
    </row>
    <row r="26" spans="1:14">
      <c r="A26" s="1125">
        <v>7</v>
      </c>
      <c r="B26" s="1993" t="s">
        <v>249</v>
      </c>
      <c r="C26" s="1637">
        <v>1.2935531747999998</v>
      </c>
      <c r="D26" s="1637">
        <v>1.09575687</v>
      </c>
      <c r="E26" s="1637">
        <v>0.59091080400000007</v>
      </c>
      <c r="F26" s="1637">
        <v>0.9552869555000002</v>
      </c>
      <c r="G26" s="1637">
        <v>0.81786603590000007</v>
      </c>
      <c r="H26" s="1637">
        <v>1.1677197475000005</v>
      </c>
      <c r="I26" s="1992">
        <f t="shared" si="2"/>
        <v>5.9210935877000006</v>
      </c>
      <c r="J26" s="1638">
        <v>4.5229585969999997</v>
      </c>
      <c r="K26" s="1995">
        <f t="shared" si="3"/>
        <v>7.638721682081882</v>
      </c>
    </row>
    <row r="27" spans="1:14">
      <c r="A27" s="1125">
        <v>8</v>
      </c>
      <c r="B27" s="1993" t="s">
        <v>250</v>
      </c>
      <c r="C27" s="1637">
        <v>2.9643264229999997</v>
      </c>
      <c r="D27" s="1637">
        <v>2.5323928662999995</v>
      </c>
      <c r="E27" s="1637">
        <v>1.9626046627999998</v>
      </c>
      <c r="F27" s="1637">
        <v>0.85155449299999997</v>
      </c>
      <c r="G27" s="1637">
        <v>1.8366385699999994</v>
      </c>
      <c r="H27" s="1637">
        <v>3.0918218179999997</v>
      </c>
      <c r="I27" s="1997">
        <f>SUM(C27:H27)</f>
        <v>13.239338833099998</v>
      </c>
      <c r="J27" s="1638">
        <v>10.006654814000001</v>
      </c>
      <c r="K27" s="1995">
        <f t="shared" si="3"/>
        <v>7.5582738232985749</v>
      </c>
    </row>
    <row r="28" spans="1:14">
      <c r="A28" s="1125">
        <v>9</v>
      </c>
      <c r="B28" s="1993" t="s">
        <v>561</v>
      </c>
      <c r="C28" s="1637">
        <v>1.9140210651</v>
      </c>
      <c r="D28" s="1637">
        <v>3.7635230280000003</v>
      </c>
      <c r="E28" s="1637">
        <v>1.3400648573999996</v>
      </c>
      <c r="F28" s="1637">
        <v>4.1268165971999995</v>
      </c>
      <c r="G28" s="1637">
        <v>5.576015795</v>
      </c>
      <c r="H28" s="1637">
        <v>6.4395950862000007</v>
      </c>
      <c r="I28" s="1992">
        <f t="shared" si="2"/>
        <v>23.1600364289</v>
      </c>
      <c r="J28" s="1638">
        <v>14.681739763000003</v>
      </c>
      <c r="K28" s="1995">
        <f t="shared" si="3"/>
        <v>6.3392559023264541</v>
      </c>
    </row>
    <row r="29" spans="1:14">
      <c r="A29" s="1125">
        <v>10</v>
      </c>
      <c r="B29" s="1993" t="s">
        <v>1457</v>
      </c>
      <c r="C29" s="1637">
        <v>6.952442791300002</v>
      </c>
      <c r="D29" s="1637">
        <v>3.4311447390000005</v>
      </c>
      <c r="E29" s="1637">
        <v>4.0745021138000013</v>
      </c>
      <c r="F29" s="1637">
        <v>5.2211862555999984</v>
      </c>
      <c r="G29" s="1637">
        <v>4.5954387795000011</v>
      </c>
      <c r="H29" s="1637">
        <v>8.4631243495999993</v>
      </c>
      <c r="I29" s="1992">
        <f t="shared" si="2"/>
        <v>32.737839028800003</v>
      </c>
      <c r="J29" s="1638">
        <v>21.498258093000004</v>
      </c>
      <c r="K29" s="1995">
        <f t="shared" si="3"/>
        <v>6.5667920457693132</v>
      </c>
    </row>
    <row r="30" spans="1:14">
      <c r="A30" s="1125">
        <v>11</v>
      </c>
      <c r="B30" s="1993" t="s">
        <v>1458</v>
      </c>
      <c r="C30" s="1637">
        <v>5.5900000000000007E-7</v>
      </c>
      <c r="D30" s="1637">
        <v>0.28282117400000001</v>
      </c>
      <c r="E30" s="1637">
        <v>0</v>
      </c>
      <c r="F30" s="1637">
        <v>0.55765799999999999</v>
      </c>
      <c r="G30" s="1637">
        <v>0.10998200000000001</v>
      </c>
      <c r="H30" s="1637">
        <v>1.145E-3</v>
      </c>
      <c r="I30" s="1992">
        <f t="shared" si="2"/>
        <v>0.95160673299999998</v>
      </c>
      <c r="J30" s="1638">
        <v>1.53875078E-2</v>
      </c>
      <c r="K30" s="1995">
        <f t="shared" si="3"/>
        <v>0.16170028296762798</v>
      </c>
    </row>
    <row r="31" spans="1:14">
      <c r="A31" s="1125">
        <v>12</v>
      </c>
      <c r="B31" s="1096" t="s">
        <v>1459</v>
      </c>
      <c r="C31" s="1637">
        <v>1.3318125000000004E-2</v>
      </c>
      <c r="D31" s="1637">
        <v>0.17741283700000002</v>
      </c>
      <c r="E31" s="1637">
        <v>-3.6684E-4</v>
      </c>
      <c r="F31" s="1637">
        <v>5.9299999999999999E-4</v>
      </c>
      <c r="G31" s="1637">
        <v>0</v>
      </c>
      <c r="H31" s="1637">
        <v>0.14377800000000002</v>
      </c>
      <c r="I31" s="1992">
        <f t="shared" si="2"/>
        <v>0.33473512200000005</v>
      </c>
      <c r="J31" s="1638">
        <v>3.2480379400000009E-2</v>
      </c>
      <c r="K31" s="1995">
        <f t="shared" si="3"/>
        <v>0.9703307859042053</v>
      </c>
      <c r="N31" s="1104">
        <f>30253</f>
        <v>30253</v>
      </c>
    </row>
    <row r="32" spans="1:14">
      <c r="A32" s="3116" t="s">
        <v>8503</v>
      </c>
      <c r="B32" s="3117" t="s">
        <v>8504</v>
      </c>
      <c r="C32" s="1637">
        <v>7.4466610000000003E-2</v>
      </c>
      <c r="D32" s="1637">
        <v>0</v>
      </c>
      <c r="E32" s="1637">
        <v>1.3986500000000001E-2</v>
      </c>
      <c r="F32" s="1637">
        <v>1.3029999999999999E-3</v>
      </c>
      <c r="G32" s="1637">
        <v>3.8000000000000002E-5</v>
      </c>
      <c r="H32" s="1637">
        <v>8.3542200000000016E-4</v>
      </c>
      <c r="I32" s="1992">
        <f t="shared" si="2"/>
        <v>9.0629531999999999E-2</v>
      </c>
      <c r="J32" s="1638">
        <v>7.5360304000000017E-2</v>
      </c>
      <c r="K32" s="1995">
        <f>J32*10/I32</f>
        <v>8.3152039227125236</v>
      </c>
    </row>
    <row r="33" spans="1:14">
      <c r="A33" s="1125">
        <v>13</v>
      </c>
      <c r="B33" s="1096" t="s">
        <v>560</v>
      </c>
      <c r="C33" s="1637">
        <v>0</v>
      </c>
      <c r="D33" s="1637">
        <v>0</v>
      </c>
      <c r="E33" s="1637">
        <v>0</v>
      </c>
      <c r="F33" s="1637">
        <v>0</v>
      </c>
      <c r="G33" s="1637">
        <v>0</v>
      </c>
      <c r="H33" s="1637">
        <v>0</v>
      </c>
      <c r="I33" s="1992">
        <f t="shared" si="2"/>
        <v>0</v>
      </c>
      <c r="J33" s="1638">
        <v>0</v>
      </c>
      <c r="K33" s="1995"/>
      <c r="N33" s="1808">
        <f>K15+K35</f>
        <v>4.5975872293209035</v>
      </c>
    </row>
    <row r="34" spans="1:14">
      <c r="A34" s="1125"/>
      <c r="B34" s="1977" t="s">
        <v>436</v>
      </c>
      <c r="C34" s="3115">
        <f t="shared" ref="C34:H34" si="4">+SUM(C21:C33)+C15</f>
        <v>164.9691691962</v>
      </c>
      <c r="D34" s="3115">
        <f t="shared" si="4"/>
        <v>234.51306316219998</v>
      </c>
      <c r="E34" s="3115">
        <f t="shared" si="4"/>
        <v>116.72141112915</v>
      </c>
      <c r="F34" s="3115">
        <f t="shared" si="4"/>
        <v>165.87200660513997</v>
      </c>
      <c r="G34" s="3115">
        <f t="shared" si="4"/>
        <v>181.47798390879001</v>
      </c>
      <c r="H34" s="3115">
        <f t="shared" si="4"/>
        <v>311.46247454509</v>
      </c>
      <c r="I34" s="3115">
        <f t="shared" ref="I34:J34" si="5">+SUM(I21:I33)+I15</f>
        <v>1175.0161085465697</v>
      </c>
      <c r="J34" s="3115">
        <f t="shared" si="5"/>
        <v>589.00797482820337</v>
      </c>
      <c r="K34" s="1131">
        <f>J34*10/I34</f>
        <v>5.0127651063164897</v>
      </c>
      <c r="N34" s="1808">
        <f>N31-N33</f>
        <v>30248.40241277068</v>
      </c>
    </row>
    <row r="35" spans="1:14">
      <c r="A35" s="1125"/>
      <c r="B35" s="1127" t="s">
        <v>1333</v>
      </c>
      <c r="C35" s="1992"/>
      <c r="D35" s="1992"/>
      <c r="E35" s="1992"/>
      <c r="F35" s="1992"/>
      <c r="G35" s="1992"/>
      <c r="H35" s="1992"/>
      <c r="I35" s="1992"/>
      <c r="J35" s="1995"/>
      <c r="K35" s="1995"/>
    </row>
    <row r="36" spans="1:14">
      <c r="A36" s="1125">
        <v>14</v>
      </c>
      <c r="B36" s="1096" t="s">
        <v>1334</v>
      </c>
      <c r="C36" s="1645">
        <v>0.11662367250000001</v>
      </c>
      <c r="D36" s="1645">
        <v>1.053742205</v>
      </c>
      <c r="E36" s="1645">
        <v>0.27934988799999999</v>
      </c>
      <c r="F36" s="1645">
        <v>6.6371509000000009E-2</v>
      </c>
      <c r="G36" s="1645">
        <v>0.90028580000000002</v>
      </c>
      <c r="H36" s="1645">
        <v>1.5157948400000003</v>
      </c>
      <c r="I36" s="1992">
        <f>SUM(C36:H36)</f>
        <v>3.9321679145000004</v>
      </c>
      <c r="J36" s="1638">
        <v>2.1072771099000005</v>
      </c>
      <c r="K36" s="1995">
        <f>J36*10/I36</f>
        <v>5.3590720328329464</v>
      </c>
    </row>
    <row r="37" spans="1:14">
      <c r="A37" s="1125">
        <v>15</v>
      </c>
      <c r="B37" s="1096" t="s">
        <v>841</v>
      </c>
      <c r="C37" s="1991">
        <v>7.4946840799999997E-2</v>
      </c>
      <c r="D37" s="1991">
        <v>5.1438713999999996E-2</v>
      </c>
      <c r="E37" s="1991">
        <v>0.105326195</v>
      </c>
      <c r="F37" s="1991">
        <v>0.3838350029</v>
      </c>
      <c r="G37" s="1991">
        <v>0.44048351600000002</v>
      </c>
      <c r="H37" s="1991">
        <v>5.0786000000000008E-3</v>
      </c>
      <c r="I37" s="1992">
        <f>SUM(C37:H37)</f>
        <v>1.0611088687000001</v>
      </c>
      <c r="J37" s="1995">
        <v>0.2633711768</v>
      </c>
      <c r="K37" s="1995">
        <f t="shared" ref="K37:K52" si="6">J37*10/I37</f>
        <v>2.482037277877668</v>
      </c>
    </row>
    <row r="38" spans="1:14">
      <c r="A38" s="1125">
        <v>16</v>
      </c>
      <c r="B38" s="1993" t="s">
        <v>842</v>
      </c>
      <c r="C38" s="1645">
        <v>4.4379925490999996</v>
      </c>
      <c r="D38" s="1645">
        <v>6.0347117080000006</v>
      </c>
      <c r="E38" s="1645">
        <v>1.6218600240000001</v>
      </c>
      <c r="F38" s="1645">
        <v>0.20813563000000002</v>
      </c>
      <c r="G38" s="1645">
        <v>0.83521755299999989</v>
      </c>
      <c r="H38" s="1645">
        <v>8.4181986000000014E-2</v>
      </c>
      <c r="I38" s="1997">
        <f>C38+D38+E38+F38+G38+H38</f>
        <v>13.2220994501</v>
      </c>
      <c r="J38" s="1638">
        <v>2.7739494601300003</v>
      </c>
      <c r="K38" s="1995">
        <f t="shared" si="6"/>
        <v>2.0979644500473187</v>
      </c>
    </row>
    <row r="39" spans="1:14">
      <c r="A39" s="1125">
        <v>17</v>
      </c>
      <c r="B39" s="1993" t="s">
        <v>843</v>
      </c>
      <c r="C39" s="1645">
        <v>2.6152999999999999E-2</v>
      </c>
      <c r="D39" s="1645">
        <v>0.50466471999999996</v>
      </c>
      <c r="E39" s="1645">
        <v>1.3079999999999999E-3</v>
      </c>
      <c r="F39" s="1645">
        <v>0</v>
      </c>
      <c r="G39" s="1645">
        <v>0</v>
      </c>
      <c r="H39" s="1645">
        <v>0.61323817999999997</v>
      </c>
      <c r="I39" s="1997">
        <f>C39+D39+E39+F39+G39+H39</f>
        <v>1.1453639</v>
      </c>
      <c r="J39" s="1638">
        <v>0.60361381180000007</v>
      </c>
      <c r="K39" s="1995">
        <f t="shared" si="6"/>
        <v>5.2700614346235293</v>
      </c>
    </row>
    <row r="40" spans="1:14">
      <c r="A40" s="1125">
        <v>18</v>
      </c>
      <c r="B40" s="1993" t="s">
        <v>561</v>
      </c>
      <c r="C40" s="1645">
        <v>0.19666461539999999</v>
      </c>
      <c r="D40" s="1645">
        <v>7.838769039999999</v>
      </c>
      <c r="E40" s="1645">
        <v>0.14959340000000002</v>
      </c>
      <c r="F40" s="1645">
        <v>1.2166229529999999</v>
      </c>
      <c r="G40" s="1645">
        <v>3.9183394360000001</v>
      </c>
      <c r="H40" s="1645">
        <v>2.7133335599999997</v>
      </c>
      <c r="I40" s="1997">
        <f>C40+D40+E40+F40+G40+H40</f>
        <v>16.0333230044</v>
      </c>
      <c r="J40" s="1638">
        <v>12.331381132500001</v>
      </c>
      <c r="K40" s="1995">
        <f t="shared" si="6"/>
        <v>7.6910950581585107</v>
      </c>
    </row>
    <row r="41" spans="1:14">
      <c r="A41" s="1125">
        <v>19</v>
      </c>
      <c r="B41" s="1993" t="s">
        <v>1452</v>
      </c>
      <c r="C41" s="1645">
        <v>0.44539820000000002</v>
      </c>
      <c r="D41" s="1645">
        <v>3.6089948679999999</v>
      </c>
      <c r="E41" s="1645">
        <v>0.1511275</v>
      </c>
      <c r="F41" s="1645">
        <v>0.4469516</v>
      </c>
      <c r="G41" s="1645">
        <v>1.20338473</v>
      </c>
      <c r="H41" s="1645">
        <v>1.4234864780000001</v>
      </c>
      <c r="I41" s="1997">
        <f>SUM(C41:H41)</f>
        <v>7.2793433759999999</v>
      </c>
      <c r="J41" s="1638">
        <v>5.9779329170000013</v>
      </c>
      <c r="K41" s="1995">
        <f t="shared" si="6"/>
        <v>8.2121870177319156</v>
      </c>
    </row>
    <row r="42" spans="1:14">
      <c r="A42" s="1125">
        <v>20</v>
      </c>
      <c r="B42" s="1993" t="s">
        <v>1460</v>
      </c>
      <c r="C42" s="1645">
        <v>3.881062537</v>
      </c>
      <c r="D42" s="1645">
        <v>3.633256639999999</v>
      </c>
      <c r="E42" s="1645">
        <v>2.377207372</v>
      </c>
      <c r="F42" s="1645">
        <v>1.3018864460000001</v>
      </c>
      <c r="G42" s="1645">
        <v>2.8706813824000004</v>
      </c>
      <c r="H42" s="1645">
        <v>5.3196816599000005</v>
      </c>
      <c r="I42" s="1997">
        <f>SUM(C42:H42)</f>
        <v>19.383776037300002</v>
      </c>
      <c r="J42" s="1638">
        <v>18.809348773400004</v>
      </c>
      <c r="K42" s="1995">
        <f t="shared" si="6"/>
        <v>9.7036556433614205</v>
      </c>
    </row>
    <row r="43" spans="1:14">
      <c r="A43" s="1125">
        <v>21</v>
      </c>
      <c r="B43" s="1096" t="s">
        <v>1461</v>
      </c>
      <c r="C43" s="1645">
        <v>3.7345359999999999</v>
      </c>
      <c r="D43" s="1645">
        <v>12.405926299999999</v>
      </c>
      <c r="E43" s="1645">
        <v>0</v>
      </c>
      <c r="F43" s="1645">
        <v>0.356458</v>
      </c>
      <c r="G43" s="1645">
        <v>1.645991</v>
      </c>
      <c r="H43" s="1645">
        <v>3.964108757</v>
      </c>
      <c r="I43" s="1997">
        <f>C43+D43+E43+F43+G43+H43</f>
        <v>22.107020057</v>
      </c>
      <c r="J43" s="1638">
        <v>16.986713473800002</v>
      </c>
      <c r="K43" s="1995">
        <f t="shared" si="6"/>
        <v>7.6838549157697544</v>
      </c>
    </row>
    <row r="44" spans="1:14">
      <c r="A44" s="1125">
        <v>22</v>
      </c>
      <c r="B44" s="1096" t="s">
        <v>1332</v>
      </c>
      <c r="C44" s="1645">
        <v>2.09027063</v>
      </c>
      <c r="D44" s="1645">
        <v>1.6308187610000002</v>
      </c>
      <c r="E44" s="1645">
        <v>2.2806726450000001</v>
      </c>
      <c r="F44" s="1645">
        <v>0.31140699999999999</v>
      </c>
      <c r="G44" s="1645">
        <v>0.7696909999999999</v>
      </c>
      <c r="H44" s="1645">
        <v>7.51661234</v>
      </c>
      <c r="I44" s="1997">
        <f>C44+D44+E44+F44+G44+H44</f>
        <v>14.599472376000001</v>
      </c>
      <c r="J44" s="1638">
        <v>10.530413251800001</v>
      </c>
      <c r="K44" s="1995">
        <f t="shared" si="6"/>
        <v>7.2128724796321357</v>
      </c>
    </row>
    <row r="45" spans="1:14">
      <c r="A45" s="1125">
        <v>23</v>
      </c>
      <c r="B45" s="1096" t="s">
        <v>890</v>
      </c>
      <c r="C45" s="1645">
        <v>50.62357626</v>
      </c>
      <c r="D45" s="1645">
        <v>8.19847854</v>
      </c>
      <c r="E45" s="1645">
        <v>5.9192031399999996</v>
      </c>
      <c r="F45" s="1645">
        <v>8.9386109400000002</v>
      </c>
      <c r="G45" s="1645">
        <v>5.4508660799999999</v>
      </c>
      <c r="H45" s="1645">
        <v>35.887496719999994</v>
      </c>
      <c r="I45" s="1997">
        <f t="shared" ref="I45:I51" si="7">C45+D45+E45+F45+G45+H45</f>
        <v>115.01823167999999</v>
      </c>
      <c r="J45" s="1638">
        <v>84.021147159550011</v>
      </c>
      <c r="K45" s="1995">
        <f t="shared" si="6"/>
        <v>7.3050285969715603</v>
      </c>
    </row>
    <row r="46" spans="1:14">
      <c r="A46" s="3116" t="s">
        <v>8498</v>
      </c>
      <c r="B46" s="3117" t="s">
        <v>8499</v>
      </c>
      <c r="C46" s="1645">
        <v>0.22691999999999998</v>
      </c>
      <c r="D46" s="1645">
        <v>0</v>
      </c>
      <c r="E46" s="1645">
        <v>0.26843899999999993</v>
      </c>
      <c r="F46" s="1645">
        <v>1.1694610000000001</v>
      </c>
      <c r="G46" s="1645">
        <v>0.25538</v>
      </c>
      <c r="H46" s="1645">
        <v>0.49225999999999998</v>
      </c>
      <c r="I46" s="1997">
        <f t="shared" si="7"/>
        <v>2.4124599999999998</v>
      </c>
      <c r="J46" s="1638">
        <v>1.972294961</v>
      </c>
      <c r="K46" s="1995">
        <f t="shared" si="6"/>
        <v>8.1754514520448023</v>
      </c>
    </row>
    <row r="47" spans="1:14">
      <c r="A47" s="1125">
        <v>24</v>
      </c>
      <c r="B47" s="1096" t="s">
        <v>893</v>
      </c>
      <c r="C47" s="1992">
        <v>0</v>
      </c>
      <c r="D47" s="1992">
        <v>0</v>
      </c>
      <c r="E47" s="1992">
        <v>0</v>
      </c>
      <c r="F47" s="1992">
        <v>0</v>
      </c>
      <c r="G47" s="1992">
        <v>0</v>
      </c>
      <c r="H47" s="1992">
        <v>0</v>
      </c>
      <c r="I47" s="1997">
        <f t="shared" si="7"/>
        <v>0</v>
      </c>
      <c r="J47" s="1638">
        <v>0</v>
      </c>
      <c r="K47" s="1995"/>
    </row>
    <row r="48" spans="1:14">
      <c r="A48" s="1125">
        <v>25</v>
      </c>
      <c r="B48" s="1096" t="s">
        <v>1336</v>
      </c>
      <c r="C48" s="1992">
        <v>0</v>
      </c>
      <c r="D48" s="1992">
        <v>0</v>
      </c>
      <c r="E48" s="1992">
        <v>0</v>
      </c>
      <c r="F48" s="1992">
        <v>0</v>
      </c>
      <c r="G48" s="1992">
        <v>0</v>
      </c>
      <c r="H48" s="1992">
        <v>0</v>
      </c>
      <c r="I48" s="1997">
        <f t="shared" si="7"/>
        <v>0</v>
      </c>
      <c r="J48" s="1638">
        <v>0</v>
      </c>
      <c r="K48" s="1995"/>
    </row>
    <row r="49" spans="1:11">
      <c r="A49" s="1125">
        <v>26</v>
      </c>
      <c r="B49" s="1096" t="s">
        <v>891</v>
      </c>
      <c r="C49" s="1992">
        <v>0</v>
      </c>
      <c r="D49" s="1992">
        <v>0</v>
      </c>
      <c r="E49" s="1992">
        <v>0</v>
      </c>
      <c r="F49" s="1992">
        <v>0</v>
      </c>
      <c r="G49" s="1992">
        <v>0</v>
      </c>
      <c r="H49" s="1992">
        <v>0</v>
      </c>
      <c r="I49" s="1997">
        <f t="shared" si="7"/>
        <v>0</v>
      </c>
      <c r="J49" s="1638">
        <v>0</v>
      </c>
      <c r="K49" s="1995"/>
    </row>
    <row r="50" spans="1:11">
      <c r="A50" s="1125">
        <v>27</v>
      </c>
      <c r="B50" s="1096" t="s">
        <v>1462</v>
      </c>
      <c r="C50" s="1992">
        <v>0</v>
      </c>
      <c r="D50" s="1992">
        <v>0</v>
      </c>
      <c r="E50" s="1992">
        <v>0</v>
      </c>
      <c r="F50" s="1992">
        <v>0</v>
      </c>
      <c r="G50" s="1992">
        <v>0</v>
      </c>
      <c r="H50" s="1992">
        <v>0</v>
      </c>
      <c r="I50" s="1997">
        <f t="shared" si="7"/>
        <v>0</v>
      </c>
      <c r="J50" s="1638">
        <v>0</v>
      </c>
      <c r="K50" s="1995"/>
    </row>
    <row r="51" spans="1:11">
      <c r="A51" s="1125">
        <v>28</v>
      </c>
      <c r="B51" s="1096" t="s">
        <v>1337</v>
      </c>
      <c r="C51" s="1637">
        <v>0</v>
      </c>
      <c r="D51" s="1637">
        <v>0</v>
      </c>
      <c r="E51" s="1637">
        <v>0</v>
      </c>
      <c r="F51" s="1637">
        <v>0</v>
      </c>
      <c r="G51" s="1637">
        <v>0</v>
      </c>
      <c r="H51" s="1637">
        <v>0</v>
      </c>
      <c r="I51" s="1997">
        <f t="shared" si="7"/>
        <v>0</v>
      </c>
      <c r="J51" s="1638">
        <v>0</v>
      </c>
      <c r="K51" s="1995"/>
    </row>
    <row r="52" spans="1:11">
      <c r="A52" s="1125"/>
      <c r="B52" s="1977" t="s">
        <v>562</v>
      </c>
      <c r="C52" s="1130">
        <f t="shared" ref="C52:H52" si="8">SUM(C36:C51)</f>
        <v>65.854144304800002</v>
      </c>
      <c r="D52" s="1130">
        <f t="shared" si="8"/>
        <v>44.960801496000002</v>
      </c>
      <c r="E52" s="1130">
        <f t="shared" si="8"/>
        <v>13.154087164</v>
      </c>
      <c r="F52" s="1130">
        <f t="shared" si="8"/>
        <v>14.399740080900001</v>
      </c>
      <c r="G52" s="1130">
        <f t="shared" si="8"/>
        <v>18.2903204974</v>
      </c>
      <c r="H52" s="1130">
        <f t="shared" si="8"/>
        <v>59.535273120900001</v>
      </c>
      <c r="I52" s="1130">
        <f>SUM(I36:I51)</f>
        <v>216.194366664</v>
      </c>
      <c r="J52" s="1131">
        <f>SUM(J36:J51)</f>
        <v>156.37744322768003</v>
      </c>
      <c r="K52" s="1131">
        <f t="shared" si="6"/>
        <v>7.2331876931240835</v>
      </c>
    </row>
    <row r="53" spans="1:11">
      <c r="A53" s="1125"/>
      <c r="B53" s="1127" t="s">
        <v>1338</v>
      </c>
      <c r="C53" s="1992"/>
      <c r="D53" s="1992"/>
      <c r="E53" s="1992"/>
      <c r="F53" s="1992"/>
      <c r="G53" s="1992"/>
      <c r="H53" s="1992"/>
      <c r="I53" s="1992"/>
      <c r="J53" s="1995"/>
      <c r="K53" s="1995"/>
    </row>
    <row r="54" spans="1:11">
      <c r="A54" s="1125">
        <v>29</v>
      </c>
      <c r="B54" s="1096" t="s">
        <v>670</v>
      </c>
      <c r="C54" s="1992">
        <v>0</v>
      </c>
      <c r="D54" s="1992">
        <v>0</v>
      </c>
      <c r="E54" s="1992">
        <v>0</v>
      </c>
      <c r="F54" s="1992">
        <v>0</v>
      </c>
      <c r="G54" s="1992">
        <v>0</v>
      </c>
      <c r="H54" s="1992">
        <v>0</v>
      </c>
      <c r="I54" s="1997">
        <f>C54+D54+E54+F54+G54+H54</f>
        <v>0</v>
      </c>
      <c r="J54" s="1995">
        <v>0</v>
      </c>
      <c r="K54" s="1995"/>
    </row>
    <row r="55" spans="1:11">
      <c r="A55" s="1125">
        <v>30</v>
      </c>
      <c r="B55" s="1096" t="s">
        <v>890</v>
      </c>
      <c r="C55" s="1637">
        <v>25.6266</v>
      </c>
      <c r="D55" s="1637">
        <v>0</v>
      </c>
      <c r="E55" s="1637">
        <v>0</v>
      </c>
      <c r="F55" s="1637">
        <v>0</v>
      </c>
      <c r="G55" s="1637">
        <v>2.5697999999999999</v>
      </c>
      <c r="H55" s="1637">
        <v>21.393899999999999</v>
      </c>
      <c r="I55" s="1997">
        <f t="shared" ref="I55:I62" si="9">C55+D55+E55+F55+G55+H55</f>
        <v>49.590299999999999</v>
      </c>
      <c r="J55" s="1638">
        <v>36.320666604999992</v>
      </c>
      <c r="K55" s="1995">
        <f t="shared" ref="K55:K63" si="10">J55*10/I55</f>
        <v>7.3241473846699838</v>
      </c>
    </row>
    <row r="56" spans="1:11">
      <c r="A56" s="1125">
        <v>31</v>
      </c>
      <c r="B56" s="1096" t="s">
        <v>891</v>
      </c>
      <c r="C56" s="1637">
        <v>20.163719999999998</v>
      </c>
      <c r="D56" s="1637">
        <v>24.118560000000002</v>
      </c>
      <c r="E56" s="1637">
        <v>0</v>
      </c>
      <c r="F56" s="1637">
        <v>0</v>
      </c>
      <c r="G56" s="1637">
        <v>54.532581</v>
      </c>
      <c r="H56" s="1637">
        <v>41.182929655199999</v>
      </c>
      <c r="I56" s="1997">
        <f t="shared" si="9"/>
        <v>139.99779065519999</v>
      </c>
      <c r="J56" s="1638">
        <v>102.097619483</v>
      </c>
      <c r="K56" s="1995">
        <f t="shared" si="10"/>
        <v>7.2928021938900329</v>
      </c>
    </row>
    <row r="57" spans="1:11">
      <c r="A57" s="1125">
        <v>32</v>
      </c>
      <c r="B57" s="1096" t="s">
        <v>892</v>
      </c>
      <c r="C57" s="1992">
        <v>0</v>
      </c>
      <c r="D57" s="1992">
        <v>0</v>
      </c>
      <c r="E57" s="1992">
        <v>0</v>
      </c>
      <c r="F57" s="1992">
        <v>0</v>
      </c>
      <c r="G57" s="1992">
        <v>0</v>
      </c>
      <c r="H57" s="1992">
        <v>0</v>
      </c>
      <c r="I57" s="1997">
        <f t="shared" si="9"/>
        <v>0</v>
      </c>
      <c r="J57" s="1995">
        <v>0</v>
      </c>
      <c r="K57" s="1995"/>
    </row>
    <row r="58" spans="1:11">
      <c r="A58" s="1125">
        <v>33</v>
      </c>
      <c r="B58" s="1096" t="s">
        <v>893</v>
      </c>
      <c r="C58" s="1637">
        <v>70.854220999999995</v>
      </c>
      <c r="D58" s="1637">
        <v>0</v>
      </c>
      <c r="E58" s="1637">
        <v>0</v>
      </c>
      <c r="F58" s="1637">
        <v>0</v>
      </c>
      <c r="G58" s="1637">
        <v>0</v>
      </c>
      <c r="H58" s="1637">
        <v>0</v>
      </c>
      <c r="I58" s="1997">
        <f t="shared" si="9"/>
        <v>70.854220999999995</v>
      </c>
      <c r="J58" s="1638">
        <v>42.084263102999998</v>
      </c>
      <c r="K58" s="1995">
        <f t="shared" si="10"/>
        <v>5.9395562478910051</v>
      </c>
    </row>
    <row r="59" spans="1:11">
      <c r="A59" s="1125">
        <v>34</v>
      </c>
      <c r="B59" s="1096" t="s">
        <v>1336</v>
      </c>
      <c r="C59" s="1992">
        <v>0</v>
      </c>
      <c r="D59" s="1992">
        <v>0</v>
      </c>
      <c r="E59" s="1992">
        <v>0</v>
      </c>
      <c r="F59" s="1992">
        <v>0</v>
      </c>
      <c r="G59" s="1992">
        <v>0</v>
      </c>
      <c r="H59" s="1992">
        <v>0</v>
      </c>
      <c r="I59" s="1997">
        <f t="shared" si="9"/>
        <v>0</v>
      </c>
      <c r="J59" s="1995">
        <v>0</v>
      </c>
      <c r="K59" s="1995"/>
    </row>
    <row r="60" spans="1:11">
      <c r="A60" s="1125">
        <v>35</v>
      </c>
      <c r="B60" s="1096" t="s">
        <v>1463</v>
      </c>
      <c r="C60" s="1992">
        <v>0</v>
      </c>
      <c r="D60" s="1992">
        <v>0</v>
      </c>
      <c r="E60" s="1992">
        <v>0</v>
      </c>
      <c r="F60" s="1992">
        <v>0</v>
      </c>
      <c r="G60" s="1992">
        <v>5.1591430000000003</v>
      </c>
      <c r="H60" s="1992">
        <v>0</v>
      </c>
      <c r="I60" s="1997">
        <f t="shared" si="9"/>
        <v>5.1591430000000003</v>
      </c>
      <c r="J60" s="1995">
        <v>4.0473929430000011</v>
      </c>
      <c r="K60" s="1995">
        <f t="shared" si="10"/>
        <v>7.8450877267794299</v>
      </c>
    </row>
    <row r="61" spans="1:11">
      <c r="A61" s="3116" t="s">
        <v>8505</v>
      </c>
      <c r="B61" s="3117" t="s">
        <v>8506</v>
      </c>
      <c r="C61" s="1992">
        <v>70.654646999999997</v>
      </c>
      <c r="D61" s="1992">
        <v>0</v>
      </c>
      <c r="E61" s="1992">
        <v>0</v>
      </c>
      <c r="F61" s="1992">
        <v>0</v>
      </c>
      <c r="G61" s="1992">
        <v>0</v>
      </c>
      <c r="H61" s="1992">
        <v>0</v>
      </c>
      <c r="I61" s="1997">
        <f t="shared" si="9"/>
        <v>70.654646999999997</v>
      </c>
      <c r="J61" s="1995">
        <v>37.078200722000005</v>
      </c>
      <c r="K61" s="1995">
        <f t="shared" si="10"/>
        <v>5.2478077941568388</v>
      </c>
    </row>
    <row r="62" spans="1:11">
      <c r="A62" s="1125">
        <v>36</v>
      </c>
      <c r="B62" s="1096" t="s">
        <v>1337</v>
      </c>
      <c r="C62" s="1637">
        <v>0</v>
      </c>
      <c r="D62" s="1637">
        <v>0</v>
      </c>
      <c r="E62" s="1637">
        <v>0</v>
      </c>
      <c r="F62" s="1637">
        <v>0</v>
      </c>
      <c r="G62" s="1637">
        <v>0</v>
      </c>
      <c r="H62" s="1637">
        <v>0</v>
      </c>
      <c r="I62" s="1997">
        <f t="shared" si="9"/>
        <v>0</v>
      </c>
      <c r="J62" s="1638">
        <v>0</v>
      </c>
      <c r="K62" s="1995"/>
    </row>
    <row r="63" spans="1:11">
      <c r="A63" s="1125" t="s">
        <v>942</v>
      </c>
      <c r="B63" s="1977" t="s">
        <v>1327</v>
      </c>
      <c r="C63" s="1130">
        <f t="shared" ref="C63:J63" si="11">SUM(C54:C62)</f>
        <v>187.29918799999999</v>
      </c>
      <c r="D63" s="1130">
        <f t="shared" si="11"/>
        <v>24.118560000000002</v>
      </c>
      <c r="E63" s="1130">
        <f t="shared" si="11"/>
        <v>0</v>
      </c>
      <c r="F63" s="1130">
        <f t="shared" si="11"/>
        <v>0</v>
      </c>
      <c r="G63" s="1130">
        <f t="shared" si="11"/>
        <v>62.261524000000001</v>
      </c>
      <c r="H63" s="1130">
        <f t="shared" si="11"/>
        <v>62.576829655200001</v>
      </c>
      <c r="I63" s="1130">
        <f t="shared" si="11"/>
        <v>336.25610165519998</v>
      </c>
      <c r="J63" s="1131">
        <f t="shared" si="11"/>
        <v>221.62814285600001</v>
      </c>
      <c r="K63" s="1131">
        <f t="shared" si="10"/>
        <v>6.5910519322935439</v>
      </c>
    </row>
    <row r="64" spans="1:11">
      <c r="A64" s="1125"/>
      <c r="B64" s="1127" t="s">
        <v>162</v>
      </c>
      <c r="C64" s="1130"/>
      <c r="D64" s="1130"/>
      <c r="E64" s="1130"/>
      <c r="F64" s="1130"/>
      <c r="G64" s="1130"/>
      <c r="H64" s="1130"/>
      <c r="I64" s="1130"/>
      <c r="J64" s="1995"/>
      <c r="K64" s="1995"/>
    </row>
    <row r="65" spans="1:12">
      <c r="A65" s="1125">
        <v>33</v>
      </c>
      <c r="B65" s="1096" t="s">
        <v>666</v>
      </c>
      <c r="C65" s="1992"/>
      <c r="D65" s="1992"/>
      <c r="E65" s="1992"/>
      <c r="F65" s="1992"/>
      <c r="G65" s="1992"/>
      <c r="H65" s="1992"/>
      <c r="I65" s="1992"/>
      <c r="J65" s="1995"/>
      <c r="K65" s="1995"/>
    </row>
    <row r="66" spans="1:12">
      <c r="A66" s="1125">
        <v>34</v>
      </c>
      <c r="B66" s="1096" t="s">
        <v>550</v>
      </c>
      <c r="C66" s="1992"/>
      <c r="D66" s="1992"/>
      <c r="E66" s="1992"/>
      <c r="F66" s="1992"/>
      <c r="G66" s="1992"/>
      <c r="H66" s="1992"/>
      <c r="I66" s="1992"/>
      <c r="J66" s="1995"/>
      <c r="K66" s="1995"/>
    </row>
    <row r="67" spans="1:12">
      <c r="A67" s="1125">
        <v>35</v>
      </c>
      <c r="B67" s="1096" t="s">
        <v>249</v>
      </c>
      <c r="C67" s="1992"/>
      <c r="D67" s="1992"/>
      <c r="E67" s="1992"/>
      <c r="F67" s="1992"/>
      <c r="G67" s="1992"/>
      <c r="H67" s="1992"/>
      <c r="I67" s="1992"/>
      <c r="J67" s="1995"/>
      <c r="K67" s="1995"/>
    </row>
    <row r="68" spans="1:12">
      <c r="A68" s="1125"/>
      <c r="B68" s="1977" t="s">
        <v>1327</v>
      </c>
      <c r="C68" s="1130"/>
      <c r="D68" s="1130"/>
      <c r="E68" s="1130"/>
      <c r="F68" s="1130"/>
      <c r="G68" s="1130"/>
      <c r="H68" s="1130"/>
      <c r="I68" s="1130"/>
      <c r="J68" s="1131"/>
      <c r="K68" s="1131"/>
    </row>
    <row r="69" spans="1:12">
      <c r="A69" s="1125"/>
      <c r="B69" s="1127" t="s">
        <v>163</v>
      </c>
      <c r="C69" s="1130">
        <v>0</v>
      </c>
      <c r="D69" s="1130">
        <v>0</v>
      </c>
      <c r="E69" s="1130">
        <v>0</v>
      </c>
      <c r="F69" s="1130">
        <v>0</v>
      </c>
      <c r="G69" s="1130">
        <v>0</v>
      </c>
      <c r="H69" s="1130">
        <v>0</v>
      </c>
      <c r="I69" s="1130">
        <v>0</v>
      </c>
      <c r="J69" s="1131">
        <v>0</v>
      </c>
      <c r="K69" s="1131">
        <v>0</v>
      </c>
      <c r="L69" s="1104">
        <f>L68/1000000</f>
        <v>0</v>
      </c>
    </row>
    <row r="70" spans="1:12">
      <c r="A70" s="1125"/>
      <c r="B70" s="1125" t="s">
        <v>164</v>
      </c>
      <c r="C70" s="1992"/>
      <c r="D70" s="1992"/>
      <c r="E70" s="1992"/>
      <c r="F70" s="1992"/>
      <c r="G70" s="1992"/>
      <c r="H70" s="1992"/>
      <c r="I70" s="1992"/>
      <c r="J70" s="1995"/>
      <c r="K70" s="1995"/>
    </row>
    <row r="71" spans="1:12">
      <c r="A71" s="1125"/>
      <c r="B71" s="1125" t="s">
        <v>165</v>
      </c>
      <c r="C71" s="1992"/>
      <c r="D71" s="1992"/>
      <c r="E71" s="1992"/>
      <c r="F71" s="1992"/>
      <c r="G71" s="1992"/>
      <c r="H71" s="1992"/>
      <c r="I71" s="1992"/>
      <c r="J71" s="1995"/>
      <c r="K71" s="1995"/>
    </row>
    <row r="72" spans="1:12">
      <c r="A72" s="1125"/>
      <c r="B72" s="1127" t="s">
        <v>166</v>
      </c>
      <c r="C72" s="1130">
        <f t="shared" ref="C72:I72" si="12">C34+C52+C63+C69</f>
        <v>418.12250150099999</v>
      </c>
      <c r="D72" s="1130">
        <f t="shared" si="12"/>
        <v>303.5924246582</v>
      </c>
      <c r="E72" s="1130">
        <f t="shared" si="12"/>
        <v>129.87549829315</v>
      </c>
      <c r="F72" s="1130">
        <f t="shared" si="12"/>
        <v>180.27174668603996</v>
      </c>
      <c r="G72" s="1130">
        <f t="shared" si="12"/>
        <v>262.02982840619001</v>
      </c>
      <c r="H72" s="1130">
        <f t="shared" si="12"/>
        <v>433.57457732119002</v>
      </c>
      <c r="I72" s="1130">
        <f t="shared" si="12"/>
        <v>1727.4665768657696</v>
      </c>
      <c r="J72" s="1131">
        <f>+J69+J63+J52+J34</f>
        <v>967.01356091188336</v>
      </c>
      <c r="K72" s="1131">
        <f t="shared" ref="K72" si="13">J72*10/I72</f>
        <v>5.5978713212870677</v>
      </c>
    </row>
    <row r="73" spans="1:12">
      <c r="A73" s="1125"/>
      <c r="B73" s="1125" t="s">
        <v>1413</v>
      </c>
      <c r="C73" s="3141">
        <f>346.293-1.808</f>
        <v>344.48500000000001</v>
      </c>
      <c r="D73" s="3141">
        <v>556.54499999999996</v>
      </c>
      <c r="E73" s="3141">
        <v>232.79599999999999</v>
      </c>
      <c r="F73" s="3141">
        <v>259.44</v>
      </c>
      <c r="G73" s="3141">
        <v>298.65800000000002</v>
      </c>
      <c r="H73" s="3141">
        <v>556.55899999999997</v>
      </c>
      <c r="I73" s="3141">
        <v>2248.4833159999998</v>
      </c>
      <c r="J73" s="1130"/>
      <c r="K73" s="1130"/>
      <c r="L73" s="1571">
        <f>SUM(C73:H73)-I73</f>
        <v>-3.1599999965692405E-4</v>
      </c>
    </row>
    <row r="74" spans="1:12">
      <c r="A74" s="1125"/>
      <c r="B74" s="1125" t="s">
        <v>167</v>
      </c>
      <c r="C74" s="3141">
        <f>C73-C72</f>
        <v>-73.637501500999974</v>
      </c>
      <c r="D74" s="3141">
        <f t="shared" ref="D74:I74" si="14">D73-D72</f>
        <v>252.95257534179996</v>
      </c>
      <c r="E74" s="3141">
        <f t="shared" si="14"/>
        <v>102.92050170684999</v>
      </c>
      <c r="F74" s="3141">
        <f t="shared" si="14"/>
        <v>79.168253313960037</v>
      </c>
      <c r="G74" s="3141">
        <f t="shared" si="14"/>
        <v>36.628171593810009</v>
      </c>
      <c r="H74" s="3141">
        <f t="shared" si="14"/>
        <v>122.98442267880995</v>
      </c>
      <c r="I74" s="3141">
        <f t="shared" si="14"/>
        <v>521.01673913423019</v>
      </c>
      <c r="J74" s="1130"/>
      <c r="K74" s="1130"/>
    </row>
    <row r="75" spans="1:12">
      <c r="A75" s="1125"/>
      <c r="B75" s="1125" t="s">
        <v>168</v>
      </c>
      <c r="C75" s="1132">
        <f t="shared" ref="C75:I75" si="15">C74/C73</f>
        <v>-0.21376112603161232</v>
      </c>
      <c r="D75" s="1132">
        <f t="shared" si="15"/>
        <v>0.45450516192185714</v>
      </c>
      <c r="E75" s="1132">
        <f t="shared" si="15"/>
        <v>0.44210597135195617</v>
      </c>
      <c r="F75" s="1132">
        <f t="shared" si="15"/>
        <v>0.30515052927058295</v>
      </c>
      <c r="G75" s="1132">
        <f t="shared" si="15"/>
        <v>0.12264252621329416</v>
      </c>
      <c r="H75" s="1132">
        <f t="shared" si="15"/>
        <v>0.22097283967883002</v>
      </c>
      <c r="I75" s="1132">
        <f t="shared" si="15"/>
        <v>0.23171919285623477</v>
      </c>
      <c r="J75" s="1130"/>
      <c r="K75" s="1130"/>
    </row>
    <row r="76" spans="1:12">
      <c r="I76" s="1571"/>
    </row>
    <row r="77" spans="1:12">
      <c r="I77" s="1571"/>
    </row>
  </sheetData>
  <printOptions horizontalCentered="1"/>
  <pageMargins left="0.27559055118110237" right="0.15748031496062992" top="0.23622047244094491" bottom="0.15748031496062992" header="0.15748031496062992" footer="0.15748031496062992"/>
  <pageSetup paperSize="9" scale="85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</sheetPr>
  <dimension ref="A1:AF72"/>
  <sheetViews>
    <sheetView showOutlineSymbols="0" zoomScale="62" zoomScaleNormal="62" workbookViewId="0">
      <pane xSplit="2" ySplit="9" topLeftCell="I59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14.7265625" defaultRowHeight="15.5"/>
  <cols>
    <col min="1" max="1" width="9" style="1072" customWidth="1"/>
    <col min="2" max="2" width="39.26953125" style="1072" customWidth="1"/>
    <col min="3" max="3" width="11" style="1072" customWidth="1"/>
    <col min="4" max="4" width="20" style="1072" customWidth="1"/>
    <col min="5" max="5" width="20.1796875" style="1072" customWidth="1"/>
    <col min="6" max="6" width="14.7265625" style="1072" customWidth="1"/>
    <col min="7" max="7" width="13.7265625" style="1072" customWidth="1"/>
    <col min="8" max="8" width="14.7265625" style="1072" customWidth="1"/>
    <col min="9" max="9" width="11.1796875" style="1118" customWidth="1"/>
    <col min="10" max="11" width="11.1796875" style="1072" customWidth="1"/>
    <col min="12" max="14" width="14.7265625" style="1072" customWidth="1"/>
    <col min="15" max="15" width="18.7265625" style="1072" customWidth="1"/>
    <col min="16" max="18" width="14.7265625" style="1072" customWidth="1"/>
    <col min="19" max="19" width="17.81640625" style="1072" customWidth="1"/>
    <col min="20" max="20" width="18.54296875" style="1072" customWidth="1"/>
    <col min="21" max="21" width="13.7265625" style="1072" customWidth="1"/>
    <col min="22" max="23" width="14.7265625" style="1072" customWidth="1"/>
    <col min="24" max="26" width="15" style="1072" customWidth="1"/>
    <col min="27" max="27" width="14.7265625" style="1072" customWidth="1"/>
    <col min="28" max="28" width="16.26953125" style="1072" customWidth="1"/>
    <col min="29" max="30" width="14.7265625" style="1072"/>
    <col min="31" max="31" width="21.7265625" style="1072" bestFit="1" customWidth="1"/>
    <col min="32" max="256" width="14.7265625" style="1072"/>
    <col min="257" max="257" width="9" style="1072" customWidth="1"/>
    <col min="258" max="258" width="39.26953125" style="1072" customWidth="1"/>
    <col min="259" max="259" width="11" style="1072" customWidth="1"/>
    <col min="260" max="260" width="20" style="1072" customWidth="1"/>
    <col min="261" max="261" width="20.1796875" style="1072" customWidth="1"/>
    <col min="262" max="262" width="14.7265625" style="1072" customWidth="1"/>
    <col min="263" max="263" width="13.7265625" style="1072" customWidth="1"/>
    <col min="264" max="264" width="14.7265625" style="1072" customWidth="1"/>
    <col min="265" max="267" width="11.1796875" style="1072" customWidth="1"/>
    <col min="268" max="270" width="14.7265625" style="1072" customWidth="1"/>
    <col min="271" max="271" width="18.7265625" style="1072" customWidth="1"/>
    <col min="272" max="274" width="14.7265625" style="1072" customWidth="1"/>
    <col min="275" max="275" width="17.81640625" style="1072" customWidth="1"/>
    <col min="276" max="276" width="18.54296875" style="1072" customWidth="1"/>
    <col min="277" max="277" width="13.7265625" style="1072" customWidth="1"/>
    <col min="278" max="279" width="14.7265625" style="1072" customWidth="1"/>
    <col min="280" max="282" width="15" style="1072" customWidth="1"/>
    <col min="283" max="283" width="14.7265625" style="1072" customWidth="1"/>
    <col min="284" max="284" width="16.26953125" style="1072" customWidth="1"/>
    <col min="285" max="286" width="14.7265625" style="1072"/>
    <col min="287" max="287" width="21.7265625" style="1072" bestFit="1" customWidth="1"/>
    <col min="288" max="512" width="14.7265625" style="1072"/>
    <col min="513" max="513" width="9" style="1072" customWidth="1"/>
    <col min="514" max="514" width="39.26953125" style="1072" customWidth="1"/>
    <col min="515" max="515" width="11" style="1072" customWidth="1"/>
    <col min="516" max="516" width="20" style="1072" customWidth="1"/>
    <col min="517" max="517" width="20.1796875" style="1072" customWidth="1"/>
    <col min="518" max="518" width="14.7265625" style="1072" customWidth="1"/>
    <col min="519" max="519" width="13.7265625" style="1072" customWidth="1"/>
    <col min="520" max="520" width="14.7265625" style="1072" customWidth="1"/>
    <col min="521" max="523" width="11.1796875" style="1072" customWidth="1"/>
    <col min="524" max="526" width="14.7265625" style="1072" customWidth="1"/>
    <col min="527" max="527" width="18.7265625" style="1072" customWidth="1"/>
    <col min="528" max="530" width="14.7265625" style="1072" customWidth="1"/>
    <col min="531" max="531" width="17.81640625" style="1072" customWidth="1"/>
    <col min="532" max="532" width="18.54296875" style="1072" customWidth="1"/>
    <col min="533" max="533" width="13.7265625" style="1072" customWidth="1"/>
    <col min="534" max="535" width="14.7265625" style="1072" customWidth="1"/>
    <col min="536" max="538" width="15" style="1072" customWidth="1"/>
    <col min="539" max="539" width="14.7265625" style="1072" customWidth="1"/>
    <col min="540" max="540" width="16.26953125" style="1072" customWidth="1"/>
    <col min="541" max="542" width="14.7265625" style="1072"/>
    <col min="543" max="543" width="21.7265625" style="1072" bestFit="1" customWidth="1"/>
    <col min="544" max="768" width="14.7265625" style="1072"/>
    <col min="769" max="769" width="9" style="1072" customWidth="1"/>
    <col min="770" max="770" width="39.26953125" style="1072" customWidth="1"/>
    <col min="771" max="771" width="11" style="1072" customWidth="1"/>
    <col min="772" max="772" width="20" style="1072" customWidth="1"/>
    <col min="773" max="773" width="20.1796875" style="1072" customWidth="1"/>
    <col min="774" max="774" width="14.7265625" style="1072" customWidth="1"/>
    <col min="775" max="775" width="13.7265625" style="1072" customWidth="1"/>
    <col min="776" max="776" width="14.7265625" style="1072" customWidth="1"/>
    <col min="777" max="779" width="11.1796875" style="1072" customWidth="1"/>
    <col min="780" max="782" width="14.7265625" style="1072" customWidth="1"/>
    <col min="783" max="783" width="18.7265625" style="1072" customWidth="1"/>
    <col min="784" max="786" width="14.7265625" style="1072" customWidth="1"/>
    <col min="787" max="787" width="17.81640625" style="1072" customWidth="1"/>
    <col min="788" max="788" width="18.54296875" style="1072" customWidth="1"/>
    <col min="789" max="789" width="13.7265625" style="1072" customWidth="1"/>
    <col min="790" max="791" width="14.7265625" style="1072" customWidth="1"/>
    <col min="792" max="794" width="15" style="1072" customWidth="1"/>
    <col min="795" max="795" width="14.7265625" style="1072" customWidth="1"/>
    <col min="796" max="796" width="16.26953125" style="1072" customWidth="1"/>
    <col min="797" max="798" width="14.7265625" style="1072"/>
    <col min="799" max="799" width="21.7265625" style="1072" bestFit="1" customWidth="1"/>
    <col min="800" max="1024" width="14.7265625" style="1072"/>
    <col min="1025" max="1025" width="9" style="1072" customWidth="1"/>
    <col min="1026" max="1026" width="39.26953125" style="1072" customWidth="1"/>
    <col min="1027" max="1027" width="11" style="1072" customWidth="1"/>
    <col min="1028" max="1028" width="20" style="1072" customWidth="1"/>
    <col min="1029" max="1029" width="20.1796875" style="1072" customWidth="1"/>
    <col min="1030" max="1030" width="14.7265625" style="1072" customWidth="1"/>
    <col min="1031" max="1031" width="13.7265625" style="1072" customWidth="1"/>
    <col min="1032" max="1032" width="14.7265625" style="1072" customWidth="1"/>
    <col min="1033" max="1035" width="11.1796875" style="1072" customWidth="1"/>
    <col min="1036" max="1038" width="14.7265625" style="1072" customWidth="1"/>
    <col min="1039" max="1039" width="18.7265625" style="1072" customWidth="1"/>
    <col min="1040" max="1042" width="14.7265625" style="1072" customWidth="1"/>
    <col min="1043" max="1043" width="17.81640625" style="1072" customWidth="1"/>
    <col min="1044" max="1044" width="18.54296875" style="1072" customWidth="1"/>
    <col min="1045" max="1045" width="13.7265625" style="1072" customWidth="1"/>
    <col min="1046" max="1047" width="14.7265625" style="1072" customWidth="1"/>
    <col min="1048" max="1050" width="15" style="1072" customWidth="1"/>
    <col min="1051" max="1051" width="14.7265625" style="1072" customWidth="1"/>
    <col min="1052" max="1052" width="16.26953125" style="1072" customWidth="1"/>
    <col min="1053" max="1054" width="14.7265625" style="1072"/>
    <col min="1055" max="1055" width="21.7265625" style="1072" bestFit="1" customWidth="1"/>
    <col min="1056" max="1280" width="14.7265625" style="1072"/>
    <col min="1281" max="1281" width="9" style="1072" customWidth="1"/>
    <col min="1282" max="1282" width="39.26953125" style="1072" customWidth="1"/>
    <col min="1283" max="1283" width="11" style="1072" customWidth="1"/>
    <col min="1284" max="1284" width="20" style="1072" customWidth="1"/>
    <col min="1285" max="1285" width="20.1796875" style="1072" customWidth="1"/>
    <col min="1286" max="1286" width="14.7265625" style="1072" customWidth="1"/>
    <col min="1287" max="1287" width="13.7265625" style="1072" customWidth="1"/>
    <col min="1288" max="1288" width="14.7265625" style="1072" customWidth="1"/>
    <col min="1289" max="1291" width="11.1796875" style="1072" customWidth="1"/>
    <col min="1292" max="1294" width="14.7265625" style="1072" customWidth="1"/>
    <col min="1295" max="1295" width="18.7265625" style="1072" customWidth="1"/>
    <col min="1296" max="1298" width="14.7265625" style="1072" customWidth="1"/>
    <col min="1299" max="1299" width="17.81640625" style="1072" customWidth="1"/>
    <col min="1300" max="1300" width="18.54296875" style="1072" customWidth="1"/>
    <col min="1301" max="1301" width="13.7265625" style="1072" customWidth="1"/>
    <col min="1302" max="1303" width="14.7265625" style="1072" customWidth="1"/>
    <col min="1304" max="1306" width="15" style="1072" customWidth="1"/>
    <col min="1307" max="1307" width="14.7265625" style="1072" customWidth="1"/>
    <col min="1308" max="1308" width="16.26953125" style="1072" customWidth="1"/>
    <col min="1309" max="1310" width="14.7265625" style="1072"/>
    <col min="1311" max="1311" width="21.7265625" style="1072" bestFit="1" customWidth="1"/>
    <col min="1312" max="1536" width="14.7265625" style="1072"/>
    <col min="1537" max="1537" width="9" style="1072" customWidth="1"/>
    <col min="1538" max="1538" width="39.26953125" style="1072" customWidth="1"/>
    <col min="1539" max="1539" width="11" style="1072" customWidth="1"/>
    <col min="1540" max="1540" width="20" style="1072" customWidth="1"/>
    <col min="1541" max="1541" width="20.1796875" style="1072" customWidth="1"/>
    <col min="1542" max="1542" width="14.7265625" style="1072" customWidth="1"/>
    <col min="1543" max="1543" width="13.7265625" style="1072" customWidth="1"/>
    <col min="1544" max="1544" width="14.7265625" style="1072" customWidth="1"/>
    <col min="1545" max="1547" width="11.1796875" style="1072" customWidth="1"/>
    <col min="1548" max="1550" width="14.7265625" style="1072" customWidth="1"/>
    <col min="1551" max="1551" width="18.7265625" style="1072" customWidth="1"/>
    <col min="1552" max="1554" width="14.7265625" style="1072" customWidth="1"/>
    <col min="1555" max="1555" width="17.81640625" style="1072" customWidth="1"/>
    <col min="1556" max="1556" width="18.54296875" style="1072" customWidth="1"/>
    <col min="1557" max="1557" width="13.7265625" style="1072" customWidth="1"/>
    <col min="1558" max="1559" width="14.7265625" style="1072" customWidth="1"/>
    <col min="1560" max="1562" width="15" style="1072" customWidth="1"/>
    <col min="1563" max="1563" width="14.7265625" style="1072" customWidth="1"/>
    <col min="1564" max="1564" width="16.26953125" style="1072" customWidth="1"/>
    <col min="1565" max="1566" width="14.7265625" style="1072"/>
    <col min="1567" max="1567" width="21.7265625" style="1072" bestFit="1" customWidth="1"/>
    <col min="1568" max="1792" width="14.7265625" style="1072"/>
    <col min="1793" max="1793" width="9" style="1072" customWidth="1"/>
    <col min="1794" max="1794" width="39.26953125" style="1072" customWidth="1"/>
    <col min="1795" max="1795" width="11" style="1072" customWidth="1"/>
    <col min="1796" max="1796" width="20" style="1072" customWidth="1"/>
    <col min="1797" max="1797" width="20.1796875" style="1072" customWidth="1"/>
    <col min="1798" max="1798" width="14.7265625" style="1072" customWidth="1"/>
    <col min="1799" max="1799" width="13.7265625" style="1072" customWidth="1"/>
    <col min="1800" max="1800" width="14.7265625" style="1072" customWidth="1"/>
    <col min="1801" max="1803" width="11.1796875" style="1072" customWidth="1"/>
    <col min="1804" max="1806" width="14.7265625" style="1072" customWidth="1"/>
    <col min="1807" max="1807" width="18.7265625" style="1072" customWidth="1"/>
    <col min="1808" max="1810" width="14.7265625" style="1072" customWidth="1"/>
    <col min="1811" max="1811" width="17.81640625" style="1072" customWidth="1"/>
    <col min="1812" max="1812" width="18.54296875" style="1072" customWidth="1"/>
    <col min="1813" max="1813" width="13.7265625" style="1072" customWidth="1"/>
    <col min="1814" max="1815" width="14.7265625" style="1072" customWidth="1"/>
    <col min="1816" max="1818" width="15" style="1072" customWidth="1"/>
    <col min="1819" max="1819" width="14.7265625" style="1072" customWidth="1"/>
    <col min="1820" max="1820" width="16.26953125" style="1072" customWidth="1"/>
    <col min="1821" max="1822" width="14.7265625" style="1072"/>
    <col min="1823" max="1823" width="21.7265625" style="1072" bestFit="1" customWidth="1"/>
    <col min="1824" max="2048" width="14.7265625" style="1072"/>
    <col min="2049" max="2049" width="9" style="1072" customWidth="1"/>
    <col min="2050" max="2050" width="39.26953125" style="1072" customWidth="1"/>
    <col min="2051" max="2051" width="11" style="1072" customWidth="1"/>
    <col min="2052" max="2052" width="20" style="1072" customWidth="1"/>
    <col min="2053" max="2053" width="20.1796875" style="1072" customWidth="1"/>
    <col min="2054" max="2054" width="14.7265625" style="1072" customWidth="1"/>
    <col min="2055" max="2055" width="13.7265625" style="1072" customWidth="1"/>
    <col min="2056" max="2056" width="14.7265625" style="1072" customWidth="1"/>
    <col min="2057" max="2059" width="11.1796875" style="1072" customWidth="1"/>
    <col min="2060" max="2062" width="14.7265625" style="1072" customWidth="1"/>
    <col min="2063" max="2063" width="18.7265625" style="1072" customWidth="1"/>
    <col min="2064" max="2066" width="14.7265625" style="1072" customWidth="1"/>
    <col min="2067" max="2067" width="17.81640625" style="1072" customWidth="1"/>
    <col min="2068" max="2068" width="18.54296875" style="1072" customWidth="1"/>
    <col min="2069" max="2069" width="13.7265625" style="1072" customWidth="1"/>
    <col min="2070" max="2071" width="14.7265625" style="1072" customWidth="1"/>
    <col min="2072" max="2074" width="15" style="1072" customWidth="1"/>
    <col min="2075" max="2075" width="14.7265625" style="1072" customWidth="1"/>
    <col min="2076" max="2076" width="16.26953125" style="1072" customWidth="1"/>
    <col min="2077" max="2078" width="14.7265625" style="1072"/>
    <col min="2079" max="2079" width="21.7265625" style="1072" bestFit="1" customWidth="1"/>
    <col min="2080" max="2304" width="14.7265625" style="1072"/>
    <col min="2305" max="2305" width="9" style="1072" customWidth="1"/>
    <col min="2306" max="2306" width="39.26953125" style="1072" customWidth="1"/>
    <col min="2307" max="2307" width="11" style="1072" customWidth="1"/>
    <col min="2308" max="2308" width="20" style="1072" customWidth="1"/>
    <col min="2309" max="2309" width="20.1796875" style="1072" customWidth="1"/>
    <col min="2310" max="2310" width="14.7265625" style="1072" customWidth="1"/>
    <col min="2311" max="2311" width="13.7265625" style="1072" customWidth="1"/>
    <col min="2312" max="2312" width="14.7265625" style="1072" customWidth="1"/>
    <col min="2313" max="2315" width="11.1796875" style="1072" customWidth="1"/>
    <col min="2316" max="2318" width="14.7265625" style="1072" customWidth="1"/>
    <col min="2319" max="2319" width="18.7265625" style="1072" customWidth="1"/>
    <col min="2320" max="2322" width="14.7265625" style="1072" customWidth="1"/>
    <col min="2323" max="2323" width="17.81640625" style="1072" customWidth="1"/>
    <col min="2324" max="2324" width="18.54296875" style="1072" customWidth="1"/>
    <col min="2325" max="2325" width="13.7265625" style="1072" customWidth="1"/>
    <col min="2326" max="2327" width="14.7265625" style="1072" customWidth="1"/>
    <col min="2328" max="2330" width="15" style="1072" customWidth="1"/>
    <col min="2331" max="2331" width="14.7265625" style="1072" customWidth="1"/>
    <col min="2332" max="2332" width="16.26953125" style="1072" customWidth="1"/>
    <col min="2333" max="2334" width="14.7265625" style="1072"/>
    <col min="2335" max="2335" width="21.7265625" style="1072" bestFit="1" customWidth="1"/>
    <col min="2336" max="2560" width="14.7265625" style="1072"/>
    <col min="2561" max="2561" width="9" style="1072" customWidth="1"/>
    <col min="2562" max="2562" width="39.26953125" style="1072" customWidth="1"/>
    <col min="2563" max="2563" width="11" style="1072" customWidth="1"/>
    <col min="2564" max="2564" width="20" style="1072" customWidth="1"/>
    <col min="2565" max="2565" width="20.1796875" style="1072" customWidth="1"/>
    <col min="2566" max="2566" width="14.7265625" style="1072" customWidth="1"/>
    <col min="2567" max="2567" width="13.7265625" style="1072" customWidth="1"/>
    <col min="2568" max="2568" width="14.7265625" style="1072" customWidth="1"/>
    <col min="2569" max="2571" width="11.1796875" style="1072" customWidth="1"/>
    <col min="2572" max="2574" width="14.7265625" style="1072" customWidth="1"/>
    <col min="2575" max="2575" width="18.7265625" style="1072" customWidth="1"/>
    <col min="2576" max="2578" width="14.7265625" style="1072" customWidth="1"/>
    <col min="2579" max="2579" width="17.81640625" style="1072" customWidth="1"/>
    <col min="2580" max="2580" width="18.54296875" style="1072" customWidth="1"/>
    <col min="2581" max="2581" width="13.7265625" style="1072" customWidth="1"/>
    <col min="2582" max="2583" width="14.7265625" style="1072" customWidth="1"/>
    <col min="2584" max="2586" width="15" style="1072" customWidth="1"/>
    <col min="2587" max="2587" width="14.7265625" style="1072" customWidth="1"/>
    <col min="2588" max="2588" width="16.26953125" style="1072" customWidth="1"/>
    <col min="2589" max="2590" width="14.7265625" style="1072"/>
    <col min="2591" max="2591" width="21.7265625" style="1072" bestFit="1" customWidth="1"/>
    <col min="2592" max="2816" width="14.7265625" style="1072"/>
    <col min="2817" max="2817" width="9" style="1072" customWidth="1"/>
    <col min="2818" max="2818" width="39.26953125" style="1072" customWidth="1"/>
    <col min="2819" max="2819" width="11" style="1072" customWidth="1"/>
    <col min="2820" max="2820" width="20" style="1072" customWidth="1"/>
    <col min="2821" max="2821" width="20.1796875" style="1072" customWidth="1"/>
    <col min="2822" max="2822" width="14.7265625" style="1072" customWidth="1"/>
    <col min="2823" max="2823" width="13.7265625" style="1072" customWidth="1"/>
    <col min="2824" max="2824" width="14.7265625" style="1072" customWidth="1"/>
    <col min="2825" max="2827" width="11.1796875" style="1072" customWidth="1"/>
    <col min="2828" max="2830" width="14.7265625" style="1072" customWidth="1"/>
    <col min="2831" max="2831" width="18.7265625" style="1072" customWidth="1"/>
    <col min="2832" max="2834" width="14.7265625" style="1072" customWidth="1"/>
    <col min="2835" max="2835" width="17.81640625" style="1072" customWidth="1"/>
    <col min="2836" max="2836" width="18.54296875" style="1072" customWidth="1"/>
    <col min="2837" max="2837" width="13.7265625" style="1072" customWidth="1"/>
    <col min="2838" max="2839" width="14.7265625" style="1072" customWidth="1"/>
    <col min="2840" max="2842" width="15" style="1072" customWidth="1"/>
    <col min="2843" max="2843" width="14.7265625" style="1072" customWidth="1"/>
    <col min="2844" max="2844" width="16.26953125" style="1072" customWidth="1"/>
    <col min="2845" max="2846" width="14.7265625" style="1072"/>
    <col min="2847" max="2847" width="21.7265625" style="1072" bestFit="1" customWidth="1"/>
    <col min="2848" max="3072" width="14.7265625" style="1072"/>
    <col min="3073" max="3073" width="9" style="1072" customWidth="1"/>
    <col min="3074" max="3074" width="39.26953125" style="1072" customWidth="1"/>
    <col min="3075" max="3075" width="11" style="1072" customWidth="1"/>
    <col min="3076" max="3076" width="20" style="1072" customWidth="1"/>
    <col min="3077" max="3077" width="20.1796875" style="1072" customWidth="1"/>
    <col min="3078" max="3078" width="14.7265625" style="1072" customWidth="1"/>
    <col min="3079" max="3079" width="13.7265625" style="1072" customWidth="1"/>
    <col min="3080" max="3080" width="14.7265625" style="1072" customWidth="1"/>
    <col min="3081" max="3083" width="11.1796875" style="1072" customWidth="1"/>
    <col min="3084" max="3086" width="14.7265625" style="1072" customWidth="1"/>
    <col min="3087" max="3087" width="18.7265625" style="1072" customWidth="1"/>
    <col min="3088" max="3090" width="14.7265625" style="1072" customWidth="1"/>
    <col min="3091" max="3091" width="17.81640625" style="1072" customWidth="1"/>
    <col min="3092" max="3092" width="18.54296875" style="1072" customWidth="1"/>
    <col min="3093" max="3093" width="13.7265625" style="1072" customWidth="1"/>
    <col min="3094" max="3095" width="14.7265625" style="1072" customWidth="1"/>
    <col min="3096" max="3098" width="15" style="1072" customWidth="1"/>
    <col min="3099" max="3099" width="14.7265625" style="1072" customWidth="1"/>
    <col min="3100" max="3100" width="16.26953125" style="1072" customWidth="1"/>
    <col min="3101" max="3102" width="14.7265625" style="1072"/>
    <col min="3103" max="3103" width="21.7265625" style="1072" bestFit="1" customWidth="1"/>
    <col min="3104" max="3328" width="14.7265625" style="1072"/>
    <col min="3329" max="3329" width="9" style="1072" customWidth="1"/>
    <col min="3330" max="3330" width="39.26953125" style="1072" customWidth="1"/>
    <col min="3331" max="3331" width="11" style="1072" customWidth="1"/>
    <col min="3332" max="3332" width="20" style="1072" customWidth="1"/>
    <col min="3333" max="3333" width="20.1796875" style="1072" customWidth="1"/>
    <col min="3334" max="3334" width="14.7265625" style="1072" customWidth="1"/>
    <col min="3335" max="3335" width="13.7265625" style="1072" customWidth="1"/>
    <col min="3336" max="3336" width="14.7265625" style="1072" customWidth="1"/>
    <col min="3337" max="3339" width="11.1796875" style="1072" customWidth="1"/>
    <col min="3340" max="3342" width="14.7265625" style="1072" customWidth="1"/>
    <col min="3343" max="3343" width="18.7265625" style="1072" customWidth="1"/>
    <col min="3344" max="3346" width="14.7265625" style="1072" customWidth="1"/>
    <col min="3347" max="3347" width="17.81640625" style="1072" customWidth="1"/>
    <col min="3348" max="3348" width="18.54296875" style="1072" customWidth="1"/>
    <col min="3349" max="3349" width="13.7265625" style="1072" customWidth="1"/>
    <col min="3350" max="3351" width="14.7265625" style="1072" customWidth="1"/>
    <col min="3352" max="3354" width="15" style="1072" customWidth="1"/>
    <col min="3355" max="3355" width="14.7265625" style="1072" customWidth="1"/>
    <col min="3356" max="3356" width="16.26953125" style="1072" customWidth="1"/>
    <col min="3357" max="3358" width="14.7265625" style="1072"/>
    <col min="3359" max="3359" width="21.7265625" style="1072" bestFit="1" customWidth="1"/>
    <col min="3360" max="3584" width="14.7265625" style="1072"/>
    <col min="3585" max="3585" width="9" style="1072" customWidth="1"/>
    <col min="3586" max="3586" width="39.26953125" style="1072" customWidth="1"/>
    <col min="3587" max="3587" width="11" style="1072" customWidth="1"/>
    <col min="3588" max="3588" width="20" style="1072" customWidth="1"/>
    <col min="3589" max="3589" width="20.1796875" style="1072" customWidth="1"/>
    <col min="3590" max="3590" width="14.7265625" style="1072" customWidth="1"/>
    <col min="3591" max="3591" width="13.7265625" style="1072" customWidth="1"/>
    <col min="3592" max="3592" width="14.7265625" style="1072" customWidth="1"/>
    <col min="3593" max="3595" width="11.1796875" style="1072" customWidth="1"/>
    <col min="3596" max="3598" width="14.7265625" style="1072" customWidth="1"/>
    <col min="3599" max="3599" width="18.7265625" style="1072" customWidth="1"/>
    <col min="3600" max="3602" width="14.7265625" style="1072" customWidth="1"/>
    <col min="3603" max="3603" width="17.81640625" style="1072" customWidth="1"/>
    <col min="3604" max="3604" width="18.54296875" style="1072" customWidth="1"/>
    <col min="3605" max="3605" width="13.7265625" style="1072" customWidth="1"/>
    <col min="3606" max="3607" width="14.7265625" style="1072" customWidth="1"/>
    <col min="3608" max="3610" width="15" style="1072" customWidth="1"/>
    <col min="3611" max="3611" width="14.7265625" style="1072" customWidth="1"/>
    <col min="3612" max="3612" width="16.26953125" style="1072" customWidth="1"/>
    <col min="3613" max="3614" width="14.7265625" style="1072"/>
    <col min="3615" max="3615" width="21.7265625" style="1072" bestFit="1" customWidth="1"/>
    <col min="3616" max="3840" width="14.7265625" style="1072"/>
    <col min="3841" max="3841" width="9" style="1072" customWidth="1"/>
    <col min="3842" max="3842" width="39.26953125" style="1072" customWidth="1"/>
    <col min="3843" max="3843" width="11" style="1072" customWidth="1"/>
    <col min="3844" max="3844" width="20" style="1072" customWidth="1"/>
    <col min="3845" max="3845" width="20.1796875" style="1072" customWidth="1"/>
    <col min="3846" max="3846" width="14.7265625" style="1072" customWidth="1"/>
    <col min="3847" max="3847" width="13.7265625" style="1072" customWidth="1"/>
    <col min="3848" max="3848" width="14.7265625" style="1072" customWidth="1"/>
    <col min="3849" max="3851" width="11.1796875" style="1072" customWidth="1"/>
    <col min="3852" max="3854" width="14.7265625" style="1072" customWidth="1"/>
    <col min="3855" max="3855" width="18.7265625" style="1072" customWidth="1"/>
    <col min="3856" max="3858" width="14.7265625" style="1072" customWidth="1"/>
    <col min="3859" max="3859" width="17.81640625" style="1072" customWidth="1"/>
    <col min="3860" max="3860" width="18.54296875" style="1072" customWidth="1"/>
    <col min="3861" max="3861" width="13.7265625" style="1072" customWidth="1"/>
    <col min="3862" max="3863" width="14.7265625" style="1072" customWidth="1"/>
    <col min="3864" max="3866" width="15" style="1072" customWidth="1"/>
    <col min="3867" max="3867" width="14.7265625" style="1072" customWidth="1"/>
    <col min="3868" max="3868" width="16.26953125" style="1072" customWidth="1"/>
    <col min="3869" max="3870" width="14.7265625" style="1072"/>
    <col min="3871" max="3871" width="21.7265625" style="1072" bestFit="1" customWidth="1"/>
    <col min="3872" max="4096" width="14.7265625" style="1072"/>
    <col min="4097" max="4097" width="9" style="1072" customWidth="1"/>
    <col min="4098" max="4098" width="39.26953125" style="1072" customWidth="1"/>
    <col min="4099" max="4099" width="11" style="1072" customWidth="1"/>
    <col min="4100" max="4100" width="20" style="1072" customWidth="1"/>
    <col min="4101" max="4101" width="20.1796875" style="1072" customWidth="1"/>
    <col min="4102" max="4102" width="14.7265625" style="1072" customWidth="1"/>
    <col min="4103" max="4103" width="13.7265625" style="1072" customWidth="1"/>
    <col min="4104" max="4104" width="14.7265625" style="1072" customWidth="1"/>
    <col min="4105" max="4107" width="11.1796875" style="1072" customWidth="1"/>
    <col min="4108" max="4110" width="14.7265625" style="1072" customWidth="1"/>
    <col min="4111" max="4111" width="18.7265625" style="1072" customWidth="1"/>
    <col min="4112" max="4114" width="14.7265625" style="1072" customWidth="1"/>
    <col min="4115" max="4115" width="17.81640625" style="1072" customWidth="1"/>
    <col min="4116" max="4116" width="18.54296875" style="1072" customWidth="1"/>
    <col min="4117" max="4117" width="13.7265625" style="1072" customWidth="1"/>
    <col min="4118" max="4119" width="14.7265625" style="1072" customWidth="1"/>
    <col min="4120" max="4122" width="15" style="1072" customWidth="1"/>
    <col min="4123" max="4123" width="14.7265625" style="1072" customWidth="1"/>
    <col min="4124" max="4124" width="16.26953125" style="1072" customWidth="1"/>
    <col min="4125" max="4126" width="14.7265625" style="1072"/>
    <col min="4127" max="4127" width="21.7265625" style="1072" bestFit="1" customWidth="1"/>
    <col min="4128" max="4352" width="14.7265625" style="1072"/>
    <col min="4353" max="4353" width="9" style="1072" customWidth="1"/>
    <col min="4354" max="4354" width="39.26953125" style="1072" customWidth="1"/>
    <col min="4355" max="4355" width="11" style="1072" customWidth="1"/>
    <col min="4356" max="4356" width="20" style="1072" customWidth="1"/>
    <col min="4357" max="4357" width="20.1796875" style="1072" customWidth="1"/>
    <col min="4358" max="4358" width="14.7265625" style="1072" customWidth="1"/>
    <col min="4359" max="4359" width="13.7265625" style="1072" customWidth="1"/>
    <col min="4360" max="4360" width="14.7265625" style="1072" customWidth="1"/>
    <col min="4361" max="4363" width="11.1796875" style="1072" customWidth="1"/>
    <col min="4364" max="4366" width="14.7265625" style="1072" customWidth="1"/>
    <col min="4367" max="4367" width="18.7265625" style="1072" customWidth="1"/>
    <col min="4368" max="4370" width="14.7265625" style="1072" customWidth="1"/>
    <col min="4371" max="4371" width="17.81640625" style="1072" customWidth="1"/>
    <col min="4372" max="4372" width="18.54296875" style="1072" customWidth="1"/>
    <col min="4373" max="4373" width="13.7265625" style="1072" customWidth="1"/>
    <col min="4374" max="4375" width="14.7265625" style="1072" customWidth="1"/>
    <col min="4376" max="4378" width="15" style="1072" customWidth="1"/>
    <col min="4379" max="4379" width="14.7265625" style="1072" customWidth="1"/>
    <col min="4380" max="4380" width="16.26953125" style="1072" customWidth="1"/>
    <col min="4381" max="4382" width="14.7265625" style="1072"/>
    <col min="4383" max="4383" width="21.7265625" style="1072" bestFit="1" customWidth="1"/>
    <col min="4384" max="4608" width="14.7265625" style="1072"/>
    <col min="4609" max="4609" width="9" style="1072" customWidth="1"/>
    <col min="4610" max="4610" width="39.26953125" style="1072" customWidth="1"/>
    <col min="4611" max="4611" width="11" style="1072" customWidth="1"/>
    <col min="4612" max="4612" width="20" style="1072" customWidth="1"/>
    <col min="4613" max="4613" width="20.1796875" style="1072" customWidth="1"/>
    <col min="4614" max="4614" width="14.7265625" style="1072" customWidth="1"/>
    <col min="4615" max="4615" width="13.7265625" style="1072" customWidth="1"/>
    <col min="4616" max="4616" width="14.7265625" style="1072" customWidth="1"/>
    <col min="4617" max="4619" width="11.1796875" style="1072" customWidth="1"/>
    <col min="4620" max="4622" width="14.7265625" style="1072" customWidth="1"/>
    <col min="4623" max="4623" width="18.7265625" style="1072" customWidth="1"/>
    <col min="4624" max="4626" width="14.7265625" style="1072" customWidth="1"/>
    <col min="4627" max="4627" width="17.81640625" style="1072" customWidth="1"/>
    <col min="4628" max="4628" width="18.54296875" style="1072" customWidth="1"/>
    <col min="4629" max="4629" width="13.7265625" style="1072" customWidth="1"/>
    <col min="4630" max="4631" width="14.7265625" style="1072" customWidth="1"/>
    <col min="4632" max="4634" width="15" style="1072" customWidth="1"/>
    <col min="4635" max="4635" width="14.7265625" style="1072" customWidth="1"/>
    <col min="4636" max="4636" width="16.26953125" style="1072" customWidth="1"/>
    <col min="4637" max="4638" width="14.7265625" style="1072"/>
    <col min="4639" max="4639" width="21.7265625" style="1072" bestFit="1" customWidth="1"/>
    <col min="4640" max="4864" width="14.7265625" style="1072"/>
    <col min="4865" max="4865" width="9" style="1072" customWidth="1"/>
    <col min="4866" max="4866" width="39.26953125" style="1072" customWidth="1"/>
    <col min="4867" max="4867" width="11" style="1072" customWidth="1"/>
    <col min="4868" max="4868" width="20" style="1072" customWidth="1"/>
    <col min="4869" max="4869" width="20.1796875" style="1072" customWidth="1"/>
    <col min="4870" max="4870" width="14.7265625" style="1072" customWidth="1"/>
    <col min="4871" max="4871" width="13.7265625" style="1072" customWidth="1"/>
    <col min="4872" max="4872" width="14.7265625" style="1072" customWidth="1"/>
    <col min="4873" max="4875" width="11.1796875" style="1072" customWidth="1"/>
    <col min="4876" max="4878" width="14.7265625" style="1072" customWidth="1"/>
    <col min="4879" max="4879" width="18.7265625" style="1072" customWidth="1"/>
    <col min="4880" max="4882" width="14.7265625" style="1072" customWidth="1"/>
    <col min="4883" max="4883" width="17.81640625" style="1072" customWidth="1"/>
    <col min="4884" max="4884" width="18.54296875" style="1072" customWidth="1"/>
    <col min="4885" max="4885" width="13.7265625" style="1072" customWidth="1"/>
    <col min="4886" max="4887" width="14.7265625" style="1072" customWidth="1"/>
    <col min="4888" max="4890" width="15" style="1072" customWidth="1"/>
    <col min="4891" max="4891" width="14.7265625" style="1072" customWidth="1"/>
    <col min="4892" max="4892" width="16.26953125" style="1072" customWidth="1"/>
    <col min="4893" max="4894" width="14.7265625" style="1072"/>
    <col min="4895" max="4895" width="21.7265625" style="1072" bestFit="1" customWidth="1"/>
    <col min="4896" max="5120" width="14.7265625" style="1072"/>
    <col min="5121" max="5121" width="9" style="1072" customWidth="1"/>
    <col min="5122" max="5122" width="39.26953125" style="1072" customWidth="1"/>
    <col min="5123" max="5123" width="11" style="1072" customWidth="1"/>
    <col min="5124" max="5124" width="20" style="1072" customWidth="1"/>
    <col min="5125" max="5125" width="20.1796875" style="1072" customWidth="1"/>
    <col min="5126" max="5126" width="14.7265625" style="1072" customWidth="1"/>
    <col min="5127" max="5127" width="13.7265625" style="1072" customWidth="1"/>
    <col min="5128" max="5128" width="14.7265625" style="1072" customWidth="1"/>
    <col min="5129" max="5131" width="11.1796875" style="1072" customWidth="1"/>
    <col min="5132" max="5134" width="14.7265625" style="1072" customWidth="1"/>
    <col min="5135" max="5135" width="18.7265625" style="1072" customWidth="1"/>
    <col min="5136" max="5138" width="14.7265625" style="1072" customWidth="1"/>
    <col min="5139" max="5139" width="17.81640625" style="1072" customWidth="1"/>
    <col min="5140" max="5140" width="18.54296875" style="1072" customWidth="1"/>
    <col min="5141" max="5141" width="13.7265625" style="1072" customWidth="1"/>
    <col min="5142" max="5143" width="14.7265625" style="1072" customWidth="1"/>
    <col min="5144" max="5146" width="15" style="1072" customWidth="1"/>
    <col min="5147" max="5147" width="14.7265625" style="1072" customWidth="1"/>
    <col min="5148" max="5148" width="16.26953125" style="1072" customWidth="1"/>
    <col min="5149" max="5150" width="14.7265625" style="1072"/>
    <col min="5151" max="5151" width="21.7265625" style="1072" bestFit="1" customWidth="1"/>
    <col min="5152" max="5376" width="14.7265625" style="1072"/>
    <col min="5377" max="5377" width="9" style="1072" customWidth="1"/>
    <col min="5378" max="5378" width="39.26953125" style="1072" customWidth="1"/>
    <col min="5379" max="5379" width="11" style="1072" customWidth="1"/>
    <col min="5380" max="5380" width="20" style="1072" customWidth="1"/>
    <col min="5381" max="5381" width="20.1796875" style="1072" customWidth="1"/>
    <col min="5382" max="5382" width="14.7265625" style="1072" customWidth="1"/>
    <col min="5383" max="5383" width="13.7265625" style="1072" customWidth="1"/>
    <col min="5384" max="5384" width="14.7265625" style="1072" customWidth="1"/>
    <col min="5385" max="5387" width="11.1796875" style="1072" customWidth="1"/>
    <col min="5388" max="5390" width="14.7265625" style="1072" customWidth="1"/>
    <col min="5391" max="5391" width="18.7265625" style="1072" customWidth="1"/>
    <col min="5392" max="5394" width="14.7265625" style="1072" customWidth="1"/>
    <col min="5395" max="5395" width="17.81640625" style="1072" customWidth="1"/>
    <col min="5396" max="5396" width="18.54296875" style="1072" customWidth="1"/>
    <col min="5397" max="5397" width="13.7265625" style="1072" customWidth="1"/>
    <col min="5398" max="5399" width="14.7265625" style="1072" customWidth="1"/>
    <col min="5400" max="5402" width="15" style="1072" customWidth="1"/>
    <col min="5403" max="5403" width="14.7265625" style="1072" customWidth="1"/>
    <col min="5404" max="5404" width="16.26953125" style="1072" customWidth="1"/>
    <col min="5405" max="5406" width="14.7265625" style="1072"/>
    <col min="5407" max="5407" width="21.7265625" style="1072" bestFit="1" customWidth="1"/>
    <col min="5408" max="5632" width="14.7265625" style="1072"/>
    <col min="5633" max="5633" width="9" style="1072" customWidth="1"/>
    <col min="5634" max="5634" width="39.26953125" style="1072" customWidth="1"/>
    <col min="5635" max="5635" width="11" style="1072" customWidth="1"/>
    <col min="5636" max="5636" width="20" style="1072" customWidth="1"/>
    <col min="5637" max="5637" width="20.1796875" style="1072" customWidth="1"/>
    <col min="5638" max="5638" width="14.7265625" style="1072" customWidth="1"/>
    <col min="5639" max="5639" width="13.7265625" style="1072" customWidth="1"/>
    <col min="5640" max="5640" width="14.7265625" style="1072" customWidth="1"/>
    <col min="5641" max="5643" width="11.1796875" style="1072" customWidth="1"/>
    <col min="5644" max="5646" width="14.7265625" style="1072" customWidth="1"/>
    <col min="5647" max="5647" width="18.7265625" style="1072" customWidth="1"/>
    <col min="5648" max="5650" width="14.7265625" style="1072" customWidth="1"/>
    <col min="5651" max="5651" width="17.81640625" style="1072" customWidth="1"/>
    <col min="5652" max="5652" width="18.54296875" style="1072" customWidth="1"/>
    <col min="5653" max="5653" width="13.7265625" style="1072" customWidth="1"/>
    <col min="5654" max="5655" width="14.7265625" style="1072" customWidth="1"/>
    <col min="5656" max="5658" width="15" style="1072" customWidth="1"/>
    <col min="5659" max="5659" width="14.7265625" style="1072" customWidth="1"/>
    <col min="5660" max="5660" width="16.26953125" style="1072" customWidth="1"/>
    <col min="5661" max="5662" width="14.7265625" style="1072"/>
    <col min="5663" max="5663" width="21.7265625" style="1072" bestFit="1" customWidth="1"/>
    <col min="5664" max="5888" width="14.7265625" style="1072"/>
    <col min="5889" max="5889" width="9" style="1072" customWidth="1"/>
    <col min="5890" max="5890" width="39.26953125" style="1072" customWidth="1"/>
    <col min="5891" max="5891" width="11" style="1072" customWidth="1"/>
    <col min="5892" max="5892" width="20" style="1072" customWidth="1"/>
    <col min="5893" max="5893" width="20.1796875" style="1072" customWidth="1"/>
    <col min="5894" max="5894" width="14.7265625" style="1072" customWidth="1"/>
    <col min="5895" max="5895" width="13.7265625" style="1072" customWidth="1"/>
    <col min="5896" max="5896" width="14.7265625" style="1072" customWidth="1"/>
    <col min="5897" max="5899" width="11.1796875" style="1072" customWidth="1"/>
    <col min="5900" max="5902" width="14.7265625" style="1072" customWidth="1"/>
    <col min="5903" max="5903" width="18.7265625" style="1072" customWidth="1"/>
    <col min="5904" max="5906" width="14.7265625" style="1072" customWidth="1"/>
    <col min="5907" max="5907" width="17.81640625" style="1072" customWidth="1"/>
    <col min="5908" max="5908" width="18.54296875" style="1072" customWidth="1"/>
    <col min="5909" max="5909" width="13.7265625" style="1072" customWidth="1"/>
    <col min="5910" max="5911" width="14.7265625" style="1072" customWidth="1"/>
    <col min="5912" max="5914" width="15" style="1072" customWidth="1"/>
    <col min="5915" max="5915" width="14.7265625" style="1072" customWidth="1"/>
    <col min="5916" max="5916" width="16.26953125" style="1072" customWidth="1"/>
    <col min="5917" max="5918" width="14.7265625" style="1072"/>
    <col min="5919" max="5919" width="21.7265625" style="1072" bestFit="1" customWidth="1"/>
    <col min="5920" max="6144" width="14.7265625" style="1072"/>
    <col min="6145" max="6145" width="9" style="1072" customWidth="1"/>
    <col min="6146" max="6146" width="39.26953125" style="1072" customWidth="1"/>
    <col min="6147" max="6147" width="11" style="1072" customWidth="1"/>
    <col min="6148" max="6148" width="20" style="1072" customWidth="1"/>
    <col min="6149" max="6149" width="20.1796875" style="1072" customWidth="1"/>
    <col min="6150" max="6150" width="14.7265625" style="1072" customWidth="1"/>
    <col min="6151" max="6151" width="13.7265625" style="1072" customWidth="1"/>
    <col min="6152" max="6152" width="14.7265625" style="1072" customWidth="1"/>
    <col min="6153" max="6155" width="11.1796875" style="1072" customWidth="1"/>
    <col min="6156" max="6158" width="14.7265625" style="1072" customWidth="1"/>
    <col min="6159" max="6159" width="18.7265625" style="1072" customWidth="1"/>
    <col min="6160" max="6162" width="14.7265625" style="1072" customWidth="1"/>
    <col min="6163" max="6163" width="17.81640625" style="1072" customWidth="1"/>
    <col min="6164" max="6164" width="18.54296875" style="1072" customWidth="1"/>
    <col min="6165" max="6165" width="13.7265625" style="1072" customWidth="1"/>
    <col min="6166" max="6167" width="14.7265625" style="1072" customWidth="1"/>
    <col min="6168" max="6170" width="15" style="1072" customWidth="1"/>
    <col min="6171" max="6171" width="14.7265625" style="1072" customWidth="1"/>
    <col min="6172" max="6172" width="16.26953125" style="1072" customWidth="1"/>
    <col min="6173" max="6174" width="14.7265625" style="1072"/>
    <col min="6175" max="6175" width="21.7265625" style="1072" bestFit="1" customWidth="1"/>
    <col min="6176" max="6400" width="14.7265625" style="1072"/>
    <col min="6401" max="6401" width="9" style="1072" customWidth="1"/>
    <col min="6402" max="6402" width="39.26953125" style="1072" customWidth="1"/>
    <col min="6403" max="6403" width="11" style="1072" customWidth="1"/>
    <col min="6404" max="6404" width="20" style="1072" customWidth="1"/>
    <col min="6405" max="6405" width="20.1796875" style="1072" customWidth="1"/>
    <col min="6406" max="6406" width="14.7265625" style="1072" customWidth="1"/>
    <col min="6407" max="6407" width="13.7265625" style="1072" customWidth="1"/>
    <col min="6408" max="6408" width="14.7265625" style="1072" customWidth="1"/>
    <col min="6409" max="6411" width="11.1796875" style="1072" customWidth="1"/>
    <col min="6412" max="6414" width="14.7265625" style="1072" customWidth="1"/>
    <col min="6415" max="6415" width="18.7265625" style="1072" customWidth="1"/>
    <col min="6416" max="6418" width="14.7265625" style="1072" customWidth="1"/>
    <col min="6419" max="6419" width="17.81640625" style="1072" customWidth="1"/>
    <col min="6420" max="6420" width="18.54296875" style="1072" customWidth="1"/>
    <col min="6421" max="6421" width="13.7265625" style="1072" customWidth="1"/>
    <col min="6422" max="6423" width="14.7265625" style="1072" customWidth="1"/>
    <col min="6424" max="6426" width="15" style="1072" customWidth="1"/>
    <col min="6427" max="6427" width="14.7265625" style="1072" customWidth="1"/>
    <col min="6428" max="6428" width="16.26953125" style="1072" customWidth="1"/>
    <col min="6429" max="6430" width="14.7265625" style="1072"/>
    <col min="6431" max="6431" width="21.7265625" style="1072" bestFit="1" customWidth="1"/>
    <col min="6432" max="6656" width="14.7265625" style="1072"/>
    <col min="6657" max="6657" width="9" style="1072" customWidth="1"/>
    <col min="6658" max="6658" width="39.26953125" style="1072" customWidth="1"/>
    <col min="6659" max="6659" width="11" style="1072" customWidth="1"/>
    <col min="6660" max="6660" width="20" style="1072" customWidth="1"/>
    <col min="6661" max="6661" width="20.1796875" style="1072" customWidth="1"/>
    <col min="6662" max="6662" width="14.7265625" style="1072" customWidth="1"/>
    <col min="6663" max="6663" width="13.7265625" style="1072" customWidth="1"/>
    <col min="6664" max="6664" width="14.7265625" style="1072" customWidth="1"/>
    <col min="6665" max="6667" width="11.1796875" style="1072" customWidth="1"/>
    <col min="6668" max="6670" width="14.7265625" style="1072" customWidth="1"/>
    <col min="6671" max="6671" width="18.7265625" style="1072" customWidth="1"/>
    <col min="6672" max="6674" width="14.7265625" style="1072" customWidth="1"/>
    <col min="6675" max="6675" width="17.81640625" style="1072" customWidth="1"/>
    <col min="6676" max="6676" width="18.54296875" style="1072" customWidth="1"/>
    <col min="6677" max="6677" width="13.7265625" style="1072" customWidth="1"/>
    <col min="6678" max="6679" width="14.7265625" style="1072" customWidth="1"/>
    <col min="6680" max="6682" width="15" style="1072" customWidth="1"/>
    <col min="6683" max="6683" width="14.7265625" style="1072" customWidth="1"/>
    <col min="6684" max="6684" width="16.26953125" style="1072" customWidth="1"/>
    <col min="6685" max="6686" width="14.7265625" style="1072"/>
    <col min="6687" max="6687" width="21.7265625" style="1072" bestFit="1" customWidth="1"/>
    <col min="6688" max="6912" width="14.7265625" style="1072"/>
    <col min="6913" max="6913" width="9" style="1072" customWidth="1"/>
    <col min="6914" max="6914" width="39.26953125" style="1072" customWidth="1"/>
    <col min="6915" max="6915" width="11" style="1072" customWidth="1"/>
    <col min="6916" max="6916" width="20" style="1072" customWidth="1"/>
    <col min="6917" max="6917" width="20.1796875" style="1072" customWidth="1"/>
    <col min="6918" max="6918" width="14.7265625" style="1072" customWidth="1"/>
    <col min="6919" max="6919" width="13.7265625" style="1072" customWidth="1"/>
    <col min="6920" max="6920" width="14.7265625" style="1072" customWidth="1"/>
    <col min="6921" max="6923" width="11.1796875" style="1072" customWidth="1"/>
    <col min="6924" max="6926" width="14.7265625" style="1072" customWidth="1"/>
    <col min="6927" max="6927" width="18.7265625" style="1072" customWidth="1"/>
    <col min="6928" max="6930" width="14.7265625" style="1072" customWidth="1"/>
    <col min="6931" max="6931" width="17.81640625" style="1072" customWidth="1"/>
    <col min="6932" max="6932" width="18.54296875" style="1072" customWidth="1"/>
    <col min="6933" max="6933" width="13.7265625" style="1072" customWidth="1"/>
    <col min="6934" max="6935" width="14.7265625" style="1072" customWidth="1"/>
    <col min="6936" max="6938" width="15" style="1072" customWidth="1"/>
    <col min="6939" max="6939" width="14.7265625" style="1072" customWidth="1"/>
    <col min="6940" max="6940" width="16.26953125" style="1072" customWidth="1"/>
    <col min="6941" max="6942" width="14.7265625" style="1072"/>
    <col min="6943" max="6943" width="21.7265625" style="1072" bestFit="1" customWidth="1"/>
    <col min="6944" max="7168" width="14.7265625" style="1072"/>
    <col min="7169" max="7169" width="9" style="1072" customWidth="1"/>
    <col min="7170" max="7170" width="39.26953125" style="1072" customWidth="1"/>
    <col min="7171" max="7171" width="11" style="1072" customWidth="1"/>
    <col min="7172" max="7172" width="20" style="1072" customWidth="1"/>
    <col min="7173" max="7173" width="20.1796875" style="1072" customWidth="1"/>
    <col min="7174" max="7174" width="14.7265625" style="1072" customWidth="1"/>
    <col min="7175" max="7175" width="13.7265625" style="1072" customWidth="1"/>
    <col min="7176" max="7176" width="14.7265625" style="1072" customWidth="1"/>
    <col min="7177" max="7179" width="11.1796875" style="1072" customWidth="1"/>
    <col min="7180" max="7182" width="14.7265625" style="1072" customWidth="1"/>
    <col min="7183" max="7183" width="18.7265625" style="1072" customWidth="1"/>
    <col min="7184" max="7186" width="14.7265625" style="1072" customWidth="1"/>
    <col min="7187" max="7187" width="17.81640625" style="1072" customWidth="1"/>
    <col min="7188" max="7188" width="18.54296875" style="1072" customWidth="1"/>
    <col min="7189" max="7189" width="13.7265625" style="1072" customWidth="1"/>
    <col min="7190" max="7191" width="14.7265625" style="1072" customWidth="1"/>
    <col min="7192" max="7194" width="15" style="1072" customWidth="1"/>
    <col min="7195" max="7195" width="14.7265625" style="1072" customWidth="1"/>
    <col min="7196" max="7196" width="16.26953125" style="1072" customWidth="1"/>
    <col min="7197" max="7198" width="14.7265625" style="1072"/>
    <col min="7199" max="7199" width="21.7265625" style="1072" bestFit="1" customWidth="1"/>
    <col min="7200" max="7424" width="14.7265625" style="1072"/>
    <col min="7425" max="7425" width="9" style="1072" customWidth="1"/>
    <col min="7426" max="7426" width="39.26953125" style="1072" customWidth="1"/>
    <col min="7427" max="7427" width="11" style="1072" customWidth="1"/>
    <col min="7428" max="7428" width="20" style="1072" customWidth="1"/>
    <col min="7429" max="7429" width="20.1796875" style="1072" customWidth="1"/>
    <col min="7430" max="7430" width="14.7265625" style="1072" customWidth="1"/>
    <col min="7431" max="7431" width="13.7265625" style="1072" customWidth="1"/>
    <col min="7432" max="7432" width="14.7265625" style="1072" customWidth="1"/>
    <col min="7433" max="7435" width="11.1796875" style="1072" customWidth="1"/>
    <col min="7436" max="7438" width="14.7265625" style="1072" customWidth="1"/>
    <col min="7439" max="7439" width="18.7265625" style="1072" customWidth="1"/>
    <col min="7440" max="7442" width="14.7265625" style="1072" customWidth="1"/>
    <col min="7443" max="7443" width="17.81640625" style="1072" customWidth="1"/>
    <col min="7444" max="7444" width="18.54296875" style="1072" customWidth="1"/>
    <col min="7445" max="7445" width="13.7265625" style="1072" customWidth="1"/>
    <col min="7446" max="7447" width="14.7265625" style="1072" customWidth="1"/>
    <col min="7448" max="7450" width="15" style="1072" customWidth="1"/>
    <col min="7451" max="7451" width="14.7265625" style="1072" customWidth="1"/>
    <col min="7452" max="7452" width="16.26953125" style="1072" customWidth="1"/>
    <col min="7453" max="7454" width="14.7265625" style="1072"/>
    <col min="7455" max="7455" width="21.7265625" style="1072" bestFit="1" customWidth="1"/>
    <col min="7456" max="7680" width="14.7265625" style="1072"/>
    <col min="7681" max="7681" width="9" style="1072" customWidth="1"/>
    <col min="7682" max="7682" width="39.26953125" style="1072" customWidth="1"/>
    <col min="7683" max="7683" width="11" style="1072" customWidth="1"/>
    <col min="7684" max="7684" width="20" style="1072" customWidth="1"/>
    <col min="7685" max="7685" width="20.1796875" style="1072" customWidth="1"/>
    <col min="7686" max="7686" width="14.7265625" style="1072" customWidth="1"/>
    <col min="7687" max="7687" width="13.7265625" style="1072" customWidth="1"/>
    <col min="7688" max="7688" width="14.7265625" style="1072" customWidth="1"/>
    <col min="7689" max="7691" width="11.1796875" style="1072" customWidth="1"/>
    <col min="7692" max="7694" width="14.7265625" style="1072" customWidth="1"/>
    <col min="7695" max="7695" width="18.7265625" style="1072" customWidth="1"/>
    <col min="7696" max="7698" width="14.7265625" style="1072" customWidth="1"/>
    <col min="7699" max="7699" width="17.81640625" style="1072" customWidth="1"/>
    <col min="7700" max="7700" width="18.54296875" style="1072" customWidth="1"/>
    <col min="7701" max="7701" width="13.7265625" style="1072" customWidth="1"/>
    <col min="7702" max="7703" width="14.7265625" style="1072" customWidth="1"/>
    <col min="7704" max="7706" width="15" style="1072" customWidth="1"/>
    <col min="7707" max="7707" width="14.7265625" style="1072" customWidth="1"/>
    <col min="7708" max="7708" width="16.26953125" style="1072" customWidth="1"/>
    <col min="7709" max="7710" width="14.7265625" style="1072"/>
    <col min="7711" max="7711" width="21.7265625" style="1072" bestFit="1" customWidth="1"/>
    <col min="7712" max="7936" width="14.7265625" style="1072"/>
    <col min="7937" max="7937" width="9" style="1072" customWidth="1"/>
    <col min="7938" max="7938" width="39.26953125" style="1072" customWidth="1"/>
    <col min="7939" max="7939" width="11" style="1072" customWidth="1"/>
    <col min="7940" max="7940" width="20" style="1072" customWidth="1"/>
    <col min="7941" max="7941" width="20.1796875" style="1072" customWidth="1"/>
    <col min="7942" max="7942" width="14.7265625" style="1072" customWidth="1"/>
    <col min="7943" max="7943" width="13.7265625" style="1072" customWidth="1"/>
    <col min="7944" max="7944" width="14.7265625" style="1072" customWidth="1"/>
    <col min="7945" max="7947" width="11.1796875" style="1072" customWidth="1"/>
    <col min="7948" max="7950" width="14.7265625" style="1072" customWidth="1"/>
    <col min="7951" max="7951" width="18.7265625" style="1072" customWidth="1"/>
    <col min="7952" max="7954" width="14.7265625" style="1072" customWidth="1"/>
    <col min="7955" max="7955" width="17.81640625" style="1072" customWidth="1"/>
    <col min="7956" max="7956" width="18.54296875" style="1072" customWidth="1"/>
    <col min="7957" max="7957" width="13.7265625" style="1072" customWidth="1"/>
    <col min="7958" max="7959" width="14.7265625" style="1072" customWidth="1"/>
    <col min="7960" max="7962" width="15" style="1072" customWidth="1"/>
    <col min="7963" max="7963" width="14.7265625" style="1072" customWidth="1"/>
    <col min="7964" max="7964" width="16.26953125" style="1072" customWidth="1"/>
    <col min="7965" max="7966" width="14.7265625" style="1072"/>
    <col min="7967" max="7967" width="21.7265625" style="1072" bestFit="1" customWidth="1"/>
    <col min="7968" max="8192" width="14.7265625" style="1072"/>
    <col min="8193" max="8193" width="9" style="1072" customWidth="1"/>
    <col min="8194" max="8194" width="39.26953125" style="1072" customWidth="1"/>
    <col min="8195" max="8195" width="11" style="1072" customWidth="1"/>
    <col min="8196" max="8196" width="20" style="1072" customWidth="1"/>
    <col min="8197" max="8197" width="20.1796875" style="1072" customWidth="1"/>
    <col min="8198" max="8198" width="14.7265625" style="1072" customWidth="1"/>
    <col min="8199" max="8199" width="13.7265625" style="1072" customWidth="1"/>
    <col min="8200" max="8200" width="14.7265625" style="1072" customWidth="1"/>
    <col min="8201" max="8203" width="11.1796875" style="1072" customWidth="1"/>
    <col min="8204" max="8206" width="14.7265625" style="1072" customWidth="1"/>
    <col min="8207" max="8207" width="18.7265625" style="1072" customWidth="1"/>
    <col min="8208" max="8210" width="14.7265625" style="1072" customWidth="1"/>
    <col min="8211" max="8211" width="17.81640625" style="1072" customWidth="1"/>
    <col min="8212" max="8212" width="18.54296875" style="1072" customWidth="1"/>
    <col min="8213" max="8213" width="13.7265625" style="1072" customWidth="1"/>
    <col min="8214" max="8215" width="14.7265625" style="1072" customWidth="1"/>
    <col min="8216" max="8218" width="15" style="1072" customWidth="1"/>
    <col min="8219" max="8219" width="14.7265625" style="1072" customWidth="1"/>
    <col min="8220" max="8220" width="16.26953125" style="1072" customWidth="1"/>
    <col min="8221" max="8222" width="14.7265625" style="1072"/>
    <col min="8223" max="8223" width="21.7265625" style="1072" bestFit="1" customWidth="1"/>
    <col min="8224" max="8448" width="14.7265625" style="1072"/>
    <col min="8449" max="8449" width="9" style="1072" customWidth="1"/>
    <col min="8450" max="8450" width="39.26953125" style="1072" customWidth="1"/>
    <col min="8451" max="8451" width="11" style="1072" customWidth="1"/>
    <col min="8452" max="8452" width="20" style="1072" customWidth="1"/>
    <col min="8453" max="8453" width="20.1796875" style="1072" customWidth="1"/>
    <col min="8454" max="8454" width="14.7265625" style="1072" customWidth="1"/>
    <col min="8455" max="8455" width="13.7265625" style="1072" customWidth="1"/>
    <col min="8456" max="8456" width="14.7265625" style="1072" customWidth="1"/>
    <col min="8457" max="8459" width="11.1796875" style="1072" customWidth="1"/>
    <col min="8460" max="8462" width="14.7265625" style="1072" customWidth="1"/>
    <col min="8463" max="8463" width="18.7265625" style="1072" customWidth="1"/>
    <col min="8464" max="8466" width="14.7265625" style="1072" customWidth="1"/>
    <col min="8467" max="8467" width="17.81640625" style="1072" customWidth="1"/>
    <col min="8468" max="8468" width="18.54296875" style="1072" customWidth="1"/>
    <col min="8469" max="8469" width="13.7265625" style="1072" customWidth="1"/>
    <col min="8470" max="8471" width="14.7265625" style="1072" customWidth="1"/>
    <col min="8472" max="8474" width="15" style="1072" customWidth="1"/>
    <col min="8475" max="8475" width="14.7265625" style="1072" customWidth="1"/>
    <col min="8476" max="8476" width="16.26953125" style="1072" customWidth="1"/>
    <col min="8477" max="8478" width="14.7265625" style="1072"/>
    <col min="8479" max="8479" width="21.7265625" style="1072" bestFit="1" customWidth="1"/>
    <col min="8480" max="8704" width="14.7265625" style="1072"/>
    <col min="8705" max="8705" width="9" style="1072" customWidth="1"/>
    <col min="8706" max="8706" width="39.26953125" style="1072" customWidth="1"/>
    <col min="8707" max="8707" width="11" style="1072" customWidth="1"/>
    <col min="8708" max="8708" width="20" style="1072" customWidth="1"/>
    <col min="8709" max="8709" width="20.1796875" style="1072" customWidth="1"/>
    <col min="8710" max="8710" width="14.7265625" style="1072" customWidth="1"/>
    <col min="8711" max="8711" width="13.7265625" style="1072" customWidth="1"/>
    <col min="8712" max="8712" width="14.7265625" style="1072" customWidth="1"/>
    <col min="8713" max="8715" width="11.1796875" style="1072" customWidth="1"/>
    <col min="8716" max="8718" width="14.7265625" style="1072" customWidth="1"/>
    <col min="8719" max="8719" width="18.7265625" style="1072" customWidth="1"/>
    <col min="8720" max="8722" width="14.7265625" style="1072" customWidth="1"/>
    <col min="8723" max="8723" width="17.81640625" style="1072" customWidth="1"/>
    <col min="8724" max="8724" width="18.54296875" style="1072" customWidth="1"/>
    <col min="8725" max="8725" width="13.7265625" style="1072" customWidth="1"/>
    <col min="8726" max="8727" width="14.7265625" style="1072" customWidth="1"/>
    <col min="8728" max="8730" width="15" style="1072" customWidth="1"/>
    <col min="8731" max="8731" width="14.7265625" style="1072" customWidth="1"/>
    <col min="8732" max="8732" width="16.26953125" style="1072" customWidth="1"/>
    <col min="8733" max="8734" width="14.7265625" style="1072"/>
    <col min="8735" max="8735" width="21.7265625" style="1072" bestFit="1" customWidth="1"/>
    <col min="8736" max="8960" width="14.7265625" style="1072"/>
    <col min="8961" max="8961" width="9" style="1072" customWidth="1"/>
    <col min="8962" max="8962" width="39.26953125" style="1072" customWidth="1"/>
    <col min="8963" max="8963" width="11" style="1072" customWidth="1"/>
    <col min="8964" max="8964" width="20" style="1072" customWidth="1"/>
    <col min="8965" max="8965" width="20.1796875" style="1072" customWidth="1"/>
    <col min="8966" max="8966" width="14.7265625" style="1072" customWidth="1"/>
    <col min="8967" max="8967" width="13.7265625" style="1072" customWidth="1"/>
    <col min="8968" max="8968" width="14.7265625" style="1072" customWidth="1"/>
    <col min="8969" max="8971" width="11.1796875" style="1072" customWidth="1"/>
    <col min="8972" max="8974" width="14.7265625" style="1072" customWidth="1"/>
    <col min="8975" max="8975" width="18.7265625" style="1072" customWidth="1"/>
    <col min="8976" max="8978" width="14.7265625" style="1072" customWidth="1"/>
    <col min="8979" max="8979" width="17.81640625" style="1072" customWidth="1"/>
    <col min="8980" max="8980" width="18.54296875" style="1072" customWidth="1"/>
    <col min="8981" max="8981" width="13.7265625" style="1072" customWidth="1"/>
    <col min="8982" max="8983" width="14.7265625" style="1072" customWidth="1"/>
    <col min="8984" max="8986" width="15" style="1072" customWidth="1"/>
    <col min="8987" max="8987" width="14.7265625" style="1072" customWidth="1"/>
    <col min="8988" max="8988" width="16.26953125" style="1072" customWidth="1"/>
    <col min="8989" max="8990" width="14.7265625" style="1072"/>
    <col min="8991" max="8991" width="21.7265625" style="1072" bestFit="1" customWidth="1"/>
    <col min="8992" max="9216" width="14.7265625" style="1072"/>
    <col min="9217" max="9217" width="9" style="1072" customWidth="1"/>
    <col min="9218" max="9218" width="39.26953125" style="1072" customWidth="1"/>
    <col min="9219" max="9219" width="11" style="1072" customWidth="1"/>
    <col min="9220" max="9220" width="20" style="1072" customWidth="1"/>
    <col min="9221" max="9221" width="20.1796875" style="1072" customWidth="1"/>
    <col min="9222" max="9222" width="14.7265625" style="1072" customWidth="1"/>
    <col min="9223" max="9223" width="13.7265625" style="1072" customWidth="1"/>
    <col min="9224" max="9224" width="14.7265625" style="1072" customWidth="1"/>
    <col min="9225" max="9227" width="11.1796875" style="1072" customWidth="1"/>
    <col min="9228" max="9230" width="14.7265625" style="1072" customWidth="1"/>
    <col min="9231" max="9231" width="18.7265625" style="1072" customWidth="1"/>
    <col min="9232" max="9234" width="14.7265625" style="1072" customWidth="1"/>
    <col min="9235" max="9235" width="17.81640625" style="1072" customWidth="1"/>
    <col min="9236" max="9236" width="18.54296875" style="1072" customWidth="1"/>
    <col min="9237" max="9237" width="13.7265625" style="1072" customWidth="1"/>
    <col min="9238" max="9239" width="14.7265625" style="1072" customWidth="1"/>
    <col min="9240" max="9242" width="15" style="1072" customWidth="1"/>
    <col min="9243" max="9243" width="14.7265625" style="1072" customWidth="1"/>
    <col min="9244" max="9244" width="16.26953125" style="1072" customWidth="1"/>
    <col min="9245" max="9246" width="14.7265625" style="1072"/>
    <col min="9247" max="9247" width="21.7265625" style="1072" bestFit="1" customWidth="1"/>
    <col min="9248" max="9472" width="14.7265625" style="1072"/>
    <col min="9473" max="9473" width="9" style="1072" customWidth="1"/>
    <col min="9474" max="9474" width="39.26953125" style="1072" customWidth="1"/>
    <col min="9475" max="9475" width="11" style="1072" customWidth="1"/>
    <col min="9476" max="9476" width="20" style="1072" customWidth="1"/>
    <col min="9477" max="9477" width="20.1796875" style="1072" customWidth="1"/>
    <col min="9478" max="9478" width="14.7265625" style="1072" customWidth="1"/>
    <col min="9479" max="9479" width="13.7265625" style="1072" customWidth="1"/>
    <col min="9480" max="9480" width="14.7265625" style="1072" customWidth="1"/>
    <col min="9481" max="9483" width="11.1796875" style="1072" customWidth="1"/>
    <col min="9484" max="9486" width="14.7265625" style="1072" customWidth="1"/>
    <col min="9487" max="9487" width="18.7265625" style="1072" customWidth="1"/>
    <col min="9488" max="9490" width="14.7265625" style="1072" customWidth="1"/>
    <col min="9491" max="9491" width="17.81640625" style="1072" customWidth="1"/>
    <col min="9492" max="9492" width="18.54296875" style="1072" customWidth="1"/>
    <col min="9493" max="9493" width="13.7265625" style="1072" customWidth="1"/>
    <col min="9494" max="9495" width="14.7265625" style="1072" customWidth="1"/>
    <col min="9496" max="9498" width="15" style="1072" customWidth="1"/>
    <col min="9499" max="9499" width="14.7265625" style="1072" customWidth="1"/>
    <col min="9500" max="9500" width="16.26953125" style="1072" customWidth="1"/>
    <col min="9501" max="9502" width="14.7265625" style="1072"/>
    <col min="9503" max="9503" width="21.7265625" style="1072" bestFit="1" customWidth="1"/>
    <col min="9504" max="9728" width="14.7265625" style="1072"/>
    <col min="9729" max="9729" width="9" style="1072" customWidth="1"/>
    <col min="9730" max="9730" width="39.26953125" style="1072" customWidth="1"/>
    <col min="9731" max="9731" width="11" style="1072" customWidth="1"/>
    <col min="9732" max="9732" width="20" style="1072" customWidth="1"/>
    <col min="9733" max="9733" width="20.1796875" style="1072" customWidth="1"/>
    <col min="9734" max="9734" width="14.7265625" style="1072" customWidth="1"/>
    <col min="9735" max="9735" width="13.7265625" style="1072" customWidth="1"/>
    <col min="9736" max="9736" width="14.7265625" style="1072" customWidth="1"/>
    <col min="9737" max="9739" width="11.1796875" style="1072" customWidth="1"/>
    <col min="9740" max="9742" width="14.7265625" style="1072" customWidth="1"/>
    <col min="9743" max="9743" width="18.7265625" style="1072" customWidth="1"/>
    <col min="9744" max="9746" width="14.7265625" style="1072" customWidth="1"/>
    <col min="9747" max="9747" width="17.81640625" style="1072" customWidth="1"/>
    <col min="9748" max="9748" width="18.54296875" style="1072" customWidth="1"/>
    <col min="9749" max="9749" width="13.7265625" style="1072" customWidth="1"/>
    <col min="9750" max="9751" width="14.7265625" style="1072" customWidth="1"/>
    <col min="9752" max="9754" width="15" style="1072" customWidth="1"/>
    <col min="9755" max="9755" width="14.7265625" style="1072" customWidth="1"/>
    <col min="9756" max="9756" width="16.26953125" style="1072" customWidth="1"/>
    <col min="9757" max="9758" width="14.7265625" style="1072"/>
    <col min="9759" max="9759" width="21.7265625" style="1072" bestFit="1" customWidth="1"/>
    <col min="9760" max="9984" width="14.7265625" style="1072"/>
    <col min="9985" max="9985" width="9" style="1072" customWidth="1"/>
    <col min="9986" max="9986" width="39.26953125" style="1072" customWidth="1"/>
    <col min="9987" max="9987" width="11" style="1072" customWidth="1"/>
    <col min="9988" max="9988" width="20" style="1072" customWidth="1"/>
    <col min="9989" max="9989" width="20.1796875" style="1072" customWidth="1"/>
    <col min="9990" max="9990" width="14.7265625" style="1072" customWidth="1"/>
    <col min="9991" max="9991" width="13.7265625" style="1072" customWidth="1"/>
    <col min="9992" max="9992" width="14.7265625" style="1072" customWidth="1"/>
    <col min="9993" max="9995" width="11.1796875" style="1072" customWidth="1"/>
    <col min="9996" max="9998" width="14.7265625" style="1072" customWidth="1"/>
    <col min="9999" max="9999" width="18.7265625" style="1072" customWidth="1"/>
    <col min="10000" max="10002" width="14.7265625" style="1072" customWidth="1"/>
    <col min="10003" max="10003" width="17.81640625" style="1072" customWidth="1"/>
    <col min="10004" max="10004" width="18.54296875" style="1072" customWidth="1"/>
    <col min="10005" max="10005" width="13.7265625" style="1072" customWidth="1"/>
    <col min="10006" max="10007" width="14.7265625" style="1072" customWidth="1"/>
    <col min="10008" max="10010" width="15" style="1072" customWidth="1"/>
    <col min="10011" max="10011" width="14.7265625" style="1072" customWidth="1"/>
    <col min="10012" max="10012" width="16.26953125" style="1072" customWidth="1"/>
    <col min="10013" max="10014" width="14.7265625" style="1072"/>
    <col min="10015" max="10015" width="21.7265625" style="1072" bestFit="1" customWidth="1"/>
    <col min="10016" max="10240" width="14.7265625" style="1072"/>
    <col min="10241" max="10241" width="9" style="1072" customWidth="1"/>
    <col min="10242" max="10242" width="39.26953125" style="1072" customWidth="1"/>
    <col min="10243" max="10243" width="11" style="1072" customWidth="1"/>
    <col min="10244" max="10244" width="20" style="1072" customWidth="1"/>
    <col min="10245" max="10245" width="20.1796875" style="1072" customWidth="1"/>
    <col min="10246" max="10246" width="14.7265625" style="1072" customWidth="1"/>
    <col min="10247" max="10247" width="13.7265625" style="1072" customWidth="1"/>
    <col min="10248" max="10248" width="14.7265625" style="1072" customWidth="1"/>
    <col min="10249" max="10251" width="11.1796875" style="1072" customWidth="1"/>
    <col min="10252" max="10254" width="14.7265625" style="1072" customWidth="1"/>
    <col min="10255" max="10255" width="18.7265625" style="1072" customWidth="1"/>
    <col min="10256" max="10258" width="14.7265625" style="1072" customWidth="1"/>
    <col min="10259" max="10259" width="17.81640625" style="1072" customWidth="1"/>
    <col min="10260" max="10260" width="18.54296875" style="1072" customWidth="1"/>
    <col min="10261" max="10261" width="13.7265625" style="1072" customWidth="1"/>
    <col min="10262" max="10263" width="14.7265625" style="1072" customWidth="1"/>
    <col min="10264" max="10266" width="15" style="1072" customWidth="1"/>
    <col min="10267" max="10267" width="14.7265625" style="1072" customWidth="1"/>
    <col min="10268" max="10268" width="16.26953125" style="1072" customWidth="1"/>
    <col min="10269" max="10270" width="14.7265625" style="1072"/>
    <col min="10271" max="10271" width="21.7265625" style="1072" bestFit="1" customWidth="1"/>
    <col min="10272" max="10496" width="14.7265625" style="1072"/>
    <col min="10497" max="10497" width="9" style="1072" customWidth="1"/>
    <col min="10498" max="10498" width="39.26953125" style="1072" customWidth="1"/>
    <col min="10499" max="10499" width="11" style="1072" customWidth="1"/>
    <col min="10500" max="10500" width="20" style="1072" customWidth="1"/>
    <col min="10501" max="10501" width="20.1796875" style="1072" customWidth="1"/>
    <col min="10502" max="10502" width="14.7265625" style="1072" customWidth="1"/>
    <col min="10503" max="10503" width="13.7265625" style="1072" customWidth="1"/>
    <col min="10504" max="10504" width="14.7265625" style="1072" customWidth="1"/>
    <col min="10505" max="10507" width="11.1796875" style="1072" customWidth="1"/>
    <col min="10508" max="10510" width="14.7265625" style="1072" customWidth="1"/>
    <col min="10511" max="10511" width="18.7265625" style="1072" customWidth="1"/>
    <col min="10512" max="10514" width="14.7265625" style="1072" customWidth="1"/>
    <col min="10515" max="10515" width="17.81640625" style="1072" customWidth="1"/>
    <col min="10516" max="10516" width="18.54296875" style="1072" customWidth="1"/>
    <col min="10517" max="10517" width="13.7265625" style="1072" customWidth="1"/>
    <col min="10518" max="10519" width="14.7265625" style="1072" customWidth="1"/>
    <col min="10520" max="10522" width="15" style="1072" customWidth="1"/>
    <col min="10523" max="10523" width="14.7265625" style="1072" customWidth="1"/>
    <col min="10524" max="10524" width="16.26953125" style="1072" customWidth="1"/>
    <col min="10525" max="10526" width="14.7265625" style="1072"/>
    <col min="10527" max="10527" width="21.7265625" style="1072" bestFit="1" customWidth="1"/>
    <col min="10528" max="10752" width="14.7265625" style="1072"/>
    <col min="10753" max="10753" width="9" style="1072" customWidth="1"/>
    <col min="10754" max="10754" width="39.26953125" style="1072" customWidth="1"/>
    <col min="10755" max="10755" width="11" style="1072" customWidth="1"/>
    <col min="10756" max="10756" width="20" style="1072" customWidth="1"/>
    <col min="10757" max="10757" width="20.1796875" style="1072" customWidth="1"/>
    <col min="10758" max="10758" width="14.7265625" style="1072" customWidth="1"/>
    <col min="10759" max="10759" width="13.7265625" style="1072" customWidth="1"/>
    <col min="10760" max="10760" width="14.7265625" style="1072" customWidth="1"/>
    <col min="10761" max="10763" width="11.1796875" style="1072" customWidth="1"/>
    <col min="10764" max="10766" width="14.7265625" style="1072" customWidth="1"/>
    <col min="10767" max="10767" width="18.7265625" style="1072" customWidth="1"/>
    <col min="10768" max="10770" width="14.7265625" style="1072" customWidth="1"/>
    <col min="10771" max="10771" width="17.81640625" style="1072" customWidth="1"/>
    <col min="10772" max="10772" width="18.54296875" style="1072" customWidth="1"/>
    <col min="10773" max="10773" width="13.7265625" style="1072" customWidth="1"/>
    <col min="10774" max="10775" width="14.7265625" style="1072" customWidth="1"/>
    <col min="10776" max="10778" width="15" style="1072" customWidth="1"/>
    <col min="10779" max="10779" width="14.7265625" style="1072" customWidth="1"/>
    <col min="10780" max="10780" width="16.26953125" style="1072" customWidth="1"/>
    <col min="10781" max="10782" width="14.7265625" style="1072"/>
    <col min="10783" max="10783" width="21.7265625" style="1072" bestFit="1" customWidth="1"/>
    <col min="10784" max="11008" width="14.7265625" style="1072"/>
    <col min="11009" max="11009" width="9" style="1072" customWidth="1"/>
    <col min="11010" max="11010" width="39.26953125" style="1072" customWidth="1"/>
    <col min="11011" max="11011" width="11" style="1072" customWidth="1"/>
    <col min="11012" max="11012" width="20" style="1072" customWidth="1"/>
    <col min="11013" max="11013" width="20.1796875" style="1072" customWidth="1"/>
    <col min="11014" max="11014" width="14.7265625" style="1072" customWidth="1"/>
    <col min="11015" max="11015" width="13.7265625" style="1072" customWidth="1"/>
    <col min="11016" max="11016" width="14.7265625" style="1072" customWidth="1"/>
    <col min="11017" max="11019" width="11.1796875" style="1072" customWidth="1"/>
    <col min="11020" max="11022" width="14.7265625" style="1072" customWidth="1"/>
    <col min="11023" max="11023" width="18.7265625" style="1072" customWidth="1"/>
    <col min="11024" max="11026" width="14.7265625" style="1072" customWidth="1"/>
    <col min="11027" max="11027" width="17.81640625" style="1072" customWidth="1"/>
    <col min="11028" max="11028" width="18.54296875" style="1072" customWidth="1"/>
    <col min="11029" max="11029" width="13.7265625" style="1072" customWidth="1"/>
    <col min="11030" max="11031" width="14.7265625" style="1072" customWidth="1"/>
    <col min="11032" max="11034" width="15" style="1072" customWidth="1"/>
    <col min="11035" max="11035" width="14.7265625" style="1072" customWidth="1"/>
    <col min="11036" max="11036" width="16.26953125" style="1072" customWidth="1"/>
    <col min="11037" max="11038" width="14.7265625" style="1072"/>
    <col min="11039" max="11039" width="21.7265625" style="1072" bestFit="1" customWidth="1"/>
    <col min="11040" max="11264" width="14.7265625" style="1072"/>
    <col min="11265" max="11265" width="9" style="1072" customWidth="1"/>
    <col min="11266" max="11266" width="39.26953125" style="1072" customWidth="1"/>
    <col min="11267" max="11267" width="11" style="1072" customWidth="1"/>
    <col min="11268" max="11268" width="20" style="1072" customWidth="1"/>
    <col min="11269" max="11269" width="20.1796875" style="1072" customWidth="1"/>
    <col min="11270" max="11270" width="14.7265625" style="1072" customWidth="1"/>
    <col min="11271" max="11271" width="13.7265625" style="1072" customWidth="1"/>
    <col min="11272" max="11272" width="14.7265625" style="1072" customWidth="1"/>
    <col min="11273" max="11275" width="11.1796875" style="1072" customWidth="1"/>
    <col min="11276" max="11278" width="14.7265625" style="1072" customWidth="1"/>
    <col min="11279" max="11279" width="18.7265625" style="1072" customWidth="1"/>
    <col min="11280" max="11282" width="14.7265625" style="1072" customWidth="1"/>
    <col min="11283" max="11283" width="17.81640625" style="1072" customWidth="1"/>
    <col min="11284" max="11284" width="18.54296875" style="1072" customWidth="1"/>
    <col min="11285" max="11285" width="13.7265625" style="1072" customWidth="1"/>
    <col min="11286" max="11287" width="14.7265625" style="1072" customWidth="1"/>
    <col min="11288" max="11290" width="15" style="1072" customWidth="1"/>
    <col min="11291" max="11291" width="14.7265625" style="1072" customWidth="1"/>
    <col min="11292" max="11292" width="16.26953125" style="1072" customWidth="1"/>
    <col min="11293" max="11294" width="14.7265625" style="1072"/>
    <col min="11295" max="11295" width="21.7265625" style="1072" bestFit="1" customWidth="1"/>
    <col min="11296" max="11520" width="14.7265625" style="1072"/>
    <col min="11521" max="11521" width="9" style="1072" customWidth="1"/>
    <col min="11522" max="11522" width="39.26953125" style="1072" customWidth="1"/>
    <col min="11523" max="11523" width="11" style="1072" customWidth="1"/>
    <col min="11524" max="11524" width="20" style="1072" customWidth="1"/>
    <col min="11525" max="11525" width="20.1796875" style="1072" customWidth="1"/>
    <col min="11526" max="11526" width="14.7265625" style="1072" customWidth="1"/>
    <col min="11527" max="11527" width="13.7265625" style="1072" customWidth="1"/>
    <col min="11528" max="11528" width="14.7265625" style="1072" customWidth="1"/>
    <col min="11529" max="11531" width="11.1796875" style="1072" customWidth="1"/>
    <col min="11532" max="11534" width="14.7265625" style="1072" customWidth="1"/>
    <col min="11535" max="11535" width="18.7265625" style="1072" customWidth="1"/>
    <col min="11536" max="11538" width="14.7265625" style="1072" customWidth="1"/>
    <col min="11539" max="11539" width="17.81640625" style="1072" customWidth="1"/>
    <col min="11540" max="11540" width="18.54296875" style="1072" customWidth="1"/>
    <col min="11541" max="11541" width="13.7265625" style="1072" customWidth="1"/>
    <col min="11542" max="11543" width="14.7265625" style="1072" customWidth="1"/>
    <col min="11544" max="11546" width="15" style="1072" customWidth="1"/>
    <col min="11547" max="11547" width="14.7265625" style="1072" customWidth="1"/>
    <col min="11548" max="11548" width="16.26953125" style="1072" customWidth="1"/>
    <col min="11549" max="11550" width="14.7265625" style="1072"/>
    <col min="11551" max="11551" width="21.7265625" style="1072" bestFit="1" customWidth="1"/>
    <col min="11552" max="11776" width="14.7265625" style="1072"/>
    <col min="11777" max="11777" width="9" style="1072" customWidth="1"/>
    <col min="11778" max="11778" width="39.26953125" style="1072" customWidth="1"/>
    <col min="11779" max="11779" width="11" style="1072" customWidth="1"/>
    <col min="11780" max="11780" width="20" style="1072" customWidth="1"/>
    <col min="11781" max="11781" width="20.1796875" style="1072" customWidth="1"/>
    <col min="11782" max="11782" width="14.7265625" style="1072" customWidth="1"/>
    <col min="11783" max="11783" width="13.7265625" style="1072" customWidth="1"/>
    <col min="11784" max="11784" width="14.7265625" style="1072" customWidth="1"/>
    <col min="11785" max="11787" width="11.1796875" style="1072" customWidth="1"/>
    <col min="11788" max="11790" width="14.7265625" style="1072" customWidth="1"/>
    <col min="11791" max="11791" width="18.7265625" style="1072" customWidth="1"/>
    <col min="11792" max="11794" width="14.7265625" style="1072" customWidth="1"/>
    <col min="11795" max="11795" width="17.81640625" style="1072" customWidth="1"/>
    <col min="11796" max="11796" width="18.54296875" style="1072" customWidth="1"/>
    <col min="11797" max="11797" width="13.7265625" style="1072" customWidth="1"/>
    <col min="11798" max="11799" width="14.7265625" style="1072" customWidth="1"/>
    <col min="11800" max="11802" width="15" style="1072" customWidth="1"/>
    <col min="11803" max="11803" width="14.7265625" style="1072" customWidth="1"/>
    <col min="11804" max="11804" width="16.26953125" style="1072" customWidth="1"/>
    <col min="11805" max="11806" width="14.7265625" style="1072"/>
    <col min="11807" max="11807" width="21.7265625" style="1072" bestFit="1" customWidth="1"/>
    <col min="11808" max="12032" width="14.7265625" style="1072"/>
    <col min="12033" max="12033" width="9" style="1072" customWidth="1"/>
    <col min="12034" max="12034" width="39.26953125" style="1072" customWidth="1"/>
    <col min="12035" max="12035" width="11" style="1072" customWidth="1"/>
    <col min="12036" max="12036" width="20" style="1072" customWidth="1"/>
    <col min="12037" max="12037" width="20.1796875" style="1072" customWidth="1"/>
    <col min="12038" max="12038" width="14.7265625" style="1072" customWidth="1"/>
    <col min="12039" max="12039" width="13.7265625" style="1072" customWidth="1"/>
    <col min="12040" max="12040" width="14.7265625" style="1072" customWidth="1"/>
    <col min="12041" max="12043" width="11.1796875" style="1072" customWidth="1"/>
    <col min="12044" max="12046" width="14.7265625" style="1072" customWidth="1"/>
    <col min="12047" max="12047" width="18.7265625" style="1072" customWidth="1"/>
    <col min="12048" max="12050" width="14.7265625" style="1072" customWidth="1"/>
    <col min="12051" max="12051" width="17.81640625" style="1072" customWidth="1"/>
    <col min="12052" max="12052" width="18.54296875" style="1072" customWidth="1"/>
    <col min="12053" max="12053" width="13.7265625" style="1072" customWidth="1"/>
    <col min="12054" max="12055" width="14.7265625" style="1072" customWidth="1"/>
    <col min="12056" max="12058" width="15" style="1072" customWidth="1"/>
    <col min="12059" max="12059" width="14.7265625" style="1072" customWidth="1"/>
    <col min="12060" max="12060" width="16.26953125" style="1072" customWidth="1"/>
    <col min="12061" max="12062" width="14.7265625" style="1072"/>
    <col min="12063" max="12063" width="21.7265625" style="1072" bestFit="1" customWidth="1"/>
    <col min="12064" max="12288" width="14.7265625" style="1072"/>
    <col min="12289" max="12289" width="9" style="1072" customWidth="1"/>
    <col min="12290" max="12290" width="39.26953125" style="1072" customWidth="1"/>
    <col min="12291" max="12291" width="11" style="1072" customWidth="1"/>
    <col min="12292" max="12292" width="20" style="1072" customWidth="1"/>
    <col min="12293" max="12293" width="20.1796875" style="1072" customWidth="1"/>
    <col min="12294" max="12294" width="14.7265625" style="1072" customWidth="1"/>
    <col min="12295" max="12295" width="13.7265625" style="1072" customWidth="1"/>
    <col min="12296" max="12296" width="14.7265625" style="1072" customWidth="1"/>
    <col min="12297" max="12299" width="11.1796875" style="1072" customWidth="1"/>
    <col min="12300" max="12302" width="14.7265625" style="1072" customWidth="1"/>
    <col min="12303" max="12303" width="18.7265625" style="1072" customWidth="1"/>
    <col min="12304" max="12306" width="14.7265625" style="1072" customWidth="1"/>
    <col min="12307" max="12307" width="17.81640625" style="1072" customWidth="1"/>
    <col min="12308" max="12308" width="18.54296875" style="1072" customWidth="1"/>
    <col min="12309" max="12309" width="13.7265625" style="1072" customWidth="1"/>
    <col min="12310" max="12311" width="14.7265625" style="1072" customWidth="1"/>
    <col min="12312" max="12314" width="15" style="1072" customWidth="1"/>
    <col min="12315" max="12315" width="14.7265625" style="1072" customWidth="1"/>
    <col min="12316" max="12316" width="16.26953125" style="1072" customWidth="1"/>
    <col min="12317" max="12318" width="14.7265625" style="1072"/>
    <col min="12319" max="12319" width="21.7265625" style="1072" bestFit="1" customWidth="1"/>
    <col min="12320" max="12544" width="14.7265625" style="1072"/>
    <col min="12545" max="12545" width="9" style="1072" customWidth="1"/>
    <col min="12546" max="12546" width="39.26953125" style="1072" customWidth="1"/>
    <col min="12547" max="12547" width="11" style="1072" customWidth="1"/>
    <col min="12548" max="12548" width="20" style="1072" customWidth="1"/>
    <col min="12549" max="12549" width="20.1796875" style="1072" customWidth="1"/>
    <col min="12550" max="12550" width="14.7265625" style="1072" customWidth="1"/>
    <col min="12551" max="12551" width="13.7265625" style="1072" customWidth="1"/>
    <col min="12552" max="12552" width="14.7265625" style="1072" customWidth="1"/>
    <col min="12553" max="12555" width="11.1796875" style="1072" customWidth="1"/>
    <col min="12556" max="12558" width="14.7265625" style="1072" customWidth="1"/>
    <col min="12559" max="12559" width="18.7265625" style="1072" customWidth="1"/>
    <col min="12560" max="12562" width="14.7265625" style="1072" customWidth="1"/>
    <col min="12563" max="12563" width="17.81640625" style="1072" customWidth="1"/>
    <col min="12564" max="12564" width="18.54296875" style="1072" customWidth="1"/>
    <col min="12565" max="12565" width="13.7265625" style="1072" customWidth="1"/>
    <col min="12566" max="12567" width="14.7265625" style="1072" customWidth="1"/>
    <col min="12568" max="12570" width="15" style="1072" customWidth="1"/>
    <col min="12571" max="12571" width="14.7265625" style="1072" customWidth="1"/>
    <col min="12572" max="12572" width="16.26953125" style="1072" customWidth="1"/>
    <col min="12573" max="12574" width="14.7265625" style="1072"/>
    <col min="12575" max="12575" width="21.7265625" style="1072" bestFit="1" customWidth="1"/>
    <col min="12576" max="12800" width="14.7265625" style="1072"/>
    <col min="12801" max="12801" width="9" style="1072" customWidth="1"/>
    <col min="12802" max="12802" width="39.26953125" style="1072" customWidth="1"/>
    <col min="12803" max="12803" width="11" style="1072" customWidth="1"/>
    <col min="12804" max="12804" width="20" style="1072" customWidth="1"/>
    <col min="12805" max="12805" width="20.1796875" style="1072" customWidth="1"/>
    <col min="12806" max="12806" width="14.7265625" style="1072" customWidth="1"/>
    <col min="12807" max="12807" width="13.7265625" style="1072" customWidth="1"/>
    <col min="12808" max="12808" width="14.7265625" style="1072" customWidth="1"/>
    <col min="12809" max="12811" width="11.1796875" style="1072" customWidth="1"/>
    <col min="12812" max="12814" width="14.7265625" style="1072" customWidth="1"/>
    <col min="12815" max="12815" width="18.7265625" style="1072" customWidth="1"/>
    <col min="12816" max="12818" width="14.7265625" style="1072" customWidth="1"/>
    <col min="12819" max="12819" width="17.81640625" style="1072" customWidth="1"/>
    <col min="12820" max="12820" width="18.54296875" style="1072" customWidth="1"/>
    <col min="12821" max="12821" width="13.7265625" style="1072" customWidth="1"/>
    <col min="12822" max="12823" width="14.7265625" style="1072" customWidth="1"/>
    <col min="12824" max="12826" width="15" style="1072" customWidth="1"/>
    <col min="12827" max="12827" width="14.7265625" style="1072" customWidth="1"/>
    <col min="12828" max="12828" width="16.26953125" style="1072" customWidth="1"/>
    <col min="12829" max="12830" width="14.7265625" style="1072"/>
    <col min="12831" max="12831" width="21.7265625" style="1072" bestFit="1" customWidth="1"/>
    <col min="12832" max="13056" width="14.7265625" style="1072"/>
    <col min="13057" max="13057" width="9" style="1072" customWidth="1"/>
    <col min="13058" max="13058" width="39.26953125" style="1072" customWidth="1"/>
    <col min="13059" max="13059" width="11" style="1072" customWidth="1"/>
    <col min="13060" max="13060" width="20" style="1072" customWidth="1"/>
    <col min="13061" max="13061" width="20.1796875" style="1072" customWidth="1"/>
    <col min="13062" max="13062" width="14.7265625" style="1072" customWidth="1"/>
    <col min="13063" max="13063" width="13.7265625" style="1072" customWidth="1"/>
    <col min="13064" max="13064" width="14.7265625" style="1072" customWidth="1"/>
    <col min="13065" max="13067" width="11.1796875" style="1072" customWidth="1"/>
    <col min="13068" max="13070" width="14.7265625" style="1072" customWidth="1"/>
    <col min="13071" max="13071" width="18.7265625" style="1072" customWidth="1"/>
    <col min="13072" max="13074" width="14.7265625" style="1072" customWidth="1"/>
    <col min="13075" max="13075" width="17.81640625" style="1072" customWidth="1"/>
    <col min="13076" max="13076" width="18.54296875" style="1072" customWidth="1"/>
    <col min="13077" max="13077" width="13.7265625" style="1072" customWidth="1"/>
    <col min="13078" max="13079" width="14.7265625" style="1072" customWidth="1"/>
    <col min="13080" max="13082" width="15" style="1072" customWidth="1"/>
    <col min="13083" max="13083" width="14.7265625" style="1072" customWidth="1"/>
    <col min="13084" max="13084" width="16.26953125" style="1072" customWidth="1"/>
    <col min="13085" max="13086" width="14.7265625" style="1072"/>
    <col min="13087" max="13087" width="21.7265625" style="1072" bestFit="1" customWidth="1"/>
    <col min="13088" max="13312" width="14.7265625" style="1072"/>
    <col min="13313" max="13313" width="9" style="1072" customWidth="1"/>
    <col min="13314" max="13314" width="39.26953125" style="1072" customWidth="1"/>
    <col min="13315" max="13315" width="11" style="1072" customWidth="1"/>
    <col min="13316" max="13316" width="20" style="1072" customWidth="1"/>
    <col min="13317" max="13317" width="20.1796875" style="1072" customWidth="1"/>
    <col min="13318" max="13318" width="14.7265625" style="1072" customWidth="1"/>
    <col min="13319" max="13319" width="13.7265625" style="1072" customWidth="1"/>
    <col min="13320" max="13320" width="14.7265625" style="1072" customWidth="1"/>
    <col min="13321" max="13323" width="11.1796875" style="1072" customWidth="1"/>
    <col min="13324" max="13326" width="14.7265625" style="1072" customWidth="1"/>
    <col min="13327" max="13327" width="18.7265625" style="1072" customWidth="1"/>
    <col min="13328" max="13330" width="14.7265625" style="1072" customWidth="1"/>
    <col min="13331" max="13331" width="17.81640625" style="1072" customWidth="1"/>
    <col min="13332" max="13332" width="18.54296875" style="1072" customWidth="1"/>
    <col min="13333" max="13333" width="13.7265625" style="1072" customWidth="1"/>
    <col min="13334" max="13335" width="14.7265625" style="1072" customWidth="1"/>
    <col min="13336" max="13338" width="15" style="1072" customWidth="1"/>
    <col min="13339" max="13339" width="14.7265625" style="1072" customWidth="1"/>
    <col min="13340" max="13340" width="16.26953125" style="1072" customWidth="1"/>
    <col min="13341" max="13342" width="14.7265625" style="1072"/>
    <col min="13343" max="13343" width="21.7265625" style="1072" bestFit="1" customWidth="1"/>
    <col min="13344" max="13568" width="14.7265625" style="1072"/>
    <col min="13569" max="13569" width="9" style="1072" customWidth="1"/>
    <col min="13570" max="13570" width="39.26953125" style="1072" customWidth="1"/>
    <col min="13571" max="13571" width="11" style="1072" customWidth="1"/>
    <col min="13572" max="13572" width="20" style="1072" customWidth="1"/>
    <col min="13573" max="13573" width="20.1796875" style="1072" customWidth="1"/>
    <col min="13574" max="13574" width="14.7265625" style="1072" customWidth="1"/>
    <col min="13575" max="13575" width="13.7265625" style="1072" customWidth="1"/>
    <col min="13576" max="13576" width="14.7265625" style="1072" customWidth="1"/>
    <col min="13577" max="13579" width="11.1796875" style="1072" customWidth="1"/>
    <col min="13580" max="13582" width="14.7265625" style="1072" customWidth="1"/>
    <col min="13583" max="13583" width="18.7265625" style="1072" customWidth="1"/>
    <col min="13584" max="13586" width="14.7265625" style="1072" customWidth="1"/>
    <col min="13587" max="13587" width="17.81640625" style="1072" customWidth="1"/>
    <col min="13588" max="13588" width="18.54296875" style="1072" customWidth="1"/>
    <col min="13589" max="13589" width="13.7265625" style="1072" customWidth="1"/>
    <col min="13590" max="13591" width="14.7265625" style="1072" customWidth="1"/>
    <col min="13592" max="13594" width="15" style="1072" customWidth="1"/>
    <col min="13595" max="13595" width="14.7265625" style="1072" customWidth="1"/>
    <col min="13596" max="13596" width="16.26953125" style="1072" customWidth="1"/>
    <col min="13597" max="13598" width="14.7265625" style="1072"/>
    <col min="13599" max="13599" width="21.7265625" style="1072" bestFit="1" customWidth="1"/>
    <col min="13600" max="13824" width="14.7265625" style="1072"/>
    <col min="13825" max="13825" width="9" style="1072" customWidth="1"/>
    <col min="13826" max="13826" width="39.26953125" style="1072" customWidth="1"/>
    <col min="13827" max="13827" width="11" style="1072" customWidth="1"/>
    <col min="13828" max="13828" width="20" style="1072" customWidth="1"/>
    <col min="13829" max="13829" width="20.1796875" style="1072" customWidth="1"/>
    <col min="13830" max="13830" width="14.7265625" style="1072" customWidth="1"/>
    <col min="13831" max="13831" width="13.7265625" style="1072" customWidth="1"/>
    <col min="13832" max="13832" width="14.7265625" style="1072" customWidth="1"/>
    <col min="13833" max="13835" width="11.1796875" style="1072" customWidth="1"/>
    <col min="13836" max="13838" width="14.7265625" style="1072" customWidth="1"/>
    <col min="13839" max="13839" width="18.7265625" style="1072" customWidth="1"/>
    <col min="13840" max="13842" width="14.7265625" style="1072" customWidth="1"/>
    <col min="13843" max="13843" width="17.81640625" style="1072" customWidth="1"/>
    <col min="13844" max="13844" width="18.54296875" style="1072" customWidth="1"/>
    <col min="13845" max="13845" width="13.7265625" style="1072" customWidth="1"/>
    <col min="13846" max="13847" width="14.7265625" style="1072" customWidth="1"/>
    <col min="13848" max="13850" width="15" style="1072" customWidth="1"/>
    <col min="13851" max="13851" width="14.7265625" style="1072" customWidth="1"/>
    <col min="13852" max="13852" width="16.26953125" style="1072" customWidth="1"/>
    <col min="13853" max="13854" width="14.7265625" style="1072"/>
    <col min="13855" max="13855" width="21.7265625" style="1072" bestFit="1" customWidth="1"/>
    <col min="13856" max="14080" width="14.7265625" style="1072"/>
    <col min="14081" max="14081" width="9" style="1072" customWidth="1"/>
    <col min="14082" max="14082" width="39.26953125" style="1072" customWidth="1"/>
    <col min="14083" max="14083" width="11" style="1072" customWidth="1"/>
    <col min="14084" max="14084" width="20" style="1072" customWidth="1"/>
    <col min="14085" max="14085" width="20.1796875" style="1072" customWidth="1"/>
    <col min="14086" max="14086" width="14.7265625" style="1072" customWidth="1"/>
    <col min="14087" max="14087" width="13.7265625" style="1072" customWidth="1"/>
    <col min="14088" max="14088" width="14.7265625" style="1072" customWidth="1"/>
    <col min="14089" max="14091" width="11.1796875" style="1072" customWidth="1"/>
    <col min="14092" max="14094" width="14.7265625" style="1072" customWidth="1"/>
    <col min="14095" max="14095" width="18.7265625" style="1072" customWidth="1"/>
    <col min="14096" max="14098" width="14.7265625" style="1072" customWidth="1"/>
    <col min="14099" max="14099" width="17.81640625" style="1072" customWidth="1"/>
    <col min="14100" max="14100" width="18.54296875" style="1072" customWidth="1"/>
    <col min="14101" max="14101" width="13.7265625" style="1072" customWidth="1"/>
    <col min="14102" max="14103" width="14.7265625" style="1072" customWidth="1"/>
    <col min="14104" max="14106" width="15" style="1072" customWidth="1"/>
    <col min="14107" max="14107" width="14.7265625" style="1072" customWidth="1"/>
    <col min="14108" max="14108" width="16.26953125" style="1072" customWidth="1"/>
    <col min="14109" max="14110" width="14.7265625" style="1072"/>
    <col min="14111" max="14111" width="21.7265625" style="1072" bestFit="1" customWidth="1"/>
    <col min="14112" max="14336" width="14.7265625" style="1072"/>
    <col min="14337" max="14337" width="9" style="1072" customWidth="1"/>
    <col min="14338" max="14338" width="39.26953125" style="1072" customWidth="1"/>
    <col min="14339" max="14339" width="11" style="1072" customWidth="1"/>
    <col min="14340" max="14340" width="20" style="1072" customWidth="1"/>
    <col min="14341" max="14341" width="20.1796875" style="1072" customWidth="1"/>
    <col min="14342" max="14342" width="14.7265625" style="1072" customWidth="1"/>
    <col min="14343" max="14343" width="13.7265625" style="1072" customWidth="1"/>
    <col min="14344" max="14344" width="14.7265625" style="1072" customWidth="1"/>
    <col min="14345" max="14347" width="11.1796875" style="1072" customWidth="1"/>
    <col min="14348" max="14350" width="14.7265625" style="1072" customWidth="1"/>
    <col min="14351" max="14351" width="18.7265625" style="1072" customWidth="1"/>
    <col min="14352" max="14354" width="14.7265625" style="1072" customWidth="1"/>
    <col min="14355" max="14355" width="17.81640625" style="1072" customWidth="1"/>
    <col min="14356" max="14356" width="18.54296875" style="1072" customWidth="1"/>
    <col min="14357" max="14357" width="13.7265625" style="1072" customWidth="1"/>
    <col min="14358" max="14359" width="14.7265625" style="1072" customWidth="1"/>
    <col min="14360" max="14362" width="15" style="1072" customWidth="1"/>
    <col min="14363" max="14363" width="14.7265625" style="1072" customWidth="1"/>
    <col min="14364" max="14364" width="16.26953125" style="1072" customWidth="1"/>
    <col min="14365" max="14366" width="14.7265625" style="1072"/>
    <col min="14367" max="14367" width="21.7265625" style="1072" bestFit="1" customWidth="1"/>
    <col min="14368" max="14592" width="14.7265625" style="1072"/>
    <col min="14593" max="14593" width="9" style="1072" customWidth="1"/>
    <col min="14594" max="14594" width="39.26953125" style="1072" customWidth="1"/>
    <col min="14595" max="14595" width="11" style="1072" customWidth="1"/>
    <col min="14596" max="14596" width="20" style="1072" customWidth="1"/>
    <col min="14597" max="14597" width="20.1796875" style="1072" customWidth="1"/>
    <col min="14598" max="14598" width="14.7265625" style="1072" customWidth="1"/>
    <col min="14599" max="14599" width="13.7265625" style="1072" customWidth="1"/>
    <col min="14600" max="14600" width="14.7265625" style="1072" customWidth="1"/>
    <col min="14601" max="14603" width="11.1796875" style="1072" customWidth="1"/>
    <col min="14604" max="14606" width="14.7265625" style="1072" customWidth="1"/>
    <col min="14607" max="14607" width="18.7265625" style="1072" customWidth="1"/>
    <col min="14608" max="14610" width="14.7265625" style="1072" customWidth="1"/>
    <col min="14611" max="14611" width="17.81640625" style="1072" customWidth="1"/>
    <col min="14612" max="14612" width="18.54296875" style="1072" customWidth="1"/>
    <col min="14613" max="14613" width="13.7265625" style="1072" customWidth="1"/>
    <col min="14614" max="14615" width="14.7265625" style="1072" customWidth="1"/>
    <col min="14616" max="14618" width="15" style="1072" customWidth="1"/>
    <col min="14619" max="14619" width="14.7265625" style="1072" customWidth="1"/>
    <col min="14620" max="14620" width="16.26953125" style="1072" customWidth="1"/>
    <col min="14621" max="14622" width="14.7265625" style="1072"/>
    <col min="14623" max="14623" width="21.7265625" style="1072" bestFit="1" customWidth="1"/>
    <col min="14624" max="14848" width="14.7265625" style="1072"/>
    <col min="14849" max="14849" width="9" style="1072" customWidth="1"/>
    <col min="14850" max="14850" width="39.26953125" style="1072" customWidth="1"/>
    <col min="14851" max="14851" width="11" style="1072" customWidth="1"/>
    <col min="14852" max="14852" width="20" style="1072" customWidth="1"/>
    <col min="14853" max="14853" width="20.1796875" style="1072" customWidth="1"/>
    <col min="14854" max="14854" width="14.7265625" style="1072" customWidth="1"/>
    <col min="14855" max="14855" width="13.7265625" style="1072" customWidth="1"/>
    <col min="14856" max="14856" width="14.7265625" style="1072" customWidth="1"/>
    <col min="14857" max="14859" width="11.1796875" style="1072" customWidth="1"/>
    <col min="14860" max="14862" width="14.7265625" style="1072" customWidth="1"/>
    <col min="14863" max="14863" width="18.7265625" style="1072" customWidth="1"/>
    <col min="14864" max="14866" width="14.7265625" style="1072" customWidth="1"/>
    <col min="14867" max="14867" width="17.81640625" style="1072" customWidth="1"/>
    <col min="14868" max="14868" width="18.54296875" style="1072" customWidth="1"/>
    <col min="14869" max="14869" width="13.7265625" style="1072" customWidth="1"/>
    <col min="14870" max="14871" width="14.7265625" style="1072" customWidth="1"/>
    <col min="14872" max="14874" width="15" style="1072" customWidth="1"/>
    <col min="14875" max="14875" width="14.7265625" style="1072" customWidth="1"/>
    <col min="14876" max="14876" width="16.26953125" style="1072" customWidth="1"/>
    <col min="14877" max="14878" width="14.7265625" style="1072"/>
    <col min="14879" max="14879" width="21.7265625" style="1072" bestFit="1" customWidth="1"/>
    <col min="14880" max="15104" width="14.7265625" style="1072"/>
    <col min="15105" max="15105" width="9" style="1072" customWidth="1"/>
    <col min="15106" max="15106" width="39.26953125" style="1072" customWidth="1"/>
    <col min="15107" max="15107" width="11" style="1072" customWidth="1"/>
    <col min="15108" max="15108" width="20" style="1072" customWidth="1"/>
    <col min="15109" max="15109" width="20.1796875" style="1072" customWidth="1"/>
    <col min="15110" max="15110" width="14.7265625" style="1072" customWidth="1"/>
    <col min="15111" max="15111" width="13.7265625" style="1072" customWidth="1"/>
    <col min="15112" max="15112" width="14.7265625" style="1072" customWidth="1"/>
    <col min="15113" max="15115" width="11.1796875" style="1072" customWidth="1"/>
    <col min="15116" max="15118" width="14.7265625" style="1072" customWidth="1"/>
    <col min="15119" max="15119" width="18.7265625" style="1072" customWidth="1"/>
    <col min="15120" max="15122" width="14.7265625" style="1072" customWidth="1"/>
    <col min="15123" max="15123" width="17.81640625" style="1072" customWidth="1"/>
    <col min="15124" max="15124" width="18.54296875" style="1072" customWidth="1"/>
    <col min="15125" max="15125" width="13.7265625" style="1072" customWidth="1"/>
    <col min="15126" max="15127" width="14.7265625" style="1072" customWidth="1"/>
    <col min="15128" max="15130" width="15" style="1072" customWidth="1"/>
    <col min="15131" max="15131" width="14.7265625" style="1072" customWidth="1"/>
    <col min="15132" max="15132" width="16.26953125" style="1072" customWidth="1"/>
    <col min="15133" max="15134" width="14.7265625" style="1072"/>
    <col min="15135" max="15135" width="21.7265625" style="1072" bestFit="1" customWidth="1"/>
    <col min="15136" max="15360" width="14.7265625" style="1072"/>
    <col min="15361" max="15361" width="9" style="1072" customWidth="1"/>
    <col min="15362" max="15362" width="39.26953125" style="1072" customWidth="1"/>
    <col min="15363" max="15363" width="11" style="1072" customWidth="1"/>
    <col min="15364" max="15364" width="20" style="1072" customWidth="1"/>
    <col min="15365" max="15365" width="20.1796875" style="1072" customWidth="1"/>
    <col min="15366" max="15366" width="14.7265625" style="1072" customWidth="1"/>
    <col min="15367" max="15367" width="13.7265625" style="1072" customWidth="1"/>
    <col min="15368" max="15368" width="14.7265625" style="1072" customWidth="1"/>
    <col min="15369" max="15371" width="11.1796875" style="1072" customWidth="1"/>
    <col min="15372" max="15374" width="14.7265625" style="1072" customWidth="1"/>
    <col min="15375" max="15375" width="18.7265625" style="1072" customWidth="1"/>
    <col min="15376" max="15378" width="14.7265625" style="1072" customWidth="1"/>
    <col min="15379" max="15379" width="17.81640625" style="1072" customWidth="1"/>
    <col min="15380" max="15380" width="18.54296875" style="1072" customWidth="1"/>
    <col min="15381" max="15381" width="13.7265625" style="1072" customWidth="1"/>
    <col min="15382" max="15383" width="14.7265625" style="1072" customWidth="1"/>
    <col min="15384" max="15386" width="15" style="1072" customWidth="1"/>
    <col min="15387" max="15387" width="14.7265625" style="1072" customWidth="1"/>
    <col min="15388" max="15388" width="16.26953125" style="1072" customWidth="1"/>
    <col min="15389" max="15390" width="14.7265625" style="1072"/>
    <col min="15391" max="15391" width="21.7265625" style="1072" bestFit="1" customWidth="1"/>
    <col min="15392" max="15616" width="14.7265625" style="1072"/>
    <col min="15617" max="15617" width="9" style="1072" customWidth="1"/>
    <col min="15618" max="15618" width="39.26953125" style="1072" customWidth="1"/>
    <col min="15619" max="15619" width="11" style="1072" customWidth="1"/>
    <col min="15620" max="15620" width="20" style="1072" customWidth="1"/>
    <col min="15621" max="15621" width="20.1796875" style="1072" customWidth="1"/>
    <col min="15622" max="15622" width="14.7265625" style="1072" customWidth="1"/>
    <col min="15623" max="15623" width="13.7265625" style="1072" customWidth="1"/>
    <col min="15624" max="15624" width="14.7265625" style="1072" customWidth="1"/>
    <col min="15625" max="15627" width="11.1796875" style="1072" customWidth="1"/>
    <col min="15628" max="15630" width="14.7265625" style="1072" customWidth="1"/>
    <col min="15631" max="15631" width="18.7265625" style="1072" customWidth="1"/>
    <col min="15632" max="15634" width="14.7265625" style="1072" customWidth="1"/>
    <col min="15635" max="15635" width="17.81640625" style="1072" customWidth="1"/>
    <col min="15636" max="15636" width="18.54296875" style="1072" customWidth="1"/>
    <col min="15637" max="15637" width="13.7265625" style="1072" customWidth="1"/>
    <col min="15638" max="15639" width="14.7265625" style="1072" customWidth="1"/>
    <col min="15640" max="15642" width="15" style="1072" customWidth="1"/>
    <col min="15643" max="15643" width="14.7265625" style="1072" customWidth="1"/>
    <col min="15644" max="15644" width="16.26953125" style="1072" customWidth="1"/>
    <col min="15645" max="15646" width="14.7265625" style="1072"/>
    <col min="15647" max="15647" width="21.7265625" style="1072" bestFit="1" customWidth="1"/>
    <col min="15648" max="15872" width="14.7265625" style="1072"/>
    <col min="15873" max="15873" width="9" style="1072" customWidth="1"/>
    <col min="15874" max="15874" width="39.26953125" style="1072" customWidth="1"/>
    <col min="15875" max="15875" width="11" style="1072" customWidth="1"/>
    <col min="15876" max="15876" width="20" style="1072" customWidth="1"/>
    <col min="15877" max="15877" width="20.1796875" style="1072" customWidth="1"/>
    <col min="15878" max="15878" width="14.7265625" style="1072" customWidth="1"/>
    <col min="15879" max="15879" width="13.7265625" style="1072" customWidth="1"/>
    <col min="15880" max="15880" width="14.7265625" style="1072" customWidth="1"/>
    <col min="15881" max="15883" width="11.1796875" style="1072" customWidth="1"/>
    <col min="15884" max="15886" width="14.7265625" style="1072" customWidth="1"/>
    <col min="15887" max="15887" width="18.7265625" style="1072" customWidth="1"/>
    <col min="15888" max="15890" width="14.7265625" style="1072" customWidth="1"/>
    <col min="15891" max="15891" width="17.81640625" style="1072" customWidth="1"/>
    <col min="15892" max="15892" width="18.54296875" style="1072" customWidth="1"/>
    <col min="15893" max="15893" width="13.7265625" style="1072" customWidth="1"/>
    <col min="15894" max="15895" width="14.7265625" style="1072" customWidth="1"/>
    <col min="15896" max="15898" width="15" style="1072" customWidth="1"/>
    <col min="15899" max="15899" width="14.7265625" style="1072" customWidth="1"/>
    <col min="15900" max="15900" width="16.26953125" style="1072" customWidth="1"/>
    <col min="15901" max="15902" width="14.7265625" style="1072"/>
    <col min="15903" max="15903" width="21.7265625" style="1072" bestFit="1" customWidth="1"/>
    <col min="15904" max="16128" width="14.7265625" style="1072"/>
    <col min="16129" max="16129" width="9" style="1072" customWidth="1"/>
    <col min="16130" max="16130" width="39.26953125" style="1072" customWidth="1"/>
    <col min="16131" max="16131" width="11" style="1072" customWidth="1"/>
    <col min="16132" max="16132" width="20" style="1072" customWidth="1"/>
    <col min="16133" max="16133" width="20.1796875" style="1072" customWidth="1"/>
    <col min="16134" max="16134" width="14.7265625" style="1072" customWidth="1"/>
    <col min="16135" max="16135" width="13.7265625" style="1072" customWidth="1"/>
    <col min="16136" max="16136" width="14.7265625" style="1072" customWidth="1"/>
    <col min="16137" max="16139" width="11.1796875" style="1072" customWidth="1"/>
    <col min="16140" max="16142" width="14.7265625" style="1072" customWidth="1"/>
    <col min="16143" max="16143" width="18.7265625" style="1072" customWidth="1"/>
    <col min="16144" max="16146" width="14.7265625" style="1072" customWidth="1"/>
    <col min="16147" max="16147" width="17.81640625" style="1072" customWidth="1"/>
    <col min="16148" max="16148" width="18.54296875" style="1072" customWidth="1"/>
    <col min="16149" max="16149" width="13.7265625" style="1072" customWidth="1"/>
    <col min="16150" max="16151" width="14.7265625" style="1072" customWidth="1"/>
    <col min="16152" max="16154" width="15" style="1072" customWidth="1"/>
    <col min="16155" max="16155" width="14.7265625" style="1072" customWidth="1"/>
    <col min="16156" max="16156" width="16.26953125" style="1072" customWidth="1"/>
    <col min="16157" max="16158" width="14.7265625" style="1072"/>
    <col min="16159" max="16159" width="21.7265625" style="1072" bestFit="1" customWidth="1"/>
    <col min="16160" max="16384" width="14.7265625" style="1072"/>
  </cols>
  <sheetData>
    <row r="1" spans="1:32" ht="18">
      <c r="B1" s="1580" t="s">
        <v>5525</v>
      </c>
      <c r="O1" s="1089" t="s">
        <v>124</v>
      </c>
      <c r="P1" s="1090" t="s">
        <v>4149</v>
      </c>
      <c r="R1" s="1091"/>
      <c r="X1" s="1098">
        <f>Y65+Z65</f>
        <v>18.673533595384257</v>
      </c>
      <c r="AE1" s="1089" t="s">
        <v>124</v>
      </c>
      <c r="AF1" s="1090" t="s">
        <v>4149</v>
      </c>
    </row>
    <row r="2" spans="1:32" ht="25">
      <c r="A2" s="1133" t="s">
        <v>4727</v>
      </c>
      <c r="B2" s="1134"/>
      <c r="C2" s="1134"/>
      <c r="D2" s="3519" t="s">
        <v>4151</v>
      </c>
      <c r="E2" s="3519"/>
      <c r="F2" s="3519"/>
      <c r="G2" s="3519"/>
      <c r="H2" s="1134"/>
      <c r="I2" s="1135"/>
      <c r="J2" s="1134"/>
      <c r="K2" s="1134"/>
      <c r="L2" s="1134"/>
      <c r="M2" s="1134"/>
      <c r="N2" s="1134"/>
      <c r="O2" s="1134"/>
      <c r="P2" s="1134"/>
      <c r="Q2" s="1134"/>
      <c r="R2" s="1136"/>
      <c r="S2" s="1134"/>
      <c r="T2" s="1134"/>
      <c r="U2" s="1134"/>
      <c r="V2" s="1134"/>
      <c r="W2" s="1134"/>
      <c r="X2" s="1134"/>
      <c r="Y2" s="1134"/>
      <c r="Z2" s="1134"/>
      <c r="AA2" s="1134"/>
      <c r="AB2" s="1137"/>
      <c r="AC2" s="3518" t="s">
        <v>4152</v>
      </c>
      <c r="AD2" s="3518"/>
      <c r="AE2" s="3518"/>
      <c r="AF2" s="3518"/>
    </row>
    <row r="3" spans="1:32" ht="16.5" customHeight="1" thickBot="1">
      <c r="B3" s="1134"/>
      <c r="C3" s="1134"/>
      <c r="D3" s="1134"/>
      <c r="E3" s="1134"/>
      <c r="F3" s="1134"/>
      <c r="G3" s="1134"/>
      <c r="H3" s="1134"/>
      <c r="I3" s="1135"/>
      <c r="J3" s="1134"/>
      <c r="K3" s="1134"/>
      <c r="L3" s="1134"/>
      <c r="M3" s="1134"/>
      <c r="N3" s="1134"/>
      <c r="O3" s="1134"/>
      <c r="P3" s="1134"/>
      <c r="Q3" s="1134"/>
      <c r="R3" s="1136"/>
      <c r="S3" s="1134"/>
      <c r="T3" s="1134"/>
      <c r="U3" s="1134"/>
      <c r="V3" s="1134"/>
      <c r="W3" s="1134"/>
      <c r="X3" s="1134"/>
      <c r="Y3" s="1134"/>
      <c r="Z3" s="1134"/>
      <c r="AA3" s="1134"/>
      <c r="AB3" s="1137"/>
      <c r="AC3" s="1137"/>
      <c r="AD3" s="1137"/>
      <c r="AE3" s="1137"/>
      <c r="AF3" s="1137"/>
    </row>
    <row r="4" spans="1:32" ht="15" customHeight="1">
      <c r="A4" s="2520" t="s">
        <v>894</v>
      </c>
      <c r="B4" s="2521" t="s">
        <v>4072</v>
      </c>
      <c r="C4" s="2521" t="s">
        <v>1362</v>
      </c>
      <c r="D4" s="2521" t="s">
        <v>4153</v>
      </c>
      <c r="E4" s="2521" t="s">
        <v>4153</v>
      </c>
      <c r="F4" s="2521" t="s">
        <v>4154</v>
      </c>
      <c r="G4" s="2521" t="s">
        <v>4155</v>
      </c>
      <c r="H4" s="2521" t="s">
        <v>4156</v>
      </c>
      <c r="I4" s="2521" t="s">
        <v>4157</v>
      </c>
      <c r="J4" s="2521" t="s">
        <v>4158</v>
      </c>
      <c r="K4" s="2521" t="s">
        <v>4158</v>
      </c>
      <c r="L4" s="2522" t="s">
        <v>4159</v>
      </c>
      <c r="M4" s="2523"/>
      <c r="N4" s="2523" t="s">
        <v>4160</v>
      </c>
      <c r="O4" s="2521" t="s">
        <v>4161</v>
      </c>
      <c r="P4" s="2521" t="s">
        <v>1506</v>
      </c>
      <c r="Q4" s="2521" t="s">
        <v>4162</v>
      </c>
      <c r="R4" s="2521" t="s">
        <v>4162</v>
      </c>
      <c r="S4" s="2521" t="s">
        <v>4162</v>
      </c>
      <c r="T4" s="2521" t="s">
        <v>4162</v>
      </c>
      <c r="U4" s="2521" t="s">
        <v>1101</v>
      </c>
      <c r="V4" s="2521" t="s">
        <v>4163</v>
      </c>
      <c r="W4" s="2521" t="s">
        <v>1506</v>
      </c>
      <c r="X4" s="2524" t="s">
        <v>4153</v>
      </c>
      <c r="Y4" s="2524" t="s">
        <v>4153</v>
      </c>
      <c r="Z4" s="2524" t="s">
        <v>4153</v>
      </c>
      <c r="AA4" s="2521" t="s">
        <v>1101</v>
      </c>
      <c r="AB4" s="2521" t="s">
        <v>1506</v>
      </c>
      <c r="AC4" s="2521" t="s">
        <v>4164</v>
      </c>
      <c r="AD4" s="2521" t="s">
        <v>1101</v>
      </c>
      <c r="AE4" s="2521" t="s">
        <v>1101</v>
      </c>
      <c r="AF4" s="2525" t="s">
        <v>4165</v>
      </c>
    </row>
    <row r="5" spans="1:32" ht="15" customHeight="1">
      <c r="A5" s="2496" t="s">
        <v>900</v>
      </c>
      <c r="B5" s="1144"/>
      <c r="C5" s="1144" t="s">
        <v>4166</v>
      </c>
      <c r="D5" s="1144" t="s">
        <v>4167</v>
      </c>
      <c r="E5" s="1144" t="s">
        <v>4167</v>
      </c>
      <c r="F5" s="1144" t="s">
        <v>1581</v>
      </c>
      <c r="G5" s="1144" t="s">
        <v>4157</v>
      </c>
      <c r="H5" s="1144" t="s">
        <v>4168</v>
      </c>
      <c r="I5" s="1144" t="s">
        <v>4169</v>
      </c>
      <c r="J5" s="1144" t="s">
        <v>4169</v>
      </c>
      <c r="K5" s="1144" t="s">
        <v>4169</v>
      </c>
      <c r="L5" s="1145" t="s">
        <v>4170</v>
      </c>
      <c r="M5" s="1139" t="s">
        <v>4171</v>
      </c>
      <c r="N5" s="1146" t="s">
        <v>4172</v>
      </c>
      <c r="O5" s="1144" t="s">
        <v>4173</v>
      </c>
      <c r="P5" s="1144" t="s">
        <v>4169</v>
      </c>
      <c r="Q5" s="1144" t="s">
        <v>4174</v>
      </c>
      <c r="R5" s="1144" t="s">
        <v>4174</v>
      </c>
      <c r="S5" s="1144" t="s">
        <v>4175</v>
      </c>
      <c r="T5" s="1144" t="s">
        <v>4176</v>
      </c>
      <c r="U5" s="1144" t="s">
        <v>4162</v>
      </c>
      <c r="V5" s="1144"/>
      <c r="W5" s="1144" t="s">
        <v>4169</v>
      </c>
      <c r="X5" s="1144" t="s">
        <v>4177</v>
      </c>
      <c r="Y5" s="1144" t="s">
        <v>4163</v>
      </c>
      <c r="Z5" s="1144" t="s">
        <v>4163</v>
      </c>
      <c r="AA5" s="1144" t="s">
        <v>4162</v>
      </c>
      <c r="AB5" s="1147" t="s">
        <v>4178</v>
      </c>
      <c r="AC5" s="1144" t="s">
        <v>4179</v>
      </c>
      <c r="AD5" s="1144" t="s">
        <v>4180</v>
      </c>
      <c r="AE5" s="1144" t="s">
        <v>4169</v>
      </c>
      <c r="AF5" s="2497" t="s">
        <v>4181</v>
      </c>
    </row>
    <row r="6" spans="1:32" ht="15" customHeight="1">
      <c r="A6" s="2496" t="s">
        <v>942</v>
      </c>
      <c r="B6" s="1144"/>
      <c r="C6" s="1144"/>
      <c r="D6" s="1144" t="s">
        <v>4182</v>
      </c>
      <c r="E6" s="1144" t="s">
        <v>4182</v>
      </c>
      <c r="F6" s="1144"/>
      <c r="G6" s="1144" t="s">
        <v>1101</v>
      </c>
      <c r="H6" s="1144" t="s">
        <v>4183</v>
      </c>
      <c r="I6" s="1144"/>
      <c r="J6" s="1144"/>
      <c r="K6" s="1144"/>
      <c r="L6" s="1144"/>
      <c r="M6" s="1144"/>
      <c r="N6" s="1144" t="s">
        <v>4169</v>
      </c>
      <c r="O6" s="1144" t="s">
        <v>4184</v>
      </c>
      <c r="P6" s="1144"/>
      <c r="Q6" s="1144" t="s">
        <v>4157</v>
      </c>
      <c r="R6" s="1144" t="s">
        <v>4158</v>
      </c>
      <c r="S6" s="1144" t="s">
        <v>4185</v>
      </c>
      <c r="T6" s="1144" t="s">
        <v>4172</v>
      </c>
      <c r="U6" s="1144"/>
      <c r="V6" s="1144"/>
      <c r="W6" s="1144" t="s">
        <v>4186</v>
      </c>
      <c r="X6" s="1147" t="s">
        <v>4187</v>
      </c>
      <c r="Y6" s="1147"/>
      <c r="Z6" s="1147" t="s">
        <v>4188</v>
      </c>
      <c r="AA6" s="1144" t="s">
        <v>4186</v>
      </c>
      <c r="AB6" s="1147" t="s">
        <v>4189</v>
      </c>
      <c r="AC6" s="1144"/>
      <c r="AD6" s="1144" t="s">
        <v>4190</v>
      </c>
      <c r="AE6" s="1144" t="s">
        <v>4191</v>
      </c>
      <c r="AF6" s="2497" t="s">
        <v>4192</v>
      </c>
    </row>
    <row r="7" spans="1:32" ht="15" customHeight="1">
      <c r="A7" s="2496"/>
      <c r="B7" s="1144"/>
      <c r="C7" s="1144"/>
      <c r="D7" s="1144" t="s">
        <v>1101</v>
      </c>
      <c r="E7" s="1144" t="s">
        <v>4423</v>
      </c>
      <c r="F7" s="1144"/>
      <c r="G7" s="1144"/>
      <c r="H7" s="1144" t="s">
        <v>4194</v>
      </c>
      <c r="I7" s="1144"/>
      <c r="J7" s="1144"/>
      <c r="K7" s="1144"/>
      <c r="L7" s="1144"/>
      <c r="M7" s="1144"/>
      <c r="N7" s="1144" t="s">
        <v>4195</v>
      </c>
      <c r="O7" s="1144" t="s">
        <v>4169</v>
      </c>
      <c r="P7" s="1144"/>
      <c r="Q7" s="1144" t="s">
        <v>4169</v>
      </c>
      <c r="R7" s="1144" t="s">
        <v>4169</v>
      </c>
      <c r="S7" s="1144" t="s">
        <v>4196</v>
      </c>
      <c r="T7" s="1144" t="s">
        <v>4169</v>
      </c>
      <c r="U7" s="1144"/>
      <c r="V7" s="1144"/>
      <c r="W7" s="1144" t="s">
        <v>4163</v>
      </c>
      <c r="X7" s="1148"/>
      <c r="Y7" s="1148"/>
      <c r="Z7" s="1148"/>
      <c r="AA7" s="1144" t="s">
        <v>4163</v>
      </c>
      <c r="AB7" s="1147" t="s">
        <v>1364</v>
      </c>
      <c r="AC7" s="1144"/>
      <c r="AD7" s="1144"/>
      <c r="AE7" s="1144" t="s">
        <v>4197</v>
      </c>
      <c r="AF7" s="2497" t="s">
        <v>4198</v>
      </c>
    </row>
    <row r="8" spans="1:32" ht="15" customHeight="1">
      <c r="A8" s="2496"/>
      <c r="B8" s="1144"/>
      <c r="C8" s="1144"/>
      <c r="D8" s="1144"/>
      <c r="E8" s="1144" t="s">
        <v>4199</v>
      </c>
      <c r="F8" s="1144"/>
      <c r="G8" s="1144"/>
      <c r="H8" s="1144" t="s">
        <v>4200</v>
      </c>
      <c r="I8" s="1144"/>
      <c r="J8" s="1144"/>
      <c r="K8" s="1144"/>
      <c r="L8" s="1144"/>
      <c r="M8" s="1144"/>
      <c r="N8" s="1144" t="s">
        <v>4201</v>
      </c>
      <c r="O8" s="1144" t="s">
        <v>4202</v>
      </c>
      <c r="P8" s="1144"/>
      <c r="Q8" s="1149"/>
      <c r="R8" s="1149"/>
      <c r="S8" s="1149" t="s">
        <v>4169</v>
      </c>
      <c r="T8" s="1149"/>
      <c r="U8" s="1144"/>
      <c r="V8" s="1144"/>
      <c r="W8" s="1144"/>
      <c r="X8" s="1148"/>
      <c r="Y8" s="1148"/>
      <c r="Z8" s="1148"/>
      <c r="AA8" s="1144"/>
      <c r="AB8" s="1144" t="s">
        <v>4203</v>
      </c>
      <c r="AC8" s="1144"/>
      <c r="AD8" s="1144"/>
      <c r="AE8" s="1144" t="s">
        <v>4204</v>
      </c>
      <c r="AF8" s="2497"/>
    </row>
    <row r="9" spans="1:32" ht="15" customHeight="1">
      <c r="A9" s="2496"/>
      <c r="B9" s="1144"/>
      <c r="C9" s="1144"/>
      <c r="D9" s="1144" t="s">
        <v>461</v>
      </c>
      <c r="E9" s="1144" t="s">
        <v>461</v>
      </c>
      <c r="F9" s="1144"/>
      <c r="G9" s="1144" t="s">
        <v>3672</v>
      </c>
      <c r="H9" s="1144" t="s">
        <v>3672</v>
      </c>
      <c r="I9" s="1144" t="s">
        <v>4205</v>
      </c>
      <c r="J9" s="1144" t="s">
        <v>4206</v>
      </c>
      <c r="K9" s="1144" t="s">
        <v>4206</v>
      </c>
      <c r="L9" s="1144" t="s">
        <v>196</v>
      </c>
      <c r="M9" s="1144" t="s">
        <v>196</v>
      </c>
      <c r="N9" s="1144" t="s">
        <v>196</v>
      </c>
      <c r="O9" s="1144" t="s">
        <v>4207</v>
      </c>
      <c r="P9" s="1144" t="s">
        <v>4206</v>
      </c>
      <c r="Q9" s="1144" t="s">
        <v>4208</v>
      </c>
      <c r="R9" s="1144" t="s">
        <v>4208</v>
      </c>
      <c r="S9" s="1144" t="s">
        <v>4208</v>
      </c>
      <c r="T9" s="1144" t="s">
        <v>4208</v>
      </c>
      <c r="U9" s="1144" t="s">
        <v>4208</v>
      </c>
      <c r="V9" s="1144" t="s">
        <v>4206</v>
      </c>
      <c r="W9" s="1144" t="s">
        <v>4206</v>
      </c>
      <c r="X9" s="1144" t="s">
        <v>461</v>
      </c>
      <c r="Y9" s="1144" t="s">
        <v>4208</v>
      </c>
      <c r="Z9" s="1144" t="s">
        <v>4208</v>
      </c>
      <c r="AA9" s="1144" t="s">
        <v>4208</v>
      </c>
      <c r="AB9" s="1144" t="s">
        <v>460</v>
      </c>
      <c r="AC9" s="1144" t="s">
        <v>4206</v>
      </c>
      <c r="AD9" s="1144" t="s">
        <v>4209</v>
      </c>
      <c r="AE9" s="1144" t="s">
        <v>4210</v>
      </c>
      <c r="AF9" s="2497"/>
    </row>
    <row r="10" spans="1:32" ht="14.25" customHeight="1">
      <c r="A10" s="2526">
        <v>1</v>
      </c>
      <c r="B10" s="1150">
        <v>2</v>
      </c>
      <c r="C10" s="1150">
        <v>3</v>
      </c>
      <c r="D10" s="1150">
        <v>4</v>
      </c>
      <c r="E10" s="1150">
        <v>5</v>
      </c>
      <c r="F10" s="1150">
        <v>6</v>
      </c>
      <c r="G10" s="1150">
        <v>7</v>
      </c>
      <c r="H10" s="1150">
        <v>8</v>
      </c>
      <c r="I10" s="1150">
        <v>9</v>
      </c>
      <c r="J10" s="1150">
        <v>10</v>
      </c>
      <c r="K10" s="1150">
        <v>11</v>
      </c>
      <c r="L10" s="1150">
        <v>12</v>
      </c>
      <c r="M10" s="1150">
        <v>13</v>
      </c>
      <c r="N10" s="1150">
        <v>14</v>
      </c>
      <c r="O10" s="1150">
        <v>15</v>
      </c>
      <c r="P10" s="1150">
        <v>16</v>
      </c>
      <c r="Q10" s="1150">
        <v>17</v>
      </c>
      <c r="R10" s="1150">
        <v>18</v>
      </c>
      <c r="S10" s="1150">
        <v>19</v>
      </c>
      <c r="T10" s="1150">
        <v>20</v>
      </c>
      <c r="U10" s="1150">
        <v>21</v>
      </c>
      <c r="V10" s="1150">
        <v>22</v>
      </c>
      <c r="W10" s="1150">
        <v>23</v>
      </c>
      <c r="X10" s="1150">
        <v>24</v>
      </c>
      <c r="Y10" s="1150">
        <v>25</v>
      </c>
      <c r="Z10" s="1150">
        <v>26</v>
      </c>
      <c r="AA10" s="1150">
        <v>27</v>
      </c>
      <c r="AB10" s="1150">
        <v>28</v>
      </c>
      <c r="AC10" s="1150">
        <v>29</v>
      </c>
      <c r="AD10" s="1150">
        <v>30</v>
      </c>
      <c r="AE10" s="1150">
        <v>31</v>
      </c>
      <c r="AF10" s="2527">
        <v>32</v>
      </c>
    </row>
    <row r="11" spans="1:32" ht="15" customHeight="1">
      <c r="A11" s="2528"/>
      <c r="B11" s="1151" t="s">
        <v>4079</v>
      </c>
      <c r="C11" s="1152"/>
      <c r="D11" s="1153"/>
      <c r="E11" s="1153"/>
      <c r="F11" s="1153"/>
      <c r="G11" s="1154"/>
      <c r="H11" s="1154"/>
      <c r="I11" s="1153"/>
      <c r="J11" s="1154"/>
      <c r="K11" s="1154"/>
      <c r="L11" s="1153"/>
      <c r="M11" s="1153"/>
      <c r="N11" s="1153"/>
      <c r="O11" s="1154"/>
      <c r="P11" s="1154"/>
      <c r="Q11" s="1255"/>
      <c r="R11" s="1259"/>
      <c r="S11" s="1154"/>
      <c r="T11" s="1154"/>
      <c r="U11" s="1154"/>
      <c r="V11" s="1154"/>
      <c r="W11" s="1154"/>
      <c r="X11" s="1154"/>
      <c r="Y11" s="1154"/>
      <c r="Z11" s="1154"/>
      <c r="AA11" s="1154"/>
      <c r="AB11" s="1154"/>
      <c r="AC11" s="1153"/>
      <c r="AD11" s="1153"/>
      <c r="AE11" s="1153"/>
      <c r="AF11" s="2529"/>
    </row>
    <row r="12" spans="1:32" ht="15" customHeight="1">
      <c r="A12" s="2530">
        <v>1</v>
      </c>
      <c r="B12" s="1155" t="s">
        <v>462</v>
      </c>
      <c r="C12" s="1156" t="s">
        <v>1496</v>
      </c>
      <c r="D12" s="1157"/>
      <c r="E12" s="1157"/>
      <c r="F12" s="1157"/>
      <c r="G12" s="1158"/>
      <c r="H12" s="1158"/>
      <c r="I12" s="1157"/>
      <c r="J12" s="1158"/>
      <c r="K12" s="1158"/>
      <c r="L12" s="1157"/>
      <c r="M12" s="1157"/>
      <c r="N12" s="1157"/>
      <c r="O12" s="1158"/>
      <c r="P12" s="1158"/>
      <c r="Q12" s="1256"/>
      <c r="R12" s="1256"/>
      <c r="S12" s="1158"/>
      <c r="T12" s="1158"/>
      <c r="U12" s="1158"/>
      <c r="V12" s="1159">
        <v>0.1</v>
      </c>
      <c r="W12" s="1157"/>
      <c r="X12" s="1158"/>
      <c r="Y12" s="1158"/>
      <c r="Z12" s="1158"/>
      <c r="AA12" s="1158"/>
      <c r="AB12" s="1158"/>
      <c r="AC12" s="1157"/>
      <c r="AD12" s="1157"/>
      <c r="AE12" s="1157"/>
      <c r="AF12" s="2531"/>
    </row>
    <row r="13" spans="1:32" ht="15" customHeight="1">
      <c r="A13" s="2530"/>
      <c r="B13" s="1160" t="s">
        <v>1323</v>
      </c>
      <c r="C13" s="1161"/>
      <c r="D13" s="1162">
        <f>'T-1'!K9</f>
        <v>20</v>
      </c>
      <c r="E13" s="1157"/>
      <c r="F13" s="1157">
        <f>'T-1'!G9</f>
        <v>145724</v>
      </c>
      <c r="G13" s="1157">
        <f>'T-1'!H9</f>
        <v>37968.627</v>
      </c>
      <c r="H13" s="1157">
        <v>0</v>
      </c>
      <c r="I13" s="1157"/>
      <c r="J13" s="1158"/>
      <c r="K13" s="1158"/>
      <c r="L13" s="1157">
        <v>80</v>
      </c>
      <c r="M13" s="1157"/>
      <c r="N13" s="1157"/>
      <c r="O13" s="1158"/>
      <c r="P13" s="1158"/>
      <c r="Q13" s="1256"/>
      <c r="R13" s="1256"/>
      <c r="S13" s="1163">
        <f>F13*L13*12/10000000</f>
        <v>13.989504</v>
      </c>
      <c r="T13" s="1158"/>
      <c r="U13" s="1163">
        <f t="shared" ref="U13:U18" si="0">Q13+R13+S13+T13</f>
        <v>13.989504</v>
      </c>
      <c r="V13" s="1159"/>
      <c r="W13" s="1157"/>
      <c r="X13" s="1158"/>
      <c r="Y13" s="1158"/>
      <c r="Z13" s="1158"/>
      <c r="AA13" s="1163">
        <f>U13-Y13-Z13</f>
        <v>13.989504</v>
      </c>
      <c r="AB13" s="1158"/>
      <c r="AC13" s="1157"/>
      <c r="AD13" s="1157"/>
      <c r="AE13" s="1157"/>
      <c r="AF13" s="2531"/>
    </row>
    <row r="14" spans="1:32" ht="15" customHeight="1">
      <c r="A14" s="2530"/>
      <c r="B14" s="1160" t="s">
        <v>116</v>
      </c>
      <c r="C14" s="1161"/>
      <c r="D14" s="1162">
        <f>SUM(D15:D19)</f>
        <v>1750.2499146249647</v>
      </c>
      <c r="E14" s="1158"/>
      <c r="F14" s="1157">
        <f>'T-1'!G10</f>
        <v>2090814</v>
      </c>
      <c r="G14" s="1157">
        <f>'T-1'!H10</f>
        <v>2285954.1519999998</v>
      </c>
      <c r="H14" s="1164">
        <f>G14-'T-2 (A-S)'!C11-'T-2 (A-S)'!C12-'T-2 (A-S)'!C13-'T-2 (A-S)'!C14-'T-2 (A-S)'!C30-'T-2 (A-S)'!C31-'T-2 (A-S)'!C32-'T-2 (A-S)'!C33-'T-2 (A-S)'!D10-'T-2 (A-S)'!D29</f>
        <v>782965.09299999964</v>
      </c>
      <c r="I14" s="1157"/>
      <c r="J14" s="1158"/>
      <c r="K14" s="1158"/>
      <c r="L14" s="1165">
        <v>20</v>
      </c>
      <c r="M14" s="1165">
        <v>20</v>
      </c>
      <c r="N14" s="1157"/>
      <c r="O14" s="1158"/>
      <c r="P14" s="1158"/>
      <c r="Q14" s="1256"/>
      <c r="R14" s="1258">
        <f>SUM(R15:R19)</f>
        <v>747.93079197590612</v>
      </c>
      <c r="S14" s="1159">
        <f>(F14*L14+H14*M14)*12/10000000</f>
        <v>68.97069823199999</v>
      </c>
      <c r="T14" s="1158"/>
      <c r="U14" s="1163">
        <f t="shared" si="0"/>
        <v>816.90149020790614</v>
      </c>
      <c r="V14" s="1159">
        <v>0.1</v>
      </c>
      <c r="W14" s="1163"/>
      <c r="X14" s="1163">
        <f>D14*0.465</f>
        <v>813.8662103006086</v>
      </c>
      <c r="Y14" s="1163">
        <f>X14/100</f>
        <v>8.1386621030060855</v>
      </c>
      <c r="Z14" s="1163"/>
      <c r="AA14" s="1163">
        <f>U14-Y14-Z14</f>
        <v>808.7628281049</v>
      </c>
      <c r="AB14" s="1158"/>
      <c r="AC14" s="1157"/>
      <c r="AD14" s="1157"/>
      <c r="AE14" s="1157"/>
      <c r="AF14" s="2532"/>
    </row>
    <row r="15" spans="1:32" ht="15" customHeight="1">
      <c r="A15" s="2530"/>
      <c r="B15" s="1167" t="s">
        <v>4080</v>
      </c>
      <c r="C15" s="1161"/>
      <c r="D15" s="1162">
        <f>'T-1'!K11</f>
        <v>788.01887334128571</v>
      </c>
      <c r="E15" s="1158"/>
      <c r="F15" s="1158"/>
      <c r="G15" s="1158"/>
      <c r="H15" s="1158"/>
      <c r="I15" s="1157"/>
      <c r="J15" s="1165">
        <v>300</v>
      </c>
      <c r="K15" s="1165"/>
      <c r="L15" s="1165"/>
      <c r="M15" s="1165"/>
      <c r="N15" s="1157"/>
      <c r="O15" s="1158"/>
      <c r="P15" s="1158"/>
      <c r="Q15" s="1256"/>
      <c r="R15" s="1257">
        <f>D15*J15/1000</f>
        <v>236.4056620023857</v>
      </c>
      <c r="S15" s="1158"/>
      <c r="T15" s="1158"/>
      <c r="U15" s="1163">
        <f t="shared" si="0"/>
        <v>236.4056620023857</v>
      </c>
      <c r="V15" s="1159"/>
      <c r="W15" s="1163"/>
      <c r="X15" s="1168"/>
      <c r="Y15" s="1168"/>
      <c r="Z15" s="1163"/>
      <c r="AA15" s="1163"/>
      <c r="AB15" s="1158"/>
      <c r="AC15" s="1157"/>
      <c r="AD15" s="1157"/>
      <c r="AE15" s="1157"/>
      <c r="AF15" s="2532"/>
    </row>
    <row r="16" spans="1:32" ht="15" customHeight="1">
      <c r="A16" s="2530"/>
      <c r="B16" s="1160" t="s">
        <v>4081</v>
      </c>
      <c r="C16" s="1161"/>
      <c r="D16" s="1162">
        <f>'T-1'!K12</f>
        <v>564.59951304771357</v>
      </c>
      <c r="E16" s="1158"/>
      <c r="F16" s="1158"/>
      <c r="G16" s="1158"/>
      <c r="H16" s="1158"/>
      <c r="I16" s="1157"/>
      <c r="J16" s="1165">
        <v>480</v>
      </c>
      <c r="K16" s="1165"/>
      <c r="L16" s="1165"/>
      <c r="M16" s="1165"/>
      <c r="N16" s="1157"/>
      <c r="O16" s="1158"/>
      <c r="P16" s="1158"/>
      <c r="Q16" s="1256"/>
      <c r="R16" s="1257">
        <f>D16*J16/1000</f>
        <v>271.00776626290252</v>
      </c>
      <c r="S16" s="1158"/>
      <c r="T16" s="1158"/>
      <c r="U16" s="1163">
        <f t="shared" si="0"/>
        <v>271.00776626290252</v>
      </c>
      <c r="V16" s="1159"/>
      <c r="W16" s="1163"/>
      <c r="X16" s="1168"/>
      <c r="Y16" s="1168"/>
      <c r="Z16" s="1163"/>
      <c r="AA16" s="1163"/>
      <c r="AB16" s="1158"/>
      <c r="AC16" s="1157"/>
      <c r="AD16" s="1157"/>
      <c r="AE16" s="1157"/>
      <c r="AF16" s="2532"/>
    </row>
    <row r="17" spans="1:32" ht="15" customHeight="1">
      <c r="A17" s="2530"/>
      <c r="B17" s="1160" t="s">
        <v>4082</v>
      </c>
      <c r="C17" s="1161"/>
      <c r="D17" s="1162">
        <f>'T-1'!K13</f>
        <v>150.3545948920171</v>
      </c>
      <c r="E17" s="1158"/>
      <c r="F17" s="1158"/>
      <c r="G17" s="1158"/>
      <c r="H17" s="1158"/>
      <c r="I17" s="1157"/>
      <c r="J17" s="1165">
        <v>580</v>
      </c>
      <c r="K17" s="1165"/>
      <c r="L17" s="1165"/>
      <c r="M17" s="1165"/>
      <c r="N17" s="1157"/>
      <c r="O17" s="1158"/>
      <c r="P17" s="1158"/>
      <c r="Q17" s="1256"/>
      <c r="R17" s="1257">
        <f>D17*J17/1000</f>
        <v>87.205665037369926</v>
      </c>
      <c r="S17" s="1158"/>
      <c r="T17" s="1158"/>
      <c r="U17" s="1163">
        <f t="shared" si="0"/>
        <v>87.205665037369926</v>
      </c>
      <c r="V17" s="1159"/>
      <c r="W17" s="1163"/>
      <c r="X17" s="1168"/>
      <c r="Y17" s="1168"/>
      <c r="Z17" s="1163"/>
      <c r="AA17" s="1163"/>
      <c r="AB17" s="1158"/>
      <c r="AC17" s="1157"/>
      <c r="AD17" s="1157"/>
      <c r="AE17" s="1157"/>
      <c r="AF17" s="2532"/>
    </row>
    <row r="18" spans="1:32" ht="15" customHeight="1">
      <c r="A18" s="2530"/>
      <c r="B18" s="1167" t="s">
        <v>4083</v>
      </c>
      <c r="C18" s="1161"/>
      <c r="D18" s="1162">
        <f>'T-1'!K14</f>
        <v>247.27693334394837</v>
      </c>
      <c r="E18" s="1158"/>
      <c r="F18" s="1158"/>
      <c r="G18" s="1158"/>
      <c r="H18" s="1158"/>
      <c r="I18" s="1157"/>
      <c r="J18" s="1165">
        <v>620</v>
      </c>
      <c r="K18" s="1165"/>
      <c r="L18" s="1165"/>
      <c r="M18" s="1165"/>
      <c r="N18" s="1157"/>
      <c r="O18" s="1158"/>
      <c r="P18" s="1158"/>
      <c r="Q18" s="1256"/>
      <c r="R18" s="1257">
        <f>D18*J18/1000</f>
        <v>153.311698673248</v>
      </c>
      <c r="S18" s="1158"/>
      <c r="T18" s="1158"/>
      <c r="U18" s="1163">
        <f t="shared" si="0"/>
        <v>153.311698673248</v>
      </c>
      <c r="V18" s="1159"/>
      <c r="W18" s="1163"/>
      <c r="X18" s="1168"/>
      <c r="Y18" s="1168"/>
      <c r="Z18" s="1163"/>
      <c r="AA18" s="1163"/>
      <c r="AB18" s="1158"/>
      <c r="AC18" s="1157"/>
      <c r="AD18" s="1157"/>
      <c r="AE18" s="1157"/>
      <c r="AF18" s="2532"/>
    </row>
    <row r="19" spans="1:32" ht="15" customHeight="1">
      <c r="A19" s="2530"/>
      <c r="B19" s="1160" t="s">
        <v>4140</v>
      </c>
      <c r="C19" s="1156" t="s">
        <v>1496</v>
      </c>
      <c r="D19" s="1162"/>
      <c r="E19" s="1157"/>
      <c r="F19" s="1157"/>
      <c r="G19" s="1158"/>
      <c r="H19" s="1158"/>
      <c r="I19" s="1157"/>
      <c r="J19" s="1159"/>
      <c r="K19" s="1159"/>
      <c r="L19" s="1165"/>
      <c r="M19" s="1165"/>
      <c r="N19" s="1157"/>
      <c r="O19" s="1158"/>
      <c r="P19" s="1158"/>
      <c r="Q19" s="1256"/>
      <c r="R19" s="1573"/>
      <c r="S19" s="1158"/>
      <c r="T19" s="1158"/>
      <c r="U19" s="1158"/>
      <c r="V19" s="1159"/>
      <c r="W19" s="1157"/>
      <c r="X19" s="1158"/>
      <c r="Y19" s="1158"/>
      <c r="Z19" s="1157"/>
      <c r="AA19" s="1157"/>
      <c r="AB19" s="1158"/>
      <c r="AC19" s="1157"/>
      <c r="AD19" s="1157"/>
      <c r="AE19" s="1157"/>
      <c r="AF19" s="2532"/>
    </row>
    <row r="20" spans="1:32" ht="15" customHeight="1">
      <c r="A20" s="2530"/>
      <c r="B20" s="1155"/>
      <c r="C20" s="1169" t="s">
        <v>1327</v>
      </c>
      <c r="D20" s="1170">
        <f>D14+D13</f>
        <v>1770.2499146249647</v>
      </c>
      <c r="E20" s="1157"/>
      <c r="F20" s="1171">
        <f>SUM(F13:F19)</f>
        <v>2236538</v>
      </c>
      <c r="G20" s="1171">
        <f>SUM(G13:G19)</f>
        <v>2323922.7789999996</v>
      </c>
      <c r="H20" s="1172">
        <f>SUM(H13:H19)</f>
        <v>782965.09299999964</v>
      </c>
      <c r="I20" s="1157"/>
      <c r="J20" s="1159"/>
      <c r="K20" s="1159"/>
      <c r="L20" s="1165"/>
      <c r="M20" s="1165"/>
      <c r="N20" s="1157"/>
      <c r="O20" s="1158"/>
      <c r="P20" s="1158"/>
      <c r="Q20" s="1256"/>
      <c r="R20" s="1258">
        <f>R14+R13</f>
        <v>747.93079197590612</v>
      </c>
      <c r="S20" s="1166">
        <f>S14+S13</f>
        <v>82.960202231999986</v>
      </c>
      <c r="T20" s="1158"/>
      <c r="U20" s="1166">
        <f>U14+U13</f>
        <v>830.89099420790615</v>
      </c>
      <c r="V20" s="1159">
        <v>0.1</v>
      </c>
      <c r="W20" s="1172">
        <f>AA20/D20*1000</f>
        <v>464.76620352172347</v>
      </c>
      <c r="X20" s="1166">
        <f>X14+X13</f>
        <v>813.8662103006086</v>
      </c>
      <c r="Y20" s="1163">
        <f t="shared" ref="Y20:Y37" si="1">X20/100</f>
        <v>8.1386621030060855</v>
      </c>
      <c r="Z20" s="1166"/>
      <c r="AA20" s="1163">
        <f>U20-Y20-Z20</f>
        <v>822.75233210490001</v>
      </c>
      <c r="AB20" s="1158"/>
      <c r="AC20" s="1163">
        <f>AD20/D20*10</f>
        <v>0.16900004587981773</v>
      </c>
      <c r="AD20" s="1163">
        <f>R20*0.04</f>
        <v>29.917231679036245</v>
      </c>
      <c r="AE20" s="1164">
        <f>W20+AC20</f>
        <v>464.93520356760331</v>
      </c>
      <c r="AF20" s="2532"/>
    </row>
    <row r="21" spans="1:32" ht="15" customHeight="1">
      <c r="A21" s="2530">
        <v>2</v>
      </c>
      <c r="B21" s="1155" t="s">
        <v>4084</v>
      </c>
      <c r="C21" s="1156" t="s">
        <v>1496</v>
      </c>
      <c r="D21" s="1157"/>
      <c r="E21" s="1157"/>
      <c r="F21" s="1157">
        <f>'T-1'!G16</f>
        <v>92201</v>
      </c>
      <c r="G21" s="1157">
        <f>'T-1'!H16</f>
        <v>259332.39200000002</v>
      </c>
      <c r="H21" s="1164">
        <f>H25</f>
        <v>167131.39200000002</v>
      </c>
      <c r="I21" s="1157"/>
      <c r="J21" s="1159"/>
      <c r="K21" s="1159"/>
      <c r="L21" s="1165">
        <v>30</v>
      </c>
      <c r="M21" s="1165">
        <v>30</v>
      </c>
      <c r="N21" s="1157"/>
      <c r="O21" s="1158"/>
      <c r="P21" s="1158"/>
      <c r="Q21" s="1256"/>
      <c r="R21" s="1257">
        <f t="shared" ref="R21:R24" si="2">D21*J21/1000</f>
        <v>0</v>
      </c>
      <c r="S21" s="1173">
        <f>(F21*L21+H21*M21)*12/10000000</f>
        <v>9.3359661120000013</v>
      </c>
      <c r="T21" s="1158"/>
      <c r="U21" s="1163">
        <f>Q21+R21+S21+T21</f>
        <v>9.3359661120000013</v>
      </c>
      <c r="V21" s="1159">
        <v>0.1</v>
      </c>
      <c r="W21" s="1157"/>
      <c r="X21" s="1163">
        <f>D21*0.6</f>
        <v>0</v>
      </c>
      <c r="Y21" s="1163">
        <f t="shared" si="1"/>
        <v>0</v>
      </c>
      <c r="Z21" s="1163"/>
      <c r="AA21" s="1157"/>
      <c r="AB21" s="1158"/>
      <c r="AC21" s="1157"/>
      <c r="AD21" s="1157"/>
      <c r="AE21" s="1157"/>
      <c r="AF21" s="2532"/>
    </row>
    <row r="22" spans="1:32" ht="15" customHeight="1">
      <c r="A22" s="2530"/>
      <c r="B22" s="1167" t="s">
        <v>1329</v>
      </c>
      <c r="C22" s="1156"/>
      <c r="D22" s="1162">
        <f>'T-1'!K17</f>
        <v>88.816010362937647</v>
      </c>
      <c r="E22" s="1157"/>
      <c r="F22" s="1171"/>
      <c r="G22" s="1158"/>
      <c r="H22" s="1158"/>
      <c r="I22" s="1157"/>
      <c r="J22" s="1165">
        <v>590</v>
      </c>
      <c r="K22" s="1165"/>
      <c r="L22" s="1165"/>
      <c r="M22" s="1165"/>
      <c r="N22" s="1157"/>
      <c r="O22" s="1158"/>
      <c r="P22" s="1158"/>
      <c r="Q22" s="1256"/>
      <c r="R22" s="1257">
        <f t="shared" si="2"/>
        <v>52.401446114133215</v>
      </c>
      <c r="S22" s="1173"/>
      <c r="T22" s="1158"/>
      <c r="U22" s="1163">
        <f>Q22+R22+S22+T22</f>
        <v>52.401446114133215</v>
      </c>
      <c r="V22" s="1159">
        <v>0.1</v>
      </c>
      <c r="W22" s="1157"/>
      <c r="X22" s="1163">
        <f>D22*0.7</f>
        <v>62.171207254056348</v>
      </c>
      <c r="Y22" s="1163">
        <f t="shared" si="1"/>
        <v>0.62171207254056349</v>
      </c>
      <c r="Z22" s="1163"/>
      <c r="AA22" s="1157"/>
      <c r="AB22" s="1158"/>
      <c r="AC22" s="1157"/>
      <c r="AD22" s="1157"/>
      <c r="AE22" s="1157"/>
      <c r="AF22" s="2532"/>
    </row>
    <row r="23" spans="1:32" ht="15" customHeight="1">
      <c r="A23" s="2530"/>
      <c r="B23" s="1160" t="s">
        <v>1330</v>
      </c>
      <c r="C23" s="1161"/>
      <c r="D23" s="1162">
        <f>'T-1'!K18</f>
        <v>66.783151365519586</v>
      </c>
      <c r="E23" s="1157"/>
      <c r="F23" s="1157"/>
      <c r="G23" s="1158"/>
      <c r="H23" s="1158"/>
      <c r="I23" s="1157"/>
      <c r="J23" s="1165">
        <v>700</v>
      </c>
      <c r="K23" s="1165"/>
      <c r="L23" s="1165"/>
      <c r="M23" s="1165"/>
      <c r="N23" s="1157"/>
      <c r="O23" s="1158"/>
      <c r="P23" s="1158"/>
      <c r="Q23" s="1257"/>
      <c r="R23" s="1257">
        <f t="shared" si="2"/>
        <v>46.74820595586371</v>
      </c>
      <c r="S23" s="1168"/>
      <c r="T23" s="1168"/>
      <c r="U23" s="1163">
        <f>Q23+R23+S23+T23</f>
        <v>46.74820595586371</v>
      </c>
      <c r="V23" s="1159">
        <v>0.1</v>
      </c>
      <c r="W23" s="1163"/>
      <c r="X23" s="1163">
        <f>D23*0.7</f>
        <v>46.74820595586371</v>
      </c>
      <c r="Y23" s="1163">
        <f t="shared" si="1"/>
        <v>0.46748205955863709</v>
      </c>
      <c r="Z23" s="1163"/>
      <c r="AA23" s="1163"/>
      <c r="AB23" s="1158"/>
      <c r="AC23" s="1157"/>
      <c r="AD23" s="1157"/>
      <c r="AE23" s="1157"/>
      <c r="AF23" s="2532"/>
    </row>
    <row r="24" spans="1:32" ht="15" customHeight="1">
      <c r="A24" s="2530"/>
      <c r="B24" s="1160" t="s">
        <v>1331</v>
      </c>
      <c r="C24" s="1156"/>
      <c r="D24" s="1162">
        <f>'T-1'!K19</f>
        <v>133.98268348771319</v>
      </c>
      <c r="E24" s="1157"/>
      <c r="F24" s="1157"/>
      <c r="G24" s="1158"/>
      <c r="H24" s="1158"/>
      <c r="I24" s="1157"/>
      <c r="J24" s="1165">
        <v>790</v>
      </c>
      <c r="K24" s="1165"/>
      <c r="L24" s="1165"/>
      <c r="M24" s="1165"/>
      <c r="N24" s="1157"/>
      <c r="O24" s="1158"/>
      <c r="P24" s="1158"/>
      <c r="Q24" s="1256"/>
      <c r="R24" s="1257">
        <f t="shared" si="2"/>
        <v>105.84631995529342</v>
      </c>
      <c r="S24" s="1158"/>
      <c r="T24" s="1158"/>
      <c r="U24" s="1163">
        <f>Q24+R24+S24+T24</f>
        <v>105.84631995529342</v>
      </c>
      <c r="V24" s="1159">
        <v>0.1</v>
      </c>
      <c r="W24" s="1163"/>
      <c r="X24" s="1163">
        <f>D24*0.7</f>
        <v>93.787878441399229</v>
      </c>
      <c r="Y24" s="1163">
        <f t="shared" si="1"/>
        <v>0.93787878441399231</v>
      </c>
      <c r="Z24" s="1163"/>
      <c r="AA24" s="1163"/>
      <c r="AB24" s="1158"/>
      <c r="AC24" s="1157"/>
      <c r="AD24" s="1157"/>
      <c r="AE24" s="1157"/>
      <c r="AF24" s="2532"/>
    </row>
    <row r="25" spans="1:32" ht="15" customHeight="1">
      <c r="A25" s="2530"/>
      <c r="B25" s="1155"/>
      <c r="C25" s="1169" t="s">
        <v>1327</v>
      </c>
      <c r="D25" s="1170">
        <f>SUM(D22:D24)</f>
        <v>289.58184521617045</v>
      </c>
      <c r="E25" s="1157"/>
      <c r="F25" s="1171">
        <f>'T-1'!G16</f>
        <v>92201</v>
      </c>
      <c r="G25" s="1171">
        <f>'T-1'!H16</f>
        <v>259332.39200000002</v>
      </c>
      <c r="H25" s="1172">
        <f>G25-'T-3 (A-S)'!C11-'T-3 (A-S)'!C12-'T-3 (A-S)'!C13-'T-3 (A-S)'!C14-'T-3 (A-S)'!C26-'T-3 (A-S)'!C27-'T-3 (A-S)'!C28-'T-3 (A-S)'!C29-'T-3 (A-S)'!C10-'T-3 (A-S)'!C25</f>
        <v>167131.39200000002</v>
      </c>
      <c r="I25" s="1157"/>
      <c r="J25" s="1159"/>
      <c r="K25" s="1159"/>
      <c r="L25" s="1165">
        <v>30</v>
      </c>
      <c r="M25" s="1165">
        <v>30</v>
      </c>
      <c r="N25" s="1157"/>
      <c r="O25" s="1158"/>
      <c r="P25" s="1158"/>
      <c r="Q25" s="1256"/>
      <c r="R25" s="1258">
        <f>SUM(R22:R24)</f>
        <v>204.99597202529037</v>
      </c>
      <c r="S25" s="1173">
        <f>(F25*L25+H25*M25)*12/10000000</f>
        <v>9.3359661120000013</v>
      </c>
      <c r="T25" s="1158"/>
      <c r="U25" s="1166">
        <f>SUM(U21:U24)</f>
        <v>214.33193813729036</v>
      </c>
      <c r="V25" s="1159">
        <v>0.1</v>
      </c>
      <c r="W25" s="1164">
        <f t="shared" ref="W25:W37" si="3">AA25/D25*1000</f>
        <v>733.14287041127648</v>
      </c>
      <c r="X25" s="1163">
        <f>SUM(X22:X24)</f>
        <v>202.70729165131928</v>
      </c>
      <c r="Y25" s="1163">
        <f t="shared" si="1"/>
        <v>2.0270729165131929</v>
      </c>
      <c r="Z25" s="1163"/>
      <c r="AA25" s="1163">
        <f>U25-Y25-Z25</f>
        <v>212.30486522077717</v>
      </c>
      <c r="AB25" s="1158"/>
      <c r="AC25" s="1163">
        <f t="shared" ref="AC25:AC36" si="4">AD25/D25*10</f>
        <v>0.28316135892049804</v>
      </c>
      <c r="AD25" s="1163">
        <f>R25*0.04</f>
        <v>8.1998388810116154</v>
      </c>
      <c r="AE25" s="1164">
        <f t="shared" ref="AE25:AE65" si="5">W25+AC25</f>
        <v>733.42603177019703</v>
      </c>
      <c r="AF25" s="2532"/>
    </row>
    <row r="26" spans="1:32" ht="15" customHeight="1">
      <c r="A26" s="2530">
        <v>3</v>
      </c>
      <c r="B26" s="1155" t="s">
        <v>4085</v>
      </c>
      <c r="C26" s="1156" t="s">
        <v>1496</v>
      </c>
      <c r="D26" s="1162">
        <f>'T-1'!K21</f>
        <v>115.2</v>
      </c>
      <c r="E26" s="1158"/>
      <c r="F26" s="1157">
        <f>'T-1'!G21</f>
        <v>27823</v>
      </c>
      <c r="G26" s="1157">
        <f>'T-1'!H21</f>
        <v>132761.63199999998</v>
      </c>
      <c r="H26" s="1164">
        <f t="shared" ref="H26:H36" si="6">G26-F26</f>
        <v>104938.63199999998</v>
      </c>
      <c r="I26" s="1157"/>
      <c r="J26" s="1165">
        <v>150</v>
      </c>
      <c r="K26" s="1165"/>
      <c r="L26" s="1165">
        <v>20</v>
      </c>
      <c r="M26" s="1165">
        <v>10</v>
      </c>
      <c r="N26" s="1157"/>
      <c r="O26" s="1158"/>
      <c r="P26" s="1158"/>
      <c r="Q26" s="1256"/>
      <c r="R26" s="1257">
        <f t="shared" ref="R26:R36" si="7">D26*J26/1000</f>
        <v>17.28</v>
      </c>
      <c r="S26" s="1159">
        <f t="shared" ref="S26:S36" si="8">(F26*L26+H26*M26)*12/10000000</f>
        <v>1.9270155839999996</v>
      </c>
      <c r="T26" s="1158"/>
      <c r="U26" s="1163">
        <f t="shared" ref="U26:U36" si="9">Q26+R26+S26+T26</f>
        <v>19.207015584000001</v>
      </c>
      <c r="V26" s="1159">
        <v>0.1</v>
      </c>
      <c r="W26" s="1164">
        <f t="shared" si="3"/>
        <v>160.72756583333333</v>
      </c>
      <c r="X26" s="1163">
        <f>D26*0.6</f>
        <v>69.12</v>
      </c>
      <c r="Y26" s="1163">
        <f t="shared" si="1"/>
        <v>0.69120000000000004</v>
      </c>
      <c r="Z26" s="1163"/>
      <c r="AA26" s="1163">
        <f t="shared" ref="AA26:AA36" si="10">U26-Y26-Z26</f>
        <v>18.515815584000002</v>
      </c>
      <c r="AB26" s="1158"/>
      <c r="AC26" s="1163">
        <f t="shared" si="4"/>
        <v>0.03</v>
      </c>
      <c r="AD26" s="1163">
        <f>R26*0.02</f>
        <v>0.34560000000000002</v>
      </c>
      <c r="AE26" s="1164">
        <f t="shared" si="5"/>
        <v>160.75756583333333</v>
      </c>
      <c r="AF26" s="2532"/>
    </row>
    <row r="27" spans="1:32" ht="15" customHeight="1">
      <c r="A27" s="2530">
        <f>A26+1</f>
        <v>4</v>
      </c>
      <c r="B27" s="1155" t="s">
        <v>4086</v>
      </c>
      <c r="C27" s="1156" t="s">
        <v>1496</v>
      </c>
      <c r="D27" s="1162">
        <f>'T-1'!K22</f>
        <v>19.221</v>
      </c>
      <c r="E27" s="1157"/>
      <c r="F27" s="1157">
        <f>'T-1'!G22</f>
        <v>901</v>
      </c>
      <c r="G27" s="1157">
        <f>'T-1'!H22</f>
        <v>4276.68</v>
      </c>
      <c r="H27" s="1164">
        <f t="shared" si="6"/>
        <v>3375.6800000000003</v>
      </c>
      <c r="I27" s="1157"/>
      <c r="J27" s="1165">
        <v>160</v>
      </c>
      <c r="K27" s="1165"/>
      <c r="L27" s="1165">
        <v>20</v>
      </c>
      <c r="M27" s="1165">
        <v>10</v>
      </c>
      <c r="N27" s="1157"/>
      <c r="O27" s="1158"/>
      <c r="P27" s="1158"/>
      <c r="Q27" s="1256"/>
      <c r="R27" s="1257">
        <f t="shared" si="7"/>
        <v>3.0753600000000003</v>
      </c>
      <c r="S27" s="1159">
        <f t="shared" si="8"/>
        <v>6.2132160000000013E-2</v>
      </c>
      <c r="T27" s="1158"/>
      <c r="U27" s="1163">
        <f t="shared" si="9"/>
        <v>3.1374921600000003</v>
      </c>
      <c r="V27" s="1159">
        <v>0.1</v>
      </c>
      <c r="W27" s="1164">
        <f t="shared" si="3"/>
        <v>157.23251443733417</v>
      </c>
      <c r="X27" s="1163">
        <f>D27*0.6</f>
        <v>11.5326</v>
      </c>
      <c r="Y27" s="1163">
        <f t="shared" si="1"/>
        <v>0.115326</v>
      </c>
      <c r="Z27" s="1163"/>
      <c r="AA27" s="1163">
        <f t="shared" si="10"/>
        <v>3.0221661600000003</v>
      </c>
      <c r="AB27" s="1158"/>
      <c r="AC27" s="1163">
        <f t="shared" si="4"/>
        <v>3.2000000000000001E-2</v>
      </c>
      <c r="AD27" s="1163">
        <f>R27*0.02</f>
        <v>6.1507200000000005E-2</v>
      </c>
      <c r="AE27" s="1164">
        <f t="shared" si="5"/>
        <v>157.26451443733419</v>
      </c>
      <c r="AF27" s="2532"/>
    </row>
    <row r="28" spans="1:32" ht="15" customHeight="1">
      <c r="A28" s="2530">
        <f t="shared" ref="A28:A36" si="11">A27+1</f>
        <v>5</v>
      </c>
      <c r="B28" s="1155" t="s">
        <v>4087</v>
      </c>
      <c r="C28" s="1156" t="s">
        <v>1496</v>
      </c>
      <c r="D28" s="1162">
        <f>'T-1'!K23</f>
        <v>1.5960000000000001</v>
      </c>
      <c r="E28" s="1158"/>
      <c r="F28" s="1157">
        <f>'T-1'!G23</f>
        <v>56</v>
      </c>
      <c r="G28" s="1157">
        <f>'T-1'!H23</f>
        <v>760.72</v>
      </c>
      <c r="H28" s="1164">
        <f t="shared" si="6"/>
        <v>704.72</v>
      </c>
      <c r="I28" s="1157"/>
      <c r="J28" s="1165">
        <v>770</v>
      </c>
      <c r="K28" s="1165"/>
      <c r="L28" s="1165">
        <v>80</v>
      </c>
      <c r="M28" s="1165">
        <v>50</v>
      </c>
      <c r="N28" s="1157"/>
      <c r="O28" s="1158"/>
      <c r="P28" s="1158"/>
      <c r="Q28" s="1256"/>
      <c r="R28" s="1257">
        <f t="shared" si="7"/>
        <v>1.22892</v>
      </c>
      <c r="S28" s="1159">
        <f t="shared" si="8"/>
        <v>4.7659199999999999E-2</v>
      </c>
      <c r="T28" s="1158"/>
      <c r="U28" s="1163">
        <f t="shared" si="9"/>
        <v>1.2765792</v>
      </c>
      <c r="V28" s="1159">
        <v>0.1</v>
      </c>
      <c r="W28" s="1164">
        <f t="shared" si="3"/>
        <v>793.86165413533831</v>
      </c>
      <c r="X28" s="1163">
        <f>D28*0.6</f>
        <v>0.95760000000000001</v>
      </c>
      <c r="Y28" s="1163">
        <f t="shared" si="1"/>
        <v>9.5759999999999994E-3</v>
      </c>
      <c r="Z28" s="1163"/>
      <c r="AA28" s="1163">
        <f t="shared" si="10"/>
        <v>1.2670032</v>
      </c>
      <c r="AB28" s="1158"/>
      <c r="AC28" s="1163">
        <f t="shared" si="4"/>
        <v>0.308</v>
      </c>
      <c r="AD28" s="1163">
        <f t="shared" ref="AD28:AD35" si="12">R28*0.04</f>
        <v>4.91568E-2</v>
      </c>
      <c r="AE28" s="1164">
        <f t="shared" si="5"/>
        <v>794.16965413533831</v>
      </c>
      <c r="AF28" s="2532"/>
    </row>
    <row r="29" spans="1:32" ht="15" customHeight="1">
      <c r="A29" s="2530">
        <f t="shared" si="11"/>
        <v>6</v>
      </c>
      <c r="B29" s="1155" t="s">
        <v>539</v>
      </c>
      <c r="C29" s="1156" t="s">
        <v>1496</v>
      </c>
      <c r="D29" s="1162">
        <f>'T-1'!K24</f>
        <v>33.948999999999998</v>
      </c>
      <c r="E29" s="1157"/>
      <c r="F29" s="1157">
        <f>'T-1'!G24</f>
        <v>5359</v>
      </c>
      <c r="G29" s="1157">
        <f>'T-1'!H24</f>
        <v>10776.15</v>
      </c>
      <c r="H29" s="1164">
        <f t="shared" si="6"/>
        <v>5417.15</v>
      </c>
      <c r="I29" s="1157"/>
      <c r="J29" s="1165">
        <v>620</v>
      </c>
      <c r="K29" s="1165"/>
      <c r="L29" s="1165">
        <v>20</v>
      </c>
      <c r="M29" s="1165">
        <v>15</v>
      </c>
      <c r="N29" s="1157"/>
      <c r="O29" s="1158"/>
      <c r="P29" s="1158"/>
      <c r="Q29" s="1256"/>
      <c r="R29" s="1257">
        <f t="shared" si="7"/>
        <v>21.048379999999998</v>
      </c>
      <c r="S29" s="1159">
        <f t="shared" si="8"/>
        <v>0.22612470000000001</v>
      </c>
      <c r="T29" s="1158"/>
      <c r="U29" s="1163">
        <f t="shared" si="9"/>
        <v>21.274504699999998</v>
      </c>
      <c r="V29" s="1159"/>
      <c r="W29" s="1164">
        <f t="shared" si="3"/>
        <v>622.90075324162717</v>
      </c>
      <c r="X29" s="1168"/>
      <c r="Y29" s="1163">
        <f t="shared" si="1"/>
        <v>0</v>
      </c>
      <c r="Z29" s="1163">
        <f>U29*0.6*0.01</f>
        <v>0.12764702819999998</v>
      </c>
      <c r="AA29" s="1163">
        <f t="shared" si="10"/>
        <v>21.146857671799999</v>
      </c>
      <c r="AB29" s="1158"/>
      <c r="AC29" s="1163">
        <f t="shared" si="4"/>
        <v>0.24800000000000003</v>
      </c>
      <c r="AD29" s="1163">
        <f t="shared" si="12"/>
        <v>0.84193519999999999</v>
      </c>
      <c r="AE29" s="1164">
        <f t="shared" si="5"/>
        <v>623.14875324162722</v>
      </c>
      <c r="AF29" s="2532"/>
    </row>
    <row r="30" spans="1:32" ht="15" customHeight="1">
      <c r="A30" s="2530">
        <f t="shared" si="11"/>
        <v>7</v>
      </c>
      <c r="B30" s="1155" t="s">
        <v>4088</v>
      </c>
      <c r="C30" s="1156" t="s">
        <v>1496</v>
      </c>
      <c r="D30" s="1162">
        <f>'T-1'!K25</f>
        <v>13.7938093954</v>
      </c>
      <c r="E30" s="1157"/>
      <c r="F30" s="1157">
        <f>'T-1'!G25</f>
        <v>2587</v>
      </c>
      <c r="G30" s="1157">
        <f>'T-1'!H25</f>
        <v>28065.78</v>
      </c>
      <c r="H30" s="1164">
        <f t="shared" si="6"/>
        <v>25478.78</v>
      </c>
      <c r="I30" s="1157"/>
      <c r="J30" s="1165">
        <v>620</v>
      </c>
      <c r="K30" s="1165"/>
      <c r="L30" s="1165">
        <v>80</v>
      </c>
      <c r="M30" s="1165">
        <v>35</v>
      </c>
      <c r="N30" s="1157"/>
      <c r="O30" s="1158"/>
      <c r="P30" s="1158"/>
      <c r="Q30" s="1256"/>
      <c r="R30" s="1257">
        <f>D30*J30/1000-D30/4*0.2/10</f>
        <v>8.4831927781710004</v>
      </c>
      <c r="S30" s="1159">
        <f t="shared" si="8"/>
        <v>1.3184607599999998</v>
      </c>
      <c r="T30" s="1158"/>
      <c r="U30" s="1163">
        <f t="shared" si="9"/>
        <v>9.8016535381709993</v>
      </c>
      <c r="V30" s="1159">
        <v>0.1</v>
      </c>
      <c r="W30" s="1164">
        <f t="shared" si="3"/>
        <v>701.58351302430526</v>
      </c>
      <c r="X30" s="1163">
        <f>D30*0.9</f>
        <v>12.414428455860001</v>
      </c>
      <c r="Y30" s="1163">
        <f t="shared" si="1"/>
        <v>0.12414428455860001</v>
      </c>
      <c r="Z30" s="1163"/>
      <c r="AA30" s="1163">
        <f t="shared" si="10"/>
        <v>9.6775092536123992</v>
      </c>
      <c r="AB30" s="1158"/>
      <c r="AC30" s="1163">
        <f t="shared" si="4"/>
        <v>0.246</v>
      </c>
      <c r="AD30" s="1163">
        <f t="shared" si="12"/>
        <v>0.33932771112684001</v>
      </c>
      <c r="AE30" s="1164">
        <f t="shared" si="5"/>
        <v>701.82951302430524</v>
      </c>
      <c r="AF30" s="2532"/>
    </row>
    <row r="31" spans="1:32" ht="15" customHeight="1">
      <c r="A31" s="2530">
        <f t="shared" si="11"/>
        <v>8</v>
      </c>
      <c r="B31" s="1155" t="s">
        <v>4089</v>
      </c>
      <c r="C31" s="1156" t="s">
        <v>1496</v>
      </c>
      <c r="D31" s="1162">
        <f>'T-1'!K26</f>
        <v>27.346370906200001</v>
      </c>
      <c r="E31" s="1157"/>
      <c r="F31" s="1157">
        <f>'T-1'!G26</f>
        <v>948</v>
      </c>
      <c r="G31" s="1157">
        <f>'T-1'!H26</f>
        <v>43699.07</v>
      </c>
      <c r="H31" s="1164">
        <f t="shared" si="6"/>
        <v>42751.07</v>
      </c>
      <c r="I31" s="1157"/>
      <c r="J31" s="1165">
        <v>620</v>
      </c>
      <c r="K31" s="1165"/>
      <c r="L31" s="1165">
        <v>100</v>
      </c>
      <c r="M31" s="1165">
        <v>80</v>
      </c>
      <c r="N31" s="1157"/>
      <c r="O31" s="1158"/>
      <c r="P31" s="1158"/>
      <c r="Q31" s="1256"/>
      <c r="R31" s="1257">
        <f>D31*J31/1000-D31/4*0.2/10</f>
        <v>16.818018107313002</v>
      </c>
      <c r="S31" s="1159">
        <f t="shared" si="8"/>
        <v>4.2178627200000003</v>
      </c>
      <c r="T31" s="1158"/>
      <c r="U31" s="1163">
        <f t="shared" si="9"/>
        <v>21.035880827313001</v>
      </c>
      <c r="V31" s="1159"/>
      <c r="W31" s="1164">
        <f t="shared" si="3"/>
        <v>764.62305049802649</v>
      </c>
      <c r="X31" s="1168"/>
      <c r="Y31" s="1163">
        <f t="shared" si="1"/>
        <v>0</v>
      </c>
      <c r="Z31" s="1163">
        <f>U31*0.6*0.01</f>
        <v>0.12621528496387799</v>
      </c>
      <c r="AA31" s="1163">
        <f t="shared" si="10"/>
        <v>20.909665542349124</v>
      </c>
      <c r="AB31" s="1158"/>
      <c r="AC31" s="1163">
        <f t="shared" si="4"/>
        <v>0.36899999999999999</v>
      </c>
      <c r="AD31" s="1163">
        <f>R31*0.06</f>
        <v>1.00908108643878</v>
      </c>
      <c r="AE31" s="1164">
        <f t="shared" si="5"/>
        <v>764.99205049802652</v>
      </c>
      <c r="AF31" s="2532"/>
    </row>
    <row r="32" spans="1:32" ht="15" customHeight="1">
      <c r="A32" s="2530">
        <f t="shared" si="11"/>
        <v>9</v>
      </c>
      <c r="B32" s="1155" t="s">
        <v>4090</v>
      </c>
      <c r="C32" s="1156" t="s">
        <v>1496</v>
      </c>
      <c r="D32" s="1162">
        <f>'T-1'!K27</f>
        <v>45.365766586399999</v>
      </c>
      <c r="E32" s="1157"/>
      <c r="F32" s="1157">
        <f>'T-1'!G27</f>
        <v>13378</v>
      </c>
      <c r="G32" s="1157">
        <f>'T-1'!H27</f>
        <v>36642.61</v>
      </c>
      <c r="H32" s="1164">
        <f t="shared" si="6"/>
        <v>23264.61</v>
      </c>
      <c r="I32" s="1157"/>
      <c r="J32" s="1165">
        <v>620</v>
      </c>
      <c r="K32" s="1165"/>
      <c r="L32" s="1165">
        <v>50</v>
      </c>
      <c r="M32" s="1165">
        <v>50</v>
      </c>
      <c r="N32" s="1157"/>
      <c r="O32" s="1158"/>
      <c r="P32" s="1158"/>
      <c r="Q32" s="1256"/>
      <c r="R32" s="1257">
        <f>D32*J32/1000-D32/4*0.2/10</f>
        <v>27.899946450636001</v>
      </c>
      <c r="S32" s="1159">
        <f t="shared" si="8"/>
        <v>2.1985565999999999</v>
      </c>
      <c r="T32" s="1158"/>
      <c r="U32" s="1163">
        <f t="shared" si="9"/>
        <v>30.098503050636001</v>
      </c>
      <c r="V32" s="1174" t="s">
        <v>942</v>
      </c>
      <c r="W32" s="1164">
        <f t="shared" si="3"/>
        <v>659.48212239184659</v>
      </c>
      <c r="X32" s="1168"/>
      <c r="Y32" s="1163">
        <f t="shared" si="1"/>
        <v>0</v>
      </c>
      <c r="Z32" s="1163">
        <f>U32*0.6*0.01</f>
        <v>0.18059101830381599</v>
      </c>
      <c r="AA32" s="1163">
        <f t="shared" si="10"/>
        <v>29.917912032332186</v>
      </c>
      <c r="AB32" s="1158"/>
      <c r="AC32" s="1163">
        <f t="shared" si="4"/>
        <v>0.24600000000000005</v>
      </c>
      <c r="AD32" s="1163">
        <f t="shared" si="12"/>
        <v>1.1159978580254402</v>
      </c>
      <c r="AE32" s="1164">
        <f t="shared" si="5"/>
        <v>659.72812239184657</v>
      </c>
      <c r="AF32" s="2532"/>
    </row>
    <row r="33" spans="1:32" ht="15" customHeight="1">
      <c r="A33" s="2530">
        <f t="shared" si="11"/>
        <v>10</v>
      </c>
      <c r="B33" s="1155" t="s">
        <v>4091</v>
      </c>
      <c r="C33" s="1156" t="s">
        <v>1496</v>
      </c>
      <c r="D33" s="1162">
        <f>'T-1'!K28</f>
        <v>65.709885111600002</v>
      </c>
      <c r="E33" s="1157"/>
      <c r="F33" s="1157">
        <f>'T-1'!G28</f>
        <v>4725</v>
      </c>
      <c r="G33" s="1157">
        <f>'T-1'!H28</f>
        <v>29705.169999999995</v>
      </c>
      <c r="H33" s="1164">
        <f t="shared" si="6"/>
        <v>24980.169999999995</v>
      </c>
      <c r="I33" s="1157"/>
      <c r="J33" s="1165">
        <v>620</v>
      </c>
      <c r="K33" s="1165"/>
      <c r="L33" s="1165">
        <v>50</v>
      </c>
      <c r="M33" s="1165">
        <v>50</v>
      </c>
      <c r="N33" s="1157"/>
      <c r="O33" s="1158"/>
      <c r="P33" s="1158"/>
      <c r="Q33" s="1256"/>
      <c r="R33" s="1257">
        <f>D33*J33/1000-D33/4*0.2/10</f>
        <v>40.411579343633996</v>
      </c>
      <c r="S33" s="1159">
        <f t="shared" si="8"/>
        <v>1.7823101999999997</v>
      </c>
      <c r="T33" s="1158"/>
      <c r="U33" s="1163">
        <f t="shared" si="9"/>
        <v>42.193889543633993</v>
      </c>
      <c r="V33" s="1174">
        <v>0.1</v>
      </c>
      <c r="W33" s="1164">
        <f t="shared" si="3"/>
        <v>635.12392811177438</v>
      </c>
      <c r="X33" s="1163">
        <f>D33*0.7</f>
        <v>45.99691957812</v>
      </c>
      <c r="Y33" s="1163">
        <f t="shared" si="1"/>
        <v>0.45996919578119999</v>
      </c>
      <c r="Z33" s="1163"/>
      <c r="AA33" s="1163">
        <f t="shared" si="10"/>
        <v>41.733920347852795</v>
      </c>
      <c r="AB33" s="1158"/>
      <c r="AC33" s="1163">
        <f t="shared" si="4"/>
        <v>0.24599999999999997</v>
      </c>
      <c r="AD33" s="1163">
        <f t="shared" si="12"/>
        <v>1.6164631737453599</v>
      </c>
      <c r="AE33" s="1164">
        <f t="shared" si="5"/>
        <v>635.36992811177436</v>
      </c>
      <c r="AF33" s="2532"/>
    </row>
    <row r="34" spans="1:32" ht="15" customHeight="1">
      <c r="A34" s="2530">
        <f t="shared" si="11"/>
        <v>11</v>
      </c>
      <c r="B34" s="1155" t="s">
        <v>4092</v>
      </c>
      <c r="C34" s="1156" t="s">
        <v>1496</v>
      </c>
      <c r="D34" s="1162">
        <f>'T-1'!K29</f>
        <v>2.1459999999999999</v>
      </c>
      <c r="E34" s="1157"/>
      <c r="F34" s="1157">
        <f>'T-1'!G29</f>
        <v>7</v>
      </c>
      <c r="G34" s="1157">
        <f>'T-1'!H29</f>
        <v>848</v>
      </c>
      <c r="H34" s="1164">
        <f t="shared" si="6"/>
        <v>841</v>
      </c>
      <c r="I34" s="1157">
        <v>200</v>
      </c>
      <c r="J34" s="1165">
        <v>620</v>
      </c>
      <c r="K34" s="1165"/>
      <c r="L34" s="1165"/>
      <c r="M34" s="1165"/>
      <c r="N34" s="1157">
        <v>30</v>
      </c>
      <c r="O34" s="1158"/>
      <c r="P34" s="1158"/>
      <c r="Q34" s="1257">
        <f>(G34/0.9*I34*0.8*12)/10000000</f>
        <v>0.18090666666666669</v>
      </c>
      <c r="R34" s="1257">
        <f t="shared" si="7"/>
        <v>1.3305199999999999</v>
      </c>
      <c r="S34" s="1159">
        <f t="shared" si="8"/>
        <v>0</v>
      </c>
      <c r="T34" s="1163">
        <f>F34*N34*12/1000000</f>
        <v>2.5200000000000001E-3</v>
      </c>
      <c r="U34" s="1163">
        <f t="shared" si="9"/>
        <v>1.5139466666666668</v>
      </c>
      <c r="V34" s="1174">
        <v>0.1</v>
      </c>
      <c r="W34" s="1164">
        <f t="shared" si="3"/>
        <v>695.47374961168077</v>
      </c>
      <c r="X34" s="1163">
        <f>D34</f>
        <v>2.1459999999999999</v>
      </c>
      <c r="Y34" s="1163">
        <f t="shared" si="1"/>
        <v>2.146E-2</v>
      </c>
      <c r="Z34" s="1163"/>
      <c r="AA34" s="1163">
        <f t="shared" si="10"/>
        <v>1.4924866666666667</v>
      </c>
      <c r="AB34" s="1158"/>
      <c r="AC34" s="1163">
        <f t="shared" si="4"/>
        <v>0.248</v>
      </c>
      <c r="AD34" s="1163">
        <f t="shared" si="12"/>
        <v>5.3220799999999999E-2</v>
      </c>
      <c r="AE34" s="1164">
        <f t="shared" si="5"/>
        <v>695.72174961168082</v>
      </c>
      <c r="AF34" s="2532"/>
    </row>
    <row r="35" spans="1:32" ht="15" customHeight="1">
      <c r="A35" s="2530">
        <f t="shared" si="11"/>
        <v>12</v>
      </c>
      <c r="B35" s="1155" t="s">
        <v>4093</v>
      </c>
      <c r="C35" s="1156" t="s">
        <v>1496</v>
      </c>
      <c r="D35" s="1162">
        <f>'T-1'!K30</f>
        <v>0.79807432</v>
      </c>
      <c r="E35" s="1157"/>
      <c r="F35" s="1157">
        <f>'T-1'!G30</f>
        <v>15</v>
      </c>
      <c r="G35" s="1157">
        <f>'T-1'!H30</f>
        <v>539.70000000000005</v>
      </c>
      <c r="H35" s="1164">
        <f t="shared" si="6"/>
        <v>524.70000000000005</v>
      </c>
      <c r="I35" s="1157">
        <v>200</v>
      </c>
      <c r="J35" s="1165">
        <v>620</v>
      </c>
      <c r="K35" s="1175"/>
      <c r="L35" s="1165"/>
      <c r="M35" s="1165"/>
      <c r="N35" s="1157">
        <v>30</v>
      </c>
      <c r="O35" s="1158"/>
      <c r="P35" s="1158"/>
      <c r="Q35" s="1257">
        <f>(G35/0.9*I35*0.8*12)/10000000</f>
        <v>0.11513600000000003</v>
      </c>
      <c r="R35" s="1257">
        <f t="shared" si="7"/>
        <v>0.49480607840000002</v>
      </c>
      <c r="S35" s="1159">
        <f t="shared" si="8"/>
        <v>0</v>
      </c>
      <c r="T35" s="1163">
        <f>F35*N35*12/1000000</f>
        <v>5.4000000000000003E-3</v>
      </c>
      <c r="U35" s="1163">
        <f t="shared" si="9"/>
        <v>0.61534207839999999</v>
      </c>
      <c r="V35" s="1174"/>
      <c r="W35" s="1164">
        <f t="shared" si="3"/>
        <v>763.32321733645051</v>
      </c>
      <c r="X35" s="1168"/>
      <c r="Y35" s="1163">
        <f t="shared" si="1"/>
        <v>0</v>
      </c>
      <c r="Z35" s="1163">
        <f>U35*0.01</f>
        <v>6.1534207840000001E-3</v>
      </c>
      <c r="AA35" s="1163">
        <f t="shared" si="10"/>
        <v>0.60918865761599994</v>
      </c>
      <c r="AB35" s="1158"/>
      <c r="AC35" s="1163">
        <f t="shared" si="4"/>
        <v>0.248</v>
      </c>
      <c r="AD35" s="1163">
        <f t="shared" si="12"/>
        <v>1.9792243136E-2</v>
      </c>
      <c r="AE35" s="1164">
        <f t="shared" si="5"/>
        <v>763.57121733645056</v>
      </c>
      <c r="AF35" s="2532"/>
    </row>
    <row r="36" spans="1:32" ht="15" customHeight="1">
      <c r="A36" s="2530">
        <f t="shared" si="11"/>
        <v>13</v>
      </c>
      <c r="B36" s="1155" t="s">
        <v>890</v>
      </c>
      <c r="C36" s="1156" t="s">
        <v>1496</v>
      </c>
      <c r="D36" s="1162">
        <f>'T-1'!K31</f>
        <v>0.129</v>
      </c>
      <c r="E36" s="1158"/>
      <c r="F36" s="1157">
        <f>'T-1'!G31</f>
        <v>1</v>
      </c>
      <c r="G36" s="1157">
        <f>'T-1'!H31</f>
        <v>116.6</v>
      </c>
      <c r="H36" s="1164">
        <f t="shared" si="6"/>
        <v>115.6</v>
      </c>
      <c r="I36" s="1157">
        <v>200</v>
      </c>
      <c r="J36" s="1165">
        <v>620</v>
      </c>
      <c r="K36" s="1176"/>
      <c r="L36" s="1177"/>
      <c r="M36" s="1177"/>
      <c r="N36" s="1157">
        <v>30</v>
      </c>
      <c r="O36" s="1158"/>
      <c r="P36" s="1158"/>
      <c r="Q36" s="1257">
        <f>(G36/0.9*I36*0.8*12)/10000000</f>
        <v>2.487466666666667E-2</v>
      </c>
      <c r="R36" s="1257">
        <f t="shared" si="7"/>
        <v>7.9980000000000009E-2</v>
      </c>
      <c r="S36" s="1159">
        <f t="shared" si="8"/>
        <v>0</v>
      </c>
      <c r="T36" s="1163">
        <f>F36*N36*12/1000000</f>
        <v>3.6000000000000002E-4</v>
      </c>
      <c r="U36" s="1163">
        <f t="shared" si="9"/>
        <v>0.10521466666666668</v>
      </c>
      <c r="V36" s="1174"/>
      <c r="W36" s="1164">
        <f t="shared" si="3"/>
        <v>807.46139534883719</v>
      </c>
      <c r="X36" s="1158"/>
      <c r="Y36" s="1163">
        <f t="shared" si="1"/>
        <v>0</v>
      </c>
      <c r="Z36" s="1163">
        <f>U36*0.01</f>
        <v>1.0521466666666669E-3</v>
      </c>
      <c r="AA36" s="1163">
        <f t="shared" si="10"/>
        <v>0.10416252000000001</v>
      </c>
      <c r="AB36" s="1158"/>
      <c r="AC36" s="1163">
        <f t="shared" si="4"/>
        <v>0.37200000000000005</v>
      </c>
      <c r="AD36" s="1163">
        <f>R36*0.06</f>
        <v>4.7988000000000006E-3</v>
      </c>
      <c r="AE36" s="1164">
        <f t="shared" si="5"/>
        <v>807.83339534883714</v>
      </c>
      <c r="AF36" s="2532"/>
    </row>
    <row r="37" spans="1:32" ht="15" customHeight="1">
      <c r="A37" s="2533"/>
      <c r="B37" s="1169" t="s">
        <v>4094</v>
      </c>
      <c r="C37" s="1178"/>
      <c r="D37" s="1170">
        <f>D20+D25+SUM(D26:D36)</f>
        <v>2385.0866661607351</v>
      </c>
      <c r="E37" s="1158"/>
      <c r="F37" s="1172">
        <f>F20+F25+SUM(F26:F36)</f>
        <v>2384539</v>
      </c>
      <c r="G37" s="1172">
        <f>G20+G25+SUM(G26:G36)</f>
        <v>2871447.2829999998</v>
      </c>
      <c r="H37" s="1172">
        <f>H20+H25+SUM(H26:H36)</f>
        <v>1182488.5969999996</v>
      </c>
      <c r="I37" s="1157"/>
      <c r="J37" s="1179"/>
      <c r="K37" s="1180"/>
      <c r="L37" s="1177"/>
      <c r="M37" s="1177"/>
      <c r="N37" s="1157"/>
      <c r="O37" s="1158"/>
      <c r="P37" s="1158"/>
      <c r="Q37" s="1258">
        <f>Q20+Q25+SUM(Q26:Q36)</f>
        <v>0.32091733333333339</v>
      </c>
      <c r="R37" s="1258">
        <f>R20+R25+SUM(R26:R36)</f>
        <v>1091.0774667593505</v>
      </c>
      <c r="S37" s="1166">
        <f>S20+S25+SUM(S26:S36)</f>
        <v>104.07629026799999</v>
      </c>
      <c r="T37" s="1166">
        <f>T20+T25+SUM(T26:T36)</f>
        <v>8.2799999999999992E-3</v>
      </c>
      <c r="U37" s="1166">
        <f>U20+U25+SUM(U26:U36)</f>
        <v>1195.4829543606838</v>
      </c>
      <c r="V37" s="1180"/>
      <c r="W37" s="1172">
        <f t="shared" si="3"/>
        <v>496.18904912453667</v>
      </c>
      <c r="X37" s="1166">
        <f>X20+X25+SUM(X26:X36)</f>
        <v>1158.7410499859079</v>
      </c>
      <c r="Y37" s="1163">
        <f t="shared" si="1"/>
        <v>11.587410499859079</v>
      </c>
      <c r="Z37" s="1166">
        <f>Z20+Z25+SUM(Z26:Z36)</f>
        <v>0.44165889891836058</v>
      </c>
      <c r="AA37" s="1166">
        <f>AA20+AA25+SUM(AA26:AA36)</f>
        <v>1183.4538849619064</v>
      </c>
      <c r="AB37" s="1158"/>
      <c r="AC37" s="1166">
        <f>AD37/D37*10</f>
        <v>0.18269336729243935</v>
      </c>
      <c r="AD37" s="1166">
        <f>AD20+AD25+SUM(AD26:AD36)</f>
        <v>43.573951432520282</v>
      </c>
      <c r="AE37" s="1172">
        <f t="shared" si="5"/>
        <v>496.37174249182908</v>
      </c>
      <c r="AF37" s="2532"/>
    </row>
    <row r="38" spans="1:32" ht="15" customHeight="1">
      <c r="A38" s="2534"/>
      <c r="B38" s="1181" t="s">
        <v>1333</v>
      </c>
      <c r="C38" s="1167"/>
      <c r="D38" s="2008"/>
      <c r="E38" s="1157"/>
      <c r="F38" s="1157"/>
      <c r="G38" s="1158"/>
      <c r="H38" s="1158"/>
      <c r="I38" s="1157"/>
      <c r="J38" s="1182"/>
      <c r="K38" s="1174"/>
      <c r="L38" s="1177"/>
      <c r="M38" s="1177"/>
      <c r="N38" s="1157"/>
      <c r="O38" s="1158"/>
      <c r="P38" s="1158"/>
      <c r="Q38" s="1256"/>
      <c r="R38" s="1573"/>
      <c r="S38" s="1158"/>
      <c r="T38" s="1158"/>
      <c r="U38" s="1158"/>
      <c r="V38" s="1174"/>
      <c r="W38" s="1157"/>
      <c r="X38" s="1158"/>
      <c r="Y38" s="1163"/>
      <c r="Z38" s="1158"/>
      <c r="AA38" s="1157"/>
      <c r="AB38" s="1158"/>
      <c r="AC38" s="1157"/>
      <c r="AD38" s="1157"/>
      <c r="AE38" s="1164"/>
      <c r="AF38" s="2532"/>
    </row>
    <row r="39" spans="1:32" ht="15" customHeight="1">
      <c r="A39" s="2530">
        <v>13</v>
      </c>
      <c r="B39" s="1155" t="s">
        <v>1334</v>
      </c>
      <c r="C39" s="2007" t="s">
        <v>169</v>
      </c>
      <c r="D39" s="1994">
        <f>('T-1'!K34)</f>
        <v>6.5432570800000001</v>
      </c>
      <c r="E39" s="1157"/>
      <c r="F39" s="1157">
        <f>'T-1'!G34</f>
        <v>13</v>
      </c>
      <c r="G39" s="1157">
        <f>'T-1'!H34</f>
        <v>5345.73</v>
      </c>
      <c r="H39" s="1164">
        <f t="shared" ref="H39:H53" si="13">G39-F39</f>
        <v>5332.73</v>
      </c>
      <c r="I39" s="1157">
        <v>20</v>
      </c>
      <c r="J39" s="1183">
        <v>490</v>
      </c>
      <c r="K39" s="1176"/>
      <c r="L39" s="1184"/>
      <c r="M39" s="1184"/>
      <c r="N39" s="1157">
        <v>250</v>
      </c>
      <c r="O39" s="1158"/>
      <c r="P39" s="1158"/>
      <c r="Q39" s="1257">
        <f t="shared" ref="Q39:Q49" si="14">(G39/0.9*I39*0.8*12)/10000000</f>
        <v>0.11404224000000002</v>
      </c>
      <c r="R39" s="1257">
        <f>((D39-E39)*J39+E39*K39)/1000-(D39/4*0.2/10)</f>
        <v>3.1734796838000001</v>
      </c>
      <c r="S39" s="1158"/>
      <c r="T39" s="1163">
        <f t="shared" ref="T39:T53" si="15">F39*N39*12/1000000</f>
        <v>3.9E-2</v>
      </c>
      <c r="U39" s="1163">
        <f t="shared" ref="U39:U53" si="16">Q39+R39+S39+T39</f>
        <v>3.3265219238000001</v>
      </c>
      <c r="V39" s="1174">
        <v>0.1</v>
      </c>
      <c r="W39" s="1164">
        <f>AA39/D39*1000</f>
        <v>498.38930568199532</v>
      </c>
      <c r="X39" s="1163">
        <f>D39</f>
        <v>6.5432570800000001</v>
      </c>
      <c r="Y39" s="1163">
        <f t="shared" ref="Y39:Y65" si="17">X39/100</f>
        <v>6.5432570800000006E-2</v>
      </c>
      <c r="Z39" s="1163"/>
      <c r="AA39" s="1163">
        <f t="shared" ref="AA39:AA53" si="18">U39-Y39-Z39</f>
        <v>3.261089353</v>
      </c>
      <c r="AB39" s="1158"/>
      <c r="AC39" s="1163">
        <f>AD39/D39*10</f>
        <v>0.33950000000000002</v>
      </c>
      <c r="AD39" s="1163">
        <f>R39*0.07</f>
        <v>0.22214357786600003</v>
      </c>
      <c r="AE39" s="1164">
        <f t="shared" si="5"/>
        <v>498.72880568199531</v>
      </c>
      <c r="AF39" s="2532"/>
    </row>
    <row r="40" spans="1:32" ht="15" customHeight="1">
      <c r="A40" s="2530">
        <f>A39+1</f>
        <v>14</v>
      </c>
      <c r="B40" s="1155" t="s">
        <v>4085</v>
      </c>
      <c r="C40" s="2007" t="s">
        <v>169</v>
      </c>
      <c r="D40" s="1994">
        <f>('T-1'!K35)</f>
        <v>4.0729660000000001</v>
      </c>
      <c r="E40" s="1157"/>
      <c r="F40" s="1157">
        <f>'T-1'!G35</f>
        <v>21</v>
      </c>
      <c r="G40" s="1157">
        <f>'T-1'!H35</f>
        <v>27806.880000000001</v>
      </c>
      <c r="H40" s="1164">
        <f t="shared" si="13"/>
        <v>27785.88</v>
      </c>
      <c r="I40" s="1157">
        <v>30</v>
      </c>
      <c r="J40" s="1185">
        <v>140</v>
      </c>
      <c r="K40" s="1186"/>
      <c r="L40" s="1177"/>
      <c r="M40" s="1177"/>
      <c r="N40" s="1157">
        <v>250</v>
      </c>
      <c r="O40" s="1158"/>
      <c r="P40" s="1158"/>
      <c r="Q40" s="1257">
        <f t="shared" si="14"/>
        <v>0.88982016000000019</v>
      </c>
      <c r="R40" s="1257">
        <f t="shared" ref="R40" si="19">((D40-E40)*J40+E40*K40)/1000-(D40/4*0.1/10)</f>
        <v>0.56003282499999996</v>
      </c>
      <c r="S40" s="1158"/>
      <c r="T40" s="1163">
        <f t="shared" si="15"/>
        <v>6.3E-2</v>
      </c>
      <c r="U40" s="1163">
        <f t="shared" si="16"/>
        <v>1.5128529850000001</v>
      </c>
      <c r="V40" s="1187">
        <v>0.1</v>
      </c>
      <c r="W40" s="1164"/>
      <c r="X40" s="1163">
        <f>D40</f>
        <v>4.0729660000000001</v>
      </c>
      <c r="Y40" s="1163">
        <f t="shared" si="17"/>
        <v>4.0729660000000001E-2</v>
      </c>
      <c r="Z40" s="1163"/>
      <c r="AA40" s="1163">
        <f t="shared" si="18"/>
        <v>1.4721233250000001</v>
      </c>
      <c r="AB40" s="1158"/>
      <c r="AC40" s="1157"/>
      <c r="AD40" s="1157"/>
      <c r="AE40" s="1164">
        <f t="shared" si="5"/>
        <v>0</v>
      </c>
      <c r="AF40" s="2532"/>
    </row>
    <row r="41" spans="1:32" ht="15" customHeight="1">
      <c r="A41" s="2530">
        <f t="shared" ref="A41:A53" si="20">A40+1</f>
        <v>15</v>
      </c>
      <c r="B41" s="1155" t="s">
        <v>4086</v>
      </c>
      <c r="C41" s="2007" t="s">
        <v>169</v>
      </c>
      <c r="D41" s="1994">
        <f>('T-1'!K36)</f>
        <v>15.784859099999998</v>
      </c>
      <c r="E41" s="1157"/>
      <c r="F41" s="1157">
        <f>'T-1'!G36</f>
        <v>54</v>
      </c>
      <c r="G41" s="1157">
        <f>'T-1'!H36</f>
        <v>20030.63</v>
      </c>
      <c r="H41" s="1164">
        <f t="shared" si="13"/>
        <v>19976.63</v>
      </c>
      <c r="I41" s="1157">
        <v>30</v>
      </c>
      <c r="J41" s="1185">
        <v>150</v>
      </c>
      <c r="K41" s="1186"/>
      <c r="L41" s="1177"/>
      <c r="M41" s="1177"/>
      <c r="N41" s="1157">
        <v>250</v>
      </c>
      <c r="O41" s="1158"/>
      <c r="P41" s="1158"/>
      <c r="Q41" s="1257">
        <f t="shared" si="14"/>
        <v>0.64098015999999991</v>
      </c>
      <c r="R41" s="1257">
        <f t="shared" ref="R41:R48" si="21">((D41-E41)*J41+E41*K41)/1000-(D41/4*0.2/10)</f>
        <v>2.2888045694999999</v>
      </c>
      <c r="S41" s="1158"/>
      <c r="T41" s="1163">
        <f t="shared" si="15"/>
        <v>0.16200000000000001</v>
      </c>
      <c r="U41" s="1163">
        <f t="shared" si="16"/>
        <v>3.0917847294999996</v>
      </c>
      <c r="V41" s="1187">
        <v>0.1</v>
      </c>
      <c r="W41" s="1164">
        <f t="shared" ref="W41:W48" si="22">AA41/D41*1000</f>
        <v>185.87027732797438</v>
      </c>
      <c r="X41" s="1163">
        <f>D41</f>
        <v>15.784859099999998</v>
      </c>
      <c r="Y41" s="1163">
        <f t="shared" si="17"/>
        <v>0.15784859099999998</v>
      </c>
      <c r="Z41" s="1163"/>
      <c r="AA41" s="1163">
        <f t="shared" si="18"/>
        <v>2.9339361384999996</v>
      </c>
      <c r="AB41" s="1158"/>
      <c r="AC41" s="1163">
        <f t="shared" ref="AC41:AC46" si="23">AD41/D41*10</f>
        <v>2.8999999999999998E-2</v>
      </c>
      <c r="AD41" s="1163">
        <f>R41*0.02</f>
        <v>4.5776091389999995E-2</v>
      </c>
      <c r="AE41" s="1164">
        <f t="shared" si="5"/>
        <v>185.89927732797437</v>
      </c>
      <c r="AF41" s="2532"/>
    </row>
    <row r="42" spans="1:32" ht="15" customHeight="1">
      <c r="A42" s="2530">
        <f t="shared" si="20"/>
        <v>16</v>
      </c>
      <c r="B42" s="1155" t="s">
        <v>4087</v>
      </c>
      <c r="C42" s="2007" t="s">
        <v>169</v>
      </c>
      <c r="D42" s="1994">
        <f>('T-1'!K37)</f>
        <v>1.6439446799999999</v>
      </c>
      <c r="E42" s="1157"/>
      <c r="F42" s="1157">
        <f>'T-1'!G37</f>
        <v>6</v>
      </c>
      <c r="G42" s="1157">
        <f>'T-1'!H37</f>
        <v>1730.87</v>
      </c>
      <c r="H42" s="1164">
        <f t="shared" si="13"/>
        <v>1724.87</v>
      </c>
      <c r="I42" s="1157">
        <v>50</v>
      </c>
      <c r="J42" s="1185">
        <v>460</v>
      </c>
      <c r="K42" s="1186"/>
      <c r="L42" s="1177"/>
      <c r="M42" s="1177"/>
      <c r="N42" s="1157">
        <v>250</v>
      </c>
      <c r="O42" s="1158"/>
      <c r="P42" s="1158"/>
      <c r="Q42" s="1257">
        <f t="shared" si="14"/>
        <v>9.2313066666666652E-2</v>
      </c>
      <c r="R42" s="1257">
        <f t="shared" si="21"/>
        <v>0.74799482939999995</v>
      </c>
      <c r="S42" s="1158"/>
      <c r="T42" s="1163">
        <f t="shared" si="15"/>
        <v>1.7999999999999999E-2</v>
      </c>
      <c r="U42" s="1163">
        <f t="shared" si="16"/>
        <v>0.85830789606666658</v>
      </c>
      <c r="V42" s="1187"/>
      <c r="W42" s="1164">
        <f t="shared" si="22"/>
        <v>516.88163686018913</v>
      </c>
      <c r="X42" s="1158"/>
      <c r="Y42" s="1163">
        <f t="shared" si="17"/>
        <v>0</v>
      </c>
      <c r="Z42" s="1163">
        <f>U42*0.01</f>
        <v>8.5830789606666652E-3</v>
      </c>
      <c r="AA42" s="1163">
        <f t="shared" si="18"/>
        <v>0.8497248171059999</v>
      </c>
      <c r="AB42" s="1158"/>
      <c r="AC42" s="1163">
        <f t="shared" si="23"/>
        <v>0.31850000000000001</v>
      </c>
      <c r="AD42" s="1163">
        <f t="shared" ref="AD42:AD53" si="24">R42*0.07</f>
        <v>5.2359638058000001E-2</v>
      </c>
      <c r="AE42" s="1164">
        <f t="shared" si="5"/>
        <v>517.2001368601891</v>
      </c>
      <c r="AF42" s="2532"/>
    </row>
    <row r="43" spans="1:32" ht="15" customHeight="1">
      <c r="A43" s="2530">
        <f t="shared" si="20"/>
        <v>17</v>
      </c>
      <c r="B43" s="1155" t="s">
        <v>4090</v>
      </c>
      <c r="C43" s="2007" t="s">
        <v>169</v>
      </c>
      <c r="D43" s="1994">
        <f>('T-1'!K38)</f>
        <v>23.149768519999999</v>
      </c>
      <c r="E43" s="1157"/>
      <c r="F43" s="1157">
        <f>'T-1'!G38</f>
        <v>58</v>
      </c>
      <c r="G43" s="1157">
        <f>'T-1'!H38</f>
        <v>21039.239999999998</v>
      </c>
      <c r="H43" s="1164">
        <f t="shared" si="13"/>
        <v>20981.239999999998</v>
      </c>
      <c r="I43" s="1157">
        <v>250</v>
      </c>
      <c r="J43" s="1186">
        <v>585</v>
      </c>
      <c r="K43" s="1188">
        <v>475</v>
      </c>
      <c r="L43" s="1177"/>
      <c r="M43" s="1177"/>
      <c r="N43" s="1157">
        <v>250</v>
      </c>
      <c r="O43" s="1158"/>
      <c r="P43" s="1158"/>
      <c r="Q43" s="1257">
        <f t="shared" si="14"/>
        <v>5.6104640000000003</v>
      </c>
      <c r="R43" s="1257">
        <f t="shared" si="21"/>
        <v>13.426865741599999</v>
      </c>
      <c r="S43" s="1158"/>
      <c r="T43" s="1163">
        <f t="shared" si="15"/>
        <v>0.17399999999999999</v>
      </c>
      <c r="U43" s="1163">
        <f t="shared" si="16"/>
        <v>19.211329741599997</v>
      </c>
      <c r="V43" s="1187"/>
      <c r="W43" s="1164">
        <f t="shared" si="22"/>
        <v>821.57264025135044</v>
      </c>
      <c r="X43" s="1158"/>
      <c r="Y43" s="1163">
        <f t="shared" si="17"/>
        <v>0</v>
      </c>
      <c r="Z43" s="1163">
        <f>U43*0.01</f>
        <v>0.19211329741599997</v>
      </c>
      <c r="AA43" s="1163">
        <f t="shared" si="18"/>
        <v>19.019216444183996</v>
      </c>
      <c r="AB43" s="1158"/>
      <c r="AC43" s="1163">
        <f t="shared" si="23"/>
        <v>0.40600000000000003</v>
      </c>
      <c r="AD43" s="1163">
        <f t="shared" si="24"/>
        <v>0.93988060191199996</v>
      </c>
      <c r="AE43" s="1164">
        <f t="shared" si="5"/>
        <v>821.97864025135038</v>
      </c>
      <c r="AF43" s="2532"/>
    </row>
    <row r="44" spans="1:32" ht="15" customHeight="1">
      <c r="A44" s="2530">
        <f t="shared" si="20"/>
        <v>18</v>
      </c>
      <c r="B44" s="1155" t="s">
        <v>4095</v>
      </c>
      <c r="C44" s="2007" t="s">
        <v>169</v>
      </c>
      <c r="D44" s="1994">
        <f>('T-1'!K39)</f>
        <v>11.958036662</v>
      </c>
      <c r="E44" s="1157"/>
      <c r="F44" s="1157">
        <f>'T-1'!G39</f>
        <v>128</v>
      </c>
      <c r="G44" s="1157">
        <f>'T-1'!H39</f>
        <v>10397.14</v>
      </c>
      <c r="H44" s="1164">
        <f t="shared" si="13"/>
        <v>10269.14</v>
      </c>
      <c r="I44" s="1157">
        <v>250</v>
      </c>
      <c r="J44" s="1186">
        <v>585</v>
      </c>
      <c r="K44" s="1188">
        <v>475</v>
      </c>
      <c r="L44" s="1177"/>
      <c r="M44" s="1177"/>
      <c r="N44" s="1157">
        <v>250</v>
      </c>
      <c r="O44" s="1158"/>
      <c r="P44" s="1158"/>
      <c r="Q44" s="1257">
        <f t="shared" si="14"/>
        <v>2.7725706666666663</v>
      </c>
      <c r="R44" s="1257">
        <f t="shared" si="21"/>
        <v>6.9356612639599993</v>
      </c>
      <c r="S44" s="1158"/>
      <c r="T44" s="1163">
        <f t="shared" si="15"/>
        <v>0.38400000000000001</v>
      </c>
      <c r="U44" s="1163">
        <f t="shared" si="16"/>
        <v>10.092231930626665</v>
      </c>
      <c r="V44" s="1187">
        <v>0.1</v>
      </c>
      <c r="W44" s="1164">
        <f t="shared" si="22"/>
        <v>843.97064634343792</v>
      </c>
      <c r="X44" s="1158"/>
      <c r="Y44" s="1163">
        <f t="shared" si="17"/>
        <v>0</v>
      </c>
      <c r="Z44" s="1157"/>
      <c r="AA44" s="1163">
        <f t="shared" si="18"/>
        <v>10.092231930626665</v>
      </c>
      <c r="AB44" s="1158"/>
      <c r="AC44" s="1163">
        <f t="shared" si="23"/>
        <v>0.40600000000000003</v>
      </c>
      <c r="AD44" s="1163">
        <f t="shared" si="24"/>
        <v>0.4854962884772</v>
      </c>
      <c r="AE44" s="1164">
        <f t="shared" si="5"/>
        <v>844.37664634343787</v>
      </c>
      <c r="AF44" s="2532"/>
    </row>
    <row r="45" spans="1:32" ht="15" customHeight="1">
      <c r="A45" s="2530">
        <f t="shared" si="20"/>
        <v>19</v>
      </c>
      <c r="B45" s="1155" t="s">
        <v>4093</v>
      </c>
      <c r="C45" s="2007" t="s">
        <v>169</v>
      </c>
      <c r="D45" s="1994">
        <f>('T-1'!K40)</f>
        <v>43.0273177762</v>
      </c>
      <c r="E45" s="1157"/>
      <c r="F45" s="1157">
        <f>'T-1'!G40</f>
        <v>880</v>
      </c>
      <c r="G45" s="1157">
        <f>'T-1'!H40</f>
        <v>55149.21</v>
      </c>
      <c r="H45" s="1164">
        <f t="shared" si="13"/>
        <v>54269.21</v>
      </c>
      <c r="I45" s="1157">
        <v>250</v>
      </c>
      <c r="J45" s="1186">
        <v>585</v>
      </c>
      <c r="K45" s="1188">
        <v>475</v>
      </c>
      <c r="L45" s="1177"/>
      <c r="M45" s="1177"/>
      <c r="N45" s="1157">
        <v>250</v>
      </c>
      <c r="O45" s="1158"/>
      <c r="P45" s="1158"/>
      <c r="Q45" s="1257">
        <f t="shared" si="14"/>
        <v>14.706455999999999</v>
      </c>
      <c r="R45" s="1257">
        <f t="shared" si="21"/>
        <v>24.955844310196003</v>
      </c>
      <c r="S45" s="1158"/>
      <c r="T45" s="1163">
        <f t="shared" si="15"/>
        <v>2.64</v>
      </c>
      <c r="U45" s="1163">
        <f t="shared" si="16"/>
        <v>42.302300310196003</v>
      </c>
      <c r="V45" s="1187"/>
      <c r="W45" s="1164">
        <f t="shared" si="22"/>
        <v>973.31833522421005</v>
      </c>
      <c r="X45" s="1158"/>
      <c r="Y45" s="1163">
        <f t="shared" si="17"/>
        <v>0</v>
      </c>
      <c r="Z45" s="1163">
        <f>U45*0.01</f>
        <v>0.42302300310196006</v>
      </c>
      <c r="AA45" s="1163">
        <f t="shared" si="18"/>
        <v>41.879277307094043</v>
      </c>
      <c r="AB45" s="1158"/>
      <c r="AC45" s="1163">
        <f t="shared" si="23"/>
        <v>0.40600000000000014</v>
      </c>
      <c r="AD45" s="1163">
        <f t="shared" si="24"/>
        <v>1.7469091017137204</v>
      </c>
      <c r="AE45" s="1164">
        <f t="shared" si="5"/>
        <v>973.72433522420999</v>
      </c>
      <c r="AF45" s="2532"/>
    </row>
    <row r="46" spans="1:32" ht="15" customHeight="1">
      <c r="A46" s="2530">
        <f t="shared" si="20"/>
        <v>20</v>
      </c>
      <c r="B46" s="1155" t="s">
        <v>4096</v>
      </c>
      <c r="C46" s="2007" t="s">
        <v>169</v>
      </c>
      <c r="D46" s="1994">
        <f>('T-1'!K41)</f>
        <v>44.083258114000003</v>
      </c>
      <c r="E46" s="1157"/>
      <c r="F46" s="1157">
        <f>'T-1'!G41</f>
        <v>103</v>
      </c>
      <c r="G46" s="1157">
        <f>'T-1'!H41</f>
        <v>24591</v>
      </c>
      <c r="H46" s="1164">
        <f t="shared" si="13"/>
        <v>24488</v>
      </c>
      <c r="I46" s="1157">
        <v>150</v>
      </c>
      <c r="J46" s="1186">
        <v>585</v>
      </c>
      <c r="K46" s="1188">
        <v>475</v>
      </c>
      <c r="L46" s="1177"/>
      <c r="M46" s="1177"/>
      <c r="N46" s="1157">
        <v>250</v>
      </c>
      <c r="O46" s="1158"/>
      <c r="P46" s="1158"/>
      <c r="Q46" s="1257">
        <f t="shared" si="14"/>
        <v>3.9345599999999998</v>
      </c>
      <c r="R46" s="1257">
        <f t="shared" si="21"/>
        <v>25.568289706120002</v>
      </c>
      <c r="S46" s="1158"/>
      <c r="T46" s="1163">
        <f t="shared" si="15"/>
        <v>0.309</v>
      </c>
      <c r="U46" s="1163">
        <f t="shared" si="16"/>
        <v>29.811849706120004</v>
      </c>
      <c r="V46" s="1187"/>
      <c r="W46" s="1164">
        <f t="shared" si="22"/>
        <v>669.49977092745337</v>
      </c>
      <c r="X46" s="1168"/>
      <c r="Y46" s="1163">
        <f t="shared" si="17"/>
        <v>0</v>
      </c>
      <c r="Z46" s="1163">
        <f>U46*0.01</f>
        <v>0.29811849706120003</v>
      </c>
      <c r="AA46" s="1163">
        <f t="shared" si="18"/>
        <v>29.513731209058804</v>
      </c>
      <c r="AB46" s="1158"/>
      <c r="AC46" s="1163">
        <f t="shared" si="23"/>
        <v>0.40600000000000003</v>
      </c>
      <c r="AD46" s="1163">
        <f t="shared" si="24"/>
        <v>1.7897802794284003</v>
      </c>
      <c r="AE46" s="1164">
        <f t="shared" si="5"/>
        <v>669.90577092745332</v>
      </c>
      <c r="AF46" s="2532"/>
    </row>
    <row r="47" spans="1:32" ht="15" customHeight="1">
      <c r="A47" s="2530">
        <f t="shared" si="20"/>
        <v>21</v>
      </c>
      <c r="B47" s="1155" t="s">
        <v>1332</v>
      </c>
      <c r="C47" s="2007" t="s">
        <v>169</v>
      </c>
      <c r="D47" s="1994">
        <f>('T-1'!K42)</f>
        <v>26.623884559999997</v>
      </c>
      <c r="E47" s="1157"/>
      <c r="F47" s="1157">
        <f>'T-1'!G42</f>
        <v>24</v>
      </c>
      <c r="G47" s="1157">
        <f>'T-1'!H42</f>
        <v>8555.7900000000009</v>
      </c>
      <c r="H47" s="1164">
        <f t="shared" si="13"/>
        <v>8531.7900000000009</v>
      </c>
      <c r="I47" s="1157">
        <v>250</v>
      </c>
      <c r="J47" s="1186">
        <v>585</v>
      </c>
      <c r="K47" s="1188">
        <v>475</v>
      </c>
      <c r="L47" s="1177"/>
      <c r="M47" s="1177"/>
      <c r="N47" s="1157">
        <v>250</v>
      </c>
      <c r="O47" s="1158"/>
      <c r="P47" s="1158"/>
      <c r="Q47" s="1257">
        <f t="shared" si="14"/>
        <v>2.2815440000000002</v>
      </c>
      <c r="R47" s="1257">
        <f t="shared" si="21"/>
        <v>15.441853044799998</v>
      </c>
      <c r="S47" s="1158"/>
      <c r="T47" s="1163">
        <f t="shared" si="15"/>
        <v>7.1999999999999995E-2</v>
      </c>
      <c r="U47" s="1163">
        <f t="shared" si="16"/>
        <v>17.795397044799998</v>
      </c>
      <c r="V47" s="1187">
        <v>0.1</v>
      </c>
      <c r="W47" s="1164">
        <f t="shared" si="22"/>
        <v>668.39972223797827</v>
      </c>
      <c r="X47" s="1168"/>
      <c r="Y47" s="1163">
        <f t="shared" si="17"/>
        <v>0</v>
      </c>
      <c r="Z47" s="1163"/>
      <c r="AA47" s="1163">
        <f t="shared" si="18"/>
        <v>17.795397044799998</v>
      </c>
      <c r="AB47" s="1158"/>
      <c r="AC47" s="1157"/>
      <c r="AD47" s="1163"/>
      <c r="AE47" s="1164">
        <f t="shared" si="5"/>
        <v>668.39972223797827</v>
      </c>
      <c r="AF47" s="2532"/>
    </row>
    <row r="48" spans="1:32" ht="15" customHeight="1">
      <c r="A48" s="2530">
        <f t="shared" si="20"/>
        <v>22</v>
      </c>
      <c r="B48" s="1155" t="s">
        <v>890</v>
      </c>
      <c r="C48" s="1160" t="s">
        <v>169</v>
      </c>
      <c r="D48" s="1994">
        <f>('T-1'!K43)</f>
        <v>190</v>
      </c>
      <c r="E48" s="2008"/>
      <c r="F48" s="1157">
        <f>'T-1'!G43</f>
        <v>268</v>
      </c>
      <c r="G48" s="1157">
        <f>'T-1'!H43</f>
        <v>99276.42</v>
      </c>
      <c r="H48" s="1164">
        <f t="shared" si="13"/>
        <v>99008.42</v>
      </c>
      <c r="I48" s="1157">
        <v>250</v>
      </c>
      <c r="J48" s="1186">
        <v>585</v>
      </c>
      <c r="K48" s="1188">
        <v>475</v>
      </c>
      <c r="L48" s="1177"/>
      <c r="M48" s="1177"/>
      <c r="N48" s="1157">
        <v>250</v>
      </c>
      <c r="O48" s="1158"/>
      <c r="P48" s="1158"/>
      <c r="Q48" s="1257">
        <f t="shared" si="14"/>
        <v>26.473711999999999</v>
      </c>
      <c r="R48" s="1257">
        <f t="shared" si="21"/>
        <v>110.2</v>
      </c>
      <c r="S48" s="1158"/>
      <c r="T48" s="1163">
        <f t="shared" si="15"/>
        <v>0.80400000000000005</v>
      </c>
      <c r="U48" s="1163">
        <f t="shared" si="16"/>
        <v>137.477712</v>
      </c>
      <c r="V48" s="1187"/>
      <c r="W48" s="1164">
        <f t="shared" si="22"/>
        <v>716.3312362105263</v>
      </c>
      <c r="X48" s="1168"/>
      <c r="Y48" s="1163">
        <f t="shared" si="17"/>
        <v>0</v>
      </c>
      <c r="Z48" s="1163">
        <f t="shared" ref="Z48:Z53" si="25">U48*0.01</f>
        <v>1.3747771200000001</v>
      </c>
      <c r="AA48" s="1163">
        <f t="shared" si="18"/>
        <v>136.10293487999999</v>
      </c>
      <c r="AB48" s="1158"/>
      <c r="AC48" s="1163">
        <f t="shared" ref="AC48:AC65" si="26">AD48/D48*10</f>
        <v>0.40600000000000003</v>
      </c>
      <c r="AD48" s="1163">
        <f t="shared" si="24"/>
        <v>7.7140000000000013</v>
      </c>
      <c r="AE48" s="1164">
        <f t="shared" si="5"/>
        <v>716.73723621052625</v>
      </c>
      <c r="AF48" s="2532"/>
    </row>
    <row r="49" spans="1:32" ht="15" customHeight="1">
      <c r="A49" s="2530">
        <f t="shared" si="20"/>
        <v>23</v>
      </c>
      <c r="B49" s="1155" t="s">
        <v>893</v>
      </c>
      <c r="C49" s="1160" t="s">
        <v>169</v>
      </c>
      <c r="D49" s="1994">
        <f>('T-1'!K44)</f>
        <v>0</v>
      </c>
      <c r="E49" s="1125"/>
      <c r="F49" s="1157">
        <f>'T-1'!G44</f>
        <v>0</v>
      </c>
      <c r="G49" s="1157">
        <f>'T-1'!H44</f>
        <v>0</v>
      </c>
      <c r="H49" s="1164">
        <f t="shared" si="13"/>
        <v>0</v>
      </c>
      <c r="I49" s="1157">
        <v>250</v>
      </c>
      <c r="J49" s="1186">
        <v>585</v>
      </c>
      <c r="K49" s="1188">
        <v>475</v>
      </c>
      <c r="L49" s="1177"/>
      <c r="M49" s="1177"/>
      <c r="N49" s="1157">
        <v>250</v>
      </c>
      <c r="O49" s="1158"/>
      <c r="P49" s="1158"/>
      <c r="Q49" s="1257">
        <f t="shared" si="14"/>
        <v>0</v>
      </c>
      <c r="R49" s="1257">
        <f t="shared" ref="R49:R53" si="27">D49*J49/1000</f>
        <v>0</v>
      </c>
      <c r="S49" s="1158"/>
      <c r="T49" s="1163">
        <f t="shared" si="15"/>
        <v>0</v>
      </c>
      <c r="U49" s="1163">
        <f t="shared" si="16"/>
        <v>0</v>
      </c>
      <c r="V49" s="1187"/>
      <c r="W49" s="1164"/>
      <c r="X49" s="1168"/>
      <c r="Y49" s="1163">
        <f t="shared" si="17"/>
        <v>0</v>
      </c>
      <c r="Z49" s="1163">
        <f t="shared" si="25"/>
        <v>0</v>
      </c>
      <c r="AA49" s="1163">
        <f t="shared" si="18"/>
        <v>0</v>
      </c>
      <c r="AB49" s="1158"/>
      <c r="AC49" s="1163"/>
      <c r="AD49" s="1163">
        <f t="shared" si="24"/>
        <v>0</v>
      </c>
      <c r="AE49" s="1164">
        <f t="shared" si="5"/>
        <v>0</v>
      </c>
      <c r="AF49" s="2532"/>
    </row>
    <row r="50" spans="1:32" ht="15" customHeight="1">
      <c r="A50" s="2530">
        <f t="shared" si="20"/>
        <v>24</v>
      </c>
      <c r="B50" s="1155" t="s">
        <v>1336</v>
      </c>
      <c r="C50" s="1160" t="s">
        <v>169</v>
      </c>
      <c r="D50" s="1994">
        <f>('T-1'!K45)</f>
        <v>0</v>
      </c>
      <c r="E50" s="2009"/>
      <c r="F50" s="1157">
        <f>'T-1'!G45</f>
        <v>0</v>
      </c>
      <c r="G50" s="1157">
        <f>'T-1'!H45</f>
        <v>0</v>
      </c>
      <c r="H50" s="1164">
        <f t="shared" si="13"/>
        <v>0</v>
      </c>
      <c r="I50" s="1157">
        <v>250</v>
      </c>
      <c r="J50" s="1186">
        <v>585</v>
      </c>
      <c r="K50" s="1188">
        <v>475</v>
      </c>
      <c r="L50" s="1177"/>
      <c r="M50" s="1177"/>
      <c r="N50" s="1157">
        <v>250</v>
      </c>
      <c r="O50" s="1158"/>
      <c r="P50" s="1158"/>
      <c r="Q50" s="1256"/>
      <c r="R50" s="1257">
        <f t="shared" si="27"/>
        <v>0</v>
      </c>
      <c r="S50" s="1158"/>
      <c r="T50" s="1163">
        <f t="shared" si="15"/>
        <v>0</v>
      </c>
      <c r="U50" s="1163">
        <f t="shared" si="16"/>
        <v>0</v>
      </c>
      <c r="V50" s="1187"/>
      <c r="W50" s="1164"/>
      <c r="X50" s="1168"/>
      <c r="Y50" s="1163">
        <f t="shared" si="17"/>
        <v>0</v>
      </c>
      <c r="Z50" s="1163">
        <f t="shared" si="25"/>
        <v>0</v>
      </c>
      <c r="AA50" s="1163">
        <f t="shared" si="18"/>
        <v>0</v>
      </c>
      <c r="AB50" s="1158"/>
      <c r="AC50" s="1163"/>
      <c r="AD50" s="1163">
        <f t="shared" si="24"/>
        <v>0</v>
      </c>
      <c r="AE50" s="1164">
        <f t="shared" si="5"/>
        <v>0</v>
      </c>
      <c r="AF50" s="2532"/>
    </row>
    <row r="51" spans="1:32" ht="15" customHeight="1">
      <c r="A51" s="2530">
        <f t="shared" si="20"/>
        <v>25</v>
      </c>
      <c r="B51" s="1155" t="s">
        <v>891</v>
      </c>
      <c r="C51" s="1160" t="s">
        <v>169</v>
      </c>
      <c r="D51" s="1994">
        <f>('T-1'!K46)</f>
        <v>0</v>
      </c>
      <c r="E51" s="1157"/>
      <c r="F51" s="1157">
        <f>'T-1'!G46</f>
        <v>0</v>
      </c>
      <c r="G51" s="1157">
        <f>'T-1'!H46</f>
        <v>0</v>
      </c>
      <c r="H51" s="1164">
        <f t="shared" si="13"/>
        <v>0</v>
      </c>
      <c r="I51" s="1157">
        <v>250</v>
      </c>
      <c r="J51" s="1186">
        <v>585</v>
      </c>
      <c r="K51" s="1188">
        <v>475</v>
      </c>
      <c r="L51" s="1177"/>
      <c r="M51" s="1177"/>
      <c r="N51" s="1157">
        <v>250</v>
      </c>
      <c r="O51" s="1158"/>
      <c r="P51" s="1158"/>
      <c r="Q51" s="1256"/>
      <c r="R51" s="1257">
        <f t="shared" si="27"/>
        <v>0</v>
      </c>
      <c r="S51" s="1158"/>
      <c r="T51" s="1163">
        <f t="shared" si="15"/>
        <v>0</v>
      </c>
      <c r="U51" s="1163">
        <f t="shared" si="16"/>
        <v>0</v>
      </c>
      <c r="V51" s="1187"/>
      <c r="W51" s="1164"/>
      <c r="X51" s="1168"/>
      <c r="Y51" s="1163">
        <f t="shared" si="17"/>
        <v>0</v>
      </c>
      <c r="Z51" s="1163">
        <f t="shared" si="25"/>
        <v>0</v>
      </c>
      <c r="AA51" s="1163">
        <f t="shared" si="18"/>
        <v>0</v>
      </c>
      <c r="AB51" s="1158"/>
      <c r="AC51" s="1163"/>
      <c r="AD51" s="1163">
        <f t="shared" si="24"/>
        <v>0</v>
      </c>
      <c r="AE51" s="1164">
        <f t="shared" si="5"/>
        <v>0</v>
      </c>
      <c r="AF51" s="2532"/>
    </row>
    <row r="52" spans="1:32" ht="15" customHeight="1">
      <c r="A52" s="2530">
        <f t="shared" si="20"/>
        <v>26</v>
      </c>
      <c r="B52" s="1155" t="s">
        <v>1463</v>
      </c>
      <c r="C52" s="1160" t="s">
        <v>169</v>
      </c>
      <c r="D52" s="1994">
        <f>('T-1'!K47)</f>
        <v>0</v>
      </c>
      <c r="E52" s="1153"/>
      <c r="F52" s="1157">
        <f>'T-1'!G47</f>
        <v>0</v>
      </c>
      <c r="G52" s="1157">
        <f>'T-1'!H47</f>
        <v>0</v>
      </c>
      <c r="H52" s="1164">
        <f t="shared" si="13"/>
        <v>0</v>
      </c>
      <c r="I52" s="1153"/>
      <c r="J52" s="1186">
        <v>780</v>
      </c>
      <c r="K52" s="1174"/>
      <c r="L52" s="1177"/>
      <c r="M52" s="1177"/>
      <c r="N52" s="1157">
        <v>250</v>
      </c>
      <c r="O52" s="1154"/>
      <c r="P52" s="1154"/>
      <c r="Q52" s="1259"/>
      <c r="R52" s="1257">
        <f t="shared" si="27"/>
        <v>0</v>
      </c>
      <c r="S52" s="1154"/>
      <c r="T52" s="1163">
        <f t="shared" si="15"/>
        <v>0</v>
      </c>
      <c r="U52" s="1163">
        <f t="shared" si="16"/>
        <v>0</v>
      </c>
      <c r="V52" s="1187"/>
      <c r="W52" s="1164"/>
      <c r="X52" s="1189"/>
      <c r="Y52" s="1163">
        <f t="shared" si="17"/>
        <v>0</v>
      </c>
      <c r="Z52" s="1163">
        <f t="shared" si="25"/>
        <v>0</v>
      </c>
      <c r="AA52" s="1163">
        <f t="shared" si="18"/>
        <v>0</v>
      </c>
      <c r="AB52" s="1154"/>
      <c r="AC52" s="1163"/>
      <c r="AD52" s="1163">
        <f t="shared" si="24"/>
        <v>0</v>
      </c>
      <c r="AE52" s="1164">
        <f t="shared" si="5"/>
        <v>0</v>
      </c>
      <c r="AF52" s="2532"/>
    </row>
    <row r="53" spans="1:32" ht="15" customHeight="1">
      <c r="A53" s="2530">
        <f t="shared" si="20"/>
        <v>27</v>
      </c>
      <c r="B53" s="1155" t="s">
        <v>1337</v>
      </c>
      <c r="C53" s="1160" t="s">
        <v>169</v>
      </c>
      <c r="D53" s="1994">
        <f>('T-1'!K48)</f>
        <v>0.33479999999999999</v>
      </c>
      <c r="E53" s="1190"/>
      <c r="F53" s="1157">
        <f>'T-1'!G48</f>
        <v>0</v>
      </c>
      <c r="G53" s="1157">
        <f>'T-1'!H48</f>
        <v>0</v>
      </c>
      <c r="H53" s="1164">
        <f t="shared" si="13"/>
        <v>0</v>
      </c>
      <c r="I53" s="1190"/>
      <c r="J53" s="1186">
        <v>490</v>
      </c>
      <c r="K53" s="1174"/>
      <c r="L53" s="1177"/>
      <c r="M53" s="1177"/>
      <c r="N53" s="1157">
        <v>250</v>
      </c>
      <c r="O53" s="1191"/>
      <c r="P53" s="1191"/>
      <c r="Q53" s="1260"/>
      <c r="R53" s="1257">
        <f t="shared" si="27"/>
        <v>0.164052</v>
      </c>
      <c r="S53" s="1191"/>
      <c r="T53" s="1163">
        <f t="shared" si="15"/>
        <v>0</v>
      </c>
      <c r="U53" s="1163">
        <f t="shared" si="16"/>
        <v>0.164052</v>
      </c>
      <c r="V53" s="1192"/>
      <c r="W53" s="1164">
        <f>AA53/D53*1000</f>
        <v>485.1</v>
      </c>
      <c r="X53" s="1193"/>
      <c r="Y53" s="1163">
        <f t="shared" si="17"/>
        <v>0</v>
      </c>
      <c r="Z53" s="1163">
        <f t="shared" si="25"/>
        <v>1.6405200000000001E-3</v>
      </c>
      <c r="AA53" s="1163">
        <f t="shared" si="18"/>
        <v>0.16241148</v>
      </c>
      <c r="AB53" s="1191"/>
      <c r="AC53" s="1163">
        <f t="shared" si="26"/>
        <v>0.34300000000000003</v>
      </c>
      <c r="AD53" s="1163">
        <f t="shared" si="24"/>
        <v>1.1483640000000002E-2</v>
      </c>
      <c r="AE53" s="1164">
        <f t="shared" si="5"/>
        <v>485.44300000000004</v>
      </c>
      <c r="AF53" s="2532"/>
    </row>
    <row r="54" spans="1:32" ht="15" customHeight="1">
      <c r="A54" s="2530"/>
      <c r="B54" s="1169" t="s">
        <v>4094</v>
      </c>
      <c r="C54" s="1160"/>
      <c r="D54" s="1194">
        <f>SUM(D39:D53)</f>
        <v>367.22209249219998</v>
      </c>
      <c r="E54" s="1195"/>
      <c r="F54" s="1196">
        <f>SUM(F39:F53)</f>
        <v>1555</v>
      </c>
      <c r="G54" s="1196">
        <f>SUM(G39:G53)</f>
        <v>273922.91000000003</v>
      </c>
      <c r="H54" s="1196">
        <f>SUM(H39:H53)</f>
        <v>272367.91000000003</v>
      </c>
      <c r="I54" s="1195"/>
      <c r="J54" s="1180"/>
      <c r="K54" s="1180"/>
      <c r="L54" s="1177"/>
      <c r="M54" s="1177"/>
      <c r="N54" s="1195"/>
      <c r="O54" s="1197"/>
      <c r="P54" s="1197"/>
      <c r="Q54" s="1261">
        <f>SUM(Q39:Q53)</f>
        <v>57.516462293333333</v>
      </c>
      <c r="R54" s="1261">
        <f>SUM(R39:R53)</f>
        <v>203.462877974376</v>
      </c>
      <c r="S54" s="1198">
        <f>SUM(S39:S53)</f>
        <v>0</v>
      </c>
      <c r="T54" s="1198">
        <f>SUM(T39:T53)</f>
        <v>4.6650000000000009</v>
      </c>
      <c r="U54" s="1198">
        <f>SUM(U39:U53)</f>
        <v>265.64434026770937</v>
      </c>
      <c r="V54" s="1199"/>
      <c r="W54" s="1172">
        <f>AA54/D54*1000</f>
        <v>716.41134699693362</v>
      </c>
      <c r="X54" s="1198">
        <f>SUM(X39:X53)</f>
        <v>26.40108218</v>
      </c>
      <c r="Y54" s="1166">
        <f t="shared" si="17"/>
        <v>0.26401082180000002</v>
      </c>
      <c r="Z54" s="1198">
        <f>SUM(Z39:Z53)</f>
        <v>2.2982555165398266</v>
      </c>
      <c r="AA54" s="1198">
        <f>SUM(AA39:AA53)</f>
        <v>263.08207392936953</v>
      </c>
      <c r="AB54" s="1197"/>
      <c r="AC54" s="1166">
        <f t="shared" si="26"/>
        <v>0.35422240341167971</v>
      </c>
      <c r="AD54" s="1198">
        <f>SUM(AD39:AD53)</f>
        <v>13.007829218845322</v>
      </c>
      <c r="AE54" s="1172">
        <f t="shared" si="5"/>
        <v>716.76556940034527</v>
      </c>
      <c r="AF54" s="2532"/>
    </row>
    <row r="55" spans="1:32" ht="15" customHeight="1">
      <c r="A55" s="2534"/>
      <c r="B55" s="1200" t="s">
        <v>1338</v>
      </c>
      <c r="C55" s="1160"/>
      <c r="D55" s="1195"/>
      <c r="E55" s="1195"/>
      <c r="F55" s="1195"/>
      <c r="G55" s="1197"/>
      <c r="H55" s="1197"/>
      <c r="I55" s="1195"/>
      <c r="J55" s="1174"/>
      <c r="K55" s="1174"/>
      <c r="L55" s="1177"/>
      <c r="M55" s="1177"/>
      <c r="N55" s="1195"/>
      <c r="O55" s="1197"/>
      <c r="P55" s="1197"/>
      <c r="Q55" s="1262"/>
      <c r="R55" s="1574"/>
      <c r="S55" s="1197"/>
      <c r="T55" s="1197"/>
      <c r="U55" s="1201"/>
      <c r="V55" s="1201"/>
      <c r="W55" s="1202"/>
      <c r="X55" s="1201"/>
      <c r="Y55" s="1163">
        <f t="shared" si="17"/>
        <v>0</v>
      </c>
      <c r="Z55" s="1202"/>
      <c r="AA55" s="1202"/>
      <c r="AB55" s="1197"/>
      <c r="AC55" s="1195"/>
      <c r="AD55" s="1195"/>
      <c r="AE55" s="1164"/>
      <c r="AF55" s="2532"/>
    </row>
    <row r="56" spans="1:32" ht="15" customHeight="1">
      <c r="A56" s="2530">
        <f>A53+1</f>
        <v>28</v>
      </c>
      <c r="B56" s="1155" t="s">
        <v>670</v>
      </c>
      <c r="C56" s="1160" t="s">
        <v>1494</v>
      </c>
      <c r="D56" s="1203">
        <f>'T-1'!K51</f>
        <v>0</v>
      </c>
      <c r="E56" s="1195"/>
      <c r="F56" s="1195">
        <f>'T-1'!G51</f>
        <v>0</v>
      </c>
      <c r="G56" s="1195">
        <f>'T-1'!H51</f>
        <v>0</v>
      </c>
      <c r="H56" s="1164">
        <f t="shared" ref="H56:H63" si="28">G56-F56</f>
        <v>0</v>
      </c>
      <c r="I56" s="1157">
        <v>250</v>
      </c>
      <c r="J56" s="1186">
        <v>580</v>
      </c>
      <c r="K56" s="1186">
        <v>470</v>
      </c>
      <c r="L56" s="1184"/>
      <c r="M56" s="1184"/>
      <c r="N56" s="1195">
        <v>700</v>
      </c>
      <c r="O56" s="1197"/>
      <c r="P56" s="1197"/>
      <c r="Q56" s="1262"/>
      <c r="R56" s="1257">
        <f t="shared" ref="R56:R63" si="29">D56*J56/1000</f>
        <v>0</v>
      </c>
      <c r="S56" s="1197"/>
      <c r="T56" s="1163">
        <f t="shared" ref="T56:T63" si="30">F56*N56*12/1000000</f>
        <v>0</v>
      </c>
      <c r="U56" s="1163">
        <f t="shared" ref="U56:U63" si="31">Q56+R56+S56+T56</f>
        <v>0</v>
      </c>
      <c r="V56" s="1197"/>
      <c r="W56" s="1164"/>
      <c r="X56" s="1197"/>
      <c r="Y56" s="1163">
        <f t="shared" si="17"/>
        <v>0</v>
      </c>
      <c r="Z56" s="1163">
        <f t="shared" ref="Z56:Z63" si="32">U56*0.01</f>
        <v>0</v>
      </c>
      <c r="AA56" s="1163">
        <f t="shared" ref="AA56:AA63" si="33">U56-Y56-Z56</f>
        <v>0</v>
      </c>
      <c r="AB56" s="1197"/>
      <c r="AC56" s="1163"/>
      <c r="AD56" s="1163">
        <f>R56*0.08</f>
        <v>0</v>
      </c>
      <c r="AE56" s="1164">
        <f t="shared" si="5"/>
        <v>0</v>
      </c>
      <c r="AF56" s="2532"/>
    </row>
    <row r="57" spans="1:32" ht="15" customHeight="1">
      <c r="A57" s="2530">
        <f t="shared" ref="A57:A63" si="34">A56+1</f>
        <v>29</v>
      </c>
      <c r="B57" s="1155" t="s">
        <v>890</v>
      </c>
      <c r="C57" s="1160" t="s">
        <v>1494</v>
      </c>
      <c r="D57" s="1203">
        <f>'T-1'!K52-6</f>
        <v>204</v>
      </c>
      <c r="E57" s="1195">
        <f>6</f>
        <v>6</v>
      </c>
      <c r="F57" s="1195">
        <f>'T-1'!G52</f>
        <v>4</v>
      </c>
      <c r="G57" s="1195">
        <f>'T-1'!H52</f>
        <v>36445</v>
      </c>
      <c r="H57" s="1164">
        <f t="shared" si="28"/>
        <v>36441</v>
      </c>
      <c r="I57" s="1157">
        <v>250</v>
      </c>
      <c r="J57" s="1186">
        <v>580</v>
      </c>
      <c r="K57" s="1186">
        <v>470</v>
      </c>
      <c r="L57" s="1177"/>
      <c r="M57" s="1177"/>
      <c r="N57" s="1195">
        <v>700</v>
      </c>
      <c r="O57" s="1197"/>
      <c r="P57" s="1197"/>
      <c r="Q57" s="1257">
        <f>(G57/0.9*I57*0.8*12)/10000000</f>
        <v>9.7186666666666692</v>
      </c>
      <c r="R57" s="1257">
        <f>((D57-E57)*J57+E57*K57)/1000-(D57/4*0.2/10)-10*5/1000</f>
        <v>116.59</v>
      </c>
      <c r="S57" s="1201"/>
      <c r="T57" s="1163">
        <f t="shared" si="30"/>
        <v>3.3599999999999998E-2</v>
      </c>
      <c r="U57" s="1163">
        <f t="shared" si="31"/>
        <v>126.34226666666667</v>
      </c>
      <c r="V57" s="1201"/>
      <c r="W57" s="1164">
        <f>AA57/D57*1000</f>
        <v>613.13158823529409</v>
      </c>
      <c r="X57" s="1201"/>
      <c r="Y57" s="1163">
        <f t="shared" si="17"/>
        <v>0</v>
      </c>
      <c r="Z57" s="1163">
        <f t="shared" si="32"/>
        <v>1.2634226666666668</v>
      </c>
      <c r="AA57" s="1163">
        <f t="shared" si="33"/>
        <v>125.078844</v>
      </c>
      <c r="AB57" s="1197"/>
      <c r="AC57" s="1163">
        <f t="shared" si="26"/>
        <v>0.45721568627450981</v>
      </c>
      <c r="AD57" s="1163">
        <f t="shared" ref="AD57:AD63" si="35">R57*0.08</f>
        <v>9.3272000000000013</v>
      </c>
      <c r="AE57" s="1164">
        <f t="shared" si="5"/>
        <v>613.58880392156857</v>
      </c>
      <c r="AF57" s="2532"/>
    </row>
    <row r="58" spans="1:32" ht="15" customHeight="1">
      <c r="A58" s="2530">
        <f t="shared" si="34"/>
        <v>30</v>
      </c>
      <c r="B58" s="1155" t="s">
        <v>891</v>
      </c>
      <c r="C58" s="1160" t="s">
        <v>1494</v>
      </c>
      <c r="D58" s="1203">
        <f>'T-1'!K53</f>
        <v>265.99558131039998</v>
      </c>
      <c r="E58" s="1195"/>
      <c r="F58" s="1195">
        <f>'T-1'!G53</f>
        <v>12</v>
      </c>
      <c r="G58" s="1195">
        <f>'T-1'!H53</f>
        <v>138200</v>
      </c>
      <c r="H58" s="1164">
        <f t="shared" si="28"/>
        <v>138188</v>
      </c>
      <c r="I58" s="1157">
        <v>250</v>
      </c>
      <c r="J58" s="1186">
        <v>580</v>
      </c>
      <c r="K58" s="1186">
        <v>470</v>
      </c>
      <c r="L58" s="1177"/>
      <c r="M58" s="1177"/>
      <c r="N58" s="1195">
        <v>700</v>
      </c>
      <c r="O58" s="1197"/>
      <c r="P58" s="1197"/>
      <c r="Q58" s="1257">
        <f>(G58/0.9*I58*0.8*12)/10000000</f>
        <v>36.853333333333339</v>
      </c>
      <c r="R58" s="1257">
        <f t="shared" si="29"/>
        <v>154.27743716003198</v>
      </c>
      <c r="S58" s="1201"/>
      <c r="T58" s="1163">
        <f t="shared" si="30"/>
        <v>0.1008</v>
      </c>
      <c r="U58" s="1163">
        <f t="shared" si="31"/>
        <v>191.23157049336533</v>
      </c>
      <c r="V58" s="1201"/>
      <c r="W58" s="1164">
        <f>AA58/D58*1000</f>
        <v>711.738344884414</v>
      </c>
      <c r="X58" s="1201"/>
      <c r="Y58" s="1163">
        <f t="shared" si="17"/>
        <v>0</v>
      </c>
      <c r="Z58" s="1163">
        <f t="shared" si="32"/>
        <v>1.9123157049336532</v>
      </c>
      <c r="AA58" s="1163">
        <f t="shared" si="33"/>
        <v>189.31925478843166</v>
      </c>
      <c r="AB58" s="1197"/>
      <c r="AC58" s="1163">
        <f t="shared" si="26"/>
        <v>0</v>
      </c>
      <c r="AD58" s="1163">
        <f>R58*0</f>
        <v>0</v>
      </c>
      <c r="AE58" s="1164">
        <f t="shared" si="5"/>
        <v>711.738344884414</v>
      </c>
      <c r="AF58" s="2532"/>
    </row>
    <row r="59" spans="1:32" ht="15" customHeight="1">
      <c r="A59" s="2530">
        <f t="shared" si="34"/>
        <v>31</v>
      </c>
      <c r="B59" s="1155" t="s">
        <v>892</v>
      </c>
      <c r="C59" s="1160" t="s">
        <v>1494</v>
      </c>
      <c r="D59" s="1203">
        <f>'T-1'!K54</f>
        <v>0</v>
      </c>
      <c r="E59" s="1195"/>
      <c r="F59" s="1195">
        <f>'T-1'!G54</f>
        <v>0</v>
      </c>
      <c r="G59" s="1195">
        <f>'T-1'!H54</f>
        <v>0</v>
      </c>
      <c r="H59" s="1164">
        <f t="shared" si="28"/>
        <v>0</v>
      </c>
      <c r="I59" s="1157">
        <v>250</v>
      </c>
      <c r="J59" s="1186">
        <v>580</v>
      </c>
      <c r="K59" s="1186">
        <v>470</v>
      </c>
      <c r="L59" s="1177"/>
      <c r="M59" s="1177"/>
      <c r="N59" s="1195">
        <v>700</v>
      </c>
      <c r="O59" s="1197"/>
      <c r="P59" s="1197"/>
      <c r="Q59" s="1263"/>
      <c r="R59" s="1257">
        <f t="shared" si="29"/>
        <v>0</v>
      </c>
      <c r="S59" s="1201"/>
      <c r="T59" s="1163">
        <f t="shared" si="30"/>
        <v>0</v>
      </c>
      <c r="U59" s="1163">
        <f t="shared" si="31"/>
        <v>0</v>
      </c>
      <c r="V59" s="1201"/>
      <c r="W59" s="1164"/>
      <c r="X59" s="1201"/>
      <c r="Y59" s="1163">
        <f t="shared" si="17"/>
        <v>0</v>
      </c>
      <c r="Z59" s="1163">
        <f t="shared" si="32"/>
        <v>0</v>
      </c>
      <c r="AA59" s="1163">
        <f t="shared" si="33"/>
        <v>0</v>
      </c>
      <c r="AB59" s="1197"/>
      <c r="AC59" s="1163"/>
      <c r="AD59" s="1163">
        <f t="shared" si="35"/>
        <v>0</v>
      </c>
      <c r="AE59" s="1164">
        <f t="shared" si="5"/>
        <v>0</v>
      </c>
      <c r="AF59" s="2532"/>
    </row>
    <row r="60" spans="1:32" ht="15" customHeight="1">
      <c r="A60" s="2530">
        <f t="shared" si="34"/>
        <v>32</v>
      </c>
      <c r="B60" s="1155" t="s">
        <v>893</v>
      </c>
      <c r="C60" s="1160" t="s">
        <v>1494</v>
      </c>
      <c r="D60" s="1203">
        <f>'T-1'!K55</f>
        <v>125.88800000000001</v>
      </c>
      <c r="E60" s="1195"/>
      <c r="F60" s="1195">
        <f>'T-1'!G55</f>
        <v>1</v>
      </c>
      <c r="G60" s="1195">
        <f>'T-1'!H55</f>
        <v>28888</v>
      </c>
      <c r="H60" s="1164">
        <f t="shared" si="28"/>
        <v>28887</v>
      </c>
      <c r="I60" s="1157">
        <v>250</v>
      </c>
      <c r="J60" s="1186">
        <v>580</v>
      </c>
      <c r="K60" s="1186">
        <v>470</v>
      </c>
      <c r="L60" s="1177"/>
      <c r="M60" s="1177"/>
      <c r="N60" s="1195">
        <v>700</v>
      </c>
      <c r="O60" s="1197"/>
      <c r="P60" s="1197"/>
      <c r="Q60" s="1257">
        <f>(G60/0.9*I60*0.8*12)/10000000</f>
        <v>7.7034666666666674</v>
      </c>
      <c r="R60" s="1257">
        <f>((D60-E60)*J60+E60*K60)/1000-(D60/4*0.2/10)-10*25/1000</f>
        <v>72.135600000000011</v>
      </c>
      <c r="S60" s="1201"/>
      <c r="T60" s="1163">
        <f t="shared" si="30"/>
        <v>8.3999999999999995E-3</v>
      </c>
      <c r="U60" s="1163">
        <f t="shared" si="31"/>
        <v>79.847466666666676</v>
      </c>
      <c r="V60" s="1201"/>
      <c r="W60" s="1164">
        <f>AA60/D60*1000</f>
        <v>627.93111337061521</v>
      </c>
      <c r="X60" s="1201"/>
      <c r="Y60" s="1163">
        <f t="shared" si="17"/>
        <v>0</v>
      </c>
      <c r="Z60" s="1163">
        <f>U60*0.01</f>
        <v>0.79847466666666678</v>
      </c>
      <c r="AA60" s="1163">
        <f t="shared" si="33"/>
        <v>79.048992000000013</v>
      </c>
      <c r="AB60" s="1197"/>
      <c r="AC60" s="1163">
        <f t="shared" si="26"/>
        <v>0.45841128622267419</v>
      </c>
      <c r="AD60" s="1163">
        <f t="shared" si="35"/>
        <v>5.7708480000000009</v>
      </c>
      <c r="AE60" s="1164">
        <f t="shared" si="5"/>
        <v>628.38952465683792</v>
      </c>
      <c r="AF60" s="2532"/>
    </row>
    <row r="61" spans="1:32" ht="15" customHeight="1">
      <c r="A61" s="2530">
        <f t="shared" si="34"/>
        <v>33</v>
      </c>
      <c r="B61" s="1155" t="s">
        <v>1336</v>
      </c>
      <c r="C61" s="1160" t="s">
        <v>1494</v>
      </c>
      <c r="D61" s="1203">
        <f>'T-1'!K56</f>
        <v>0</v>
      </c>
      <c r="E61" s="1195"/>
      <c r="F61" s="1195">
        <f>'T-1'!G56</f>
        <v>0</v>
      </c>
      <c r="G61" s="1195">
        <f>'T-1'!H56</f>
        <v>0</v>
      </c>
      <c r="H61" s="1164">
        <f t="shared" si="28"/>
        <v>0</v>
      </c>
      <c r="I61" s="1157">
        <v>250</v>
      </c>
      <c r="J61" s="1186">
        <v>580</v>
      </c>
      <c r="K61" s="1186">
        <v>470</v>
      </c>
      <c r="L61" s="1177"/>
      <c r="M61" s="1177"/>
      <c r="N61" s="1195">
        <v>700</v>
      </c>
      <c r="O61" s="1197"/>
      <c r="P61" s="1197"/>
      <c r="Q61" s="1263"/>
      <c r="R61" s="1257">
        <f t="shared" si="29"/>
        <v>0</v>
      </c>
      <c r="S61" s="1201"/>
      <c r="T61" s="1163">
        <f t="shared" si="30"/>
        <v>0</v>
      </c>
      <c r="U61" s="1163">
        <f t="shared" si="31"/>
        <v>0</v>
      </c>
      <c r="V61" s="1201"/>
      <c r="W61" s="1164"/>
      <c r="X61" s="1201"/>
      <c r="Y61" s="1163">
        <f t="shared" si="17"/>
        <v>0</v>
      </c>
      <c r="Z61" s="1163">
        <f t="shared" si="32"/>
        <v>0</v>
      </c>
      <c r="AA61" s="1163">
        <f t="shared" si="33"/>
        <v>0</v>
      </c>
      <c r="AB61" s="1197"/>
      <c r="AC61" s="1163"/>
      <c r="AD61" s="1163">
        <f t="shared" si="35"/>
        <v>0</v>
      </c>
      <c r="AE61" s="1164">
        <f t="shared" si="5"/>
        <v>0</v>
      </c>
      <c r="AF61" s="2532"/>
    </row>
    <row r="62" spans="1:32" ht="15" customHeight="1">
      <c r="A62" s="2530">
        <f t="shared" si="34"/>
        <v>34</v>
      </c>
      <c r="B62" s="1155" t="s">
        <v>1339</v>
      </c>
      <c r="C62" s="1160" t="s">
        <v>1494</v>
      </c>
      <c r="D62" s="1203">
        <f>'T-1'!K57</f>
        <v>8.1616</v>
      </c>
      <c r="E62" s="1195"/>
      <c r="F62" s="1195">
        <f>'T-1'!G57</f>
        <v>1</v>
      </c>
      <c r="G62" s="1195">
        <f>'T-1'!H57</f>
        <v>0</v>
      </c>
      <c r="H62" s="1164">
        <v>0</v>
      </c>
      <c r="I62" s="1157">
        <v>250</v>
      </c>
      <c r="J62" s="1186">
        <v>770</v>
      </c>
      <c r="K62" s="1204"/>
      <c r="L62" s="1177"/>
      <c r="M62" s="1177"/>
      <c r="N62" s="1195">
        <v>700</v>
      </c>
      <c r="O62" s="1197"/>
      <c r="P62" s="1197"/>
      <c r="Q62" s="1263"/>
      <c r="R62" s="1257">
        <f t="shared" si="29"/>
        <v>6.2844319999999998</v>
      </c>
      <c r="S62" s="1201"/>
      <c r="T62" s="1163">
        <f t="shared" si="30"/>
        <v>8.3999999999999995E-3</v>
      </c>
      <c r="U62" s="1163">
        <f t="shared" si="31"/>
        <v>6.2928319999999998</v>
      </c>
      <c r="V62" s="1201"/>
      <c r="W62" s="1164">
        <f>AA62/D62*1000</f>
        <v>763.31891785924324</v>
      </c>
      <c r="X62" s="1201"/>
      <c r="Y62" s="1163">
        <f t="shared" si="17"/>
        <v>0</v>
      </c>
      <c r="Z62" s="1163">
        <f t="shared" si="32"/>
        <v>6.2928319999999996E-2</v>
      </c>
      <c r="AA62" s="1163">
        <f t="shared" si="33"/>
        <v>6.2299036799999996</v>
      </c>
      <c r="AB62" s="1197"/>
      <c r="AC62" s="1163">
        <f t="shared" si="26"/>
        <v>0.61599999999999999</v>
      </c>
      <c r="AD62" s="1163">
        <f t="shared" si="35"/>
        <v>0.50275455999999996</v>
      </c>
      <c r="AE62" s="1164">
        <f t="shared" si="5"/>
        <v>763.93491785924323</v>
      </c>
      <c r="AF62" s="2532"/>
    </row>
    <row r="63" spans="1:32" ht="15" customHeight="1">
      <c r="A63" s="2530">
        <f t="shared" si="34"/>
        <v>35</v>
      </c>
      <c r="B63" s="1155" t="s">
        <v>1337</v>
      </c>
      <c r="C63" s="1160" t="s">
        <v>1494</v>
      </c>
      <c r="D63" s="1203">
        <f>'T-1'!K58</f>
        <v>9.2899999999999991</v>
      </c>
      <c r="E63" s="1195"/>
      <c r="F63" s="1195">
        <f>'T-1'!G58</f>
        <v>0</v>
      </c>
      <c r="G63" s="1195">
        <f>'T-1'!H58</f>
        <v>0</v>
      </c>
      <c r="H63" s="1164">
        <f t="shared" si="28"/>
        <v>0</v>
      </c>
      <c r="I63" s="1157">
        <v>250</v>
      </c>
      <c r="J63" s="1186">
        <v>485</v>
      </c>
      <c r="K63" s="1204"/>
      <c r="L63" s="1177"/>
      <c r="M63" s="1177"/>
      <c r="N63" s="1195">
        <v>700</v>
      </c>
      <c r="O63" s="1197"/>
      <c r="P63" s="1197"/>
      <c r="Q63" s="1263"/>
      <c r="R63" s="1257">
        <f t="shared" si="29"/>
        <v>4.5056499999999993</v>
      </c>
      <c r="S63" s="1201"/>
      <c r="T63" s="1163">
        <f t="shared" si="30"/>
        <v>0</v>
      </c>
      <c r="U63" s="1163">
        <f t="shared" si="31"/>
        <v>4.5056499999999993</v>
      </c>
      <c r="V63" s="1201"/>
      <c r="W63" s="1164">
        <f>AA63/D63*1000</f>
        <v>480.14999999999992</v>
      </c>
      <c r="X63" s="1201"/>
      <c r="Y63" s="1163">
        <f t="shared" si="17"/>
        <v>0</v>
      </c>
      <c r="Z63" s="1163">
        <f t="shared" si="32"/>
        <v>4.5056499999999992E-2</v>
      </c>
      <c r="AA63" s="1163">
        <f t="shared" si="33"/>
        <v>4.460593499999999</v>
      </c>
      <c r="AB63" s="1197"/>
      <c r="AC63" s="1163">
        <f t="shared" si="26"/>
        <v>0.38799999999999996</v>
      </c>
      <c r="AD63" s="1163">
        <f t="shared" si="35"/>
        <v>0.36045199999999994</v>
      </c>
      <c r="AE63" s="1164">
        <f t="shared" si="5"/>
        <v>480.5379999999999</v>
      </c>
      <c r="AF63" s="2532"/>
    </row>
    <row r="64" spans="1:32" ht="15" customHeight="1">
      <c r="A64" s="2530"/>
      <c r="B64" s="1169" t="s">
        <v>4094</v>
      </c>
      <c r="C64" s="1155"/>
      <c r="D64" s="1194">
        <f>SUM(D56:D63)</f>
        <v>613.3351813104</v>
      </c>
      <c r="E64" s="1194">
        <f>SUM(E56:E63)</f>
        <v>6</v>
      </c>
      <c r="F64" s="1196">
        <f>SUM(F56:F63)</f>
        <v>18</v>
      </c>
      <c r="G64" s="1196">
        <f>SUM(G56:G63)</f>
        <v>203533</v>
      </c>
      <c r="H64" s="1196">
        <f>SUM(H56:H63)</f>
        <v>203516</v>
      </c>
      <c r="I64" s="1195"/>
      <c r="J64" s="1197"/>
      <c r="K64" s="1204"/>
      <c r="L64" s="1177"/>
      <c r="M64" s="1177"/>
      <c r="N64" s="1195"/>
      <c r="O64" s="1197"/>
      <c r="P64" s="1197"/>
      <c r="Q64" s="1261">
        <f>SUM(Q56:Q63)</f>
        <v>54.275466666666674</v>
      </c>
      <c r="R64" s="1261">
        <f>SUM(R56:R63)</f>
        <v>353.79311916003195</v>
      </c>
      <c r="S64" s="1198">
        <f>SUM(S56:S63)</f>
        <v>0</v>
      </c>
      <c r="T64" s="1198">
        <f>SUM(T56:T63)</f>
        <v>0.15119999999999997</v>
      </c>
      <c r="U64" s="1198">
        <f>SUM(U56:U63)</f>
        <v>408.21978582669863</v>
      </c>
      <c r="V64" s="1201"/>
      <c r="W64" s="1172">
        <f>AA64/D64*1000</f>
        <v>658.91799505938252</v>
      </c>
      <c r="X64" s="1198">
        <f>SUM(X56:X63)</f>
        <v>0</v>
      </c>
      <c r="Y64" s="1163">
        <f t="shared" si="17"/>
        <v>0</v>
      </c>
      <c r="Z64" s="1198">
        <f>SUM(Z56:Z63)</f>
        <v>4.0821978582669871</v>
      </c>
      <c r="AA64" s="1198">
        <f>SUM(AA56:AA63)</f>
        <v>404.13758796843166</v>
      </c>
      <c r="AB64" s="1197"/>
      <c r="AC64" s="1166">
        <f t="shared" si="26"/>
        <v>0.26023706199110475</v>
      </c>
      <c r="AD64" s="1198">
        <f>SUM(AD56:AD63)</f>
        <v>15.961254560000002</v>
      </c>
      <c r="AE64" s="1172">
        <f t="shared" si="5"/>
        <v>659.17823212137364</v>
      </c>
      <c r="AF64" s="2532"/>
    </row>
    <row r="65" spans="1:32" ht="24.75" customHeight="1" thickBot="1">
      <c r="A65" s="2535"/>
      <c r="B65" s="2536" t="s">
        <v>1340</v>
      </c>
      <c r="C65" s="2537"/>
      <c r="D65" s="2538">
        <f>D64+D54+D37</f>
        <v>3365.643939963335</v>
      </c>
      <c r="E65" s="2538">
        <f>E64+E54+E37</f>
        <v>6</v>
      </c>
      <c r="F65" s="2539">
        <f>F64+F54+F37</f>
        <v>2386112</v>
      </c>
      <c r="G65" s="2539">
        <f>G64+G54+G37</f>
        <v>3348903.193</v>
      </c>
      <c r="H65" s="2539">
        <f>H64+H54+H37</f>
        <v>1658372.5069999998</v>
      </c>
      <c r="I65" s="2540"/>
      <c r="J65" s="2541"/>
      <c r="K65" s="2541"/>
      <c r="L65" s="2542"/>
      <c r="M65" s="2542"/>
      <c r="N65" s="2543"/>
      <c r="O65" s="2541"/>
      <c r="P65" s="2541"/>
      <c r="Q65" s="2544">
        <f>Q64+Q54+Q37</f>
        <v>112.11284629333333</v>
      </c>
      <c r="R65" s="2544">
        <f>R64+R54+R37</f>
        <v>1648.3334638937586</v>
      </c>
      <c r="S65" s="2545">
        <f>S64+S54+S37</f>
        <v>104.07629026799999</v>
      </c>
      <c r="T65" s="2545">
        <f>T64+T54+T37</f>
        <v>4.8244800000000012</v>
      </c>
      <c r="U65" s="2545">
        <f>U64+U54+U37</f>
        <v>1869.3470804550918</v>
      </c>
      <c r="V65" s="2546"/>
      <c r="W65" s="2547">
        <f>AA65/D65*1000</f>
        <v>549.87205416621362</v>
      </c>
      <c r="X65" s="2545">
        <f>X64+X54+X37</f>
        <v>1185.1421321659079</v>
      </c>
      <c r="Y65" s="2548">
        <f t="shared" si="17"/>
        <v>11.85142132165908</v>
      </c>
      <c r="Z65" s="2545">
        <f>Z64+Z54+Z37</f>
        <v>6.8221122737251747</v>
      </c>
      <c r="AA65" s="2545">
        <f>AA64+AA54+AA37</f>
        <v>1850.6735468597076</v>
      </c>
      <c r="AB65" s="2541"/>
      <c r="AC65" s="2548">
        <f t="shared" si="26"/>
        <v>0.21553983875120158</v>
      </c>
      <c r="AD65" s="2545">
        <f>AD64+AD54+AD37</f>
        <v>72.543035211365606</v>
      </c>
      <c r="AE65" s="2547">
        <f t="shared" si="5"/>
        <v>550.08759400496479</v>
      </c>
      <c r="AF65" s="2549"/>
    </row>
    <row r="67" spans="1:32">
      <c r="D67" s="1118" t="s">
        <v>461</v>
      </c>
      <c r="E67" s="1100" t="s">
        <v>862</v>
      </c>
      <c r="L67" s="1072">
        <v>0.93</v>
      </c>
      <c r="Z67" s="1098"/>
    </row>
    <row r="68" spans="1:32">
      <c r="B68" s="1100" t="s">
        <v>1509</v>
      </c>
      <c r="C68" s="1100"/>
      <c r="D68" s="1099">
        <f>D37</f>
        <v>2385.0866661607351</v>
      </c>
      <c r="E68" s="1098">
        <f>'F-5'!J38</f>
        <v>1784.9682208265926</v>
      </c>
      <c r="F68" s="1100" t="s">
        <v>4211</v>
      </c>
      <c r="G68" s="1265">
        <f>E68/D68*1000</f>
        <v>748.38715345293895</v>
      </c>
      <c r="Z68" s="1099"/>
    </row>
    <row r="69" spans="1:32">
      <c r="B69" s="1100" t="s">
        <v>1511</v>
      </c>
      <c r="C69" s="1100"/>
      <c r="D69" s="1099">
        <f>D54</f>
        <v>367.22209249219998</v>
      </c>
      <c r="E69" s="1098">
        <f>'F-5'!I38</f>
        <v>142.35862426047152</v>
      </c>
      <c r="F69" s="1100" t="s">
        <v>4211</v>
      </c>
      <c r="G69" s="1265">
        <f>E69/D69*1000</f>
        <v>387.66356156389281</v>
      </c>
      <c r="P69" s="1098">
        <f>U54</f>
        <v>265.64434026770937</v>
      </c>
    </row>
    <row r="70" spans="1:32">
      <c r="B70" s="1100" t="s">
        <v>1512</v>
      </c>
      <c r="C70" s="1100"/>
      <c r="D70" s="1099">
        <f>D64</f>
        <v>613.3351813104</v>
      </c>
      <c r="E70" s="1098">
        <f>'F-5'!H38</f>
        <v>170.4439332559443</v>
      </c>
      <c r="F70" s="1100" t="s">
        <v>4211</v>
      </c>
      <c r="G70" s="1265">
        <f>E70/D70*1000</f>
        <v>277.89687996013572</v>
      </c>
      <c r="U70" s="1444">
        <v>-1.2751475370237131E-2</v>
      </c>
      <c r="AA70" s="1098"/>
    </row>
    <row r="71" spans="1:32">
      <c r="B71" s="1100" t="s">
        <v>4212</v>
      </c>
      <c r="C71" s="1100"/>
      <c r="D71" s="1205">
        <f>SUM(D68:D70)</f>
        <v>3365.643939963335</v>
      </c>
      <c r="E71" s="1523">
        <f>E68+E69+E70</f>
        <v>2097.7707783430083</v>
      </c>
      <c r="F71" s="1100" t="s">
        <v>4211</v>
      </c>
      <c r="G71" s="1524">
        <f>E71/D71*1000</f>
        <v>623.2895742280632</v>
      </c>
      <c r="U71" s="1098">
        <v>2.5708261923966802E-2</v>
      </c>
      <c r="Z71" s="1098"/>
      <c r="AA71" s="1098"/>
    </row>
    <row r="72" spans="1:32">
      <c r="U72" s="1098">
        <v>-4.3085094893285714E-2</v>
      </c>
    </row>
  </sheetData>
  <mergeCells count="2">
    <mergeCell ref="AC2:AF2"/>
    <mergeCell ref="D2:G2"/>
  </mergeCells>
  <printOptions horizontalCentered="1" verticalCentered="1"/>
  <pageMargins left="0" right="0" top="0" bottom="0" header="0" footer="0"/>
  <pageSetup paperSize="9" scale="55" fitToWidth="5" orientation="landscape" r:id="rId1"/>
  <headerFooter alignWithMargins="0"/>
  <colBreaks count="1" manualBreakCount="1">
    <brk id="1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4"/>
  </sheetPr>
  <dimension ref="A1:CO3523"/>
  <sheetViews>
    <sheetView zoomScale="64" zoomScaleNormal="64" workbookViewId="0">
      <pane xSplit="2" ySplit="4" topLeftCell="C2221" activePane="bottomRight" state="frozen"/>
      <selection activeCell="B2034" sqref="B2034"/>
      <selection pane="topRight" activeCell="B2034" sqref="B2034"/>
      <selection pane="bottomLeft" activeCell="B2034" sqref="B2034"/>
      <selection pane="bottomRight" activeCell="B2034" sqref="B2034"/>
    </sheetView>
  </sheetViews>
  <sheetFormatPr defaultColWidth="9.1796875" defaultRowHeight="12.5"/>
  <cols>
    <col min="1" max="1" width="24.81640625" style="1540" bestFit="1" customWidth="1"/>
    <col min="2" max="2" width="41.54296875" style="1539" customWidth="1"/>
    <col min="3" max="3" width="27.54296875" style="1539" bestFit="1" customWidth="1"/>
    <col min="4" max="4" width="26.453125" style="1539" bestFit="1" customWidth="1"/>
    <col min="5" max="5" width="26" style="1539" customWidth="1"/>
    <col min="6" max="6" width="26.26953125" style="1539" bestFit="1" customWidth="1"/>
    <col min="7" max="7" width="26.81640625" style="1539" customWidth="1"/>
    <col min="8" max="8" width="26.54296875" style="1539" customWidth="1"/>
    <col min="9" max="9" width="27.54296875" style="1539" bestFit="1" customWidth="1"/>
    <col min="10" max="10" width="27.1796875" style="1539" customWidth="1"/>
    <col min="11" max="11" width="22" style="1539" bestFit="1" customWidth="1"/>
    <col min="12" max="12" width="19.54296875" style="1539" bestFit="1" customWidth="1"/>
    <col min="13" max="14" width="23.1796875" style="1539" bestFit="1" customWidth="1"/>
    <col min="15" max="15" width="18.453125" style="1539" bestFit="1" customWidth="1"/>
    <col min="16" max="16384" width="9.1796875" style="1539"/>
  </cols>
  <sheetData>
    <row r="1" spans="1:93" ht="17.25" customHeight="1">
      <c r="A1" s="3189" t="s">
        <v>5467</v>
      </c>
      <c r="B1" s="3189"/>
      <c r="C1" s="3189"/>
      <c r="D1" s="3189"/>
      <c r="E1" s="3189"/>
      <c r="F1" s="3189"/>
      <c r="G1" s="3189"/>
      <c r="H1" s="3189"/>
      <c r="I1" s="3189"/>
      <c r="J1" s="3189"/>
    </row>
    <row r="2" spans="1:93">
      <c r="A2" s="1551"/>
      <c r="B2" s="1541" t="e">
        <f>I3509</f>
        <v>#REF!</v>
      </c>
      <c r="C2" s="1548"/>
      <c r="D2" s="1548"/>
    </row>
    <row r="3" spans="1:93" ht="42.75" customHeight="1">
      <c r="A3" s="1593"/>
      <c r="B3" s="1594" t="s">
        <v>3373</v>
      </c>
      <c r="C3" s="3190" t="s">
        <v>5416</v>
      </c>
      <c r="D3" s="3191"/>
      <c r="E3" s="3190" t="s">
        <v>5417</v>
      </c>
      <c r="F3" s="3191"/>
      <c r="G3" s="3192" t="s">
        <v>3374</v>
      </c>
      <c r="H3" s="3192"/>
      <c r="I3" s="3192" t="s">
        <v>5418</v>
      </c>
      <c r="J3" s="3192"/>
    </row>
    <row r="4" spans="1:93" ht="15.75" customHeight="1">
      <c r="A4" s="1595" t="s">
        <v>3375</v>
      </c>
      <c r="B4" s="1596"/>
      <c r="C4" s="1676" t="s">
        <v>1744</v>
      </c>
      <c r="D4" s="1676" t="s">
        <v>1745</v>
      </c>
      <c r="E4" s="1676" t="s">
        <v>1744</v>
      </c>
      <c r="F4" s="1676" t="s">
        <v>1745</v>
      </c>
      <c r="G4" s="1676"/>
      <c r="H4" s="1676"/>
      <c r="I4" s="1676"/>
      <c r="J4" s="1676"/>
    </row>
    <row r="5" spans="1:93" s="1542" customFormat="1" ht="15.5">
      <c r="A5" s="1598"/>
      <c r="B5" s="1599"/>
      <c r="C5" s="1643"/>
      <c r="D5" s="1597"/>
      <c r="E5" s="1643"/>
      <c r="F5" s="1644"/>
      <c r="G5" s="1597"/>
      <c r="H5" s="1644"/>
      <c r="I5" s="1597"/>
      <c r="J5" s="1644"/>
      <c r="K5" s="1539"/>
      <c r="L5" s="1539"/>
      <c r="M5" s="1539"/>
      <c r="N5" s="1539"/>
      <c r="O5" s="1539"/>
      <c r="P5" s="1539"/>
      <c r="Q5" s="1539"/>
      <c r="R5" s="1539"/>
      <c r="S5" s="1539"/>
      <c r="T5" s="1539"/>
      <c r="U5" s="1539"/>
      <c r="V5" s="1539"/>
      <c r="W5" s="1539"/>
      <c r="X5" s="1539"/>
      <c r="Y5" s="1539"/>
      <c r="Z5" s="1539"/>
      <c r="AA5" s="1539"/>
      <c r="AB5" s="1539"/>
      <c r="AC5" s="1539"/>
      <c r="AD5" s="1539"/>
      <c r="AE5" s="1539"/>
      <c r="AF5" s="1539"/>
      <c r="AG5" s="1539"/>
      <c r="AH5" s="1539"/>
      <c r="AI5" s="1539"/>
      <c r="AJ5" s="1539"/>
      <c r="AK5" s="1539"/>
      <c r="AL5" s="1539"/>
      <c r="AM5" s="1539"/>
      <c r="AN5" s="1539"/>
      <c r="AO5" s="1539"/>
      <c r="AP5" s="1539"/>
      <c r="AQ5" s="1539"/>
      <c r="AR5" s="1539"/>
      <c r="AS5" s="1539"/>
      <c r="AT5" s="1539"/>
      <c r="AU5" s="1539"/>
      <c r="AV5" s="1539"/>
      <c r="AW5" s="1539"/>
      <c r="AX5" s="1539"/>
      <c r="AY5" s="1539"/>
      <c r="AZ5" s="1539"/>
      <c r="BA5" s="1539"/>
      <c r="BB5" s="1539"/>
      <c r="BC5" s="1539"/>
      <c r="BD5" s="1539"/>
      <c r="BE5" s="1539"/>
      <c r="BF5" s="1539"/>
      <c r="BG5" s="1539"/>
      <c r="BH5" s="1539"/>
      <c r="BI5" s="1539"/>
      <c r="BJ5" s="1539"/>
      <c r="BK5" s="1539"/>
      <c r="BL5" s="1539"/>
      <c r="BM5" s="1539"/>
      <c r="BN5" s="1539"/>
      <c r="BO5" s="1539"/>
      <c r="BP5" s="1539"/>
      <c r="BQ5" s="1539"/>
      <c r="BR5" s="1539"/>
      <c r="BS5" s="1539"/>
      <c r="BT5" s="1539"/>
      <c r="BU5" s="1539"/>
      <c r="BV5" s="1539"/>
      <c r="BW5" s="1539"/>
      <c r="BX5" s="1539"/>
      <c r="BY5" s="1539"/>
      <c r="BZ5" s="1539"/>
      <c r="CA5" s="1539"/>
      <c r="CB5" s="1539"/>
      <c r="CC5" s="1539"/>
      <c r="CD5" s="1539"/>
      <c r="CE5" s="1539"/>
      <c r="CF5" s="1539"/>
      <c r="CG5" s="1539"/>
      <c r="CH5" s="1539"/>
      <c r="CI5" s="1539"/>
      <c r="CJ5" s="1539"/>
      <c r="CK5" s="1539"/>
      <c r="CL5" s="1539"/>
      <c r="CM5" s="1539"/>
      <c r="CN5" s="1539"/>
      <c r="CO5" s="1539"/>
    </row>
    <row r="6" spans="1:93" s="1542" customFormat="1" ht="15.5">
      <c r="A6" s="1598"/>
      <c r="B6" s="1599" t="s">
        <v>2018</v>
      </c>
      <c r="C6" s="1643"/>
      <c r="D6" s="1597"/>
      <c r="E6" s="1643"/>
      <c r="F6" s="1644"/>
      <c r="G6" s="1597"/>
      <c r="H6" s="1644"/>
      <c r="I6" s="1597"/>
      <c r="J6" s="1644"/>
      <c r="K6" s="1539"/>
      <c r="L6" s="1539"/>
      <c r="M6" s="1539"/>
      <c r="N6" s="1539"/>
      <c r="O6" s="1539"/>
      <c r="P6" s="1539"/>
      <c r="Q6" s="1539"/>
      <c r="R6" s="1539"/>
      <c r="S6" s="1539"/>
      <c r="T6" s="1539"/>
      <c r="U6" s="1539"/>
      <c r="V6" s="1539"/>
      <c r="W6" s="1539"/>
      <c r="X6" s="1539"/>
      <c r="Y6" s="1539"/>
      <c r="Z6" s="1539"/>
      <c r="AA6" s="1539"/>
      <c r="AB6" s="1539"/>
      <c r="AC6" s="1539"/>
      <c r="AD6" s="1539"/>
      <c r="AE6" s="1539"/>
      <c r="AF6" s="1539"/>
      <c r="AG6" s="1539"/>
      <c r="AH6" s="1539"/>
      <c r="AI6" s="1539"/>
      <c r="AJ6" s="1539"/>
      <c r="AK6" s="1539"/>
      <c r="AL6" s="1539"/>
      <c r="AM6" s="1539"/>
      <c r="AN6" s="1539"/>
      <c r="AO6" s="1539"/>
      <c r="AP6" s="1539"/>
      <c r="AQ6" s="1539"/>
      <c r="AR6" s="1539"/>
      <c r="AS6" s="1539"/>
      <c r="AT6" s="1539"/>
      <c r="AU6" s="1539"/>
      <c r="AV6" s="1539"/>
      <c r="AW6" s="1539"/>
      <c r="AX6" s="1539"/>
      <c r="AY6" s="1539"/>
      <c r="AZ6" s="1539"/>
      <c r="BA6" s="1539"/>
      <c r="BB6" s="1539"/>
      <c r="BC6" s="1539"/>
      <c r="BD6" s="1539"/>
      <c r="BE6" s="1539"/>
      <c r="BF6" s="1539"/>
      <c r="BG6" s="1539"/>
      <c r="BH6" s="1539"/>
      <c r="BI6" s="1539"/>
      <c r="BJ6" s="1539"/>
      <c r="BK6" s="1539"/>
      <c r="BL6" s="1539"/>
      <c r="BM6" s="1539"/>
      <c r="BN6" s="1539"/>
      <c r="BO6" s="1539"/>
      <c r="BP6" s="1539"/>
      <c r="BQ6" s="1539"/>
      <c r="BR6" s="1539"/>
      <c r="BS6" s="1539"/>
      <c r="BT6" s="1539"/>
      <c r="BU6" s="1539"/>
      <c r="BV6" s="1539"/>
      <c r="BW6" s="1539"/>
      <c r="BX6" s="1539"/>
      <c r="BY6" s="1539"/>
      <c r="BZ6" s="1539"/>
      <c r="CA6" s="1539"/>
      <c r="CB6" s="1539"/>
      <c r="CC6" s="1539"/>
      <c r="CD6" s="1539"/>
      <c r="CE6" s="1539"/>
      <c r="CF6" s="1539"/>
      <c r="CG6" s="1539"/>
      <c r="CH6" s="1539"/>
      <c r="CI6" s="1539"/>
      <c r="CJ6" s="1539"/>
      <c r="CK6" s="1539"/>
      <c r="CL6" s="1539"/>
      <c r="CM6" s="1539"/>
      <c r="CN6" s="1539"/>
      <c r="CO6" s="1539"/>
    </row>
    <row r="7" spans="1:93" ht="15.5">
      <c r="A7" s="1598">
        <v>10.101000000000001</v>
      </c>
      <c r="B7" s="1599" t="s">
        <v>2019</v>
      </c>
      <c r="C7" s="1643" t="e">
        <f>+SUMIF(#REF!,Final!A7,#REF!)</f>
        <v>#REF!</v>
      </c>
      <c r="D7" s="1597" t="e">
        <f>+SUMIF(#REF!,Final!A7,#REF!)</f>
        <v>#REF!</v>
      </c>
      <c r="E7" s="1643" t="e">
        <f>SUMIF(#REF!,Final!A7,#REF!)</f>
        <v>#REF!</v>
      </c>
      <c r="F7" s="1644" t="e">
        <f>SUMIF(#REF!,Final!A7,#REF!)</f>
        <v>#REF!</v>
      </c>
      <c r="G7" s="1597" t="e">
        <f>C7+E7</f>
        <v>#REF!</v>
      </c>
      <c r="H7" s="1644" t="e">
        <f>D7+F7</f>
        <v>#REF!</v>
      </c>
      <c r="I7" s="1597" t="e">
        <f>IF(G7&gt;H7,G7-H7,0)</f>
        <v>#REF!</v>
      </c>
      <c r="J7" s="1644" t="e">
        <f>IF(H7&gt;G7,H7-G7,0)</f>
        <v>#REF!</v>
      </c>
      <c r="M7" s="1545"/>
      <c r="N7" s="1545"/>
    </row>
    <row r="8" spans="1:93" ht="15.5">
      <c r="A8" s="1598">
        <v>10.102</v>
      </c>
      <c r="B8" s="1599" t="s">
        <v>2020</v>
      </c>
      <c r="C8" s="1643" t="e">
        <f>+SUMIF(#REF!,Final!A8,#REF!)</f>
        <v>#REF!</v>
      </c>
      <c r="D8" s="1597" t="e">
        <f>+SUMIF(#REF!,Final!A8,#REF!)</f>
        <v>#REF!</v>
      </c>
      <c r="E8" s="1643" t="e">
        <f>SUMIF(#REF!,Final!A8,#REF!)</f>
        <v>#REF!</v>
      </c>
      <c r="F8" s="1644" t="e">
        <f>SUMIF(#REF!,Final!A8,#REF!)</f>
        <v>#REF!</v>
      </c>
      <c r="G8" s="1597" t="e">
        <f t="shared" ref="G8:G71" si="0">C8+E8</f>
        <v>#REF!</v>
      </c>
      <c r="H8" s="1644" t="e">
        <f t="shared" ref="H8:H71" si="1">D8+F8</f>
        <v>#REF!</v>
      </c>
      <c r="I8" s="1597" t="e">
        <f t="shared" ref="I8:I71" si="2">IF(G8&gt;H8,G8-H8,0)</f>
        <v>#REF!</v>
      </c>
      <c r="J8" s="1644" t="e">
        <f t="shared" ref="J8:J71" si="3">IF(H8&gt;G8,H8-G8,0)</f>
        <v>#REF!</v>
      </c>
      <c r="M8" s="1545"/>
      <c r="N8" s="1545"/>
    </row>
    <row r="9" spans="1:93" ht="15.5">
      <c r="A9" s="1598">
        <v>10.103</v>
      </c>
      <c r="B9" s="1599" t="s">
        <v>2021</v>
      </c>
      <c r="C9" s="1643" t="e">
        <f>+SUMIF(#REF!,Final!A9,#REF!)</f>
        <v>#REF!</v>
      </c>
      <c r="D9" s="1597" t="e">
        <f>+SUMIF(#REF!,Final!A9,#REF!)</f>
        <v>#REF!</v>
      </c>
      <c r="E9" s="1643" t="e">
        <f>SUMIF(#REF!,Final!A9,#REF!)</f>
        <v>#REF!</v>
      </c>
      <c r="F9" s="1644" t="e">
        <f>SUMIF(#REF!,Final!A9,#REF!)</f>
        <v>#REF!</v>
      </c>
      <c r="G9" s="1597" t="e">
        <f t="shared" si="0"/>
        <v>#REF!</v>
      </c>
      <c r="H9" s="1644" t="e">
        <f t="shared" si="1"/>
        <v>#REF!</v>
      </c>
      <c r="I9" s="1597" t="e">
        <f t="shared" si="2"/>
        <v>#REF!</v>
      </c>
      <c r="J9" s="1644" t="e">
        <f t="shared" si="3"/>
        <v>#REF!</v>
      </c>
      <c r="M9" s="1545"/>
      <c r="N9" s="1545"/>
    </row>
    <row r="10" spans="1:93" ht="15.5">
      <c r="A10" s="1598">
        <v>10.141</v>
      </c>
      <c r="B10" s="1599" t="s">
        <v>2022</v>
      </c>
      <c r="C10" s="1643" t="e">
        <f>+SUMIF(#REF!,Final!A10,#REF!)</f>
        <v>#REF!</v>
      </c>
      <c r="D10" s="1597" t="e">
        <f>+SUMIF(#REF!,Final!A10,#REF!)</f>
        <v>#REF!</v>
      </c>
      <c r="E10" s="1643" t="e">
        <f>SUMIF(#REF!,Final!A10,#REF!)</f>
        <v>#REF!</v>
      </c>
      <c r="F10" s="1644" t="e">
        <f>SUMIF(#REF!,Final!A10,#REF!)</f>
        <v>#REF!</v>
      </c>
      <c r="G10" s="1597" t="e">
        <f t="shared" si="0"/>
        <v>#REF!</v>
      </c>
      <c r="H10" s="1644" t="e">
        <f t="shared" si="1"/>
        <v>#REF!</v>
      </c>
      <c r="I10" s="1597" t="e">
        <f t="shared" si="2"/>
        <v>#REF!</v>
      </c>
      <c r="J10" s="1644" t="e">
        <f t="shared" si="3"/>
        <v>#REF!</v>
      </c>
      <c r="M10" s="1545"/>
      <c r="N10" s="1545"/>
    </row>
    <row r="11" spans="1:93" s="1542" customFormat="1" ht="16.5">
      <c r="A11" s="1715" t="s">
        <v>543</v>
      </c>
      <c r="B11" s="1716" t="s">
        <v>1244</v>
      </c>
      <c r="C11" s="1643" t="e">
        <f>+SUMIF(#REF!,Final!A11,#REF!)</f>
        <v>#REF!</v>
      </c>
      <c r="D11" s="1597" t="e">
        <f>+SUMIF(#REF!,Final!A11,#REF!)</f>
        <v>#REF!</v>
      </c>
      <c r="E11" s="1643" t="e">
        <f>SUMIF(#REF!,Final!A11,#REF!)</f>
        <v>#REF!</v>
      </c>
      <c r="F11" s="1644" t="e">
        <f>SUMIF(#REF!,Final!A11,#REF!)</f>
        <v>#REF!</v>
      </c>
      <c r="G11" s="1597" t="e">
        <f t="shared" si="0"/>
        <v>#REF!</v>
      </c>
      <c r="H11" s="1644" t="e">
        <f t="shared" si="1"/>
        <v>#REF!</v>
      </c>
      <c r="I11" s="1597" t="e">
        <f t="shared" si="2"/>
        <v>#REF!</v>
      </c>
      <c r="J11" s="1644" t="e">
        <f t="shared" si="3"/>
        <v>#REF!</v>
      </c>
      <c r="K11" s="1539"/>
      <c r="L11" s="1539"/>
      <c r="M11" s="1545"/>
      <c r="N11" s="1545"/>
      <c r="O11" s="1539"/>
      <c r="P11" s="1539"/>
      <c r="Q11" s="1539"/>
      <c r="R11" s="1539"/>
      <c r="S11" s="1539"/>
      <c r="T11" s="1539"/>
      <c r="U11" s="1539"/>
      <c r="V11" s="1539"/>
      <c r="W11" s="1539"/>
      <c r="X11" s="1539"/>
      <c r="Y11" s="1539"/>
      <c r="Z11" s="1539"/>
      <c r="AA11" s="1539"/>
      <c r="AB11" s="1539"/>
      <c r="AC11" s="1539"/>
      <c r="AD11" s="1539"/>
      <c r="AE11" s="1539"/>
      <c r="AF11" s="1539"/>
      <c r="AG11" s="1539"/>
      <c r="AH11" s="1539"/>
      <c r="AI11" s="1539"/>
      <c r="AJ11" s="1539"/>
      <c r="AK11" s="1539"/>
      <c r="AL11" s="1539"/>
      <c r="AM11" s="1539"/>
      <c r="AN11" s="1539"/>
      <c r="AO11" s="1539"/>
      <c r="AP11" s="1539"/>
      <c r="AQ11" s="1539"/>
      <c r="AR11" s="1539"/>
      <c r="AS11" s="1539"/>
      <c r="AT11" s="1539"/>
      <c r="AU11" s="1539"/>
      <c r="AV11" s="1539"/>
      <c r="AW11" s="1539"/>
      <c r="AX11" s="1539"/>
      <c r="AY11" s="1539"/>
      <c r="AZ11" s="1539"/>
      <c r="BA11" s="1539"/>
      <c r="BB11" s="1539"/>
      <c r="BC11" s="1539"/>
      <c r="BD11" s="1539"/>
      <c r="BE11" s="1539"/>
      <c r="BF11" s="1539"/>
      <c r="BG11" s="1539"/>
      <c r="BH11" s="1539"/>
      <c r="BI11" s="1539"/>
      <c r="BJ11" s="1539"/>
      <c r="BK11" s="1539"/>
      <c r="BL11" s="1539"/>
      <c r="BM11" s="1539"/>
      <c r="BN11" s="1539"/>
      <c r="BO11" s="1539"/>
      <c r="BP11" s="1539"/>
      <c r="BQ11" s="1539"/>
      <c r="BR11" s="1539"/>
      <c r="BS11" s="1539"/>
      <c r="BT11" s="1539"/>
      <c r="BU11" s="1539"/>
      <c r="BV11" s="1539"/>
      <c r="BW11" s="1539"/>
      <c r="BX11" s="1539"/>
      <c r="BY11" s="1539"/>
      <c r="BZ11" s="1539"/>
      <c r="CA11" s="1539"/>
      <c r="CB11" s="1539"/>
      <c r="CC11" s="1539"/>
      <c r="CD11" s="1539"/>
      <c r="CE11" s="1539"/>
      <c r="CF11" s="1539"/>
      <c r="CG11" s="1539"/>
      <c r="CH11" s="1539"/>
      <c r="CI11" s="1539"/>
      <c r="CJ11" s="1539"/>
      <c r="CK11" s="1539"/>
      <c r="CL11" s="1539"/>
      <c r="CM11" s="1539"/>
      <c r="CN11" s="1539"/>
      <c r="CO11" s="1539"/>
    </row>
    <row r="12" spans="1:93" ht="15.5">
      <c r="A12" s="1598">
        <v>10.202</v>
      </c>
      <c r="B12" s="1599" t="s">
        <v>2023</v>
      </c>
      <c r="C12" s="1643" t="e">
        <f>+SUMIF(#REF!,Final!A12,#REF!)</f>
        <v>#REF!</v>
      </c>
      <c r="D12" s="1597" t="e">
        <f>+SUMIF(#REF!,Final!A12,#REF!)</f>
        <v>#REF!</v>
      </c>
      <c r="E12" s="1643" t="e">
        <f>SUMIF(#REF!,Final!A12,#REF!)</f>
        <v>#REF!</v>
      </c>
      <c r="F12" s="1644" t="e">
        <f>SUMIF(#REF!,Final!A12,#REF!)</f>
        <v>#REF!</v>
      </c>
      <c r="G12" s="1597" t="e">
        <f t="shared" si="0"/>
        <v>#REF!</v>
      </c>
      <c r="H12" s="1644" t="e">
        <f t="shared" si="1"/>
        <v>#REF!</v>
      </c>
      <c r="I12" s="1597" t="e">
        <f t="shared" si="2"/>
        <v>#REF!</v>
      </c>
      <c r="J12" s="1644" t="e">
        <f t="shared" si="3"/>
        <v>#REF!</v>
      </c>
      <c r="M12" s="1545"/>
      <c r="N12" s="1545"/>
    </row>
    <row r="13" spans="1:93" ht="15.5">
      <c r="A13" s="1598">
        <v>10.202999999999999</v>
      </c>
      <c r="B13" s="1599" t="s">
        <v>2024</v>
      </c>
      <c r="C13" s="1643" t="e">
        <f>+SUMIF(#REF!,Final!A13,#REF!)</f>
        <v>#REF!</v>
      </c>
      <c r="D13" s="1597" t="e">
        <f>+SUMIF(#REF!,Final!A13,#REF!)</f>
        <v>#REF!</v>
      </c>
      <c r="E13" s="1643" t="e">
        <f>SUMIF(#REF!,Final!A13,#REF!)</f>
        <v>#REF!</v>
      </c>
      <c r="F13" s="1644" t="e">
        <f>SUMIF(#REF!,Final!A13,#REF!)</f>
        <v>#REF!</v>
      </c>
      <c r="G13" s="1597" t="e">
        <f t="shared" si="0"/>
        <v>#REF!</v>
      </c>
      <c r="H13" s="1644" t="e">
        <f t="shared" si="1"/>
        <v>#REF!</v>
      </c>
      <c r="I13" s="1597" t="e">
        <f t="shared" si="2"/>
        <v>#REF!</v>
      </c>
      <c r="J13" s="1644" t="e">
        <f t="shared" si="3"/>
        <v>#REF!</v>
      </c>
      <c r="M13" s="1545"/>
      <c r="N13" s="1545"/>
    </row>
    <row r="14" spans="1:93" s="1542" customFormat="1" ht="15.5">
      <c r="A14" s="1598">
        <v>10.208</v>
      </c>
      <c r="B14" s="1599" t="s">
        <v>2025</v>
      </c>
      <c r="C14" s="1643" t="e">
        <f>+SUMIF(#REF!,Final!A14,#REF!)</f>
        <v>#REF!</v>
      </c>
      <c r="D14" s="1597" t="e">
        <f>+SUMIF(#REF!,Final!A14,#REF!)</f>
        <v>#REF!</v>
      </c>
      <c r="E14" s="1643" t="e">
        <f>SUMIF(#REF!,Final!A14,#REF!)</f>
        <v>#REF!</v>
      </c>
      <c r="F14" s="1644" t="e">
        <f>SUMIF(#REF!,Final!A14,#REF!)</f>
        <v>#REF!</v>
      </c>
      <c r="G14" s="1597" t="e">
        <f t="shared" si="0"/>
        <v>#REF!</v>
      </c>
      <c r="H14" s="1644" t="e">
        <f t="shared" si="1"/>
        <v>#REF!</v>
      </c>
      <c r="I14" s="1597" t="e">
        <f t="shared" si="2"/>
        <v>#REF!</v>
      </c>
      <c r="J14" s="1644" t="e">
        <f t="shared" si="3"/>
        <v>#REF!</v>
      </c>
      <c r="K14" s="1539"/>
      <c r="L14" s="1539"/>
      <c r="M14" s="1545"/>
      <c r="N14" s="1545"/>
      <c r="O14" s="1539"/>
      <c r="P14" s="1539"/>
      <c r="Q14" s="1539"/>
      <c r="R14" s="1539"/>
      <c r="S14" s="1539"/>
      <c r="T14" s="1539"/>
      <c r="U14" s="1539"/>
      <c r="V14" s="1539"/>
      <c r="W14" s="1539"/>
      <c r="X14" s="1539"/>
      <c r="Y14" s="1539"/>
      <c r="Z14" s="1539"/>
      <c r="AA14" s="1539"/>
      <c r="AB14" s="1539"/>
      <c r="AC14" s="1539"/>
      <c r="AD14" s="1539"/>
      <c r="AE14" s="1539"/>
      <c r="AF14" s="1539"/>
      <c r="AG14" s="1539"/>
      <c r="AH14" s="1539"/>
      <c r="AI14" s="1539"/>
      <c r="AJ14" s="1539"/>
      <c r="AK14" s="1539"/>
      <c r="AL14" s="1539"/>
      <c r="AM14" s="1539"/>
      <c r="AN14" s="1539"/>
      <c r="AO14" s="1539"/>
      <c r="AP14" s="1539"/>
      <c r="AQ14" s="1539"/>
      <c r="AR14" s="1539"/>
      <c r="AS14" s="1539"/>
      <c r="AT14" s="1539"/>
      <c r="AU14" s="1539"/>
      <c r="AV14" s="1539"/>
      <c r="AW14" s="1539"/>
      <c r="AX14" s="1539"/>
      <c r="AY14" s="1539"/>
      <c r="AZ14" s="1539"/>
      <c r="BA14" s="1539"/>
      <c r="BB14" s="1539"/>
      <c r="BC14" s="1539"/>
      <c r="BD14" s="1539"/>
      <c r="BE14" s="1539"/>
      <c r="BF14" s="1539"/>
      <c r="BG14" s="1539"/>
      <c r="BH14" s="1539"/>
      <c r="BI14" s="1539"/>
      <c r="BJ14" s="1539"/>
      <c r="BK14" s="1539"/>
      <c r="BL14" s="1539"/>
      <c r="BM14" s="1539"/>
      <c r="BN14" s="1539"/>
      <c r="BO14" s="1539"/>
      <c r="BP14" s="1539"/>
      <c r="BQ14" s="1539"/>
      <c r="BR14" s="1539"/>
      <c r="BS14" s="1539"/>
      <c r="BT14" s="1539"/>
      <c r="BU14" s="1539"/>
      <c r="BV14" s="1539"/>
      <c r="BW14" s="1539"/>
      <c r="BX14" s="1539"/>
      <c r="BY14" s="1539"/>
      <c r="BZ14" s="1539"/>
      <c r="CA14" s="1539"/>
      <c r="CB14" s="1539"/>
      <c r="CC14" s="1539"/>
      <c r="CD14" s="1539"/>
      <c r="CE14" s="1539"/>
      <c r="CF14" s="1539"/>
      <c r="CG14" s="1539"/>
      <c r="CH14" s="1539"/>
      <c r="CI14" s="1539"/>
      <c r="CJ14" s="1539"/>
      <c r="CK14" s="1539"/>
      <c r="CL14" s="1539"/>
      <c r="CM14" s="1539"/>
      <c r="CN14" s="1539"/>
      <c r="CO14" s="1539"/>
    </row>
    <row r="15" spans="1:93" ht="15.5">
      <c r="A15" s="1598">
        <v>10.211</v>
      </c>
      <c r="B15" s="1599" t="s">
        <v>2026</v>
      </c>
      <c r="C15" s="1643" t="e">
        <f>+SUMIF(#REF!,Final!A15,#REF!)</f>
        <v>#REF!</v>
      </c>
      <c r="D15" s="1597" t="e">
        <f>+SUMIF(#REF!,Final!A15,#REF!)</f>
        <v>#REF!</v>
      </c>
      <c r="E15" s="1643" t="e">
        <f>SUMIF(#REF!,Final!A15,#REF!)</f>
        <v>#REF!</v>
      </c>
      <c r="F15" s="1644" t="e">
        <f>SUMIF(#REF!,Final!A15,#REF!)</f>
        <v>#REF!</v>
      </c>
      <c r="G15" s="1597" t="e">
        <f t="shared" si="0"/>
        <v>#REF!</v>
      </c>
      <c r="H15" s="1644" t="e">
        <f t="shared" si="1"/>
        <v>#REF!</v>
      </c>
      <c r="I15" s="1597" t="e">
        <f t="shared" si="2"/>
        <v>#REF!</v>
      </c>
      <c r="J15" s="1644" t="e">
        <f t="shared" si="3"/>
        <v>#REF!</v>
      </c>
      <c r="M15" s="1545"/>
      <c r="N15" s="1545"/>
    </row>
    <row r="16" spans="1:93" ht="15.5">
      <c r="A16" s="1598">
        <v>10.222</v>
      </c>
      <c r="B16" s="1599" t="s">
        <v>2027</v>
      </c>
      <c r="C16" s="1643" t="e">
        <f>+SUMIF(#REF!,Final!A16,#REF!)</f>
        <v>#REF!</v>
      </c>
      <c r="D16" s="1597" t="e">
        <f>+SUMIF(#REF!,Final!A16,#REF!)</f>
        <v>#REF!</v>
      </c>
      <c r="E16" s="1643" t="e">
        <f>SUMIF(#REF!,Final!A16,#REF!)</f>
        <v>#REF!</v>
      </c>
      <c r="F16" s="1644" t="e">
        <f>SUMIF(#REF!,Final!A16,#REF!)</f>
        <v>#REF!</v>
      </c>
      <c r="G16" s="1597" t="e">
        <f t="shared" si="0"/>
        <v>#REF!</v>
      </c>
      <c r="H16" s="1644" t="e">
        <f t="shared" si="1"/>
        <v>#REF!</v>
      </c>
      <c r="I16" s="1597" t="e">
        <f t="shared" si="2"/>
        <v>#REF!</v>
      </c>
      <c r="J16" s="1644" t="e">
        <f t="shared" si="3"/>
        <v>#REF!</v>
      </c>
      <c r="M16" s="1545"/>
      <c r="N16" s="1545"/>
    </row>
    <row r="17" spans="1:93" ht="15.5">
      <c r="A17" s="1598">
        <v>10.223000000000001</v>
      </c>
      <c r="B17" s="1599" t="s">
        <v>2028</v>
      </c>
      <c r="C17" s="1643" t="e">
        <f>+SUMIF(#REF!,Final!A17,#REF!)</f>
        <v>#REF!</v>
      </c>
      <c r="D17" s="1597" t="e">
        <f>+SUMIF(#REF!,Final!A17,#REF!)</f>
        <v>#REF!</v>
      </c>
      <c r="E17" s="1643" t="e">
        <f>SUMIF(#REF!,Final!A17,#REF!)</f>
        <v>#REF!</v>
      </c>
      <c r="F17" s="1644" t="e">
        <f>SUMIF(#REF!,Final!A17,#REF!)</f>
        <v>#REF!</v>
      </c>
      <c r="G17" s="1597" t="e">
        <f t="shared" si="0"/>
        <v>#REF!</v>
      </c>
      <c r="H17" s="1644" t="e">
        <f t="shared" si="1"/>
        <v>#REF!</v>
      </c>
      <c r="I17" s="1597" t="e">
        <f t="shared" si="2"/>
        <v>#REF!</v>
      </c>
      <c r="J17" s="1644" t="e">
        <f t="shared" si="3"/>
        <v>#REF!</v>
      </c>
      <c r="M17" s="1545"/>
      <c r="N17" s="1545"/>
    </row>
    <row r="18" spans="1:93" s="1542" customFormat="1" ht="15.5">
      <c r="A18" s="1598">
        <v>10.231999999999999</v>
      </c>
      <c r="B18" s="1599" t="s">
        <v>2029</v>
      </c>
      <c r="C18" s="1643" t="e">
        <f>+SUMIF(#REF!,Final!A18,#REF!)</f>
        <v>#REF!</v>
      </c>
      <c r="D18" s="1597" t="e">
        <f>+SUMIF(#REF!,Final!A18,#REF!)</f>
        <v>#REF!</v>
      </c>
      <c r="E18" s="1643" t="e">
        <f>SUMIF(#REF!,Final!A18,#REF!)</f>
        <v>#REF!</v>
      </c>
      <c r="F18" s="1644" t="e">
        <f>SUMIF(#REF!,Final!A18,#REF!)</f>
        <v>#REF!</v>
      </c>
      <c r="G18" s="1597" t="e">
        <f t="shared" si="0"/>
        <v>#REF!</v>
      </c>
      <c r="H18" s="1644" t="e">
        <f t="shared" si="1"/>
        <v>#REF!</v>
      </c>
      <c r="I18" s="1597" t="e">
        <f t="shared" si="2"/>
        <v>#REF!</v>
      </c>
      <c r="J18" s="1644" t="e">
        <f t="shared" si="3"/>
        <v>#REF!</v>
      </c>
      <c r="K18" s="1539"/>
      <c r="L18" s="1539"/>
      <c r="M18" s="1545"/>
      <c r="N18" s="1545"/>
      <c r="O18" s="1539"/>
      <c r="P18" s="1539"/>
      <c r="Q18" s="1539"/>
      <c r="R18" s="1539"/>
      <c r="S18" s="1539"/>
      <c r="T18" s="1539"/>
      <c r="U18" s="1539"/>
      <c r="V18" s="1539"/>
      <c r="W18" s="1539"/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  <c r="CE18" s="1539"/>
      <c r="CF18" s="1539"/>
      <c r="CG18" s="1539"/>
      <c r="CH18" s="1539"/>
      <c r="CI18" s="1539"/>
      <c r="CJ18" s="1539"/>
      <c r="CK18" s="1539"/>
      <c r="CL18" s="1539"/>
      <c r="CM18" s="1539"/>
      <c r="CN18" s="1539"/>
      <c r="CO18" s="1539"/>
    </row>
    <row r="19" spans="1:93" ht="15.5">
      <c r="A19" s="1598">
        <v>10.233000000000001</v>
      </c>
      <c r="B19" s="1599" t="s">
        <v>2030</v>
      </c>
      <c r="C19" s="1643" t="e">
        <f>+SUMIF(#REF!,Final!A19,#REF!)</f>
        <v>#REF!</v>
      </c>
      <c r="D19" s="1597" t="e">
        <f>+SUMIF(#REF!,Final!A19,#REF!)</f>
        <v>#REF!</v>
      </c>
      <c r="E19" s="1643" t="e">
        <f>SUMIF(#REF!,Final!A19,#REF!)</f>
        <v>#REF!</v>
      </c>
      <c r="F19" s="1644" t="e">
        <f>SUMIF(#REF!,Final!A19,#REF!)</f>
        <v>#REF!</v>
      </c>
      <c r="G19" s="1597" t="e">
        <f t="shared" si="0"/>
        <v>#REF!</v>
      </c>
      <c r="H19" s="1644" t="e">
        <f t="shared" si="1"/>
        <v>#REF!</v>
      </c>
      <c r="I19" s="1597" t="e">
        <f t="shared" si="2"/>
        <v>#REF!</v>
      </c>
      <c r="J19" s="1644" t="e">
        <f t="shared" si="3"/>
        <v>#REF!</v>
      </c>
      <c r="M19" s="1545"/>
      <c r="N19" s="1545"/>
    </row>
    <row r="20" spans="1:93" ht="15.5">
      <c r="A20" s="1598">
        <v>10.272</v>
      </c>
      <c r="B20" s="1599" t="s">
        <v>2029</v>
      </c>
      <c r="C20" s="1643" t="e">
        <f>+SUMIF(#REF!,Final!A20,#REF!)</f>
        <v>#REF!</v>
      </c>
      <c r="D20" s="1597" t="e">
        <f>+SUMIF(#REF!,Final!A20,#REF!)</f>
        <v>#REF!</v>
      </c>
      <c r="E20" s="1643" t="e">
        <f>SUMIF(#REF!,Final!A20,#REF!)</f>
        <v>#REF!</v>
      </c>
      <c r="F20" s="1644" t="e">
        <f>SUMIF(#REF!,Final!A20,#REF!)</f>
        <v>#REF!</v>
      </c>
      <c r="G20" s="1597" t="e">
        <f t="shared" si="0"/>
        <v>#REF!</v>
      </c>
      <c r="H20" s="1644" t="e">
        <f t="shared" si="1"/>
        <v>#REF!</v>
      </c>
      <c r="I20" s="1597" t="e">
        <f t="shared" si="2"/>
        <v>#REF!</v>
      </c>
      <c r="J20" s="1644" t="e">
        <f t="shared" si="3"/>
        <v>#REF!</v>
      </c>
      <c r="M20" s="1545"/>
      <c r="N20" s="1545"/>
    </row>
    <row r="21" spans="1:93" s="1552" customFormat="1" ht="15.5">
      <c r="A21" s="1598"/>
      <c r="B21" s="1599"/>
      <c r="C21" s="1643" t="e">
        <f>+SUMIF(#REF!,Final!A21,#REF!)</f>
        <v>#REF!</v>
      </c>
      <c r="D21" s="1597" t="e">
        <f>+SUMIF(#REF!,Final!A21,#REF!)</f>
        <v>#REF!</v>
      </c>
      <c r="E21" s="1643" t="e">
        <f>SUMIF(#REF!,Final!A21,#REF!)</f>
        <v>#REF!</v>
      </c>
      <c r="F21" s="1644" t="e">
        <f>SUMIF(#REF!,Final!A21,#REF!)</f>
        <v>#REF!</v>
      </c>
      <c r="G21" s="1597" t="e">
        <f t="shared" si="0"/>
        <v>#REF!</v>
      </c>
      <c r="H21" s="1644" t="e">
        <f t="shared" si="1"/>
        <v>#REF!</v>
      </c>
      <c r="I21" s="1597" t="e">
        <f t="shared" si="2"/>
        <v>#REF!</v>
      </c>
      <c r="J21" s="1644" t="e">
        <f t="shared" si="3"/>
        <v>#REF!</v>
      </c>
      <c r="K21" s="1539"/>
      <c r="L21" s="1539"/>
      <c r="M21" s="1545"/>
      <c r="N21" s="1545"/>
      <c r="O21" s="1539"/>
      <c r="P21" s="1539"/>
      <c r="Q21" s="1539"/>
      <c r="R21" s="1539"/>
      <c r="S21" s="1539"/>
      <c r="T21" s="1539"/>
      <c r="U21" s="1539"/>
      <c r="V21" s="1539"/>
      <c r="W21" s="1539"/>
      <c r="X21" s="1539"/>
      <c r="Y21" s="1539"/>
      <c r="Z21" s="1539"/>
      <c r="AA21" s="1539"/>
      <c r="AB21" s="1539"/>
      <c r="AC21" s="1539"/>
      <c r="AD21" s="1539"/>
      <c r="AE21" s="1539"/>
      <c r="AF21" s="1539"/>
      <c r="AG21" s="1539"/>
      <c r="AH21" s="1539"/>
      <c r="AI21" s="1539"/>
      <c r="AJ21" s="1539"/>
      <c r="AK21" s="1539"/>
      <c r="AL21" s="1539"/>
      <c r="AM21" s="1539"/>
      <c r="AN21" s="1539"/>
      <c r="AO21" s="1539"/>
      <c r="AP21" s="1539"/>
      <c r="AQ21" s="1539"/>
      <c r="AR21" s="1539"/>
      <c r="AS21" s="1539"/>
      <c r="AT21" s="1539"/>
      <c r="AU21" s="1539"/>
      <c r="AV21" s="1539"/>
      <c r="AW21" s="1539"/>
      <c r="AX21" s="1539"/>
      <c r="AY21" s="1539"/>
      <c r="AZ21" s="1539"/>
      <c r="BA21" s="1539"/>
      <c r="BB21" s="1539"/>
      <c r="BC21" s="1539"/>
      <c r="BD21" s="1539"/>
      <c r="BE21" s="1539"/>
      <c r="BF21" s="1539"/>
      <c r="BG21" s="1539"/>
      <c r="BH21" s="1539"/>
      <c r="BI21" s="1539"/>
      <c r="BJ21" s="1539"/>
      <c r="BK21" s="1539"/>
      <c r="BL21" s="1539"/>
      <c r="BM21" s="1539"/>
      <c r="BN21" s="1539"/>
      <c r="BO21" s="1539"/>
      <c r="BP21" s="1539"/>
      <c r="BQ21" s="1539"/>
      <c r="BR21" s="1539"/>
      <c r="BS21" s="1539"/>
      <c r="BT21" s="1539"/>
      <c r="BU21" s="1539"/>
      <c r="BV21" s="1539"/>
      <c r="BW21" s="1539"/>
      <c r="BX21" s="1539"/>
      <c r="BY21" s="1539"/>
      <c r="BZ21" s="1539"/>
      <c r="CA21" s="1539"/>
      <c r="CB21" s="1539"/>
      <c r="CC21" s="1539"/>
      <c r="CD21" s="1539"/>
      <c r="CE21" s="1539"/>
      <c r="CF21" s="1539"/>
      <c r="CG21" s="1539"/>
      <c r="CH21" s="1539"/>
      <c r="CI21" s="1539"/>
      <c r="CJ21" s="1539"/>
      <c r="CK21" s="1539"/>
      <c r="CL21" s="1539"/>
      <c r="CM21" s="1539"/>
      <c r="CN21" s="1539"/>
      <c r="CO21" s="1539"/>
    </row>
    <row r="22" spans="1:93" s="1552" customFormat="1" ht="15.5">
      <c r="A22" s="1598"/>
      <c r="B22" s="1599"/>
      <c r="C22" s="1643" t="e">
        <f>+SUMIF(#REF!,Final!A22,#REF!)</f>
        <v>#REF!</v>
      </c>
      <c r="D22" s="1597" t="e">
        <f>+SUMIF(#REF!,Final!A22,#REF!)</f>
        <v>#REF!</v>
      </c>
      <c r="E22" s="1643" t="e">
        <f>SUMIF(#REF!,Final!A22,#REF!)</f>
        <v>#REF!</v>
      </c>
      <c r="F22" s="1644" t="e">
        <f>SUMIF(#REF!,Final!A22,#REF!)</f>
        <v>#REF!</v>
      </c>
      <c r="G22" s="1597" t="e">
        <f t="shared" si="0"/>
        <v>#REF!</v>
      </c>
      <c r="H22" s="1644" t="e">
        <f t="shared" si="1"/>
        <v>#REF!</v>
      </c>
      <c r="I22" s="1597" t="e">
        <f t="shared" si="2"/>
        <v>#REF!</v>
      </c>
      <c r="J22" s="1644" t="e">
        <f t="shared" si="3"/>
        <v>#REF!</v>
      </c>
      <c r="K22" s="1539"/>
      <c r="L22" s="1539"/>
      <c r="M22" s="1545"/>
      <c r="N22" s="1545"/>
      <c r="O22" s="1539"/>
      <c r="P22" s="1539"/>
      <c r="Q22" s="1539"/>
      <c r="R22" s="1539"/>
      <c r="S22" s="1539"/>
      <c r="T22" s="1539"/>
      <c r="U22" s="1539"/>
      <c r="V22" s="1539"/>
      <c r="W22" s="1539"/>
      <c r="X22" s="1539"/>
      <c r="Y22" s="1539"/>
      <c r="Z22" s="1539"/>
      <c r="AA22" s="1539"/>
      <c r="AB22" s="1539"/>
      <c r="AC22" s="1539"/>
      <c r="AD22" s="1539"/>
      <c r="AE22" s="1539"/>
      <c r="AF22" s="1539"/>
      <c r="AG22" s="1539"/>
      <c r="AH22" s="1539"/>
      <c r="AI22" s="1539"/>
      <c r="AJ22" s="1539"/>
      <c r="AK22" s="1539"/>
      <c r="AL22" s="1539"/>
      <c r="AM22" s="1539"/>
      <c r="AN22" s="1539"/>
      <c r="AO22" s="1539"/>
      <c r="AP22" s="1539"/>
      <c r="AQ22" s="1539"/>
      <c r="AR22" s="1539"/>
      <c r="AS22" s="1539"/>
      <c r="AT22" s="1539"/>
      <c r="AU22" s="1539"/>
      <c r="AV22" s="1539"/>
      <c r="AW22" s="1539"/>
      <c r="AX22" s="1539"/>
      <c r="AY22" s="1539"/>
      <c r="AZ22" s="1539"/>
      <c r="BA22" s="1539"/>
      <c r="BB22" s="1539"/>
      <c r="BC22" s="1539"/>
      <c r="BD22" s="1539"/>
      <c r="BE22" s="1539"/>
      <c r="BF22" s="1539"/>
      <c r="BG22" s="1539"/>
      <c r="BH22" s="1539"/>
      <c r="BI22" s="1539"/>
      <c r="BJ22" s="1539"/>
      <c r="BK22" s="1539"/>
      <c r="BL22" s="1539"/>
      <c r="BM22" s="1539"/>
      <c r="BN22" s="1539"/>
      <c r="BO22" s="1539"/>
      <c r="BP22" s="1539"/>
      <c r="BQ22" s="1539"/>
      <c r="BR22" s="1539"/>
      <c r="BS22" s="1539"/>
      <c r="BT22" s="1539"/>
      <c r="BU22" s="1539"/>
      <c r="BV22" s="1539"/>
      <c r="BW22" s="1539"/>
      <c r="BX22" s="1539"/>
      <c r="BY22" s="1539"/>
      <c r="BZ22" s="1539"/>
      <c r="CA22" s="1539"/>
      <c r="CB22" s="1539"/>
      <c r="CC22" s="1539"/>
      <c r="CD22" s="1539"/>
      <c r="CE22" s="1539"/>
      <c r="CF22" s="1539"/>
      <c r="CG22" s="1539"/>
      <c r="CH22" s="1539"/>
      <c r="CI22" s="1539"/>
      <c r="CJ22" s="1539"/>
      <c r="CK22" s="1539"/>
      <c r="CL22" s="1539"/>
      <c r="CM22" s="1539"/>
      <c r="CN22" s="1539"/>
      <c r="CO22" s="1539"/>
    </row>
    <row r="23" spans="1:93" s="1542" customFormat="1" ht="15.5">
      <c r="A23" s="1598" t="s">
        <v>544</v>
      </c>
      <c r="B23" s="1599" t="s">
        <v>2035</v>
      </c>
      <c r="C23" s="1643" t="e">
        <f>+SUMIF(#REF!,Final!A23,#REF!)</f>
        <v>#REF!</v>
      </c>
      <c r="D23" s="1597" t="e">
        <f>+SUMIF(#REF!,Final!A23,#REF!)</f>
        <v>#REF!</v>
      </c>
      <c r="E23" s="1643" t="e">
        <f>SUMIF(#REF!,Final!A23,#REF!)</f>
        <v>#REF!</v>
      </c>
      <c r="F23" s="1644" t="e">
        <f>SUMIF(#REF!,Final!A23,#REF!)</f>
        <v>#REF!</v>
      </c>
      <c r="G23" s="1597" t="e">
        <f t="shared" si="0"/>
        <v>#REF!</v>
      </c>
      <c r="H23" s="1644" t="e">
        <f t="shared" si="1"/>
        <v>#REF!</v>
      </c>
      <c r="I23" s="1597" t="e">
        <f t="shared" si="2"/>
        <v>#REF!</v>
      </c>
      <c r="J23" s="1644" t="e">
        <f t="shared" si="3"/>
        <v>#REF!</v>
      </c>
      <c r="K23" s="1539"/>
      <c r="L23" s="1539"/>
      <c r="M23" s="1545"/>
      <c r="N23" s="1545"/>
      <c r="O23" s="1539"/>
      <c r="P23" s="1539"/>
      <c r="Q23" s="1539"/>
      <c r="R23" s="1539"/>
      <c r="S23" s="1539"/>
      <c r="T23" s="1539"/>
      <c r="U23" s="1539"/>
      <c r="V23" s="1539"/>
      <c r="W23" s="1539"/>
      <c r="X23" s="1539"/>
      <c r="Y23" s="1539"/>
      <c r="Z23" s="1539"/>
      <c r="AA23" s="1539"/>
      <c r="AB23" s="1539"/>
      <c r="AC23" s="1539"/>
      <c r="AD23" s="1539"/>
      <c r="AE23" s="1539"/>
      <c r="AF23" s="1539"/>
      <c r="AG23" s="1539"/>
      <c r="AH23" s="1539"/>
      <c r="AI23" s="1539"/>
      <c r="AJ23" s="1539"/>
      <c r="AK23" s="1539"/>
      <c r="AL23" s="1539"/>
      <c r="AM23" s="1539"/>
      <c r="AN23" s="1539"/>
      <c r="AO23" s="1539"/>
      <c r="AP23" s="1539"/>
      <c r="AQ23" s="1539"/>
      <c r="AR23" s="1539"/>
      <c r="AS23" s="1539"/>
      <c r="AT23" s="1539"/>
      <c r="AU23" s="1539"/>
      <c r="AV23" s="1539"/>
      <c r="AW23" s="1539"/>
      <c r="AX23" s="1539"/>
      <c r="AY23" s="1539"/>
      <c r="AZ23" s="1539"/>
      <c r="BA23" s="1539"/>
      <c r="BB23" s="1539"/>
      <c r="BC23" s="1539"/>
      <c r="BD23" s="1539"/>
      <c r="BE23" s="1539"/>
      <c r="BF23" s="1539"/>
      <c r="BG23" s="1539"/>
      <c r="BH23" s="1539"/>
      <c r="BI23" s="1539"/>
      <c r="BJ23" s="1539"/>
      <c r="BK23" s="1539"/>
      <c r="BL23" s="1539"/>
      <c r="BM23" s="1539"/>
      <c r="BN23" s="1539"/>
      <c r="BO23" s="1539"/>
      <c r="BP23" s="1539"/>
      <c r="BQ23" s="1539"/>
      <c r="BR23" s="1539"/>
      <c r="BS23" s="1539"/>
      <c r="BT23" s="1539"/>
      <c r="BU23" s="1539"/>
      <c r="BV23" s="1539"/>
      <c r="BW23" s="1539"/>
      <c r="BX23" s="1539"/>
      <c r="BY23" s="1539"/>
      <c r="BZ23" s="1539"/>
      <c r="CA23" s="1539"/>
      <c r="CB23" s="1539"/>
      <c r="CC23" s="1539"/>
      <c r="CD23" s="1539"/>
      <c r="CE23" s="1539"/>
      <c r="CF23" s="1539"/>
      <c r="CG23" s="1539"/>
      <c r="CH23" s="1539"/>
      <c r="CI23" s="1539"/>
      <c r="CJ23" s="1539"/>
      <c r="CK23" s="1539"/>
      <c r="CL23" s="1539"/>
      <c r="CM23" s="1539"/>
      <c r="CN23" s="1539"/>
      <c r="CO23" s="1539"/>
    </row>
    <row r="24" spans="1:93" ht="15.5">
      <c r="A24" s="1598">
        <v>10.32</v>
      </c>
      <c r="B24" s="1599" t="s">
        <v>2036</v>
      </c>
      <c r="C24" s="1643" t="e">
        <f>+SUMIF(#REF!,Final!A24,#REF!)</f>
        <v>#REF!</v>
      </c>
      <c r="D24" s="1597" t="e">
        <f>+SUMIF(#REF!,Final!A24,#REF!)</f>
        <v>#REF!</v>
      </c>
      <c r="E24" s="1643" t="e">
        <f>SUMIF(#REF!,Final!A24,#REF!)</f>
        <v>#REF!</v>
      </c>
      <c r="F24" s="1644" t="e">
        <f>SUMIF(#REF!,Final!A24,#REF!)</f>
        <v>#REF!</v>
      </c>
      <c r="G24" s="1597" t="e">
        <f t="shared" si="0"/>
        <v>#REF!</v>
      </c>
      <c r="H24" s="1644" t="e">
        <f t="shared" si="1"/>
        <v>#REF!</v>
      </c>
      <c r="I24" s="1597" t="e">
        <f t="shared" si="2"/>
        <v>#REF!</v>
      </c>
      <c r="J24" s="1644" t="e">
        <f t="shared" si="3"/>
        <v>#REF!</v>
      </c>
      <c r="M24" s="1545"/>
      <c r="N24" s="1545"/>
    </row>
    <row r="25" spans="1:93" s="1542" customFormat="1" ht="15.5">
      <c r="A25" s="1598">
        <v>10.321999999999999</v>
      </c>
      <c r="B25" s="1599" t="s">
        <v>2037</v>
      </c>
      <c r="C25" s="1643" t="e">
        <f>+SUMIF(#REF!,Final!A25,#REF!)</f>
        <v>#REF!</v>
      </c>
      <c r="D25" s="1597" t="e">
        <f>+SUMIF(#REF!,Final!A25,#REF!)</f>
        <v>#REF!</v>
      </c>
      <c r="E25" s="1643" t="e">
        <f>SUMIF(#REF!,Final!A25,#REF!)</f>
        <v>#REF!</v>
      </c>
      <c r="F25" s="1644" t="e">
        <f>SUMIF(#REF!,Final!A25,#REF!)</f>
        <v>#REF!</v>
      </c>
      <c r="G25" s="1597" t="e">
        <f t="shared" si="0"/>
        <v>#REF!</v>
      </c>
      <c r="H25" s="1644" t="e">
        <f t="shared" si="1"/>
        <v>#REF!</v>
      </c>
      <c r="I25" s="1597" t="e">
        <f t="shared" si="2"/>
        <v>#REF!</v>
      </c>
      <c r="J25" s="1644" t="e">
        <f t="shared" si="3"/>
        <v>#REF!</v>
      </c>
      <c r="K25" s="1539"/>
      <c r="L25" s="1539"/>
      <c r="M25" s="1545"/>
      <c r="N25" s="1545"/>
      <c r="O25" s="1539"/>
      <c r="P25" s="1539"/>
      <c r="Q25" s="1539"/>
      <c r="R25" s="1539"/>
      <c r="S25" s="1539"/>
      <c r="T25" s="1539"/>
      <c r="U25" s="1539"/>
      <c r="V25" s="1539"/>
      <c r="W25" s="1539"/>
      <c r="X25" s="1539"/>
      <c r="Y25" s="1539"/>
      <c r="Z25" s="1539"/>
      <c r="AA25" s="1539"/>
      <c r="AB25" s="1539"/>
      <c r="AC25" s="1539"/>
      <c r="AD25" s="1539"/>
      <c r="AE25" s="1539"/>
      <c r="AF25" s="1539"/>
      <c r="AG25" s="1539"/>
      <c r="AH25" s="1539"/>
      <c r="AI25" s="1539"/>
      <c r="AJ25" s="1539"/>
      <c r="AK25" s="1539"/>
      <c r="AL25" s="1539"/>
      <c r="AM25" s="1539"/>
      <c r="AN25" s="1539"/>
      <c r="AO25" s="1539"/>
      <c r="AP25" s="1539"/>
      <c r="AQ25" s="1539"/>
      <c r="AR25" s="1539"/>
      <c r="AS25" s="1539"/>
      <c r="AT25" s="1539"/>
      <c r="AU25" s="1539"/>
      <c r="AV25" s="1539"/>
      <c r="AW25" s="1539"/>
      <c r="AX25" s="1539"/>
      <c r="AY25" s="1539"/>
      <c r="AZ25" s="1539"/>
      <c r="BA25" s="1539"/>
      <c r="BB25" s="1539"/>
      <c r="BC25" s="1539"/>
      <c r="BD25" s="1539"/>
      <c r="BE25" s="1539"/>
      <c r="BF25" s="1539"/>
      <c r="BG25" s="1539"/>
      <c r="BH25" s="1539"/>
      <c r="BI25" s="1539"/>
      <c r="BJ25" s="1539"/>
      <c r="BK25" s="1539"/>
      <c r="BL25" s="1539"/>
      <c r="BM25" s="1539"/>
      <c r="BN25" s="1539"/>
      <c r="BO25" s="1539"/>
      <c r="BP25" s="1539"/>
      <c r="BQ25" s="1539"/>
      <c r="BR25" s="1539"/>
      <c r="BS25" s="1539"/>
      <c r="BT25" s="1539"/>
      <c r="BU25" s="1539"/>
      <c r="BV25" s="1539"/>
      <c r="BW25" s="1539"/>
      <c r="BX25" s="1539"/>
      <c r="BY25" s="1539"/>
      <c r="BZ25" s="1539"/>
      <c r="CA25" s="1539"/>
      <c r="CB25" s="1539"/>
      <c r="CC25" s="1539"/>
      <c r="CD25" s="1539"/>
      <c r="CE25" s="1539"/>
      <c r="CF25" s="1539"/>
      <c r="CG25" s="1539"/>
      <c r="CH25" s="1539"/>
      <c r="CI25" s="1539"/>
      <c r="CJ25" s="1539"/>
      <c r="CK25" s="1539"/>
      <c r="CL25" s="1539"/>
      <c r="CM25" s="1539"/>
      <c r="CN25" s="1539"/>
      <c r="CO25" s="1539"/>
    </row>
    <row r="26" spans="1:93" ht="15.5">
      <c r="A26" s="1598">
        <v>10.333</v>
      </c>
      <c r="B26" s="1599" t="s">
        <v>2038</v>
      </c>
      <c r="C26" s="1643" t="e">
        <f>+SUMIF(#REF!,Final!A26,#REF!)</f>
        <v>#REF!</v>
      </c>
      <c r="D26" s="1597" t="e">
        <f>+SUMIF(#REF!,Final!A26,#REF!)</f>
        <v>#REF!</v>
      </c>
      <c r="E26" s="1643" t="e">
        <f>SUMIF(#REF!,Final!A26,#REF!)</f>
        <v>#REF!</v>
      </c>
      <c r="F26" s="1644" t="e">
        <f>SUMIF(#REF!,Final!A26,#REF!)</f>
        <v>#REF!</v>
      </c>
      <c r="G26" s="1597" t="e">
        <f t="shared" si="0"/>
        <v>#REF!</v>
      </c>
      <c r="H26" s="1644" t="e">
        <f t="shared" si="1"/>
        <v>#REF!</v>
      </c>
      <c r="I26" s="1597" t="e">
        <f t="shared" si="2"/>
        <v>#REF!</v>
      </c>
      <c r="J26" s="1644" t="e">
        <f t="shared" si="3"/>
        <v>#REF!</v>
      </c>
      <c r="M26" s="1545"/>
      <c r="N26" s="1545"/>
    </row>
    <row r="27" spans="1:93" s="1552" customFormat="1" ht="15.5">
      <c r="A27" s="1598"/>
      <c r="B27" s="1599"/>
      <c r="C27" s="1643" t="e">
        <f>+SUMIF(#REF!,Final!A27,#REF!)</f>
        <v>#REF!</v>
      </c>
      <c r="D27" s="1597" t="e">
        <f>+SUMIF(#REF!,Final!A27,#REF!)</f>
        <v>#REF!</v>
      </c>
      <c r="E27" s="1643" t="e">
        <f>SUMIF(#REF!,Final!A27,#REF!)</f>
        <v>#REF!</v>
      </c>
      <c r="F27" s="1644" t="e">
        <f>SUMIF(#REF!,Final!A27,#REF!)</f>
        <v>#REF!</v>
      </c>
      <c r="G27" s="1597" t="e">
        <f t="shared" si="0"/>
        <v>#REF!</v>
      </c>
      <c r="H27" s="1644" t="e">
        <f t="shared" si="1"/>
        <v>#REF!</v>
      </c>
      <c r="I27" s="1597" t="e">
        <f t="shared" si="2"/>
        <v>#REF!</v>
      </c>
      <c r="J27" s="1644" t="e">
        <f t="shared" si="3"/>
        <v>#REF!</v>
      </c>
      <c r="K27" s="1539"/>
      <c r="L27" s="1539"/>
      <c r="M27" s="1545"/>
      <c r="N27" s="1545"/>
      <c r="O27" s="1539"/>
      <c r="P27" s="1539"/>
      <c r="Q27" s="1539"/>
      <c r="R27" s="1539"/>
      <c r="S27" s="1539"/>
      <c r="T27" s="1539"/>
      <c r="U27" s="1539"/>
      <c r="V27" s="1539"/>
      <c r="W27" s="1539"/>
      <c r="X27" s="1539"/>
      <c r="Y27" s="1539"/>
      <c r="Z27" s="1539"/>
      <c r="AA27" s="1539"/>
      <c r="AB27" s="1539"/>
      <c r="AC27" s="1539"/>
      <c r="AD27" s="1539"/>
      <c r="AE27" s="1539"/>
      <c r="AF27" s="1539"/>
      <c r="AG27" s="1539"/>
      <c r="AH27" s="1539"/>
      <c r="AI27" s="1539"/>
      <c r="AJ27" s="1539"/>
      <c r="AK27" s="1539"/>
      <c r="AL27" s="1539"/>
      <c r="AM27" s="1539"/>
      <c r="AN27" s="1539"/>
      <c r="AO27" s="1539"/>
      <c r="AP27" s="1539"/>
      <c r="AQ27" s="1539"/>
      <c r="AR27" s="1539"/>
      <c r="AS27" s="1539"/>
      <c r="AT27" s="1539"/>
      <c r="AU27" s="1539"/>
      <c r="AV27" s="1539"/>
      <c r="AW27" s="1539"/>
      <c r="AX27" s="1539"/>
      <c r="AY27" s="1539"/>
      <c r="AZ27" s="1539"/>
      <c r="BA27" s="1539"/>
      <c r="BB27" s="1539"/>
      <c r="BC27" s="1539"/>
      <c r="BD27" s="1539"/>
      <c r="BE27" s="1539"/>
      <c r="BF27" s="1539"/>
      <c r="BG27" s="1539"/>
      <c r="BH27" s="1539"/>
      <c r="BI27" s="1539"/>
      <c r="BJ27" s="1539"/>
      <c r="BK27" s="1539"/>
      <c r="BL27" s="1539"/>
      <c r="BM27" s="1539"/>
      <c r="BN27" s="1539"/>
      <c r="BO27" s="1539"/>
      <c r="BP27" s="1539"/>
      <c r="BQ27" s="1539"/>
      <c r="BR27" s="1539"/>
      <c r="BS27" s="1539"/>
      <c r="BT27" s="1539"/>
      <c r="BU27" s="1539"/>
      <c r="BV27" s="1539"/>
      <c r="BW27" s="1539"/>
      <c r="BX27" s="1539"/>
      <c r="BY27" s="1539"/>
      <c r="BZ27" s="1539"/>
      <c r="CA27" s="1539"/>
      <c r="CB27" s="1539"/>
      <c r="CC27" s="1539"/>
      <c r="CD27" s="1539"/>
      <c r="CE27" s="1539"/>
      <c r="CF27" s="1539"/>
      <c r="CG27" s="1539"/>
      <c r="CH27" s="1539"/>
      <c r="CI27" s="1539"/>
      <c r="CJ27" s="1539"/>
      <c r="CK27" s="1539"/>
      <c r="CL27" s="1539"/>
      <c r="CM27" s="1539"/>
      <c r="CN27" s="1539"/>
      <c r="CO27" s="1539"/>
    </row>
    <row r="28" spans="1:93" s="1552" customFormat="1" ht="15.5">
      <c r="A28" s="1598"/>
      <c r="B28" s="1599"/>
      <c r="C28" s="1643" t="e">
        <f>+SUMIF(#REF!,Final!A28,#REF!)</f>
        <v>#REF!</v>
      </c>
      <c r="D28" s="1597" t="e">
        <f>+SUMIF(#REF!,Final!A28,#REF!)</f>
        <v>#REF!</v>
      </c>
      <c r="E28" s="1643" t="e">
        <f>SUMIF(#REF!,Final!A28,#REF!)</f>
        <v>#REF!</v>
      </c>
      <c r="F28" s="1644" t="e">
        <f>SUMIF(#REF!,Final!A28,#REF!)</f>
        <v>#REF!</v>
      </c>
      <c r="G28" s="1597" t="e">
        <f t="shared" si="0"/>
        <v>#REF!</v>
      </c>
      <c r="H28" s="1644" t="e">
        <f t="shared" si="1"/>
        <v>#REF!</v>
      </c>
      <c r="I28" s="1597" t="e">
        <f t="shared" si="2"/>
        <v>#REF!</v>
      </c>
      <c r="J28" s="1644" t="e">
        <f t="shared" si="3"/>
        <v>#REF!</v>
      </c>
      <c r="K28" s="1539"/>
      <c r="L28" s="1539"/>
      <c r="M28" s="1545"/>
      <c r="N28" s="1545"/>
      <c r="O28" s="1539"/>
      <c r="P28" s="1539"/>
      <c r="Q28" s="1539"/>
      <c r="R28" s="1539"/>
      <c r="S28" s="1539"/>
      <c r="T28" s="1539"/>
      <c r="U28" s="1539"/>
      <c r="V28" s="1539"/>
      <c r="W28" s="1539"/>
      <c r="X28" s="1539"/>
      <c r="Y28" s="1539"/>
      <c r="Z28" s="1539"/>
      <c r="AA28" s="1539"/>
      <c r="AB28" s="1539"/>
      <c r="AC28" s="1539"/>
      <c r="AD28" s="1539"/>
      <c r="AE28" s="1539"/>
      <c r="AF28" s="1539"/>
      <c r="AG28" s="1539"/>
      <c r="AH28" s="1539"/>
      <c r="AI28" s="1539"/>
      <c r="AJ28" s="1539"/>
      <c r="AK28" s="1539"/>
      <c r="AL28" s="1539"/>
      <c r="AM28" s="1539"/>
      <c r="AN28" s="1539"/>
      <c r="AO28" s="1539"/>
      <c r="AP28" s="1539"/>
      <c r="AQ28" s="1539"/>
      <c r="AR28" s="1539"/>
      <c r="AS28" s="1539"/>
      <c r="AT28" s="1539"/>
      <c r="AU28" s="1539"/>
      <c r="AV28" s="1539"/>
      <c r="AW28" s="1539"/>
      <c r="AX28" s="1539"/>
      <c r="AY28" s="1539"/>
      <c r="AZ28" s="1539"/>
      <c r="BA28" s="1539"/>
      <c r="BB28" s="1539"/>
      <c r="BC28" s="1539"/>
      <c r="BD28" s="1539"/>
      <c r="BE28" s="1539"/>
      <c r="BF28" s="1539"/>
      <c r="BG28" s="1539"/>
      <c r="BH28" s="1539"/>
      <c r="BI28" s="1539"/>
      <c r="BJ28" s="1539"/>
      <c r="BK28" s="1539"/>
      <c r="BL28" s="1539"/>
      <c r="BM28" s="1539"/>
      <c r="BN28" s="1539"/>
      <c r="BO28" s="1539"/>
      <c r="BP28" s="1539"/>
      <c r="BQ28" s="1539"/>
      <c r="BR28" s="1539"/>
      <c r="BS28" s="1539"/>
      <c r="BT28" s="1539"/>
      <c r="BU28" s="1539"/>
      <c r="BV28" s="1539"/>
      <c r="BW28" s="1539"/>
      <c r="BX28" s="1539"/>
      <c r="BY28" s="1539"/>
      <c r="BZ28" s="1539"/>
      <c r="CA28" s="1539"/>
      <c r="CB28" s="1539"/>
      <c r="CC28" s="1539"/>
      <c r="CD28" s="1539"/>
      <c r="CE28" s="1539"/>
      <c r="CF28" s="1539"/>
      <c r="CG28" s="1539"/>
      <c r="CH28" s="1539"/>
      <c r="CI28" s="1539"/>
      <c r="CJ28" s="1539"/>
      <c r="CK28" s="1539"/>
      <c r="CL28" s="1539"/>
      <c r="CM28" s="1539"/>
      <c r="CN28" s="1539"/>
      <c r="CO28" s="1539"/>
    </row>
    <row r="29" spans="1:93" s="1542" customFormat="1" ht="15.5">
      <c r="A29" s="1598" t="s">
        <v>545</v>
      </c>
      <c r="B29" s="1599" t="s">
        <v>919</v>
      </c>
      <c r="C29" s="1643" t="e">
        <f>+SUMIF(#REF!,Final!A29,#REF!)</f>
        <v>#REF!</v>
      </c>
      <c r="D29" s="1597" t="e">
        <f>+SUMIF(#REF!,Final!A29,#REF!)</f>
        <v>#REF!</v>
      </c>
      <c r="E29" s="1643" t="e">
        <f>SUMIF(#REF!,Final!A29,#REF!)</f>
        <v>#REF!</v>
      </c>
      <c r="F29" s="1644" t="e">
        <f>SUMIF(#REF!,Final!A29,#REF!)</f>
        <v>#REF!</v>
      </c>
      <c r="G29" s="1597" t="e">
        <f t="shared" si="0"/>
        <v>#REF!</v>
      </c>
      <c r="H29" s="1644" t="e">
        <f t="shared" si="1"/>
        <v>#REF!</v>
      </c>
      <c r="I29" s="1597" t="e">
        <f t="shared" si="2"/>
        <v>#REF!</v>
      </c>
      <c r="J29" s="1644" t="e">
        <f t="shared" si="3"/>
        <v>#REF!</v>
      </c>
      <c r="K29" s="1539"/>
      <c r="L29" s="1539"/>
      <c r="M29" s="1545"/>
      <c r="N29" s="1545"/>
      <c r="O29" s="1539"/>
      <c r="P29" s="1539"/>
      <c r="Q29" s="1539"/>
      <c r="R29" s="1539"/>
      <c r="S29" s="1539"/>
      <c r="T29" s="1539"/>
      <c r="U29" s="1539"/>
      <c r="V29" s="1539"/>
      <c r="W29" s="1539"/>
      <c r="X29" s="1539"/>
      <c r="Y29" s="1539"/>
      <c r="Z29" s="1539"/>
      <c r="AA29" s="1539"/>
      <c r="AB29" s="1539"/>
      <c r="AC29" s="1539"/>
      <c r="AD29" s="1539"/>
      <c r="AE29" s="1539"/>
      <c r="AF29" s="1539"/>
      <c r="AG29" s="1539"/>
      <c r="AH29" s="1539"/>
      <c r="AI29" s="1539"/>
      <c r="AJ29" s="1539"/>
      <c r="AK29" s="1539"/>
      <c r="AL29" s="1539"/>
      <c r="AM29" s="1539"/>
      <c r="AN29" s="1539"/>
      <c r="AO29" s="1539"/>
      <c r="AP29" s="1539"/>
      <c r="AQ29" s="1539"/>
      <c r="AR29" s="1539"/>
      <c r="AS29" s="1539"/>
      <c r="AT29" s="1539"/>
      <c r="AU29" s="1539"/>
      <c r="AV29" s="1539"/>
      <c r="AW29" s="1539"/>
      <c r="AX29" s="1539"/>
      <c r="AY29" s="1539"/>
      <c r="AZ29" s="1539"/>
      <c r="BA29" s="1539"/>
      <c r="BB29" s="1539"/>
      <c r="BC29" s="1539"/>
      <c r="BD29" s="1539"/>
      <c r="BE29" s="1539"/>
      <c r="BF29" s="1539"/>
      <c r="BG29" s="1539"/>
      <c r="BH29" s="1539"/>
      <c r="BI29" s="1539"/>
      <c r="BJ29" s="1539"/>
      <c r="BK29" s="1539"/>
      <c r="BL29" s="1539"/>
      <c r="BM29" s="1539"/>
      <c r="BN29" s="1539"/>
      <c r="BO29" s="1539"/>
      <c r="BP29" s="1539"/>
      <c r="BQ29" s="1539"/>
      <c r="BR29" s="1539"/>
      <c r="BS29" s="1539"/>
      <c r="BT29" s="1539"/>
      <c r="BU29" s="1539"/>
      <c r="BV29" s="1539"/>
      <c r="BW29" s="1539"/>
      <c r="BX29" s="1539"/>
      <c r="BY29" s="1539"/>
      <c r="BZ29" s="1539"/>
      <c r="CA29" s="1539"/>
      <c r="CB29" s="1539"/>
      <c r="CC29" s="1539"/>
      <c r="CD29" s="1539"/>
      <c r="CE29" s="1539"/>
      <c r="CF29" s="1539"/>
      <c r="CG29" s="1539"/>
      <c r="CH29" s="1539"/>
      <c r="CI29" s="1539"/>
      <c r="CJ29" s="1539"/>
      <c r="CK29" s="1539"/>
      <c r="CL29" s="1539"/>
      <c r="CM29" s="1539"/>
      <c r="CN29" s="1539"/>
      <c r="CO29" s="1539"/>
    </row>
    <row r="30" spans="1:93" ht="15.5">
      <c r="A30" s="1598">
        <v>10.401</v>
      </c>
      <c r="B30" s="1599" t="s">
        <v>2031</v>
      </c>
      <c r="C30" s="1643" t="e">
        <f>+SUMIF(#REF!,Final!A30,#REF!)</f>
        <v>#REF!</v>
      </c>
      <c r="D30" s="1597" t="e">
        <f>+SUMIF(#REF!,Final!A30,#REF!)</f>
        <v>#REF!</v>
      </c>
      <c r="E30" s="1643" t="e">
        <f>SUMIF(#REF!,Final!A30,#REF!)</f>
        <v>#REF!</v>
      </c>
      <c r="F30" s="1644" t="e">
        <f>SUMIF(#REF!,Final!A30,#REF!)</f>
        <v>#REF!</v>
      </c>
      <c r="G30" s="1597" t="e">
        <f t="shared" si="0"/>
        <v>#REF!</v>
      </c>
      <c r="H30" s="1644" t="e">
        <f t="shared" si="1"/>
        <v>#REF!</v>
      </c>
      <c r="I30" s="1597" t="e">
        <f t="shared" si="2"/>
        <v>#REF!</v>
      </c>
      <c r="J30" s="1644" t="e">
        <f t="shared" si="3"/>
        <v>#REF!</v>
      </c>
      <c r="M30" s="1545"/>
      <c r="N30" s="1545"/>
    </row>
    <row r="31" spans="1:93" ht="15.5">
      <c r="A31" s="1598">
        <v>10.401999999999999</v>
      </c>
      <c r="B31" s="1599" t="s">
        <v>2032</v>
      </c>
      <c r="C31" s="1643" t="e">
        <f>+SUMIF(#REF!,Final!A31,#REF!)</f>
        <v>#REF!</v>
      </c>
      <c r="D31" s="1597" t="e">
        <f>+SUMIF(#REF!,Final!A31,#REF!)</f>
        <v>#REF!</v>
      </c>
      <c r="E31" s="1643" t="e">
        <f>SUMIF(#REF!,Final!A31,#REF!)</f>
        <v>#REF!</v>
      </c>
      <c r="F31" s="1644" t="e">
        <f>SUMIF(#REF!,Final!A31,#REF!)</f>
        <v>#REF!</v>
      </c>
      <c r="G31" s="1597" t="e">
        <f t="shared" si="0"/>
        <v>#REF!</v>
      </c>
      <c r="H31" s="1644" t="e">
        <f t="shared" si="1"/>
        <v>#REF!</v>
      </c>
      <c r="I31" s="1597" t="e">
        <f t="shared" si="2"/>
        <v>#REF!</v>
      </c>
      <c r="J31" s="1644" t="e">
        <f t="shared" si="3"/>
        <v>#REF!</v>
      </c>
      <c r="M31" s="1545"/>
      <c r="N31" s="1545"/>
    </row>
    <row r="32" spans="1:93" ht="15.5">
      <c r="A32" s="1598">
        <v>10.413</v>
      </c>
      <c r="B32" s="1599" t="s">
        <v>2033</v>
      </c>
      <c r="C32" s="1643" t="e">
        <f>+SUMIF(#REF!,Final!A32,#REF!)</f>
        <v>#REF!</v>
      </c>
      <c r="D32" s="1597" t="e">
        <f>+SUMIF(#REF!,Final!A32,#REF!)</f>
        <v>#REF!</v>
      </c>
      <c r="E32" s="1643" t="e">
        <f>SUMIF(#REF!,Final!A32,#REF!)</f>
        <v>#REF!</v>
      </c>
      <c r="F32" s="1644" t="e">
        <f>SUMIF(#REF!,Final!A32,#REF!)</f>
        <v>#REF!</v>
      </c>
      <c r="G32" s="1597" t="e">
        <f t="shared" si="0"/>
        <v>#REF!</v>
      </c>
      <c r="H32" s="1644" t="e">
        <f t="shared" si="1"/>
        <v>#REF!</v>
      </c>
      <c r="I32" s="1597" t="e">
        <f t="shared" si="2"/>
        <v>#REF!</v>
      </c>
      <c r="J32" s="1644" t="e">
        <f t="shared" si="3"/>
        <v>#REF!</v>
      </c>
      <c r="M32" s="1545"/>
      <c r="N32" s="1545"/>
    </row>
    <row r="33" spans="1:93" s="1552" customFormat="1" ht="15.5">
      <c r="A33" s="1598"/>
      <c r="B33" s="1599"/>
      <c r="C33" s="1643" t="e">
        <f>+SUMIF(#REF!,Final!A33,#REF!)</f>
        <v>#REF!</v>
      </c>
      <c r="D33" s="1597" t="e">
        <f>+SUMIF(#REF!,Final!A33,#REF!)</f>
        <v>#REF!</v>
      </c>
      <c r="E33" s="1643" t="e">
        <f>SUMIF(#REF!,Final!A33,#REF!)</f>
        <v>#REF!</v>
      </c>
      <c r="F33" s="1644" t="e">
        <f>SUMIF(#REF!,Final!A33,#REF!)</f>
        <v>#REF!</v>
      </c>
      <c r="G33" s="1597" t="e">
        <f t="shared" si="0"/>
        <v>#REF!</v>
      </c>
      <c r="H33" s="1644" t="e">
        <f t="shared" si="1"/>
        <v>#REF!</v>
      </c>
      <c r="I33" s="1597" t="e">
        <f t="shared" si="2"/>
        <v>#REF!</v>
      </c>
      <c r="J33" s="1644" t="e">
        <f t="shared" si="3"/>
        <v>#REF!</v>
      </c>
      <c r="K33" s="1539"/>
      <c r="L33" s="1539"/>
      <c r="M33" s="1545"/>
      <c r="N33" s="1545"/>
      <c r="O33" s="1539"/>
      <c r="P33" s="1539"/>
      <c r="Q33" s="1539"/>
      <c r="R33" s="1539"/>
      <c r="S33" s="1539"/>
      <c r="T33" s="1539"/>
      <c r="U33" s="1539"/>
      <c r="V33" s="1539"/>
      <c r="W33" s="1539"/>
      <c r="X33" s="1539"/>
      <c r="Y33" s="1539"/>
      <c r="Z33" s="1539"/>
      <c r="AA33" s="1539"/>
      <c r="AB33" s="1539"/>
      <c r="AC33" s="1539"/>
      <c r="AD33" s="1539"/>
      <c r="AE33" s="1539"/>
      <c r="AF33" s="1539"/>
      <c r="AG33" s="1539"/>
      <c r="AH33" s="1539"/>
      <c r="AI33" s="1539"/>
      <c r="AJ33" s="1539"/>
      <c r="AK33" s="1539"/>
      <c r="AL33" s="1539"/>
      <c r="AM33" s="1539"/>
      <c r="AN33" s="1539"/>
      <c r="AO33" s="1539"/>
      <c r="AP33" s="1539"/>
      <c r="AQ33" s="1539"/>
      <c r="AR33" s="1539"/>
      <c r="AS33" s="1539"/>
      <c r="AT33" s="1539"/>
      <c r="AU33" s="1539"/>
      <c r="AV33" s="1539"/>
      <c r="AW33" s="1539"/>
      <c r="AX33" s="1539"/>
      <c r="AY33" s="1539"/>
      <c r="AZ33" s="1539"/>
      <c r="BA33" s="1539"/>
      <c r="BB33" s="1539"/>
      <c r="BC33" s="1539"/>
      <c r="BD33" s="1539"/>
      <c r="BE33" s="1539"/>
      <c r="BF33" s="1539"/>
      <c r="BG33" s="1539"/>
      <c r="BH33" s="1539"/>
      <c r="BI33" s="1539"/>
      <c r="BJ33" s="1539"/>
      <c r="BK33" s="1539"/>
      <c r="BL33" s="1539"/>
      <c r="BM33" s="1539"/>
      <c r="BN33" s="1539"/>
      <c r="BO33" s="1539"/>
      <c r="BP33" s="1539"/>
      <c r="BQ33" s="1539"/>
      <c r="BR33" s="1539"/>
      <c r="BS33" s="1539"/>
      <c r="BT33" s="1539"/>
      <c r="BU33" s="1539"/>
      <c r="BV33" s="1539"/>
      <c r="BW33" s="1539"/>
      <c r="BX33" s="1539"/>
      <c r="BY33" s="1539"/>
      <c r="BZ33" s="1539"/>
      <c r="CA33" s="1539"/>
      <c r="CB33" s="1539"/>
      <c r="CC33" s="1539"/>
      <c r="CD33" s="1539"/>
      <c r="CE33" s="1539"/>
      <c r="CF33" s="1539"/>
      <c r="CG33" s="1539"/>
      <c r="CH33" s="1539"/>
      <c r="CI33" s="1539"/>
      <c r="CJ33" s="1539"/>
      <c r="CK33" s="1539"/>
      <c r="CL33" s="1539"/>
      <c r="CM33" s="1539"/>
      <c r="CN33" s="1539"/>
      <c r="CO33" s="1539"/>
    </row>
    <row r="34" spans="1:93" s="1552" customFormat="1" ht="15.5">
      <c r="A34" s="1598"/>
      <c r="B34" s="1599"/>
      <c r="C34" s="1643" t="e">
        <f>+SUMIF(#REF!,Final!A34,#REF!)</f>
        <v>#REF!</v>
      </c>
      <c r="D34" s="1597" t="e">
        <f>+SUMIF(#REF!,Final!A34,#REF!)</f>
        <v>#REF!</v>
      </c>
      <c r="E34" s="1643" t="e">
        <f>SUMIF(#REF!,Final!A34,#REF!)</f>
        <v>#REF!</v>
      </c>
      <c r="F34" s="1644" t="e">
        <f>SUMIF(#REF!,Final!A34,#REF!)</f>
        <v>#REF!</v>
      </c>
      <c r="G34" s="1597" t="e">
        <f t="shared" si="0"/>
        <v>#REF!</v>
      </c>
      <c r="H34" s="1644" t="e">
        <f t="shared" si="1"/>
        <v>#REF!</v>
      </c>
      <c r="I34" s="1597" t="e">
        <f t="shared" si="2"/>
        <v>#REF!</v>
      </c>
      <c r="J34" s="1644" t="e">
        <f t="shared" si="3"/>
        <v>#REF!</v>
      </c>
      <c r="K34" s="1539"/>
      <c r="L34" s="1539"/>
      <c r="M34" s="1545"/>
      <c r="N34" s="1545"/>
      <c r="O34" s="1539"/>
      <c r="P34" s="1539"/>
      <c r="Q34" s="1539"/>
      <c r="R34" s="1539"/>
      <c r="S34" s="1539"/>
      <c r="T34" s="1539"/>
      <c r="U34" s="1539"/>
      <c r="V34" s="1539"/>
      <c r="W34" s="1539"/>
      <c r="X34" s="1539"/>
      <c r="Y34" s="1539"/>
      <c r="Z34" s="1539"/>
      <c r="AA34" s="1539"/>
      <c r="AB34" s="1539"/>
      <c r="AC34" s="1539"/>
      <c r="AD34" s="1539"/>
      <c r="AE34" s="1539"/>
      <c r="AF34" s="1539"/>
      <c r="AG34" s="1539"/>
      <c r="AH34" s="1539"/>
      <c r="AI34" s="1539"/>
      <c r="AJ34" s="1539"/>
      <c r="AK34" s="1539"/>
      <c r="AL34" s="1539"/>
      <c r="AM34" s="1539"/>
      <c r="AN34" s="1539"/>
      <c r="AO34" s="1539"/>
      <c r="AP34" s="1539"/>
      <c r="AQ34" s="1539"/>
      <c r="AR34" s="1539"/>
      <c r="AS34" s="1539"/>
      <c r="AT34" s="1539"/>
      <c r="AU34" s="1539"/>
      <c r="AV34" s="1539"/>
      <c r="AW34" s="1539"/>
      <c r="AX34" s="1539"/>
      <c r="AY34" s="1539"/>
      <c r="AZ34" s="1539"/>
      <c r="BA34" s="1539"/>
      <c r="BB34" s="1539"/>
      <c r="BC34" s="1539"/>
      <c r="BD34" s="1539"/>
      <c r="BE34" s="1539"/>
      <c r="BF34" s="1539"/>
      <c r="BG34" s="1539"/>
      <c r="BH34" s="1539"/>
      <c r="BI34" s="1539"/>
      <c r="BJ34" s="1539"/>
      <c r="BK34" s="1539"/>
      <c r="BL34" s="1539"/>
      <c r="BM34" s="1539"/>
      <c r="BN34" s="1539"/>
      <c r="BO34" s="1539"/>
      <c r="BP34" s="1539"/>
      <c r="BQ34" s="1539"/>
      <c r="BR34" s="1539"/>
      <c r="BS34" s="1539"/>
      <c r="BT34" s="1539"/>
      <c r="BU34" s="1539"/>
      <c r="BV34" s="1539"/>
      <c r="BW34" s="1539"/>
      <c r="BX34" s="1539"/>
      <c r="BY34" s="1539"/>
      <c r="BZ34" s="1539"/>
      <c r="CA34" s="1539"/>
      <c r="CB34" s="1539"/>
      <c r="CC34" s="1539"/>
      <c r="CD34" s="1539"/>
      <c r="CE34" s="1539"/>
      <c r="CF34" s="1539"/>
      <c r="CG34" s="1539"/>
      <c r="CH34" s="1539"/>
      <c r="CI34" s="1539"/>
      <c r="CJ34" s="1539"/>
      <c r="CK34" s="1539"/>
      <c r="CL34" s="1539"/>
      <c r="CM34" s="1539"/>
      <c r="CN34" s="1539"/>
      <c r="CO34" s="1539"/>
    </row>
    <row r="35" spans="1:93" s="1552" customFormat="1" ht="15.5">
      <c r="A35" s="1598"/>
      <c r="B35" s="1599"/>
      <c r="C35" s="1643" t="e">
        <f>+SUMIF(#REF!,Final!A35,#REF!)</f>
        <v>#REF!</v>
      </c>
      <c r="D35" s="1597" t="e">
        <f>+SUMIF(#REF!,Final!A35,#REF!)</f>
        <v>#REF!</v>
      </c>
      <c r="E35" s="1643" t="e">
        <f>SUMIF(#REF!,Final!A35,#REF!)</f>
        <v>#REF!</v>
      </c>
      <c r="F35" s="1644" t="e">
        <f>SUMIF(#REF!,Final!A35,#REF!)</f>
        <v>#REF!</v>
      </c>
      <c r="G35" s="1597" t="e">
        <f t="shared" si="0"/>
        <v>#REF!</v>
      </c>
      <c r="H35" s="1644" t="e">
        <f t="shared" si="1"/>
        <v>#REF!</v>
      </c>
      <c r="I35" s="1597" t="e">
        <f t="shared" si="2"/>
        <v>#REF!</v>
      </c>
      <c r="J35" s="1644" t="e">
        <f t="shared" si="3"/>
        <v>#REF!</v>
      </c>
      <c r="K35" s="1539"/>
      <c r="L35" s="1539"/>
      <c r="M35" s="1545"/>
      <c r="N35" s="1545"/>
      <c r="O35" s="1539"/>
      <c r="P35" s="1539"/>
      <c r="Q35" s="1539"/>
      <c r="R35" s="1539"/>
      <c r="S35" s="1539"/>
      <c r="T35" s="1539"/>
      <c r="U35" s="1539"/>
      <c r="V35" s="1539"/>
      <c r="W35" s="1539"/>
      <c r="X35" s="1539"/>
      <c r="Y35" s="1539"/>
      <c r="Z35" s="1539"/>
      <c r="AA35" s="1539"/>
      <c r="AB35" s="1539"/>
      <c r="AC35" s="1539"/>
      <c r="AD35" s="1539"/>
      <c r="AE35" s="1539"/>
      <c r="AF35" s="1539"/>
      <c r="AG35" s="1539"/>
      <c r="AH35" s="1539"/>
      <c r="AI35" s="1539"/>
      <c r="AJ35" s="1539"/>
      <c r="AK35" s="1539"/>
      <c r="AL35" s="1539"/>
      <c r="AM35" s="1539"/>
      <c r="AN35" s="1539"/>
      <c r="AO35" s="1539"/>
      <c r="AP35" s="1539"/>
      <c r="AQ35" s="1539"/>
      <c r="AR35" s="1539"/>
      <c r="AS35" s="1539"/>
      <c r="AT35" s="1539"/>
      <c r="AU35" s="1539"/>
      <c r="AV35" s="1539"/>
      <c r="AW35" s="1539"/>
      <c r="AX35" s="1539"/>
      <c r="AY35" s="1539"/>
      <c r="AZ35" s="1539"/>
      <c r="BA35" s="1539"/>
      <c r="BB35" s="1539"/>
      <c r="BC35" s="1539"/>
      <c r="BD35" s="1539"/>
      <c r="BE35" s="1539"/>
      <c r="BF35" s="1539"/>
      <c r="BG35" s="1539"/>
      <c r="BH35" s="1539"/>
      <c r="BI35" s="1539"/>
      <c r="BJ35" s="1539"/>
      <c r="BK35" s="1539"/>
      <c r="BL35" s="1539"/>
      <c r="BM35" s="1539"/>
      <c r="BN35" s="1539"/>
      <c r="BO35" s="1539"/>
      <c r="BP35" s="1539"/>
      <c r="BQ35" s="1539"/>
      <c r="BR35" s="1539"/>
      <c r="BS35" s="1539"/>
      <c r="BT35" s="1539"/>
      <c r="BU35" s="1539"/>
      <c r="BV35" s="1539"/>
      <c r="BW35" s="1539"/>
      <c r="BX35" s="1539"/>
      <c r="BY35" s="1539"/>
      <c r="BZ35" s="1539"/>
      <c r="CA35" s="1539"/>
      <c r="CB35" s="1539"/>
      <c r="CC35" s="1539"/>
      <c r="CD35" s="1539"/>
      <c r="CE35" s="1539"/>
      <c r="CF35" s="1539"/>
      <c r="CG35" s="1539"/>
      <c r="CH35" s="1539"/>
      <c r="CI35" s="1539"/>
      <c r="CJ35" s="1539"/>
      <c r="CK35" s="1539"/>
      <c r="CL35" s="1539"/>
      <c r="CM35" s="1539"/>
      <c r="CN35" s="1539"/>
      <c r="CO35" s="1539"/>
    </row>
    <row r="36" spans="1:93" s="1542" customFormat="1" ht="15.5">
      <c r="A36" s="1598" t="s">
        <v>1404</v>
      </c>
      <c r="B36" s="1599" t="s">
        <v>2034</v>
      </c>
      <c r="C36" s="1643" t="e">
        <f>+SUMIF(#REF!,Final!A36,#REF!)</f>
        <v>#REF!</v>
      </c>
      <c r="D36" s="1597" t="e">
        <f>+SUMIF(#REF!,Final!A36,#REF!)</f>
        <v>#REF!</v>
      </c>
      <c r="E36" s="1643" t="e">
        <f>SUMIF(#REF!,Final!A36,#REF!)</f>
        <v>#REF!</v>
      </c>
      <c r="F36" s="1644" t="e">
        <f>SUMIF(#REF!,Final!A36,#REF!)</f>
        <v>#REF!</v>
      </c>
      <c r="G36" s="1597" t="e">
        <f t="shared" si="0"/>
        <v>#REF!</v>
      </c>
      <c r="H36" s="1644" t="e">
        <f t="shared" si="1"/>
        <v>#REF!</v>
      </c>
      <c r="I36" s="1597" t="e">
        <f t="shared" si="2"/>
        <v>#REF!</v>
      </c>
      <c r="J36" s="1644" t="e">
        <f t="shared" si="3"/>
        <v>#REF!</v>
      </c>
      <c r="K36" s="1539"/>
      <c r="L36" s="1539"/>
      <c r="M36" s="1545"/>
      <c r="N36" s="1545"/>
      <c r="O36" s="1539"/>
      <c r="P36" s="1539"/>
      <c r="Q36" s="1539"/>
      <c r="R36" s="1539"/>
      <c r="S36" s="1539"/>
      <c r="T36" s="1539"/>
      <c r="U36" s="1539"/>
      <c r="V36" s="1539"/>
      <c r="W36" s="1539"/>
      <c r="X36" s="1539"/>
      <c r="Y36" s="1539"/>
      <c r="Z36" s="1539"/>
      <c r="AA36" s="1539"/>
      <c r="AB36" s="1539"/>
      <c r="AC36" s="1539"/>
      <c r="AD36" s="1539"/>
      <c r="AE36" s="1539"/>
      <c r="AF36" s="1539"/>
      <c r="AG36" s="1539"/>
      <c r="AH36" s="1539"/>
      <c r="AI36" s="1539"/>
      <c r="AJ36" s="1539"/>
      <c r="AK36" s="1539"/>
      <c r="AL36" s="1539"/>
      <c r="AM36" s="1539"/>
      <c r="AN36" s="1539"/>
      <c r="AO36" s="1539"/>
      <c r="AP36" s="1539"/>
      <c r="AQ36" s="1539"/>
      <c r="AR36" s="1539"/>
      <c r="AS36" s="1539"/>
      <c r="AT36" s="1539"/>
      <c r="AU36" s="1539"/>
      <c r="AV36" s="1539"/>
      <c r="AW36" s="1539"/>
      <c r="AX36" s="1539"/>
      <c r="AY36" s="1539"/>
      <c r="AZ36" s="1539"/>
      <c r="BA36" s="1539"/>
      <c r="BB36" s="1539"/>
      <c r="BC36" s="1539"/>
      <c r="BD36" s="1539"/>
      <c r="BE36" s="1539"/>
      <c r="BF36" s="1539"/>
      <c r="BG36" s="1539"/>
      <c r="BH36" s="1539"/>
      <c r="BI36" s="1539"/>
      <c r="BJ36" s="1539"/>
      <c r="BK36" s="1539"/>
      <c r="BL36" s="1539"/>
      <c r="BM36" s="1539"/>
      <c r="BN36" s="1539"/>
      <c r="BO36" s="1539"/>
      <c r="BP36" s="1539"/>
      <c r="BQ36" s="1539"/>
      <c r="BR36" s="1539"/>
      <c r="BS36" s="1539"/>
      <c r="BT36" s="1539"/>
      <c r="BU36" s="1539"/>
      <c r="BV36" s="1539"/>
      <c r="BW36" s="1539"/>
      <c r="BX36" s="1539"/>
      <c r="BY36" s="1539"/>
      <c r="BZ36" s="1539"/>
      <c r="CA36" s="1539"/>
      <c r="CB36" s="1539"/>
      <c r="CC36" s="1539"/>
      <c r="CD36" s="1539"/>
      <c r="CE36" s="1539"/>
      <c r="CF36" s="1539"/>
      <c r="CG36" s="1539"/>
      <c r="CH36" s="1539"/>
      <c r="CI36" s="1539"/>
      <c r="CJ36" s="1539"/>
      <c r="CK36" s="1539"/>
      <c r="CL36" s="1539"/>
      <c r="CM36" s="1539"/>
      <c r="CN36" s="1539"/>
      <c r="CO36" s="1539"/>
    </row>
    <row r="37" spans="1:93" ht="15.5">
      <c r="A37" s="1598">
        <v>10.500999999999999</v>
      </c>
      <c r="B37" s="1599" t="s">
        <v>2039</v>
      </c>
      <c r="C37" s="1643" t="e">
        <f>+SUMIF(#REF!,Final!A37,#REF!)</f>
        <v>#REF!</v>
      </c>
      <c r="D37" s="1597" t="e">
        <f>+SUMIF(#REF!,Final!A37,#REF!)</f>
        <v>#REF!</v>
      </c>
      <c r="E37" s="1643" t="e">
        <f>SUMIF(#REF!,Final!A37,#REF!)</f>
        <v>#REF!</v>
      </c>
      <c r="F37" s="1644" t="e">
        <f>SUMIF(#REF!,Final!A37,#REF!)</f>
        <v>#REF!</v>
      </c>
      <c r="G37" s="1597" t="e">
        <f t="shared" si="0"/>
        <v>#REF!</v>
      </c>
      <c r="H37" s="1644" t="e">
        <f t="shared" si="1"/>
        <v>#REF!</v>
      </c>
      <c r="I37" s="1597" t="e">
        <f t="shared" si="2"/>
        <v>#REF!</v>
      </c>
      <c r="J37" s="1644" t="e">
        <f t="shared" si="3"/>
        <v>#REF!</v>
      </c>
      <c r="M37" s="1545"/>
      <c r="N37" s="1545"/>
    </row>
    <row r="38" spans="1:93" ht="15.5">
      <c r="A38" s="1598">
        <v>10.503</v>
      </c>
      <c r="B38" s="1599" t="s">
        <v>2040</v>
      </c>
      <c r="C38" s="1643" t="e">
        <f>+SUMIF(#REF!,Final!A38,#REF!)</f>
        <v>#REF!</v>
      </c>
      <c r="D38" s="1597" t="e">
        <f>+SUMIF(#REF!,Final!A38,#REF!)</f>
        <v>#REF!</v>
      </c>
      <c r="E38" s="1643" t="e">
        <f>SUMIF(#REF!,Final!A38,#REF!)</f>
        <v>#REF!</v>
      </c>
      <c r="F38" s="1644" t="e">
        <f>SUMIF(#REF!,Final!A38,#REF!)</f>
        <v>#REF!</v>
      </c>
      <c r="G38" s="1597" t="e">
        <f t="shared" si="0"/>
        <v>#REF!</v>
      </c>
      <c r="H38" s="1644" t="e">
        <f t="shared" si="1"/>
        <v>#REF!</v>
      </c>
      <c r="I38" s="1597" t="e">
        <f t="shared" si="2"/>
        <v>#REF!</v>
      </c>
      <c r="J38" s="1644" t="e">
        <f t="shared" si="3"/>
        <v>#REF!</v>
      </c>
      <c r="M38" s="1545"/>
      <c r="N38" s="1545"/>
    </row>
    <row r="39" spans="1:93" ht="15.5">
      <c r="A39" s="1598">
        <v>10.504</v>
      </c>
      <c r="B39" s="1599" t="s">
        <v>2041</v>
      </c>
      <c r="C39" s="1643" t="e">
        <f>+SUMIF(#REF!,Final!A39,#REF!)</f>
        <v>#REF!</v>
      </c>
      <c r="D39" s="1597" t="e">
        <f>+SUMIF(#REF!,Final!A39,#REF!)</f>
        <v>#REF!</v>
      </c>
      <c r="E39" s="1643" t="e">
        <f>SUMIF(#REF!,Final!A39,#REF!)</f>
        <v>#REF!</v>
      </c>
      <c r="F39" s="1644" t="e">
        <f>SUMIF(#REF!,Final!A39,#REF!)</f>
        <v>#REF!</v>
      </c>
      <c r="G39" s="1597" t="e">
        <f t="shared" si="0"/>
        <v>#REF!</v>
      </c>
      <c r="H39" s="1644" t="e">
        <f t="shared" si="1"/>
        <v>#REF!</v>
      </c>
      <c r="I39" s="1597" t="e">
        <f t="shared" si="2"/>
        <v>#REF!</v>
      </c>
      <c r="J39" s="1644" t="e">
        <f t="shared" si="3"/>
        <v>#REF!</v>
      </c>
      <c r="M39" s="1545"/>
      <c r="N39" s="1545"/>
    </row>
    <row r="40" spans="1:93" ht="15.5">
      <c r="A40" s="1598">
        <v>10.513999999999999</v>
      </c>
      <c r="B40" s="1599" t="s">
        <v>2042</v>
      </c>
      <c r="C40" s="1643" t="e">
        <f>+SUMIF(#REF!,Final!A40,#REF!)</f>
        <v>#REF!</v>
      </c>
      <c r="D40" s="1597" t="e">
        <f>+SUMIF(#REF!,Final!A40,#REF!)</f>
        <v>#REF!</v>
      </c>
      <c r="E40" s="1643" t="e">
        <f>SUMIF(#REF!,Final!A40,#REF!)</f>
        <v>#REF!</v>
      </c>
      <c r="F40" s="1644" t="e">
        <f>SUMIF(#REF!,Final!A40,#REF!)</f>
        <v>#REF!</v>
      </c>
      <c r="G40" s="1597" t="e">
        <f t="shared" si="0"/>
        <v>#REF!</v>
      </c>
      <c r="H40" s="1644" t="e">
        <f t="shared" si="1"/>
        <v>#REF!</v>
      </c>
      <c r="I40" s="1597" t="e">
        <f t="shared" si="2"/>
        <v>#REF!</v>
      </c>
      <c r="J40" s="1644" t="e">
        <f t="shared" si="3"/>
        <v>#REF!</v>
      </c>
      <c r="M40" s="1545"/>
      <c r="N40" s="1545"/>
    </row>
    <row r="41" spans="1:93" ht="15.5">
      <c r="A41" s="1598">
        <v>10.516</v>
      </c>
      <c r="B41" s="1599" t="s">
        <v>2043</v>
      </c>
      <c r="C41" s="1643" t="e">
        <f>+SUMIF(#REF!,Final!A41,#REF!)</f>
        <v>#REF!</v>
      </c>
      <c r="D41" s="1597" t="e">
        <f>+SUMIF(#REF!,Final!A41,#REF!)</f>
        <v>#REF!</v>
      </c>
      <c r="E41" s="1643" t="e">
        <f>SUMIF(#REF!,Final!A41,#REF!)</f>
        <v>#REF!</v>
      </c>
      <c r="F41" s="1644" t="e">
        <f>SUMIF(#REF!,Final!A41,#REF!)</f>
        <v>#REF!</v>
      </c>
      <c r="G41" s="1597" t="e">
        <f t="shared" si="0"/>
        <v>#REF!</v>
      </c>
      <c r="H41" s="1644" t="e">
        <f t="shared" si="1"/>
        <v>#REF!</v>
      </c>
      <c r="I41" s="1597" t="e">
        <f t="shared" si="2"/>
        <v>#REF!</v>
      </c>
      <c r="J41" s="1644" t="e">
        <f t="shared" si="3"/>
        <v>#REF!</v>
      </c>
      <c r="M41" s="1545"/>
      <c r="N41" s="1545"/>
    </row>
    <row r="42" spans="1:93" ht="15.5">
      <c r="A42" s="1598">
        <v>10.541</v>
      </c>
      <c r="B42" s="1599" t="s">
        <v>2044</v>
      </c>
      <c r="C42" s="1643" t="e">
        <f>+SUMIF(#REF!,Final!A42,#REF!)</f>
        <v>#REF!</v>
      </c>
      <c r="D42" s="1597" t="e">
        <f>+SUMIF(#REF!,Final!A42,#REF!)</f>
        <v>#REF!</v>
      </c>
      <c r="E42" s="1643" t="e">
        <f>SUMIF(#REF!,Final!A42,#REF!)</f>
        <v>#REF!</v>
      </c>
      <c r="F42" s="1644" t="e">
        <f>SUMIF(#REF!,Final!A42,#REF!)</f>
        <v>#REF!</v>
      </c>
      <c r="G42" s="1597" t="e">
        <f t="shared" si="0"/>
        <v>#REF!</v>
      </c>
      <c r="H42" s="1644" t="e">
        <f t="shared" si="1"/>
        <v>#REF!</v>
      </c>
      <c r="I42" s="1597" t="e">
        <f t="shared" si="2"/>
        <v>#REF!</v>
      </c>
      <c r="J42" s="1644" t="e">
        <f t="shared" si="3"/>
        <v>#REF!</v>
      </c>
      <c r="M42" s="1545"/>
      <c r="N42" s="1545"/>
    </row>
    <row r="43" spans="1:93" ht="15.5">
      <c r="A43" s="1598">
        <v>10.542</v>
      </c>
      <c r="B43" s="1599" t="s">
        <v>2045</v>
      </c>
      <c r="C43" s="1643" t="e">
        <f>+SUMIF(#REF!,Final!A43,#REF!)</f>
        <v>#REF!</v>
      </c>
      <c r="D43" s="1597" t="e">
        <f>+SUMIF(#REF!,Final!A43,#REF!)</f>
        <v>#REF!</v>
      </c>
      <c r="E43" s="1643" t="e">
        <f>SUMIF(#REF!,Final!A43,#REF!)</f>
        <v>#REF!</v>
      </c>
      <c r="F43" s="1644" t="e">
        <f>SUMIF(#REF!,Final!A43,#REF!)</f>
        <v>#REF!</v>
      </c>
      <c r="G43" s="1597" t="e">
        <f t="shared" si="0"/>
        <v>#REF!</v>
      </c>
      <c r="H43" s="1644" t="e">
        <f t="shared" si="1"/>
        <v>#REF!</v>
      </c>
      <c r="I43" s="1597" t="e">
        <f t="shared" si="2"/>
        <v>#REF!</v>
      </c>
      <c r="J43" s="1644" t="e">
        <f t="shared" si="3"/>
        <v>#REF!</v>
      </c>
      <c r="M43" s="1545"/>
      <c r="N43" s="1545"/>
    </row>
    <row r="44" spans="1:93" ht="15.5">
      <c r="A44" s="1598">
        <v>10.542999999999999</v>
      </c>
      <c r="B44" s="1599" t="s">
        <v>2046</v>
      </c>
      <c r="C44" s="1643" t="e">
        <f>+SUMIF(#REF!,Final!A44,#REF!)</f>
        <v>#REF!</v>
      </c>
      <c r="D44" s="1597" t="e">
        <f>+SUMIF(#REF!,Final!A44,#REF!)</f>
        <v>#REF!</v>
      </c>
      <c r="E44" s="1643" t="e">
        <f>SUMIF(#REF!,Final!A44,#REF!)</f>
        <v>#REF!</v>
      </c>
      <c r="F44" s="1644" t="e">
        <f>SUMIF(#REF!,Final!A44,#REF!)</f>
        <v>#REF!</v>
      </c>
      <c r="G44" s="1597" t="e">
        <f t="shared" si="0"/>
        <v>#REF!</v>
      </c>
      <c r="H44" s="1644" t="e">
        <f t="shared" si="1"/>
        <v>#REF!</v>
      </c>
      <c r="I44" s="1597" t="e">
        <f t="shared" si="2"/>
        <v>#REF!</v>
      </c>
      <c r="J44" s="1644" t="e">
        <f t="shared" si="3"/>
        <v>#REF!</v>
      </c>
      <c r="M44" s="1545"/>
      <c r="N44" s="1545"/>
    </row>
    <row r="45" spans="1:93" ht="15.5">
      <c r="A45" s="1598">
        <v>10.551</v>
      </c>
      <c r="B45" s="1599" t="s">
        <v>2047</v>
      </c>
      <c r="C45" s="1643" t="e">
        <f>+SUMIF(#REF!,Final!A45,#REF!)</f>
        <v>#REF!</v>
      </c>
      <c r="D45" s="1597" t="e">
        <f>+SUMIF(#REF!,Final!A45,#REF!)</f>
        <v>#REF!</v>
      </c>
      <c r="E45" s="1643" t="e">
        <f>SUMIF(#REF!,Final!A45,#REF!)</f>
        <v>#REF!</v>
      </c>
      <c r="F45" s="1644" t="e">
        <f>SUMIF(#REF!,Final!A45,#REF!)</f>
        <v>#REF!</v>
      </c>
      <c r="G45" s="1597" t="e">
        <f t="shared" si="0"/>
        <v>#REF!</v>
      </c>
      <c r="H45" s="1644" t="e">
        <f t="shared" si="1"/>
        <v>#REF!</v>
      </c>
      <c r="I45" s="1597" t="e">
        <f t="shared" si="2"/>
        <v>#REF!</v>
      </c>
      <c r="J45" s="1644" t="e">
        <f t="shared" si="3"/>
        <v>#REF!</v>
      </c>
      <c r="M45" s="1545"/>
      <c r="N45" s="1545"/>
    </row>
    <row r="46" spans="1:93" ht="15.5">
      <c r="A46" s="1598">
        <v>10.553000000000001</v>
      </c>
      <c r="B46" s="1599" t="s">
        <v>2048</v>
      </c>
      <c r="C46" s="1643" t="e">
        <f>+SUMIF(#REF!,Final!A46,#REF!)</f>
        <v>#REF!</v>
      </c>
      <c r="D46" s="1597" t="e">
        <f>+SUMIF(#REF!,Final!A46,#REF!)</f>
        <v>#REF!</v>
      </c>
      <c r="E46" s="1643" t="e">
        <f>SUMIF(#REF!,Final!A46,#REF!)</f>
        <v>#REF!</v>
      </c>
      <c r="F46" s="1644" t="e">
        <f>SUMIF(#REF!,Final!A46,#REF!)</f>
        <v>#REF!</v>
      </c>
      <c r="G46" s="1597" t="e">
        <f t="shared" si="0"/>
        <v>#REF!</v>
      </c>
      <c r="H46" s="1644" t="e">
        <f t="shared" si="1"/>
        <v>#REF!</v>
      </c>
      <c r="I46" s="1597" t="e">
        <f t="shared" si="2"/>
        <v>#REF!</v>
      </c>
      <c r="J46" s="1644" t="e">
        <f t="shared" si="3"/>
        <v>#REF!</v>
      </c>
      <c r="M46" s="1545"/>
      <c r="N46" s="1545"/>
    </row>
    <row r="47" spans="1:93" ht="15.5">
      <c r="A47" s="1598">
        <v>10.555</v>
      </c>
      <c r="B47" s="1599" t="s">
        <v>2049</v>
      </c>
      <c r="C47" s="1643" t="e">
        <f>+SUMIF(#REF!,Final!A47,#REF!)</f>
        <v>#REF!</v>
      </c>
      <c r="D47" s="1597" t="e">
        <f>+SUMIF(#REF!,Final!A47,#REF!)</f>
        <v>#REF!</v>
      </c>
      <c r="E47" s="1643" t="e">
        <f>SUMIF(#REF!,Final!A47,#REF!)</f>
        <v>#REF!</v>
      </c>
      <c r="F47" s="1644" t="e">
        <f>SUMIF(#REF!,Final!A47,#REF!)</f>
        <v>#REF!</v>
      </c>
      <c r="G47" s="1597" t="e">
        <f t="shared" si="0"/>
        <v>#REF!</v>
      </c>
      <c r="H47" s="1644" t="e">
        <f t="shared" si="1"/>
        <v>#REF!</v>
      </c>
      <c r="I47" s="1597" t="e">
        <f t="shared" si="2"/>
        <v>#REF!</v>
      </c>
      <c r="J47" s="1644" t="e">
        <f t="shared" si="3"/>
        <v>#REF!</v>
      </c>
      <c r="M47" s="1545"/>
      <c r="N47" s="1545"/>
    </row>
    <row r="48" spans="1:93" ht="15.5">
      <c r="A48" s="1598">
        <v>10.561</v>
      </c>
      <c r="B48" s="1599" t="s">
        <v>2050</v>
      </c>
      <c r="C48" s="1643" t="e">
        <f>+SUMIF(#REF!,Final!A48,#REF!)</f>
        <v>#REF!</v>
      </c>
      <c r="D48" s="1597" t="e">
        <f>+SUMIF(#REF!,Final!A48,#REF!)</f>
        <v>#REF!</v>
      </c>
      <c r="E48" s="1643" t="e">
        <f>SUMIF(#REF!,Final!A48,#REF!)</f>
        <v>#REF!</v>
      </c>
      <c r="F48" s="1644" t="e">
        <f>SUMIF(#REF!,Final!A48,#REF!)</f>
        <v>#REF!</v>
      </c>
      <c r="G48" s="1597" t="e">
        <f t="shared" si="0"/>
        <v>#REF!</v>
      </c>
      <c r="H48" s="1644" t="e">
        <f t="shared" si="1"/>
        <v>#REF!</v>
      </c>
      <c r="I48" s="1597" t="e">
        <f t="shared" si="2"/>
        <v>#REF!</v>
      </c>
      <c r="J48" s="1644" t="e">
        <f t="shared" si="3"/>
        <v>#REF!</v>
      </c>
      <c r="M48" s="1545"/>
      <c r="N48" s="1545"/>
    </row>
    <row r="49" spans="1:93" ht="15.5">
      <c r="A49" s="1598">
        <v>10.563000000000001</v>
      </c>
      <c r="B49" s="1599" t="s">
        <v>2051</v>
      </c>
      <c r="C49" s="1643" t="e">
        <f>+SUMIF(#REF!,Final!A49,#REF!)</f>
        <v>#REF!</v>
      </c>
      <c r="D49" s="1597" t="e">
        <f>+SUMIF(#REF!,Final!A49,#REF!)</f>
        <v>#REF!</v>
      </c>
      <c r="E49" s="1643" t="e">
        <f>SUMIF(#REF!,Final!A49,#REF!)</f>
        <v>#REF!</v>
      </c>
      <c r="F49" s="1644" t="e">
        <f>SUMIF(#REF!,Final!A49,#REF!)</f>
        <v>#REF!</v>
      </c>
      <c r="G49" s="1597" t="e">
        <f t="shared" si="0"/>
        <v>#REF!</v>
      </c>
      <c r="H49" s="1644" t="e">
        <f t="shared" si="1"/>
        <v>#REF!</v>
      </c>
      <c r="I49" s="1597" t="e">
        <f t="shared" si="2"/>
        <v>#REF!</v>
      </c>
      <c r="J49" s="1644" t="e">
        <f t="shared" si="3"/>
        <v>#REF!</v>
      </c>
      <c r="M49" s="1545"/>
      <c r="N49" s="1545"/>
    </row>
    <row r="50" spans="1:93" ht="15.5">
      <c r="A50" s="1598">
        <v>10.565</v>
      </c>
      <c r="B50" s="1599" t="s">
        <v>2052</v>
      </c>
      <c r="C50" s="1643" t="e">
        <f>+SUMIF(#REF!,Final!A50,#REF!)</f>
        <v>#REF!</v>
      </c>
      <c r="D50" s="1597" t="e">
        <f>+SUMIF(#REF!,Final!A50,#REF!)</f>
        <v>#REF!</v>
      </c>
      <c r="E50" s="1643" t="e">
        <f>SUMIF(#REF!,Final!A50,#REF!)</f>
        <v>#REF!</v>
      </c>
      <c r="F50" s="1644" t="e">
        <f>SUMIF(#REF!,Final!A50,#REF!)</f>
        <v>#REF!</v>
      </c>
      <c r="G50" s="1597" t="e">
        <f t="shared" si="0"/>
        <v>#REF!</v>
      </c>
      <c r="H50" s="1644" t="e">
        <f t="shared" si="1"/>
        <v>#REF!</v>
      </c>
      <c r="I50" s="1597" t="e">
        <f t="shared" si="2"/>
        <v>#REF!</v>
      </c>
      <c r="J50" s="1644" t="e">
        <f t="shared" si="3"/>
        <v>#REF!</v>
      </c>
      <c r="M50" s="1545"/>
      <c r="N50" s="1545"/>
    </row>
    <row r="51" spans="1:93" ht="15.5">
      <c r="A51" s="1598">
        <v>10.566000000000001</v>
      </c>
      <c r="B51" s="1599" t="s">
        <v>2042</v>
      </c>
      <c r="C51" s="1643" t="e">
        <f>+SUMIF(#REF!,Final!A51,#REF!)</f>
        <v>#REF!</v>
      </c>
      <c r="D51" s="1597" t="e">
        <f>+SUMIF(#REF!,Final!A51,#REF!)</f>
        <v>#REF!</v>
      </c>
      <c r="E51" s="1643" t="e">
        <f>SUMIF(#REF!,Final!A51,#REF!)</f>
        <v>#REF!</v>
      </c>
      <c r="F51" s="1644" t="e">
        <f>SUMIF(#REF!,Final!A51,#REF!)</f>
        <v>#REF!</v>
      </c>
      <c r="G51" s="1597" t="e">
        <f t="shared" si="0"/>
        <v>#REF!</v>
      </c>
      <c r="H51" s="1644" t="e">
        <f t="shared" si="1"/>
        <v>#REF!</v>
      </c>
      <c r="I51" s="1597" t="e">
        <f t="shared" si="2"/>
        <v>#REF!</v>
      </c>
      <c r="J51" s="1644" t="e">
        <f t="shared" si="3"/>
        <v>#REF!</v>
      </c>
      <c r="M51" s="1545"/>
      <c r="N51" s="1545"/>
    </row>
    <row r="52" spans="1:93" ht="15.5">
      <c r="A52" s="1598">
        <v>10.567</v>
      </c>
      <c r="B52" s="1599" t="s">
        <v>2053</v>
      </c>
      <c r="C52" s="1643" t="e">
        <f>+SUMIF(#REF!,Final!A52,#REF!)</f>
        <v>#REF!</v>
      </c>
      <c r="D52" s="1597" t="e">
        <f>+SUMIF(#REF!,Final!A52,#REF!)</f>
        <v>#REF!</v>
      </c>
      <c r="E52" s="1643" t="e">
        <f>SUMIF(#REF!,Final!A52,#REF!)</f>
        <v>#REF!</v>
      </c>
      <c r="F52" s="1644" t="e">
        <f>SUMIF(#REF!,Final!A52,#REF!)</f>
        <v>#REF!</v>
      </c>
      <c r="G52" s="1597" t="e">
        <f t="shared" si="0"/>
        <v>#REF!</v>
      </c>
      <c r="H52" s="1644" t="e">
        <f t="shared" si="1"/>
        <v>#REF!</v>
      </c>
      <c r="I52" s="1597" t="e">
        <f t="shared" si="2"/>
        <v>#REF!</v>
      </c>
      <c r="J52" s="1644" t="e">
        <f t="shared" si="3"/>
        <v>#REF!</v>
      </c>
      <c r="M52" s="1545"/>
      <c r="N52" s="1545"/>
    </row>
    <row r="53" spans="1:93" ht="15.5">
      <c r="A53" s="1598">
        <v>10.571</v>
      </c>
      <c r="B53" s="1599" t="s">
        <v>2054</v>
      </c>
      <c r="C53" s="1643" t="e">
        <f>+SUMIF(#REF!,Final!A53,#REF!)</f>
        <v>#REF!</v>
      </c>
      <c r="D53" s="1597" t="e">
        <f>+SUMIF(#REF!,Final!A53,#REF!)</f>
        <v>#REF!</v>
      </c>
      <c r="E53" s="1643" t="e">
        <f>SUMIF(#REF!,Final!A53,#REF!)</f>
        <v>#REF!</v>
      </c>
      <c r="F53" s="1644" t="e">
        <f>SUMIF(#REF!,Final!A53,#REF!)</f>
        <v>#REF!</v>
      </c>
      <c r="G53" s="1597" t="e">
        <f t="shared" si="0"/>
        <v>#REF!</v>
      </c>
      <c r="H53" s="1644" t="e">
        <f t="shared" si="1"/>
        <v>#REF!</v>
      </c>
      <c r="I53" s="1597" t="e">
        <f t="shared" si="2"/>
        <v>#REF!</v>
      </c>
      <c r="J53" s="1644" t="e">
        <f t="shared" si="3"/>
        <v>#REF!</v>
      </c>
      <c r="M53" s="1545"/>
      <c r="N53" s="1545"/>
    </row>
    <row r="54" spans="1:93" ht="15.5">
      <c r="A54" s="1598">
        <v>10.571999999999999</v>
      </c>
      <c r="B54" s="1599" t="s">
        <v>2055</v>
      </c>
      <c r="C54" s="1643" t="e">
        <f>+SUMIF(#REF!,Final!A54,#REF!)</f>
        <v>#REF!</v>
      </c>
      <c r="D54" s="1597" t="e">
        <f>+SUMIF(#REF!,Final!A54,#REF!)</f>
        <v>#REF!</v>
      </c>
      <c r="E54" s="1643" t="e">
        <f>SUMIF(#REF!,Final!A54,#REF!)</f>
        <v>#REF!</v>
      </c>
      <c r="F54" s="1644" t="e">
        <f>SUMIF(#REF!,Final!A54,#REF!)</f>
        <v>#REF!</v>
      </c>
      <c r="G54" s="1597" t="e">
        <f t="shared" si="0"/>
        <v>#REF!</v>
      </c>
      <c r="H54" s="1644" t="e">
        <f t="shared" si="1"/>
        <v>#REF!</v>
      </c>
      <c r="I54" s="1597" t="e">
        <f t="shared" si="2"/>
        <v>#REF!</v>
      </c>
      <c r="J54" s="1644" t="e">
        <f t="shared" si="3"/>
        <v>#REF!</v>
      </c>
      <c r="M54" s="1545"/>
      <c r="N54" s="1545"/>
    </row>
    <row r="55" spans="1:93" ht="15.5">
      <c r="A55" s="1598">
        <v>10.574</v>
      </c>
      <c r="B55" s="1599" t="s">
        <v>2056</v>
      </c>
      <c r="C55" s="1643" t="e">
        <f>+SUMIF(#REF!,Final!A55,#REF!)</f>
        <v>#REF!</v>
      </c>
      <c r="D55" s="1597" t="e">
        <f>+SUMIF(#REF!,Final!A55,#REF!)</f>
        <v>#REF!</v>
      </c>
      <c r="E55" s="1643" t="e">
        <f>SUMIF(#REF!,Final!A55,#REF!)</f>
        <v>#REF!</v>
      </c>
      <c r="F55" s="1644" t="e">
        <f>SUMIF(#REF!,Final!A55,#REF!)</f>
        <v>#REF!</v>
      </c>
      <c r="G55" s="1597" t="e">
        <f t="shared" si="0"/>
        <v>#REF!</v>
      </c>
      <c r="H55" s="1644" t="e">
        <f t="shared" si="1"/>
        <v>#REF!</v>
      </c>
      <c r="I55" s="1597" t="e">
        <f t="shared" si="2"/>
        <v>#REF!</v>
      </c>
      <c r="J55" s="1644" t="e">
        <f t="shared" si="3"/>
        <v>#REF!</v>
      </c>
      <c r="M55" s="1545"/>
      <c r="N55" s="1545"/>
    </row>
    <row r="56" spans="1:93" ht="15.5">
      <c r="A56" s="1598">
        <v>10.577</v>
      </c>
      <c r="B56" s="1599" t="s">
        <v>2057</v>
      </c>
      <c r="C56" s="1643" t="e">
        <f>+SUMIF(#REF!,Final!A56,#REF!)</f>
        <v>#REF!</v>
      </c>
      <c r="D56" s="1597" t="e">
        <f>+SUMIF(#REF!,Final!A56,#REF!)</f>
        <v>#REF!</v>
      </c>
      <c r="E56" s="1643" t="e">
        <f>SUMIF(#REF!,Final!A56,#REF!)</f>
        <v>#REF!</v>
      </c>
      <c r="F56" s="1644" t="e">
        <f>SUMIF(#REF!,Final!A56,#REF!)</f>
        <v>#REF!</v>
      </c>
      <c r="G56" s="1597" t="e">
        <f t="shared" si="0"/>
        <v>#REF!</v>
      </c>
      <c r="H56" s="1644" t="e">
        <f t="shared" si="1"/>
        <v>#REF!</v>
      </c>
      <c r="I56" s="1597" t="e">
        <f t="shared" si="2"/>
        <v>#REF!</v>
      </c>
      <c r="J56" s="1644" t="e">
        <f t="shared" si="3"/>
        <v>#REF!</v>
      </c>
      <c r="M56" s="1545"/>
      <c r="N56" s="1545"/>
    </row>
    <row r="57" spans="1:93" ht="15.5">
      <c r="A57" s="1598" t="s">
        <v>2058</v>
      </c>
      <c r="B57" s="1599" t="s">
        <v>2059</v>
      </c>
      <c r="C57" s="1643" t="e">
        <f>+SUMIF(#REF!,Final!A57,#REF!)</f>
        <v>#REF!</v>
      </c>
      <c r="D57" s="1597" t="e">
        <f>+SUMIF(#REF!,Final!A57,#REF!)</f>
        <v>#REF!</v>
      </c>
      <c r="E57" s="1643" t="e">
        <f>SUMIF(#REF!,Final!A57,#REF!)</f>
        <v>#REF!</v>
      </c>
      <c r="F57" s="1644" t="e">
        <f>SUMIF(#REF!,Final!A57,#REF!)</f>
        <v>#REF!</v>
      </c>
      <c r="G57" s="1597" t="e">
        <f t="shared" si="0"/>
        <v>#REF!</v>
      </c>
      <c r="H57" s="1644" t="e">
        <f t="shared" si="1"/>
        <v>#REF!</v>
      </c>
      <c r="I57" s="1597" t="e">
        <f t="shared" si="2"/>
        <v>#REF!</v>
      </c>
      <c r="J57" s="1644" t="e">
        <f t="shared" si="3"/>
        <v>#REF!</v>
      </c>
      <c r="M57" s="1545"/>
      <c r="N57" s="1545"/>
    </row>
    <row r="58" spans="1:93" s="1543" customFormat="1" ht="15.5">
      <c r="A58" s="1598">
        <v>10.577999999999999</v>
      </c>
      <c r="B58" s="1599" t="s">
        <v>2060</v>
      </c>
      <c r="C58" s="1643" t="e">
        <f>+SUMIF(#REF!,Final!A58,#REF!)</f>
        <v>#REF!</v>
      </c>
      <c r="D58" s="1597" t="e">
        <f>+SUMIF(#REF!,Final!A58,#REF!)</f>
        <v>#REF!</v>
      </c>
      <c r="E58" s="1643" t="e">
        <f>SUMIF(#REF!,Final!A58,#REF!)</f>
        <v>#REF!</v>
      </c>
      <c r="F58" s="1644" t="e">
        <f>SUMIF(#REF!,Final!A58,#REF!)</f>
        <v>#REF!</v>
      </c>
      <c r="G58" s="1597" t="e">
        <f t="shared" si="0"/>
        <v>#REF!</v>
      </c>
      <c r="H58" s="1644" t="e">
        <f t="shared" si="1"/>
        <v>#REF!</v>
      </c>
      <c r="I58" s="1597" t="e">
        <f t="shared" si="2"/>
        <v>#REF!</v>
      </c>
      <c r="J58" s="1644" t="e">
        <f t="shared" si="3"/>
        <v>#REF!</v>
      </c>
      <c r="K58" s="1539"/>
      <c r="L58" s="1539"/>
      <c r="M58" s="1545"/>
      <c r="N58" s="1545"/>
      <c r="O58" s="1539"/>
      <c r="P58" s="1539"/>
      <c r="Q58" s="1539"/>
      <c r="R58" s="1539"/>
      <c r="S58" s="1539"/>
      <c r="T58" s="1539"/>
      <c r="U58" s="1539"/>
      <c r="V58" s="1539"/>
      <c r="W58" s="1539"/>
      <c r="X58" s="1539"/>
      <c r="Y58" s="1539"/>
      <c r="Z58" s="1539"/>
      <c r="AA58" s="1539"/>
      <c r="AB58" s="1539"/>
      <c r="AC58" s="1539"/>
      <c r="AD58" s="1539"/>
      <c r="AE58" s="1539"/>
      <c r="AF58" s="1539"/>
      <c r="AG58" s="1539"/>
      <c r="AH58" s="1539"/>
      <c r="AI58" s="1539"/>
      <c r="AJ58" s="1539"/>
      <c r="AK58" s="1539"/>
      <c r="AL58" s="1539"/>
      <c r="AM58" s="1539"/>
      <c r="AN58" s="1539"/>
      <c r="AO58" s="1539"/>
      <c r="AP58" s="1539"/>
      <c r="AQ58" s="1539"/>
      <c r="AR58" s="1539"/>
      <c r="AS58" s="1539"/>
      <c r="AT58" s="1539"/>
      <c r="AU58" s="1539"/>
      <c r="AV58" s="1539"/>
      <c r="AW58" s="1539"/>
      <c r="AX58" s="1539"/>
      <c r="AY58" s="1539"/>
      <c r="AZ58" s="1539"/>
      <c r="BA58" s="1539"/>
      <c r="BB58" s="1539"/>
      <c r="BC58" s="1539"/>
      <c r="BD58" s="1539"/>
      <c r="BE58" s="1539"/>
      <c r="BF58" s="1539"/>
      <c r="BG58" s="1539"/>
      <c r="BH58" s="1539"/>
      <c r="BI58" s="1539"/>
      <c r="BJ58" s="1539"/>
      <c r="BK58" s="1539"/>
      <c r="BL58" s="1539"/>
      <c r="BM58" s="1539"/>
      <c r="BN58" s="1539"/>
      <c r="BO58" s="1539"/>
      <c r="BP58" s="1539"/>
      <c r="BQ58" s="1539"/>
      <c r="BR58" s="1539"/>
      <c r="BS58" s="1539"/>
      <c r="BT58" s="1539"/>
      <c r="BU58" s="1539"/>
      <c r="BV58" s="1539"/>
      <c r="BW58" s="1539"/>
      <c r="BX58" s="1539"/>
      <c r="BY58" s="1539"/>
      <c r="BZ58" s="1539"/>
      <c r="CA58" s="1539"/>
      <c r="CB58" s="1539"/>
      <c r="CC58" s="1539"/>
      <c r="CD58" s="1539"/>
      <c r="CE58" s="1539"/>
      <c r="CF58" s="1539"/>
      <c r="CG58" s="1539"/>
      <c r="CH58" s="1539"/>
      <c r="CI58" s="1539"/>
      <c r="CJ58" s="1539"/>
      <c r="CK58" s="1539"/>
      <c r="CL58" s="1539"/>
      <c r="CM58" s="1539"/>
      <c r="CN58" s="1539"/>
      <c r="CO58" s="1539"/>
    </row>
    <row r="59" spans="1:93" ht="15.5">
      <c r="A59" s="1598">
        <v>10.58</v>
      </c>
      <c r="B59" s="1599" t="s">
        <v>2061</v>
      </c>
      <c r="C59" s="1643" t="e">
        <f>+SUMIF(#REF!,Final!A59,#REF!)</f>
        <v>#REF!</v>
      </c>
      <c r="D59" s="1597" t="e">
        <f>+SUMIF(#REF!,Final!A59,#REF!)</f>
        <v>#REF!</v>
      </c>
      <c r="E59" s="1643" t="e">
        <f>SUMIF(#REF!,Final!A59,#REF!)</f>
        <v>#REF!</v>
      </c>
      <c r="F59" s="1644" t="e">
        <f>SUMIF(#REF!,Final!A59,#REF!)</f>
        <v>#REF!</v>
      </c>
      <c r="G59" s="1597" t="e">
        <f t="shared" si="0"/>
        <v>#REF!</v>
      </c>
      <c r="H59" s="1644" t="e">
        <f t="shared" si="1"/>
        <v>#REF!</v>
      </c>
      <c r="I59" s="1597" t="e">
        <f t="shared" si="2"/>
        <v>#REF!</v>
      </c>
      <c r="J59" s="1644" t="e">
        <f t="shared" si="3"/>
        <v>#REF!</v>
      </c>
      <c r="M59" s="1545"/>
      <c r="N59" s="1545"/>
    </row>
    <row r="60" spans="1:93" ht="15.5">
      <c r="A60" s="1598" t="s">
        <v>2062</v>
      </c>
      <c r="B60" s="1599" t="s">
        <v>2063</v>
      </c>
      <c r="C60" s="1643" t="e">
        <f>+SUMIF(#REF!,Final!A60,#REF!)</f>
        <v>#REF!</v>
      </c>
      <c r="D60" s="1597" t="e">
        <f>+SUMIF(#REF!,Final!A60,#REF!)</f>
        <v>#REF!</v>
      </c>
      <c r="E60" s="1643" t="e">
        <f>SUMIF(#REF!,Final!A60,#REF!)</f>
        <v>#REF!</v>
      </c>
      <c r="F60" s="1644" t="e">
        <f>SUMIF(#REF!,Final!A60,#REF!)</f>
        <v>#REF!</v>
      </c>
      <c r="G60" s="1597" t="e">
        <f t="shared" si="0"/>
        <v>#REF!</v>
      </c>
      <c r="H60" s="1644" t="e">
        <f t="shared" si="1"/>
        <v>#REF!</v>
      </c>
      <c r="I60" s="1597" t="e">
        <f t="shared" si="2"/>
        <v>#REF!</v>
      </c>
      <c r="J60" s="1644" t="e">
        <f t="shared" si="3"/>
        <v>#REF!</v>
      </c>
      <c r="M60" s="1545"/>
      <c r="N60" s="1545"/>
    </row>
    <row r="61" spans="1:93" ht="15.5">
      <c r="A61" s="1598">
        <v>10.581</v>
      </c>
      <c r="B61" s="1599" t="s">
        <v>2064</v>
      </c>
      <c r="C61" s="1643" t="e">
        <f>+SUMIF(#REF!,Final!A61,#REF!)</f>
        <v>#REF!</v>
      </c>
      <c r="D61" s="1597" t="e">
        <f>+SUMIF(#REF!,Final!A61,#REF!)</f>
        <v>#REF!</v>
      </c>
      <c r="E61" s="1643" t="e">
        <f>SUMIF(#REF!,Final!A61,#REF!)</f>
        <v>#REF!</v>
      </c>
      <c r="F61" s="1644" t="e">
        <f>SUMIF(#REF!,Final!A61,#REF!)</f>
        <v>#REF!</v>
      </c>
      <c r="G61" s="1597" t="e">
        <f t="shared" si="0"/>
        <v>#REF!</v>
      </c>
      <c r="H61" s="1644" t="e">
        <f t="shared" si="1"/>
        <v>#REF!</v>
      </c>
      <c r="I61" s="1597" t="e">
        <f t="shared" si="2"/>
        <v>#REF!</v>
      </c>
      <c r="J61" s="1644" t="e">
        <f t="shared" si="3"/>
        <v>#REF!</v>
      </c>
      <c r="M61" s="1545"/>
      <c r="N61" s="1545"/>
    </row>
    <row r="62" spans="1:93" ht="15.5">
      <c r="A62" s="1598">
        <v>10.582000000000001</v>
      </c>
      <c r="B62" s="1599" t="s">
        <v>2065</v>
      </c>
      <c r="C62" s="1643" t="e">
        <f>+SUMIF(#REF!,Final!A62,#REF!)</f>
        <v>#REF!</v>
      </c>
      <c r="D62" s="1597" t="e">
        <f>+SUMIF(#REF!,Final!A62,#REF!)</f>
        <v>#REF!</v>
      </c>
      <c r="E62" s="1643" t="e">
        <f>SUMIF(#REF!,Final!A62,#REF!)</f>
        <v>#REF!</v>
      </c>
      <c r="F62" s="1644" t="e">
        <f>SUMIF(#REF!,Final!A62,#REF!)</f>
        <v>#REF!</v>
      </c>
      <c r="G62" s="1597" t="e">
        <f t="shared" si="0"/>
        <v>#REF!</v>
      </c>
      <c r="H62" s="1644" t="e">
        <f t="shared" si="1"/>
        <v>#REF!</v>
      </c>
      <c r="I62" s="1597" t="e">
        <f t="shared" si="2"/>
        <v>#REF!</v>
      </c>
      <c r="J62" s="1644" t="e">
        <f t="shared" si="3"/>
        <v>#REF!</v>
      </c>
      <c r="M62" s="1545"/>
      <c r="N62" s="1545"/>
    </row>
    <row r="63" spans="1:93" ht="15.5">
      <c r="A63" s="1598">
        <v>10.583</v>
      </c>
      <c r="B63" s="1599" t="s">
        <v>2066</v>
      </c>
      <c r="C63" s="1643" t="e">
        <f>+SUMIF(#REF!,Final!A63,#REF!)</f>
        <v>#REF!</v>
      </c>
      <c r="D63" s="1597" t="e">
        <f>+SUMIF(#REF!,Final!A63,#REF!)</f>
        <v>#REF!</v>
      </c>
      <c r="E63" s="1643" t="e">
        <f>SUMIF(#REF!,Final!A63,#REF!)</f>
        <v>#REF!</v>
      </c>
      <c r="F63" s="1644" t="e">
        <f>SUMIF(#REF!,Final!A63,#REF!)</f>
        <v>#REF!</v>
      </c>
      <c r="G63" s="1597" t="e">
        <f t="shared" si="0"/>
        <v>#REF!</v>
      </c>
      <c r="H63" s="1644" t="e">
        <f t="shared" si="1"/>
        <v>#REF!</v>
      </c>
      <c r="I63" s="1597" t="e">
        <f t="shared" si="2"/>
        <v>#REF!</v>
      </c>
      <c r="J63" s="1644" t="e">
        <f t="shared" si="3"/>
        <v>#REF!</v>
      </c>
      <c r="M63" s="1545"/>
      <c r="N63" s="1545"/>
    </row>
    <row r="64" spans="1:93" ht="15.5">
      <c r="A64" s="1598">
        <v>10.585000000000001</v>
      </c>
      <c r="B64" s="1599" t="s">
        <v>2067</v>
      </c>
      <c r="C64" s="1643" t="e">
        <f>+SUMIF(#REF!,Final!A64,#REF!)</f>
        <v>#REF!</v>
      </c>
      <c r="D64" s="1597" t="e">
        <f>+SUMIF(#REF!,Final!A64,#REF!)</f>
        <v>#REF!</v>
      </c>
      <c r="E64" s="1643" t="e">
        <f>SUMIF(#REF!,Final!A64,#REF!)</f>
        <v>#REF!</v>
      </c>
      <c r="F64" s="1644" t="e">
        <f>SUMIF(#REF!,Final!A64,#REF!)</f>
        <v>#REF!</v>
      </c>
      <c r="G64" s="1597" t="e">
        <f t="shared" si="0"/>
        <v>#REF!</v>
      </c>
      <c r="H64" s="1644" t="e">
        <f t="shared" si="1"/>
        <v>#REF!</v>
      </c>
      <c r="I64" s="1597" t="e">
        <f t="shared" si="2"/>
        <v>#REF!</v>
      </c>
      <c r="J64" s="1644" t="e">
        <f t="shared" si="3"/>
        <v>#REF!</v>
      </c>
      <c r="M64" s="1545"/>
      <c r="N64" s="1545"/>
    </row>
    <row r="65" spans="1:93" ht="15.5">
      <c r="A65" s="1598">
        <v>10.586</v>
      </c>
      <c r="B65" s="1599" t="s">
        <v>2068</v>
      </c>
      <c r="C65" s="1643" t="e">
        <f>+SUMIF(#REF!,Final!A65,#REF!)</f>
        <v>#REF!</v>
      </c>
      <c r="D65" s="1597" t="e">
        <f>+SUMIF(#REF!,Final!A65,#REF!)</f>
        <v>#REF!</v>
      </c>
      <c r="E65" s="1643" t="e">
        <f>SUMIF(#REF!,Final!A65,#REF!)</f>
        <v>#REF!</v>
      </c>
      <c r="F65" s="1644" t="e">
        <f>SUMIF(#REF!,Final!A65,#REF!)</f>
        <v>#REF!</v>
      </c>
      <c r="G65" s="1597" t="e">
        <f t="shared" si="0"/>
        <v>#REF!</v>
      </c>
      <c r="H65" s="1644" t="e">
        <f t="shared" si="1"/>
        <v>#REF!</v>
      </c>
      <c r="I65" s="1597" t="e">
        <f t="shared" si="2"/>
        <v>#REF!</v>
      </c>
      <c r="J65" s="1644" t="e">
        <f t="shared" si="3"/>
        <v>#REF!</v>
      </c>
      <c r="M65" s="1545"/>
      <c r="N65" s="1545"/>
    </row>
    <row r="66" spans="1:93" ht="15.5">
      <c r="A66" s="1598">
        <v>10.587</v>
      </c>
      <c r="B66" s="1599" t="s">
        <v>2069</v>
      </c>
      <c r="C66" s="1643" t="e">
        <f>+SUMIF(#REF!,Final!A66,#REF!)</f>
        <v>#REF!</v>
      </c>
      <c r="D66" s="1597" t="e">
        <f>+SUMIF(#REF!,Final!A66,#REF!)</f>
        <v>#REF!</v>
      </c>
      <c r="E66" s="1643" t="e">
        <f>SUMIF(#REF!,Final!A66,#REF!)</f>
        <v>#REF!</v>
      </c>
      <c r="F66" s="1644" t="e">
        <f>SUMIF(#REF!,Final!A66,#REF!)</f>
        <v>#REF!</v>
      </c>
      <c r="G66" s="1597" t="e">
        <f t="shared" si="0"/>
        <v>#REF!</v>
      </c>
      <c r="H66" s="1644" t="e">
        <f t="shared" si="1"/>
        <v>#REF!</v>
      </c>
      <c r="I66" s="1597" t="e">
        <f t="shared" si="2"/>
        <v>#REF!</v>
      </c>
      <c r="J66" s="1644" t="e">
        <f t="shared" si="3"/>
        <v>#REF!</v>
      </c>
      <c r="M66" s="1545"/>
      <c r="N66" s="1545"/>
    </row>
    <row r="67" spans="1:93" ht="15.5">
      <c r="A67" s="1598">
        <v>10.59</v>
      </c>
      <c r="B67" s="1599" t="s">
        <v>2042</v>
      </c>
      <c r="C67" s="1643" t="e">
        <f>+SUMIF(#REF!,Final!A67,#REF!)</f>
        <v>#REF!</v>
      </c>
      <c r="D67" s="1597" t="e">
        <f>+SUMIF(#REF!,Final!A67,#REF!)</f>
        <v>#REF!</v>
      </c>
      <c r="E67" s="1643" t="e">
        <f>SUMIF(#REF!,Final!A67,#REF!)</f>
        <v>#REF!</v>
      </c>
      <c r="F67" s="1644" t="e">
        <f>SUMIF(#REF!,Final!A67,#REF!)</f>
        <v>#REF!</v>
      </c>
      <c r="G67" s="1597" t="e">
        <f t="shared" si="0"/>
        <v>#REF!</v>
      </c>
      <c r="H67" s="1644" t="e">
        <f t="shared" si="1"/>
        <v>#REF!</v>
      </c>
      <c r="I67" s="1597" t="e">
        <f t="shared" si="2"/>
        <v>#REF!</v>
      </c>
      <c r="J67" s="1644" t="e">
        <f t="shared" si="3"/>
        <v>#REF!</v>
      </c>
      <c r="M67" s="1545"/>
      <c r="N67" s="1545"/>
    </row>
    <row r="68" spans="1:93" s="1542" customFormat="1" ht="15.5">
      <c r="A68" s="1598">
        <v>10.599</v>
      </c>
      <c r="B68" s="1599" t="s">
        <v>2070</v>
      </c>
      <c r="C68" s="1643" t="e">
        <f>+SUMIF(#REF!,Final!A68,#REF!)</f>
        <v>#REF!</v>
      </c>
      <c r="D68" s="1597" t="e">
        <f>+SUMIF(#REF!,Final!A68,#REF!)</f>
        <v>#REF!</v>
      </c>
      <c r="E68" s="1643" t="e">
        <f>SUMIF(#REF!,Final!A68,#REF!)</f>
        <v>#REF!</v>
      </c>
      <c r="F68" s="1644" t="e">
        <f>SUMIF(#REF!,Final!A68,#REF!)</f>
        <v>#REF!</v>
      </c>
      <c r="G68" s="1597" t="e">
        <f t="shared" si="0"/>
        <v>#REF!</v>
      </c>
      <c r="H68" s="1644" t="e">
        <f t="shared" si="1"/>
        <v>#REF!</v>
      </c>
      <c r="I68" s="1597" t="e">
        <f t="shared" si="2"/>
        <v>#REF!</v>
      </c>
      <c r="J68" s="1644" t="e">
        <f t="shared" si="3"/>
        <v>#REF!</v>
      </c>
      <c r="K68" s="1539"/>
      <c r="L68" s="1539"/>
      <c r="M68" s="1545"/>
      <c r="N68" s="1545"/>
      <c r="O68" s="1539"/>
      <c r="P68" s="1539"/>
      <c r="Q68" s="1539"/>
      <c r="R68" s="1539"/>
      <c r="S68" s="1539"/>
      <c r="T68" s="1539"/>
      <c r="U68" s="1539"/>
      <c r="V68" s="1539"/>
      <c r="W68" s="1539"/>
      <c r="X68" s="1539"/>
      <c r="Y68" s="1539"/>
      <c r="Z68" s="1539"/>
      <c r="AA68" s="1539"/>
      <c r="AB68" s="1539"/>
      <c r="AC68" s="1539"/>
      <c r="AD68" s="1539"/>
      <c r="AE68" s="1539"/>
      <c r="AF68" s="1539"/>
      <c r="AG68" s="1539"/>
      <c r="AH68" s="1539"/>
      <c r="AI68" s="1539"/>
      <c r="AJ68" s="1539"/>
      <c r="AK68" s="1539"/>
      <c r="AL68" s="1539"/>
      <c r="AM68" s="1539"/>
      <c r="AN68" s="1539"/>
      <c r="AO68" s="1539"/>
      <c r="AP68" s="1539"/>
      <c r="AQ68" s="1539"/>
      <c r="AR68" s="1539"/>
      <c r="AS68" s="1539"/>
      <c r="AT68" s="1539"/>
      <c r="AU68" s="1539"/>
      <c r="AV68" s="1539"/>
      <c r="AW68" s="1539"/>
      <c r="AX68" s="1539"/>
      <c r="AY68" s="1539"/>
      <c r="AZ68" s="1539"/>
      <c r="BA68" s="1539"/>
      <c r="BB68" s="1539"/>
      <c r="BC68" s="1539"/>
      <c r="BD68" s="1539"/>
      <c r="BE68" s="1539"/>
      <c r="BF68" s="1539"/>
      <c r="BG68" s="1539"/>
      <c r="BH68" s="1539"/>
      <c r="BI68" s="1539"/>
      <c r="BJ68" s="1539"/>
      <c r="BK68" s="1539"/>
      <c r="BL68" s="1539"/>
      <c r="BM68" s="1539"/>
      <c r="BN68" s="1539"/>
      <c r="BO68" s="1539"/>
      <c r="BP68" s="1539"/>
      <c r="BQ68" s="1539"/>
      <c r="BR68" s="1539"/>
      <c r="BS68" s="1539"/>
      <c r="BT68" s="1539"/>
      <c r="BU68" s="1539"/>
      <c r="BV68" s="1539"/>
      <c r="BW68" s="1539"/>
      <c r="BX68" s="1539"/>
      <c r="BY68" s="1539"/>
      <c r="BZ68" s="1539"/>
      <c r="CA68" s="1539"/>
      <c r="CB68" s="1539"/>
      <c r="CC68" s="1539"/>
      <c r="CD68" s="1539"/>
      <c r="CE68" s="1539"/>
      <c r="CF68" s="1539"/>
      <c r="CG68" s="1539"/>
      <c r="CH68" s="1539"/>
      <c r="CI68" s="1539"/>
      <c r="CJ68" s="1539"/>
      <c r="CK68" s="1539"/>
      <c r="CL68" s="1539"/>
      <c r="CM68" s="1539"/>
      <c r="CN68" s="1539"/>
      <c r="CO68" s="1539"/>
    </row>
    <row r="69" spans="1:93" ht="15.5">
      <c r="A69" s="1598" t="s">
        <v>2071</v>
      </c>
      <c r="B69" s="1599" t="s">
        <v>2072</v>
      </c>
      <c r="C69" s="1643" t="e">
        <f>+SUMIF(#REF!,Final!A69,#REF!)</f>
        <v>#REF!</v>
      </c>
      <c r="D69" s="1597" t="e">
        <f>+SUMIF(#REF!,Final!A69,#REF!)</f>
        <v>#REF!</v>
      </c>
      <c r="E69" s="1643" t="e">
        <f>SUMIF(#REF!,Final!A69,#REF!)</f>
        <v>#REF!</v>
      </c>
      <c r="F69" s="1644" t="e">
        <f>SUMIF(#REF!,Final!A69,#REF!)</f>
        <v>#REF!</v>
      </c>
      <c r="G69" s="1597" t="e">
        <f t="shared" si="0"/>
        <v>#REF!</v>
      </c>
      <c r="H69" s="1644" t="e">
        <f t="shared" si="1"/>
        <v>#REF!</v>
      </c>
      <c r="I69" s="1597" t="e">
        <f t="shared" si="2"/>
        <v>#REF!</v>
      </c>
      <c r="J69" s="1644" t="e">
        <f t="shared" si="3"/>
        <v>#REF!</v>
      </c>
      <c r="M69" s="1545"/>
      <c r="N69" s="1545"/>
    </row>
    <row r="70" spans="1:93" s="1552" customFormat="1" ht="15.5">
      <c r="A70" s="1598"/>
      <c r="B70" s="1599"/>
      <c r="C70" s="1643" t="e">
        <f>+SUMIF(#REF!,Final!A70,#REF!)</f>
        <v>#REF!</v>
      </c>
      <c r="D70" s="1597" t="e">
        <f>+SUMIF(#REF!,Final!A70,#REF!)</f>
        <v>#REF!</v>
      </c>
      <c r="E70" s="1643" t="e">
        <f>SUMIF(#REF!,Final!A70,#REF!)</f>
        <v>#REF!</v>
      </c>
      <c r="F70" s="1644" t="e">
        <f>SUMIF(#REF!,Final!A70,#REF!)</f>
        <v>#REF!</v>
      </c>
      <c r="G70" s="1597" t="e">
        <f t="shared" si="0"/>
        <v>#REF!</v>
      </c>
      <c r="H70" s="1644" t="e">
        <f t="shared" si="1"/>
        <v>#REF!</v>
      </c>
      <c r="I70" s="1597" t="e">
        <f t="shared" si="2"/>
        <v>#REF!</v>
      </c>
      <c r="J70" s="1644" t="e">
        <f t="shared" si="3"/>
        <v>#REF!</v>
      </c>
      <c r="K70" s="1539"/>
      <c r="L70" s="1539"/>
      <c r="M70" s="1545"/>
      <c r="N70" s="1545"/>
      <c r="O70" s="1539"/>
      <c r="P70" s="1539"/>
      <c r="Q70" s="1539"/>
      <c r="R70" s="1539"/>
      <c r="S70" s="1539"/>
      <c r="T70" s="1539"/>
      <c r="U70" s="1539"/>
      <c r="V70" s="1539"/>
      <c r="W70" s="1539"/>
      <c r="X70" s="1539"/>
      <c r="Y70" s="1539"/>
      <c r="Z70" s="1539"/>
      <c r="AA70" s="1539"/>
      <c r="AB70" s="1539"/>
      <c r="AC70" s="1539"/>
      <c r="AD70" s="1539"/>
      <c r="AE70" s="1539"/>
      <c r="AF70" s="1539"/>
      <c r="AG70" s="1539"/>
      <c r="AH70" s="1539"/>
      <c r="AI70" s="1539"/>
      <c r="AJ70" s="1539"/>
      <c r="AK70" s="1539"/>
      <c r="AL70" s="1539"/>
      <c r="AM70" s="1539"/>
      <c r="AN70" s="1539"/>
      <c r="AO70" s="1539"/>
      <c r="AP70" s="1539"/>
      <c r="AQ70" s="1539"/>
      <c r="AR70" s="1539"/>
      <c r="AS70" s="1539"/>
      <c r="AT70" s="1539"/>
      <c r="AU70" s="1539"/>
      <c r="AV70" s="1539"/>
      <c r="AW70" s="1539"/>
      <c r="AX70" s="1539"/>
      <c r="AY70" s="1539"/>
      <c r="AZ70" s="1539"/>
      <c r="BA70" s="1539"/>
      <c r="BB70" s="1539"/>
      <c r="BC70" s="1539"/>
      <c r="BD70" s="1539"/>
      <c r="BE70" s="1539"/>
      <c r="BF70" s="1539"/>
      <c r="BG70" s="1539"/>
      <c r="BH70" s="1539"/>
      <c r="BI70" s="1539"/>
      <c r="BJ70" s="1539"/>
      <c r="BK70" s="1539"/>
      <c r="BL70" s="1539"/>
      <c r="BM70" s="1539"/>
      <c r="BN70" s="1539"/>
      <c r="BO70" s="1539"/>
      <c r="BP70" s="1539"/>
      <c r="BQ70" s="1539"/>
      <c r="BR70" s="1539"/>
      <c r="BS70" s="1539"/>
      <c r="BT70" s="1539"/>
      <c r="BU70" s="1539"/>
      <c r="BV70" s="1539"/>
      <c r="BW70" s="1539"/>
      <c r="BX70" s="1539"/>
      <c r="BY70" s="1539"/>
      <c r="BZ70" s="1539"/>
      <c r="CA70" s="1539"/>
      <c r="CB70" s="1539"/>
      <c r="CC70" s="1539"/>
      <c r="CD70" s="1539"/>
      <c r="CE70" s="1539"/>
      <c r="CF70" s="1539"/>
      <c r="CG70" s="1539"/>
      <c r="CH70" s="1539"/>
      <c r="CI70" s="1539"/>
      <c r="CJ70" s="1539"/>
      <c r="CK70" s="1539"/>
      <c r="CL70" s="1539"/>
      <c r="CM70" s="1539"/>
      <c r="CN70" s="1539"/>
      <c r="CO70" s="1539"/>
    </row>
    <row r="71" spans="1:93" s="1552" customFormat="1" ht="15.5">
      <c r="A71" s="1598"/>
      <c r="B71" s="1599"/>
      <c r="C71" s="1643" t="e">
        <f>+SUMIF(#REF!,Final!A71,#REF!)</f>
        <v>#REF!</v>
      </c>
      <c r="D71" s="1597" t="e">
        <f>+SUMIF(#REF!,Final!A71,#REF!)</f>
        <v>#REF!</v>
      </c>
      <c r="E71" s="1643" t="e">
        <f>SUMIF(#REF!,Final!A71,#REF!)</f>
        <v>#REF!</v>
      </c>
      <c r="F71" s="1644" t="e">
        <f>SUMIF(#REF!,Final!A71,#REF!)</f>
        <v>#REF!</v>
      </c>
      <c r="G71" s="1597" t="e">
        <f t="shared" si="0"/>
        <v>#REF!</v>
      </c>
      <c r="H71" s="1644" t="e">
        <f t="shared" si="1"/>
        <v>#REF!</v>
      </c>
      <c r="I71" s="1597" t="e">
        <f t="shared" si="2"/>
        <v>#REF!</v>
      </c>
      <c r="J71" s="1644" t="e">
        <f t="shared" si="3"/>
        <v>#REF!</v>
      </c>
      <c r="K71" s="1539"/>
      <c r="L71" s="1539"/>
      <c r="M71" s="1545"/>
      <c r="N71" s="1545"/>
      <c r="O71" s="1539"/>
      <c r="P71" s="1539"/>
      <c r="Q71" s="1539"/>
      <c r="R71" s="1539"/>
      <c r="S71" s="1539"/>
      <c r="T71" s="1539"/>
      <c r="U71" s="1539"/>
      <c r="V71" s="1539"/>
      <c r="W71" s="1539"/>
      <c r="X71" s="1539"/>
      <c r="Y71" s="1539"/>
      <c r="Z71" s="1539"/>
      <c r="AA71" s="1539"/>
      <c r="AB71" s="1539"/>
      <c r="AC71" s="1539"/>
      <c r="AD71" s="1539"/>
      <c r="AE71" s="1539"/>
      <c r="AF71" s="1539"/>
      <c r="AG71" s="1539"/>
      <c r="AH71" s="1539"/>
      <c r="AI71" s="1539"/>
      <c r="AJ71" s="1539"/>
      <c r="AK71" s="1539"/>
      <c r="AL71" s="1539"/>
      <c r="AM71" s="1539"/>
      <c r="AN71" s="1539"/>
      <c r="AO71" s="1539"/>
      <c r="AP71" s="1539"/>
      <c r="AQ71" s="1539"/>
      <c r="AR71" s="1539"/>
      <c r="AS71" s="1539"/>
      <c r="AT71" s="1539"/>
      <c r="AU71" s="1539"/>
      <c r="AV71" s="1539"/>
      <c r="AW71" s="1539"/>
      <c r="AX71" s="1539"/>
      <c r="AY71" s="1539"/>
      <c r="AZ71" s="1539"/>
      <c r="BA71" s="1539"/>
      <c r="BB71" s="1539"/>
      <c r="BC71" s="1539"/>
      <c r="BD71" s="1539"/>
      <c r="BE71" s="1539"/>
      <c r="BF71" s="1539"/>
      <c r="BG71" s="1539"/>
      <c r="BH71" s="1539"/>
      <c r="BI71" s="1539"/>
      <c r="BJ71" s="1539"/>
      <c r="BK71" s="1539"/>
      <c r="BL71" s="1539"/>
      <c r="BM71" s="1539"/>
      <c r="BN71" s="1539"/>
      <c r="BO71" s="1539"/>
      <c r="BP71" s="1539"/>
      <c r="BQ71" s="1539"/>
      <c r="BR71" s="1539"/>
      <c r="BS71" s="1539"/>
      <c r="BT71" s="1539"/>
      <c r="BU71" s="1539"/>
      <c r="BV71" s="1539"/>
      <c r="BW71" s="1539"/>
      <c r="BX71" s="1539"/>
      <c r="BY71" s="1539"/>
      <c r="BZ71" s="1539"/>
      <c r="CA71" s="1539"/>
      <c r="CB71" s="1539"/>
      <c r="CC71" s="1539"/>
      <c r="CD71" s="1539"/>
      <c r="CE71" s="1539"/>
      <c r="CF71" s="1539"/>
      <c r="CG71" s="1539"/>
      <c r="CH71" s="1539"/>
      <c r="CI71" s="1539"/>
      <c r="CJ71" s="1539"/>
      <c r="CK71" s="1539"/>
      <c r="CL71" s="1539"/>
      <c r="CM71" s="1539"/>
      <c r="CN71" s="1539"/>
      <c r="CO71" s="1539"/>
    </row>
    <row r="72" spans="1:93" s="1542" customFormat="1" ht="15.5">
      <c r="A72" s="1598" t="s">
        <v>1405</v>
      </c>
      <c r="B72" s="1599" t="s">
        <v>2073</v>
      </c>
      <c r="C72" s="1643" t="e">
        <f>+SUMIF(#REF!,Final!A72,#REF!)</f>
        <v>#REF!</v>
      </c>
      <c r="D72" s="1597" t="e">
        <f>+SUMIF(#REF!,Final!A72,#REF!)</f>
        <v>#REF!</v>
      </c>
      <c r="E72" s="1643" t="e">
        <f>SUMIF(#REF!,Final!A72,#REF!)</f>
        <v>#REF!</v>
      </c>
      <c r="F72" s="1644" t="e">
        <f>SUMIF(#REF!,Final!A72,#REF!)</f>
        <v>#REF!</v>
      </c>
      <c r="G72" s="1597" t="e">
        <f t="shared" ref="G72:G135" si="4">C72+E72</f>
        <v>#REF!</v>
      </c>
      <c r="H72" s="1644" t="e">
        <f t="shared" ref="H72:H135" si="5">D72+F72</f>
        <v>#REF!</v>
      </c>
      <c r="I72" s="1597" t="e">
        <f t="shared" ref="I72:I135" si="6">IF(G72&gt;H72,G72-H72,0)</f>
        <v>#REF!</v>
      </c>
      <c r="J72" s="1644" t="e">
        <f t="shared" ref="J72:J135" si="7">IF(H72&gt;G72,H72-G72,0)</f>
        <v>#REF!</v>
      </c>
      <c r="K72" s="1539"/>
      <c r="L72" s="1539"/>
      <c r="M72" s="1545"/>
      <c r="N72" s="1545"/>
      <c r="O72" s="1539"/>
      <c r="P72" s="1539"/>
      <c r="Q72" s="1539"/>
      <c r="R72" s="1539"/>
      <c r="S72" s="1539"/>
      <c r="T72" s="1539"/>
      <c r="U72" s="1539"/>
      <c r="V72" s="1539"/>
      <c r="W72" s="1539"/>
      <c r="X72" s="1539"/>
      <c r="Y72" s="1539"/>
      <c r="Z72" s="1539"/>
      <c r="AA72" s="1539"/>
      <c r="AB72" s="1539"/>
      <c r="AC72" s="1539"/>
      <c r="AD72" s="1539"/>
      <c r="AE72" s="1539"/>
      <c r="AF72" s="1539"/>
      <c r="AG72" s="1539"/>
      <c r="AH72" s="1539"/>
      <c r="AI72" s="1539"/>
      <c r="AJ72" s="1539"/>
      <c r="AK72" s="1539"/>
      <c r="AL72" s="1539"/>
      <c r="AM72" s="1539"/>
      <c r="AN72" s="1539"/>
      <c r="AO72" s="1539"/>
      <c r="AP72" s="1539"/>
      <c r="AQ72" s="1539"/>
      <c r="AR72" s="1539"/>
      <c r="AS72" s="1539"/>
      <c r="AT72" s="1539"/>
      <c r="AU72" s="1539"/>
      <c r="AV72" s="1539"/>
      <c r="AW72" s="1539"/>
      <c r="AX72" s="1539"/>
      <c r="AY72" s="1539"/>
      <c r="AZ72" s="1539"/>
      <c r="BA72" s="1539"/>
      <c r="BB72" s="1539"/>
      <c r="BC72" s="1539"/>
      <c r="BD72" s="1539"/>
      <c r="BE72" s="1539"/>
      <c r="BF72" s="1539"/>
      <c r="BG72" s="1539"/>
      <c r="BH72" s="1539"/>
      <c r="BI72" s="1539"/>
      <c r="BJ72" s="1539"/>
      <c r="BK72" s="1539"/>
      <c r="BL72" s="1539"/>
      <c r="BM72" s="1539"/>
      <c r="BN72" s="1539"/>
      <c r="BO72" s="1539"/>
      <c r="BP72" s="1539"/>
      <c r="BQ72" s="1539"/>
      <c r="BR72" s="1539"/>
      <c r="BS72" s="1539"/>
      <c r="BT72" s="1539"/>
      <c r="BU72" s="1539"/>
      <c r="BV72" s="1539"/>
      <c r="BW72" s="1539"/>
      <c r="BX72" s="1539"/>
      <c r="BY72" s="1539"/>
      <c r="BZ72" s="1539"/>
      <c r="CA72" s="1539"/>
      <c r="CB72" s="1539"/>
      <c r="CC72" s="1539"/>
      <c r="CD72" s="1539"/>
      <c r="CE72" s="1539"/>
      <c r="CF72" s="1539"/>
      <c r="CG72" s="1539"/>
      <c r="CH72" s="1539"/>
      <c r="CI72" s="1539"/>
      <c r="CJ72" s="1539"/>
      <c r="CK72" s="1539"/>
      <c r="CL72" s="1539"/>
      <c r="CM72" s="1539"/>
      <c r="CN72" s="1539"/>
      <c r="CO72" s="1539"/>
    </row>
    <row r="73" spans="1:93" ht="15.5">
      <c r="A73" s="1598">
        <v>10.602</v>
      </c>
      <c r="B73" s="1599" t="s">
        <v>2074</v>
      </c>
      <c r="C73" s="1643" t="e">
        <f>+SUMIF(#REF!,Final!A73,#REF!)</f>
        <v>#REF!</v>
      </c>
      <c r="D73" s="1597" t="e">
        <f>+SUMIF(#REF!,Final!A73,#REF!)</f>
        <v>#REF!</v>
      </c>
      <c r="E73" s="1643" t="e">
        <f>SUMIF(#REF!,Final!A73,#REF!)</f>
        <v>#REF!</v>
      </c>
      <c r="F73" s="1644" t="e">
        <f>SUMIF(#REF!,Final!A73,#REF!)</f>
        <v>#REF!</v>
      </c>
      <c r="G73" s="1597" t="e">
        <f t="shared" si="4"/>
        <v>#REF!</v>
      </c>
      <c r="H73" s="1644" t="e">
        <f t="shared" si="5"/>
        <v>#REF!</v>
      </c>
      <c r="I73" s="1597" t="e">
        <f t="shared" si="6"/>
        <v>#REF!</v>
      </c>
      <c r="J73" s="1644" t="e">
        <f t="shared" si="7"/>
        <v>#REF!</v>
      </c>
      <c r="M73" s="1545"/>
      <c r="N73" s="1545"/>
    </row>
    <row r="74" spans="1:93" ht="15.5">
      <c r="A74" s="1598">
        <v>10.603</v>
      </c>
      <c r="B74" s="1599" t="s">
        <v>2075</v>
      </c>
      <c r="C74" s="1643" t="e">
        <f>+SUMIF(#REF!,Final!A74,#REF!)</f>
        <v>#REF!</v>
      </c>
      <c r="D74" s="1597" t="e">
        <f>+SUMIF(#REF!,Final!A74,#REF!)</f>
        <v>#REF!</v>
      </c>
      <c r="E74" s="1643" t="e">
        <f>SUMIF(#REF!,Final!A74,#REF!)</f>
        <v>#REF!</v>
      </c>
      <c r="F74" s="1644" t="e">
        <f>SUMIF(#REF!,Final!A74,#REF!)</f>
        <v>#REF!</v>
      </c>
      <c r="G74" s="1597" t="e">
        <f t="shared" si="4"/>
        <v>#REF!</v>
      </c>
      <c r="H74" s="1644" t="e">
        <f t="shared" si="5"/>
        <v>#REF!</v>
      </c>
      <c r="I74" s="1597" t="e">
        <f t="shared" si="6"/>
        <v>#REF!</v>
      </c>
      <c r="J74" s="1644" t="e">
        <f t="shared" si="7"/>
        <v>#REF!</v>
      </c>
      <c r="M74" s="1545"/>
      <c r="N74" s="1545"/>
    </row>
    <row r="75" spans="1:93" ht="15.5">
      <c r="A75" s="1598">
        <v>10.603999999999999</v>
      </c>
      <c r="B75" s="1599" t="s">
        <v>2076</v>
      </c>
      <c r="C75" s="1643" t="e">
        <f>+SUMIF(#REF!,Final!A75,#REF!)</f>
        <v>#REF!</v>
      </c>
      <c r="D75" s="1597" t="e">
        <f>+SUMIF(#REF!,Final!A75,#REF!)</f>
        <v>#REF!</v>
      </c>
      <c r="E75" s="1643" t="e">
        <f>SUMIF(#REF!,Final!A75,#REF!)</f>
        <v>#REF!</v>
      </c>
      <c r="F75" s="1644" t="e">
        <f>SUMIF(#REF!,Final!A75,#REF!)</f>
        <v>#REF!</v>
      </c>
      <c r="G75" s="1597" t="e">
        <f t="shared" si="4"/>
        <v>#REF!</v>
      </c>
      <c r="H75" s="1644" t="e">
        <f t="shared" si="5"/>
        <v>#REF!</v>
      </c>
      <c r="I75" s="1597" t="e">
        <f t="shared" si="6"/>
        <v>#REF!</v>
      </c>
      <c r="J75" s="1644" t="e">
        <f t="shared" si="7"/>
        <v>#REF!</v>
      </c>
      <c r="M75" s="1545"/>
      <c r="N75" s="1545"/>
    </row>
    <row r="76" spans="1:93" ht="15.5">
      <c r="A76" s="1598">
        <v>10.605</v>
      </c>
      <c r="B76" s="1599" t="s">
        <v>2077</v>
      </c>
      <c r="C76" s="1643" t="e">
        <f>+SUMIF(#REF!,Final!A76,#REF!)</f>
        <v>#REF!</v>
      </c>
      <c r="D76" s="1597" t="e">
        <f>+SUMIF(#REF!,Final!A76,#REF!)</f>
        <v>#REF!</v>
      </c>
      <c r="E76" s="1643" t="e">
        <f>SUMIF(#REF!,Final!A76,#REF!)</f>
        <v>#REF!</v>
      </c>
      <c r="F76" s="1644" t="e">
        <f>SUMIF(#REF!,Final!A76,#REF!)</f>
        <v>#REF!</v>
      </c>
      <c r="G76" s="1597" t="e">
        <f t="shared" si="4"/>
        <v>#REF!</v>
      </c>
      <c r="H76" s="1644" t="e">
        <f t="shared" si="5"/>
        <v>#REF!</v>
      </c>
      <c r="I76" s="1597" t="e">
        <f t="shared" si="6"/>
        <v>#REF!</v>
      </c>
      <c r="J76" s="1644" t="e">
        <f t="shared" si="7"/>
        <v>#REF!</v>
      </c>
      <c r="M76" s="1545"/>
      <c r="N76" s="1545"/>
    </row>
    <row r="77" spans="1:93" ht="15.5">
      <c r="A77" s="1598">
        <v>10.611000000000001</v>
      </c>
      <c r="B77" s="1599" t="s">
        <v>2078</v>
      </c>
      <c r="C77" s="1643" t="e">
        <f>+SUMIF(#REF!,Final!A77,#REF!)</f>
        <v>#REF!</v>
      </c>
      <c r="D77" s="1597" t="e">
        <f>+SUMIF(#REF!,Final!A77,#REF!)</f>
        <v>#REF!</v>
      </c>
      <c r="E77" s="1643" t="e">
        <f>SUMIF(#REF!,Final!A77,#REF!)</f>
        <v>#REF!</v>
      </c>
      <c r="F77" s="1644" t="e">
        <f>SUMIF(#REF!,Final!A77,#REF!)</f>
        <v>#REF!</v>
      </c>
      <c r="G77" s="1597" t="e">
        <f t="shared" si="4"/>
        <v>#REF!</v>
      </c>
      <c r="H77" s="1644" t="e">
        <f t="shared" si="5"/>
        <v>#REF!</v>
      </c>
      <c r="I77" s="1597" t="e">
        <f t="shared" si="6"/>
        <v>#REF!</v>
      </c>
      <c r="J77" s="1644" t="e">
        <f t="shared" si="7"/>
        <v>#REF!</v>
      </c>
      <c r="M77" s="1545"/>
      <c r="N77" s="1545"/>
    </row>
    <row r="78" spans="1:93" ht="15.5">
      <c r="A78" s="1598">
        <v>10.612</v>
      </c>
      <c r="B78" s="1599" t="s">
        <v>2079</v>
      </c>
      <c r="C78" s="1643" t="e">
        <f>+SUMIF(#REF!,Final!A78,#REF!)</f>
        <v>#REF!</v>
      </c>
      <c r="D78" s="1597" t="e">
        <f>+SUMIF(#REF!,Final!A78,#REF!)</f>
        <v>#REF!</v>
      </c>
      <c r="E78" s="1643" t="e">
        <f>SUMIF(#REF!,Final!A78,#REF!)</f>
        <v>#REF!</v>
      </c>
      <c r="F78" s="1644" t="e">
        <f>SUMIF(#REF!,Final!A78,#REF!)</f>
        <v>#REF!</v>
      </c>
      <c r="G78" s="1597" t="e">
        <f t="shared" si="4"/>
        <v>#REF!</v>
      </c>
      <c r="H78" s="1644" t="e">
        <f t="shared" si="5"/>
        <v>#REF!</v>
      </c>
      <c r="I78" s="1597" t="e">
        <f t="shared" si="6"/>
        <v>#REF!</v>
      </c>
      <c r="J78" s="1644" t="e">
        <f t="shared" si="7"/>
        <v>#REF!</v>
      </c>
      <c r="M78" s="1545"/>
      <c r="N78" s="1545"/>
    </row>
    <row r="79" spans="1:93" ht="15.5">
      <c r="A79" s="1598">
        <v>10.613</v>
      </c>
      <c r="B79" s="1599" t="s">
        <v>2080</v>
      </c>
      <c r="C79" s="1643" t="e">
        <f>+SUMIF(#REF!,Final!A79,#REF!)</f>
        <v>#REF!</v>
      </c>
      <c r="D79" s="1597" t="e">
        <f>+SUMIF(#REF!,Final!A79,#REF!)</f>
        <v>#REF!</v>
      </c>
      <c r="E79" s="1643" t="e">
        <f>SUMIF(#REF!,Final!A79,#REF!)</f>
        <v>#REF!</v>
      </c>
      <c r="F79" s="1644" t="e">
        <f>SUMIF(#REF!,Final!A79,#REF!)</f>
        <v>#REF!</v>
      </c>
      <c r="G79" s="1597" t="e">
        <f t="shared" si="4"/>
        <v>#REF!</v>
      </c>
      <c r="H79" s="1644" t="e">
        <f t="shared" si="5"/>
        <v>#REF!</v>
      </c>
      <c r="I79" s="1597" t="e">
        <f t="shared" si="6"/>
        <v>#REF!</v>
      </c>
      <c r="J79" s="1644" t="e">
        <f t="shared" si="7"/>
        <v>#REF!</v>
      </c>
      <c r="M79" s="1545"/>
      <c r="N79" s="1545"/>
    </row>
    <row r="80" spans="1:93" ht="15.5">
      <c r="A80" s="1598">
        <v>10.621</v>
      </c>
      <c r="B80" s="1599" t="s">
        <v>2081</v>
      </c>
      <c r="C80" s="1643" t="e">
        <f>+SUMIF(#REF!,Final!A80,#REF!)</f>
        <v>#REF!</v>
      </c>
      <c r="D80" s="1597" t="e">
        <f>+SUMIF(#REF!,Final!A80,#REF!)</f>
        <v>#REF!</v>
      </c>
      <c r="E80" s="1643" t="e">
        <f>SUMIF(#REF!,Final!A80,#REF!)</f>
        <v>#REF!</v>
      </c>
      <c r="F80" s="1644" t="e">
        <f>SUMIF(#REF!,Final!A80,#REF!)</f>
        <v>#REF!</v>
      </c>
      <c r="G80" s="1597" t="e">
        <f t="shared" si="4"/>
        <v>#REF!</v>
      </c>
      <c r="H80" s="1644" t="e">
        <f t="shared" si="5"/>
        <v>#REF!</v>
      </c>
      <c r="I80" s="1597" t="e">
        <f t="shared" si="6"/>
        <v>#REF!</v>
      </c>
      <c r="J80" s="1644" t="e">
        <f t="shared" si="7"/>
        <v>#REF!</v>
      </c>
      <c r="M80" s="1545"/>
      <c r="N80" s="1545"/>
    </row>
    <row r="81" spans="1:93" ht="15.5">
      <c r="A81" s="1598">
        <v>10.622</v>
      </c>
      <c r="B81" s="1599" t="s">
        <v>2082</v>
      </c>
      <c r="C81" s="1643" t="e">
        <f>+SUMIF(#REF!,Final!A81,#REF!)</f>
        <v>#REF!</v>
      </c>
      <c r="D81" s="1597" t="e">
        <f>+SUMIF(#REF!,Final!A81,#REF!)</f>
        <v>#REF!</v>
      </c>
      <c r="E81" s="1643" t="e">
        <f>SUMIF(#REF!,Final!A81,#REF!)</f>
        <v>#REF!</v>
      </c>
      <c r="F81" s="1644" t="e">
        <f>SUMIF(#REF!,Final!A81,#REF!)</f>
        <v>#REF!</v>
      </c>
      <c r="G81" s="1597" t="e">
        <f t="shared" si="4"/>
        <v>#REF!</v>
      </c>
      <c r="H81" s="1644" t="e">
        <f t="shared" si="5"/>
        <v>#REF!</v>
      </c>
      <c r="I81" s="1597" t="e">
        <f t="shared" si="6"/>
        <v>#REF!</v>
      </c>
      <c r="J81" s="1644" t="e">
        <f t="shared" si="7"/>
        <v>#REF!</v>
      </c>
      <c r="M81" s="1545"/>
      <c r="N81" s="1545"/>
    </row>
    <row r="82" spans="1:93" ht="15.5">
      <c r="A82" s="1598">
        <v>10.631</v>
      </c>
      <c r="B82" s="1599" t="s">
        <v>2083</v>
      </c>
      <c r="C82" s="1643" t="e">
        <f>+SUMIF(#REF!,Final!A82,#REF!)</f>
        <v>#REF!</v>
      </c>
      <c r="D82" s="1597" t="e">
        <f>+SUMIF(#REF!,Final!A82,#REF!)</f>
        <v>#REF!</v>
      </c>
      <c r="E82" s="1643" t="e">
        <f>SUMIF(#REF!,Final!A82,#REF!)</f>
        <v>#REF!</v>
      </c>
      <c r="F82" s="1644" t="e">
        <f>SUMIF(#REF!,Final!A82,#REF!)</f>
        <v>#REF!</v>
      </c>
      <c r="G82" s="1597" t="e">
        <f t="shared" si="4"/>
        <v>#REF!</v>
      </c>
      <c r="H82" s="1644" t="e">
        <f t="shared" si="5"/>
        <v>#REF!</v>
      </c>
      <c r="I82" s="1597" t="e">
        <f t="shared" si="6"/>
        <v>#REF!</v>
      </c>
      <c r="J82" s="1644" t="e">
        <f t="shared" si="7"/>
        <v>#REF!</v>
      </c>
      <c r="M82" s="1545"/>
      <c r="N82" s="1545"/>
    </row>
    <row r="83" spans="1:93" ht="15.5">
      <c r="A83" s="1598">
        <v>10.641</v>
      </c>
      <c r="B83" s="1599" t="s">
        <v>2084</v>
      </c>
      <c r="C83" s="1643" t="e">
        <f>+SUMIF(#REF!,Final!A83,#REF!)</f>
        <v>#REF!</v>
      </c>
      <c r="D83" s="1597" t="e">
        <f>+SUMIF(#REF!,Final!A83,#REF!)</f>
        <v>#REF!</v>
      </c>
      <c r="E83" s="1643" t="e">
        <f>SUMIF(#REF!,Final!A83,#REF!)</f>
        <v>#REF!</v>
      </c>
      <c r="F83" s="1644" t="e">
        <f>SUMIF(#REF!,Final!A83,#REF!)</f>
        <v>#REF!</v>
      </c>
      <c r="G83" s="1597" t="e">
        <f t="shared" si="4"/>
        <v>#REF!</v>
      </c>
      <c r="H83" s="1644" t="e">
        <f t="shared" si="5"/>
        <v>#REF!</v>
      </c>
      <c r="I83" s="1597" t="e">
        <f t="shared" si="6"/>
        <v>#REF!</v>
      </c>
      <c r="J83" s="1644" t="e">
        <f t="shared" si="7"/>
        <v>#REF!</v>
      </c>
      <c r="M83" s="1545"/>
      <c r="N83" s="1545"/>
    </row>
    <row r="84" spans="1:93" ht="15.5">
      <c r="A84" s="1598">
        <v>10.641999999999999</v>
      </c>
      <c r="B84" s="1599" t="s">
        <v>2085</v>
      </c>
      <c r="C84" s="1643" t="e">
        <f>+SUMIF(#REF!,Final!A84,#REF!)</f>
        <v>#REF!</v>
      </c>
      <c r="D84" s="1597" t="e">
        <f>+SUMIF(#REF!,Final!A84,#REF!)</f>
        <v>#REF!</v>
      </c>
      <c r="E84" s="1643" t="e">
        <f>SUMIF(#REF!,Final!A84,#REF!)</f>
        <v>#REF!</v>
      </c>
      <c r="F84" s="1644" t="e">
        <f>SUMIF(#REF!,Final!A84,#REF!)</f>
        <v>#REF!</v>
      </c>
      <c r="G84" s="1597" t="e">
        <f t="shared" si="4"/>
        <v>#REF!</v>
      </c>
      <c r="H84" s="1644" t="e">
        <f t="shared" si="5"/>
        <v>#REF!</v>
      </c>
      <c r="I84" s="1597" t="e">
        <f t="shared" si="6"/>
        <v>#REF!</v>
      </c>
      <c r="J84" s="1644" t="e">
        <f t="shared" si="7"/>
        <v>#REF!</v>
      </c>
      <c r="M84" s="1545"/>
      <c r="N84" s="1545"/>
    </row>
    <row r="85" spans="1:93" ht="15.5">
      <c r="A85" s="1598">
        <v>10.667</v>
      </c>
      <c r="B85" s="1599" t="s">
        <v>2085</v>
      </c>
      <c r="C85" s="1643" t="e">
        <f>+SUMIF(#REF!,Final!A85,#REF!)</f>
        <v>#REF!</v>
      </c>
      <c r="D85" s="1597" t="e">
        <f>+SUMIF(#REF!,Final!A85,#REF!)</f>
        <v>#REF!</v>
      </c>
      <c r="E85" s="1643" t="e">
        <f>SUMIF(#REF!,Final!A85,#REF!)</f>
        <v>#REF!</v>
      </c>
      <c r="F85" s="1644" t="e">
        <f>SUMIF(#REF!,Final!A85,#REF!)</f>
        <v>#REF!</v>
      </c>
      <c r="G85" s="1597" t="e">
        <f t="shared" si="4"/>
        <v>#REF!</v>
      </c>
      <c r="H85" s="1644" t="e">
        <f t="shared" si="5"/>
        <v>#REF!</v>
      </c>
      <c r="I85" s="1597" t="e">
        <f t="shared" si="6"/>
        <v>#REF!</v>
      </c>
      <c r="J85" s="1644" t="e">
        <f t="shared" si="7"/>
        <v>#REF!</v>
      </c>
      <c r="M85" s="1545"/>
      <c r="N85" s="1545"/>
    </row>
    <row r="86" spans="1:93" ht="15.5">
      <c r="A86" s="1598">
        <v>10.68</v>
      </c>
      <c r="B86" s="1599" t="s">
        <v>2085</v>
      </c>
      <c r="C86" s="1643" t="e">
        <f>+SUMIF(#REF!,Final!A86,#REF!)</f>
        <v>#REF!</v>
      </c>
      <c r="D86" s="1597" t="e">
        <f>+SUMIF(#REF!,Final!A86,#REF!)</f>
        <v>#REF!</v>
      </c>
      <c r="E86" s="1643" t="e">
        <f>SUMIF(#REF!,Final!A86,#REF!)</f>
        <v>#REF!</v>
      </c>
      <c r="F86" s="1644" t="e">
        <f>SUMIF(#REF!,Final!A86,#REF!)</f>
        <v>#REF!</v>
      </c>
      <c r="G86" s="1597" t="e">
        <f t="shared" si="4"/>
        <v>#REF!</v>
      </c>
      <c r="H86" s="1644" t="e">
        <f t="shared" si="5"/>
        <v>#REF!</v>
      </c>
      <c r="I86" s="1597" t="e">
        <f t="shared" si="6"/>
        <v>#REF!</v>
      </c>
      <c r="J86" s="1644" t="e">
        <f t="shared" si="7"/>
        <v>#REF!</v>
      </c>
      <c r="M86" s="1545"/>
      <c r="N86" s="1545"/>
    </row>
    <row r="87" spans="1:93" ht="15.5">
      <c r="A87" s="1598">
        <v>10.683</v>
      </c>
      <c r="B87" s="1599" t="s">
        <v>2085</v>
      </c>
      <c r="C87" s="1643" t="e">
        <f>+SUMIF(#REF!,Final!A87,#REF!)</f>
        <v>#REF!</v>
      </c>
      <c r="D87" s="1597" t="e">
        <f>+SUMIF(#REF!,Final!A87,#REF!)</f>
        <v>#REF!</v>
      </c>
      <c r="E87" s="1643" t="e">
        <f>SUMIF(#REF!,Final!A87,#REF!)</f>
        <v>#REF!</v>
      </c>
      <c r="F87" s="1644" t="e">
        <f>SUMIF(#REF!,Final!A87,#REF!)</f>
        <v>#REF!</v>
      </c>
      <c r="G87" s="1597" t="e">
        <f t="shared" si="4"/>
        <v>#REF!</v>
      </c>
      <c r="H87" s="1644" t="e">
        <f t="shared" si="5"/>
        <v>#REF!</v>
      </c>
      <c r="I87" s="1597" t="e">
        <f t="shared" si="6"/>
        <v>#REF!</v>
      </c>
      <c r="J87" s="1644" t="e">
        <f t="shared" si="7"/>
        <v>#REF!</v>
      </c>
      <c r="M87" s="1545"/>
      <c r="N87" s="1545"/>
    </row>
    <row r="88" spans="1:93" ht="15.5">
      <c r="A88" s="1598">
        <v>10.685</v>
      </c>
      <c r="B88" s="1599" t="s">
        <v>2086</v>
      </c>
      <c r="C88" s="1643" t="e">
        <f>+SUMIF(#REF!,Final!A88,#REF!)</f>
        <v>#REF!</v>
      </c>
      <c r="D88" s="1597" t="e">
        <f>+SUMIF(#REF!,Final!A88,#REF!)</f>
        <v>#REF!</v>
      </c>
      <c r="E88" s="1643" t="e">
        <f>SUMIF(#REF!,Final!A88,#REF!)</f>
        <v>#REF!</v>
      </c>
      <c r="F88" s="1644" t="e">
        <f>SUMIF(#REF!,Final!A88,#REF!)</f>
        <v>#REF!</v>
      </c>
      <c r="G88" s="1597" t="e">
        <f t="shared" si="4"/>
        <v>#REF!</v>
      </c>
      <c r="H88" s="1644" t="e">
        <f t="shared" si="5"/>
        <v>#REF!</v>
      </c>
      <c r="I88" s="1597" t="e">
        <f t="shared" si="6"/>
        <v>#REF!</v>
      </c>
      <c r="J88" s="1644" t="e">
        <f t="shared" si="7"/>
        <v>#REF!</v>
      </c>
      <c r="M88" s="1545"/>
      <c r="N88" s="1545"/>
    </row>
    <row r="89" spans="1:93" s="1552" customFormat="1" ht="15.5">
      <c r="A89" s="1598"/>
      <c r="B89" s="1599"/>
      <c r="C89" s="1643" t="e">
        <f>+SUMIF(#REF!,Final!A89,#REF!)</f>
        <v>#REF!</v>
      </c>
      <c r="D89" s="1597" t="e">
        <f>+SUMIF(#REF!,Final!A89,#REF!)</f>
        <v>#REF!</v>
      </c>
      <c r="E89" s="1643" t="e">
        <f>SUMIF(#REF!,Final!A89,#REF!)</f>
        <v>#REF!</v>
      </c>
      <c r="F89" s="1644" t="e">
        <f>SUMIF(#REF!,Final!A89,#REF!)</f>
        <v>#REF!</v>
      </c>
      <c r="G89" s="1597" t="e">
        <f t="shared" si="4"/>
        <v>#REF!</v>
      </c>
      <c r="H89" s="1644" t="e">
        <f t="shared" si="5"/>
        <v>#REF!</v>
      </c>
      <c r="I89" s="1597" t="e">
        <f t="shared" si="6"/>
        <v>#REF!</v>
      </c>
      <c r="J89" s="1644" t="e">
        <f t="shared" si="7"/>
        <v>#REF!</v>
      </c>
      <c r="K89" s="1539"/>
      <c r="L89" s="1539"/>
      <c r="M89" s="1545"/>
      <c r="N89" s="1545"/>
      <c r="O89" s="1539"/>
      <c r="P89" s="1539"/>
      <c r="Q89" s="1539"/>
      <c r="R89" s="1539"/>
      <c r="S89" s="1539"/>
      <c r="T89" s="1539"/>
      <c r="U89" s="1539"/>
      <c r="V89" s="1539"/>
      <c r="W89" s="1539"/>
      <c r="X89" s="1539"/>
      <c r="Y89" s="1539"/>
      <c r="Z89" s="1539"/>
      <c r="AA89" s="1539"/>
      <c r="AB89" s="1539"/>
      <c r="AC89" s="1539"/>
      <c r="AD89" s="1539"/>
      <c r="AE89" s="1539"/>
      <c r="AF89" s="1539"/>
      <c r="AG89" s="1539"/>
      <c r="AH89" s="1539"/>
      <c r="AI89" s="1539"/>
      <c r="AJ89" s="1539"/>
      <c r="AK89" s="1539"/>
      <c r="AL89" s="1539"/>
      <c r="AM89" s="1539"/>
      <c r="AN89" s="1539"/>
      <c r="AO89" s="1539"/>
      <c r="AP89" s="1539"/>
      <c r="AQ89" s="1539"/>
      <c r="AR89" s="1539"/>
      <c r="AS89" s="1539"/>
      <c r="AT89" s="1539"/>
      <c r="AU89" s="1539"/>
      <c r="AV89" s="1539"/>
      <c r="AW89" s="1539"/>
      <c r="AX89" s="1539"/>
      <c r="AY89" s="1539"/>
      <c r="AZ89" s="1539"/>
      <c r="BA89" s="1539"/>
      <c r="BB89" s="1539"/>
      <c r="BC89" s="1539"/>
      <c r="BD89" s="1539"/>
      <c r="BE89" s="1539"/>
      <c r="BF89" s="1539"/>
      <c r="BG89" s="1539"/>
      <c r="BH89" s="1539"/>
      <c r="BI89" s="1539"/>
      <c r="BJ89" s="1539"/>
      <c r="BK89" s="1539"/>
      <c r="BL89" s="1539"/>
      <c r="BM89" s="1539"/>
      <c r="BN89" s="1539"/>
      <c r="BO89" s="1539"/>
      <c r="BP89" s="1539"/>
      <c r="BQ89" s="1539"/>
      <c r="BR89" s="1539"/>
      <c r="BS89" s="1539"/>
      <c r="BT89" s="1539"/>
      <c r="BU89" s="1539"/>
      <c r="BV89" s="1539"/>
      <c r="BW89" s="1539"/>
      <c r="BX89" s="1539"/>
      <c r="BY89" s="1539"/>
      <c r="BZ89" s="1539"/>
      <c r="CA89" s="1539"/>
      <c r="CB89" s="1539"/>
      <c r="CC89" s="1539"/>
      <c r="CD89" s="1539"/>
      <c r="CE89" s="1539"/>
      <c r="CF89" s="1539"/>
      <c r="CG89" s="1539"/>
      <c r="CH89" s="1539"/>
      <c r="CI89" s="1539"/>
      <c r="CJ89" s="1539"/>
      <c r="CK89" s="1539"/>
      <c r="CL89" s="1539"/>
      <c r="CM89" s="1539"/>
      <c r="CN89" s="1539"/>
      <c r="CO89" s="1539"/>
    </row>
    <row r="90" spans="1:93" s="1552" customFormat="1" ht="15.5">
      <c r="A90" s="1598"/>
      <c r="B90" s="1599"/>
      <c r="C90" s="1643" t="e">
        <f>+SUMIF(#REF!,Final!A90,#REF!)</f>
        <v>#REF!</v>
      </c>
      <c r="D90" s="1597" t="e">
        <f>+SUMIF(#REF!,Final!A90,#REF!)</f>
        <v>#REF!</v>
      </c>
      <c r="E90" s="1643" t="e">
        <f>SUMIF(#REF!,Final!A90,#REF!)</f>
        <v>#REF!</v>
      </c>
      <c r="F90" s="1644" t="e">
        <f>SUMIF(#REF!,Final!A90,#REF!)</f>
        <v>#REF!</v>
      </c>
      <c r="G90" s="1597" t="e">
        <f t="shared" si="4"/>
        <v>#REF!</v>
      </c>
      <c r="H90" s="1644" t="e">
        <f t="shared" si="5"/>
        <v>#REF!</v>
      </c>
      <c r="I90" s="1597" t="e">
        <f t="shared" si="6"/>
        <v>#REF!</v>
      </c>
      <c r="J90" s="1644" t="e">
        <f t="shared" si="7"/>
        <v>#REF!</v>
      </c>
      <c r="K90" s="1539"/>
      <c r="L90" s="1539"/>
      <c r="M90" s="1545"/>
      <c r="N90" s="1545"/>
      <c r="O90" s="1539"/>
      <c r="P90" s="1539"/>
      <c r="Q90" s="1539"/>
      <c r="R90" s="1539"/>
      <c r="S90" s="1539"/>
      <c r="T90" s="1539"/>
      <c r="U90" s="1539"/>
      <c r="V90" s="1539"/>
      <c r="W90" s="1539"/>
      <c r="X90" s="1539"/>
      <c r="Y90" s="1539"/>
      <c r="Z90" s="1539"/>
      <c r="AA90" s="1539"/>
      <c r="AB90" s="1539"/>
      <c r="AC90" s="1539"/>
      <c r="AD90" s="1539"/>
      <c r="AE90" s="1539"/>
      <c r="AF90" s="1539"/>
      <c r="AG90" s="1539"/>
      <c r="AH90" s="1539"/>
      <c r="AI90" s="1539"/>
      <c r="AJ90" s="1539"/>
      <c r="AK90" s="1539"/>
      <c r="AL90" s="1539"/>
      <c r="AM90" s="1539"/>
      <c r="AN90" s="1539"/>
      <c r="AO90" s="1539"/>
      <c r="AP90" s="1539"/>
      <c r="AQ90" s="1539"/>
      <c r="AR90" s="1539"/>
      <c r="AS90" s="1539"/>
      <c r="AT90" s="1539"/>
      <c r="AU90" s="1539"/>
      <c r="AV90" s="1539"/>
      <c r="AW90" s="1539"/>
      <c r="AX90" s="1539"/>
      <c r="AY90" s="1539"/>
      <c r="AZ90" s="1539"/>
      <c r="BA90" s="1539"/>
      <c r="BB90" s="1539"/>
      <c r="BC90" s="1539"/>
      <c r="BD90" s="1539"/>
      <c r="BE90" s="1539"/>
      <c r="BF90" s="1539"/>
      <c r="BG90" s="1539"/>
      <c r="BH90" s="1539"/>
      <c r="BI90" s="1539"/>
      <c r="BJ90" s="1539"/>
      <c r="BK90" s="1539"/>
      <c r="BL90" s="1539"/>
      <c r="BM90" s="1539"/>
      <c r="BN90" s="1539"/>
      <c r="BO90" s="1539"/>
      <c r="BP90" s="1539"/>
      <c r="BQ90" s="1539"/>
      <c r="BR90" s="1539"/>
      <c r="BS90" s="1539"/>
      <c r="BT90" s="1539"/>
      <c r="BU90" s="1539"/>
      <c r="BV90" s="1539"/>
      <c r="BW90" s="1539"/>
      <c r="BX90" s="1539"/>
      <c r="BY90" s="1539"/>
      <c r="BZ90" s="1539"/>
      <c r="CA90" s="1539"/>
      <c r="CB90" s="1539"/>
      <c r="CC90" s="1539"/>
      <c r="CD90" s="1539"/>
      <c r="CE90" s="1539"/>
      <c r="CF90" s="1539"/>
      <c r="CG90" s="1539"/>
      <c r="CH90" s="1539"/>
      <c r="CI90" s="1539"/>
      <c r="CJ90" s="1539"/>
      <c r="CK90" s="1539"/>
      <c r="CL90" s="1539"/>
      <c r="CM90" s="1539"/>
      <c r="CN90" s="1539"/>
      <c r="CO90" s="1539"/>
    </row>
    <row r="91" spans="1:93" s="1552" customFormat="1" ht="15.5">
      <c r="A91" s="1598"/>
      <c r="B91" s="1599"/>
      <c r="C91" s="1643" t="e">
        <f>+SUMIF(#REF!,Final!A91,#REF!)</f>
        <v>#REF!</v>
      </c>
      <c r="D91" s="1597" t="e">
        <f>+SUMIF(#REF!,Final!A91,#REF!)</f>
        <v>#REF!</v>
      </c>
      <c r="E91" s="1643" t="e">
        <f>SUMIF(#REF!,Final!A91,#REF!)</f>
        <v>#REF!</v>
      </c>
      <c r="F91" s="1644" t="e">
        <f>SUMIF(#REF!,Final!A91,#REF!)</f>
        <v>#REF!</v>
      </c>
      <c r="G91" s="1597" t="e">
        <f t="shared" si="4"/>
        <v>#REF!</v>
      </c>
      <c r="H91" s="1644" t="e">
        <f t="shared" si="5"/>
        <v>#REF!</v>
      </c>
      <c r="I91" s="1597" t="e">
        <f t="shared" si="6"/>
        <v>#REF!</v>
      </c>
      <c r="J91" s="1644" t="e">
        <f t="shared" si="7"/>
        <v>#REF!</v>
      </c>
      <c r="K91" s="1539"/>
      <c r="L91" s="1539"/>
      <c r="M91" s="1545"/>
      <c r="N91" s="1545"/>
      <c r="O91" s="1539"/>
      <c r="P91" s="1539"/>
      <c r="Q91" s="1539"/>
      <c r="R91" s="1539"/>
      <c r="S91" s="1539"/>
      <c r="T91" s="1539"/>
      <c r="U91" s="1539"/>
      <c r="V91" s="1539"/>
      <c r="W91" s="1539"/>
      <c r="X91" s="1539"/>
      <c r="Y91" s="1539"/>
      <c r="Z91" s="1539"/>
      <c r="AA91" s="1539"/>
      <c r="AB91" s="1539"/>
      <c r="AC91" s="1539"/>
      <c r="AD91" s="1539"/>
      <c r="AE91" s="1539"/>
      <c r="AF91" s="1539"/>
      <c r="AG91" s="1539"/>
      <c r="AH91" s="1539"/>
      <c r="AI91" s="1539"/>
      <c r="AJ91" s="1539"/>
      <c r="AK91" s="1539"/>
      <c r="AL91" s="1539"/>
      <c r="AM91" s="1539"/>
      <c r="AN91" s="1539"/>
      <c r="AO91" s="1539"/>
      <c r="AP91" s="1539"/>
      <c r="AQ91" s="1539"/>
      <c r="AR91" s="1539"/>
      <c r="AS91" s="1539"/>
      <c r="AT91" s="1539"/>
      <c r="AU91" s="1539"/>
      <c r="AV91" s="1539"/>
      <c r="AW91" s="1539"/>
      <c r="AX91" s="1539"/>
      <c r="AY91" s="1539"/>
      <c r="AZ91" s="1539"/>
      <c r="BA91" s="1539"/>
      <c r="BB91" s="1539"/>
      <c r="BC91" s="1539"/>
      <c r="BD91" s="1539"/>
      <c r="BE91" s="1539"/>
      <c r="BF91" s="1539"/>
      <c r="BG91" s="1539"/>
      <c r="BH91" s="1539"/>
      <c r="BI91" s="1539"/>
      <c r="BJ91" s="1539"/>
      <c r="BK91" s="1539"/>
      <c r="BL91" s="1539"/>
      <c r="BM91" s="1539"/>
      <c r="BN91" s="1539"/>
      <c r="BO91" s="1539"/>
      <c r="BP91" s="1539"/>
      <c r="BQ91" s="1539"/>
      <c r="BR91" s="1539"/>
      <c r="BS91" s="1539"/>
      <c r="BT91" s="1539"/>
      <c r="BU91" s="1539"/>
      <c r="BV91" s="1539"/>
      <c r="BW91" s="1539"/>
      <c r="BX91" s="1539"/>
      <c r="BY91" s="1539"/>
      <c r="BZ91" s="1539"/>
      <c r="CA91" s="1539"/>
      <c r="CB91" s="1539"/>
      <c r="CC91" s="1539"/>
      <c r="CD91" s="1539"/>
      <c r="CE91" s="1539"/>
      <c r="CF91" s="1539"/>
      <c r="CG91" s="1539"/>
      <c r="CH91" s="1539"/>
      <c r="CI91" s="1539"/>
      <c r="CJ91" s="1539"/>
      <c r="CK91" s="1539"/>
      <c r="CL91" s="1539"/>
      <c r="CM91" s="1539"/>
      <c r="CN91" s="1539"/>
      <c r="CO91" s="1539"/>
    </row>
    <row r="92" spans="1:93" s="1542" customFormat="1" ht="15.5">
      <c r="A92" s="1598" t="s">
        <v>1406</v>
      </c>
      <c r="B92" s="1599" t="s">
        <v>752</v>
      </c>
      <c r="C92" s="1643" t="e">
        <f>+SUMIF(#REF!,Final!A92,#REF!)</f>
        <v>#REF!</v>
      </c>
      <c r="D92" s="1597" t="e">
        <f>+SUMIF(#REF!,Final!A92,#REF!)</f>
        <v>#REF!</v>
      </c>
      <c r="E92" s="1643" t="e">
        <f>SUMIF(#REF!,Final!A92,#REF!)</f>
        <v>#REF!</v>
      </c>
      <c r="F92" s="1644" t="e">
        <f>SUMIF(#REF!,Final!A92,#REF!)</f>
        <v>#REF!</v>
      </c>
      <c r="G92" s="1597" t="e">
        <f t="shared" si="4"/>
        <v>#REF!</v>
      </c>
      <c r="H92" s="1644" t="e">
        <f t="shared" si="5"/>
        <v>#REF!</v>
      </c>
      <c r="I92" s="1597" t="e">
        <f t="shared" si="6"/>
        <v>#REF!</v>
      </c>
      <c r="J92" s="1644" t="e">
        <f t="shared" si="7"/>
        <v>#REF!</v>
      </c>
      <c r="K92" s="1539"/>
      <c r="L92" s="1539"/>
      <c r="M92" s="1545"/>
      <c r="N92" s="1545"/>
      <c r="O92" s="1539"/>
      <c r="P92" s="1539"/>
      <c r="Q92" s="1539"/>
      <c r="R92" s="1539"/>
      <c r="S92" s="1539"/>
      <c r="T92" s="1539"/>
      <c r="U92" s="1539"/>
      <c r="V92" s="1539"/>
      <c r="W92" s="1539"/>
      <c r="X92" s="1539"/>
      <c r="Y92" s="1539"/>
      <c r="Z92" s="1539"/>
      <c r="AA92" s="1539"/>
      <c r="AB92" s="1539"/>
      <c r="AC92" s="1539"/>
      <c r="AD92" s="1539"/>
      <c r="AE92" s="1539"/>
      <c r="AF92" s="1539"/>
      <c r="AG92" s="1539"/>
      <c r="AH92" s="1539"/>
      <c r="AI92" s="1539"/>
      <c r="AJ92" s="1539"/>
      <c r="AK92" s="1539"/>
      <c r="AL92" s="1539"/>
      <c r="AM92" s="1539"/>
      <c r="AN92" s="1539"/>
      <c r="AO92" s="1539"/>
      <c r="AP92" s="1539"/>
      <c r="AQ92" s="1539"/>
      <c r="AR92" s="1539"/>
      <c r="AS92" s="1539"/>
      <c r="AT92" s="1539"/>
      <c r="AU92" s="1539"/>
      <c r="AV92" s="1539"/>
      <c r="AW92" s="1539"/>
      <c r="AX92" s="1539"/>
      <c r="AY92" s="1539"/>
      <c r="AZ92" s="1539"/>
      <c r="BA92" s="1539"/>
      <c r="BB92" s="1539"/>
      <c r="BC92" s="1539"/>
      <c r="BD92" s="1539"/>
      <c r="BE92" s="1539"/>
      <c r="BF92" s="1539"/>
      <c r="BG92" s="1539"/>
      <c r="BH92" s="1539"/>
      <c r="BI92" s="1539"/>
      <c r="BJ92" s="1539"/>
      <c r="BK92" s="1539"/>
      <c r="BL92" s="1539"/>
      <c r="BM92" s="1539"/>
      <c r="BN92" s="1539"/>
      <c r="BO92" s="1539"/>
      <c r="BP92" s="1539"/>
      <c r="BQ92" s="1539"/>
      <c r="BR92" s="1539"/>
      <c r="BS92" s="1539"/>
      <c r="BT92" s="1539"/>
      <c r="BU92" s="1539"/>
      <c r="BV92" s="1539"/>
      <c r="BW92" s="1539"/>
      <c r="BX92" s="1539"/>
      <c r="BY92" s="1539"/>
      <c r="BZ92" s="1539"/>
      <c r="CA92" s="1539"/>
      <c r="CB92" s="1539"/>
      <c r="CC92" s="1539"/>
      <c r="CD92" s="1539"/>
      <c r="CE92" s="1539"/>
      <c r="CF92" s="1539"/>
      <c r="CG92" s="1539"/>
      <c r="CH92" s="1539"/>
      <c r="CI92" s="1539"/>
      <c r="CJ92" s="1539"/>
      <c r="CK92" s="1539"/>
      <c r="CL92" s="1539"/>
      <c r="CM92" s="1539"/>
      <c r="CN92" s="1539"/>
      <c r="CO92" s="1539"/>
    </row>
    <row r="93" spans="1:93" s="1542" customFormat="1" ht="15.5">
      <c r="A93" s="1598">
        <v>10.71</v>
      </c>
      <c r="B93" s="1599" t="s">
        <v>2087</v>
      </c>
      <c r="C93" s="1643" t="e">
        <f>+SUMIF(#REF!,Final!A93,#REF!)</f>
        <v>#REF!</v>
      </c>
      <c r="D93" s="1597" t="e">
        <f>+SUMIF(#REF!,Final!A93,#REF!)</f>
        <v>#REF!</v>
      </c>
      <c r="E93" s="1643" t="e">
        <f>SUMIF(#REF!,Final!A93,#REF!)</f>
        <v>#REF!</v>
      </c>
      <c r="F93" s="1644" t="e">
        <f>SUMIF(#REF!,Final!A93,#REF!)</f>
        <v>#REF!</v>
      </c>
      <c r="G93" s="1597" t="e">
        <f t="shared" si="4"/>
        <v>#REF!</v>
      </c>
      <c r="H93" s="1644" t="e">
        <f t="shared" si="5"/>
        <v>#REF!</v>
      </c>
      <c r="I93" s="1597" t="e">
        <f t="shared" si="6"/>
        <v>#REF!</v>
      </c>
      <c r="J93" s="1644" t="e">
        <f t="shared" si="7"/>
        <v>#REF!</v>
      </c>
      <c r="K93" s="1539"/>
      <c r="L93" s="1539"/>
      <c r="M93" s="1545"/>
      <c r="N93" s="1545"/>
      <c r="O93" s="1539"/>
      <c r="P93" s="1539"/>
      <c r="Q93" s="1539"/>
      <c r="R93" s="1539"/>
      <c r="S93" s="1539"/>
      <c r="T93" s="1539"/>
      <c r="U93" s="1539"/>
      <c r="V93" s="1539"/>
      <c r="W93" s="1539"/>
      <c r="X93" s="1539"/>
      <c r="Y93" s="1539"/>
      <c r="Z93" s="1539"/>
      <c r="AA93" s="1539"/>
      <c r="AB93" s="1539"/>
      <c r="AC93" s="1539"/>
      <c r="AD93" s="1539"/>
      <c r="AE93" s="1539"/>
      <c r="AF93" s="1539"/>
      <c r="AG93" s="1539"/>
      <c r="AH93" s="1539"/>
      <c r="AI93" s="1539"/>
      <c r="AJ93" s="1539"/>
      <c r="AK93" s="1539"/>
      <c r="AL93" s="1539"/>
      <c r="AM93" s="1539"/>
      <c r="AN93" s="1539"/>
      <c r="AO93" s="1539"/>
      <c r="AP93" s="1539"/>
      <c r="AQ93" s="1539"/>
      <c r="AR93" s="1539"/>
      <c r="AS93" s="1539"/>
      <c r="AT93" s="1539"/>
      <c r="AU93" s="1539"/>
      <c r="AV93" s="1539"/>
      <c r="AW93" s="1539"/>
      <c r="AX93" s="1539"/>
      <c r="AY93" s="1539"/>
      <c r="AZ93" s="1539"/>
      <c r="BA93" s="1539"/>
      <c r="BB93" s="1539"/>
      <c r="BC93" s="1539"/>
      <c r="BD93" s="1539"/>
      <c r="BE93" s="1539"/>
      <c r="BF93" s="1539"/>
      <c r="BG93" s="1539"/>
      <c r="BH93" s="1539"/>
      <c r="BI93" s="1539"/>
      <c r="BJ93" s="1539"/>
      <c r="BK93" s="1539"/>
      <c r="BL93" s="1539"/>
      <c r="BM93" s="1539"/>
      <c r="BN93" s="1539"/>
      <c r="BO93" s="1539"/>
      <c r="BP93" s="1539"/>
      <c r="BQ93" s="1539"/>
      <c r="BR93" s="1539"/>
      <c r="BS93" s="1539"/>
      <c r="BT93" s="1539"/>
      <c r="BU93" s="1539"/>
      <c r="BV93" s="1539"/>
      <c r="BW93" s="1539"/>
      <c r="BX93" s="1539"/>
      <c r="BY93" s="1539"/>
      <c r="BZ93" s="1539"/>
      <c r="CA93" s="1539"/>
      <c r="CB93" s="1539"/>
      <c r="CC93" s="1539"/>
      <c r="CD93" s="1539"/>
      <c r="CE93" s="1539"/>
      <c r="CF93" s="1539"/>
      <c r="CG93" s="1539"/>
      <c r="CH93" s="1539"/>
      <c r="CI93" s="1539"/>
      <c r="CJ93" s="1539"/>
      <c r="CK93" s="1539"/>
      <c r="CL93" s="1539"/>
      <c r="CM93" s="1539"/>
      <c r="CN93" s="1539"/>
      <c r="CO93" s="1539"/>
    </row>
    <row r="94" spans="1:93" ht="15.5">
      <c r="A94" s="1598">
        <v>10.715</v>
      </c>
      <c r="B94" s="1599" t="s">
        <v>2088</v>
      </c>
      <c r="C94" s="1643" t="e">
        <f>+SUMIF(#REF!,Final!A94,#REF!)</f>
        <v>#REF!</v>
      </c>
      <c r="D94" s="1597" t="e">
        <f>+SUMIF(#REF!,Final!A94,#REF!)</f>
        <v>#REF!</v>
      </c>
      <c r="E94" s="1643" t="e">
        <f>SUMIF(#REF!,Final!A94,#REF!)</f>
        <v>#REF!</v>
      </c>
      <c r="F94" s="1644" t="e">
        <f>SUMIF(#REF!,Final!A94,#REF!)</f>
        <v>#REF!</v>
      </c>
      <c r="G94" s="1597" t="e">
        <f t="shared" si="4"/>
        <v>#REF!</v>
      </c>
      <c r="H94" s="1644" t="e">
        <f t="shared" si="5"/>
        <v>#REF!</v>
      </c>
      <c r="I94" s="1597" t="e">
        <f t="shared" si="6"/>
        <v>#REF!</v>
      </c>
      <c r="J94" s="1644" t="e">
        <f t="shared" si="7"/>
        <v>#REF!</v>
      </c>
      <c r="M94" s="1545"/>
      <c r="N94" s="1545"/>
    </row>
    <row r="95" spans="1:93" ht="15.5">
      <c r="A95" s="1598">
        <v>10.73</v>
      </c>
      <c r="B95" s="1599" t="s">
        <v>2089</v>
      </c>
      <c r="C95" s="1643" t="e">
        <f>+SUMIF(#REF!,Final!A95,#REF!)</f>
        <v>#REF!</v>
      </c>
      <c r="D95" s="1597" t="e">
        <f>+SUMIF(#REF!,Final!A95,#REF!)</f>
        <v>#REF!</v>
      </c>
      <c r="E95" s="1643" t="e">
        <f>SUMIF(#REF!,Final!A95,#REF!)</f>
        <v>#REF!</v>
      </c>
      <c r="F95" s="1644" t="e">
        <f>SUMIF(#REF!,Final!A95,#REF!)</f>
        <v>#REF!</v>
      </c>
      <c r="G95" s="1597" t="e">
        <f t="shared" si="4"/>
        <v>#REF!</v>
      </c>
      <c r="H95" s="1644" t="e">
        <f t="shared" si="5"/>
        <v>#REF!</v>
      </c>
      <c r="I95" s="1597" t="e">
        <f t="shared" si="6"/>
        <v>#REF!</v>
      </c>
      <c r="J95" s="1644" t="e">
        <f t="shared" si="7"/>
        <v>#REF!</v>
      </c>
      <c r="M95" s="1545"/>
      <c r="N95" s="1545"/>
    </row>
    <row r="96" spans="1:93" ht="15.5">
      <c r="A96" s="1598">
        <v>10.74</v>
      </c>
      <c r="B96" s="1599" t="s">
        <v>2090</v>
      </c>
      <c r="C96" s="1643" t="e">
        <f>+SUMIF(#REF!,Final!A96,#REF!)</f>
        <v>#REF!</v>
      </c>
      <c r="D96" s="1597" t="e">
        <f>+SUMIF(#REF!,Final!A96,#REF!)</f>
        <v>#REF!</v>
      </c>
      <c r="E96" s="1643" t="e">
        <f>SUMIF(#REF!,Final!A96,#REF!)</f>
        <v>#REF!</v>
      </c>
      <c r="F96" s="1644" t="e">
        <f>SUMIF(#REF!,Final!A96,#REF!)</f>
        <v>#REF!</v>
      </c>
      <c r="G96" s="1597" t="e">
        <f t="shared" si="4"/>
        <v>#REF!</v>
      </c>
      <c r="H96" s="1644" t="e">
        <f t="shared" si="5"/>
        <v>#REF!</v>
      </c>
      <c r="I96" s="1597" t="e">
        <f t="shared" si="6"/>
        <v>#REF!</v>
      </c>
      <c r="J96" s="1644" t="e">
        <f t="shared" si="7"/>
        <v>#REF!</v>
      </c>
      <c r="M96" s="1545"/>
      <c r="N96" s="1545"/>
    </row>
    <row r="97" spans="1:93" ht="15.5">
      <c r="A97" s="1598">
        <v>10.744999999999999</v>
      </c>
      <c r="B97" s="1599" t="s">
        <v>2091</v>
      </c>
      <c r="C97" s="1643" t="e">
        <f>+SUMIF(#REF!,Final!A97,#REF!)</f>
        <v>#REF!</v>
      </c>
      <c r="D97" s="1597" t="e">
        <f>+SUMIF(#REF!,Final!A97,#REF!)</f>
        <v>#REF!</v>
      </c>
      <c r="E97" s="1643" t="e">
        <f>SUMIF(#REF!,Final!A97,#REF!)</f>
        <v>#REF!</v>
      </c>
      <c r="F97" s="1644" t="e">
        <f>SUMIF(#REF!,Final!A97,#REF!)</f>
        <v>#REF!</v>
      </c>
      <c r="G97" s="1597" t="e">
        <f t="shared" si="4"/>
        <v>#REF!</v>
      </c>
      <c r="H97" s="1644" t="e">
        <f t="shared" si="5"/>
        <v>#REF!</v>
      </c>
      <c r="I97" s="1597" t="e">
        <f t="shared" si="6"/>
        <v>#REF!</v>
      </c>
      <c r="J97" s="1644" t="e">
        <f t="shared" si="7"/>
        <v>#REF!</v>
      </c>
      <c r="M97" s="1545"/>
      <c r="N97" s="1545"/>
    </row>
    <row r="98" spans="1:93" ht="15.5">
      <c r="A98" s="1598">
        <v>10.75</v>
      </c>
      <c r="B98" s="1599" t="s">
        <v>116</v>
      </c>
      <c r="C98" s="1643" t="e">
        <f>+SUMIF(#REF!,Final!A98,#REF!)</f>
        <v>#REF!</v>
      </c>
      <c r="D98" s="1597" t="e">
        <f>+SUMIF(#REF!,Final!A98,#REF!)</f>
        <v>#REF!</v>
      </c>
      <c r="E98" s="1643" t="e">
        <f>SUMIF(#REF!,Final!A98,#REF!)</f>
        <v>#REF!</v>
      </c>
      <c r="F98" s="1644" t="e">
        <f>SUMIF(#REF!,Final!A98,#REF!)</f>
        <v>#REF!</v>
      </c>
      <c r="G98" s="1597" t="e">
        <f t="shared" si="4"/>
        <v>#REF!</v>
      </c>
      <c r="H98" s="1644" t="e">
        <f t="shared" si="5"/>
        <v>#REF!</v>
      </c>
      <c r="I98" s="1597" t="e">
        <f t="shared" si="6"/>
        <v>#REF!</v>
      </c>
      <c r="J98" s="1644" t="e">
        <f t="shared" si="7"/>
        <v>#REF!</v>
      </c>
      <c r="M98" s="1545"/>
      <c r="N98" s="1545"/>
    </row>
    <row r="99" spans="1:93" ht="15.5">
      <c r="A99" s="1598">
        <v>10.781000000000001</v>
      </c>
      <c r="B99" s="1599" t="s">
        <v>2092</v>
      </c>
      <c r="C99" s="1643" t="e">
        <f>+SUMIF(#REF!,Final!A99,#REF!)</f>
        <v>#REF!</v>
      </c>
      <c r="D99" s="1597" t="e">
        <f>+SUMIF(#REF!,Final!A99,#REF!)</f>
        <v>#REF!</v>
      </c>
      <c r="E99" s="1643" t="e">
        <f>SUMIF(#REF!,Final!A99,#REF!)</f>
        <v>#REF!</v>
      </c>
      <c r="F99" s="1644" t="e">
        <f>SUMIF(#REF!,Final!A99,#REF!)</f>
        <v>#REF!</v>
      </c>
      <c r="G99" s="1597" t="e">
        <f t="shared" si="4"/>
        <v>#REF!</v>
      </c>
      <c r="H99" s="1644" t="e">
        <f t="shared" si="5"/>
        <v>#REF!</v>
      </c>
      <c r="I99" s="1597" t="e">
        <f t="shared" si="6"/>
        <v>#REF!</v>
      </c>
      <c r="J99" s="1644" t="e">
        <f t="shared" si="7"/>
        <v>#REF!</v>
      </c>
      <c r="M99" s="1545"/>
      <c r="N99" s="1545"/>
    </row>
    <row r="100" spans="1:93" s="1552" customFormat="1" ht="15.5">
      <c r="A100" s="1598"/>
      <c r="B100" s="1599"/>
      <c r="C100" s="1643" t="e">
        <f>+SUMIF(#REF!,Final!A100,#REF!)</f>
        <v>#REF!</v>
      </c>
      <c r="D100" s="1597" t="e">
        <f>+SUMIF(#REF!,Final!A100,#REF!)</f>
        <v>#REF!</v>
      </c>
      <c r="E100" s="1643" t="e">
        <f>SUMIF(#REF!,Final!A100,#REF!)</f>
        <v>#REF!</v>
      </c>
      <c r="F100" s="1644" t="e">
        <f>SUMIF(#REF!,Final!A100,#REF!)</f>
        <v>#REF!</v>
      </c>
      <c r="G100" s="1597" t="e">
        <f t="shared" si="4"/>
        <v>#REF!</v>
      </c>
      <c r="H100" s="1644" t="e">
        <f t="shared" si="5"/>
        <v>#REF!</v>
      </c>
      <c r="I100" s="1597" t="e">
        <f t="shared" si="6"/>
        <v>#REF!</v>
      </c>
      <c r="J100" s="1644" t="e">
        <f t="shared" si="7"/>
        <v>#REF!</v>
      </c>
      <c r="K100" s="1539"/>
      <c r="L100" s="1539"/>
      <c r="M100" s="1545"/>
      <c r="N100" s="1545"/>
      <c r="O100" s="1539"/>
      <c r="P100" s="1539"/>
      <c r="Q100" s="1539"/>
      <c r="R100" s="1539"/>
      <c r="S100" s="1539"/>
      <c r="T100" s="1539"/>
      <c r="U100" s="1539"/>
      <c r="V100" s="1539"/>
      <c r="W100" s="1539"/>
      <c r="X100" s="1539"/>
      <c r="Y100" s="1539"/>
      <c r="Z100" s="1539"/>
      <c r="AA100" s="1539"/>
      <c r="AB100" s="1539"/>
      <c r="AC100" s="1539"/>
      <c r="AD100" s="1539"/>
      <c r="AE100" s="1539"/>
      <c r="AF100" s="1539"/>
      <c r="AG100" s="1539"/>
      <c r="AH100" s="1539"/>
      <c r="AI100" s="1539"/>
      <c r="AJ100" s="1539"/>
      <c r="AK100" s="1539"/>
      <c r="AL100" s="1539"/>
      <c r="AM100" s="1539"/>
      <c r="AN100" s="1539"/>
      <c r="AO100" s="1539"/>
      <c r="AP100" s="1539"/>
      <c r="AQ100" s="1539"/>
      <c r="AR100" s="1539"/>
      <c r="AS100" s="1539"/>
      <c r="AT100" s="1539"/>
      <c r="AU100" s="1539"/>
      <c r="AV100" s="1539"/>
      <c r="AW100" s="1539"/>
      <c r="AX100" s="1539"/>
      <c r="AY100" s="1539"/>
      <c r="AZ100" s="1539"/>
      <c r="BA100" s="1539"/>
      <c r="BB100" s="1539"/>
      <c r="BC100" s="1539"/>
      <c r="BD100" s="1539"/>
      <c r="BE100" s="1539"/>
      <c r="BF100" s="1539"/>
      <c r="BG100" s="1539"/>
      <c r="BH100" s="1539"/>
      <c r="BI100" s="1539"/>
      <c r="BJ100" s="1539"/>
      <c r="BK100" s="1539"/>
      <c r="BL100" s="1539"/>
      <c r="BM100" s="1539"/>
      <c r="BN100" s="1539"/>
      <c r="BO100" s="1539"/>
      <c r="BP100" s="1539"/>
      <c r="BQ100" s="1539"/>
      <c r="BR100" s="1539"/>
      <c r="BS100" s="1539"/>
      <c r="BT100" s="1539"/>
      <c r="BU100" s="1539"/>
      <c r="BV100" s="1539"/>
      <c r="BW100" s="1539"/>
      <c r="BX100" s="1539"/>
      <c r="BY100" s="1539"/>
      <c r="BZ100" s="1539"/>
      <c r="CA100" s="1539"/>
      <c r="CB100" s="1539"/>
      <c r="CC100" s="1539"/>
      <c r="CD100" s="1539"/>
      <c r="CE100" s="1539"/>
      <c r="CF100" s="1539"/>
      <c r="CG100" s="1539"/>
      <c r="CH100" s="1539"/>
      <c r="CI100" s="1539"/>
      <c r="CJ100" s="1539"/>
      <c r="CK100" s="1539"/>
      <c r="CL100" s="1539"/>
      <c r="CM100" s="1539"/>
      <c r="CN100" s="1539"/>
      <c r="CO100" s="1539"/>
    </row>
    <row r="101" spans="1:93" s="1552" customFormat="1" ht="15.5">
      <c r="A101" s="1598"/>
      <c r="B101" s="1599"/>
      <c r="C101" s="1643" t="e">
        <f>+SUMIF(#REF!,Final!A101,#REF!)</f>
        <v>#REF!</v>
      </c>
      <c r="D101" s="1597" t="e">
        <f>+SUMIF(#REF!,Final!A101,#REF!)</f>
        <v>#REF!</v>
      </c>
      <c r="E101" s="1643" t="e">
        <f>SUMIF(#REF!,Final!A101,#REF!)</f>
        <v>#REF!</v>
      </c>
      <c r="F101" s="1644" t="e">
        <f>SUMIF(#REF!,Final!A101,#REF!)</f>
        <v>#REF!</v>
      </c>
      <c r="G101" s="1597" t="e">
        <f t="shared" si="4"/>
        <v>#REF!</v>
      </c>
      <c r="H101" s="1644" t="e">
        <f t="shared" si="5"/>
        <v>#REF!</v>
      </c>
      <c r="I101" s="1597" t="e">
        <f t="shared" si="6"/>
        <v>#REF!</v>
      </c>
      <c r="J101" s="1644" t="e">
        <f t="shared" si="7"/>
        <v>#REF!</v>
      </c>
      <c r="K101" s="1539"/>
      <c r="L101" s="1539"/>
      <c r="M101" s="1545"/>
      <c r="N101" s="1545"/>
      <c r="O101" s="1539"/>
      <c r="P101" s="1539"/>
      <c r="Q101" s="1539"/>
      <c r="R101" s="1539"/>
      <c r="S101" s="1539"/>
      <c r="T101" s="1539"/>
      <c r="U101" s="1539"/>
      <c r="V101" s="1539"/>
      <c r="W101" s="1539"/>
      <c r="X101" s="1539"/>
      <c r="Y101" s="1539"/>
      <c r="Z101" s="1539"/>
      <c r="AA101" s="1539"/>
      <c r="AB101" s="1539"/>
      <c r="AC101" s="1539"/>
      <c r="AD101" s="1539"/>
      <c r="AE101" s="1539"/>
      <c r="AF101" s="1539"/>
      <c r="AG101" s="1539"/>
      <c r="AH101" s="1539"/>
      <c r="AI101" s="1539"/>
      <c r="AJ101" s="1539"/>
      <c r="AK101" s="1539"/>
      <c r="AL101" s="1539"/>
      <c r="AM101" s="1539"/>
      <c r="AN101" s="1539"/>
      <c r="AO101" s="1539"/>
      <c r="AP101" s="1539"/>
      <c r="AQ101" s="1539"/>
      <c r="AR101" s="1539"/>
      <c r="AS101" s="1539"/>
      <c r="AT101" s="1539"/>
      <c r="AU101" s="1539"/>
      <c r="AV101" s="1539"/>
      <c r="AW101" s="1539"/>
      <c r="AX101" s="1539"/>
      <c r="AY101" s="1539"/>
      <c r="AZ101" s="1539"/>
      <c r="BA101" s="1539"/>
      <c r="BB101" s="1539"/>
      <c r="BC101" s="1539"/>
      <c r="BD101" s="1539"/>
      <c r="BE101" s="1539"/>
      <c r="BF101" s="1539"/>
      <c r="BG101" s="1539"/>
      <c r="BH101" s="1539"/>
      <c r="BI101" s="1539"/>
      <c r="BJ101" s="1539"/>
      <c r="BK101" s="1539"/>
      <c r="BL101" s="1539"/>
      <c r="BM101" s="1539"/>
      <c r="BN101" s="1539"/>
      <c r="BO101" s="1539"/>
      <c r="BP101" s="1539"/>
      <c r="BQ101" s="1539"/>
      <c r="BR101" s="1539"/>
      <c r="BS101" s="1539"/>
      <c r="BT101" s="1539"/>
      <c r="BU101" s="1539"/>
      <c r="BV101" s="1539"/>
      <c r="BW101" s="1539"/>
      <c r="BX101" s="1539"/>
      <c r="BY101" s="1539"/>
      <c r="BZ101" s="1539"/>
      <c r="CA101" s="1539"/>
      <c r="CB101" s="1539"/>
      <c r="CC101" s="1539"/>
      <c r="CD101" s="1539"/>
      <c r="CE101" s="1539"/>
      <c r="CF101" s="1539"/>
      <c r="CG101" s="1539"/>
      <c r="CH101" s="1539"/>
      <c r="CI101" s="1539"/>
      <c r="CJ101" s="1539"/>
      <c r="CK101" s="1539"/>
      <c r="CL101" s="1539"/>
      <c r="CM101" s="1539"/>
      <c r="CN101" s="1539"/>
      <c r="CO101" s="1539"/>
    </row>
    <row r="102" spans="1:93" s="1552" customFormat="1" ht="15.5">
      <c r="A102" s="1598"/>
      <c r="B102" s="1599"/>
      <c r="C102" s="1643" t="e">
        <f>+SUMIF(#REF!,Final!A102,#REF!)</f>
        <v>#REF!</v>
      </c>
      <c r="D102" s="1597" t="e">
        <f>+SUMIF(#REF!,Final!A102,#REF!)</f>
        <v>#REF!</v>
      </c>
      <c r="E102" s="1643" t="e">
        <f>SUMIF(#REF!,Final!A102,#REF!)</f>
        <v>#REF!</v>
      </c>
      <c r="F102" s="1644" t="e">
        <f>SUMIF(#REF!,Final!A102,#REF!)</f>
        <v>#REF!</v>
      </c>
      <c r="G102" s="1597" t="e">
        <f t="shared" si="4"/>
        <v>#REF!</v>
      </c>
      <c r="H102" s="1644" t="e">
        <f t="shared" si="5"/>
        <v>#REF!</v>
      </c>
      <c r="I102" s="1597" t="e">
        <f t="shared" si="6"/>
        <v>#REF!</v>
      </c>
      <c r="J102" s="1644" t="e">
        <f t="shared" si="7"/>
        <v>#REF!</v>
      </c>
      <c r="K102" s="1539"/>
      <c r="L102" s="1539"/>
      <c r="M102" s="1545"/>
      <c r="N102" s="1545"/>
      <c r="O102" s="1539"/>
      <c r="P102" s="1539"/>
      <c r="Q102" s="1539"/>
      <c r="R102" s="1539"/>
      <c r="S102" s="1539"/>
      <c r="T102" s="1539"/>
      <c r="U102" s="1539"/>
      <c r="V102" s="1539"/>
      <c r="W102" s="1539"/>
      <c r="X102" s="1539"/>
      <c r="Y102" s="1539"/>
      <c r="Z102" s="1539"/>
      <c r="AA102" s="1539"/>
      <c r="AB102" s="1539"/>
      <c r="AC102" s="1539"/>
      <c r="AD102" s="1539"/>
      <c r="AE102" s="1539"/>
      <c r="AF102" s="1539"/>
      <c r="AG102" s="1539"/>
      <c r="AH102" s="1539"/>
      <c r="AI102" s="1539"/>
      <c r="AJ102" s="1539"/>
      <c r="AK102" s="1539"/>
      <c r="AL102" s="1539"/>
      <c r="AM102" s="1539"/>
      <c r="AN102" s="1539"/>
      <c r="AO102" s="1539"/>
      <c r="AP102" s="1539"/>
      <c r="AQ102" s="1539"/>
      <c r="AR102" s="1539"/>
      <c r="AS102" s="1539"/>
      <c r="AT102" s="1539"/>
      <c r="AU102" s="1539"/>
      <c r="AV102" s="1539"/>
      <c r="AW102" s="1539"/>
      <c r="AX102" s="1539"/>
      <c r="AY102" s="1539"/>
      <c r="AZ102" s="1539"/>
      <c r="BA102" s="1539"/>
      <c r="BB102" s="1539"/>
      <c r="BC102" s="1539"/>
      <c r="BD102" s="1539"/>
      <c r="BE102" s="1539"/>
      <c r="BF102" s="1539"/>
      <c r="BG102" s="1539"/>
      <c r="BH102" s="1539"/>
      <c r="BI102" s="1539"/>
      <c r="BJ102" s="1539"/>
      <c r="BK102" s="1539"/>
      <c r="BL102" s="1539"/>
      <c r="BM102" s="1539"/>
      <c r="BN102" s="1539"/>
      <c r="BO102" s="1539"/>
      <c r="BP102" s="1539"/>
      <c r="BQ102" s="1539"/>
      <c r="BR102" s="1539"/>
      <c r="BS102" s="1539"/>
      <c r="BT102" s="1539"/>
      <c r="BU102" s="1539"/>
      <c r="BV102" s="1539"/>
      <c r="BW102" s="1539"/>
      <c r="BX102" s="1539"/>
      <c r="BY102" s="1539"/>
      <c r="BZ102" s="1539"/>
      <c r="CA102" s="1539"/>
      <c r="CB102" s="1539"/>
      <c r="CC102" s="1539"/>
      <c r="CD102" s="1539"/>
      <c r="CE102" s="1539"/>
      <c r="CF102" s="1539"/>
      <c r="CG102" s="1539"/>
      <c r="CH102" s="1539"/>
      <c r="CI102" s="1539"/>
      <c r="CJ102" s="1539"/>
      <c r="CK102" s="1539"/>
      <c r="CL102" s="1539"/>
      <c r="CM102" s="1539"/>
      <c r="CN102" s="1539"/>
      <c r="CO102" s="1539"/>
    </row>
    <row r="103" spans="1:93" s="1542" customFormat="1" ht="15.5">
      <c r="A103" s="1598" t="s">
        <v>1407</v>
      </c>
      <c r="B103" s="1599" t="s">
        <v>2093</v>
      </c>
      <c r="C103" s="1643" t="e">
        <f>+SUMIF(#REF!,Final!A103,#REF!)</f>
        <v>#REF!</v>
      </c>
      <c r="D103" s="1597" t="e">
        <f>+SUMIF(#REF!,Final!A103,#REF!)</f>
        <v>#REF!</v>
      </c>
      <c r="E103" s="1643" t="e">
        <f>SUMIF(#REF!,Final!A103,#REF!)</f>
        <v>#REF!</v>
      </c>
      <c r="F103" s="1644" t="e">
        <f>SUMIF(#REF!,Final!A103,#REF!)</f>
        <v>#REF!</v>
      </c>
      <c r="G103" s="1597" t="e">
        <f t="shared" si="4"/>
        <v>#REF!</v>
      </c>
      <c r="H103" s="1644" t="e">
        <f t="shared" si="5"/>
        <v>#REF!</v>
      </c>
      <c r="I103" s="1597" t="e">
        <f t="shared" si="6"/>
        <v>#REF!</v>
      </c>
      <c r="J103" s="1644" t="e">
        <f t="shared" si="7"/>
        <v>#REF!</v>
      </c>
      <c r="K103" s="1539"/>
      <c r="L103" s="1539"/>
      <c r="M103" s="1545"/>
      <c r="N103" s="1545"/>
      <c r="O103" s="1539"/>
      <c r="P103" s="1539"/>
      <c r="Q103" s="1539"/>
      <c r="R103" s="1539"/>
      <c r="S103" s="1539"/>
      <c r="T103" s="1539"/>
      <c r="U103" s="1539"/>
      <c r="V103" s="1539"/>
      <c r="W103" s="1539"/>
      <c r="X103" s="1539"/>
      <c r="Y103" s="1539"/>
      <c r="Z103" s="1539"/>
      <c r="AA103" s="1539"/>
      <c r="AB103" s="1539"/>
      <c r="AC103" s="1539"/>
      <c r="AD103" s="1539"/>
      <c r="AE103" s="1539"/>
      <c r="AF103" s="1539"/>
      <c r="AG103" s="1539"/>
      <c r="AH103" s="1539"/>
      <c r="AI103" s="1539"/>
      <c r="AJ103" s="1539"/>
      <c r="AK103" s="1539"/>
      <c r="AL103" s="1539"/>
      <c r="AM103" s="1539"/>
      <c r="AN103" s="1539"/>
      <c r="AO103" s="1539"/>
      <c r="AP103" s="1539"/>
      <c r="AQ103" s="1539"/>
      <c r="AR103" s="1539"/>
      <c r="AS103" s="1539"/>
      <c r="AT103" s="1539"/>
      <c r="AU103" s="1539"/>
      <c r="AV103" s="1539"/>
      <c r="AW103" s="1539"/>
      <c r="AX103" s="1539"/>
      <c r="AY103" s="1539"/>
      <c r="AZ103" s="1539"/>
      <c r="BA103" s="1539"/>
      <c r="BB103" s="1539"/>
      <c r="BC103" s="1539"/>
      <c r="BD103" s="1539"/>
      <c r="BE103" s="1539"/>
      <c r="BF103" s="1539"/>
      <c r="BG103" s="1539"/>
      <c r="BH103" s="1539"/>
      <c r="BI103" s="1539"/>
      <c r="BJ103" s="1539"/>
      <c r="BK103" s="1539"/>
      <c r="BL103" s="1539"/>
      <c r="BM103" s="1539"/>
      <c r="BN103" s="1539"/>
      <c r="BO103" s="1539"/>
      <c r="BP103" s="1539"/>
      <c r="BQ103" s="1539"/>
      <c r="BR103" s="1539"/>
      <c r="BS103" s="1539"/>
      <c r="BT103" s="1539"/>
      <c r="BU103" s="1539"/>
      <c r="BV103" s="1539"/>
      <c r="BW103" s="1539"/>
      <c r="BX103" s="1539"/>
      <c r="BY103" s="1539"/>
      <c r="BZ103" s="1539"/>
      <c r="CA103" s="1539"/>
      <c r="CB103" s="1539"/>
      <c r="CC103" s="1539"/>
      <c r="CD103" s="1539"/>
      <c r="CE103" s="1539"/>
      <c r="CF103" s="1539"/>
      <c r="CG103" s="1539"/>
      <c r="CH103" s="1539"/>
      <c r="CI103" s="1539"/>
      <c r="CJ103" s="1539"/>
      <c r="CK103" s="1539"/>
      <c r="CL103" s="1539"/>
      <c r="CM103" s="1539"/>
      <c r="CN103" s="1539"/>
      <c r="CO103" s="1539"/>
    </row>
    <row r="104" spans="1:93" ht="15.5">
      <c r="A104" s="1598">
        <v>10.802</v>
      </c>
      <c r="B104" s="1599" t="s">
        <v>2094</v>
      </c>
      <c r="C104" s="1643" t="e">
        <f>+SUMIF(#REF!,Final!A104,#REF!)</f>
        <v>#REF!</v>
      </c>
      <c r="D104" s="1597" t="e">
        <f>+SUMIF(#REF!,Final!A104,#REF!)</f>
        <v>#REF!</v>
      </c>
      <c r="E104" s="1643" t="e">
        <f>SUMIF(#REF!,Final!A104,#REF!)</f>
        <v>#REF!</v>
      </c>
      <c r="F104" s="1644" t="e">
        <f>SUMIF(#REF!,Final!A104,#REF!)</f>
        <v>#REF!</v>
      </c>
      <c r="G104" s="1597" t="e">
        <f t="shared" si="4"/>
        <v>#REF!</v>
      </c>
      <c r="H104" s="1644" t="e">
        <f t="shared" si="5"/>
        <v>#REF!</v>
      </c>
      <c r="I104" s="1597" t="e">
        <f t="shared" si="6"/>
        <v>#REF!</v>
      </c>
      <c r="J104" s="1644" t="e">
        <f t="shared" si="7"/>
        <v>#REF!</v>
      </c>
      <c r="M104" s="1545"/>
      <c r="N104" s="1545"/>
    </row>
    <row r="105" spans="1:93" s="1542" customFormat="1" ht="15.5">
      <c r="A105" s="1598">
        <v>10.81</v>
      </c>
      <c r="B105" s="1599" t="s">
        <v>2095</v>
      </c>
      <c r="C105" s="1643" t="e">
        <f>+SUMIF(#REF!,Final!A105,#REF!)</f>
        <v>#REF!</v>
      </c>
      <c r="D105" s="1597" t="e">
        <f>+SUMIF(#REF!,Final!A105,#REF!)</f>
        <v>#REF!</v>
      </c>
      <c r="E105" s="1643" t="e">
        <f>SUMIF(#REF!,Final!A105,#REF!)</f>
        <v>#REF!</v>
      </c>
      <c r="F105" s="1644" t="e">
        <f>SUMIF(#REF!,Final!A105,#REF!)</f>
        <v>#REF!</v>
      </c>
      <c r="G105" s="1597" t="e">
        <f t="shared" si="4"/>
        <v>#REF!</v>
      </c>
      <c r="H105" s="1644" t="e">
        <f t="shared" si="5"/>
        <v>#REF!</v>
      </c>
      <c r="I105" s="1597" t="e">
        <f t="shared" si="6"/>
        <v>#REF!</v>
      </c>
      <c r="J105" s="1644" t="e">
        <f t="shared" si="7"/>
        <v>#REF!</v>
      </c>
      <c r="K105" s="1539"/>
      <c r="L105" s="1539"/>
      <c r="M105" s="1545"/>
      <c r="N105" s="1545"/>
      <c r="O105" s="1539"/>
      <c r="P105" s="1539"/>
      <c r="Q105" s="1539"/>
      <c r="R105" s="1539"/>
      <c r="S105" s="1539"/>
      <c r="T105" s="1539"/>
      <c r="U105" s="1539"/>
      <c r="V105" s="1539"/>
      <c r="W105" s="1539"/>
      <c r="X105" s="1539"/>
      <c r="Y105" s="1539"/>
      <c r="Z105" s="1539"/>
      <c r="AA105" s="1539"/>
      <c r="AB105" s="1539"/>
      <c r="AC105" s="1539"/>
      <c r="AD105" s="1539"/>
      <c r="AE105" s="1539"/>
      <c r="AF105" s="1539"/>
      <c r="AG105" s="1539"/>
      <c r="AH105" s="1539"/>
      <c r="AI105" s="1539"/>
      <c r="AJ105" s="1539"/>
      <c r="AK105" s="1539"/>
      <c r="AL105" s="1539"/>
      <c r="AM105" s="1539"/>
      <c r="AN105" s="1539"/>
      <c r="AO105" s="1539"/>
      <c r="AP105" s="1539"/>
      <c r="AQ105" s="1539"/>
      <c r="AR105" s="1539"/>
      <c r="AS105" s="1539"/>
      <c r="AT105" s="1539"/>
      <c r="AU105" s="1539"/>
      <c r="AV105" s="1539"/>
      <c r="AW105" s="1539"/>
      <c r="AX105" s="1539"/>
      <c r="AY105" s="1539"/>
      <c r="AZ105" s="1539"/>
      <c r="BA105" s="1539"/>
      <c r="BB105" s="1539"/>
      <c r="BC105" s="1539"/>
      <c r="BD105" s="1539"/>
      <c r="BE105" s="1539"/>
      <c r="BF105" s="1539"/>
      <c r="BG105" s="1539"/>
      <c r="BH105" s="1539"/>
      <c r="BI105" s="1539"/>
      <c r="BJ105" s="1539"/>
      <c r="BK105" s="1539"/>
      <c r="BL105" s="1539"/>
      <c r="BM105" s="1539"/>
      <c r="BN105" s="1539"/>
      <c r="BO105" s="1539"/>
      <c r="BP105" s="1539"/>
      <c r="BQ105" s="1539"/>
      <c r="BR105" s="1539"/>
      <c r="BS105" s="1539"/>
      <c r="BT105" s="1539"/>
      <c r="BU105" s="1539"/>
      <c r="BV105" s="1539"/>
      <c r="BW105" s="1539"/>
      <c r="BX105" s="1539"/>
      <c r="BY105" s="1539"/>
      <c r="BZ105" s="1539"/>
      <c r="CA105" s="1539"/>
      <c r="CB105" s="1539"/>
      <c r="CC105" s="1539"/>
      <c r="CD105" s="1539"/>
      <c r="CE105" s="1539"/>
      <c r="CF105" s="1539"/>
      <c r="CG105" s="1539"/>
      <c r="CH105" s="1539"/>
      <c r="CI105" s="1539"/>
      <c r="CJ105" s="1539"/>
      <c r="CK105" s="1539"/>
      <c r="CL105" s="1539"/>
      <c r="CM105" s="1539"/>
      <c r="CN105" s="1539"/>
      <c r="CO105" s="1539"/>
    </row>
    <row r="106" spans="1:93" ht="15.5">
      <c r="A106" s="1598">
        <v>10.82</v>
      </c>
      <c r="B106" s="1599" t="s">
        <v>2096</v>
      </c>
      <c r="C106" s="1643" t="e">
        <f>+SUMIF(#REF!,Final!A106,#REF!)</f>
        <v>#REF!</v>
      </c>
      <c r="D106" s="1597" t="e">
        <f>+SUMIF(#REF!,Final!A106,#REF!)</f>
        <v>#REF!</v>
      </c>
      <c r="E106" s="1643" t="e">
        <f>SUMIF(#REF!,Final!A106,#REF!)</f>
        <v>#REF!</v>
      </c>
      <c r="F106" s="1644" t="e">
        <f>SUMIF(#REF!,Final!A106,#REF!)</f>
        <v>#REF!</v>
      </c>
      <c r="G106" s="1597" t="e">
        <f t="shared" si="4"/>
        <v>#REF!</v>
      </c>
      <c r="H106" s="1644" t="e">
        <f t="shared" si="5"/>
        <v>#REF!</v>
      </c>
      <c r="I106" s="1597" t="e">
        <f t="shared" si="6"/>
        <v>#REF!</v>
      </c>
      <c r="J106" s="1644" t="e">
        <f t="shared" si="7"/>
        <v>#REF!</v>
      </c>
      <c r="M106" s="1545"/>
      <c r="N106" s="1545"/>
    </row>
    <row r="107" spans="1:93" ht="15.5">
      <c r="A107" s="1598">
        <v>10.826000000000001</v>
      </c>
      <c r="B107" s="1599" t="s">
        <v>2097</v>
      </c>
      <c r="C107" s="1643" t="e">
        <f>+SUMIF(#REF!,Final!A107,#REF!)</f>
        <v>#REF!</v>
      </c>
      <c r="D107" s="1597" t="e">
        <f>+SUMIF(#REF!,Final!A107,#REF!)</f>
        <v>#REF!</v>
      </c>
      <c r="E107" s="1643" t="e">
        <f>SUMIF(#REF!,Final!A107,#REF!)</f>
        <v>#REF!</v>
      </c>
      <c r="F107" s="1644" t="e">
        <f>SUMIF(#REF!,Final!A107,#REF!)</f>
        <v>#REF!</v>
      </c>
      <c r="G107" s="1597" t="e">
        <f t="shared" si="4"/>
        <v>#REF!</v>
      </c>
      <c r="H107" s="1644" t="e">
        <f t="shared" si="5"/>
        <v>#REF!</v>
      </c>
      <c r="I107" s="1597" t="e">
        <f t="shared" si="6"/>
        <v>#REF!</v>
      </c>
      <c r="J107" s="1644" t="e">
        <f t="shared" si="7"/>
        <v>#REF!</v>
      </c>
      <c r="M107" s="1545"/>
      <c r="N107" s="1545"/>
    </row>
    <row r="108" spans="1:93" ht="15.5">
      <c r="A108" s="1598">
        <v>10.83</v>
      </c>
      <c r="B108" s="1599" t="s">
        <v>2098</v>
      </c>
      <c r="C108" s="1643" t="e">
        <f>+SUMIF(#REF!,Final!A108,#REF!)</f>
        <v>#REF!</v>
      </c>
      <c r="D108" s="1597" t="e">
        <f>+SUMIF(#REF!,Final!A108,#REF!)</f>
        <v>#REF!</v>
      </c>
      <c r="E108" s="1643" t="e">
        <f>SUMIF(#REF!,Final!A108,#REF!)</f>
        <v>#REF!</v>
      </c>
      <c r="F108" s="1644" t="e">
        <f>SUMIF(#REF!,Final!A108,#REF!)</f>
        <v>#REF!</v>
      </c>
      <c r="G108" s="1597" t="e">
        <f t="shared" si="4"/>
        <v>#REF!</v>
      </c>
      <c r="H108" s="1644" t="e">
        <f t="shared" si="5"/>
        <v>#REF!</v>
      </c>
      <c r="I108" s="1597" t="e">
        <f t="shared" si="6"/>
        <v>#REF!</v>
      </c>
      <c r="J108" s="1644" t="e">
        <f t="shared" si="7"/>
        <v>#REF!</v>
      </c>
      <c r="M108" s="1545"/>
      <c r="N108" s="1545"/>
    </row>
    <row r="109" spans="1:93" ht="15.5">
      <c r="A109" s="1598">
        <v>10.84</v>
      </c>
      <c r="B109" s="1599" t="s">
        <v>2099</v>
      </c>
      <c r="C109" s="1643" t="e">
        <f>+SUMIF(#REF!,Final!A109,#REF!)</f>
        <v>#REF!</v>
      </c>
      <c r="D109" s="1597" t="e">
        <f>+SUMIF(#REF!,Final!A109,#REF!)</f>
        <v>#REF!</v>
      </c>
      <c r="E109" s="1643" t="e">
        <f>SUMIF(#REF!,Final!A109,#REF!)</f>
        <v>#REF!</v>
      </c>
      <c r="F109" s="1644" t="e">
        <f>SUMIF(#REF!,Final!A109,#REF!)</f>
        <v>#REF!</v>
      </c>
      <c r="G109" s="1597" t="e">
        <f t="shared" si="4"/>
        <v>#REF!</v>
      </c>
      <c r="H109" s="1644" t="e">
        <f t="shared" si="5"/>
        <v>#REF!</v>
      </c>
      <c r="I109" s="1597" t="e">
        <f t="shared" si="6"/>
        <v>#REF!</v>
      </c>
      <c r="J109" s="1644" t="e">
        <f t="shared" si="7"/>
        <v>#REF!</v>
      </c>
      <c r="M109" s="1545"/>
      <c r="N109" s="1545"/>
    </row>
    <row r="110" spans="1:93" ht="15.5">
      <c r="A110" s="1598" t="s">
        <v>2100</v>
      </c>
      <c r="B110" s="1599" t="s">
        <v>2101</v>
      </c>
      <c r="C110" s="1643" t="e">
        <f>+SUMIF(#REF!,Final!A110,#REF!)</f>
        <v>#REF!</v>
      </c>
      <c r="D110" s="1597" t="e">
        <f>+SUMIF(#REF!,Final!A110,#REF!)</f>
        <v>#REF!</v>
      </c>
      <c r="E110" s="1643" t="e">
        <f>SUMIF(#REF!,Final!A110,#REF!)</f>
        <v>#REF!</v>
      </c>
      <c r="F110" s="1644" t="e">
        <f>SUMIF(#REF!,Final!A110,#REF!)</f>
        <v>#REF!</v>
      </c>
      <c r="G110" s="1597" t="e">
        <f t="shared" si="4"/>
        <v>#REF!</v>
      </c>
      <c r="H110" s="1644" t="e">
        <f t="shared" si="5"/>
        <v>#REF!</v>
      </c>
      <c r="I110" s="1597" t="e">
        <f t="shared" si="6"/>
        <v>#REF!</v>
      </c>
      <c r="J110" s="1644" t="e">
        <f t="shared" si="7"/>
        <v>#REF!</v>
      </c>
      <c r="M110" s="1545"/>
      <c r="N110" s="1545"/>
    </row>
    <row r="111" spans="1:93" ht="15.5">
      <c r="A111" s="1598">
        <v>10.85</v>
      </c>
      <c r="B111" s="1599" t="s">
        <v>2102</v>
      </c>
      <c r="C111" s="1643" t="e">
        <f>+SUMIF(#REF!,Final!A111,#REF!)</f>
        <v>#REF!</v>
      </c>
      <c r="D111" s="1597" t="e">
        <f>+SUMIF(#REF!,Final!A111,#REF!)</f>
        <v>#REF!</v>
      </c>
      <c r="E111" s="1643" t="e">
        <f>SUMIF(#REF!,Final!A111,#REF!)</f>
        <v>#REF!</v>
      </c>
      <c r="F111" s="1644" t="e">
        <f>SUMIF(#REF!,Final!A111,#REF!)</f>
        <v>#REF!</v>
      </c>
      <c r="G111" s="1597" t="e">
        <f t="shared" si="4"/>
        <v>#REF!</v>
      </c>
      <c r="H111" s="1644" t="e">
        <f t="shared" si="5"/>
        <v>#REF!</v>
      </c>
      <c r="I111" s="1597" t="e">
        <f t="shared" si="6"/>
        <v>#REF!</v>
      </c>
      <c r="J111" s="1644" t="e">
        <f t="shared" si="7"/>
        <v>#REF!</v>
      </c>
      <c r="M111" s="1545"/>
      <c r="N111" s="1545"/>
    </row>
    <row r="112" spans="1:93" ht="15.5">
      <c r="A112" s="1598">
        <v>10.86</v>
      </c>
      <c r="B112" s="1599" t="s">
        <v>2103</v>
      </c>
      <c r="C112" s="1643" t="e">
        <f>+SUMIF(#REF!,Final!A112,#REF!)</f>
        <v>#REF!</v>
      </c>
      <c r="D112" s="1597" t="e">
        <f>+SUMIF(#REF!,Final!A112,#REF!)</f>
        <v>#REF!</v>
      </c>
      <c r="E112" s="1643" t="e">
        <f>SUMIF(#REF!,Final!A112,#REF!)</f>
        <v>#REF!</v>
      </c>
      <c r="F112" s="1644" t="e">
        <f>SUMIF(#REF!,Final!A112,#REF!)</f>
        <v>#REF!</v>
      </c>
      <c r="G112" s="1597" t="e">
        <f t="shared" si="4"/>
        <v>#REF!</v>
      </c>
      <c r="H112" s="1644" t="e">
        <f t="shared" si="5"/>
        <v>#REF!</v>
      </c>
      <c r="I112" s="1597" t="e">
        <f t="shared" si="6"/>
        <v>#REF!</v>
      </c>
      <c r="J112" s="1644" t="e">
        <f t="shared" si="7"/>
        <v>#REF!</v>
      </c>
      <c r="M112" s="1545"/>
      <c r="N112" s="1545"/>
    </row>
    <row r="113" spans="1:93" ht="15.5">
      <c r="A113" s="1598">
        <v>10.862</v>
      </c>
      <c r="B113" s="1599" t="s">
        <v>2094</v>
      </c>
      <c r="C113" s="1643" t="e">
        <f>+SUMIF(#REF!,Final!A113,#REF!)</f>
        <v>#REF!</v>
      </c>
      <c r="D113" s="1597" t="e">
        <f>+SUMIF(#REF!,Final!A113,#REF!)</f>
        <v>#REF!</v>
      </c>
      <c r="E113" s="1643" t="e">
        <f>SUMIF(#REF!,Final!A113,#REF!)</f>
        <v>#REF!</v>
      </c>
      <c r="F113" s="1644" t="e">
        <f>SUMIF(#REF!,Final!A113,#REF!)</f>
        <v>#REF!</v>
      </c>
      <c r="G113" s="1597" t="e">
        <f t="shared" si="4"/>
        <v>#REF!</v>
      </c>
      <c r="H113" s="1644" t="e">
        <f t="shared" si="5"/>
        <v>#REF!</v>
      </c>
      <c r="I113" s="1597" t="e">
        <f t="shared" si="6"/>
        <v>#REF!</v>
      </c>
      <c r="J113" s="1644" t="e">
        <f t="shared" si="7"/>
        <v>#REF!</v>
      </c>
      <c r="M113" s="1545"/>
      <c r="N113" s="1545"/>
    </row>
    <row r="114" spans="1:93" ht="15.5">
      <c r="A114" s="1598">
        <v>10.87</v>
      </c>
      <c r="B114" s="1599" t="s">
        <v>2104</v>
      </c>
      <c r="C114" s="1643" t="e">
        <f>+SUMIF(#REF!,Final!A114,#REF!)</f>
        <v>#REF!</v>
      </c>
      <c r="D114" s="1597" t="e">
        <f>+SUMIF(#REF!,Final!A114,#REF!)</f>
        <v>#REF!</v>
      </c>
      <c r="E114" s="1643" t="e">
        <f>SUMIF(#REF!,Final!A114,#REF!)</f>
        <v>#REF!</v>
      </c>
      <c r="F114" s="1644" t="e">
        <f>SUMIF(#REF!,Final!A114,#REF!)</f>
        <v>#REF!</v>
      </c>
      <c r="G114" s="1597" t="e">
        <f t="shared" si="4"/>
        <v>#REF!</v>
      </c>
      <c r="H114" s="1644" t="e">
        <f t="shared" si="5"/>
        <v>#REF!</v>
      </c>
      <c r="I114" s="1597" t="e">
        <f t="shared" si="6"/>
        <v>#REF!</v>
      </c>
      <c r="J114" s="1644" t="e">
        <f t="shared" si="7"/>
        <v>#REF!</v>
      </c>
      <c r="M114" s="1545"/>
      <c r="N114" s="1545"/>
    </row>
    <row r="115" spans="1:93" ht="15.5">
      <c r="A115" s="1598">
        <v>10.88</v>
      </c>
      <c r="B115" s="1599" t="s">
        <v>2099</v>
      </c>
      <c r="C115" s="1643" t="e">
        <f>+SUMIF(#REF!,Final!A115,#REF!)</f>
        <v>#REF!</v>
      </c>
      <c r="D115" s="1597" t="e">
        <f>+SUMIF(#REF!,Final!A115,#REF!)</f>
        <v>#REF!</v>
      </c>
      <c r="E115" s="1643" t="e">
        <f>SUMIF(#REF!,Final!A115,#REF!)</f>
        <v>#REF!</v>
      </c>
      <c r="F115" s="1644" t="e">
        <f>SUMIF(#REF!,Final!A115,#REF!)</f>
        <v>#REF!</v>
      </c>
      <c r="G115" s="1597" t="e">
        <f t="shared" si="4"/>
        <v>#REF!</v>
      </c>
      <c r="H115" s="1644" t="e">
        <f t="shared" si="5"/>
        <v>#REF!</v>
      </c>
      <c r="I115" s="1597" t="e">
        <f t="shared" si="6"/>
        <v>#REF!</v>
      </c>
      <c r="J115" s="1644" t="e">
        <f t="shared" si="7"/>
        <v>#REF!</v>
      </c>
      <c r="M115" s="1545"/>
      <c r="N115" s="1545"/>
    </row>
    <row r="116" spans="1:93" ht="15.5">
      <c r="A116" s="1598">
        <v>10.882999999999999</v>
      </c>
      <c r="B116" s="1599" t="s">
        <v>2105</v>
      </c>
      <c r="C116" s="1643" t="e">
        <f>+SUMIF(#REF!,Final!A116,#REF!)</f>
        <v>#REF!</v>
      </c>
      <c r="D116" s="1597" t="e">
        <f>+SUMIF(#REF!,Final!A116,#REF!)</f>
        <v>#REF!</v>
      </c>
      <c r="E116" s="1643" t="e">
        <f>SUMIF(#REF!,Final!A116,#REF!)</f>
        <v>#REF!</v>
      </c>
      <c r="F116" s="1644" t="e">
        <f>SUMIF(#REF!,Final!A116,#REF!)</f>
        <v>#REF!</v>
      </c>
      <c r="G116" s="1597" t="e">
        <f t="shared" si="4"/>
        <v>#REF!</v>
      </c>
      <c r="H116" s="1644" t="e">
        <f t="shared" si="5"/>
        <v>#REF!</v>
      </c>
      <c r="I116" s="1597" t="e">
        <f t="shared" si="6"/>
        <v>#REF!</v>
      </c>
      <c r="J116" s="1644" t="e">
        <f t="shared" si="7"/>
        <v>#REF!</v>
      </c>
      <c r="M116" s="1545"/>
      <c r="N116" s="1545"/>
    </row>
    <row r="117" spans="1:93" ht="15.5">
      <c r="A117" s="1598">
        <v>10.897</v>
      </c>
      <c r="B117" s="1599" t="s">
        <v>2105</v>
      </c>
      <c r="C117" s="1643" t="e">
        <f>+SUMIF(#REF!,Final!A117,#REF!)</f>
        <v>#REF!</v>
      </c>
      <c r="D117" s="1597" t="e">
        <f>+SUMIF(#REF!,Final!A117,#REF!)</f>
        <v>#REF!</v>
      </c>
      <c r="E117" s="1643" t="e">
        <f>SUMIF(#REF!,Final!A117,#REF!)</f>
        <v>#REF!</v>
      </c>
      <c r="F117" s="1644" t="e">
        <f>SUMIF(#REF!,Final!A117,#REF!)</f>
        <v>#REF!</v>
      </c>
      <c r="G117" s="1597" t="e">
        <f t="shared" si="4"/>
        <v>#REF!</v>
      </c>
      <c r="H117" s="1644" t="e">
        <f t="shared" si="5"/>
        <v>#REF!</v>
      </c>
      <c r="I117" s="1597" t="e">
        <f t="shared" si="6"/>
        <v>#REF!</v>
      </c>
      <c r="J117" s="1644" t="e">
        <f t="shared" si="7"/>
        <v>#REF!</v>
      </c>
      <c r="M117" s="1545"/>
      <c r="N117" s="1545"/>
    </row>
    <row r="118" spans="1:93" s="1552" customFormat="1" ht="15.5">
      <c r="A118" s="1598"/>
      <c r="B118" s="1599"/>
      <c r="C118" s="1643" t="e">
        <f>+SUMIF(#REF!,Final!A118,#REF!)</f>
        <v>#REF!</v>
      </c>
      <c r="D118" s="1597" t="e">
        <f>+SUMIF(#REF!,Final!A118,#REF!)</f>
        <v>#REF!</v>
      </c>
      <c r="E118" s="1643" t="e">
        <f>SUMIF(#REF!,Final!A118,#REF!)</f>
        <v>#REF!</v>
      </c>
      <c r="F118" s="1644" t="e">
        <f>SUMIF(#REF!,Final!A118,#REF!)</f>
        <v>#REF!</v>
      </c>
      <c r="G118" s="1597" t="e">
        <f t="shared" si="4"/>
        <v>#REF!</v>
      </c>
      <c r="H118" s="1644" t="e">
        <f t="shared" si="5"/>
        <v>#REF!</v>
      </c>
      <c r="I118" s="1597" t="e">
        <f t="shared" si="6"/>
        <v>#REF!</v>
      </c>
      <c r="J118" s="1644" t="e">
        <f t="shared" si="7"/>
        <v>#REF!</v>
      </c>
      <c r="K118" s="1539"/>
      <c r="L118" s="1539"/>
      <c r="M118" s="1545"/>
      <c r="N118" s="1545"/>
      <c r="O118" s="1539"/>
      <c r="P118" s="1539"/>
      <c r="Q118" s="1539"/>
      <c r="R118" s="1539"/>
      <c r="S118" s="1539"/>
      <c r="T118" s="1539"/>
      <c r="U118" s="1539"/>
      <c r="V118" s="1539"/>
      <c r="W118" s="1539"/>
      <c r="X118" s="1539"/>
      <c r="Y118" s="1539"/>
      <c r="Z118" s="1539"/>
      <c r="AA118" s="1539"/>
      <c r="AB118" s="1539"/>
      <c r="AC118" s="1539"/>
      <c r="AD118" s="1539"/>
      <c r="AE118" s="1539"/>
      <c r="AF118" s="1539"/>
      <c r="AG118" s="1539"/>
      <c r="AH118" s="1539"/>
      <c r="AI118" s="1539"/>
      <c r="AJ118" s="1539"/>
      <c r="AK118" s="1539"/>
      <c r="AL118" s="1539"/>
      <c r="AM118" s="1539"/>
      <c r="AN118" s="1539"/>
      <c r="AO118" s="1539"/>
      <c r="AP118" s="1539"/>
      <c r="AQ118" s="1539"/>
      <c r="AR118" s="1539"/>
      <c r="AS118" s="1539"/>
      <c r="AT118" s="1539"/>
      <c r="AU118" s="1539"/>
      <c r="AV118" s="1539"/>
      <c r="AW118" s="1539"/>
      <c r="AX118" s="1539"/>
      <c r="AY118" s="1539"/>
      <c r="AZ118" s="1539"/>
      <c r="BA118" s="1539"/>
      <c r="BB118" s="1539"/>
      <c r="BC118" s="1539"/>
      <c r="BD118" s="1539"/>
      <c r="BE118" s="1539"/>
      <c r="BF118" s="1539"/>
      <c r="BG118" s="1539"/>
      <c r="BH118" s="1539"/>
      <c r="BI118" s="1539"/>
      <c r="BJ118" s="1539"/>
      <c r="BK118" s="1539"/>
      <c r="BL118" s="1539"/>
      <c r="BM118" s="1539"/>
      <c r="BN118" s="1539"/>
      <c r="BO118" s="1539"/>
      <c r="BP118" s="1539"/>
      <c r="BQ118" s="1539"/>
      <c r="BR118" s="1539"/>
      <c r="BS118" s="1539"/>
      <c r="BT118" s="1539"/>
      <c r="BU118" s="1539"/>
      <c r="BV118" s="1539"/>
      <c r="BW118" s="1539"/>
      <c r="BX118" s="1539"/>
      <c r="BY118" s="1539"/>
      <c r="BZ118" s="1539"/>
      <c r="CA118" s="1539"/>
      <c r="CB118" s="1539"/>
      <c r="CC118" s="1539"/>
      <c r="CD118" s="1539"/>
      <c r="CE118" s="1539"/>
      <c r="CF118" s="1539"/>
      <c r="CG118" s="1539"/>
      <c r="CH118" s="1539"/>
      <c r="CI118" s="1539"/>
      <c r="CJ118" s="1539"/>
      <c r="CK118" s="1539"/>
      <c r="CL118" s="1539"/>
      <c r="CM118" s="1539"/>
      <c r="CN118" s="1539"/>
      <c r="CO118" s="1539"/>
    </row>
    <row r="119" spans="1:93" s="1552" customFormat="1" ht="15.5">
      <c r="A119" s="1598"/>
      <c r="B119" s="1599"/>
      <c r="C119" s="1643" t="e">
        <f>+SUMIF(#REF!,Final!A119,#REF!)</f>
        <v>#REF!</v>
      </c>
      <c r="D119" s="1597" t="e">
        <f>+SUMIF(#REF!,Final!A119,#REF!)</f>
        <v>#REF!</v>
      </c>
      <c r="E119" s="1643" t="e">
        <f>SUMIF(#REF!,Final!A119,#REF!)</f>
        <v>#REF!</v>
      </c>
      <c r="F119" s="1644" t="e">
        <f>SUMIF(#REF!,Final!A119,#REF!)</f>
        <v>#REF!</v>
      </c>
      <c r="G119" s="1597" t="e">
        <f t="shared" si="4"/>
        <v>#REF!</v>
      </c>
      <c r="H119" s="1644" t="e">
        <f t="shared" si="5"/>
        <v>#REF!</v>
      </c>
      <c r="I119" s="1597" t="e">
        <f t="shared" si="6"/>
        <v>#REF!</v>
      </c>
      <c r="J119" s="1644" t="e">
        <f t="shared" si="7"/>
        <v>#REF!</v>
      </c>
      <c r="K119" s="1539"/>
      <c r="L119" s="1539"/>
      <c r="M119" s="1545"/>
      <c r="N119" s="1545"/>
      <c r="O119" s="1539"/>
      <c r="P119" s="1539"/>
      <c r="Q119" s="1539"/>
      <c r="R119" s="1539"/>
      <c r="S119" s="1539"/>
      <c r="T119" s="1539"/>
      <c r="U119" s="1539"/>
      <c r="V119" s="1539"/>
      <c r="W119" s="1539"/>
      <c r="X119" s="1539"/>
      <c r="Y119" s="1539"/>
      <c r="Z119" s="1539"/>
      <c r="AA119" s="1539"/>
      <c r="AB119" s="1539"/>
      <c r="AC119" s="1539"/>
      <c r="AD119" s="1539"/>
      <c r="AE119" s="1539"/>
      <c r="AF119" s="1539"/>
      <c r="AG119" s="1539"/>
      <c r="AH119" s="1539"/>
      <c r="AI119" s="1539"/>
      <c r="AJ119" s="1539"/>
      <c r="AK119" s="1539"/>
      <c r="AL119" s="1539"/>
      <c r="AM119" s="1539"/>
      <c r="AN119" s="1539"/>
      <c r="AO119" s="1539"/>
      <c r="AP119" s="1539"/>
      <c r="AQ119" s="1539"/>
      <c r="AR119" s="1539"/>
      <c r="AS119" s="1539"/>
      <c r="AT119" s="1539"/>
      <c r="AU119" s="1539"/>
      <c r="AV119" s="1539"/>
      <c r="AW119" s="1539"/>
      <c r="AX119" s="1539"/>
      <c r="AY119" s="1539"/>
      <c r="AZ119" s="1539"/>
      <c r="BA119" s="1539"/>
      <c r="BB119" s="1539"/>
      <c r="BC119" s="1539"/>
      <c r="BD119" s="1539"/>
      <c r="BE119" s="1539"/>
      <c r="BF119" s="1539"/>
      <c r="BG119" s="1539"/>
      <c r="BH119" s="1539"/>
      <c r="BI119" s="1539"/>
      <c r="BJ119" s="1539"/>
      <c r="BK119" s="1539"/>
      <c r="BL119" s="1539"/>
      <c r="BM119" s="1539"/>
      <c r="BN119" s="1539"/>
      <c r="BO119" s="1539"/>
      <c r="BP119" s="1539"/>
      <c r="BQ119" s="1539"/>
      <c r="BR119" s="1539"/>
      <c r="BS119" s="1539"/>
      <c r="BT119" s="1539"/>
      <c r="BU119" s="1539"/>
      <c r="BV119" s="1539"/>
      <c r="BW119" s="1539"/>
      <c r="BX119" s="1539"/>
      <c r="BY119" s="1539"/>
      <c r="BZ119" s="1539"/>
      <c r="CA119" s="1539"/>
      <c r="CB119" s="1539"/>
      <c r="CC119" s="1539"/>
      <c r="CD119" s="1539"/>
      <c r="CE119" s="1539"/>
      <c r="CF119" s="1539"/>
      <c r="CG119" s="1539"/>
      <c r="CH119" s="1539"/>
      <c r="CI119" s="1539"/>
      <c r="CJ119" s="1539"/>
      <c r="CK119" s="1539"/>
      <c r="CL119" s="1539"/>
      <c r="CM119" s="1539"/>
      <c r="CN119" s="1539"/>
      <c r="CO119" s="1539"/>
    </row>
    <row r="120" spans="1:93" s="1552" customFormat="1" ht="15.5">
      <c r="A120" s="1598"/>
      <c r="B120" s="1599"/>
      <c r="C120" s="1643" t="e">
        <f>+SUMIF(#REF!,Final!A120,#REF!)</f>
        <v>#REF!</v>
      </c>
      <c r="D120" s="1597" t="e">
        <f>+SUMIF(#REF!,Final!A120,#REF!)</f>
        <v>#REF!</v>
      </c>
      <c r="E120" s="1643" t="e">
        <f>SUMIF(#REF!,Final!A120,#REF!)</f>
        <v>#REF!</v>
      </c>
      <c r="F120" s="1644" t="e">
        <f>SUMIF(#REF!,Final!A120,#REF!)</f>
        <v>#REF!</v>
      </c>
      <c r="G120" s="1597" t="e">
        <f t="shared" si="4"/>
        <v>#REF!</v>
      </c>
      <c r="H120" s="1644" t="e">
        <f t="shared" si="5"/>
        <v>#REF!</v>
      </c>
      <c r="I120" s="1597" t="e">
        <f t="shared" si="6"/>
        <v>#REF!</v>
      </c>
      <c r="J120" s="1644" t="e">
        <f t="shared" si="7"/>
        <v>#REF!</v>
      </c>
      <c r="K120" s="1539"/>
      <c r="L120" s="1539"/>
      <c r="M120" s="1545"/>
      <c r="N120" s="1545"/>
      <c r="O120" s="1539"/>
      <c r="P120" s="1539"/>
      <c r="Q120" s="1539"/>
      <c r="R120" s="1539"/>
      <c r="S120" s="1539"/>
      <c r="T120" s="1539"/>
      <c r="U120" s="1539"/>
      <c r="V120" s="1539"/>
      <c r="W120" s="1539"/>
      <c r="X120" s="1539"/>
      <c r="Y120" s="1539"/>
      <c r="Z120" s="1539"/>
      <c r="AA120" s="1539"/>
      <c r="AB120" s="1539"/>
      <c r="AC120" s="1539"/>
      <c r="AD120" s="1539"/>
      <c r="AE120" s="1539"/>
      <c r="AF120" s="1539"/>
      <c r="AG120" s="1539"/>
      <c r="AH120" s="1539"/>
      <c r="AI120" s="1539"/>
      <c r="AJ120" s="1539"/>
      <c r="AK120" s="1539"/>
      <c r="AL120" s="1539"/>
      <c r="AM120" s="1539"/>
      <c r="AN120" s="1539"/>
      <c r="AO120" s="1539"/>
      <c r="AP120" s="1539"/>
      <c r="AQ120" s="1539"/>
      <c r="AR120" s="1539"/>
      <c r="AS120" s="1539"/>
      <c r="AT120" s="1539"/>
      <c r="AU120" s="1539"/>
      <c r="AV120" s="1539"/>
      <c r="AW120" s="1539"/>
      <c r="AX120" s="1539"/>
      <c r="AY120" s="1539"/>
      <c r="AZ120" s="1539"/>
      <c r="BA120" s="1539"/>
      <c r="BB120" s="1539"/>
      <c r="BC120" s="1539"/>
      <c r="BD120" s="1539"/>
      <c r="BE120" s="1539"/>
      <c r="BF120" s="1539"/>
      <c r="BG120" s="1539"/>
      <c r="BH120" s="1539"/>
      <c r="BI120" s="1539"/>
      <c r="BJ120" s="1539"/>
      <c r="BK120" s="1539"/>
      <c r="BL120" s="1539"/>
      <c r="BM120" s="1539"/>
      <c r="BN120" s="1539"/>
      <c r="BO120" s="1539"/>
      <c r="BP120" s="1539"/>
      <c r="BQ120" s="1539"/>
      <c r="BR120" s="1539"/>
      <c r="BS120" s="1539"/>
      <c r="BT120" s="1539"/>
      <c r="BU120" s="1539"/>
      <c r="BV120" s="1539"/>
      <c r="BW120" s="1539"/>
      <c r="BX120" s="1539"/>
      <c r="BY120" s="1539"/>
      <c r="BZ120" s="1539"/>
      <c r="CA120" s="1539"/>
      <c r="CB120" s="1539"/>
      <c r="CC120" s="1539"/>
      <c r="CD120" s="1539"/>
      <c r="CE120" s="1539"/>
      <c r="CF120" s="1539"/>
      <c r="CG120" s="1539"/>
      <c r="CH120" s="1539"/>
      <c r="CI120" s="1539"/>
      <c r="CJ120" s="1539"/>
      <c r="CK120" s="1539"/>
      <c r="CL120" s="1539"/>
      <c r="CM120" s="1539"/>
      <c r="CN120" s="1539"/>
      <c r="CO120" s="1539"/>
    </row>
    <row r="121" spans="1:93" s="1542" customFormat="1" ht="15.5">
      <c r="A121" s="1598" t="s">
        <v>1408</v>
      </c>
      <c r="B121" s="1599" t="s">
        <v>2106</v>
      </c>
      <c r="C121" s="1643" t="e">
        <f>+SUMIF(#REF!,Final!A121,#REF!)</f>
        <v>#REF!</v>
      </c>
      <c r="D121" s="1597" t="e">
        <f>+SUMIF(#REF!,Final!A121,#REF!)</f>
        <v>#REF!</v>
      </c>
      <c r="E121" s="1643" t="e">
        <f>SUMIF(#REF!,Final!A121,#REF!)</f>
        <v>#REF!</v>
      </c>
      <c r="F121" s="1644" t="e">
        <f>SUMIF(#REF!,Final!A121,#REF!)</f>
        <v>#REF!</v>
      </c>
      <c r="G121" s="1597" t="e">
        <f t="shared" si="4"/>
        <v>#REF!</v>
      </c>
      <c r="H121" s="1644" t="e">
        <f t="shared" si="5"/>
        <v>#REF!</v>
      </c>
      <c r="I121" s="1597" t="e">
        <f t="shared" si="6"/>
        <v>#REF!</v>
      </c>
      <c r="J121" s="1644" t="e">
        <f t="shared" si="7"/>
        <v>#REF!</v>
      </c>
      <c r="K121" s="1539"/>
      <c r="L121" s="1539"/>
      <c r="M121" s="1545"/>
      <c r="N121" s="1545"/>
      <c r="O121" s="1539"/>
      <c r="P121" s="1539"/>
      <c r="Q121" s="1539"/>
      <c r="R121" s="1539"/>
      <c r="S121" s="1539"/>
      <c r="T121" s="1539"/>
      <c r="U121" s="1539"/>
      <c r="V121" s="1539"/>
      <c r="W121" s="1539"/>
      <c r="X121" s="1539"/>
      <c r="Y121" s="1539"/>
      <c r="Z121" s="1539"/>
      <c r="AA121" s="1539"/>
      <c r="AB121" s="1539"/>
      <c r="AC121" s="1539"/>
      <c r="AD121" s="1539"/>
      <c r="AE121" s="1539"/>
      <c r="AF121" s="1539"/>
      <c r="AG121" s="1539"/>
      <c r="AH121" s="1539"/>
      <c r="AI121" s="1539"/>
      <c r="AJ121" s="1539"/>
      <c r="AK121" s="1539"/>
      <c r="AL121" s="1539"/>
      <c r="AM121" s="1539"/>
      <c r="AN121" s="1539"/>
      <c r="AO121" s="1539"/>
      <c r="AP121" s="1539"/>
      <c r="AQ121" s="1539"/>
      <c r="AR121" s="1539"/>
      <c r="AS121" s="1539"/>
      <c r="AT121" s="1539"/>
      <c r="AU121" s="1539"/>
      <c r="AV121" s="1539"/>
      <c r="AW121" s="1539"/>
      <c r="AX121" s="1539"/>
      <c r="AY121" s="1539"/>
      <c r="AZ121" s="1539"/>
      <c r="BA121" s="1539"/>
      <c r="BB121" s="1539"/>
      <c r="BC121" s="1539"/>
      <c r="BD121" s="1539"/>
      <c r="BE121" s="1539"/>
      <c r="BF121" s="1539"/>
      <c r="BG121" s="1539"/>
      <c r="BH121" s="1539"/>
      <c r="BI121" s="1539"/>
      <c r="BJ121" s="1539"/>
      <c r="BK121" s="1539"/>
      <c r="BL121" s="1539"/>
      <c r="BM121" s="1539"/>
      <c r="BN121" s="1539"/>
      <c r="BO121" s="1539"/>
      <c r="BP121" s="1539"/>
      <c r="BQ121" s="1539"/>
      <c r="BR121" s="1539"/>
      <c r="BS121" s="1539"/>
      <c r="BT121" s="1539"/>
      <c r="BU121" s="1539"/>
      <c r="BV121" s="1539"/>
      <c r="BW121" s="1539"/>
      <c r="BX121" s="1539"/>
      <c r="BY121" s="1539"/>
      <c r="BZ121" s="1539"/>
      <c r="CA121" s="1539"/>
      <c r="CB121" s="1539"/>
      <c r="CC121" s="1539"/>
      <c r="CD121" s="1539"/>
      <c r="CE121" s="1539"/>
      <c r="CF121" s="1539"/>
      <c r="CG121" s="1539"/>
      <c r="CH121" s="1539"/>
      <c r="CI121" s="1539"/>
      <c r="CJ121" s="1539"/>
      <c r="CK121" s="1539"/>
      <c r="CL121" s="1539"/>
      <c r="CM121" s="1539"/>
      <c r="CN121" s="1539"/>
      <c r="CO121" s="1539"/>
    </row>
    <row r="122" spans="1:93" ht="15.5">
      <c r="A122" s="1598">
        <v>10.901</v>
      </c>
      <c r="B122" s="1599" t="s">
        <v>2107</v>
      </c>
      <c r="C122" s="1643" t="e">
        <f>+SUMIF(#REF!,Final!A122,#REF!)</f>
        <v>#REF!</v>
      </c>
      <c r="D122" s="1597" t="e">
        <f>+SUMIF(#REF!,Final!A122,#REF!)</f>
        <v>#REF!</v>
      </c>
      <c r="E122" s="1643" t="e">
        <f>SUMIF(#REF!,Final!A122,#REF!)</f>
        <v>#REF!</v>
      </c>
      <c r="F122" s="1644" t="e">
        <f>SUMIF(#REF!,Final!A122,#REF!)</f>
        <v>#REF!</v>
      </c>
      <c r="G122" s="1597" t="e">
        <f t="shared" si="4"/>
        <v>#REF!</v>
      </c>
      <c r="H122" s="1644" t="e">
        <f t="shared" si="5"/>
        <v>#REF!</v>
      </c>
      <c r="I122" s="1597" t="e">
        <f t="shared" si="6"/>
        <v>#REF!</v>
      </c>
      <c r="J122" s="1644" t="e">
        <f t="shared" si="7"/>
        <v>#REF!</v>
      </c>
      <c r="M122" s="1545"/>
      <c r="N122" s="1545"/>
    </row>
    <row r="123" spans="1:93" ht="15.5">
      <c r="A123" s="1598">
        <v>10.901999999999999</v>
      </c>
      <c r="B123" s="1599" t="s">
        <v>2108</v>
      </c>
      <c r="C123" s="1643" t="e">
        <f>+SUMIF(#REF!,Final!A123,#REF!)</f>
        <v>#REF!</v>
      </c>
      <c r="D123" s="1597" t="e">
        <f>+SUMIF(#REF!,Final!A123,#REF!)</f>
        <v>#REF!</v>
      </c>
      <c r="E123" s="1643" t="e">
        <f>SUMIF(#REF!,Final!A123,#REF!)</f>
        <v>#REF!</v>
      </c>
      <c r="F123" s="1644" t="e">
        <f>SUMIF(#REF!,Final!A123,#REF!)</f>
        <v>#REF!</v>
      </c>
      <c r="G123" s="1597" t="e">
        <f t="shared" si="4"/>
        <v>#REF!</v>
      </c>
      <c r="H123" s="1644" t="e">
        <f t="shared" si="5"/>
        <v>#REF!</v>
      </c>
      <c r="I123" s="1597" t="e">
        <f t="shared" si="6"/>
        <v>#REF!</v>
      </c>
      <c r="J123" s="1644" t="e">
        <f t="shared" si="7"/>
        <v>#REF!</v>
      </c>
      <c r="M123" s="1545"/>
      <c r="N123" s="1545"/>
    </row>
    <row r="124" spans="1:93" ht="15.5">
      <c r="A124" s="1598">
        <v>10.903</v>
      </c>
      <c r="B124" s="1599" t="s">
        <v>2109</v>
      </c>
      <c r="C124" s="1643" t="e">
        <f>+SUMIF(#REF!,Final!A124,#REF!)</f>
        <v>#REF!</v>
      </c>
      <c r="D124" s="1597" t="e">
        <f>+SUMIF(#REF!,Final!A124,#REF!)</f>
        <v>#REF!</v>
      </c>
      <c r="E124" s="1643" t="e">
        <f>SUMIF(#REF!,Final!A124,#REF!)</f>
        <v>#REF!</v>
      </c>
      <c r="F124" s="1644" t="e">
        <f>SUMIF(#REF!,Final!A124,#REF!)</f>
        <v>#REF!</v>
      </c>
      <c r="G124" s="1597" t="e">
        <f t="shared" si="4"/>
        <v>#REF!</v>
      </c>
      <c r="H124" s="1644" t="e">
        <f t="shared" si="5"/>
        <v>#REF!</v>
      </c>
      <c r="I124" s="1597" t="e">
        <f t="shared" si="6"/>
        <v>#REF!</v>
      </c>
      <c r="J124" s="1644" t="e">
        <f t="shared" si="7"/>
        <v>#REF!</v>
      </c>
      <c r="M124" s="1545"/>
      <c r="N124" s="1545"/>
    </row>
    <row r="125" spans="1:93" s="1542" customFormat="1" ht="15.5">
      <c r="A125" s="1598">
        <v>10.904</v>
      </c>
      <c r="B125" s="1599" t="s">
        <v>2110</v>
      </c>
      <c r="C125" s="1643" t="e">
        <f>+SUMIF(#REF!,Final!A125,#REF!)</f>
        <v>#REF!</v>
      </c>
      <c r="D125" s="1597" t="e">
        <f>+SUMIF(#REF!,Final!A125,#REF!)</f>
        <v>#REF!</v>
      </c>
      <c r="E125" s="1643" t="e">
        <f>SUMIF(#REF!,Final!A125,#REF!)</f>
        <v>#REF!</v>
      </c>
      <c r="F125" s="1644" t="e">
        <f>SUMIF(#REF!,Final!A125,#REF!)</f>
        <v>#REF!</v>
      </c>
      <c r="G125" s="1597" t="e">
        <f t="shared" si="4"/>
        <v>#REF!</v>
      </c>
      <c r="H125" s="1644" t="e">
        <f t="shared" si="5"/>
        <v>#REF!</v>
      </c>
      <c r="I125" s="1597" t="e">
        <f t="shared" si="6"/>
        <v>#REF!</v>
      </c>
      <c r="J125" s="1644" t="e">
        <f t="shared" si="7"/>
        <v>#REF!</v>
      </c>
      <c r="K125" s="1539"/>
      <c r="L125" s="1539"/>
      <c r="M125" s="1545"/>
      <c r="N125" s="1545"/>
      <c r="O125" s="1539"/>
      <c r="P125" s="1539"/>
      <c r="Q125" s="1539"/>
      <c r="R125" s="1539"/>
      <c r="S125" s="1539"/>
      <c r="T125" s="1539"/>
      <c r="U125" s="1539"/>
      <c r="V125" s="1539"/>
      <c r="W125" s="1539"/>
      <c r="X125" s="1539"/>
      <c r="Y125" s="1539"/>
      <c r="Z125" s="1539"/>
      <c r="AA125" s="1539"/>
      <c r="AB125" s="1539"/>
      <c r="AC125" s="1539"/>
      <c r="AD125" s="1539"/>
      <c r="AE125" s="1539"/>
      <c r="AF125" s="1539"/>
      <c r="AG125" s="1539"/>
      <c r="AH125" s="1539"/>
      <c r="AI125" s="1539"/>
      <c r="AJ125" s="1539"/>
      <c r="AK125" s="1539"/>
      <c r="AL125" s="1539"/>
      <c r="AM125" s="1539"/>
      <c r="AN125" s="1539"/>
      <c r="AO125" s="1539"/>
      <c r="AP125" s="1539"/>
      <c r="AQ125" s="1539"/>
      <c r="AR125" s="1539"/>
      <c r="AS125" s="1539"/>
      <c r="AT125" s="1539"/>
      <c r="AU125" s="1539"/>
      <c r="AV125" s="1539"/>
      <c r="AW125" s="1539"/>
      <c r="AX125" s="1539"/>
      <c r="AY125" s="1539"/>
      <c r="AZ125" s="1539"/>
      <c r="BA125" s="1539"/>
      <c r="BB125" s="1539"/>
      <c r="BC125" s="1539"/>
      <c r="BD125" s="1539"/>
      <c r="BE125" s="1539"/>
      <c r="BF125" s="1539"/>
      <c r="BG125" s="1539"/>
      <c r="BH125" s="1539"/>
      <c r="BI125" s="1539"/>
      <c r="BJ125" s="1539"/>
      <c r="BK125" s="1539"/>
      <c r="BL125" s="1539"/>
      <c r="BM125" s="1539"/>
      <c r="BN125" s="1539"/>
      <c r="BO125" s="1539"/>
      <c r="BP125" s="1539"/>
      <c r="BQ125" s="1539"/>
      <c r="BR125" s="1539"/>
      <c r="BS125" s="1539"/>
      <c r="BT125" s="1539"/>
      <c r="BU125" s="1539"/>
      <c r="BV125" s="1539"/>
      <c r="BW125" s="1539"/>
      <c r="BX125" s="1539"/>
      <c r="BY125" s="1539"/>
      <c r="BZ125" s="1539"/>
      <c r="CA125" s="1539"/>
      <c r="CB125" s="1539"/>
      <c r="CC125" s="1539"/>
      <c r="CD125" s="1539"/>
      <c r="CE125" s="1539"/>
      <c r="CF125" s="1539"/>
      <c r="CG125" s="1539"/>
      <c r="CH125" s="1539"/>
      <c r="CI125" s="1539"/>
      <c r="CJ125" s="1539"/>
      <c r="CK125" s="1539"/>
      <c r="CL125" s="1539"/>
      <c r="CM125" s="1539"/>
      <c r="CN125" s="1539"/>
      <c r="CO125" s="1539"/>
    </row>
    <row r="126" spans="1:93" ht="15.5">
      <c r="A126" s="1598">
        <v>10.904999999999999</v>
      </c>
      <c r="B126" s="1599" t="s">
        <v>2111</v>
      </c>
      <c r="C126" s="1643" t="e">
        <f>+SUMIF(#REF!,Final!A126,#REF!)</f>
        <v>#REF!</v>
      </c>
      <c r="D126" s="1597" t="e">
        <f>+SUMIF(#REF!,Final!A126,#REF!)</f>
        <v>#REF!</v>
      </c>
      <c r="E126" s="1643" t="e">
        <f>SUMIF(#REF!,Final!A126,#REF!)</f>
        <v>#REF!</v>
      </c>
      <c r="F126" s="1644" t="e">
        <f>SUMIF(#REF!,Final!A126,#REF!)</f>
        <v>#REF!</v>
      </c>
      <c r="G126" s="1597" t="e">
        <f t="shared" si="4"/>
        <v>#REF!</v>
      </c>
      <c r="H126" s="1644" t="e">
        <f t="shared" si="5"/>
        <v>#REF!</v>
      </c>
      <c r="I126" s="1597" t="e">
        <f t="shared" si="6"/>
        <v>#REF!</v>
      </c>
      <c r="J126" s="1644" t="e">
        <f t="shared" si="7"/>
        <v>#REF!</v>
      </c>
      <c r="M126" s="1545"/>
      <c r="N126" s="1545"/>
    </row>
    <row r="127" spans="1:93" ht="15.5">
      <c r="A127" s="1598">
        <v>10.906000000000001</v>
      </c>
      <c r="B127" s="1599" t="s">
        <v>2112</v>
      </c>
      <c r="C127" s="1643" t="e">
        <f>+SUMIF(#REF!,Final!A127,#REF!)</f>
        <v>#REF!</v>
      </c>
      <c r="D127" s="1597" t="e">
        <f>+SUMIF(#REF!,Final!A127,#REF!)</f>
        <v>#REF!</v>
      </c>
      <c r="E127" s="1643" t="e">
        <f>SUMIF(#REF!,Final!A127,#REF!)</f>
        <v>#REF!</v>
      </c>
      <c r="F127" s="1644" t="e">
        <f>SUMIF(#REF!,Final!A127,#REF!)</f>
        <v>#REF!</v>
      </c>
      <c r="G127" s="1597" t="e">
        <f t="shared" si="4"/>
        <v>#REF!</v>
      </c>
      <c r="H127" s="1644" t="e">
        <f t="shared" si="5"/>
        <v>#REF!</v>
      </c>
      <c r="I127" s="1597" t="e">
        <f t="shared" si="6"/>
        <v>#REF!</v>
      </c>
      <c r="J127" s="1644" t="e">
        <f t="shared" si="7"/>
        <v>#REF!</v>
      </c>
      <c r="M127" s="1545"/>
      <c r="N127" s="1545"/>
    </row>
    <row r="128" spans="1:93" ht="15.5">
      <c r="A128" s="1598">
        <v>10.907</v>
      </c>
      <c r="B128" s="1599" t="s">
        <v>2113</v>
      </c>
      <c r="C128" s="1643" t="e">
        <f>+SUMIF(#REF!,Final!A128,#REF!)</f>
        <v>#REF!</v>
      </c>
      <c r="D128" s="1597" t="e">
        <f>+SUMIF(#REF!,Final!A128,#REF!)</f>
        <v>#REF!</v>
      </c>
      <c r="E128" s="1643" t="e">
        <f>SUMIF(#REF!,Final!A128,#REF!)</f>
        <v>#REF!</v>
      </c>
      <c r="F128" s="1644" t="e">
        <f>SUMIF(#REF!,Final!A128,#REF!)</f>
        <v>#REF!</v>
      </c>
      <c r="G128" s="1597" t="e">
        <f t="shared" si="4"/>
        <v>#REF!</v>
      </c>
      <c r="H128" s="1644" t="e">
        <f t="shared" si="5"/>
        <v>#REF!</v>
      </c>
      <c r="I128" s="1597" t="e">
        <f t="shared" si="6"/>
        <v>#REF!</v>
      </c>
      <c r="J128" s="1644" t="e">
        <f t="shared" si="7"/>
        <v>#REF!</v>
      </c>
      <c r="M128" s="1545"/>
      <c r="N128" s="1545"/>
    </row>
    <row r="129" spans="1:93" ht="15.5">
      <c r="A129" s="1598">
        <v>10.907999999999999</v>
      </c>
      <c r="B129" s="1599" t="s">
        <v>2114</v>
      </c>
      <c r="C129" s="1643" t="e">
        <f>+SUMIF(#REF!,Final!A129,#REF!)</f>
        <v>#REF!</v>
      </c>
      <c r="D129" s="1597" t="e">
        <f>+SUMIF(#REF!,Final!A129,#REF!)</f>
        <v>#REF!</v>
      </c>
      <c r="E129" s="1643" t="e">
        <f>SUMIF(#REF!,Final!A129,#REF!)</f>
        <v>#REF!</v>
      </c>
      <c r="F129" s="1644" t="e">
        <f>SUMIF(#REF!,Final!A129,#REF!)</f>
        <v>#REF!</v>
      </c>
      <c r="G129" s="1597" t="e">
        <f t="shared" si="4"/>
        <v>#REF!</v>
      </c>
      <c r="H129" s="1644" t="e">
        <f t="shared" si="5"/>
        <v>#REF!</v>
      </c>
      <c r="I129" s="1597" t="e">
        <f t="shared" si="6"/>
        <v>#REF!</v>
      </c>
      <c r="J129" s="1644" t="e">
        <f t="shared" si="7"/>
        <v>#REF!</v>
      </c>
      <c r="M129" s="1545"/>
      <c r="N129" s="1545"/>
    </row>
    <row r="130" spans="1:93" ht="15.5">
      <c r="A130" s="1598">
        <v>10.909000000000001</v>
      </c>
      <c r="B130" s="1599" t="s">
        <v>2115</v>
      </c>
      <c r="C130" s="1643" t="e">
        <f>+SUMIF(#REF!,Final!A130,#REF!)</f>
        <v>#REF!</v>
      </c>
      <c r="D130" s="1597" t="e">
        <f>+SUMIF(#REF!,Final!A130,#REF!)</f>
        <v>#REF!</v>
      </c>
      <c r="E130" s="1643" t="e">
        <f>SUMIF(#REF!,Final!A130,#REF!)</f>
        <v>#REF!</v>
      </c>
      <c r="F130" s="1644" t="e">
        <f>SUMIF(#REF!,Final!A130,#REF!)</f>
        <v>#REF!</v>
      </c>
      <c r="G130" s="1597" t="e">
        <f t="shared" si="4"/>
        <v>#REF!</v>
      </c>
      <c r="H130" s="1644" t="e">
        <f t="shared" si="5"/>
        <v>#REF!</v>
      </c>
      <c r="I130" s="1597" t="e">
        <f t="shared" si="6"/>
        <v>#REF!</v>
      </c>
      <c r="J130" s="1644" t="e">
        <f t="shared" si="7"/>
        <v>#REF!</v>
      </c>
      <c r="M130" s="1545"/>
      <c r="N130" s="1545"/>
    </row>
    <row r="131" spans="1:93" ht="15.5">
      <c r="A131" s="1598">
        <v>10.91</v>
      </c>
      <c r="B131" s="1599" t="s">
        <v>2116</v>
      </c>
      <c r="C131" s="1643" t="e">
        <f>+SUMIF(#REF!,Final!A131,#REF!)</f>
        <v>#REF!</v>
      </c>
      <c r="D131" s="1597" t="e">
        <f>+SUMIF(#REF!,Final!A131,#REF!)</f>
        <v>#REF!</v>
      </c>
      <c r="E131" s="1643" t="e">
        <f>SUMIF(#REF!,Final!A131,#REF!)</f>
        <v>#REF!</v>
      </c>
      <c r="F131" s="1644" t="e">
        <f>SUMIF(#REF!,Final!A131,#REF!)</f>
        <v>#REF!</v>
      </c>
      <c r="G131" s="1597" t="e">
        <f t="shared" si="4"/>
        <v>#REF!</v>
      </c>
      <c r="H131" s="1644" t="e">
        <f t="shared" si="5"/>
        <v>#REF!</v>
      </c>
      <c r="I131" s="1597" t="e">
        <f t="shared" si="6"/>
        <v>#REF!</v>
      </c>
      <c r="J131" s="1644" t="e">
        <f t="shared" si="7"/>
        <v>#REF!</v>
      </c>
      <c r="M131" s="1545"/>
      <c r="N131" s="1545"/>
    </row>
    <row r="132" spans="1:93" ht="15.5">
      <c r="A132" s="1598">
        <v>10.92</v>
      </c>
      <c r="B132" s="1599" t="s">
        <v>2116</v>
      </c>
      <c r="C132" s="1643" t="e">
        <f>+SUMIF(#REF!,Final!A132,#REF!)</f>
        <v>#REF!</v>
      </c>
      <c r="D132" s="1597" t="e">
        <f>+SUMIF(#REF!,Final!A132,#REF!)</f>
        <v>#REF!</v>
      </c>
      <c r="E132" s="1643" t="e">
        <f>SUMIF(#REF!,Final!A132,#REF!)</f>
        <v>#REF!</v>
      </c>
      <c r="F132" s="1644" t="e">
        <f>SUMIF(#REF!,Final!A132,#REF!)</f>
        <v>#REF!</v>
      </c>
      <c r="G132" s="1597" t="e">
        <f t="shared" si="4"/>
        <v>#REF!</v>
      </c>
      <c r="H132" s="1644" t="e">
        <f t="shared" si="5"/>
        <v>#REF!</v>
      </c>
      <c r="I132" s="1597" t="e">
        <f t="shared" si="6"/>
        <v>#REF!</v>
      </c>
      <c r="J132" s="1644" t="e">
        <f t="shared" si="7"/>
        <v>#REF!</v>
      </c>
      <c r="M132" s="1545"/>
      <c r="N132" s="1545"/>
    </row>
    <row r="133" spans="1:93" ht="15.5">
      <c r="A133" s="1598">
        <v>10.945</v>
      </c>
      <c r="B133" s="1599" t="s">
        <v>2116</v>
      </c>
      <c r="C133" s="1643" t="e">
        <f>+SUMIF(#REF!,Final!A133,#REF!)</f>
        <v>#REF!</v>
      </c>
      <c r="D133" s="1597" t="e">
        <f>+SUMIF(#REF!,Final!A133,#REF!)</f>
        <v>#REF!</v>
      </c>
      <c r="E133" s="1643" t="e">
        <f>SUMIF(#REF!,Final!A133,#REF!)</f>
        <v>#REF!</v>
      </c>
      <c r="F133" s="1644" t="e">
        <f>SUMIF(#REF!,Final!A133,#REF!)</f>
        <v>#REF!</v>
      </c>
      <c r="G133" s="1597" t="e">
        <f t="shared" si="4"/>
        <v>#REF!</v>
      </c>
      <c r="H133" s="1644" t="e">
        <f t="shared" si="5"/>
        <v>#REF!</v>
      </c>
      <c r="I133" s="1597" t="e">
        <f t="shared" si="6"/>
        <v>#REF!</v>
      </c>
      <c r="J133" s="1644" t="e">
        <f t="shared" si="7"/>
        <v>#REF!</v>
      </c>
      <c r="M133" s="1545"/>
      <c r="N133" s="1545"/>
    </row>
    <row r="134" spans="1:93" ht="15.5">
      <c r="A134" s="1598">
        <v>10.99</v>
      </c>
      <c r="B134" s="1599" t="s">
        <v>2117</v>
      </c>
      <c r="C134" s="1643" t="e">
        <f>+SUMIF(#REF!,Final!A134,#REF!)</f>
        <v>#REF!</v>
      </c>
      <c r="D134" s="1597" t="e">
        <f>+SUMIF(#REF!,Final!A134,#REF!)</f>
        <v>#REF!</v>
      </c>
      <c r="E134" s="1643" t="e">
        <f>SUMIF(#REF!,Final!A134,#REF!)</f>
        <v>#REF!</v>
      </c>
      <c r="F134" s="1644" t="e">
        <f>SUMIF(#REF!,Final!A134,#REF!)</f>
        <v>#REF!</v>
      </c>
      <c r="G134" s="1597" t="e">
        <f t="shared" si="4"/>
        <v>#REF!</v>
      </c>
      <c r="H134" s="1644" t="e">
        <f t="shared" si="5"/>
        <v>#REF!</v>
      </c>
      <c r="I134" s="1597" t="e">
        <f t="shared" si="6"/>
        <v>#REF!</v>
      </c>
      <c r="J134" s="1644" t="e">
        <f t="shared" si="7"/>
        <v>#REF!</v>
      </c>
      <c r="M134" s="1545"/>
      <c r="N134" s="1545"/>
    </row>
    <row r="135" spans="1:93" s="1552" customFormat="1" ht="15.5">
      <c r="A135" s="1598"/>
      <c r="B135" s="1599" t="s">
        <v>754</v>
      </c>
      <c r="C135" s="1643" t="e">
        <f>+SUMIF(#REF!,Final!A135,#REF!)</f>
        <v>#REF!</v>
      </c>
      <c r="D135" s="1597" t="e">
        <f>+SUMIF(#REF!,Final!A135,#REF!)</f>
        <v>#REF!</v>
      </c>
      <c r="E135" s="1643" t="e">
        <f>SUMIF(#REF!,Final!A135,#REF!)</f>
        <v>#REF!</v>
      </c>
      <c r="F135" s="1644" t="e">
        <f>SUMIF(#REF!,Final!A135,#REF!)</f>
        <v>#REF!</v>
      </c>
      <c r="G135" s="1597" t="e">
        <f t="shared" si="4"/>
        <v>#REF!</v>
      </c>
      <c r="H135" s="1644" t="e">
        <f t="shared" si="5"/>
        <v>#REF!</v>
      </c>
      <c r="I135" s="1597" t="e">
        <f t="shared" si="6"/>
        <v>#REF!</v>
      </c>
      <c r="J135" s="1644" t="e">
        <f t="shared" si="7"/>
        <v>#REF!</v>
      </c>
      <c r="K135" s="1539"/>
      <c r="L135" s="1539"/>
      <c r="M135" s="1545"/>
      <c r="N135" s="1545"/>
      <c r="O135" s="1539"/>
      <c r="P135" s="1539"/>
      <c r="Q135" s="1539"/>
      <c r="R135" s="1539"/>
      <c r="S135" s="1539"/>
      <c r="T135" s="1539"/>
      <c r="U135" s="1539"/>
      <c r="V135" s="1539"/>
      <c r="W135" s="1539"/>
      <c r="X135" s="1539"/>
      <c r="Y135" s="1539"/>
      <c r="Z135" s="1539"/>
      <c r="AA135" s="1539"/>
      <c r="AB135" s="1539"/>
      <c r="AC135" s="1539"/>
      <c r="AD135" s="1539"/>
      <c r="AE135" s="1539"/>
      <c r="AF135" s="1539"/>
      <c r="AG135" s="1539"/>
      <c r="AH135" s="1539"/>
      <c r="AI135" s="1539"/>
      <c r="AJ135" s="1539"/>
      <c r="AK135" s="1539"/>
      <c r="AL135" s="1539"/>
      <c r="AM135" s="1539"/>
      <c r="AN135" s="1539"/>
      <c r="AO135" s="1539"/>
      <c r="AP135" s="1539"/>
      <c r="AQ135" s="1539"/>
      <c r="AR135" s="1539"/>
      <c r="AS135" s="1539"/>
      <c r="AT135" s="1539"/>
      <c r="AU135" s="1539"/>
      <c r="AV135" s="1539"/>
      <c r="AW135" s="1539"/>
      <c r="AX135" s="1539"/>
      <c r="AY135" s="1539"/>
      <c r="AZ135" s="1539"/>
      <c r="BA135" s="1539"/>
      <c r="BB135" s="1539"/>
      <c r="BC135" s="1539"/>
      <c r="BD135" s="1539"/>
      <c r="BE135" s="1539"/>
      <c r="BF135" s="1539"/>
      <c r="BG135" s="1539"/>
      <c r="BH135" s="1539"/>
      <c r="BI135" s="1539"/>
      <c r="BJ135" s="1539"/>
      <c r="BK135" s="1539"/>
      <c r="BL135" s="1539"/>
      <c r="BM135" s="1539"/>
      <c r="BN135" s="1539"/>
      <c r="BO135" s="1539"/>
      <c r="BP135" s="1539"/>
      <c r="BQ135" s="1539"/>
      <c r="BR135" s="1539"/>
      <c r="BS135" s="1539"/>
      <c r="BT135" s="1539"/>
      <c r="BU135" s="1539"/>
      <c r="BV135" s="1539"/>
      <c r="BW135" s="1539"/>
      <c r="BX135" s="1539"/>
      <c r="BY135" s="1539"/>
      <c r="BZ135" s="1539"/>
      <c r="CA135" s="1539"/>
      <c r="CB135" s="1539"/>
      <c r="CC135" s="1539"/>
      <c r="CD135" s="1539"/>
      <c r="CE135" s="1539"/>
      <c r="CF135" s="1539"/>
      <c r="CG135" s="1539"/>
      <c r="CH135" s="1539"/>
      <c r="CI135" s="1539"/>
      <c r="CJ135" s="1539"/>
      <c r="CK135" s="1539"/>
      <c r="CL135" s="1539"/>
      <c r="CM135" s="1539"/>
      <c r="CN135" s="1539"/>
      <c r="CO135" s="1539"/>
    </row>
    <row r="136" spans="1:93" s="1552" customFormat="1" ht="15.5">
      <c r="A136" s="1598"/>
      <c r="B136" s="1599" t="s">
        <v>1760</v>
      </c>
      <c r="C136" s="1643" t="e">
        <f>+SUMIF(#REF!,Final!A136,#REF!)</f>
        <v>#REF!</v>
      </c>
      <c r="D136" s="1597" t="e">
        <f>+SUMIF(#REF!,Final!A136,#REF!)</f>
        <v>#REF!</v>
      </c>
      <c r="E136" s="1643" t="e">
        <f>SUMIF(#REF!,Final!A136,#REF!)</f>
        <v>#REF!</v>
      </c>
      <c r="F136" s="1644" t="e">
        <f>SUMIF(#REF!,Final!A136,#REF!)</f>
        <v>#REF!</v>
      </c>
      <c r="G136" s="1597" t="e">
        <f t="shared" ref="G136:G199" si="8">C136+E136</f>
        <v>#REF!</v>
      </c>
      <c r="H136" s="1644" t="e">
        <f t="shared" ref="H136:H199" si="9">D136+F136</f>
        <v>#REF!</v>
      </c>
      <c r="I136" s="1597" t="e">
        <f t="shared" ref="I136:I199" si="10">IF(G136&gt;H136,G136-H136,0)</f>
        <v>#REF!</v>
      </c>
      <c r="J136" s="1644" t="e">
        <f t="shared" ref="J136:J199" si="11">IF(H136&gt;G136,H136-G136,0)</f>
        <v>#REF!</v>
      </c>
      <c r="K136" s="1539"/>
      <c r="L136" s="1539"/>
      <c r="M136" s="1545"/>
      <c r="N136" s="1545"/>
      <c r="O136" s="1539"/>
      <c r="P136" s="1539"/>
      <c r="Q136" s="1539"/>
      <c r="R136" s="1539"/>
      <c r="S136" s="1539"/>
      <c r="T136" s="1539"/>
      <c r="U136" s="1539"/>
      <c r="V136" s="1539"/>
      <c r="W136" s="1539"/>
      <c r="X136" s="1539"/>
      <c r="Y136" s="1539"/>
      <c r="Z136" s="1539"/>
      <c r="AA136" s="1539"/>
      <c r="AB136" s="1539"/>
      <c r="AC136" s="1539"/>
      <c r="AD136" s="1539"/>
      <c r="AE136" s="1539"/>
      <c r="AF136" s="1539"/>
      <c r="AG136" s="1539"/>
      <c r="AH136" s="1539"/>
      <c r="AI136" s="1539"/>
      <c r="AJ136" s="1539"/>
      <c r="AK136" s="1539"/>
      <c r="AL136" s="1539"/>
      <c r="AM136" s="1539"/>
      <c r="AN136" s="1539"/>
      <c r="AO136" s="1539"/>
      <c r="AP136" s="1539"/>
      <c r="AQ136" s="1539"/>
      <c r="AR136" s="1539"/>
      <c r="AS136" s="1539"/>
      <c r="AT136" s="1539"/>
      <c r="AU136" s="1539"/>
      <c r="AV136" s="1539"/>
      <c r="AW136" s="1539"/>
      <c r="AX136" s="1539"/>
      <c r="AY136" s="1539"/>
      <c r="AZ136" s="1539"/>
      <c r="BA136" s="1539"/>
      <c r="BB136" s="1539"/>
      <c r="BC136" s="1539"/>
      <c r="BD136" s="1539"/>
      <c r="BE136" s="1539"/>
      <c r="BF136" s="1539"/>
      <c r="BG136" s="1539"/>
      <c r="BH136" s="1539"/>
      <c r="BI136" s="1539"/>
      <c r="BJ136" s="1539"/>
      <c r="BK136" s="1539"/>
      <c r="BL136" s="1539"/>
      <c r="BM136" s="1539"/>
      <c r="BN136" s="1539"/>
      <c r="BO136" s="1539"/>
      <c r="BP136" s="1539"/>
      <c r="BQ136" s="1539"/>
      <c r="BR136" s="1539"/>
      <c r="BS136" s="1539"/>
      <c r="BT136" s="1539"/>
      <c r="BU136" s="1539"/>
      <c r="BV136" s="1539"/>
      <c r="BW136" s="1539"/>
      <c r="BX136" s="1539"/>
      <c r="BY136" s="1539"/>
      <c r="BZ136" s="1539"/>
      <c r="CA136" s="1539"/>
      <c r="CB136" s="1539"/>
      <c r="CC136" s="1539"/>
      <c r="CD136" s="1539"/>
      <c r="CE136" s="1539"/>
      <c r="CF136" s="1539"/>
      <c r="CG136" s="1539"/>
      <c r="CH136" s="1539"/>
      <c r="CI136" s="1539"/>
      <c r="CJ136" s="1539"/>
      <c r="CK136" s="1539"/>
      <c r="CL136" s="1539"/>
      <c r="CM136" s="1539"/>
      <c r="CN136" s="1539"/>
      <c r="CO136" s="1539"/>
    </row>
    <row r="137" spans="1:93" s="1552" customFormat="1" ht="15.5">
      <c r="A137" s="1598" t="s">
        <v>3376</v>
      </c>
      <c r="B137" s="1599" t="s">
        <v>2118</v>
      </c>
      <c r="C137" s="1643" t="e">
        <f>+SUMIF(#REF!,Final!A137,#REF!)</f>
        <v>#REF!</v>
      </c>
      <c r="D137" s="1597" t="e">
        <f>+SUMIF(#REF!,Final!A137,#REF!)</f>
        <v>#REF!</v>
      </c>
      <c r="E137" s="1643" t="e">
        <f>SUMIF(#REF!,Final!A137,#REF!)</f>
        <v>#REF!</v>
      </c>
      <c r="F137" s="1644" t="e">
        <f>SUMIF(#REF!,Final!A137,#REF!)</f>
        <v>#REF!</v>
      </c>
      <c r="G137" s="1597" t="e">
        <f t="shared" si="8"/>
        <v>#REF!</v>
      </c>
      <c r="H137" s="1644" t="e">
        <f t="shared" si="9"/>
        <v>#REF!</v>
      </c>
      <c r="I137" s="1597" t="e">
        <f t="shared" si="10"/>
        <v>#REF!</v>
      </c>
      <c r="J137" s="1644" t="e">
        <f t="shared" si="11"/>
        <v>#REF!</v>
      </c>
      <c r="K137" s="1539"/>
      <c r="L137" s="1539"/>
      <c r="M137" s="1545"/>
      <c r="N137" s="1545"/>
      <c r="O137" s="1539"/>
      <c r="P137" s="1539"/>
      <c r="Q137" s="1539"/>
      <c r="R137" s="1539"/>
      <c r="S137" s="1539"/>
      <c r="T137" s="1539"/>
      <c r="U137" s="1539"/>
      <c r="V137" s="1539"/>
      <c r="W137" s="1539"/>
      <c r="X137" s="1539"/>
      <c r="Y137" s="1539"/>
      <c r="Z137" s="1539"/>
      <c r="AA137" s="1539"/>
      <c r="AB137" s="1539"/>
      <c r="AC137" s="1539"/>
      <c r="AD137" s="1539"/>
      <c r="AE137" s="1539"/>
      <c r="AF137" s="1539"/>
      <c r="AG137" s="1539"/>
      <c r="AH137" s="1539"/>
      <c r="AI137" s="1539"/>
      <c r="AJ137" s="1539"/>
      <c r="AK137" s="1539"/>
      <c r="AL137" s="1539"/>
      <c r="AM137" s="1539"/>
      <c r="AN137" s="1539"/>
      <c r="AO137" s="1539"/>
      <c r="AP137" s="1539"/>
      <c r="AQ137" s="1539"/>
      <c r="AR137" s="1539"/>
      <c r="AS137" s="1539"/>
      <c r="AT137" s="1539"/>
      <c r="AU137" s="1539"/>
      <c r="AV137" s="1539"/>
      <c r="AW137" s="1539"/>
      <c r="AX137" s="1539"/>
      <c r="AY137" s="1539"/>
      <c r="AZ137" s="1539"/>
      <c r="BA137" s="1539"/>
      <c r="BB137" s="1539"/>
      <c r="BC137" s="1539"/>
      <c r="BD137" s="1539"/>
      <c r="BE137" s="1539"/>
      <c r="BF137" s="1539"/>
      <c r="BG137" s="1539"/>
      <c r="BH137" s="1539"/>
      <c r="BI137" s="1539"/>
      <c r="BJ137" s="1539"/>
      <c r="BK137" s="1539"/>
      <c r="BL137" s="1539"/>
      <c r="BM137" s="1539"/>
      <c r="BN137" s="1539"/>
      <c r="BO137" s="1539"/>
      <c r="BP137" s="1539"/>
      <c r="BQ137" s="1539"/>
      <c r="BR137" s="1539"/>
      <c r="BS137" s="1539"/>
      <c r="BT137" s="1539"/>
      <c r="BU137" s="1539"/>
      <c r="BV137" s="1539"/>
      <c r="BW137" s="1539"/>
      <c r="BX137" s="1539"/>
      <c r="BY137" s="1539"/>
      <c r="BZ137" s="1539"/>
      <c r="CA137" s="1539"/>
      <c r="CB137" s="1539"/>
      <c r="CC137" s="1539"/>
      <c r="CD137" s="1539"/>
      <c r="CE137" s="1539"/>
      <c r="CF137" s="1539"/>
      <c r="CG137" s="1539"/>
      <c r="CH137" s="1539"/>
      <c r="CI137" s="1539"/>
      <c r="CJ137" s="1539"/>
      <c r="CK137" s="1539"/>
      <c r="CL137" s="1539"/>
      <c r="CM137" s="1539"/>
      <c r="CN137" s="1539"/>
      <c r="CO137" s="1539"/>
    </row>
    <row r="138" spans="1:93" s="1552" customFormat="1" ht="15.5">
      <c r="A138" s="1598" t="s">
        <v>3377</v>
      </c>
      <c r="B138" s="1599" t="s">
        <v>2119</v>
      </c>
      <c r="C138" s="1643" t="e">
        <f>+SUMIF(#REF!,Final!A138,#REF!)</f>
        <v>#REF!</v>
      </c>
      <c r="D138" s="1597" t="e">
        <f>+SUMIF(#REF!,Final!A138,#REF!)</f>
        <v>#REF!</v>
      </c>
      <c r="E138" s="1643" t="e">
        <f>SUMIF(#REF!,Final!A138,#REF!)</f>
        <v>#REF!</v>
      </c>
      <c r="F138" s="1644" t="e">
        <f>SUMIF(#REF!,Final!A138,#REF!)</f>
        <v>#REF!</v>
      </c>
      <c r="G138" s="1597" t="e">
        <f t="shared" si="8"/>
        <v>#REF!</v>
      </c>
      <c r="H138" s="1644" t="e">
        <f t="shared" si="9"/>
        <v>#REF!</v>
      </c>
      <c r="I138" s="1597" t="e">
        <f t="shared" si="10"/>
        <v>#REF!</v>
      </c>
      <c r="J138" s="1644" t="e">
        <f t="shared" si="11"/>
        <v>#REF!</v>
      </c>
      <c r="K138" s="1539"/>
      <c r="L138" s="1539"/>
      <c r="M138" s="1545"/>
      <c r="N138" s="1545"/>
      <c r="O138" s="1539"/>
      <c r="P138" s="1539"/>
      <c r="Q138" s="1539"/>
      <c r="R138" s="1539"/>
      <c r="S138" s="1539"/>
      <c r="T138" s="1539"/>
      <c r="U138" s="1539"/>
      <c r="V138" s="1539"/>
      <c r="W138" s="1539"/>
      <c r="X138" s="1539"/>
      <c r="Y138" s="1539"/>
      <c r="Z138" s="1539"/>
      <c r="AA138" s="1539"/>
      <c r="AB138" s="1539"/>
      <c r="AC138" s="1539"/>
      <c r="AD138" s="1539"/>
      <c r="AE138" s="1539"/>
      <c r="AF138" s="1539"/>
      <c r="AG138" s="1539"/>
      <c r="AH138" s="1539"/>
      <c r="AI138" s="1539"/>
      <c r="AJ138" s="1539"/>
      <c r="AK138" s="1539"/>
      <c r="AL138" s="1539"/>
      <c r="AM138" s="1539"/>
      <c r="AN138" s="1539"/>
      <c r="AO138" s="1539"/>
      <c r="AP138" s="1539"/>
      <c r="AQ138" s="1539"/>
      <c r="AR138" s="1539"/>
      <c r="AS138" s="1539"/>
      <c r="AT138" s="1539"/>
      <c r="AU138" s="1539"/>
      <c r="AV138" s="1539"/>
      <c r="AW138" s="1539"/>
      <c r="AX138" s="1539"/>
      <c r="AY138" s="1539"/>
      <c r="AZ138" s="1539"/>
      <c r="BA138" s="1539"/>
      <c r="BB138" s="1539"/>
      <c r="BC138" s="1539"/>
      <c r="BD138" s="1539"/>
      <c r="BE138" s="1539"/>
      <c r="BF138" s="1539"/>
      <c r="BG138" s="1539"/>
      <c r="BH138" s="1539"/>
      <c r="BI138" s="1539"/>
      <c r="BJ138" s="1539"/>
      <c r="BK138" s="1539"/>
      <c r="BL138" s="1539"/>
      <c r="BM138" s="1539"/>
      <c r="BN138" s="1539"/>
      <c r="BO138" s="1539"/>
      <c r="BP138" s="1539"/>
      <c r="BQ138" s="1539"/>
      <c r="BR138" s="1539"/>
      <c r="BS138" s="1539"/>
      <c r="BT138" s="1539"/>
      <c r="BU138" s="1539"/>
      <c r="BV138" s="1539"/>
      <c r="BW138" s="1539"/>
      <c r="BX138" s="1539"/>
      <c r="BY138" s="1539"/>
      <c r="BZ138" s="1539"/>
      <c r="CA138" s="1539"/>
      <c r="CB138" s="1539"/>
      <c r="CC138" s="1539"/>
      <c r="CD138" s="1539"/>
      <c r="CE138" s="1539"/>
      <c r="CF138" s="1539"/>
      <c r="CG138" s="1539"/>
      <c r="CH138" s="1539"/>
      <c r="CI138" s="1539"/>
      <c r="CJ138" s="1539"/>
      <c r="CK138" s="1539"/>
      <c r="CL138" s="1539"/>
      <c r="CM138" s="1539"/>
      <c r="CN138" s="1539"/>
      <c r="CO138" s="1539"/>
    </row>
    <row r="139" spans="1:93" s="1542" customFormat="1" ht="15.5">
      <c r="A139" s="1598">
        <v>2</v>
      </c>
      <c r="B139" s="1599" t="s">
        <v>2120</v>
      </c>
      <c r="C139" s="1643" t="e">
        <f>+SUMIF(#REF!,Final!A139,#REF!)</f>
        <v>#REF!</v>
      </c>
      <c r="D139" s="1597" t="e">
        <f>+SUMIF(#REF!,Final!A139,#REF!)</f>
        <v>#REF!</v>
      </c>
      <c r="E139" s="1643" t="e">
        <f>SUMIF(#REF!,Final!A139,#REF!)</f>
        <v>#REF!</v>
      </c>
      <c r="F139" s="1644" t="e">
        <f>SUMIF(#REF!,Final!A139,#REF!)</f>
        <v>#REF!</v>
      </c>
      <c r="G139" s="1597" t="e">
        <f t="shared" si="8"/>
        <v>#REF!</v>
      </c>
      <c r="H139" s="1644" t="e">
        <f t="shared" si="9"/>
        <v>#REF!</v>
      </c>
      <c r="I139" s="1597" t="e">
        <f t="shared" si="10"/>
        <v>#REF!</v>
      </c>
      <c r="J139" s="1644" t="e">
        <f t="shared" si="11"/>
        <v>#REF!</v>
      </c>
      <c r="K139" s="1539"/>
      <c r="L139" s="1539"/>
      <c r="M139" s="1545"/>
      <c r="N139" s="1545"/>
      <c r="O139" s="1539"/>
      <c r="P139" s="1539"/>
      <c r="Q139" s="1539"/>
      <c r="R139" s="1539"/>
      <c r="S139" s="1539"/>
      <c r="T139" s="1539"/>
      <c r="U139" s="1539"/>
      <c r="V139" s="1539"/>
      <c r="W139" s="1539"/>
      <c r="X139" s="1539"/>
      <c r="Y139" s="1539"/>
      <c r="Z139" s="1539"/>
      <c r="AA139" s="1539"/>
      <c r="AB139" s="1539"/>
      <c r="AC139" s="1539"/>
      <c r="AD139" s="1539"/>
      <c r="AE139" s="1539"/>
      <c r="AF139" s="1539"/>
      <c r="AG139" s="1539"/>
      <c r="AH139" s="1539"/>
      <c r="AI139" s="1539"/>
      <c r="AJ139" s="1539"/>
      <c r="AK139" s="1539"/>
      <c r="AL139" s="1539"/>
      <c r="AM139" s="1539"/>
      <c r="AN139" s="1539"/>
      <c r="AO139" s="1539"/>
      <c r="AP139" s="1539"/>
      <c r="AQ139" s="1539"/>
      <c r="AR139" s="1539"/>
      <c r="AS139" s="1539"/>
      <c r="AT139" s="1539"/>
      <c r="AU139" s="1539"/>
      <c r="AV139" s="1539"/>
      <c r="AW139" s="1539"/>
      <c r="AX139" s="1539"/>
      <c r="AY139" s="1539"/>
      <c r="AZ139" s="1539"/>
      <c r="BA139" s="1539"/>
      <c r="BB139" s="1539"/>
      <c r="BC139" s="1539"/>
      <c r="BD139" s="1539"/>
      <c r="BE139" s="1539"/>
      <c r="BF139" s="1539"/>
      <c r="BG139" s="1539"/>
      <c r="BH139" s="1539"/>
      <c r="BI139" s="1539"/>
      <c r="BJ139" s="1539"/>
      <c r="BK139" s="1539"/>
      <c r="BL139" s="1539"/>
      <c r="BM139" s="1539"/>
      <c r="BN139" s="1539"/>
      <c r="BO139" s="1539"/>
      <c r="BP139" s="1539"/>
      <c r="BQ139" s="1539"/>
      <c r="BR139" s="1539"/>
      <c r="BS139" s="1539"/>
      <c r="BT139" s="1539"/>
      <c r="BU139" s="1539"/>
      <c r="BV139" s="1539"/>
      <c r="BW139" s="1539"/>
      <c r="BX139" s="1539"/>
      <c r="BY139" s="1539"/>
      <c r="BZ139" s="1539"/>
      <c r="CA139" s="1539"/>
      <c r="CB139" s="1539"/>
      <c r="CC139" s="1539"/>
      <c r="CD139" s="1539"/>
      <c r="CE139" s="1539"/>
      <c r="CF139" s="1539"/>
      <c r="CG139" s="1539"/>
      <c r="CH139" s="1539"/>
      <c r="CI139" s="1539"/>
      <c r="CJ139" s="1539"/>
      <c r="CK139" s="1539"/>
      <c r="CL139" s="1539"/>
      <c r="CM139" s="1539"/>
      <c r="CN139" s="1539"/>
      <c r="CO139" s="1539"/>
    </row>
    <row r="140" spans="1:93" s="1542" customFormat="1" ht="15.5">
      <c r="A140" s="1598" t="s">
        <v>1102</v>
      </c>
      <c r="B140" s="1599" t="s">
        <v>2121</v>
      </c>
      <c r="C140" s="1643" t="e">
        <f>+SUMIF(#REF!,Final!A140,#REF!)</f>
        <v>#REF!</v>
      </c>
      <c r="D140" s="1597" t="e">
        <f>+SUMIF(#REF!,Final!A140,#REF!)</f>
        <v>#REF!</v>
      </c>
      <c r="E140" s="1643" t="e">
        <f>SUMIF(#REF!,Final!A140,#REF!)</f>
        <v>#REF!</v>
      </c>
      <c r="F140" s="1644" t="e">
        <f>SUMIF(#REF!,Final!A140,#REF!)</f>
        <v>#REF!</v>
      </c>
      <c r="G140" s="1597" t="e">
        <f t="shared" si="8"/>
        <v>#REF!</v>
      </c>
      <c r="H140" s="1644" t="e">
        <f t="shared" si="9"/>
        <v>#REF!</v>
      </c>
      <c r="I140" s="1597" t="e">
        <f t="shared" si="10"/>
        <v>#REF!</v>
      </c>
      <c r="J140" s="1644" t="e">
        <f t="shared" si="11"/>
        <v>#REF!</v>
      </c>
      <c r="K140" s="1539"/>
      <c r="L140" s="1539"/>
      <c r="M140" s="1545"/>
      <c r="N140" s="1545"/>
      <c r="O140" s="1539"/>
      <c r="P140" s="1539"/>
      <c r="Q140" s="1539"/>
      <c r="R140" s="1539"/>
      <c r="S140" s="1539"/>
      <c r="T140" s="1539"/>
      <c r="U140" s="1539"/>
      <c r="V140" s="1539"/>
      <c r="W140" s="1539"/>
      <c r="X140" s="1539"/>
      <c r="Y140" s="1539"/>
      <c r="Z140" s="1539"/>
      <c r="AA140" s="1539"/>
      <c r="AB140" s="1539"/>
      <c r="AC140" s="1539"/>
      <c r="AD140" s="1539"/>
      <c r="AE140" s="1539"/>
      <c r="AF140" s="1539"/>
      <c r="AG140" s="1539"/>
      <c r="AH140" s="1539"/>
      <c r="AI140" s="1539"/>
      <c r="AJ140" s="1539"/>
      <c r="AK140" s="1539"/>
      <c r="AL140" s="1539"/>
      <c r="AM140" s="1539"/>
      <c r="AN140" s="1539"/>
      <c r="AO140" s="1539"/>
      <c r="AP140" s="1539"/>
      <c r="AQ140" s="1539"/>
      <c r="AR140" s="1539"/>
      <c r="AS140" s="1539"/>
      <c r="AT140" s="1539"/>
      <c r="AU140" s="1539"/>
      <c r="AV140" s="1539"/>
      <c r="AW140" s="1539"/>
      <c r="AX140" s="1539"/>
      <c r="AY140" s="1539"/>
      <c r="AZ140" s="1539"/>
      <c r="BA140" s="1539"/>
      <c r="BB140" s="1539"/>
      <c r="BC140" s="1539"/>
      <c r="BD140" s="1539"/>
      <c r="BE140" s="1539"/>
      <c r="BF140" s="1539"/>
      <c r="BG140" s="1539"/>
      <c r="BH140" s="1539"/>
      <c r="BI140" s="1539"/>
      <c r="BJ140" s="1539"/>
      <c r="BK140" s="1539"/>
      <c r="BL140" s="1539"/>
      <c r="BM140" s="1539"/>
      <c r="BN140" s="1539"/>
      <c r="BO140" s="1539"/>
      <c r="BP140" s="1539"/>
      <c r="BQ140" s="1539"/>
      <c r="BR140" s="1539"/>
      <c r="BS140" s="1539"/>
      <c r="BT140" s="1539"/>
      <c r="BU140" s="1539"/>
      <c r="BV140" s="1539"/>
      <c r="BW140" s="1539"/>
      <c r="BX140" s="1539"/>
      <c r="BY140" s="1539"/>
      <c r="BZ140" s="1539"/>
      <c r="CA140" s="1539"/>
      <c r="CB140" s="1539"/>
      <c r="CC140" s="1539"/>
      <c r="CD140" s="1539"/>
      <c r="CE140" s="1539"/>
      <c r="CF140" s="1539"/>
      <c r="CG140" s="1539"/>
      <c r="CH140" s="1539"/>
      <c r="CI140" s="1539"/>
      <c r="CJ140" s="1539"/>
      <c r="CK140" s="1539"/>
      <c r="CL140" s="1539"/>
      <c r="CM140" s="1539"/>
      <c r="CN140" s="1539"/>
      <c r="CO140" s="1539"/>
    </row>
    <row r="141" spans="1:93" ht="15.5">
      <c r="A141" s="1598">
        <v>12.21</v>
      </c>
      <c r="B141" s="1599" t="s">
        <v>2122</v>
      </c>
      <c r="C141" s="1643" t="e">
        <f>+SUMIF(#REF!,Final!A141,#REF!)</f>
        <v>#REF!</v>
      </c>
      <c r="D141" s="1597" t="e">
        <f>+SUMIF(#REF!,Final!A141,#REF!)</f>
        <v>#REF!</v>
      </c>
      <c r="E141" s="1643" t="e">
        <f>SUMIF(#REF!,Final!A141,#REF!)</f>
        <v>#REF!</v>
      </c>
      <c r="F141" s="1644" t="e">
        <f>SUMIF(#REF!,Final!A141,#REF!)</f>
        <v>#REF!</v>
      </c>
      <c r="G141" s="1597" t="e">
        <f t="shared" si="8"/>
        <v>#REF!</v>
      </c>
      <c r="H141" s="1644" t="e">
        <f t="shared" si="9"/>
        <v>#REF!</v>
      </c>
      <c r="I141" s="1597" t="e">
        <f t="shared" si="10"/>
        <v>#REF!</v>
      </c>
      <c r="J141" s="1644" t="e">
        <f t="shared" si="11"/>
        <v>#REF!</v>
      </c>
      <c r="M141" s="1545"/>
      <c r="N141" s="1545"/>
    </row>
    <row r="142" spans="1:93" s="1552" customFormat="1" ht="15.5">
      <c r="A142" s="1598"/>
      <c r="B142" s="1599" t="s">
        <v>754</v>
      </c>
      <c r="C142" s="1643" t="e">
        <f>+SUMIF(#REF!,Final!A142,#REF!)</f>
        <v>#REF!</v>
      </c>
      <c r="D142" s="1597" t="e">
        <f>+SUMIF(#REF!,Final!A142,#REF!)</f>
        <v>#REF!</v>
      </c>
      <c r="E142" s="1643" t="e">
        <f>SUMIF(#REF!,Final!A142,#REF!)</f>
        <v>#REF!</v>
      </c>
      <c r="F142" s="1644" t="e">
        <f>SUMIF(#REF!,Final!A142,#REF!)</f>
        <v>#REF!</v>
      </c>
      <c r="G142" s="1597" t="e">
        <f t="shared" si="8"/>
        <v>#REF!</v>
      </c>
      <c r="H142" s="1644" t="e">
        <f t="shared" si="9"/>
        <v>#REF!</v>
      </c>
      <c r="I142" s="1597" t="e">
        <f t="shared" si="10"/>
        <v>#REF!</v>
      </c>
      <c r="J142" s="1644" t="e">
        <f t="shared" si="11"/>
        <v>#REF!</v>
      </c>
      <c r="K142" s="1539"/>
      <c r="L142" s="1539"/>
      <c r="M142" s="1545"/>
      <c r="N142" s="1545"/>
      <c r="O142" s="1539"/>
      <c r="P142" s="1539"/>
      <c r="Q142" s="1539"/>
      <c r="R142" s="1539"/>
      <c r="S142" s="1539"/>
      <c r="T142" s="1539"/>
      <c r="U142" s="1539"/>
      <c r="V142" s="1539"/>
      <c r="W142" s="1539"/>
      <c r="X142" s="1539"/>
      <c r="Y142" s="1539"/>
      <c r="Z142" s="1539"/>
      <c r="AA142" s="1539"/>
      <c r="AB142" s="1539"/>
      <c r="AC142" s="1539"/>
      <c r="AD142" s="1539"/>
      <c r="AE142" s="1539"/>
      <c r="AF142" s="1539"/>
      <c r="AG142" s="1539"/>
      <c r="AH142" s="1539"/>
      <c r="AI142" s="1539"/>
      <c r="AJ142" s="1539"/>
      <c r="AK142" s="1539"/>
      <c r="AL142" s="1539"/>
      <c r="AM142" s="1539"/>
      <c r="AN142" s="1539"/>
      <c r="AO142" s="1539"/>
      <c r="AP142" s="1539"/>
      <c r="AQ142" s="1539"/>
      <c r="AR142" s="1539"/>
      <c r="AS142" s="1539"/>
      <c r="AT142" s="1539"/>
      <c r="AU142" s="1539"/>
      <c r="AV142" s="1539"/>
      <c r="AW142" s="1539"/>
      <c r="AX142" s="1539"/>
      <c r="AY142" s="1539"/>
      <c r="AZ142" s="1539"/>
      <c r="BA142" s="1539"/>
      <c r="BB142" s="1539"/>
      <c r="BC142" s="1539"/>
      <c r="BD142" s="1539"/>
      <c r="BE142" s="1539"/>
      <c r="BF142" s="1539"/>
      <c r="BG142" s="1539"/>
      <c r="BH142" s="1539"/>
      <c r="BI142" s="1539"/>
      <c r="BJ142" s="1539"/>
      <c r="BK142" s="1539"/>
      <c r="BL142" s="1539"/>
      <c r="BM142" s="1539"/>
      <c r="BN142" s="1539"/>
      <c r="BO142" s="1539"/>
      <c r="BP142" s="1539"/>
      <c r="BQ142" s="1539"/>
      <c r="BR142" s="1539"/>
      <c r="BS142" s="1539"/>
      <c r="BT142" s="1539"/>
      <c r="BU142" s="1539"/>
      <c r="BV142" s="1539"/>
      <c r="BW142" s="1539"/>
      <c r="BX142" s="1539"/>
      <c r="BY142" s="1539"/>
      <c r="BZ142" s="1539"/>
      <c r="CA142" s="1539"/>
      <c r="CB142" s="1539"/>
      <c r="CC142" s="1539"/>
      <c r="CD142" s="1539"/>
      <c r="CE142" s="1539"/>
      <c r="CF142" s="1539"/>
      <c r="CG142" s="1539"/>
      <c r="CH142" s="1539"/>
      <c r="CI142" s="1539"/>
      <c r="CJ142" s="1539"/>
      <c r="CK142" s="1539"/>
      <c r="CL142" s="1539"/>
      <c r="CM142" s="1539"/>
      <c r="CN142" s="1539"/>
      <c r="CO142" s="1539"/>
    </row>
    <row r="143" spans="1:93" s="1542" customFormat="1" ht="15.5">
      <c r="A143" s="1598" t="s">
        <v>543</v>
      </c>
      <c r="B143" s="1599" t="s">
        <v>2123</v>
      </c>
      <c r="C143" s="1643" t="e">
        <f>+SUMIF(#REF!,Final!A143,#REF!)</f>
        <v>#REF!</v>
      </c>
      <c r="D143" s="1597" t="e">
        <f>+SUMIF(#REF!,Final!A143,#REF!)</f>
        <v>#REF!</v>
      </c>
      <c r="E143" s="1643" t="e">
        <f>SUMIF(#REF!,Final!A143,#REF!)</f>
        <v>#REF!</v>
      </c>
      <c r="F143" s="1644" t="e">
        <f>SUMIF(#REF!,Final!A143,#REF!)</f>
        <v>#REF!</v>
      </c>
      <c r="G143" s="1597" t="e">
        <f t="shared" si="8"/>
        <v>#REF!</v>
      </c>
      <c r="H143" s="1644" t="e">
        <f t="shared" si="9"/>
        <v>#REF!</v>
      </c>
      <c r="I143" s="1597" t="e">
        <f t="shared" si="10"/>
        <v>#REF!</v>
      </c>
      <c r="J143" s="1644" t="e">
        <f t="shared" si="11"/>
        <v>#REF!</v>
      </c>
      <c r="K143" s="1539"/>
      <c r="L143" s="1539"/>
      <c r="M143" s="1545"/>
      <c r="N143" s="1545"/>
      <c r="O143" s="1539"/>
      <c r="P143" s="1539"/>
      <c r="Q143" s="1539"/>
      <c r="R143" s="1539"/>
      <c r="S143" s="1539"/>
      <c r="T143" s="1539"/>
      <c r="U143" s="1539"/>
      <c r="V143" s="1539"/>
      <c r="W143" s="1539"/>
      <c r="X143" s="1539"/>
      <c r="Y143" s="1539"/>
      <c r="Z143" s="1539"/>
      <c r="AA143" s="1539"/>
      <c r="AB143" s="1539"/>
      <c r="AC143" s="1539"/>
      <c r="AD143" s="1539"/>
      <c r="AE143" s="1539"/>
      <c r="AF143" s="1539"/>
      <c r="AG143" s="1539"/>
      <c r="AH143" s="1539"/>
      <c r="AI143" s="1539"/>
      <c r="AJ143" s="1539"/>
      <c r="AK143" s="1539"/>
      <c r="AL143" s="1539"/>
      <c r="AM143" s="1539"/>
      <c r="AN143" s="1539"/>
      <c r="AO143" s="1539"/>
      <c r="AP143" s="1539"/>
      <c r="AQ143" s="1539"/>
      <c r="AR143" s="1539"/>
      <c r="AS143" s="1539"/>
      <c r="AT143" s="1539"/>
      <c r="AU143" s="1539"/>
      <c r="AV143" s="1539"/>
      <c r="AW143" s="1539"/>
      <c r="AX143" s="1539"/>
      <c r="AY143" s="1539"/>
      <c r="AZ143" s="1539"/>
      <c r="BA143" s="1539"/>
      <c r="BB143" s="1539"/>
      <c r="BC143" s="1539"/>
      <c r="BD143" s="1539"/>
      <c r="BE143" s="1539"/>
      <c r="BF143" s="1539"/>
      <c r="BG143" s="1539"/>
      <c r="BH143" s="1539"/>
      <c r="BI143" s="1539"/>
      <c r="BJ143" s="1539"/>
      <c r="BK143" s="1539"/>
      <c r="BL143" s="1539"/>
      <c r="BM143" s="1539"/>
      <c r="BN143" s="1539"/>
      <c r="BO143" s="1539"/>
      <c r="BP143" s="1539"/>
      <c r="BQ143" s="1539"/>
      <c r="BR143" s="1539"/>
      <c r="BS143" s="1539"/>
      <c r="BT143" s="1539"/>
      <c r="BU143" s="1539"/>
      <c r="BV143" s="1539"/>
      <c r="BW143" s="1539"/>
      <c r="BX143" s="1539"/>
      <c r="BY143" s="1539"/>
      <c r="BZ143" s="1539"/>
      <c r="CA143" s="1539"/>
      <c r="CB143" s="1539"/>
      <c r="CC143" s="1539"/>
      <c r="CD143" s="1539"/>
      <c r="CE143" s="1539"/>
      <c r="CF143" s="1539"/>
      <c r="CG143" s="1539"/>
      <c r="CH143" s="1539"/>
      <c r="CI143" s="1539"/>
      <c r="CJ143" s="1539"/>
      <c r="CK143" s="1539"/>
      <c r="CL143" s="1539"/>
      <c r="CM143" s="1539"/>
      <c r="CN143" s="1539"/>
      <c r="CO143" s="1539"/>
    </row>
    <row r="144" spans="1:93" ht="15.5">
      <c r="A144" s="1598">
        <v>12.61</v>
      </c>
      <c r="B144" s="1599" t="s">
        <v>2124</v>
      </c>
      <c r="C144" s="1643" t="e">
        <f>+SUMIF(#REF!,Final!A144,#REF!)</f>
        <v>#REF!</v>
      </c>
      <c r="D144" s="1597" t="e">
        <f>+SUMIF(#REF!,Final!A144,#REF!)</f>
        <v>#REF!</v>
      </c>
      <c r="E144" s="1643" t="e">
        <f>SUMIF(#REF!,Final!A144,#REF!)</f>
        <v>#REF!</v>
      </c>
      <c r="F144" s="1644" t="e">
        <f>SUMIF(#REF!,Final!A144,#REF!)</f>
        <v>#REF!</v>
      </c>
      <c r="G144" s="1597" t="e">
        <f t="shared" si="8"/>
        <v>#REF!</v>
      </c>
      <c r="H144" s="1644" t="e">
        <f t="shared" si="9"/>
        <v>#REF!</v>
      </c>
      <c r="I144" s="1597" t="e">
        <f t="shared" si="10"/>
        <v>#REF!</v>
      </c>
      <c r="J144" s="1644" t="e">
        <f t="shared" si="11"/>
        <v>#REF!</v>
      </c>
      <c r="M144" s="1545"/>
      <c r="N144" s="1545"/>
    </row>
    <row r="145" spans="1:93" s="1552" customFormat="1" ht="15.5">
      <c r="A145" s="1598"/>
      <c r="B145" s="1599" t="s">
        <v>754</v>
      </c>
      <c r="C145" s="1643" t="e">
        <f>+SUMIF(#REF!,Final!A145,#REF!)</f>
        <v>#REF!</v>
      </c>
      <c r="D145" s="1597" t="e">
        <f>+SUMIF(#REF!,Final!A145,#REF!)</f>
        <v>#REF!</v>
      </c>
      <c r="E145" s="1643" t="e">
        <f>SUMIF(#REF!,Final!A145,#REF!)</f>
        <v>#REF!</v>
      </c>
      <c r="F145" s="1644" t="e">
        <f>SUMIF(#REF!,Final!A145,#REF!)</f>
        <v>#REF!</v>
      </c>
      <c r="G145" s="1597" t="e">
        <f t="shared" si="8"/>
        <v>#REF!</v>
      </c>
      <c r="H145" s="1644" t="e">
        <f t="shared" si="9"/>
        <v>#REF!</v>
      </c>
      <c r="I145" s="1597" t="e">
        <f t="shared" si="10"/>
        <v>#REF!</v>
      </c>
      <c r="J145" s="1644" t="e">
        <f t="shared" si="11"/>
        <v>#REF!</v>
      </c>
      <c r="K145" s="1539"/>
      <c r="L145" s="1539"/>
      <c r="M145" s="1545"/>
      <c r="N145" s="1545"/>
      <c r="O145" s="1539"/>
      <c r="P145" s="1539"/>
      <c r="Q145" s="1539"/>
      <c r="R145" s="1539"/>
      <c r="S145" s="1539"/>
      <c r="T145" s="1539"/>
      <c r="U145" s="1539"/>
      <c r="V145" s="1539"/>
      <c r="W145" s="1539"/>
      <c r="X145" s="1539"/>
      <c r="Y145" s="1539"/>
      <c r="Z145" s="1539"/>
      <c r="AA145" s="1539"/>
      <c r="AB145" s="1539"/>
      <c r="AC145" s="1539"/>
      <c r="AD145" s="1539"/>
      <c r="AE145" s="1539"/>
      <c r="AF145" s="1539"/>
      <c r="AG145" s="1539"/>
      <c r="AH145" s="1539"/>
      <c r="AI145" s="1539"/>
      <c r="AJ145" s="1539"/>
      <c r="AK145" s="1539"/>
      <c r="AL145" s="1539"/>
      <c r="AM145" s="1539"/>
      <c r="AN145" s="1539"/>
      <c r="AO145" s="1539"/>
      <c r="AP145" s="1539"/>
      <c r="AQ145" s="1539"/>
      <c r="AR145" s="1539"/>
      <c r="AS145" s="1539"/>
      <c r="AT145" s="1539"/>
      <c r="AU145" s="1539"/>
      <c r="AV145" s="1539"/>
      <c r="AW145" s="1539"/>
      <c r="AX145" s="1539"/>
      <c r="AY145" s="1539"/>
      <c r="AZ145" s="1539"/>
      <c r="BA145" s="1539"/>
      <c r="BB145" s="1539"/>
      <c r="BC145" s="1539"/>
      <c r="BD145" s="1539"/>
      <c r="BE145" s="1539"/>
      <c r="BF145" s="1539"/>
      <c r="BG145" s="1539"/>
      <c r="BH145" s="1539"/>
      <c r="BI145" s="1539"/>
      <c r="BJ145" s="1539"/>
      <c r="BK145" s="1539"/>
      <c r="BL145" s="1539"/>
      <c r="BM145" s="1539"/>
      <c r="BN145" s="1539"/>
      <c r="BO145" s="1539"/>
      <c r="BP145" s="1539"/>
      <c r="BQ145" s="1539"/>
      <c r="BR145" s="1539"/>
      <c r="BS145" s="1539"/>
      <c r="BT145" s="1539"/>
      <c r="BU145" s="1539"/>
      <c r="BV145" s="1539"/>
      <c r="BW145" s="1539"/>
      <c r="BX145" s="1539"/>
      <c r="BY145" s="1539"/>
      <c r="BZ145" s="1539"/>
      <c r="CA145" s="1539"/>
      <c r="CB145" s="1539"/>
      <c r="CC145" s="1539"/>
      <c r="CD145" s="1539"/>
      <c r="CE145" s="1539"/>
      <c r="CF145" s="1539"/>
      <c r="CG145" s="1539"/>
      <c r="CH145" s="1539"/>
      <c r="CI145" s="1539"/>
      <c r="CJ145" s="1539"/>
      <c r="CK145" s="1539"/>
      <c r="CL145" s="1539"/>
      <c r="CM145" s="1539"/>
      <c r="CN145" s="1539"/>
      <c r="CO145" s="1539"/>
    </row>
    <row r="146" spans="1:93" s="1542" customFormat="1" ht="15.5">
      <c r="A146" s="1598" t="s">
        <v>544</v>
      </c>
      <c r="B146" s="1599" t="s">
        <v>2125</v>
      </c>
      <c r="C146" s="1643" t="e">
        <f>+SUMIF(#REF!,Final!A146,#REF!)</f>
        <v>#REF!</v>
      </c>
      <c r="D146" s="1597" t="e">
        <f>+SUMIF(#REF!,Final!A146,#REF!)</f>
        <v>#REF!</v>
      </c>
      <c r="E146" s="1643" t="e">
        <f>SUMIF(#REF!,Final!A146,#REF!)</f>
        <v>#REF!</v>
      </c>
      <c r="F146" s="1644" t="e">
        <f>SUMIF(#REF!,Final!A146,#REF!)</f>
        <v>#REF!</v>
      </c>
      <c r="G146" s="1597" t="e">
        <f t="shared" si="8"/>
        <v>#REF!</v>
      </c>
      <c r="H146" s="1644" t="e">
        <f t="shared" si="9"/>
        <v>#REF!</v>
      </c>
      <c r="I146" s="1597" t="e">
        <f t="shared" si="10"/>
        <v>#REF!</v>
      </c>
      <c r="J146" s="1644" t="e">
        <f t="shared" si="11"/>
        <v>#REF!</v>
      </c>
      <c r="K146" s="1539"/>
      <c r="L146" s="1539"/>
      <c r="M146" s="1545"/>
      <c r="N146" s="1545"/>
      <c r="O146" s="1539"/>
      <c r="P146" s="1539"/>
      <c r="Q146" s="1539"/>
      <c r="R146" s="1539"/>
      <c r="S146" s="1539"/>
      <c r="T146" s="1539"/>
      <c r="U146" s="1539"/>
      <c r="V146" s="1539"/>
      <c r="W146" s="1539"/>
      <c r="X146" s="1539"/>
      <c r="Y146" s="1539"/>
      <c r="Z146" s="1539"/>
      <c r="AA146" s="1539"/>
      <c r="AB146" s="1539"/>
      <c r="AC146" s="1539"/>
      <c r="AD146" s="1539"/>
      <c r="AE146" s="1539"/>
      <c r="AF146" s="1539"/>
      <c r="AG146" s="1539"/>
      <c r="AH146" s="1539"/>
      <c r="AI146" s="1539"/>
      <c r="AJ146" s="1539"/>
      <c r="AK146" s="1539"/>
      <c r="AL146" s="1539"/>
      <c r="AM146" s="1539"/>
      <c r="AN146" s="1539"/>
      <c r="AO146" s="1539"/>
      <c r="AP146" s="1539"/>
      <c r="AQ146" s="1539"/>
      <c r="AR146" s="1539"/>
      <c r="AS146" s="1539"/>
      <c r="AT146" s="1539"/>
      <c r="AU146" s="1539"/>
      <c r="AV146" s="1539"/>
      <c r="AW146" s="1539"/>
      <c r="AX146" s="1539"/>
      <c r="AY146" s="1539"/>
      <c r="AZ146" s="1539"/>
      <c r="BA146" s="1539"/>
      <c r="BB146" s="1539"/>
      <c r="BC146" s="1539"/>
      <c r="BD146" s="1539"/>
      <c r="BE146" s="1539"/>
      <c r="BF146" s="1539"/>
      <c r="BG146" s="1539"/>
      <c r="BH146" s="1539"/>
      <c r="BI146" s="1539"/>
      <c r="BJ146" s="1539"/>
      <c r="BK146" s="1539"/>
      <c r="BL146" s="1539"/>
      <c r="BM146" s="1539"/>
      <c r="BN146" s="1539"/>
      <c r="BO146" s="1539"/>
      <c r="BP146" s="1539"/>
      <c r="BQ146" s="1539"/>
      <c r="BR146" s="1539"/>
      <c r="BS146" s="1539"/>
      <c r="BT146" s="1539"/>
      <c r="BU146" s="1539"/>
      <c r="BV146" s="1539"/>
      <c r="BW146" s="1539"/>
      <c r="BX146" s="1539"/>
      <c r="BY146" s="1539"/>
      <c r="BZ146" s="1539"/>
      <c r="CA146" s="1539"/>
      <c r="CB146" s="1539"/>
      <c r="CC146" s="1539"/>
      <c r="CD146" s="1539"/>
      <c r="CE146" s="1539"/>
      <c r="CF146" s="1539"/>
      <c r="CG146" s="1539"/>
      <c r="CH146" s="1539"/>
      <c r="CI146" s="1539"/>
      <c r="CJ146" s="1539"/>
      <c r="CK146" s="1539"/>
      <c r="CL146" s="1539"/>
      <c r="CM146" s="1539"/>
      <c r="CN146" s="1539"/>
      <c r="CO146" s="1539"/>
    </row>
    <row r="147" spans="1:93" s="1542" customFormat="1" ht="15.5">
      <c r="A147" s="1598">
        <v>12.71</v>
      </c>
      <c r="B147" s="1599" t="s">
        <v>2126</v>
      </c>
      <c r="C147" s="1643" t="e">
        <f>+SUMIF(#REF!,Final!A147,#REF!)</f>
        <v>#REF!</v>
      </c>
      <c r="D147" s="1597" t="e">
        <f>+SUMIF(#REF!,Final!A147,#REF!)</f>
        <v>#REF!</v>
      </c>
      <c r="E147" s="1643" t="e">
        <f>SUMIF(#REF!,Final!A147,#REF!)</f>
        <v>#REF!</v>
      </c>
      <c r="F147" s="1644" t="e">
        <f>SUMIF(#REF!,Final!A147,#REF!)</f>
        <v>#REF!</v>
      </c>
      <c r="G147" s="1597" t="e">
        <f t="shared" si="8"/>
        <v>#REF!</v>
      </c>
      <c r="H147" s="1644" t="e">
        <f t="shared" si="9"/>
        <v>#REF!</v>
      </c>
      <c r="I147" s="1597" t="e">
        <f t="shared" si="10"/>
        <v>#REF!</v>
      </c>
      <c r="J147" s="1644" t="e">
        <f t="shared" si="11"/>
        <v>#REF!</v>
      </c>
      <c r="K147" s="1539"/>
      <c r="L147" s="1539"/>
      <c r="M147" s="1545"/>
      <c r="N147" s="1545"/>
      <c r="O147" s="1539"/>
      <c r="P147" s="1539"/>
      <c r="Q147" s="1539"/>
      <c r="R147" s="1539"/>
      <c r="S147" s="1539"/>
      <c r="T147" s="1539"/>
      <c r="U147" s="1539"/>
      <c r="V147" s="1539"/>
      <c r="W147" s="1539"/>
      <c r="X147" s="1539"/>
      <c r="Y147" s="1539"/>
      <c r="Z147" s="1539"/>
      <c r="AA147" s="1539"/>
      <c r="AB147" s="1539"/>
      <c r="AC147" s="1539"/>
      <c r="AD147" s="1539"/>
      <c r="AE147" s="1539"/>
      <c r="AF147" s="1539"/>
      <c r="AG147" s="1539"/>
      <c r="AH147" s="1539"/>
      <c r="AI147" s="1539"/>
      <c r="AJ147" s="1539"/>
      <c r="AK147" s="1539"/>
      <c r="AL147" s="1539"/>
      <c r="AM147" s="1539"/>
      <c r="AN147" s="1539"/>
      <c r="AO147" s="1539"/>
      <c r="AP147" s="1539"/>
      <c r="AQ147" s="1539"/>
      <c r="AR147" s="1539"/>
      <c r="AS147" s="1539"/>
      <c r="AT147" s="1539"/>
      <c r="AU147" s="1539"/>
      <c r="AV147" s="1539"/>
      <c r="AW147" s="1539"/>
      <c r="AX147" s="1539"/>
      <c r="AY147" s="1539"/>
      <c r="AZ147" s="1539"/>
      <c r="BA147" s="1539"/>
      <c r="BB147" s="1539"/>
      <c r="BC147" s="1539"/>
      <c r="BD147" s="1539"/>
      <c r="BE147" s="1539"/>
      <c r="BF147" s="1539"/>
      <c r="BG147" s="1539"/>
      <c r="BH147" s="1539"/>
      <c r="BI147" s="1539"/>
      <c r="BJ147" s="1539"/>
      <c r="BK147" s="1539"/>
      <c r="BL147" s="1539"/>
      <c r="BM147" s="1539"/>
      <c r="BN147" s="1539"/>
      <c r="BO147" s="1539"/>
      <c r="BP147" s="1539"/>
      <c r="BQ147" s="1539"/>
      <c r="BR147" s="1539"/>
      <c r="BS147" s="1539"/>
      <c r="BT147" s="1539"/>
      <c r="BU147" s="1539"/>
      <c r="BV147" s="1539"/>
      <c r="BW147" s="1539"/>
      <c r="BX147" s="1539"/>
      <c r="BY147" s="1539"/>
      <c r="BZ147" s="1539"/>
      <c r="CA147" s="1539"/>
      <c r="CB147" s="1539"/>
      <c r="CC147" s="1539"/>
      <c r="CD147" s="1539"/>
      <c r="CE147" s="1539"/>
      <c r="CF147" s="1539"/>
      <c r="CG147" s="1539"/>
      <c r="CH147" s="1539"/>
      <c r="CI147" s="1539"/>
      <c r="CJ147" s="1539"/>
      <c r="CK147" s="1539"/>
      <c r="CL147" s="1539"/>
      <c r="CM147" s="1539"/>
      <c r="CN147" s="1539"/>
      <c r="CO147" s="1539"/>
    </row>
    <row r="148" spans="1:93" s="1552" customFormat="1" ht="15.5">
      <c r="A148" s="1598"/>
      <c r="B148" s="1599" t="s">
        <v>754</v>
      </c>
      <c r="C148" s="1643" t="e">
        <f>+SUMIF(#REF!,Final!A148,#REF!)</f>
        <v>#REF!</v>
      </c>
      <c r="D148" s="1597" t="e">
        <f>+SUMIF(#REF!,Final!A148,#REF!)</f>
        <v>#REF!</v>
      </c>
      <c r="E148" s="1643" t="e">
        <f>SUMIF(#REF!,Final!A148,#REF!)</f>
        <v>#REF!</v>
      </c>
      <c r="F148" s="1644" t="e">
        <f>SUMIF(#REF!,Final!A148,#REF!)</f>
        <v>#REF!</v>
      </c>
      <c r="G148" s="1597" t="e">
        <f t="shared" si="8"/>
        <v>#REF!</v>
      </c>
      <c r="H148" s="1644" t="e">
        <f t="shared" si="9"/>
        <v>#REF!</v>
      </c>
      <c r="I148" s="1597" t="e">
        <f t="shared" si="10"/>
        <v>#REF!</v>
      </c>
      <c r="J148" s="1644" t="e">
        <f t="shared" si="11"/>
        <v>#REF!</v>
      </c>
      <c r="K148" s="1539"/>
      <c r="L148" s="1539"/>
      <c r="M148" s="1545"/>
      <c r="N148" s="1545"/>
      <c r="O148" s="1539"/>
      <c r="P148" s="1539"/>
      <c r="Q148" s="1539"/>
      <c r="R148" s="1539"/>
      <c r="S148" s="1539"/>
      <c r="T148" s="1539"/>
      <c r="U148" s="1539"/>
      <c r="V148" s="1539"/>
      <c r="W148" s="1539"/>
      <c r="X148" s="1539"/>
      <c r="Y148" s="1539"/>
      <c r="Z148" s="1539"/>
      <c r="AA148" s="1539"/>
      <c r="AB148" s="1539"/>
      <c r="AC148" s="1539"/>
      <c r="AD148" s="1539"/>
      <c r="AE148" s="1539"/>
      <c r="AF148" s="1539"/>
      <c r="AG148" s="1539"/>
      <c r="AH148" s="1539"/>
      <c r="AI148" s="1539"/>
      <c r="AJ148" s="1539"/>
      <c r="AK148" s="1539"/>
      <c r="AL148" s="1539"/>
      <c r="AM148" s="1539"/>
      <c r="AN148" s="1539"/>
      <c r="AO148" s="1539"/>
      <c r="AP148" s="1539"/>
      <c r="AQ148" s="1539"/>
      <c r="AR148" s="1539"/>
      <c r="AS148" s="1539"/>
      <c r="AT148" s="1539"/>
      <c r="AU148" s="1539"/>
      <c r="AV148" s="1539"/>
      <c r="AW148" s="1539"/>
      <c r="AX148" s="1539"/>
      <c r="AY148" s="1539"/>
      <c r="AZ148" s="1539"/>
      <c r="BA148" s="1539"/>
      <c r="BB148" s="1539"/>
      <c r="BC148" s="1539"/>
      <c r="BD148" s="1539"/>
      <c r="BE148" s="1539"/>
      <c r="BF148" s="1539"/>
      <c r="BG148" s="1539"/>
      <c r="BH148" s="1539"/>
      <c r="BI148" s="1539"/>
      <c r="BJ148" s="1539"/>
      <c r="BK148" s="1539"/>
      <c r="BL148" s="1539"/>
      <c r="BM148" s="1539"/>
      <c r="BN148" s="1539"/>
      <c r="BO148" s="1539"/>
      <c r="BP148" s="1539"/>
      <c r="BQ148" s="1539"/>
      <c r="BR148" s="1539"/>
      <c r="BS148" s="1539"/>
      <c r="BT148" s="1539"/>
      <c r="BU148" s="1539"/>
      <c r="BV148" s="1539"/>
      <c r="BW148" s="1539"/>
      <c r="BX148" s="1539"/>
      <c r="BY148" s="1539"/>
      <c r="BZ148" s="1539"/>
      <c r="CA148" s="1539"/>
      <c r="CB148" s="1539"/>
      <c r="CC148" s="1539"/>
      <c r="CD148" s="1539"/>
      <c r="CE148" s="1539"/>
      <c r="CF148" s="1539"/>
      <c r="CG148" s="1539"/>
      <c r="CH148" s="1539"/>
      <c r="CI148" s="1539"/>
      <c r="CJ148" s="1539"/>
      <c r="CK148" s="1539"/>
      <c r="CL148" s="1539"/>
      <c r="CM148" s="1539"/>
      <c r="CN148" s="1539"/>
      <c r="CO148" s="1539"/>
    </row>
    <row r="149" spans="1:93" s="1542" customFormat="1" ht="15.5">
      <c r="A149" s="1598" t="s">
        <v>545</v>
      </c>
      <c r="B149" s="1599" t="s">
        <v>2127</v>
      </c>
      <c r="C149" s="1643" t="e">
        <f>+SUMIF(#REF!,Final!A149,#REF!)</f>
        <v>#REF!</v>
      </c>
      <c r="D149" s="1597" t="e">
        <f>+SUMIF(#REF!,Final!A149,#REF!)</f>
        <v>#REF!</v>
      </c>
      <c r="E149" s="1643" t="e">
        <f>SUMIF(#REF!,Final!A149,#REF!)</f>
        <v>#REF!</v>
      </c>
      <c r="F149" s="1644" t="e">
        <f>SUMIF(#REF!,Final!A149,#REF!)</f>
        <v>#REF!</v>
      </c>
      <c r="G149" s="1597" t="e">
        <f t="shared" si="8"/>
        <v>#REF!</v>
      </c>
      <c r="H149" s="1644" t="e">
        <f t="shared" si="9"/>
        <v>#REF!</v>
      </c>
      <c r="I149" s="1597" t="e">
        <f t="shared" si="10"/>
        <v>#REF!</v>
      </c>
      <c r="J149" s="1644" t="e">
        <f t="shared" si="11"/>
        <v>#REF!</v>
      </c>
      <c r="K149" s="1539"/>
      <c r="L149" s="1539"/>
      <c r="M149" s="1545"/>
      <c r="N149" s="1545"/>
      <c r="O149" s="1539"/>
      <c r="P149" s="1539"/>
      <c r="Q149" s="1539"/>
      <c r="R149" s="1539"/>
      <c r="S149" s="1539"/>
      <c r="T149" s="1539"/>
      <c r="U149" s="1539"/>
      <c r="V149" s="1539"/>
      <c r="W149" s="1539"/>
      <c r="X149" s="1539"/>
      <c r="Y149" s="1539"/>
      <c r="Z149" s="1539"/>
      <c r="AA149" s="1539"/>
      <c r="AB149" s="1539"/>
      <c r="AC149" s="1539"/>
      <c r="AD149" s="1539"/>
      <c r="AE149" s="1539"/>
      <c r="AF149" s="1539"/>
      <c r="AG149" s="1539"/>
      <c r="AH149" s="1539"/>
      <c r="AI149" s="1539"/>
      <c r="AJ149" s="1539"/>
      <c r="AK149" s="1539"/>
      <c r="AL149" s="1539"/>
      <c r="AM149" s="1539"/>
      <c r="AN149" s="1539"/>
      <c r="AO149" s="1539"/>
      <c r="AP149" s="1539"/>
      <c r="AQ149" s="1539"/>
      <c r="AR149" s="1539"/>
      <c r="AS149" s="1539"/>
      <c r="AT149" s="1539"/>
      <c r="AU149" s="1539"/>
      <c r="AV149" s="1539"/>
      <c r="AW149" s="1539"/>
      <c r="AX149" s="1539"/>
      <c r="AY149" s="1539"/>
      <c r="AZ149" s="1539"/>
      <c r="BA149" s="1539"/>
      <c r="BB149" s="1539"/>
      <c r="BC149" s="1539"/>
      <c r="BD149" s="1539"/>
      <c r="BE149" s="1539"/>
      <c r="BF149" s="1539"/>
      <c r="BG149" s="1539"/>
      <c r="BH149" s="1539"/>
      <c r="BI149" s="1539"/>
      <c r="BJ149" s="1539"/>
      <c r="BK149" s="1539"/>
      <c r="BL149" s="1539"/>
      <c r="BM149" s="1539"/>
      <c r="BN149" s="1539"/>
      <c r="BO149" s="1539"/>
      <c r="BP149" s="1539"/>
      <c r="BQ149" s="1539"/>
      <c r="BR149" s="1539"/>
      <c r="BS149" s="1539"/>
      <c r="BT149" s="1539"/>
      <c r="BU149" s="1539"/>
      <c r="BV149" s="1539"/>
      <c r="BW149" s="1539"/>
      <c r="BX149" s="1539"/>
      <c r="BY149" s="1539"/>
      <c r="BZ149" s="1539"/>
      <c r="CA149" s="1539"/>
      <c r="CB149" s="1539"/>
      <c r="CC149" s="1539"/>
      <c r="CD149" s="1539"/>
      <c r="CE149" s="1539"/>
      <c r="CF149" s="1539"/>
      <c r="CG149" s="1539"/>
      <c r="CH149" s="1539"/>
      <c r="CI149" s="1539"/>
      <c r="CJ149" s="1539"/>
      <c r="CK149" s="1539"/>
      <c r="CL149" s="1539"/>
      <c r="CM149" s="1539"/>
      <c r="CN149" s="1539"/>
      <c r="CO149" s="1539"/>
    </row>
    <row r="150" spans="1:93" s="1542" customFormat="1" ht="15.5">
      <c r="A150" s="1598">
        <v>12.81</v>
      </c>
      <c r="B150" s="1599" t="s">
        <v>2128</v>
      </c>
      <c r="C150" s="1643" t="e">
        <f>+SUMIF(#REF!,Final!A150,#REF!)</f>
        <v>#REF!</v>
      </c>
      <c r="D150" s="1597" t="e">
        <f>+SUMIF(#REF!,Final!A150,#REF!)</f>
        <v>#REF!</v>
      </c>
      <c r="E150" s="1643" t="e">
        <f>SUMIF(#REF!,Final!A150,#REF!)</f>
        <v>#REF!</v>
      </c>
      <c r="F150" s="1644" t="e">
        <f>SUMIF(#REF!,Final!A150,#REF!)</f>
        <v>#REF!</v>
      </c>
      <c r="G150" s="1597" t="e">
        <f t="shared" si="8"/>
        <v>#REF!</v>
      </c>
      <c r="H150" s="1644" t="e">
        <f t="shared" si="9"/>
        <v>#REF!</v>
      </c>
      <c r="I150" s="1597" t="e">
        <f t="shared" si="10"/>
        <v>#REF!</v>
      </c>
      <c r="J150" s="1644" t="e">
        <f t="shared" si="11"/>
        <v>#REF!</v>
      </c>
      <c r="K150" s="1539"/>
      <c r="L150" s="1539"/>
      <c r="M150" s="1545"/>
      <c r="N150" s="1545"/>
      <c r="O150" s="1539"/>
      <c r="P150" s="1539"/>
      <c r="Q150" s="1539"/>
      <c r="R150" s="1539"/>
      <c r="S150" s="1539"/>
      <c r="T150" s="1539"/>
      <c r="U150" s="1539"/>
      <c r="V150" s="1539"/>
      <c r="W150" s="1539"/>
      <c r="X150" s="1539"/>
      <c r="Y150" s="1539"/>
      <c r="Z150" s="1539"/>
      <c r="AA150" s="1539"/>
      <c r="AB150" s="1539"/>
      <c r="AC150" s="1539"/>
      <c r="AD150" s="1539"/>
      <c r="AE150" s="1539"/>
      <c r="AF150" s="1539"/>
      <c r="AG150" s="1539"/>
      <c r="AH150" s="1539"/>
      <c r="AI150" s="1539"/>
      <c r="AJ150" s="1539"/>
      <c r="AK150" s="1539"/>
      <c r="AL150" s="1539"/>
      <c r="AM150" s="1539"/>
      <c r="AN150" s="1539"/>
      <c r="AO150" s="1539"/>
      <c r="AP150" s="1539"/>
      <c r="AQ150" s="1539"/>
      <c r="AR150" s="1539"/>
      <c r="AS150" s="1539"/>
      <c r="AT150" s="1539"/>
      <c r="AU150" s="1539"/>
      <c r="AV150" s="1539"/>
      <c r="AW150" s="1539"/>
      <c r="AX150" s="1539"/>
      <c r="AY150" s="1539"/>
      <c r="AZ150" s="1539"/>
      <c r="BA150" s="1539"/>
      <c r="BB150" s="1539"/>
      <c r="BC150" s="1539"/>
      <c r="BD150" s="1539"/>
      <c r="BE150" s="1539"/>
      <c r="BF150" s="1539"/>
      <c r="BG150" s="1539"/>
      <c r="BH150" s="1539"/>
      <c r="BI150" s="1539"/>
      <c r="BJ150" s="1539"/>
      <c r="BK150" s="1539"/>
      <c r="BL150" s="1539"/>
      <c r="BM150" s="1539"/>
      <c r="BN150" s="1539"/>
      <c r="BO150" s="1539"/>
      <c r="BP150" s="1539"/>
      <c r="BQ150" s="1539"/>
      <c r="BR150" s="1539"/>
      <c r="BS150" s="1539"/>
      <c r="BT150" s="1539"/>
      <c r="BU150" s="1539"/>
      <c r="BV150" s="1539"/>
      <c r="BW150" s="1539"/>
      <c r="BX150" s="1539"/>
      <c r="BY150" s="1539"/>
      <c r="BZ150" s="1539"/>
      <c r="CA150" s="1539"/>
      <c r="CB150" s="1539"/>
      <c r="CC150" s="1539"/>
      <c r="CD150" s="1539"/>
      <c r="CE150" s="1539"/>
      <c r="CF150" s="1539"/>
      <c r="CG150" s="1539"/>
      <c r="CH150" s="1539"/>
      <c r="CI150" s="1539"/>
      <c r="CJ150" s="1539"/>
      <c r="CK150" s="1539"/>
      <c r="CL150" s="1539"/>
      <c r="CM150" s="1539"/>
      <c r="CN150" s="1539"/>
      <c r="CO150" s="1539"/>
    </row>
    <row r="151" spans="1:93" s="1552" customFormat="1" ht="15.5">
      <c r="A151" s="1598"/>
      <c r="B151" s="1599" t="s">
        <v>754</v>
      </c>
      <c r="C151" s="1643" t="e">
        <f>+SUMIF(#REF!,Final!A151,#REF!)</f>
        <v>#REF!</v>
      </c>
      <c r="D151" s="1597" t="e">
        <f>+SUMIF(#REF!,Final!A151,#REF!)</f>
        <v>#REF!</v>
      </c>
      <c r="E151" s="1643" t="e">
        <f>SUMIF(#REF!,Final!A151,#REF!)</f>
        <v>#REF!</v>
      </c>
      <c r="F151" s="1644" t="e">
        <f>SUMIF(#REF!,Final!A151,#REF!)</f>
        <v>#REF!</v>
      </c>
      <c r="G151" s="1597" t="e">
        <f t="shared" si="8"/>
        <v>#REF!</v>
      </c>
      <c r="H151" s="1644" t="e">
        <f t="shared" si="9"/>
        <v>#REF!</v>
      </c>
      <c r="I151" s="1597" t="e">
        <f t="shared" si="10"/>
        <v>#REF!</v>
      </c>
      <c r="J151" s="1644" t="e">
        <f t="shared" si="11"/>
        <v>#REF!</v>
      </c>
      <c r="K151" s="1539"/>
      <c r="L151" s="1539"/>
      <c r="M151" s="1545"/>
      <c r="N151" s="1545"/>
      <c r="O151" s="1539"/>
      <c r="P151" s="1539"/>
      <c r="Q151" s="1539"/>
      <c r="R151" s="1539"/>
      <c r="S151" s="1539"/>
      <c r="T151" s="1539"/>
      <c r="U151" s="1539"/>
      <c r="V151" s="1539"/>
      <c r="W151" s="1539"/>
      <c r="X151" s="1539"/>
      <c r="Y151" s="1539"/>
      <c r="Z151" s="1539"/>
      <c r="AA151" s="1539"/>
      <c r="AB151" s="1539"/>
      <c r="AC151" s="1539"/>
      <c r="AD151" s="1539"/>
      <c r="AE151" s="1539"/>
      <c r="AF151" s="1539"/>
      <c r="AG151" s="1539"/>
      <c r="AH151" s="1539"/>
      <c r="AI151" s="1539"/>
      <c r="AJ151" s="1539"/>
      <c r="AK151" s="1539"/>
      <c r="AL151" s="1539"/>
      <c r="AM151" s="1539"/>
      <c r="AN151" s="1539"/>
      <c r="AO151" s="1539"/>
      <c r="AP151" s="1539"/>
      <c r="AQ151" s="1539"/>
      <c r="AR151" s="1539"/>
      <c r="AS151" s="1539"/>
      <c r="AT151" s="1539"/>
      <c r="AU151" s="1539"/>
      <c r="AV151" s="1539"/>
      <c r="AW151" s="1539"/>
      <c r="AX151" s="1539"/>
      <c r="AY151" s="1539"/>
      <c r="AZ151" s="1539"/>
      <c r="BA151" s="1539"/>
      <c r="BB151" s="1539"/>
      <c r="BC151" s="1539"/>
      <c r="BD151" s="1539"/>
      <c r="BE151" s="1539"/>
      <c r="BF151" s="1539"/>
      <c r="BG151" s="1539"/>
      <c r="BH151" s="1539"/>
      <c r="BI151" s="1539"/>
      <c r="BJ151" s="1539"/>
      <c r="BK151" s="1539"/>
      <c r="BL151" s="1539"/>
      <c r="BM151" s="1539"/>
      <c r="BN151" s="1539"/>
      <c r="BO151" s="1539"/>
      <c r="BP151" s="1539"/>
      <c r="BQ151" s="1539"/>
      <c r="BR151" s="1539"/>
      <c r="BS151" s="1539"/>
      <c r="BT151" s="1539"/>
      <c r="BU151" s="1539"/>
      <c r="BV151" s="1539"/>
      <c r="BW151" s="1539"/>
      <c r="BX151" s="1539"/>
      <c r="BY151" s="1539"/>
      <c r="BZ151" s="1539"/>
      <c r="CA151" s="1539"/>
      <c r="CB151" s="1539"/>
      <c r="CC151" s="1539"/>
      <c r="CD151" s="1539"/>
      <c r="CE151" s="1539"/>
      <c r="CF151" s="1539"/>
      <c r="CG151" s="1539"/>
      <c r="CH151" s="1539"/>
      <c r="CI151" s="1539"/>
      <c r="CJ151" s="1539"/>
      <c r="CK151" s="1539"/>
      <c r="CL151" s="1539"/>
      <c r="CM151" s="1539"/>
      <c r="CN151" s="1539"/>
      <c r="CO151" s="1539"/>
    </row>
    <row r="152" spans="1:93" s="1542" customFormat="1" ht="15.5">
      <c r="A152" s="1598" t="s">
        <v>1404</v>
      </c>
      <c r="B152" s="1599" t="s">
        <v>2129</v>
      </c>
      <c r="C152" s="1643" t="e">
        <f>+SUMIF(#REF!,Final!A152,#REF!)</f>
        <v>#REF!</v>
      </c>
      <c r="D152" s="1597" t="e">
        <f>+SUMIF(#REF!,Final!A152,#REF!)</f>
        <v>#REF!</v>
      </c>
      <c r="E152" s="1643" t="e">
        <f>SUMIF(#REF!,Final!A152,#REF!)</f>
        <v>#REF!</v>
      </c>
      <c r="F152" s="1644" t="e">
        <f>SUMIF(#REF!,Final!A152,#REF!)</f>
        <v>#REF!</v>
      </c>
      <c r="G152" s="1597" t="e">
        <f t="shared" si="8"/>
        <v>#REF!</v>
      </c>
      <c r="H152" s="1644" t="e">
        <f t="shared" si="9"/>
        <v>#REF!</v>
      </c>
      <c r="I152" s="1597" t="e">
        <f t="shared" si="10"/>
        <v>#REF!</v>
      </c>
      <c r="J152" s="1644" t="e">
        <f t="shared" si="11"/>
        <v>#REF!</v>
      </c>
      <c r="K152" s="1539"/>
      <c r="L152" s="1539"/>
      <c r="M152" s="1545"/>
      <c r="N152" s="1545"/>
      <c r="O152" s="1539"/>
      <c r="P152" s="1539"/>
      <c r="Q152" s="1539"/>
      <c r="R152" s="1539"/>
      <c r="S152" s="1539"/>
      <c r="T152" s="1539"/>
      <c r="U152" s="1539"/>
      <c r="V152" s="1539"/>
      <c r="W152" s="1539"/>
      <c r="X152" s="1539"/>
      <c r="Y152" s="1539"/>
      <c r="Z152" s="1539"/>
      <c r="AA152" s="1539"/>
      <c r="AB152" s="1539"/>
      <c r="AC152" s="1539"/>
      <c r="AD152" s="1539"/>
      <c r="AE152" s="1539"/>
      <c r="AF152" s="1539"/>
      <c r="AG152" s="1539"/>
      <c r="AH152" s="1539"/>
      <c r="AI152" s="1539"/>
      <c r="AJ152" s="1539"/>
      <c r="AK152" s="1539"/>
      <c r="AL152" s="1539"/>
      <c r="AM152" s="1539"/>
      <c r="AN152" s="1539"/>
      <c r="AO152" s="1539"/>
      <c r="AP152" s="1539"/>
      <c r="AQ152" s="1539"/>
      <c r="AR152" s="1539"/>
      <c r="AS152" s="1539"/>
      <c r="AT152" s="1539"/>
      <c r="AU152" s="1539"/>
      <c r="AV152" s="1539"/>
      <c r="AW152" s="1539"/>
      <c r="AX152" s="1539"/>
      <c r="AY152" s="1539"/>
      <c r="AZ152" s="1539"/>
      <c r="BA152" s="1539"/>
      <c r="BB152" s="1539"/>
      <c r="BC152" s="1539"/>
      <c r="BD152" s="1539"/>
      <c r="BE152" s="1539"/>
      <c r="BF152" s="1539"/>
      <c r="BG152" s="1539"/>
      <c r="BH152" s="1539"/>
      <c r="BI152" s="1539"/>
      <c r="BJ152" s="1539"/>
      <c r="BK152" s="1539"/>
      <c r="BL152" s="1539"/>
      <c r="BM152" s="1539"/>
      <c r="BN152" s="1539"/>
      <c r="BO152" s="1539"/>
      <c r="BP152" s="1539"/>
      <c r="BQ152" s="1539"/>
      <c r="BR152" s="1539"/>
      <c r="BS152" s="1539"/>
      <c r="BT152" s="1539"/>
      <c r="BU152" s="1539"/>
      <c r="BV152" s="1539"/>
      <c r="BW152" s="1539"/>
      <c r="BX152" s="1539"/>
      <c r="BY152" s="1539"/>
      <c r="BZ152" s="1539"/>
      <c r="CA152" s="1539"/>
      <c r="CB152" s="1539"/>
      <c r="CC152" s="1539"/>
      <c r="CD152" s="1539"/>
      <c r="CE152" s="1539"/>
      <c r="CF152" s="1539"/>
      <c r="CG152" s="1539"/>
      <c r="CH152" s="1539"/>
      <c r="CI152" s="1539"/>
      <c r="CJ152" s="1539"/>
      <c r="CK152" s="1539"/>
      <c r="CL152" s="1539"/>
      <c r="CM152" s="1539"/>
      <c r="CN152" s="1539"/>
      <c r="CO152" s="1539"/>
    </row>
    <row r="153" spans="1:93" ht="15.5">
      <c r="A153" s="1598">
        <v>12.91</v>
      </c>
      <c r="B153" s="1599" t="s">
        <v>2130</v>
      </c>
      <c r="C153" s="1643" t="e">
        <f>+SUMIF(#REF!,Final!A153,#REF!)</f>
        <v>#REF!</v>
      </c>
      <c r="D153" s="1597" t="e">
        <f>+SUMIF(#REF!,Final!A153,#REF!)</f>
        <v>#REF!</v>
      </c>
      <c r="E153" s="1643" t="e">
        <f>SUMIF(#REF!,Final!A153,#REF!)</f>
        <v>#REF!</v>
      </c>
      <c r="F153" s="1644" t="e">
        <f>SUMIF(#REF!,Final!A153,#REF!)</f>
        <v>#REF!</v>
      </c>
      <c r="G153" s="1597" t="e">
        <f t="shared" si="8"/>
        <v>#REF!</v>
      </c>
      <c r="H153" s="1644" t="e">
        <f t="shared" si="9"/>
        <v>#REF!</v>
      </c>
      <c r="I153" s="1597" t="e">
        <f t="shared" si="10"/>
        <v>#REF!</v>
      </c>
      <c r="J153" s="1644" t="e">
        <f t="shared" si="11"/>
        <v>#REF!</v>
      </c>
      <c r="M153" s="1545"/>
      <c r="N153" s="1545"/>
    </row>
    <row r="154" spans="1:93" s="1552" customFormat="1" ht="15.5">
      <c r="A154" s="1598"/>
      <c r="B154" s="1599" t="s">
        <v>754</v>
      </c>
      <c r="C154" s="1643" t="e">
        <f>+SUMIF(#REF!,Final!A154,#REF!)</f>
        <v>#REF!</v>
      </c>
      <c r="D154" s="1597" t="e">
        <f>+SUMIF(#REF!,Final!A154,#REF!)</f>
        <v>#REF!</v>
      </c>
      <c r="E154" s="1643" t="e">
        <f>SUMIF(#REF!,Final!A154,#REF!)</f>
        <v>#REF!</v>
      </c>
      <c r="F154" s="1644" t="e">
        <f>SUMIF(#REF!,Final!A154,#REF!)</f>
        <v>#REF!</v>
      </c>
      <c r="G154" s="1597" t="e">
        <f t="shared" si="8"/>
        <v>#REF!</v>
      </c>
      <c r="H154" s="1644" t="e">
        <f t="shared" si="9"/>
        <v>#REF!</v>
      </c>
      <c r="I154" s="1597" t="e">
        <f t="shared" si="10"/>
        <v>#REF!</v>
      </c>
      <c r="J154" s="1644" t="e">
        <f t="shared" si="11"/>
        <v>#REF!</v>
      </c>
      <c r="K154" s="1539"/>
      <c r="L154" s="1539"/>
      <c r="M154" s="1545"/>
      <c r="N154" s="1545"/>
      <c r="O154" s="1539"/>
      <c r="P154" s="1539"/>
      <c r="Q154" s="1539"/>
      <c r="R154" s="1539"/>
      <c r="S154" s="1539"/>
      <c r="T154" s="1539"/>
      <c r="U154" s="1539"/>
      <c r="V154" s="1539"/>
      <c r="W154" s="1539"/>
      <c r="X154" s="1539"/>
      <c r="Y154" s="1539"/>
      <c r="Z154" s="1539"/>
      <c r="AA154" s="1539"/>
      <c r="AB154" s="1539"/>
      <c r="AC154" s="1539"/>
      <c r="AD154" s="1539"/>
      <c r="AE154" s="1539"/>
      <c r="AF154" s="1539"/>
      <c r="AG154" s="1539"/>
      <c r="AH154" s="1539"/>
      <c r="AI154" s="1539"/>
      <c r="AJ154" s="1539"/>
      <c r="AK154" s="1539"/>
      <c r="AL154" s="1539"/>
      <c r="AM154" s="1539"/>
      <c r="AN154" s="1539"/>
      <c r="AO154" s="1539"/>
      <c r="AP154" s="1539"/>
      <c r="AQ154" s="1539"/>
      <c r="AR154" s="1539"/>
      <c r="AS154" s="1539"/>
      <c r="AT154" s="1539"/>
      <c r="AU154" s="1539"/>
      <c r="AV154" s="1539"/>
      <c r="AW154" s="1539"/>
      <c r="AX154" s="1539"/>
      <c r="AY154" s="1539"/>
      <c r="AZ154" s="1539"/>
      <c r="BA154" s="1539"/>
      <c r="BB154" s="1539"/>
      <c r="BC154" s="1539"/>
      <c r="BD154" s="1539"/>
      <c r="BE154" s="1539"/>
      <c r="BF154" s="1539"/>
      <c r="BG154" s="1539"/>
      <c r="BH154" s="1539"/>
      <c r="BI154" s="1539"/>
      <c r="BJ154" s="1539"/>
      <c r="BK154" s="1539"/>
      <c r="BL154" s="1539"/>
      <c r="BM154" s="1539"/>
      <c r="BN154" s="1539"/>
      <c r="BO154" s="1539"/>
      <c r="BP154" s="1539"/>
      <c r="BQ154" s="1539"/>
      <c r="BR154" s="1539"/>
      <c r="BS154" s="1539"/>
      <c r="BT154" s="1539"/>
      <c r="BU154" s="1539"/>
      <c r="BV154" s="1539"/>
      <c r="BW154" s="1539"/>
      <c r="BX154" s="1539"/>
      <c r="BY154" s="1539"/>
      <c r="BZ154" s="1539"/>
      <c r="CA154" s="1539"/>
      <c r="CB154" s="1539"/>
      <c r="CC154" s="1539"/>
      <c r="CD154" s="1539"/>
      <c r="CE154" s="1539"/>
      <c r="CF154" s="1539"/>
      <c r="CG154" s="1539"/>
      <c r="CH154" s="1539"/>
      <c r="CI154" s="1539"/>
      <c r="CJ154" s="1539"/>
      <c r="CK154" s="1539"/>
      <c r="CL154" s="1539"/>
      <c r="CM154" s="1539"/>
      <c r="CN154" s="1539"/>
      <c r="CO154" s="1539"/>
    </row>
    <row r="155" spans="1:93" s="1552" customFormat="1" ht="15.5">
      <c r="A155" s="1598"/>
      <c r="B155" s="1599" t="s">
        <v>2131</v>
      </c>
      <c r="C155" s="1643" t="e">
        <f>+SUMIF(#REF!,Final!A155,#REF!)</f>
        <v>#REF!</v>
      </c>
      <c r="D155" s="1597" t="e">
        <f>+SUMIF(#REF!,Final!A155,#REF!)</f>
        <v>#REF!</v>
      </c>
      <c r="E155" s="1643" t="e">
        <f>SUMIF(#REF!,Final!A155,#REF!)</f>
        <v>#REF!</v>
      </c>
      <c r="F155" s="1644" t="e">
        <f>SUMIF(#REF!,Final!A155,#REF!)</f>
        <v>#REF!</v>
      </c>
      <c r="G155" s="1597" t="e">
        <f t="shared" si="8"/>
        <v>#REF!</v>
      </c>
      <c r="H155" s="1644" t="e">
        <f t="shared" si="9"/>
        <v>#REF!</v>
      </c>
      <c r="I155" s="1597" t="e">
        <f t="shared" si="10"/>
        <v>#REF!</v>
      </c>
      <c r="J155" s="1644" t="e">
        <f t="shared" si="11"/>
        <v>#REF!</v>
      </c>
      <c r="K155" s="1539"/>
      <c r="L155" s="1539"/>
      <c r="M155" s="1545"/>
      <c r="N155" s="1545"/>
      <c r="O155" s="1539"/>
      <c r="P155" s="1539"/>
      <c r="Q155" s="1539"/>
      <c r="R155" s="1539"/>
      <c r="S155" s="1539"/>
      <c r="T155" s="1539"/>
      <c r="U155" s="1539"/>
      <c r="V155" s="1539"/>
      <c r="W155" s="1539"/>
      <c r="X155" s="1539"/>
      <c r="Y155" s="1539"/>
      <c r="Z155" s="1539"/>
      <c r="AA155" s="1539"/>
      <c r="AB155" s="1539"/>
      <c r="AC155" s="1539"/>
      <c r="AD155" s="1539"/>
      <c r="AE155" s="1539"/>
      <c r="AF155" s="1539"/>
      <c r="AG155" s="1539"/>
      <c r="AH155" s="1539"/>
      <c r="AI155" s="1539"/>
      <c r="AJ155" s="1539"/>
      <c r="AK155" s="1539"/>
      <c r="AL155" s="1539"/>
      <c r="AM155" s="1539"/>
      <c r="AN155" s="1539"/>
      <c r="AO155" s="1539"/>
      <c r="AP155" s="1539"/>
      <c r="AQ155" s="1539"/>
      <c r="AR155" s="1539"/>
      <c r="AS155" s="1539"/>
      <c r="AT155" s="1539"/>
      <c r="AU155" s="1539"/>
      <c r="AV155" s="1539"/>
      <c r="AW155" s="1539"/>
      <c r="AX155" s="1539"/>
      <c r="AY155" s="1539"/>
      <c r="AZ155" s="1539"/>
      <c r="BA155" s="1539"/>
      <c r="BB155" s="1539"/>
      <c r="BC155" s="1539"/>
      <c r="BD155" s="1539"/>
      <c r="BE155" s="1539"/>
      <c r="BF155" s="1539"/>
      <c r="BG155" s="1539"/>
      <c r="BH155" s="1539"/>
      <c r="BI155" s="1539"/>
      <c r="BJ155" s="1539"/>
      <c r="BK155" s="1539"/>
      <c r="BL155" s="1539"/>
      <c r="BM155" s="1539"/>
      <c r="BN155" s="1539"/>
      <c r="BO155" s="1539"/>
      <c r="BP155" s="1539"/>
      <c r="BQ155" s="1539"/>
      <c r="BR155" s="1539"/>
      <c r="BS155" s="1539"/>
      <c r="BT155" s="1539"/>
      <c r="BU155" s="1539"/>
      <c r="BV155" s="1539"/>
      <c r="BW155" s="1539"/>
      <c r="BX155" s="1539"/>
      <c r="BY155" s="1539"/>
      <c r="BZ155" s="1539"/>
      <c r="CA155" s="1539"/>
      <c r="CB155" s="1539"/>
      <c r="CC155" s="1539"/>
      <c r="CD155" s="1539"/>
      <c r="CE155" s="1539"/>
      <c r="CF155" s="1539"/>
      <c r="CG155" s="1539"/>
      <c r="CH155" s="1539"/>
      <c r="CI155" s="1539"/>
      <c r="CJ155" s="1539"/>
      <c r="CK155" s="1539"/>
      <c r="CL155" s="1539"/>
      <c r="CM155" s="1539"/>
      <c r="CN155" s="1539"/>
      <c r="CO155" s="1539"/>
    </row>
    <row r="156" spans="1:93" s="1552" customFormat="1" ht="15.5">
      <c r="A156" s="1598" t="s">
        <v>3377</v>
      </c>
      <c r="B156" s="1599" t="s">
        <v>2132</v>
      </c>
      <c r="C156" s="1643" t="e">
        <f>+SUMIF(#REF!,Final!A156,#REF!)</f>
        <v>#REF!</v>
      </c>
      <c r="D156" s="1597" t="e">
        <f>+SUMIF(#REF!,Final!A156,#REF!)</f>
        <v>#REF!</v>
      </c>
      <c r="E156" s="1643" t="e">
        <f>SUMIF(#REF!,Final!A156,#REF!)</f>
        <v>#REF!</v>
      </c>
      <c r="F156" s="1644" t="e">
        <f>SUMIF(#REF!,Final!A156,#REF!)</f>
        <v>#REF!</v>
      </c>
      <c r="G156" s="1597" t="e">
        <f t="shared" si="8"/>
        <v>#REF!</v>
      </c>
      <c r="H156" s="1644" t="e">
        <f t="shared" si="9"/>
        <v>#REF!</v>
      </c>
      <c r="I156" s="1597" t="e">
        <f t="shared" si="10"/>
        <v>#REF!</v>
      </c>
      <c r="J156" s="1644" t="e">
        <f t="shared" si="11"/>
        <v>#REF!</v>
      </c>
      <c r="K156" s="1539"/>
      <c r="L156" s="1539"/>
      <c r="M156" s="1545"/>
      <c r="N156" s="1545"/>
      <c r="O156" s="1539"/>
      <c r="P156" s="1539"/>
      <c r="Q156" s="1539"/>
      <c r="R156" s="1539"/>
      <c r="S156" s="1539"/>
      <c r="T156" s="1539"/>
      <c r="U156" s="1539"/>
      <c r="V156" s="1539"/>
      <c r="W156" s="1539"/>
      <c r="X156" s="1539"/>
      <c r="Y156" s="1539"/>
      <c r="Z156" s="1539"/>
      <c r="AA156" s="1539"/>
      <c r="AB156" s="1539"/>
      <c r="AC156" s="1539"/>
      <c r="AD156" s="1539"/>
      <c r="AE156" s="1539"/>
      <c r="AF156" s="1539"/>
      <c r="AG156" s="1539"/>
      <c r="AH156" s="1539"/>
      <c r="AI156" s="1539"/>
      <c r="AJ156" s="1539"/>
      <c r="AK156" s="1539"/>
      <c r="AL156" s="1539"/>
      <c r="AM156" s="1539"/>
      <c r="AN156" s="1539"/>
      <c r="AO156" s="1539"/>
      <c r="AP156" s="1539"/>
      <c r="AQ156" s="1539"/>
      <c r="AR156" s="1539"/>
      <c r="AS156" s="1539"/>
      <c r="AT156" s="1539"/>
      <c r="AU156" s="1539"/>
      <c r="AV156" s="1539"/>
      <c r="AW156" s="1539"/>
      <c r="AX156" s="1539"/>
      <c r="AY156" s="1539"/>
      <c r="AZ156" s="1539"/>
      <c r="BA156" s="1539"/>
      <c r="BB156" s="1539"/>
      <c r="BC156" s="1539"/>
      <c r="BD156" s="1539"/>
      <c r="BE156" s="1539"/>
      <c r="BF156" s="1539"/>
      <c r="BG156" s="1539"/>
      <c r="BH156" s="1539"/>
      <c r="BI156" s="1539"/>
      <c r="BJ156" s="1539"/>
      <c r="BK156" s="1539"/>
      <c r="BL156" s="1539"/>
      <c r="BM156" s="1539"/>
      <c r="BN156" s="1539"/>
      <c r="BO156" s="1539"/>
      <c r="BP156" s="1539"/>
      <c r="BQ156" s="1539"/>
      <c r="BR156" s="1539"/>
      <c r="BS156" s="1539"/>
      <c r="BT156" s="1539"/>
      <c r="BU156" s="1539"/>
      <c r="BV156" s="1539"/>
      <c r="BW156" s="1539"/>
      <c r="BX156" s="1539"/>
      <c r="BY156" s="1539"/>
      <c r="BZ156" s="1539"/>
      <c r="CA156" s="1539"/>
      <c r="CB156" s="1539"/>
      <c r="CC156" s="1539"/>
      <c r="CD156" s="1539"/>
      <c r="CE156" s="1539"/>
      <c r="CF156" s="1539"/>
      <c r="CG156" s="1539"/>
      <c r="CH156" s="1539"/>
      <c r="CI156" s="1539"/>
      <c r="CJ156" s="1539"/>
      <c r="CK156" s="1539"/>
      <c r="CL156" s="1539"/>
      <c r="CM156" s="1539"/>
      <c r="CN156" s="1539"/>
      <c r="CO156" s="1539"/>
    </row>
    <row r="157" spans="1:93" s="1542" customFormat="1" ht="15.5">
      <c r="A157" s="1598">
        <v>3</v>
      </c>
      <c r="B157" s="1599" t="s">
        <v>2133</v>
      </c>
      <c r="C157" s="1643" t="e">
        <f>+SUMIF(#REF!,Final!A157,#REF!)</f>
        <v>#REF!</v>
      </c>
      <c r="D157" s="1597" t="e">
        <f>+SUMIF(#REF!,Final!A157,#REF!)</f>
        <v>#REF!</v>
      </c>
      <c r="E157" s="1643" t="e">
        <f>SUMIF(#REF!,Final!A157,#REF!)</f>
        <v>#REF!</v>
      </c>
      <c r="F157" s="1644" t="e">
        <f>SUMIF(#REF!,Final!A157,#REF!)</f>
        <v>#REF!</v>
      </c>
      <c r="G157" s="1597" t="e">
        <f t="shared" si="8"/>
        <v>#REF!</v>
      </c>
      <c r="H157" s="1644" t="e">
        <f t="shared" si="9"/>
        <v>#REF!</v>
      </c>
      <c r="I157" s="1597" t="e">
        <f t="shared" si="10"/>
        <v>#REF!</v>
      </c>
      <c r="J157" s="1644" t="e">
        <f t="shared" si="11"/>
        <v>#REF!</v>
      </c>
      <c r="K157" s="1539"/>
      <c r="L157" s="1539"/>
      <c r="M157" s="1545"/>
      <c r="N157" s="1545"/>
      <c r="O157" s="1539"/>
      <c r="P157" s="1539"/>
      <c r="Q157" s="1539"/>
      <c r="R157" s="1539"/>
      <c r="S157" s="1539"/>
      <c r="T157" s="1539"/>
      <c r="U157" s="1539"/>
      <c r="V157" s="1539"/>
      <c r="W157" s="1539"/>
      <c r="X157" s="1539"/>
      <c r="Y157" s="1539"/>
      <c r="Z157" s="1539"/>
      <c r="AA157" s="1539"/>
      <c r="AB157" s="1539"/>
      <c r="AC157" s="1539"/>
      <c r="AD157" s="1539"/>
      <c r="AE157" s="1539"/>
      <c r="AF157" s="1539"/>
      <c r="AG157" s="1539"/>
      <c r="AH157" s="1539"/>
      <c r="AI157" s="1539"/>
      <c r="AJ157" s="1539"/>
      <c r="AK157" s="1539"/>
      <c r="AL157" s="1539"/>
      <c r="AM157" s="1539"/>
      <c r="AN157" s="1539"/>
      <c r="AO157" s="1539"/>
      <c r="AP157" s="1539"/>
      <c r="AQ157" s="1539"/>
      <c r="AR157" s="1539"/>
      <c r="AS157" s="1539"/>
      <c r="AT157" s="1539"/>
      <c r="AU157" s="1539"/>
      <c r="AV157" s="1539"/>
      <c r="AW157" s="1539"/>
      <c r="AX157" s="1539"/>
      <c r="AY157" s="1539"/>
      <c r="AZ157" s="1539"/>
      <c r="BA157" s="1539"/>
      <c r="BB157" s="1539"/>
      <c r="BC157" s="1539"/>
      <c r="BD157" s="1539"/>
      <c r="BE157" s="1539"/>
      <c r="BF157" s="1539"/>
      <c r="BG157" s="1539"/>
      <c r="BH157" s="1539"/>
      <c r="BI157" s="1539"/>
      <c r="BJ157" s="1539"/>
      <c r="BK157" s="1539"/>
      <c r="BL157" s="1539"/>
      <c r="BM157" s="1539"/>
      <c r="BN157" s="1539"/>
      <c r="BO157" s="1539"/>
      <c r="BP157" s="1539"/>
      <c r="BQ157" s="1539"/>
      <c r="BR157" s="1539"/>
      <c r="BS157" s="1539"/>
      <c r="BT157" s="1539"/>
      <c r="BU157" s="1539"/>
      <c r="BV157" s="1539"/>
      <c r="BW157" s="1539"/>
      <c r="BX157" s="1539"/>
      <c r="BY157" s="1539"/>
      <c r="BZ157" s="1539"/>
      <c r="CA157" s="1539"/>
      <c r="CB157" s="1539"/>
      <c r="CC157" s="1539"/>
      <c r="CD157" s="1539"/>
      <c r="CE157" s="1539"/>
      <c r="CF157" s="1539"/>
      <c r="CG157" s="1539"/>
      <c r="CH157" s="1539"/>
      <c r="CI157" s="1539"/>
      <c r="CJ157" s="1539"/>
      <c r="CK157" s="1539"/>
      <c r="CL157" s="1539"/>
      <c r="CM157" s="1539"/>
      <c r="CN157" s="1539"/>
      <c r="CO157" s="1539"/>
    </row>
    <row r="158" spans="1:93" s="1542" customFormat="1" ht="15.5">
      <c r="A158" s="1598" t="s">
        <v>1102</v>
      </c>
      <c r="B158" s="1599" t="s">
        <v>2134</v>
      </c>
      <c r="C158" s="1643" t="e">
        <f>+SUMIF(#REF!,Final!A158,#REF!)</f>
        <v>#REF!</v>
      </c>
      <c r="D158" s="1597" t="e">
        <f>+SUMIF(#REF!,Final!A158,#REF!)</f>
        <v>#REF!</v>
      </c>
      <c r="E158" s="1643" t="e">
        <f>SUMIF(#REF!,Final!A158,#REF!)</f>
        <v>#REF!</v>
      </c>
      <c r="F158" s="1644" t="e">
        <f>SUMIF(#REF!,Final!A158,#REF!)</f>
        <v>#REF!</v>
      </c>
      <c r="G158" s="1597" t="e">
        <f t="shared" si="8"/>
        <v>#REF!</v>
      </c>
      <c r="H158" s="1644" t="e">
        <f t="shared" si="9"/>
        <v>#REF!</v>
      </c>
      <c r="I158" s="1597" t="e">
        <f t="shared" si="10"/>
        <v>#REF!</v>
      </c>
      <c r="J158" s="1644" t="e">
        <f t="shared" si="11"/>
        <v>#REF!</v>
      </c>
      <c r="K158" s="1539"/>
      <c r="L158" s="1539"/>
      <c r="M158" s="1545"/>
      <c r="N158" s="1545"/>
      <c r="O158" s="1539"/>
      <c r="P158" s="1539"/>
      <c r="Q158" s="1539"/>
      <c r="R158" s="1539"/>
      <c r="S158" s="1539"/>
      <c r="T158" s="1539"/>
      <c r="U158" s="1539"/>
      <c r="V158" s="1539"/>
      <c r="W158" s="1539"/>
      <c r="X158" s="1539"/>
      <c r="Y158" s="1539"/>
      <c r="Z158" s="1539"/>
      <c r="AA158" s="1539"/>
      <c r="AB158" s="1539"/>
      <c r="AC158" s="1539"/>
      <c r="AD158" s="1539"/>
      <c r="AE158" s="1539"/>
      <c r="AF158" s="1539"/>
      <c r="AG158" s="1539"/>
      <c r="AH158" s="1539"/>
      <c r="AI158" s="1539"/>
      <c r="AJ158" s="1539"/>
      <c r="AK158" s="1539"/>
      <c r="AL158" s="1539"/>
      <c r="AM158" s="1539"/>
      <c r="AN158" s="1539"/>
      <c r="AO158" s="1539"/>
      <c r="AP158" s="1539"/>
      <c r="AQ158" s="1539"/>
      <c r="AR158" s="1539"/>
      <c r="AS158" s="1539"/>
      <c r="AT158" s="1539"/>
      <c r="AU158" s="1539"/>
      <c r="AV158" s="1539"/>
      <c r="AW158" s="1539"/>
      <c r="AX158" s="1539"/>
      <c r="AY158" s="1539"/>
      <c r="AZ158" s="1539"/>
      <c r="BA158" s="1539"/>
      <c r="BB158" s="1539"/>
      <c r="BC158" s="1539"/>
      <c r="BD158" s="1539"/>
      <c r="BE158" s="1539"/>
      <c r="BF158" s="1539"/>
      <c r="BG158" s="1539"/>
      <c r="BH158" s="1539"/>
      <c r="BI158" s="1539"/>
      <c r="BJ158" s="1539"/>
      <c r="BK158" s="1539"/>
      <c r="BL158" s="1539"/>
      <c r="BM158" s="1539"/>
      <c r="BN158" s="1539"/>
      <c r="BO158" s="1539"/>
      <c r="BP158" s="1539"/>
      <c r="BQ158" s="1539"/>
      <c r="BR158" s="1539"/>
      <c r="BS158" s="1539"/>
      <c r="BT158" s="1539"/>
      <c r="BU158" s="1539"/>
      <c r="BV158" s="1539"/>
      <c r="BW158" s="1539"/>
      <c r="BX158" s="1539"/>
      <c r="BY158" s="1539"/>
      <c r="BZ158" s="1539"/>
      <c r="CA158" s="1539"/>
      <c r="CB158" s="1539"/>
      <c r="CC158" s="1539"/>
      <c r="CD158" s="1539"/>
      <c r="CE158" s="1539"/>
      <c r="CF158" s="1539"/>
      <c r="CG158" s="1539"/>
      <c r="CH158" s="1539"/>
      <c r="CI158" s="1539"/>
      <c r="CJ158" s="1539"/>
      <c r="CK158" s="1539"/>
      <c r="CL158" s="1539"/>
      <c r="CM158" s="1539"/>
      <c r="CN158" s="1539"/>
      <c r="CO158" s="1539"/>
    </row>
    <row r="159" spans="1:93" ht="15.5">
      <c r="A159" s="1598" t="s">
        <v>2135</v>
      </c>
      <c r="B159" s="1599" t="s">
        <v>2136</v>
      </c>
      <c r="C159" s="1643" t="e">
        <f>+SUMIF(#REF!,Final!A159,#REF!)</f>
        <v>#REF!</v>
      </c>
      <c r="D159" s="1597" t="e">
        <f>+SUMIF(#REF!,Final!A159,#REF!)</f>
        <v>#REF!</v>
      </c>
      <c r="E159" s="1643" t="e">
        <f>SUMIF(#REF!,Final!A159,#REF!)</f>
        <v>#REF!</v>
      </c>
      <c r="F159" s="1644" t="e">
        <f>SUMIF(#REF!,Final!A159,#REF!)</f>
        <v>#REF!</v>
      </c>
      <c r="G159" s="1597" t="e">
        <f t="shared" si="8"/>
        <v>#REF!</v>
      </c>
      <c r="H159" s="1644" t="e">
        <f t="shared" si="9"/>
        <v>#REF!</v>
      </c>
      <c r="I159" s="1597" t="e">
        <f t="shared" si="10"/>
        <v>#REF!</v>
      </c>
      <c r="J159" s="1644" t="e">
        <f t="shared" si="11"/>
        <v>#REF!</v>
      </c>
      <c r="M159" s="1545"/>
      <c r="N159" s="1545"/>
    </row>
    <row r="160" spans="1:93" ht="15.5">
      <c r="A160" s="1598" t="s">
        <v>2137</v>
      </c>
      <c r="B160" s="1599" t="s">
        <v>2138</v>
      </c>
      <c r="C160" s="1643" t="e">
        <f>+SUMIF(#REF!,Final!A160,#REF!)</f>
        <v>#REF!</v>
      </c>
      <c r="D160" s="1597" t="e">
        <f>+SUMIF(#REF!,Final!A160,#REF!)</f>
        <v>#REF!</v>
      </c>
      <c r="E160" s="1643" t="e">
        <f>SUMIF(#REF!,Final!A160,#REF!)</f>
        <v>#REF!</v>
      </c>
      <c r="F160" s="1644" t="e">
        <f>SUMIF(#REF!,Final!A160,#REF!)</f>
        <v>#REF!</v>
      </c>
      <c r="G160" s="1597" t="e">
        <f t="shared" si="8"/>
        <v>#REF!</v>
      </c>
      <c r="H160" s="1644" t="e">
        <f t="shared" si="9"/>
        <v>#REF!</v>
      </c>
      <c r="I160" s="1597" t="e">
        <f t="shared" si="10"/>
        <v>#REF!</v>
      </c>
      <c r="J160" s="1644" t="e">
        <f t="shared" si="11"/>
        <v>#REF!</v>
      </c>
      <c r="M160" s="1545"/>
      <c r="N160" s="1545"/>
    </row>
    <row r="161" spans="1:93" ht="15.5">
      <c r="A161" s="1598" t="s">
        <v>2139</v>
      </c>
      <c r="B161" s="1599" t="s">
        <v>2140</v>
      </c>
      <c r="C161" s="1643" t="e">
        <f>+SUMIF(#REF!,Final!A161,#REF!)</f>
        <v>#REF!</v>
      </c>
      <c r="D161" s="1597" t="e">
        <f>+SUMIF(#REF!,Final!A161,#REF!)</f>
        <v>#REF!</v>
      </c>
      <c r="E161" s="1643" t="e">
        <f>SUMIF(#REF!,Final!A161,#REF!)</f>
        <v>#REF!</v>
      </c>
      <c r="F161" s="1644" t="e">
        <f>SUMIF(#REF!,Final!A161,#REF!)</f>
        <v>#REF!</v>
      </c>
      <c r="G161" s="1597" t="e">
        <f t="shared" si="8"/>
        <v>#REF!</v>
      </c>
      <c r="H161" s="1644" t="e">
        <f t="shared" si="9"/>
        <v>#REF!</v>
      </c>
      <c r="I161" s="1597" t="e">
        <f t="shared" si="10"/>
        <v>#REF!</v>
      </c>
      <c r="J161" s="1644" t="e">
        <f t="shared" si="11"/>
        <v>#REF!</v>
      </c>
      <c r="M161" s="1545"/>
      <c r="N161" s="1545"/>
    </row>
    <row r="162" spans="1:93" ht="15.5">
      <c r="A162" s="1598" t="s">
        <v>2141</v>
      </c>
      <c r="B162" s="1599" t="s">
        <v>2142</v>
      </c>
      <c r="C162" s="1643" t="e">
        <f>+SUMIF(#REF!,Final!A162,#REF!)</f>
        <v>#REF!</v>
      </c>
      <c r="D162" s="1597" t="e">
        <f>+SUMIF(#REF!,Final!A162,#REF!)</f>
        <v>#REF!</v>
      </c>
      <c r="E162" s="1643" t="e">
        <f>SUMIF(#REF!,Final!A162,#REF!)</f>
        <v>#REF!</v>
      </c>
      <c r="F162" s="1644" t="e">
        <f>SUMIF(#REF!,Final!A162,#REF!)</f>
        <v>#REF!</v>
      </c>
      <c r="G162" s="1597" t="e">
        <f t="shared" si="8"/>
        <v>#REF!</v>
      </c>
      <c r="H162" s="1644" t="e">
        <f t="shared" si="9"/>
        <v>#REF!</v>
      </c>
      <c r="I162" s="1597" t="e">
        <f t="shared" si="10"/>
        <v>#REF!</v>
      </c>
      <c r="J162" s="1644" t="e">
        <f t="shared" si="11"/>
        <v>#REF!</v>
      </c>
      <c r="M162" s="1545"/>
      <c r="N162" s="1545"/>
    </row>
    <row r="163" spans="1:93" ht="15.5">
      <c r="A163" s="1598" t="s">
        <v>2143</v>
      </c>
      <c r="B163" s="1599" t="s">
        <v>2144</v>
      </c>
      <c r="C163" s="1643" t="e">
        <f>+SUMIF(#REF!,Final!A163,#REF!)</f>
        <v>#REF!</v>
      </c>
      <c r="D163" s="1597" t="e">
        <f>+SUMIF(#REF!,Final!A163,#REF!)</f>
        <v>#REF!</v>
      </c>
      <c r="E163" s="1643" t="e">
        <f>SUMIF(#REF!,Final!A163,#REF!)</f>
        <v>#REF!</v>
      </c>
      <c r="F163" s="1644" t="e">
        <f>SUMIF(#REF!,Final!A163,#REF!)</f>
        <v>#REF!</v>
      </c>
      <c r="G163" s="1597" t="e">
        <f t="shared" si="8"/>
        <v>#REF!</v>
      </c>
      <c r="H163" s="1644" t="e">
        <f t="shared" si="9"/>
        <v>#REF!</v>
      </c>
      <c r="I163" s="1597" t="e">
        <f t="shared" si="10"/>
        <v>#REF!</v>
      </c>
      <c r="J163" s="1644" t="e">
        <f t="shared" si="11"/>
        <v>#REF!</v>
      </c>
      <c r="M163" s="1545"/>
      <c r="N163" s="1545"/>
    </row>
    <row r="164" spans="1:93" s="1542" customFormat="1" ht="15.5">
      <c r="A164" s="1598" t="s">
        <v>2145</v>
      </c>
      <c r="B164" s="1599" t="s">
        <v>2146</v>
      </c>
      <c r="C164" s="1643" t="e">
        <f>+SUMIF(#REF!,Final!A164,#REF!)</f>
        <v>#REF!</v>
      </c>
      <c r="D164" s="1597" t="e">
        <f>+SUMIF(#REF!,Final!A164,#REF!)</f>
        <v>#REF!</v>
      </c>
      <c r="E164" s="1643" t="e">
        <f>SUMIF(#REF!,Final!A164,#REF!)</f>
        <v>#REF!</v>
      </c>
      <c r="F164" s="1644" t="e">
        <f>SUMIF(#REF!,Final!A164,#REF!)</f>
        <v>#REF!</v>
      </c>
      <c r="G164" s="1597" t="e">
        <f t="shared" si="8"/>
        <v>#REF!</v>
      </c>
      <c r="H164" s="1644" t="e">
        <f t="shared" si="9"/>
        <v>#REF!</v>
      </c>
      <c r="I164" s="1597" t="e">
        <f t="shared" si="10"/>
        <v>#REF!</v>
      </c>
      <c r="J164" s="1644" t="e">
        <f t="shared" si="11"/>
        <v>#REF!</v>
      </c>
      <c r="K164" s="1539"/>
      <c r="L164" s="1539"/>
      <c r="M164" s="1545"/>
      <c r="N164" s="1545"/>
      <c r="O164" s="1539"/>
      <c r="P164" s="1539"/>
      <c r="Q164" s="1539"/>
      <c r="R164" s="1539"/>
      <c r="S164" s="1539"/>
      <c r="T164" s="1539"/>
      <c r="U164" s="1539"/>
      <c r="V164" s="1539"/>
      <c r="W164" s="1539"/>
      <c r="X164" s="1539"/>
      <c r="Y164" s="1539"/>
      <c r="Z164" s="1539"/>
      <c r="AA164" s="1539"/>
      <c r="AB164" s="1539"/>
      <c r="AC164" s="1539"/>
      <c r="AD164" s="1539"/>
      <c r="AE164" s="1539"/>
      <c r="AF164" s="1539"/>
      <c r="AG164" s="1539"/>
      <c r="AH164" s="1539"/>
      <c r="AI164" s="1539"/>
      <c r="AJ164" s="1539"/>
      <c r="AK164" s="1539"/>
      <c r="AL164" s="1539"/>
      <c r="AM164" s="1539"/>
      <c r="AN164" s="1539"/>
      <c r="AO164" s="1539"/>
      <c r="AP164" s="1539"/>
      <c r="AQ164" s="1539"/>
      <c r="AR164" s="1539"/>
      <c r="AS164" s="1539"/>
      <c r="AT164" s="1539"/>
      <c r="AU164" s="1539"/>
      <c r="AV164" s="1539"/>
      <c r="AW164" s="1539"/>
      <c r="AX164" s="1539"/>
      <c r="AY164" s="1539"/>
      <c r="AZ164" s="1539"/>
      <c r="BA164" s="1539"/>
      <c r="BB164" s="1539"/>
      <c r="BC164" s="1539"/>
      <c r="BD164" s="1539"/>
      <c r="BE164" s="1539"/>
      <c r="BF164" s="1539"/>
      <c r="BG164" s="1539"/>
      <c r="BH164" s="1539"/>
      <c r="BI164" s="1539"/>
      <c r="BJ164" s="1539"/>
      <c r="BK164" s="1539"/>
      <c r="BL164" s="1539"/>
      <c r="BM164" s="1539"/>
      <c r="BN164" s="1539"/>
      <c r="BO164" s="1539"/>
      <c r="BP164" s="1539"/>
      <c r="BQ164" s="1539"/>
      <c r="BR164" s="1539"/>
      <c r="BS164" s="1539"/>
      <c r="BT164" s="1539"/>
      <c r="BU164" s="1539"/>
      <c r="BV164" s="1539"/>
      <c r="BW164" s="1539"/>
      <c r="BX164" s="1539"/>
      <c r="BY164" s="1539"/>
      <c r="BZ164" s="1539"/>
      <c r="CA164" s="1539"/>
      <c r="CB164" s="1539"/>
      <c r="CC164" s="1539"/>
      <c r="CD164" s="1539"/>
      <c r="CE164" s="1539"/>
      <c r="CF164" s="1539"/>
      <c r="CG164" s="1539"/>
      <c r="CH164" s="1539"/>
      <c r="CI164" s="1539"/>
      <c r="CJ164" s="1539"/>
      <c r="CK164" s="1539"/>
      <c r="CL164" s="1539"/>
      <c r="CM164" s="1539"/>
      <c r="CN164" s="1539"/>
      <c r="CO164" s="1539"/>
    </row>
    <row r="165" spans="1:93" ht="15.5">
      <c r="A165" s="1598" t="s">
        <v>2147</v>
      </c>
      <c r="B165" s="1599" t="s">
        <v>2148</v>
      </c>
      <c r="C165" s="1643" t="e">
        <f>+SUMIF(#REF!,Final!A165,#REF!)</f>
        <v>#REF!</v>
      </c>
      <c r="D165" s="1597" t="e">
        <f>+SUMIF(#REF!,Final!A165,#REF!)</f>
        <v>#REF!</v>
      </c>
      <c r="E165" s="1643" t="e">
        <f>SUMIF(#REF!,Final!A165,#REF!)</f>
        <v>#REF!</v>
      </c>
      <c r="F165" s="1644" t="e">
        <f>SUMIF(#REF!,Final!A165,#REF!)</f>
        <v>#REF!</v>
      </c>
      <c r="G165" s="1597" t="e">
        <f t="shared" si="8"/>
        <v>#REF!</v>
      </c>
      <c r="H165" s="1644" t="e">
        <f t="shared" si="9"/>
        <v>#REF!</v>
      </c>
      <c r="I165" s="1597" t="e">
        <f t="shared" si="10"/>
        <v>#REF!</v>
      </c>
      <c r="J165" s="1644" t="e">
        <f t="shared" si="11"/>
        <v>#REF!</v>
      </c>
      <c r="M165" s="1545"/>
      <c r="N165" s="1545"/>
    </row>
    <row r="166" spans="1:93" ht="15.5">
      <c r="A166" s="1598" t="s">
        <v>2149</v>
      </c>
      <c r="B166" s="1599" t="s">
        <v>2150</v>
      </c>
      <c r="C166" s="1643" t="e">
        <f>+SUMIF(#REF!,Final!A166,#REF!)</f>
        <v>#REF!</v>
      </c>
      <c r="D166" s="1597" t="e">
        <f>+SUMIF(#REF!,Final!A166,#REF!)</f>
        <v>#REF!</v>
      </c>
      <c r="E166" s="1643" t="e">
        <f>SUMIF(#REF!,Final!A166,#REF!)</f>
        <v>#REF!</v>
      </c>
      <c r="F166" s="1644" t="e">
        <f>SUMIF(#REF!,Final!A166,#REF!)</f>
        <v>#REF!</v>
      </c>
      <c r="G166" s="1597" t="e">
        <f t="shared" si="8"/>
        <v>#REF!</v>
      </c>
      <c r="H166" s="1644" t="e">
        <f t="shared" si="9"/>
        <v>#REF!</v>
      </c>
      <c r="I166" s="1597" t="e">
        <f t="shared" si="10"/>
        <v>#REF!</v>
      </c>
      <c r="J166" s="1644" t="e">
        <f t="shared" si="11"/>
        <v>#REF!</v>
      </c>
      <c r="M166" s="1545"/>
      <c r="N166" s="1545"/>
    </row>
    <row r="167" spans="1:93" ht="15.5">
      <c r="A167" s="1598" t="s">
        <v>2151</v>
      </c>
      <c r="B167" s="1599" t="s">
        <v>2152</v>
      </c>
      <c r="C167" s="1643" t="e">
        <f>+SUMIF(#REF!,Final!A167,#REF!)</f>
        <v>#REF!</v>
      </c>
      <c r="D167" s="1597" t="e">
        <f>+SUMIF(#REF!,Final!A167,#REF!)</f>
        <v>#REF!</v>
      </c>
      <c r="E167" s="1643" t="e">
        <f>SUMIF(#REF!,Final!A167,#REF!)</f>
        <v>#REF!</v>
      </c>
      <c r="F167" s="1644" t="e">
        <f>SUMIF(#REF!,Final!A167,#REF!)</f>
        <v>#REF!</v>
      </c>
      <c r="G167" s="1597" t="e">
        <f t="shared" si="8"/>
        <v>#REF!</v>
      </c>
      <c r="H167" s="1644" t="e">
        <f t="shared" si="9"/>
        <v>#REF!</v>
      </c>
      <c r="I167" s="1597" t="e">
        <f t="shared" si="10"/>
        <v>#REF!</v>
      </c>
      <c r="J167" s="1644" t="e">
        <f t="shared" si="11"/>
        <v>#REF!</v>
      </c>
      <c r="M167" s="1545"/>
      <c r="N167" s="1545"/>
    </row>
    <row r="168" spans="1:93" ht="15.5">
      <c r="A168" s="1598" t="s">
        <v>2153</v>
      </c>
      <c r="B168" s="1599" t="s">
        <v>2154</v>
      </c>
      <c r="C168" s="1643" t="e">
        <f>+SUMIF(#REF!,Final!A168,#REF!)</f>
        <v>#REF!</v>
      </c>
      <c r="D168" s="1597" t="e">
        <f>+SUMIF(#REF!,Final!A168,#REF!)</f>
        <v>#REF!</v>
      </c>
      <c r="E168" s="1643" t="e">
        <f>SUMIF(#REF!,Final!A168,#REF!)</f>
        <v>#REF!</v>
      </c>
      <c r="F168" s="1644" t="e">
        <f>SUMIF(#REF!,Final!A168,#REF!)</f>
        <v>#REF!</v>
      </c>
      <c r="G168" s="1597" t="e">
        <f t="shared" si="8"/>
        <v>#REF!</v>
      </c>
      <c r="H168" s="1644" t="e">
        <f t="shared" si="9"/>
        <v>#REF!</v>
      </c>
      <c r="I168" s="1597" t="e">
        <f t="shared" si="10"/>
        <v>#REF!</v>
      </c>
      <c r="J168" s="1644" t="e">
        <f t="shared" si="11"/>
        <v>#REF!</v>
      </c>
      <c r="M168" s="1545"/>
      <c r="N168" s="1545"/>
    </row>
    <row r="169" spans="1:93" ht="15.5">
      <c r="A169" s="1598" t="s">
        <v>2155</v>
      </c>
      <c r="B169" s="1599" t="s">
        <v>2156</v>
      </c>
      <c r="C169" s="1643" t="e">
        <f>+SUMIF(#REF!,Final!A169,#REF!)</f>
        <v>#REF!</v>
      </c>
      <c r="D169" s="1597" t="e">
        <f>+SUMIF(#REF!,Final!A169,#REF!)</f>
        <v>#REF!</v>
      </c>
      <c r="E169" s="1643" t="e">
        <f>SUMIF(#REF!,Final!A169,#REF!)</f>
        <v>#REF!</v>
      </c>
      <c r="F169" s="1644" t="e">
        <f>SUMIF(#REF!,Final!A169,#REF!)</f>
        <v>#REF!</v>
      </c>
      <c r="G169" s="1597" t="e">
        <f t="shared" si="8"/>
        <v>#REF!</v>
      </c>
      <c r="H169" s="1644" t="e">
        <f t="shared" si="9"/>
        <v>#REF!</v>
      </c>
      <c r="I169" s="1597" t="e">
        <f t="shared" si="10"/>
        <v>#REF!</v>
      </c>
      <c r="J169" s="1644" t="e">
        <f t="shared" si="11"/>
        <v>#REF!</v>
      </c>
      <c r="M169" s="1545"/>
      <c r="N169" s="1545"/>
    </row>
    <row r="170" spans="1:93" ht="15.5">
      <c r="A170" s="1598" t="s">
        <v>2157</v>
      </c>
      <c r="B170" s="1599" t="s">
        <v>2158</v>
      </c>
      <c r="C170" s="1643" t="e">
        <f>+SUMIF(#REF!,Final!A170,#REF!)</f>
        <v>#REF!</v>
      </c>
      <c r="D170" s="1597" t="e">
        <f>+SUMIF(#REF!,Final!A170,#REF!)</f>
        <v>#REF!</v>
      </c>
      <c r="E170" s="1643" t="e">
        <f>SUMIF(#REF!,Final!A170,#REF!)</f>
        <v>#REF!</v>
      </c>
      <c r="F170" s="1644" t="e">
        <f>SUMIF(#REF!,Final!A170,#REF!)</f>
        <v>#REF!</v>
      </c>
      <c r="G170" s="1597" t="e">
        <f t="shared" si="8"/>
        <v>#REF!</v>
      </c>
      <c r="H170" s="1644" t="e">
        <f t="shared" si="9"/>
        <v>#REF!</v>
      </c>
      <c r="I170" s="1597" t="e">
        <f t="shared" si="10"/>
        <v>#REF!</v>
      </c>
      <c r="J170" s="1644" t="e">
        <f t="shared" si="11"/>
        <v>#REF!</v>
      </c>
      <c r="M170" s="1545"/>
      <c r="N170" s="1545"/>
    </row>
    <row r="171" spans="1:93" s="1542" customFormat="1" ht="15.5">
      <c r="A171" s="1598" t="s">
        <v>2159</v>
      </c>
      <c r="B171" s="1599" t="s">
        <v>2160</v>
      </c>
      <c r="C171" s="1643" t="e">
        <f>+SUMIF(#REF!,Final!A171,#REF!)</f>
        <v>#REF!</v>
      </c>
      <c r="D171" s="1597" t="e">
        <f>+SUMIF(#REF!,Final!A171,#REF!)</f>
        <v>#REF!</v>
      </c>
      <c r="E171" s="1643" t="e">
        <f>SUMIF(#REF!,Final!A171,#REF!)</f>
        <v>#REF!</v>
      </c>
      <c r="F171" s="1644" t="e">
        <f>SUMIF(#REF!,Final!A171,#REF!)</f>
        <v>#REF!</v>
      </c>
      <c r="G171" s="1597" t="e">
        <f t="shared" si="8"/>
        <v>#REF!</v>
      </c>
      <c r="H171" s="1644" t="e">
        <f t="shared" si="9"/>
        <v>#REF!</v>
      </c>
      <c r="I171" s="1597" t="e">
        <f t="shared" si="10"/>
        <v>#REF!</v>
      </c>
      <c r="J171" s="1644" t="e">
        <f t="shared" si="11"/>
        <v>#REF!</v>
      </c>
      <c r="K171" s="1539"/>
      <c r="L171" s="1539"/>
      <c r="M171" s="1545"/>
      <c r="N171" s="1545"/>
      <c r="O171" s="1539"/>
      <c r="P171" s="1539"/>
      <c r="Q171" s="1539"/>
      <c r="R171" s="1539"/>
      <c r="S171" s="1539"/>
      <c r="T171" s="1539"/>
      <c r="U171" s="1539"/>
      <c r="V171" s="1539"/>
      <c r="W171" s="1539"/>
      <c r="X171" s="1539"/>
      <c r="Y171" s="1539"/>
      <c r="Z171" s="1539"/>
      <c r="AA171" s="1539"/>
      <c r="AB171" s="1539"/>
      <c r="AC171" s="1539"/>
      <c r="AD171" s="1539"/>
      <c r="AE171" s="1539"/>
      <c r="AF171" s="1539"/>
      <c r="AG171" s="1539"/>
      <c r="AH171" s="1539"/>
      <c r="AI171" s="1539"/>
      <c r="AJ171" s="1539"/>
      <c r="AK171" s="1539"/>
      <c r="AL171" s="1539"/>
      <c r="AM171" s="1539"/>
      <c r="AN171" s="1539"/>
      <c r="AO171" s="1539"/>
      <c r="AP171" s="1539"/>
      <c r="AQ171" s="1539"/>
      <c r="AR171" s="1539"/>
      <c r="AS171" s="1539"/>
      <c r="AT171" s="1539"/>
      <c r="AU171" s="1539"/>
      <c r="AV171" s="1539"/>
      <c r="AW171" s="1539"/>
      <c r="AX171" s="1539"/>
      <c r="AY171" s="1539"/>
      <c r="AZ171" s="1539"/>
      <c r="BA171" s="1539"/>
      <c r="BB171" s="1539"/>
      <c r="BC171" s="1539"/>
      <c r="BD171" s="1539"/>
      <c r="BE171" s="1539"/>
      <c r="BF171" s="1539"/>
      <c r="BG171" s="1539"/>
      <c r="BH171" s="1539"/>
      <c r="BI171" s="1539"/>
      <c r="BJ171" s="1539"/>
      <c r="BK171" s="1539"/>
      <c r="BL171" s="1539"/>
      <c r="BM171" s="1539"/>
      <c r="BN171" s="1539"/>
      <c r="BO171" s="1539"/>
      <c r="BP171" s="1539"/>
      <c r="BQ171" s="1539"/>
      <c r="BR171" s="1539"/>
      <c r="BS171" s="1539"/>
      <c r="BT171" s="1539"/>
      <c r="BU171" s="1539"/>
      <c r="BV171" s="1539"/>
      <c r="BW171" s="1539"/>
      <c r="BX171" s="1539"/>
      <c r="BY171" s="1539"/>
      <c r="BZ171" s="1539"/>
      <c r="CA171" s="1539"/>
      <c r="CB171" s="1539"/>
      <c r="CC171" s="1539"/>
      <c r="CD171" s="1539"/>
      <c r="CE171" s="1539"/>
      <c r="CF171" s="1539"/>
      <c r="CG171" s="1539"/>
      <c r="CH171" s="1539"/>
      <c r="CI171" s="1539"/>
      <c r="CJ171" s="1539"/>
      <c r="CK171" s="1539"/>
      <c r="CL171" s="1539"/>
      <c r="CM171" s="1539"/>
      <c r="CN171" s="1539"/>
      <c r="CO171" s="1539"/>
    </row>
    <row r="172" spans="1:93" s="1542" customFormat="1" ht="15.5">
      <c r="A172" s="1598" t="s">
        <v>2161</v>
      </c>
      <c r="B172" s="1599" t="s">
        <v>2162</v>
      </c>
      <c r="C172" s="1643" t="e">
        <f>+SUMIF(#REF!,Final!A172,#REF!)</f>
        <v>#REF!</v>
      </c>
      <c r="D172" s="1597" t="e">
        <f>+SUMIF(#REF!,Final!A172,#REF!)</f>
        <v>#REF!</v>
      </c>
      <c r="E172" s="1643" t="e">
        <f>SUMIF(#REF!,Final!A172,#REF!)</f>
        <v>#REF!</v>
      </c>
      <c r="F172" s="1644" t="e">
        <f>SUMIF(#REF!,Final!A172,#REF!)</f>
        <v>#REF!</v>
      </c>
      <c r="G172" s="1597" t="e">
        <f t="shared" si="8"/>
        <v>#REF!</v>
      </c>
      <c r="H172" s="1644" t="e">
        <f t="shared" si="9"/>
        <v>#REF!</v>
      </c>
      <c r="I172" s="1597" t="e">
        <f t="shared" si="10"/>
        <v>#REF!</v>
      </c>
      <c r="J172" s="1644" t="e">
        <f t="shared" si="11"/>
        <v>#REF!</v>
      </c>
      <c r="K172" s="1539"/>
      <c r="L172" s="1539"/>
      <c r="M172" s="1545"/>
      <c r="N172" s="1545"/>
      <c r="O172" s="1539"/>
      <c r="P172" s="1539"/>
      <c r="Q172" s="1539"/>
      <c r="R172" s="1539"/>
      <c r="S172" s="1539"/>
      <c r="T172" s="1539"/>
      <c r="U172" s="1539"/>
      <c r="V172" s="1539"/>
      <c r="W172" s="1539"/>
      <c r="X172" s="1539"/>
      <c r="Y172" s="1539"/>
      <c r="Z172" s="1539"/>
      <c r="AA172" s="1539"/>
      <c r="AB172" s="1539"/>
      <c r="AC172" s="1539"/>
      <c r="AD172" s="1539"/>
      <c r="AE172" s="1539"/>
      <c r="AF172" s="1539"/>
      <c r="AG172" s="1539"/>
      <c r="AH172" s="1539"/>
      <c r="AI172" s="1539"/>
      <c r="AJ172" s="1539"/>
      <c r="AK172" s="1539"/>
      <c r="AL172" s="1539"/>
      <c r="AM172" s="1539"/>
      <c r="AN172" s="1539"/>
      <c r="AO172" s="1539"/>
      <c r="AP172" s="1539"/>
      <c r="AQ172" s="1539"/>
      <c r="AR172" s="1539"/>
      <c r="AS172" s="1539"/>
      <c r="AT172" s="1539"/>
      <c r="AU172" s="1539"/>
      <c r="AV172" s="1539"/>
      <c r="AW172" s="1539"/>
      <c r="AX172" s="1539"/>
      <c r="AY172" s="1539"/>
      <c r="AZ172" s="1539"/>
      <c r="BA172" s="1539"/>
      <c r="BB172" s="1539"/>
      <c r="BC172" s="1539"/>
      <c r="BD172" s="1539"/>
      <c r="BE172" s="1539"/>
      <c r="BF172" s="1539"/>
      <c r="BG172" s="1539"/>
      <c r="BH172" s="1539"/>
      <c r="BI172" s="1539"/>
      <c r="BJ172" s="1539"/>
      <c r="BK172" s="1539"/>
      <c r="BL172" s="1539"/>
      <c r="BM172" s="1539"/>
      <c r="BN172" s="1539"/>
      <c r="BO172" s="1539"/>
      <c r="BP172" s="1539"/>
      <c r="BQ172" s="1539"/>
      <c r="BR172" s="1539"/>
      <c r="BS172" s="1539"/>
      <c r="BT172" s="1539"/>
      <c r="BU172" s="1539"/>
      <c r="BV172" s="1539"/>
      <c r="BW172" s="1539"/>
      <c r="BX172" s="1539"/>
      <c r="BY172" s="1539"/>
      <c r="BZ172" s="1539"/>
      <c r="CA172" s="1539"/>
      <c r="CB172" s="1539"/>
      <c r="CC172" s="1539"/>
      <c r="CD172" s="1539"/>
      <c r="CE172" s="1539"/>
      <c r="CF172" s="1539"/>
      <c r="CG172" s="1539"/>
      <c r="CH172" s="1539"/>
      <c r="CI172" s="1539"/>
      <c r="CJ172" s="1539"/>
      <c r="CK172" s="1539"/>
      <c r="CL172" s="1539"/>
      <c r="CM172" s="1539"/>
      <c r="CN172" s="1539"/>
      <c r="CO172" s="1539"/>
    </row>
    <row r="173" spans="1:93" ht="15.5">
      <c r="A173" s="1598" t="s">
        <v>2163</v>
      </c>
      <c r="B173" s="1599" t="s">
        <v>2164</v>
      </c>
      <c r="C173" s="1643" t="e">
        <f>+SUMIF(#REF!,Final!A173,#REF!)</f>
        <v>#REF!</v>
      </c>
      <c r="D173" s="1597" t="e">
        <f>+SUMIF(#REF!,Final!A173,#REF!)</f>
        <v>#REF!</v>
      </c>
      <c r="E173" s="1643" t="e">
        <f>SUMIF(#REF!,Final!A173,#REF!)</f>
        <v>#REF!</v>
      </c>
      <c r="F173" s="1644" t="e">
        <f>SUMIF(#REF!,Final!A173,#REF!)</f>
        <v>#REF!</v>
      </c>
      <c r="G173" s="1597" t="e">
        <f t="shared" si="8"/>
        <v>#REF!</v>
      </c>
      <c r="H173" s="1644" t="e">
        <f t="shared" si="9"/>
        <v>#REF!</v>
      </c>
      <c r="I173" s="1597" t="e">
        <f t="shared" si="10"/>
        <v>#REF!</v>
      </c>
      <c r="J173" s="1644" t="e">
        <f t="shared" si="11"/>
        <v>#REF!</v>
      </c>
      <c r="M173" s="1545"/>
      <c r="N173" s="1545"/>
    </row>
    <row r="174" spans="1:93" ht="15.5">
      <c r="A174" s="1598" t="s">
        <v>2165</v>
      </c>
      <c r="B174" s="1599" t="s">
        <v>2166</v>
      </c>
      <c r="C174" s="1643" t="e">
        <f>+SUMIF(#REF!,Final!A174,#REF!)</f>
        <v>#REF!</v>
      </c>
      <c r="D174" s="1597" t="e">
        <f>+SUMIF(#REF!,Final!A174,#REF!)</f>
        <v>#REF!</v>
      </c>
      <c r="E174" s="1643" t="e">
        <f>SUMIF(#REF!,Final!A174,#REF!)</f>
        <v>#REF!</v>
      </c>
      <c r="F174" s="1644" t="e">
        <f>SUMIF(#REF!,Final!A174,#REF!)</f>
        <v>#REF!</v>
      </c>
      <c r="G174" s="1597" t="e">
        <f t="shared" si="8"/>
        <v>#REF!</v>
      </c>
      <c r="H174" s="1644" t="e">
        <f t="shared" si="9"/>
        <v>#REF!</v>
      </c>
      <c r="I174" s="1597" t="e">
        <f t="shared" si="10"/>
        <v>#REF!</v>
      </c>
      <c r="J174" s="1644" t="e">
        <f t="shared" si="11"/>
        <v>#REF!</v>
      </c>
      <c r="M174" s="1545"/>
      <c r="N174" s="1545"/>
    </row>
    <row r="175" spans="1:93" ht="15.5">
      <c r="A175" s="1598" t="s">
        <v>2167</v>
      </c>
      <c r="B175" s="1599" t="s">
        <v>2168</v>
      </c>
      <c r="C175" s="1643" t="e">
        <f>+SUMIF(#REF!,Final!A175,#REF!)</f>
        <v>#REF!</v>
      </c>
      <c r="D175" s="1597" t="e">
        <f>+SUMIF(#REF!,Final!A175,#REF!)</f>
        <v>#REF!</v>
      </c>
      <c r="E175" s="1643" t="e">
        <f>SUMIF(#REF!,Final!A175,#REF!)</f>
        <v>#REF!</v>
      </c>
      <c r="F175" s="1644" t="e">
        <f>SUMIF(#REF!,Final!A175,#REF!)</f>
        <v>#REF!</v>
      </c>
      <c r="G175" s="1597" t="e">
        <f t="shared" si="8"/>
        <v>#REF!</v>
      </c>
      <c r="H175" s="1644" t="e">
        <f t="shared" si="9"/>
        <v>#REF!</v>
      </c>
      <c r="I175" s="1597" t="e">
        <f t="shared" si="10"/>
        <v>#REF!</v>
      </c>
      <c r="J175" s="1644" t="e">
        <f t="shared" si="11"/>
        <v>#REF!</v>
      </c>
      <c r="M175" s="1545"/>
      <c r="N175" s="1545"/>
    </row>
    <row r="176" spans="1:93" ht="15.5">
      <c r="A176" s="1598" t="s">
        <v>2169</v>
      </c>
      <c r="B176" s="1599" t="s">
        <v>2170</v>
      </c>
      <c r="C176" s="1643" t="e">
        <f>+SUMIF(#REF!,Final!A176,#REF!)</f>
        <v>#REF!</v>
      </c>
      <c r="D176" s="1597" t="e">
        <f>+SUMIF(#REF!,Final!A176,#REF!)</f>
        <v>#REF!</v>
      </c>
      <c r="E176" s="1643" t="e">
        <f>SUMIF(#REF!,Final!A176,#REF!)</f>
        <v>#REF!</v>
      </c>
      <c r="F176" s="1644" t="e">
        <f>SUMIF(#REF!,Final!A176,#REF!)</f>
        <v>#REF!</v>
      </c>
      <c r="G176" s="1597" t="e">
        <f t="shared" si="8"/>
        <v>#REF!</v>
      </c>
      <c r="H176" s="1644" t="e">
        <f t="shared" si="9"/>
        <v>#REF!</v>
      </c>
      <c r="I176" s="1597" t="e">
        <f t="shared" si="10"/>
        <v>#REF!</v>
      </c>
      <c r="J176" s="1644" t="e">
        <f t="shared" si="11"/>
        <v>#REF!</v>
      </c>
      <c r="M176" s="1545"/>
      <c r="N176" s="1545"/>
    </row>
    <row r="177" spans="1:93" ht="15.5">
      <c r="A177" s="1598" t="s">
        <v>2171</v>
      </c>
      <c r="B177" s="1599" t="s">
        <v>2172</v>
      </c>
      <c r="C177" s="1643" t="e">
        <f>+SUMIF(#REF!,Final!A177,#REF!)</f>
        <v>#REF!</v>
      </c>
      <c r="D177" s="1597" t="e">
        <f>+SUMIF(#REF!,Final!A177,#REF!)</f>
        <v>#REF!</v>
      </c>
      <c r="E177" s="1643" t="e">
        <f>SUMIF(#REF!,Final!A177,#REF!)</f>
        <v>#REF!</v>
      </c>
      <c r="F177" s="1644" t="e">
        <f>SUMIF(#REF!,Final!A177,#REF!)</f>
        <v>#REF!</v>
      </c>
      <c r="G177" s="1597" t="e">
        <f t="shared" si="8"/>
        <v>#REF!</v>
      </c>
      <c r="H177" s="1644" t="e">
        <f t="shared" si="9"/>
        <v>#REF!</v>
      </c>
      <c r="I177" s="1597" t="e">
        <f t="shared" si="10"/>
        <v>#REF!</v>
      </c>
      <c r="J177" s="1644" t="e">
        <f t="shared" si="11"/>
        <v>#REF!</v>
      </c>
      <c r="M177" s="1545"/>
      <c r="N177" s="1545"/>
    </row>
    <row r="178" spans="1:93" ht="15.5">
      <c r="A178" s="1598" t="s">
        <v>2173</v>
      </c>
      <c r="B178" s="1599" t="s">
        <v>2174</v>
      </c>
      <c r="C178" s="1643" t="e">
        <f>+SUMIF(#REF!,Final!A178,#REF!)</f>
        <v>#REF!</v>
      </c>
      <c r="D178" s="1597" t="e">
        <f>+SUMIF(#REF!,Final!A178,#REF!)</f>
        <v>#REF!</v>
      </c>
      <c r="E178" s="1643" t="e">
        <f>SUMIF(#REF!,Final!A178,#REF!)</f>
        <v>#REF!</v>
      </c>
      <c r="F178" s="1644" t="e">
        <f>SUMIF(#REF!,Final!A178,#REF!)</f>
        <v>#REF!</v>
      </c>
      <c r="G178" s="1597" t="e">
        <f t="shared" si="8"/>
        <v>#REF!</v>
      </c>
      <c r="H178" s="1644" t="e">
        <f t="shared" si="9"/>
        <v>#REF!</v>
      </c>
      <c r="I178" s="1597" t="e">
        <f t="shared" si="10"/>
        <v>#REF!</v>
      </c>
      <c r="J178" s="1644" t="e">
        <f t="shared" si="11"/>
        <v>#REF!</v>
      </c>
      <c r="M178" s="1545"/>
      <c r="N178" s="1545"/>
    </row>
    <row r="179" spans="1:93" ht="15.5">
      <c r="A179" s="1598" t="s">
        <v>2175</v>
      </c>
      <c r="B179" s="1599" t="s">
        <v>2176</v>
      </c>
      <c r="C179" s="1643" t="e">
        <f>+SUMIF(#REF!,Final!A179,#REF!)</f>
        <v>#REF!</v>
      </c>
      <c r="D179" s="1597" t="e">
        <f>+SUMIF(#REF!,Final!A179,#REF!)</f>
        <v>#REF!</v>
      </c>
      <c r="E179" s="1643" t="e">
        <f>SUMIF(#REF!,Final!A179,#REF!)</f>
        <v>#REF!</v>
      </c>
      <c r="F179" s="1644" t="e">
        <f>SUMIF(#REF!,Final!A179,#REF!)</f>
        <v>#REF!</v>
      </c>
      <c r="G179" s="1597" t="e">
        <f t="shared" si="8"/>
        <v>#REF!</v>
      </c>
      <c r="H179" s="1644" t="e">
        <f t="shared" si="9"/>
        <v>#REF!</v>
      </c>
      <c r="I179" s="1597" t="e">
        <f t="shared" si="10"/>
        <v>#REF!</v>
      </c>
      <c r="J179" s="1644" t="e">
        <f t="shared" si="11"/>
        <v>#REF!</v>
      </c>
      <c r="M179" s="1545"/>
      <c r="N179" s="1545"/>
    </row>
    <row r="180" spans="1:93" ht="15.5">
      <c r="A180" s="1598" t="s">
        <v>2177</v>
      </c>
      <c r="B180" s="1599" t="s">
        <v>2178</v>
      </c>
      <c r="C180" s="1643" t="e">
        <f>+SUMIF(#REF!,Final!A180,#REF!)</f>
        <v>#REF!</v>
      </c>
      <c r="D180" s="1597" t="e">
        <f>+SUMIF(#REF!,Final!A180,#REF!)</f>
        <v>#REF!</v>
      </c>
      <c r="E180" s="1643" t="e">
        <f>SUMIF(#REF!,Final!A180,#REF!)</f>
        <v>#REF!</v>
      </c>
      <c r="F180" s="1644" t="e">
        <f>SUMIF(#REF!,Final!A180,#REF!)</f>
        <v>#REF!</v>
      </c>
      <c r="G180" s="1597" t="e">
        <f t="shared" si="8"/>
        <v>#REF!</v>
      </c>
      <c r="H180" s="1644" t="e">
        <f t="shared" si="9"/>
        <v>#REF!</v>
      </c>
      <c r="I180" s="1597" t="e">
        <f t="shared" si="10"/>
        <v>#REF!</v>
      </c>
      <c r="J180" s="1644" t="e">
        <f t="shared" si="11"/>
        <v>#REF!</v>
      </c>
      <c r="M180" s="1545"/>
      <c r="N180" s="1545"/>
    </row>
    <row r="181" spans="1:93" ht="15.5">
      <c r="A181" s="1598" t="s">
        <v>2179</v>
      </c>
      <c r="B181" s="1599" t="s">
        <v>2180</v>
      </c>
      <c r="C181" s="1643" t="e">
        <f>+SUMIF(#REF!,Final!A181,#REF!)</f>
        <v>#REF!</v>
      </c>
      <c r="D181" s="1597" t="e">
        <f>+SUMIF(#REF!,Final!A181,#REF!)</f>
        <v>#REF!</v>
      </c>
      <c r="E181" s="1643" t="e">
        <f>SUMIF(#REF!,Final!A181,#REF!)</f>
        <v>#REF!</v>
      </c>
      <c r="F181" s="1644" t="e">
        <f>SUMIF(#REF!,Final!A181,#REF!)</f>
        <v>#REF!</v>
      </c>
      <c r="G181" s="1597" t="e">
        <f t="shared" si="8"/>
        <v>#REF!</v>
      </c>
      <c r="H181" s="1644" t="e">
        <f t="shared" si="9"/>
        <v>#REF!</v>
      </c>
      <c r="I181" s="1597" t="e">
        <f t="shared" si="10"/>
        <v>#REF!</v>
      </c>
      <c r="J181" s="1644" t="e">
        <f t="shared" si="11"/>
        <v>#REF!</v>
      </c>
      <c r="M181" s="1545"/>
      <c r="N181" s="1545"/>
    </row>
    <row r="182" spans="1:93" ht="15.5">
      <c r="A182" s="1598" t="s">
        <v>2181</v>
      </c>
      <c r="B182" s="1599" t="s">
        <v>2182</v>
      </c>
      <c r="C182" s="1643" t="e">
        <f>+SUMIF(#REF!,Final!A182,#REF!)</f>
        <v>#REF!</v>
      </c>
      <c r="D182" s="1597" t="e">
        <f>+SUMIF(#REF!,Final!A182,#REF!)</f>
        <v>#REF!</v>
      </c>
      <c r="E182" s="1643" t="e">
        <f>SUMIF(#REF!,Final!A182,#REF!)</f>
        <v>#REF!</v>
      </c>
      <c r="F182" s="1644" t="e">
        <f>SUMIF(#REF!,Final!A182,#REF!)</f>
        <v>#REF!</v>
      </c>
      <c r="G182" s="1597" t="e">
        <f t="shared" si="8"/>
        <v>#REF!</v>
      </c>
      <c r="H182" s="1644" t="e">
        <f t="shared" si="9"/>
        <v>#REF!</v>
      </c>
      <c r="I182" s="1597" t="e">
        <f t="shared" si="10"/>
        <v>#REF!</v>
      </c>
      <c r="J182" s="1644" t="e">
        <f t="shared" si="11"/>
        <v>#REF!</v>
      </c>
      <c r="M182" s="1545"/>
      <c r="N182" s="1545"/>
    </row>
    <row r="183" spans="1:93" ht="15.5">
      <c r="A183" s="1598" t="s">
        <v>2183</v>
      </c>
      <c r="B183" s="1599" t="s">
        <v>2184</v>
      </c>
      <c r="C183" s="1643" t="e">
        <f>+SUMIF(#REF!,Final!A183,#REF!)</f>
        <v>#REF!</v>
      </c>
      <c r="D183" s="1597" t="e">
        <f>+SUMIF(#REF!,Final!A183,#REF!)</f>
        <v>#REF!</v>
      </c>
      <c r="E183" s="1643" t="e">
        <f>SUMIF(#REF!,Final!A183,#REF!)</f>
        <v>#REF!</v>
      </c>
      <c r="F183" s="1644" t="e">
        <f>SUMIF(#REF!,Final!A183,#REF!)</f>
        <v>#REF!</v>
      </c>
      <c r="G183" s="1597" t="e">
        <f t="shared" si="8"/>
        <v>#REF!</v>
      </c>
      <c r="H183" s="1644" t="e">
        <f t="shared" si="9"/>
        <v>#REF!</v>
      </c>
      <c r="I183" s="1597" t="e">
        <f t="shared" si="10"/>
        <v>#REF!</v>
      </c>
      <c r="J183" s="1644" t="e">
        <f t="shared" si="11"/>
        <v>#REF!</v>
      </c>
      <c r="M183" s="1545"/>
      <c r="N183" s="1545"/>
    </row>
    <row r="184" spans="1:93" s="1552" customFormat="1" ht="15.5">
      <c r="A184" s="1598"/>
      <c r="B184" s="1599" t="s">
        <v>754</v>
      </c>
      <c r="C184" s="1643" t="e">
        <f>+SUMIF(#REF!,Final!A184,#REF!)</f>
        <v>#REF!</v>
      </c>
      <c r="D184" s="1597" t="e">
        <f>+SUMIF(#REF!,Final!A184,#REF!)</f>
        <v>#REF!</v>
      </c>
      <c r="E184" s="1643" t="e">
        <f>SUMIF(#REF!,Final!A184,#REF!)</f>
        <v>#REF!</v>
      </c>
      <c r="F184" s="1644" t="e">
        <f>SUMIF(#REF!,Final!A184,#REF!)</f>
        <v>#REF!</v>
      </c>
      <c r="G184" s="1597" t="e">
        <f t="shared" si="8"/>
        <v>#REF!</v>
      </c>
      <c r="H184" s="1644" t="e">
        <f t="shared" si="9"/>
        <v>#REF!</v>
      </c>
      <c r="I184" s="1597" t="e">
        <f t="shared" si="10"/>
        <v>#REF!</v>
      </c>
      <c r="J184" s="1644" t="e">
        <f t="shared" si="11"/>
        <v>#REF!</v>
      </c>
      <c r="K184" s="1539"/>
      <c r="L184" s="1539"/>
      <c r="M184" s="1545"/>
      <c r="N184" s="1545"/>
      <c r="O184" s="1539"/>
      <c r="P184" s="1539"/>
      <c r="Q184" s="1539"/>
      <c r="R184" s="1539"/>
      <c r="S184" s="1539"/>
      <c r="T184" s="1539"/>
      <c r="U184" s="1539"/>
      <c r="V184" s="1539"/>
      <c r="W184" s="1539"/>
      <c r="X184" s="1539"/>
      <c r="Y184" s="1539"/>
      <c r="Z184" s="1539"/>
      <c r="AA184" s="1539"/>
      <c r="AB184" s="1539"/>
      <c r="AC184" s="1539"/>
      <c r="AD184" s="1539"/>
      <c r="AE184" s="1539"/>
      <c r="AF184" s="1539"/>
      <c r="AG184" s="1539"/>
      <c r="AH184" s="1539"/>
      <c r="AI184" s="1539"/>
      <c r="AJ184" s="1539"/>
      <c r="AK184" s="1539"/>
      <c r="AL184" s="1539"/>
      <c r="AM184" s="1539"/>
      <c r="AN184" s="1539"/>
      <c r="AO184" s="1539"/>
      <c r="AP184" s="1539"/>
      <c r="AQ184" s="1539"/>
      <c r="AR184" s="1539"/>
      <c r="AS184" s="1539"/>
      <c r="AT184" s="1539"/>
      <c r="AU184" s="1539"/>
      <c r="AV184" s="1539"/>
      <c r="AW184" s="1539"/>
      <c r="AX184" s="1539"/>
      <c r="AY184" s="1539"/>
      <c r="AZ184" s="1539"/>
      <c r="BA184" s="1539"/>
      <c r="BB184" s="1539"/>
      <c r="BC184" s="1539"/>
      <c r="BD184" s="1539"/>
      <c r="BE184" s="1539"/>
      <c r="BF184" s="1539"/>
      <c r="BG184" s="1539"/>
      <c r="BH184" s="1539"/>
      <c r="BI184" s="1539"/>
      <c r="BJ184" s="1539"/>
      <c r="BK184" s="1539"/>
      <c r="BL184" s="1539"/>
      <c r="BM184" s="1539"/>
      <c r="BN184" s="1539"/>
      <c r="BO184" s="1539"/>
      <c r="BP184" s="1539"/>
      <c r="BQ184" s="1539"/>
      <c r="BR184" s="1539"/>
      <c r="BS184" s="1539"/>
      <c r="BT184" s="1539"/>
      <c r="BU184" s="1539"/>
      <c r="BV184" s="1539"/>
      <c r="BW184" s="1539"/>
      <c r="BX184" s="1539"/>
      <c r="BY184" s="1539"/>
      <c r="BZ184" s="1539"/>
      <c r="CA184" s="1539"/>
      <c r="CB184" s="1539"/>
      <c r="CC184" s="1539"/>
      <c r="CD184" s="1539"/>
      <c r="CE184" s="1539"/>
      <c r="CF184" s="1539"/>
      <c r="CG184" s="1539"/>
      <c r="CH184" s="1539"/>
      <c r="CI184" s="1539"/>
      <c r="CJ184" s="1539"/>
      <c r="CK184" s="1539"/>
      <c r="CL184" s="1539"/>
      <c r="CM184" s="1539"/>
      <c r="CN184" s="1539"/>
      <c r="CO184" s="1539"/>
    </row>
    <row r="185" spans="1:93" s="1552" customFormat="1" ht="15.5">
      <c r="A185" s="1598"/>
      <c r="B185" s="1599" t="s">
        <v>1760</v>
      </c>
      <c r="C185" s="1643" t="e">
        <f>+SUMIF(#REF!,Final!A185,#REF!)</f>
        <v>#REF!</v>
      </c>
      <c r="D185" s="1597" t="e">
        <f>+SUMIF(#REF!,Final!A185,#REF!)</f>
        <v>#REF!</v>
      </c>
      <c r="E185" s="1643" t="e">
        <f>SUMIF(#REF!,Final!A185,#REF!)</f>
        <v>#REF!</v>
      </c>
      <c r="F185" s="1644" t="e">
        <f>SUMIF(#REF!,Final!A185,#REF!)</f>
        <v>#REF!</v>
      </c>
      <c r="G185" s="1597" t="e">
        <f t="shared" si="8"/>
        <v>#REF!</v>
      </c>
      <c r="H185" s="1644" t="e">
        <f t="shared" si="9"/>
        <v>#REF!</v>
      </c>
      <c r="I185" s="1597" t="e">
        <f t="shared" si="10"/>
        <v>#REF!</v>
      </c>
      <c r="J185" s="1644" t="e">
        <f t="shared" si="11"/>
        <v>#REF!</v>
      </c>
      <c r="K185" s="1539"/>
      <c r="L185" s="1539"/>
      <c r="M185" s="1545"/>
      <c r="N185" s="1545"/>
      <c r="O185" s="1539"/>
      <c r="P185" s="1539"/>
      <c r="Q185" s="1539"/>
      <c r="R185" s="1539"/>
      <c r="S185" s="1539"/>
      <c r="T185" s="1539"/>
      <c r="U185" s="1539"/>
      <c r="V185" s="1539"/>
      <c r="W185" s="1539"/>
      <c r="X185" s="1539"/>
      <c r="Y185" s="1539"/>
      <c r="Z185" s="1539"/>
      <c r="AA185" s="1539"/>
      <c r="AB185" s="1539"/>
      <c r="AC185" s="1539"/>
      <c r="AD185" s="1539"/>
      <c r="AE185" s="1539"/>
      <c r="AF185" s="1539"/>
      <c r="AG185" s="1539"/>
      <c r="AH185" s="1539"/>
      <c r="AI185" s="1539"/>
      <c r="AJ185" s="1539"/>
      <c r="AK185" s="1539"/>
      <c r="AL185" s="1539"/>
      <c r="AM185" s="1539"/>
      <c r="AN185" s="1539"/>
      <c r="AO185" s="1539"/>
      <c r="AP185" s="1539"/>
      <c r="AQ185" s="1539"/>
      <c r="AR185" s="1539"/>
      <c r="AS185" s="1539"/>
      <c r="AT185" s="1539"/>
      <c r="AU185" s="1539"/>
      <c r="AV185" s="1539"/>
      <c r="AW185" s="1539"/>
      <c r="AX185" s="1539"/>
      <c r="AY185" s="1539"/>
      <c r="AZ185" s="1539"/>
      <c r="BA185" s="1539"/>
      <c r="BB185" s="1539"/>
      <c r="BC185" s="1539"/>
      <c r="BD185" s="1539"/>
      <c r="BE185" s="1539"/>
      <c r="BF185" s="1539"/>
      <c r="BG185" s="1539"/>
      <c r="BH185" s="1539"/>
      <c r="BI185" s="1539"/>
      <c r="BJ185" s="1539"/>
      <c r="BK185" s="1539"/>
      <c r="BL185" s="1539"/>
      <c r="BM185" s="1539"/>
      <c r="BN185" s="1539"/>
      <c r="BO185" s="1539"/>
      <c r="BP185" s="1539"/>
      <c r="BQ185" s="1539"/>
      <c r="BR185" s="1539"/>
      <c r="BS185" s="1539"/>
      <c r="BT185" s="1539"/>
      <c r="BU185" s="1539"/>
      <c r="BV185" s="1539"/>
      <c r="BW185" s="1539"/>
      <c r="BX185" s="1539"/>
      <c r="BY185" s="1539"/>
      <c r="BZ185" s="1539"/>
      <c r="CA185" s="1539"/>
      <c r="CB185" s="1539"/>
      <c r="CC185" s="1539"/>
      <c r="CD185" s="1539"/>
      <c r="CE185" s="1539"/>
      <c r="CF185" s="1539"/>
      <c r="CG185" s="1539"/>
      <c r="CH185" s="1539"/>
      <c r="CI185" s="1539"/>
      <c r="CJ185" s="1539"/>
      <c r="CK185" s="1539"/>
      <c r="CL185" s="1539"/>
      <c r="CM185" s="1539"/>
      <c r="CN185" s="1539"/>
      <c r="CO185" s="1539"/>
    </row>
    <row r="186" spans="1:93" s="1542" customFormat="1" ht="15.5">
      <c r="A186" s="1598" t="s">
        <v>543</v>
      </c>
      <c r="B186" s="1599" t="s">
        <v>2185</v>
      </c>
      <c r="C186" s="1643" t="e">
        <f>+SUMIF(#REF!,Final!A186,#REF!)</f>
        <v>#REF!</v>
      </c>
      <c r="D186" s="1597" t="e">
        <f>+SUMIF(#REF!,Final!A186,#REF!)</f>
        <v>#REF!</v>
      </c>
      <c r="E186" s="1643" t="e">
        <f>SUMIF(#REF!,Final!A186,#REF!)</f>
        <v>#REF!</v>
      </c>
      <c r="F186" s="1644" t="e">
        <f>SUMIF(#REF!,Final!A186,#REF!)</f>
        <v>#REF!</v>
      </c>
      <c r="G186" s="1597" t="e">
        <f t="shared" si="8"/>
        <v>#REF!</v>
      </c>
      <c r="H186" s="1644" t="e">
        <f t="shared" si="9"/>
        <v>#REF!</v>
      </c>
      <c r="I186" s="1597" t="e">
        <f t="shared" si="10"/>
        <v>#REF!</v>
      </c>
      <c r="J186" s="1644" t="e">
        <f t="shared" si="11"/>
        <v>#REF!</v>
      </c>
      <c r="K186" s="1539"/>
      <c r="L186" s="1539"/>
      <c r="M186" s="1545"/>
      <c r="N186" s="1545"/>
      <c r="O186" s="1539"/>
      <c r="P186" s="1539"/>
      <c r="Q186" s="1539"/>
      <c r="R186" s="1539"/>
      <c r="S186" s="1539"/>
      <c r="T186" s="1539"/>
      <c r="U186" s="1539"/>
      <c r="V186" s="1539"/>
      <c r="W186" s="1539"/>
      <c r="X186" s="1539"/>
      <c r="Y186" s="1539"/>
      <c r="Z186" s="1539"/>
      <c r="AA186" s="1539"/>
      <c r="AB186" s="1539"/>
      <c r="AC186" s="1539"/>
      <c r="AD186" s="1539"/>
      <c r="AE186" s="1539"/>
      <c r="AF186" s="1539"/>
      <c r="AG186" s="1539"/>
      <c r="AH186" s="1539"/>
      <c r="AI186" s="1539"/>
      <c r="AJ186" s="1539"/>
      <c r="AK186" s="1539"/>
      <c r="AL186" s="1539"/>
      <c r="AM186" s="1539"/>
      <c r="AN186" s="1539"/>
      <c r="AO186" s="1539"/>
      <c r="AP186" s="1539"/>
      <c r="AQ186" s="1539"/>
      <c r="AR186" s="1539"/>
      <c r="AS186" s="1539"/>
      <c r="AT186" s="1539"/>
      <c r="AU186" s="1539"/>
      <c r="AV186" s="1539"/>
      <c r="AW186" s="1539"/>
      <c r="AX186" s="1539"/>
      <c r="AY186" s="1539"/>
      <c r="AZ186" s="1539"/>
      <c r="BA186" s="1539"/>
      <c r="BB186" s="1539"/>
      <c r="BC186" s="1539"/>
      <c r="BD186" s="1539"/>
      <c r="BE186" s="1539"/>
      <c r="BF186" s="1539"/>
      <c r="BG186" s="1539"/>
      <c r="BH186" s="1539"/>
      <c r="BI186" s="1539"/>
      <c r="BJ186" s="1539"/>
      <c r="BK186" s="1539"/>
      <c r="BL186" s="1539"/>
      <c r="BM186" s="1539"/>
      <c r="BN186" s="1539"/>
      <c r="BO186" s="1539"/>
      <c r="BP186" s="1539"/>
      <c r="BQ186" s="1539"/>
      <c r="BR186" s="1539"/>
      <c r="BS186" s="1539"/>
      <c r="BT186" s="1539"/>
      <c r="BU186" s="1539"/>
      <c r="BV186" s="1539"/>
      <c r="BW186" s="1539"/>
      <c r="BX186" s="1539"/>
      <c r="BY186" s="1539"/>
      <c r="BZ186" s="1539"/>
      <c r="CA186" s="1539"/>
      <c r="CB186" s="1539"/>
      <c r="CC186" s="1539"/>
      <c r="CD186" s="1539"/>
      <c r="CE186" s="1539"/>
      <c r="CF186" s="1539"/>
      <c r="CG186" s="1539"/>
      <c r="CH186" s="1539"/>
      <c r="CI186" s="1539"/>
      <c r="CJ186" s="1539"/>
      <c r="CK186" s="1539"/>
      <c r="CL186" s="1539"/>
      <c r="CM186" s="1539"/>
      <c r="CN186" s="1539"/>
      <c r="CO186" s="1539"/>
    </row>
    <row r="187" spans="1:93" ht="15.5">
      <c r="A187" s="1598" t="s">
        <v>2186</v>
      </c>
      <c r="B187" s="1599" t="s">
        <v>2187</v>
      </c>
      <c r="C187" s="1643" t="e">
        <f>+SUMIF(#REF!,Final!A187,#REF!)</f>
        <v>#REF!</v>
      </c>
      <c r="D187" s="1597" t="e">
        <f>+SUMIF(#REF!,Final!A187,#REF!)</f>
        <v>#REF!</v>
      </c>
      <c r="E187" s="1643" t="e">
        <f>SUMIF(#REF!,Final!A187,#REF!)</f>
        <v>#REF!</v>
      </c>
      <c r="F187" s="1644" t="e">
        <f>SUMIF(#REF!,Final!A187,#REF!)</f>
        <v>#REF!</v>
      </c>
      <c r="G187" s="1597" t="e">
        <f t="shared" si="8"/>
        <v>#REF!</v>
      </c>
      <c r="H187" s="1644" t="e">
        <f t="shared" si="9"/>
        <v>#REF!</v>
      </c>
      <c r="I187" s="1597" t="e">
        <f t="shared" si="10"/>
        <v>#REF!</v>
      </c>
      <c r="J187" s="1644" t="e">
        <f t="shared" si="11"/>
        <v>#REF!</v>
      </c>
      <c r="M187" s="1545"/>
      <c r="N187" s="1545"/>
    </row>
    <row r="188" spans="1:93" ht="15.5">
      <c r="A188" s="1598" t="s">
        <v>2188</v>
      </c>
      <c r="B188" s="1599" t="s">
        <v>2189</v>
      </c>
      <c r="C188" s="1643" t="e">
        <f>+SUMIF(#REF!,Final!A188,#REF!)</f>
        <v>#REF!</v>
      </c>
      <c r="D188" s="1597" t="e">
        <f>+SUMIF(#REF!,Final!A188,#REF!)</f>
        <v>#REF!</v>
      </c>
      <c r="E188" s="1643" t="e">
        <f>SUMIF(#REF!,Final!A188,#REF!)</f>
        <v>#REF!</v>
      </c>
      <c r="F188" s="1644" t="e">
        <f>SUMIF(#REF!,Final!A188,#REF!)</f>
        <v>#REF!</v>
      </c>
      <c r="G188" s="1597" t="e">
        <f t="shared" si="8"/>
        <v>#REF!</v>
      </c>
      <c r="H188" s="1644" t="e">
        <f t="shared" si="9"/>
        <v>#REF!</v>
      </c>
      <c r="I188" s="1597" t="e">
        <f t="shared" si="10"/>
        <v>#REF!</v>
      </c>
      <c r="J188" s="1644" t="e">
        <f t="shared" si="11"/>
        <v>#REF!</v>
      </c>
      <c r="M188" s="1545"/>
      <c r="N188" s="1545"/>
    </row>
    <row r="189" spans="1:93" ht="15.5">
      <c r="A189" s="1598" t="s">
        <v>2190</v>
      </c>
      <c r="B189" s="1599" t="s">
        <v>2191</v>
      </c>
      <c r="C189" s="1643" t="e">
        <f>+SUMIF(#REF!,Final!A189,#REF!)</f>
        <v>#REF!</v>
      </c>
      <c r="D189" s="1597" t="e">
        <f>+SUMIF(#REF!,Final!A189,#REF!)</f>
        <v>#REF!</v>
      </c>
      <c r="E189" s="1643" t="e">
        <f>SUMIF(#REF!,Final!A189,#REF!)</f>
        <v>#REF!</v>
      </c>
      <c r="F189" s="1644" t="e">
        <f>SUMIF(#REF!,Final!A189,#REF!)</f>
        <v>#REF!</v>
      </c>
      <c r="G189" s="1597" t="e">
        <f t="shared" si="8"/>
        <v>#REF!</v>
      </c>
      <c r="H189" s="1644" t="e">
        <f t="shared" si="9"/>
        <v>#REF!</v>
      </c>
      <c r="I189" s="1597" t="e">
        <f t="shared" si="10"/>
        <v>#REF!</v>
      </c>
      <c r="J189" s="1644" t="e">
        <f t="shared" si="11"/>
        <v>#REF!</v>
      </c>
      <c r="M189" s="1545"/>
      <c r="N189" s="1545"/>
    </row>
    <row r="190" spans="1:93" s="1542" customFormat="1" ht="15.5">
      <c r="A190" s="1598" t="s">
        <v>2192</v>
      </c>
      <c r="B190" s="1599" t="s">
        <v>2193</v>
      </c>
      <c r="C190" s="1643" t="e">
        <f>+SUMIF(#REF!,Final!A190,#REF!)</f>
        <v>#REF!</v>
      </c>
      <c r="D190" s="1597" t="e">
        <f>+SUMIF(#REF!,Final!A190,#REF!)</f>
        <v>#REF!</v>
      </c>
      <c r="E190" s="1643" t="e">
        <f>SUMIF(#REF!,Final!A190,#REF!)</f>
        <v>#REF!</v>
      </c>
      <c r="F190" s="1644" t="e">
        <f>SUMIF(#REF!,Final!A190,#REF!)</f>
        <v>#REF!</v>
      </c>
      <c r="G190" s="1597" t="e">
        <f t="shared" si="8"/>
        <v>#REF!</v>
      </c>
      <c r="H190" s="1644" t="e">
        <f t="shared" si="9"/>
        <v>#REF!</v>
      </c>
      <c r="I190" s="1597" t="e">
        <f t="shared" si="10"/>
        <v>#REF!</v>
      </c>
      <c r="J190" s="1644" t="e">
        <f t="shared" si="11"/>
        <v>#REF!</v>
      </c>
      <c r="K190" s="1539"/>
      <c r="L190" s="1539"/>
      <c r="M190" s="1545"/>
      <c r="N190" s="1545"/>
      <c r="O190" s="1539"/>
      <c r="P190" s="1539"/>
      <c r="Q190" s="1539"/>
      <c r="R190" s="1539"/>
      <c r="S190" s="1539"/>
      <c r="T190" s="1539"/>
      <c r="U190" s="1539"/>
      <c r="V190" s="1539"/>
      <c r="W190" s="1539"/>
      <c r="X190" s="1539"/>
      <c r="Y190" s="1539"/>
      <c r="Z190" s="1539"/>
      <c r="AA190" s="1539"/>
      <c r="AB190" s="1539"/>
      <c r="AC190" s="1539"/>
      <c r="AD190" s="1539"/>
      <c r="AE190" s="1539"/>
      <c r="AF190" s="1539"/>
      <c r="AG190" s="1539"/>
      <c r="AH190" s="1539"/>
      <c r="AI190" s="1539"/>
      <c r="AJ190" s="1539"/>
      <c r="AK190" s="1539"/>
      <c r="AL190" s="1539"/>
      <c r="AM190" s="1539"/>
      <c r="AN190" s="1539"/>
      <c r="AO190" s="1539"/>
      <c r="AP190" s="1539"/>
      <c r="AQ190" s="1539"/>
      <c r="AR190" s="1539"/>
      <c r="AS190" s="1539"/>
      <c r="AT190" s="1539"/>
      <c r="AU190" s="1539"/>
      <c r="AV190" s="1539"/>
      <c r="AW190" s="1539"/>
      <c r="AX190" s="1539"/>
      <c r="AY190" s="1539"/>
      <c r="AZ190" s="1539"/>
      <c r="BA190" s="1539"/>
      <c r="BB190" s="1539"/>
      <c r="BC190" s="1539"/>
      <c r="BD190" s="1539"/>
      <c r="BE190" s="1539"/>
      <c r="BF190" s="1539"/>
      <c r="BG190" s="1539"/>
      <c r="BH190" s="1539"/>
      <c r="BI190" s="1539"/>
      <c r="BJ190" s="1539"/>
      <c r="BK190" s="1539"/>
      <c r="BL190" s="1539"/>
      <c r="BM190" s="1539"/>
      <c r="BN190" s="1539"/>
      <c r="BO190" s="1539"/>
      <c r="BP190" s="1539"/>
      <c r="BQ190" s="1539"/>
      <c r="BR190" s="1539"/>
      <c r="BS190" s="1539"/>
      <c r="BT190" s="1539"/>
      <c r="BU190" s="1539"/>
      <c r="BV190" s="1539"/>
      <c r="BW190" s="1539"/>
      <c r="BX190" s="1539"/>
      <c r="BY190" s="1539"/>
      <c r="BZ190" s="1539"/>
      <c r="CA190" s="1539"/>
      <c r="CB190" s="1539"/>
      <c r="CC190" s="1539"/>
      <c r="CD190" s="1539"/>
      <c r="CE190" s="1539"/>
      <c r="CF190" s="1539"/>
      <c r="CG190" s="1539"/>
      <c r="CH190" s="1539"/>
      <c r="CI190" s="1539"/>
      <c r="CJ190" s="1539"/>
      <c r="CK190" s="1539"/>
      <c r="CL190" s="1539"/>
      <c r="CM190" s="1539"/>
      <c r="CN190" s="1539"/>
      <c r="CO190" s="1539"/>
    </row>
    <row r="191" spans="1:93" ht="15.5">
      <c r="A191" s="1598" t="s">
        <v>2194</v>
      </c>
      <c r="B191" s="1599" t="s">
        <v>2195</v>
      </c>
      <c r="C191" s="1643" t="e">
        <f>+SUMIF(#REF!,Final!A191,#REF!)</f>
        <v>#REF!</v>
      </c>
      <c r="D191" s="1597" t="e">
        <f>+SUMIF(#REF!,Final!A191,#REF!)</f>
        <v>#REF!</v>
      </c>
      <c r="E191" s="1643" t="e">
        <f>SUMIF(#REF!,Final!A191,#REF!)</f>
        <v>#REF!</v>
      </c>
      <c r="F191" s="1644" t="e">
        <f>SUMIF(#REF!,Final!A191,#REF!)</f>
        <v>#REF!</v>
      </c>
      <c r="G191" s="1597" t="e">
        <f t="shared" si="8"/>
        <v>#REF!</v>
      </c>
      <c r="H191" s="1644" t="e">
        <f t="shared" si="9"/>
        <v>#REF!</v>
      </c>
      <c r="I191" s="1597" t="e">
        <f t="shared" si="10"/>
        <v>#REF!</v>
      </c>
      <c r="J191" s="1644" t="e">
        <f t="shared" si="11"/>
        <v>#REF!</v>
      </c>
      <c r="M191" s="1545"/>
      <c r="N191" s="1545"/>
    </row>
    <row r="192" spans="1:93" ht="15.5">
      <c r="A192" s="1598" t="s">
        <v>2196</v>
      </c>
      <c r="B192" s="1599" t="s">
        <v>2197</v>
      </c>
      <c r="C192" s="1643" t="e">
        <f>+SUMIF(#REF!,Final!A192,#REF!)</f>
        <v>#REF!</v>
      </c>
      <c r="D192" s="1597" t="e">
        <f>+SUMIF(#REF!,Final!A192,#REF!)</f>
        <v>#REF!</v>
      </c>
      <c r="E192" s="1643" t="e">
        <f>SUMIF(#REF!,Final!A192,#REF!)</f>
        <v>#REF!</v>
      </c>
      <c r="F192" s="1644" t="e">
        <f>SUMIF(#REF!,Final!A192,#REF!)</f>
        <v>#REF!</v>
      </c>
      <c r="G192" s="1597" t="e">
        <f t="shared" si="8"/>
        <v>#REF!</v>
      </c>
      <c r="H192" s="1644" t="e">
        <f t="shared" si="9"/>
        <v>#REF!</v>
      </c>
      <c r="I192" s="1597" t="e">
        <f t="shared" si="10"/>
        <v>#REF!</v>
      </c>
      <c r="J192" s="1644" t="e">
        <f t="shared" si="11"/>
        <v>#REF!</v>
      </c>
      <c r="M192" s="1545"/>
      <c r="N192" s="1545"/>
    </row>
    <row r="193" spans="1:93" ht="15.5">
      <c r="A193" s="1598" t="s">
        <v>2198</v>
      </c>
      <c r="B193" s="1599" t="s">
        <v>2199</v>
      </c>
      <c r="C193" s="1643" t="e">
        <f>+SUMIF(#REF!,Final!A193,#REF!)</f>
        <v>#REF!</v>
      </c>
      <c r="D193" s="1597" t="e">
        <f>+SUMIF(#REF!,Final!A193,#REF!)</f>
        <v>#REF!</v>
      </c>
      <c r="E193" s="1643" t="e">
        <f>SUMIF(#REF!,Final!A193,#REF!)</f>
        <v>#REF!</v>
      </c>
      <c r="F193" s="1644" t="e">
        <f>SUMIF(#REF!,Final!A193,#REF!)</f>
        <v>#REF!</v>
      </c>
      <c r="G193" s="1597" t="e">
        <f t="shared" si="8"/>
        <v>#REF!</v>
      </c>
      <c r="H193" s="1644" t="e">
        <f t="shared" si="9"/>
        <v>#REF!</v>
      </c>
      <c r="I193" s="1597" t="e">
        <f t="shared" si="10"/>
        <v>#REF!</v>
      </c>
      <c r="J193" s="1644" t="e">
        <f t="shared" si="11"/>
        <v>#REF!</v>
      </c>
      <c r="M193" s="1545"/>
      <c r="N193" s="1545"/>
    </row>
    <row r="194" spans="1:93" ht="15.5">
      <c r="A194" s="1598" t="s">
        <v>3905</v>
      </c>
      <c r="B194" s="1599" t="s">
        <v>3906</v>
      </c>
      <c r="C194" s="1643" t="e">
        <f>+SUMIF(#REF!,Final!A194,#REF!)</f>
        <v>#REF!</v>
      </c>
      <c r="D194" s="1597" t="e">
        <f>+SUMIF(#REF!,Final!A194,#REF!)</f>
        <v>#REF!</v>
      </c>
      <c r="E194" s="1643" t="e">
        <f>SUMIF(#REF!,Final!A194,#REF!)</f>
        <v>#REF!</v>
      </c>
      <c r="F194" s="1644" t="e">
        <f>SUMIF(#REF!,Final!A194,#REF!)</f>
        <v>#REF!</v>
      </c>
      <c r="G194" s="1597" t="e">
        <f t="shared" si="8"/>
        <v>#REF!</v>
      </c>
      <c r="H194" s="1644" t="e">
        <f t="shared" si="9"/>
        <v>#REF!</v>
      </c>
      <c r="I194" s="1597" t="e">
        <f t="shared" si="10"/>
        <v>#REF!</v>
      </c>
      <c r="J194" s="1644" t="e">
        <f t="shared" si="11"/>
        <v>#REF!</v>
      </c>
      <c r="M194" s="1545"/>
      <c r="N194" s="1545"/>
    </row>
    <row r="195" spans="1:93" ht="15.5">
      <c r="A195" s="1598" t="s">
        <v>2200</v>
      </c>
      <c r="B195" s="1599" t="s">
        <v>2136</v>
      </c>
      <c r="C195" s="1643" t="e">
        <f>+SUMIF(#REF!,Final!A195,#REF!)</f>
        <v>#REF!</v>
      </c>
      <c r="D195" s="1597" t="e">
        <f>+SUMIF(#REF!,Final!A195,#REF!)</f>
        <v>#REF!</v>
      </c>
      <c r="E195" s="1643" t="e">
        <f>SUMIF(#REF!,Final!A195,#REF!)</f>
        <v>#REF!</v>
      </c>
      <c r="F195" s="1644" t="e">
        <f>SUMIF(#REF!,Final!A195,#REF!)</f>
        <v>#REF!</v>
      </c>
      <c r="G195" s="1597" t="e">
        <f t="shared" si="8"/>
        <v>#REF!</v>
      </c>
      <c r="H195" s="1644" t="e">
        <f t="shared" si="9"/>
        <v>#REF!</v>
      </c>
      <c r="I195" s="1597" t="e">
        <f t="shared" si="10"/>
        <v>#REF!</v>
      </c>
      <c r="J195" s="1644" t="e">
        <f t="shared" si="11"/>
        <v>#REF!</v>
      </c>
      <c r="M195" s="1545"/>
      <c r="N195" s="1545"/>
    </row>
    <row r="196" spans="1:93" ht="15.5">
      <c r="A196" s="1598" t="s">
        <v>2201</v>
      </c>
      <c r="B196" s="1599" t="s">
        <v>2202</v>
      </c>
      <c r="C196" s="1643" t="e">
        <f>+SUMIF(#REF!,Final!A196,#REF!)</f>
        <v>#REF!</v>
      </c>
      <c r="D196" s="1597" t="e">
        <f>+SUMIF(#REF!,Final!A196,#REF!)</f>
        <v>#REF!</v>
      </c>
      <c r="E196" s="1643" t="e">
        <f>SUMIF(#REF!,Final!A196,#REF!)</f>
        <v>#REF!</v>
      </c>
      <c r="F196" s="1644" t="e">
        <f>SUMIF(#REF!,Final!A196,#REF!)</f>
        <v>#REF!</v>
      </c>
      <c r="G196" s="1597" t="e">
        <f t="shared" si="8"/>
        <v>#REF!</v>
      </c>
      <c r="H196" s="1644" t="e">
        <f t="shared" si="9"/>
        <v>#REF!</v>
      </c>
      <c r="I196" s="1597" t="e">
        <f t="shared" si="10"/>
        <v>#REF!</v>
      </c>
      <c r="J196" s="1644" t="e">
        <f t="shared" si="11"/>
        <v>#REF!</v>
      </c>
      <c r="M196" s="1545"/>
      <c r="N196" s="1545"/>
    </row>
    <row r="197" spans="1:93" ht="15.5">
      <c r="A197" s="1598" t="s">
        <v>2203</v>
      </c>
      <c r="B197" s="1599" t="s">
        <v>2204</v>
      </c>
      <c r="C197" s="1643" t="e">
        <f>+SUMIF(#REF!,Final!A197,#REF!)</f>
        <v>#REF!</v>
      </c>
      <c r="D197" s="1597" t="e">
        <f>+SUMIF(#REF!,Final!A197,#REF!)</f>
        <v>#REF!</v>
      </c>
      <c r="E197" s="1643" t="e">
        <f>SUMIF(#REF!,Final!A197,#REF!)</f>
        <v>#REF!</v>
      </c>
      <c r="F197" s="1644" t="e">
        <f>SUMIF(#REF!,Final!A197,#REF!)</f>
        <v>#REF!</v>
      </c>
      <c r="G197" s="1597" t="e">
        <f t="shared" si="8"/>
        <v>#REF!</v>
      </c>
      <c r="H197" s="1644" t="e">
        <f t="shared" si="9"/>
        <v>#REF!</v>
      </c>
      <c r="I197" s="1597" t="e">
        <f t="shared" si="10"/>
        <v>#REF!</v>
      </c>
      <c r="J197" s="1644" t="e">
        <f t="shared" si="11"/>
        <v>#REF!</v>
      </c>
      <c r="M197" s="1545"/>
      <c r="N197" s="1545"/>
    </row>
    <row r="198" spans="1:93" ht="15.5">
      <c r="A198" s="1598" t="s">
        <v>2205</v>
      </c>
      <c r="B198" s="1599" t="s">
        <v>2206</v>
      </c>
      <c r="C198" s="1643" t="e">
        <f>+SUMIF(#REF!,Final!A198,#REF!)</f>
        <v>#REF!</v>
      </c>
      <c r="D198" s="1597" t="e">
        <f>+SUMIF(#REF!,Final!A198,#REF!)</f>
        <v>#REF!</v>
      </c>
      <c r="E198" s="1643" t="e">
        <f>SUMIF(#REF!,Final!A198,#REF!)</f>
        <v>#REF!</v>
      </c>
      <c r="F198" s="1644" t="e">
        <f>SUMIF(#REF!,Final!A198,#REF!)</f>
        <v>#REF!</v>
      </c>
      <c r="G198" s="1597" t="e">
        <f t="shared" si="8"/>
        <v>#REF!</v>
      </c>
      <c r="H198" s="1644" t="e">
        <f t="shared" si="9"/>
        <v>#REF!</v>
      </c>
      <c r="I198" s="1597" t="e">
        <f t="shared" si="10"/>
        <v>#REF!</v>
      </c>
      <c r="J198" s="1644" t="e">
        <f t="shared" si="11"/>
        <v>#REF!</v>
      </c>
      <c r="M198" s="1545"/>
      <c r="N198" s="1545"/>
    </row>
    <row r="199" spans="1:93" ht="15.5">
      <c r="A199" s="1598" t="s">
        <v>2207</v>
      </c>
      <c r="B199" s="1599" t="s">
        <v>2208</v>
      </c>
      <c r="C199" s="1643" t="e">
        <f>+SUMIF(#REF!,Final!A199,#REF!)</f>
        <v>#REF!</v>
      </c>
      <c r="D199" s="1597" t="e">
        <f>+SUMIF(#REF!,Final!A199,#REF!)</f>
        <v>#REF!</v>
      </c>
      <c r="E199" s="1643" t="e">
        <f>SUMIF(#REF!,Final!A199,#REF!)</f>
        <v>#REF!</v>
      </c>
      <c r="F199" s="1644" t="e">
        <f>SUMIF(#REF!,Final!A199,#REF!)</f>
        <v>#REF!</v>
      </c>
      <c r="G199" s="1597" t="e">
        <f t="shared" si="8"/>
        <v>#REF!</v>
      </c>
      <c r="H199" s="1644" t="e">
        <f t="shared" si="9"/>
        <v>#REF!</v>
      </c>
      <c r="I199" s="1597" t="e">
        <f t="shared" si="10"/>
        <v>#REF!</v>
      </c>
      <c r="J199" s="1644" t="e">
        <f t="shared" si="11"/>
        <v>#REF!</v>
      </c>
      <c r="M199" s="1545"/>
      <c r="N199" s="1545"/>
    </row>
    <row r="200" spans="1:93" ht="15.5">
      <c r="A200" s="1598" t="s">
        <v>2209</v>
      </c>
      <c r="B200" s="1599" t="s">
        <v>2210</v>
      </c>
      <c r="C200" s="1643" t="e">
        <f>+SUMIF(#REF!,Final!A200,#REF!)</f>
        <v>#REF!</v>
      </c>
      <c r="D200" s="1597" t="e">
        <f>+SUMIF(#REF!,Final!A200,#REF!)</f>
        <v>#REF!</v>
      </c>
      <c r="E200" s="1643" t="e">
        <f>SUMIF(#REF!,Final!A200,#REF!)</f>
        <v>#REF!</v>
      </c>
      <c r="F200" s="1644" t="e">
        <f>SUMIF(#REF!,Final!A200,#REF!)</f>
        <v>#REF!</v>
      </c>
      <c r="G200" s="1597" t="e">
        <f t="shared" ref="G200:G263" si="12">C200+E200</f>
        <v>#REF!</v>
      </c>
      <c r="H200" s="1644" t="e">
        <f t="shared" ref="H200:H263" si="13">D200+F200</f>
        <v>#REF!</v>
      </c>
      <c r="I200" s="1597" t="e">
        <f t="shared" ref="I200:I263" si="14">IF(G200&gt;H200,G200-H200,0)</f>
        <v>#REF!</v>
      </c>
      <c r="J200" s="1644" t="e">
        <f t="shared" ref="J200:J263" si="15">IF(H200&gt;G200,H200-G200,0)</f>
        <v>#REF!</v>
      </c>
      <c r="M200" s="1545"/>
      <c r="N200" s="1545"/>
    </row>
    <row r="201" spans="1:93" ht="15.5">
      <c r="A201" s="1598" t="s">
        <v>2211</v>
      </c>
      <c r="B201" s="1599" t="s">
        <v>2212</v>
      </c>
      <c r="C201" s="1643" t="e">
        <f>+SUMIF(#REF!,Final!A201,#REF!)</f>
        <v>#REF!</v>
      </c>
      <c r="D201" s="1597" t="e">
        <f>+SUMIF(#REF!,Final!A201,#REF!)</f>
        <v>#REF!</v>
      </c>
      <c r="E201" s="1643" t="e">
        <f>SUMIF(#REF!,Final!A201,#REF!)</f>
        <v>#REF!</v>
      </c>
      <c r="F201" s="1644" t="e">
        <f>SUMIF(#REF!,Final!A201,#REF!)</f>
        <v>#REF!</v>
      </c>
      <c r="G201" s="1597" t="e">
        <f t="shared" si="12"/>
        <v>#REF!</v>
      </c>
      <c r="H201" s="1644" t="e">
        <f t="shared" si="13"/>
        <v>#REF!</v>
      </c>
      <c r="I201" s="1597" t="e">
        <f t="shared" si="14"/>
        <v>#REF!</v>
      </c>
      <c r="J201" s="1644" t="e">
        <f t="shared" si="15"/>
        <v>#REF!</v>
      </c>
      <c r="M201" s="1545"/>
      <c r="N201" s="1545"/>
    </row>
    <row r="202" spans="1:93" ht="15.5">
      <c r="A202" s="1598" t="s">
        <v>2213</v>
      </c>
      <c r="B202" s="1599" t="s">
        <v>2214</v>
      </c>
      <c r="C202" s="1643" t="e">
        <f>+SUMIF(#REF!,Final!A202,#REF!)</f>
        <v>#REF!</v>
      </c>
      <c r="D202" s="1597" t="e">
        <f>+SUMIF(#REF!,Final!A202,#REF!)</f>
        <v>#REF!</v>
      </c>
      <c r="E202" s="1643" t="e">
        <f>SUMIF(#REF!,Final!A202,#REF!)</f>
        <v>#REF!</v>
      </c>
      <c r="F202" s="1644" t="e">
        <f>SUMIF(#REF!,Final!A202,#REF!)</f>
        <v>#REF!</v>
      </c>
      <c r="G202" s="1597" t="e">
        <f t="shared" si="12"/>
        <v>#REF!</v>
      </c>
      <c r="H202" s="1644" t="e">
        <f t="shared" si="13"/>
        <v>#REF!</v>
      </c>
      <c r="I202" s="1597" t="e">
        <f t="shared" si="14"/>
        <v>#REF!</v>
      </c>
      <c r="J202" s="1644" t="e">
        <f t="shared" si="15"/>
        <v>#REF!</v>
      </c>
      <c r="M202" s="1545"/>
      <c r="N202" s="1545"/>
    </row>
    <row r="203" spans="1:93" ht="15.5">
      <c r="A203" s="1598" t="s">
        <v>2215</v>
      </c>
      <c r="B203" s="1599" t="s">
        <v>2152</v>
      </c>
      <c r="C203" s="1643" t="e">
        <f>+SUMIF(#REF!,Final!A203,#REF!)</f>
        <v>#REF!</v>
      </c>
      <c r="D203" s="1597" t="e">
        <f>+SUMIF(#REF!,Final!A203,#REF!)</f>
        <v>#REF!</v>
      </c>
      <c r="E203" s="1643" t="e">
        <f>SUMIF(#REF!,Final!A203,#REF!)</f>
        <v>#REF!</v>
      </c>
      <c r="F203" s="1644" t="e">
        <f>SUMIF(#REF!,Final!A203,#REF!)</f>
        <v>#REF!</v>
      </c>
      <c r="G203" s="1597" t="e">
        <f t="shared" si="12"/>
        <v>#REF!</v>
      </c>
      <c r="H203" s="1644" t="e">
        <f t="shared" si="13"/>
        <v>#REF!</v>
      </c>
      <c r="I203" s="1597" t="e">
        <f t="shared" si="14"/>
        <v>#REF!</v>
      </c>
      <c r="J203" s="1644" t="e">
        <f t="shared" si="15"/>
        <v>#REF!</v>
      </c>
      <c r="M203" s="1545"/>
      <c r="N203" s="1545"/>
    </row>
    <row r="204" spans="1:93" ht="15.5">
      <c r="A204" s="1598" t="s">
        <v>2216</v>
      </c>
      <c r="B204" s="1599" t="s">
        <v>2154</v>
      </c>
      <c r="C204" s="1643" t="e">
        <f>+SUMIF(#REF!,Final!A204,#REF!)</f>
        <v>#REF!</v>
      </c>
      <c r="D204" s="1597" t="e">
        <f>+SUMIF(#REF!,Final!A204,#REF!)</f>
        <v>#REF!</v>
      </c>
      <c r="E204" s="1643" t="e">
        <f>SUMIF(#REF!,Final!A204,#REF!)</f>
        <v>#REF!</v>
      </c>
      <c r="F204" s="1644" t="e">
        <f>SUMIF(#REF!,Final!A204,#REF!)</f>
        <v>#REF!</v>
      </c>
      <c r="G204" s="1597" t="e">
        <f t="shared" si="12"/>
        <v>#REF!</v>
      </c>
      <c r="H204" s="1644" t="e">
        <f t="shared" si="13"/>
        <v>#REF!</v>
      </c>
      <c r="I204" s="1597" t="e">
        <f t="shared" si="14"/>
        <v>#REF!</v>
      </c>
      <c r="J204" s="1644" t="e">
        <f t="shared" si="15"/>
        <v>#REF!</v>
      </c>
      <c r="M204" s="1545"/>
      <c r="N204" s="1545"/>
    </row>
    <row r="205" spans="1:93" s="1542" customFormat="1" ht="15.5">
      <c r="A205" s="1598" t="s">
        <v>2217</v>
      </c>
      <c r="B205" s="1599" t="s">
        <v>2156</v>
      </c>
      <c r="C205" s="1643" t="e">
        <f>+SUMIF(#REF!,Final!A205,#REF!)</f>
        <v>#REF!</v>
      </c>
      <c r="D205" s="1597" t="e">
        <f>+SUMIF(#REF!,Final!A205,#REF!)</f>
        <v>#REF!</v>
      </c>
      <c r="E205" s="1643" t="e">
        <f>SUMIF(#REF!,Final!A205,#REF!)</f>
        <v>#REF!</v>
      </c>
      <c r="F205" s="1644" t="e">
        <f>SUMIF(#REF!,Final!A205,#REF!)</f>
        <v>#REF!</v>
      </c>
      <c r="G205" s="1597" t="e">
        <f t="shared" si="12"/>
        <v>#REF!</v>
      </c>
      <c r="H205" s="1644" t="e">
        <f t="shared" si="13"/>
        <v>#REF!</v>
      </c>
      <c r="I205" s="1597" t="e">
        <f t="shared" si="14"/>
        <v>#REF!</v>
      </c>
      <c r="J205" s="1644" t="e">
        <f t="shared" si="15"/>
        <v>#REF!</v>
      </c>
      <c r="K205" s="1539"/>
      <c r="L205" s="1539"/>
      <c r="M205" s="1545"/>
      <c r="N205" s="1545"/>
      <c r="O205" s="1539"/>
      <c r="P205" s="1539"/>
      <c r="Q205" s="1539"/>
      <c r="R205" s="1539"/>
      <c r="S205" s="1539"/>
      <c r="T205" s="1539"/>
      <c r="U205" s="1539"/>
      <c r="V205" s="1539"/>
      <c r="W205" s="1539"/>
      <c r="X205" s="1539"/>
      <c r="Y205" s="1539"/>
      <c r="Z205" s="1539"/>
      <c r="AA205" s="1539"/>
      <c r="AB205" s="1539"/>
      <c r="AC205" s="1539"/>
      <c r="AD205" s="1539"/>
      <c r="AE205" s="1539"/>
      <c r="AF205" s="1539"/>
      <c r="AG205" s="1539"/>
      <c r="AH205" s="1539"/>
      <c r="AI205" s="1539"/>
      <c r="AJ205" s="1539"/>
      <c r="AK205" s="1539"/>
      <c r="AL205" s="1539"/>
      <c r="AM205" s="1539"/>
      <c r="AN205" s="1539"/>
      <c r="AO205" s="1539"/>
      <c r="AP205" s="1539"/>
      <c r="AQ205" s="1539"/>
      <c r="AR205" s="1539"/>
      <c r="AS205" s="1539"/>
      <c r="AT205" s="1539"/>
      <c r="AU205" s="1539"/>
      <c r="AV205" s="1539"/>
      <c r="AW205" s="1539"/>
      <c r="AX205" s="1539"/>
      <c r="AY205" s="1539"/>
      <c r="AZ205" s="1539"/>
      <c r="BA205" s="1539"/>
      <c r="BB205" s="1539"/>
      <c r="BC205" s="1539"/>
      <c r="BD205" s="1539"/>
      <c r="BE205" s="1539"/>
      <c r="BF205" s="1539"/>
      <c r="BG205" s="1539"/>
      <c r="BH205" s="1539"/>
      <c r="BI205" s="1539"/>
      <c r="BJ205" s="1539"/>
      <c r="BK205" s="1539"/>
      <c r="BL205" s="1539"/>
      <c r="BM205" s="1539"/>
      <c r="BN205" s="1539"/>
      <c r="BO205" s="1539"/>
      <c r="BP205" s="1539"/>
      <c r="BQ205" s="1539"/>
      <c r="BR205" s="1539"/>
      <c r="BS205" s="1539"/>
      <c r="BT205" s="1539"/>
      <c r="BU205" s="1539"/>
      <c r="BV205" s="1539"/>
      <c r="BW205" s="1539"/>
      <c r="BX205" s="1539"/>
      <c r="BY205" s="1539"/>
      <c r="BZ205" s="1539"/>
      <c r="CA205" s="1539"/>
      <c r="CB205" s="1539"/>
      <c r="CC205" s="1539"/>
      <c r="CD205" s="1539"/>
      <c r="CE205" s="1539"/>
      <c r="CF205" s="1539"/>
      <c r="CG205" s="1539"/>
      <c r="CH205" s="1539"/>
      <c r="CI205" s="1539"/>
      <c r="CJ205" s="1539"/>
      <c r="CK205" s="1539"/>
      <c r="CL205" s="1539"/>
      <c r="CM205" s="1539"/>
      <c r="CN205" s="1539"/>
      <c r="CO205" s="1539"/>
    </row>
    <row r="206" spans="1:93" ht="15.5">
      <c r="A206" s="1598" t="s">
        <v>2218</v>
      </c>
      <c r="B206" s="1599" t="s">
        <v>2219</v>
      </c>
      <c r="C206" s="1643" t="e">
        <f>+SUMIF(#REF!,Final!A206,#REF!)</f>
        <v>#REF!</v>
      </c>
      <c r="D206" s="1597" t="e">
        <f>+SUMIF(#REF!,Final!A206,#REF!)</f>
        <v>#REF!</v>
      </c>
      <c r="E206" s="1643" t="e">
        <f>SUMIF(#REF!,Final!A206,#REF!)</f>
        <v>#REF!</v>
      </c>
      <c r="F206" s="1644" t="e">
        <f>SUMIF(#REF!,Final!A206,#REF!)</f>
        <v>#REF!</v>
      </c>
      <c r="G206" s="1597" t="e">
        <f t="shared" si="12"/>
        <v>#REF!</v>
      </c>
      <c r="H206" s="1644" t="e">
        <f t="shared" si="13"/>
        <v>#REF!</v>
      </c>
      <c r="I206" s="1597" t="e">
        <f t="shared" si="14"/>
        <v>#REF!</v>
      </c>
      <c r="J206" s="1644" t="e">
        <f t="shared" si="15"/>
        <v>#REF!</v>
      </c>
      <c r="M206" s="1545"/>
      <c r="N206" s="1545"/>
    </row>
    <row r="207" spans="1:93" s="1542" customFormat="1" ht="15.5">
      <c r="A207" s="1598" t="s">
        <v>2220</v>
      </c>
      <c r="B207" s="1599" t="s">
        <v>2221</v>
      </c>
      <c r="C207" s="1643" t="e">
        <f>+SUMIF(#REF!,Final!A207,#REF!)</f>
        <v>#REF!</v>
      </c>
      <c r="D207" s="1597" t="e">
        <f>+SUMIF(#REF!,Final!A207,#REF!)</f>
        <v>#REF!</v>
      </c>
      <c r="E207" s="1643" t="e">
        <f>SUMIF(#REF!,Final!A207,#REF!)</f>
        <v>#REF!</v>
      </c>
      <c r="F207" s="1644" t="e">
        <f>SUMIF(#REF!,Final!A207,#REF!)</f>
        <v>#REF!</v>
      </c>
      <c r="G207" s="1597" t="e">
        <f t="shared" si="12"/>
        <v>#REF!</v>
      </c>
      <c r="H207" s="1644" t="e">
        <f t="shared" si="13"/>
        <v>#REF!</v>
      </c>
      <c r="I207" s="1597" t="e">
        <f t="shared" si="14"/>
        <v>#REF!</v>
      </c>
      <c r="J207" s="1644" t="e">
        <f t="shared" si="15"/>
        <v>#REF!</v>
      </c>
      <c r="K207" s="1539"/>
      <c r="L207" s="1539"/>
      <c r="M207" s="1545"/>
      <c r="N207" s="1545"/>
      <c r="O207" s="1539"/>
      <c r="P207" s="1539"/>
      <c r="Q207" s="1539"/>
      <c r="R207" s="1539"/>
      <c r="S207" s="1539"/>
      <c r="T207" s="1539"/>
      <c r="U207" s="1539"/>
      <c r="V207" s="1539"/>
      <c r="W207" s="1539"/>
      <c r="X207" s="1539"/>
      <c r="Y207" s="1539"/>
      <c r="Z207" s="1539"/>
      <c r="AA207" s="1539"/>
      <c r="AB207" s="1539"/>
      <c r="AC207" s="1539"/>
      <c r="AD207" s="1539"/>
      <c r="AE207" s="1539"/>
      <c r="AF207" s="1539"/>
      <c r="AG207" s="1539"/>
      <c r="AH207" s="1539"/>
      <c r="AI207" s="1539"/>
      <c r="AJ207" s="1539"/>
      <c r="AK207" s="1539"/>
      <c r="AL207" s="1539"/>
      <c r="AM207" s="1539"/>
      <c r="AN207" s="1539"/>
      <c r="AO207" s="1539"/>
      <c r="AP207" s="1539"/>
      <c r="AQ207" s="1539"/>
      <c r="AR207" s="1539"/>
      <c r="AS207" s="1539"/>
      <c r="AT207" s="1539"/>
      <c r="AU207" s="1539"/>
      <c r="AV207" s="1539"/>
      <c r="AW207" s="1539"/>
      <c r="AX207" s="1539"/>
      <c r="AY207" s="1539"/>
      <c r="AZ207" s="1539"/>
      <c r="BA207" s="1539"/>
      <c r="BB207" s="1539"/>
      <c r="BC207" s="1539"/>
      <c r="BD207" s="1539"/>
      <c r="BE207" s="1539"/>
      <c r="BF207" s="1539"/>
      <c r="BG207" s="1539"/>
      <c r="BH207" s="1539"/>
      <c r="BI207" s="1539"/>
      <c r="BJ207" s="1539"/>
      <c r="BK207" s="1539"/>
      <c r="BL207" s="1539"/>
      <c r="BM207" s="1539"/>
      <c r="BN207" s="1539"/>
      <c r="BO207" s="1539"/>
      <c r="BP207" s="1539"/>
      <c r="BQ207" s="1539"/>
      <c r="BR207" s="1539"/>
      <c r="BS207" s="1539"/>
      <c r="BT207" s="1539"/>
      <c r="BU207" s="1539"/>
      <c r="BV207" s="1539"/>
      <c r="BW207" s="1539"/>
      <c r="BX207" s="1539"/>
      <c r="BY207" s="1539"/>
      <c r="BZ207" s="1539"/>
      <c r="CA207" s="1539"/>
      <c r="CB207" s="1539"/>
      <c r="CC207" s="1539"/>
      <c r="CD207" s="1539"/>
      <c r="CE207" s="1539"/>
      <c r="CF207" s="1539"/>
      <c r="CG207" s="1539"/>
      <c r="CH207" s="1539"/>
      <c r="CI207" s="1539"/>
      <c r="CJ207" s="1539"/>
      <c r="CK207" s="1539"/>
      <c r="CL207" s="1539"/>
      <c r="CM207" s="1539"/>
      <c r="CN207" s="1539"/>
      <c r="CO207" s="1539"/>
    </row>
    <row r="208" spans="1:93" s="1542" customFormat="1" ht="15.5">
      <c r="A208" s="1598" t="s">
        <v>2222</v>
      </c>
      <c r="B208" s="1599" t="s">
        <v>2223</v>
      </c>
      <c r="C208" s="1643" t="e">
        <f>+SUMIF(#REF!,Final!A208,#REF!)</f>
        <v>#REF!</v>
      </c>
      <c r="D208" s="1597" t="e">
        <f>+SUMIF(#REF!,Final!A208,#REF!)</f>
        <v>#REF!</v>
      </c>
      <c r="E208" s="1643" t="e">
        <f>SUMIF(#REF!,Final!A208,#REF!)</f>
        <v>#REF!</v>
      </c>
      <c r="F208" s="1644" t="e">
        <f>SUMIF(#REF!,Final!A208,#REF!)</f>
        <v>#REF!</v>
      </c>
      <c r="G208" s="1597" t="e">
        <f t="shared" si="12"/>
        <v>#REF!</v>
      </c>
      <c r="H208" s="1644" t="e">
        <f t="shared" si="13"/>
        <v>#REF!</v>
      </c>
      <c r="I208" s="1597" t="e">
        <f t="shared" si="14"/>
        <v>#REF!</v>
      </c>
      <c r="J208" s="1644" t="e">
        <f t="shared" si="15"/>
        <v>#REF!</v>
      </c>
      <c r="K208" s="1539"/>
      <c r="L208" s="1539"/>
      <c r="M208" s="1545"/>
      <c r="N208" s="1545"/>
      <c r="O208" s="1539"/>
      <c r="P208" s="1539"/>
      <c r="Q208" s="1539"/>
      <c r="R208" s="1539"/>
      <c r="S208" s="1539"/>
      <c r="T208" s="1539"/>
      <c r="U208" s="1539"/>
      <c r="V208" s="1539"/>
      <c r="W208" s="1539"/>
      <c r="X208" s="1539"/>
      <c r="Y208" s="1539"/>
      <c r="Z208" s="1539"/>
      <c r="AA208" s="1539"/>
      <c r="AB208" s="1539"/>
      <c r="AC208" s="1539"/>
      <c r="AD208" s="1539"/>
      <c r="AE208" s="1539"/>
      <c r="AF208" s="1539"/>
      <c r="AG208" s="1539"/>
      <c r="AH208" s="1539"/>
      <c r="AI208" s="1539"/>
      <c r="AJ208" s="1539"/>
      <c r="AK208" s="1539"/>
      <c r="AL208" s="1539"/>
      <c r="AM208" s="1539"/>
      <c r="AN208" s="1539"/>
      <c r="AO208" s="1539"/>
      <c r="AP208" s="1539"/>
      <c r="AQ208" s="1539"/>
      <c r="AR208" s="1539"/>
      <c r="AS208" s="1539"/>
      <c r="AT208" s="1539"/>
      <c r="AU208" s="1539"/>
      <c r="AV208" s="1539"/>
      <c r="AW208" s="1539"/>
      <c r="AX208" s="1539"/>
      <c r="AY208" s="1539"/>
      <c r="AZ208" s="1539"/>
      <c r="BA208" s="1539"/>
      <c r="BB208" s="1539"/>
      <c r="BC208" s="1539"/>
      <c r="BD208" s="1539"/>
      <c r="BE208" s="1539"/>
      <c r="BF208" s="1539"/>
      <c r="BG208" s="1539"/>
      <c r="BH208" s="1539"/>
      <c r="BI208" s="1539"/>
      <c r="BJ208" s="1539"/>
      <c r="BK208" s="1539"/>
      <c r="BL208" s="1539"/>
      <c r="BM208" s="1539"/>
      <c r="BN208" s="1539"/>
      <c r="BO208" s="1539"/>
      <c r="BP208" s="1539"/>
      <c r="BQ208" s="1539"/>
      <c r="BR208" s="1539"/>
      <c r="BS208" s="1539"/>
      <c r="BT208" s="1539"/>
      <c r="BU208" s="1539"/>
      <c r="BV208" s="1539"/>
      <c r="BW208" s="1539"/>
      <c r="BX208" s="1539"/>
      <c r="BY208" s="1539"/>
      <c r="BZ208" s="1539"/>
      <c r="CA208" s="1539"/>
      <c r="CB208" s="1539"/>
      <c r="CC208" s="1539"/>
      <c r="CD208" s="1539"/>
      <c r="CE208" s="1539"/>
      <c r="CF208" s="1539"/>
      <c r="CG208" s="1539"/>
      <c r="CH208" s="1539"/>
      <c r="CI208" s="1539"/>
      <c r="CJ208" s="1539"/>
      <c r="CK208" s="1539"/>
      <c r="CL208" s="1539"/>
      <c r="CM208" s="1539"/>
      <c r="CN208" s="1539"/>
      <c r="CO208" s="1539"/>
    </row>
    <row r="209" spans="1:93" ht="15.5">
      <c r="A209" s="1598" t="s">
        <v>2224</v>
      </c>
      <c r="B209" s="1599" t="s">
        <v>2225</v>
      </c>
      <c r="C209" s="1643" t="e">
        <f>+SUMIF(#REF!,Final!A209,#REF!)</f>
        <v>#REF!</v>
      </c>
      <c r="D209" s="1597" t="e">
        <f>+SUMIF(#REF!,Final!A209,#REF!)</f>
        <v>#REF!</v>
      </c>
      <c r="E209" s="1643" t="e">
        <f>SUMIF(#REF!,Final!A209,#REF!)</f>
        <v>#REF!</v>
      </c>
      <c r="F209" s="1644" t="e">
        <f>SUMIF(#REF!,Final!A209,#REF!)</f>
        <v>#REF!</v>
      </c>
      <c r="G209" s="1597" t="e">
        <f t="shared" si="12"/>
        <v>#REF!</v>
      </c>
      <c r="H209" s="1644" t="e">
        <f t="shared" si="13"/>
        <v>#REF!</v>
      </c>
      <c r="I209" s="1597" t="e">
        <f t="shared" si="14"/>
        <v>#REF!</v>
      </c>
      <c r="J209" s="1644" t="e">
        <f t="shared" si="15"/>
        <v>#REF!</v>
      </c>
      <c r="M209" s="1545"/>
      <c r="N209" s="1545"/>
    </row>
    <row r="210" spans="1:93" s="1542" customFormat="1" ht="15.5">
      <c r="A210" s="1598" t="s">
        <v>2226</v>
      </c>
      <c r="B210" s="1599" t="s">
        <v>2162</v>
      </c>
      <c r="C210" s="1643" t="e">
        <f>+SUMIF(#REF!,Final!A210,#REF!)</f>
        <v>#REF!</v>
      </c>
      <c r="D210" s="1597" t="e">
        <f>+SUMIF(#REF!,Final!A210,#REF!)</f>
        <v>#REF!</v>
      </c>
      <c r="E210" s="1643" t="e">
        <f>SUMIF(#REF!,Final!A210,#REF!)</f>
        <v>#REF!</v>
      </c>
      <c r="F210" s="1644" t="e">
        <f>SUMIF(#REF!,Final!A210,#REF!)</f>
        <v>#REF!</v>
      </c>
      <c r="G210" s="1597" t="e">
        <f t="shared" si="12"/>
        <v>#REF!</v>
      </c>
      <c r="H210" s="1644" t="e">
        <f t="shared" si="13"/>
        <v>#REF!</v>
      </c>
      <c r="I210" s="1597" t="e">
        <f t="shared" si="14"/>
        <v>#REF!</v>
      </c>
      <c r="J210" s="1644" t="e">
        <f t="shared" si="15"/>
        <v>#REF!</v>
      </c>
      <c r="K210" s="1539"/>
      <c r="L210" s="1539"/>
      <c r="M210" s="1545"/>
      <c r="N210" s="1545"/>
      <c r="O210" s="1539"/>
      <c r="P210" s="1539"/>
      <c r="Q210" s="1539"/>
      <c r="R210" s="1539"/>
      <c r="S210" s="1539"/>
      <c r="T210" s="1539"/>
      <c r="U210" s="1539"/>
      <c r="V210" s="1539"/>
      <c r="W210" s="1539"/>
      <c r="X210" s="1539"/>
      <c r="Y210" s="1539"/>
      <c r="Z210" s="1539"/>
      <c r="AA210" s="1539"/>
      <c r="AB210" s="1539"/>
      <c r="AC210" s="1539"/>
      <c r="AD210" s="1539"/>
      <c r="AE210" s="1539"/>
      <c r="AF210" s="1539"/>
      <c r="AG210" s="1539"/>
      <c r="AH210" s="1539"/>
      <c r="AI210" s="1539"/>
      <c r="AJ210" s="1539"/>
      <c r="AK210" s="1539"/>
      <c r="AL210" s="1539"/>
      <c r="AM210" s="1539"/>
      <c r="AN210" s="1539"/>
      <c r="AO210" s="1539"/>
      <c r="AP210" s="1539"/>
      <c r="AQ210" s="1539"/>
      <c r="AR210" s="1539"/>
      <c r="AS210" s="1539"/>
      <c r="AT210" s="1539"/>
      <c r="AU210" s="1539"/>
      <c r="AV210" s="1539"/>
      <c r="AW210" s="1539"/>
      <c r="AX210" s="1539"/>
      <c r="AY210" s="1539"/>
      <c r="AZ210" s="1539"/>
      <c r="BA210" s="1539"/>
      <c r="BB210" s="1539"/>
      <c r="BC210" s="1539"/>
      <c r="BD210" s="1539"/>
      <c r="BE210" s="1539"/>
      <c r="BF210" s="1539"/>
      <c r="BG210" s="1539"/>
      <c r="BH210" s="1539"/>
      <c r="BI210" s="1539"/>
      <c r="BJ210" s="1539"/>
      <c r="BK210" s="1539"/>
      <c r="BL210" s="1539"/>
      <c r="BM210" s="1539"/>
      <c r="BN210" s="1539"/>
      <c r="BO210" s="1539"/>
      <c r="BP210" s="1539"/>
      <c r="BQ210" s="1539"/>
      <c r="BR210" s="1539"/>
      <c r="BS210" s="1539"/>
      <c r="BT210" s="1539"/>
      <c r="BU210" s="1539"/>
      <c r="BV210" s="1539"/>
      <c r="BW210" s="1539"/>
      <c r="BX210" s="1539"/>
      <c r="BY210" s="1539"/>
      <c r="BZ210" s="1539"/>
      <c r="CA210" s="1539"/>
      <c r="CB210" s="1539"/>
      <c r="CC210" s="1539"/>
      <c r="CD210" s="1539"/>
      <c r="CE210" s="1539"/>
      <c r="CF210" s="1539"/>
      <c r="CG210" s="1539"/>
      <c r="CH210" s="1539"/>
      <c r="CI210" s="1539"/>
      <c r="CJ210" s="1539"/>
      <c r="CK210" s="1539"/>
      <c r="CL210" s="1539"/>
      <c r="CM210" s="1539"/>
      <c r="CN210" s="1539"/>
      <c r="CO210" s="1539"/>
    </row>
    <row r="211" spans="1:93" ht="15.5">
      <c r="A211" s="1598" t="s">
        <v>2227</v>
      </c>
      <c r="B211" s="1599" t="s">
        <v>2228</v>
      </c>
      <c r="C211" s="1643" t="e">
        <f>+SUMIF(#REF!,Final!A211,#REF!)</f>
        <v>#REF!</v>
      </c>
      <c r="D211" s="1597" t="e">
        <f>+SUMIF(#REF!,Final!A211,#REF!)</f>
        <v>#REF!</v>
      </c>
      <c r="E211" s="1643" t="e">
        <f>SUMIF(#REF!,Final!A211,#REF!)</f>
        <v>#REF!</v>
      </c>
      <c r="F211" s="1644" t="e">
        <f>SUMIF(#REF!,Final!A211,#REF!)</f>
        <v>#REF!</v>
      </c>
      <c r="G211" s="1597" t="e">
        <f t="shared" si="12"/>
        <v>#REF!</v>
      </c>
      <c r="H211" s="1644" t="e">
        <f t="shared" si="13"/>
        <v>#REF!</v>
      </c>
      <c r="I211" s="1597" t="e">
        <f t="shared" si="14"/>
        <v>#REF!</v>
      </c>
      <c r="J211" s="1644" t="e">
        <f t="shared" si="15"/>
        <v>#REF!</v>
      </c>
      <c r="M211" s="1545"/>
      <c r="N211" s="1545"/>
    </row>
    <row r="212" spans="1:93" ht="15.5">
      <c r="A212" s="1598" t="s">
        <v>2229</v>
      </c>
      <c r="B212" s="1599" t="s">
        <v>2164</v>
      </c>
      <c r="C212" s="1643" t="e">
        <f>+SUMIF(#REF!,Final!A212,#REF!)</f>
        <v>#REF!</v>
      </c>
      <c r="D212" s="1597" t="e">
        <f>+SUMIF(#REF!,Final!A212,#REF!)</f>
        <v>#REF!</v>
      </c>
      <c r="E212" s="1643" t="e">
        <f>SUMIF(#REF!,Final!A212,#REF!)</f>
        <v>#REF!</v>
      </c>
      <c r="F212" s="1644" t="e">
        <f>SUMIF(#REF!,Final!A212,#REF!)</f>
        <v>#REF!</v>
      </c>
      <c r="G212" s="1597" t="e">
        <f t="shared" si="12"/>
        <v>#REF!</v>
      </c>
      <c r="H212" s="1644" t="e">
        <f t="shared" si="13"/>
        <v>#REF!</v>
      </c>
      <c r="I212" s="1597" t="e">
        <f t="shared" si="14"/>
        <v>#REF!</v>
      </c>
      <c r="J212" s="1644" t="e">
        <f t="shared" si="15"/>
        <v>#REF!</v>
      </c>
      <c r="M212" s="1545"/>
      <c r="N212" s="1545"/>
    </row>
    <row r="213" spans="1:93" ht="15.5">
      <c r="A213" s="1598" t="s">
        <v>2230</v>
      </c>
      <c r="B213" s="1599" t="s">
        <v>2166</v>
      </c>
      <c r="C213" s="1643" t="e">
        <f>+SUMIF(#REF!,Final!A213,#REF!)</f>
        <v>#REF!</v>
      </c>
      <c r="D213" s="1597" t="e">
        <f>+SUMIF(#REF!,Final!A213,#REF!)</f>
        <v>#REF!</v>
      </c>
      <c r="E213" s="1643" t="e">
        <f>SUMIF(#REF!,Final!A213,#REF!)</f>
        <v>#REF!</v>
      </c>
      <c r="F213" s="1644" t="e">
        <f>SUMIF(#REF!,Final!A213,#REF!)</f>
        <v>#REF!</v>
      </c>
      <c r="G213" s="1597" t="e">
        <f t="shared" si="12"/>
        <v>#REF!</v>
      </c>
      <c r="H213" s="1644" t="e">
        <f t="shared" si="13"/>
        <v>#REF!</v>
      </c>
      <c r="I213" s="1597" t="e">
        <f t="shared" si="14"/>
        <v>#REF!</v>
      </c>
      <c r="J213" s="1644" t="e">
        <f t="shared" si="15"/>
        <v>#REF!</v>
      </c>
      <c r="M213" s="1545"/>
      <c r="N213" s="1545"/>
    </row>
    <row r="214" spans="1:93" s="1542" customFormat="1" ht="15.5">
      <c r="A214" s="1598" t="s">
        <v>2231</v>
      </c>
      <c r="B214" s="1599" t="s">
        <v>2168</v>
      </c>
      <c r="C214" s="1643" t="e">
        <f>+SUMIF(#REF!,Final!A214,#REF!)</f>
        <v>#REF!</v>
      </c>
      <c r="D214" s="1597" t="e">
        <f>+SUMIF(#REF!,Final!A214,#REF!)</f>
        <v>#REF!</v>
      </c>
      <c r="E214" s="1643" t="e">
        <f>SUMIF(#REF!,Final!A214,#REF!)</f>
        <v>#REF!</v>
      </c>
      <c r="F214" s="1644" t="e">
        <f>SUMIF(#REF!,Final!A214,#REF!)</f>
        <v>#REF!</v>
      </c>
      <c r="G214" s="1597" t="e">
        <f t="shared" si="12"/>
        <v>#REF!</v>
      </c>
      <c r="H214" s="1644" t="e">
        <f t="shared" si="13"/>
        <v>#REF!</v>
      </c>
      <c r="I214" s="1597" t="e">
        <f t="shared" si="14"/>
        <v>#REF!</v>
      </c>
      <c r="J214" s="1644" t="e">
        <f t="shared" si="15"/>
        <v>#REF!</v>
      </c>
      <c r="K214" s="1539"/>
      <c r="L214" s="1539"/>
      <c r="M214" s="1545"/>
      <c r="N214" s="1545"/>
      <c r="O214" s="1539"/>
      <c r="P214" s="1539"/>
      <c r="Q214" s="1539"/>
      <c r="R214" s="1539"/>
      <c r="S214" s="1539"/>
      <c r="T214" s="1539"/>
      <c r="U214" s="1539"/>
      <c r="V214" s="1539"/>
      <c r="W214" s="1539"/>
      <c r="X214" s="1539"/>
      <c r="Y214" s="1539"/>
      <c r="Z214" s="1539"/>
      <c r="AA214" s="1539"/>
      <c r="AB214" s="1539"/>
      <c r="AC214" s="1539"/>
      <c r="AD214" s="1539"/>
      <c r="AE214" s="1539"/>
      <c r="AF214" s="1539"/>
      <c r="AG214" s="1539"/>
      <c r="AH214" s="1539"/>
      <c r="AI214" s="1539"/>
      <c r="AJ214" s="1539"/>
      <c r="AK214" s="1539"/>
      <c r="AL214" s="1539"/>
      <c r="AM214" s="1539"/>
      <c r="AN214" s="1539"/>
      <c r="AO214" s="1539"/>
      <c r="AP214" s="1539"/>
      <c r="AQ214" s="1539"/>
      <c r="AR214" s="1539"/>
      <c r="AS214" s="1539"/>
      <c r="AT214" s="1539"/>
      <c r="AU214" s="1539"/>
      <c r="AV214" s="1539"/>
      <c r="AW214" s="1539"/>
      <c r="AX214" s="1539"/>
      <c r="AY214" s="1539"/>
      <c r="AZ214" s="1539"/>
      <c r="BA214" s="1539"/>
      <c r="BB214" s="1539"/>
      <c r="BC214" s="1539"/>
      <c r="BD214" s="1539"/>
      <c r="BE214" s="1539"/>
      <c r="BF214" s="1539"/>
      <c r="BG214" s="1539"/>
      <c r="BH214" s="1539"/>
      <c r="BI214" s="1539"/>
      <c r="BJ214" s="1539"/>
      <c r="BK214" s="1539"/>
      <c r="BL214" s="1539"/>
      <c r="BM214" s="1539"/>
      <c r="BN214" s="1539"/>
      <c r="BO214" s="1539"/>
      <c r="BP214" s="1539"/>
      <c r="BQ214" s="1539"/>
      <c r="BR214" s="1539"/>
      <c r="BS214" s="1539"/>
      <c r="BT214" s="1539"/>
      <c r="BU214" s="1539"/>
      <c r="BV214" s="1539"/>
      <c r="BW214" s="1539"/>
      <c r="BX214" s="1539"/>
      <c r="BY214" s="1539"/>
      <c r="BZ214" s="1539"/>
      <c r="CA214" s="1539"/>
      <c r="CB214" s="1539"/>
      <c r="CC214" s="1539"/>
      <c r="CD214" s="1539"/>
      <c r="CE214" s="1539"/>
      <c r="CF214" s="1539"/>
      <c r="CG214" s="1539"/>
      <c r="CH214" s="1539"/>
      <c r="CI214" s="1539"/>
      <c r="CJ214" s="1539"/>
      <c r="CK214" s="1539"/>
      <c r="CL214" s="1539"/>
      <c r="CM214" s="1539"/>
      <c r="CN214" s="1539"/>
      <c r="CO214" s="1539"/>
    </row>
    <row r="215" spans="1:93" ht="15.5">
      <c r="A215" s="1598" t="s">
        <v>2232</v>
      </c>
      <c r="B215" s="1599" t="s">
        <v>2170</v>
      </c>
      <c r="C215" s="1643" t="e">
        <f>+SUMIF(#REF!,Final!A215,#REF!)</f>
        <v>#REF!</v>
      </c>
      <c r="D215" s="1597" t="e">
        <f>+SUMIF(#REF!,Final!A215,#REF!)</f>
        <v>#REF!</v>
      </c>
      <c r="E215" s="1643" t="e">
        <f>SUMIF(#REF!,Final!A215,#REF!)</f>
        <v>#REF!</v>
      </c>
      <c r="F215" s="1644" t="e">
        <f>SUMIF(#REF!,Final!A215,#REF!)</f>
        <v>#REF!</v>
      </c>
      <c r="G215" s="1597" t="e">
        <f t="shared" si="12"/>
        <v>#REF!</v>
      </c>
      <c r="H215" s="1644" t="e">
        <f t="shared" si="13"/>
        <v>#REF!</v>
      </c>
      <c r="I215" s="1597" t="e">
        <f t="shared" si="14"/>
        <v>#REF!</v>
      </c>
      <c r="J215" s="1644" t="e">
        <f t="shared" si="15"/>
        <v>#REF!</v>
      </c>
      <c r="M215" s="1545"/>
      <c r="N215" s="1545"/>
    </row>
    <row r="216" spans="1:93" s="1542" customFormat="1" ht="15.5">
      <c r="A216" s="1598" t="s">
        <v>2233</v>
      </c>
      <c r="B216" s="1599" t="s">
        <v>2172</v>
      </c>
      <c r="C216" s="1643" t="e">
        <f>+SUMIF(#REF!,Final!A216,#REF!)</f>
        <v>#REF!</v>
      </c>
      <c r="D216" s="1597" t="e">
        <f>+SUMIF(#REF!,Final!A216,#REF!)</f>
        <v>#REF!</v>
      </c>
      <c r="E216" s="1643" t="e">
        <f>SUMIF(#REF!,Final!A216,#REF!)</f>
        <v>#REF!</v>
      </c>
      <c r="F216" s="1644" t="e">
        <f>SUMIF(#REF!,Final!A216,#REF!)</f>
        <v>#REF!</v>
      </c>
      <c r="G216" s="1597" t="e">
        <f t="shared" si="12"/>
        <v>#REF!</v>
      </c>
      <c r="H216" s="1644" t="e">
        <f t="shared" si="13"/>
        <v>#REF!</v>
      </c>
      <c r="I216" s="1597" t="e">
        <f t="shared" si="14"/>
        <v>#REF!</v>
      </c>
      <c r="J216" s="1644" t="e">
        <f t="shared" si="15"/>
        <v>#REF!</v>
      </c>
      <c r="K216" s="1539"/>
      <c r="L216" s="1539"/>
      <c r="M216" s="1545"/>
      <c r="N216" s="1545"/>
      <c r="O216" s="1539"/>
      <c r="P216" s="1539"/>
      <c r="Q216" s="1539"/>
      <c r="R216" s="1539"/>
      <c r="S216" s="1539"/>
      <c r="T216" s="1539"/>
      <c r="U216" s="1539"/>
      <c r="V216" s="1539"/>
      <c r="W216" s="1539"/>
      <c r="X216" s="1539"/>
      <c r="Y216" s="1539"/>
      <c r="Z216" s="1539"/>
      <c r="AA216" s="1539"/>
      <c r="AB216" s="1539"/>
      <c r="AC216" s="1539"/>
      <c r="AD216" s="1539"/>
      <c r="AE216" s="1539"/>
      <c r="AF216" s="1539"/>
      <c r="AG216" s="1539"/>
      <c r="AH216" s="1539"/>
      <c r="AI216" s="1539"/>
      <c r="AJ216" s="1539"/>
      <c r="AK216" s="1539"/>
      <c r="AL216" s="1539"/>
      <c r="AM216" s="1539"/>
      <c r="AN216" s="1539"/>
      <c r="AO216" s="1539"/>
      <c r="AP216" s="1539"/>
      <c r="AQ216" s="1539"/>
      <c r="AR216" s="1539"/>
      <c r="AS216" s="1539"/>
      <c r="AT216" s="1539"/>
      <c r="AU216" s="1539"/>
      <c r="AV216" s="1539"/>
      <c r="AW216" s="1539"/>
      <c r="AX216" s="1539"/>
      <c r="AY216" s="1539"/>
      <c r="AZ216" s="1539"/>
      <c r="BA216" s="1539"/>
      <c r="BB216" s="1539"/>
      <c r="BC216" s="1539"/>
      <c r="BD216" s="1539"/>
      <c r="BE216" s="1539"/>
      <c r="BF216" s="1539"/>
      <c r="BG216" s="1539"/>
      <c r="BH216" s="1539"/>
      <c r="BI216" s="1539"/>
      <c r="BJ216" s="1539"/>
      <c r="BK216" s="1539"/>
      <c r="BL216" s="1539"/>
      <c r="BM216" s="1539"/>
      <c r="BN216" s="1539"/>
      <c r="BO216" s="1539"/>
      <c r="BP216" s="1539"/>
      <c r="BQ216" s="1539"/>
      <c r="BR216" s="1539"/>
      <c r="BS216" s="1539"/>
      <c r="BT216" s="1539"/>
      <c r="BU216" s="1539"/>
      <c r="BV216" s="1539"/>
      <c r="BW216" s="1539"/>
      <c r="BX216" s="1539"/>
      <c r="BY216" s="1539"/>
      <c r="BZ216" s="1539"/>
      <c r="CA216" s="1539"/>
      <c r="CB216" s="1539"/>
      <c r="CC216" s="1539"/>
      <c r="CD216" s="1539"/>
      <c r="CE216" s="1539"/>
      <c r="CF216" s="1539"/>
      <c r="CG216" s="1539"/>
      <c r="CH216" s="1539"/>
      <c r="CI216" s="1539"/>
      <c r="CJ216" s="1539"/>
      <c r="CK216" s="1539"/>
      <c r="CL216" s="1539"/>
      <c r="CM216" s="1539"/>
      <c r="CN216" s="1539"/>
      <c r="CO216" s="1539"/>
    </row>
    <row r="217" spans="1:93" ht="15.5">
      <c r="A217" s="1598" t="s">
        <v>2234</v>
      </c>
      <c r="B217" s="1599" t="s">
        <v>2174</v>
      </c>
      <c r="C217" s="1643" t="e">
        <f>+SUMIF(#REF!,Final!A217,#REF!)</f>
        <v>#REF!</v>
      </c>
      <c r="D217" s="1597" t="e">
        <f>+SUMIF(#REF!,Final!A217,#REF!)</f>
        <v>#REF!</v>
      </c>
      <c r="E217" s="1643" t="e">
        <f>SUMIF(#REF!,Final!A217,#REF!)</f>
        <v>#REF!</v>
      </c>
      <c r="F217" s="1644" t="e">
        <f>SUMIF(#REF!,Final!A217,#REF!)</f>
        <v>#REF!</v>
      </c>
      <c r="G217" s="1597" t="e">
        <f t="shared" si="12"/>
        <v>#REF!</v>
      </c>
      <c r="H217" s="1644" t="e">
        <f t="shared" si="13"/>
        <v>#REF!</v>
      </c>
      <c r="I217" s="1597" t="e">
        <f t="shared" si="14"/>
        <v>#REF!</v>
      </c>
      <c r="J217" s="1644" t="e">
        <f t="shared" si="15"/>
        <v>#REF!</v>
      </c>
      <c r="M217" s="1545"/>
      <c r="N217" s="1545"/>
    </row>
    <row r="218" spans="1:93" s="1542" customFormat="1" ht="15.5">
      <c r="A218" s="1598" t="s">
        <v>2235</v>
      </c>
      <c r="B218" s="1599" t="s">
        <v>2176</v>
      </c>
      <c r="C218" s="1643" t="e">
        <f>+SUMIF(#REF!,Final!A218,#REF!)</f>
        <v>#REF!</v>
      </c>
      <c r="D218" s="1597" t="e">
        <f>+SUMIF(#REF!,Final!A218,#REF!)</f>
        <v>#REF!</v>
      </c>
      <c r="E218" s="1643" t="e">
        <f>SUMIF(#REF!,Final!A218,#REF!)</f>
        <v>#REF!</v>
      </c>
      <c r="F218" s="1644" t="e">
        <f>SUMIF(#REF!,Final!A218,#REF!)</f>
        <v>#REF!</v>
      </c>
      <c r="G218" s="1597" t="e">
        <f t="shared" si="12"/>
        <v>#REF!</v>
      </c>
      <c r="H218" s="1644" t="e">
        <f t="shared" si="13"/>
        <v>#REF!</v>
      </c>
      <c r="I218" s="1597" t="e">
        <f t="shared" si="14"/>
        <v>#REF!</v>
      </c>
      <c r="J218" s="1644" t="e">
        <f t="shared" si="15"/>
        <v>#REF!</v>
      </c>
      <c r="K218" s="1539"/>
      <c r="L218" s="1539"/>
      <c r="M218" s="1545"/>
      <c r="N218" s="1545"/>
      <c r="O218" s="1539"/>
      <c r="P218" s="1539"/>
      <c r="Q218" s="1539"/>
      <c r="R218" s="1539"/>
      <c r="S218" s="1539"/>
      <c r="T218" s="1539"/>
      <c r="U218" s="1539"/>
      <c r="V218" s="1539"/>
      <c r="W218" s="1539"/>
      <c r="X218" s="1539"/>
      <c r="Y218" s="1539"/>
      <c r="Z218" s="1539"/>
      <c r="AA218" s="1539"/>
      <c r="AB218" s="1539"/>
      <c r="AC218" s="1539"/>
      <c r="AD218" s="1539"/>
      <c r="AE218" s="1539"/>
      <c r="AF218" s="1539"/>
      <c r="AG218" s="1539"/>
      <c r="AH218" s="1539"/>
      <c r="AI218" s="1539"/>
      <c r="AJ218" s="1539"/>
      <c r="AK218" s="1539"/>
      <c r="AL218" s="1539"/>
      <c r="AM218" s="1539"/>
      <c r="AN218" s="1539"/>
      <c r="AO218" s="1539"/>
      <c r="AP218" s="1539"/>
      <c r="AQ218" s="1539"/>
      <c r="AR218" s="1539"/>
      <c r="AS218" s="1539"/>
      <c r="AT218" s="1539"/>
      <c r="AU218" s="1539"/>
      <c r="AV218" s="1539"/>
      <c r="AW218" s="1539"/>
      <c r="AX218" s="1539"/>
      <c r="AY218" s="1539"/>
      <c r="AZ218" s="1539"/>
      <c r="BA218" s="1539"/>
      <c r="BB218" s="1539"/>
      <c r="BC218" s="1539"/>
      <c r="BD218" s="1539"/>
      <c r="BE218" s="1539"/>
      <c r="BF218" s="1539"/>
      <c r="BG218" s="1539"/>
      <c r="BH218" s="1539"/>
      <c r="BI218" s="1539"/>
      <c r="BJ218" s="1539"/>
      <c r="BK218" s="1539"/>
      <c r="BL218" s="1539"/>
      <c r="BM218" s="1539"/>
      <c r="BN218" s="1539"/>
      <c r="BO218" s="1539"/>
      <c r="BP218" s="1539"/>
      <c r="BQ218" s="1539"/>
      <c r="BR218" s="1539"/>
      <c r="BS218" s="1539"/>
      <c r="BT218" s="1539"/>
      <c r="BU218" s="1539"/>
      <c r="BV218" s="1539"/>
      <c r="BW218" s="1539"/>
      <c r="BX218" s="1539"/>
      <c r="BY218" s="1539"/>
      <c r="BZ218" s="1539"/>
      <c r="CA218" s="1539"/>
      <c r="CB218" s="1539"/>
      <c r="CC218" s="1539"/>
      <c r="CD218" s="1539"/>
      <c r="CE218" s="1539"/>
      <c r="CF218" s="1539"/>
      <c r="CG218" s="1539"/>
      <c r="CH218" s="1539"/>
      <c r="CI218" s="1539"/>
      <c r="CJ218" s="1539"/>
      <c r="CK218" s="1539"/>
      <c r="CL218" s="1539"/>
      <c r="CM218" s="1539"/>
      <c r="CN218" s="1539"/>
      <c r="CO218" s="1539"/>
    </row>
    <row r="219" spans="1:93" s="1542" customFormat="1" ht="15.5">
      <c r="A219" s="1598" t="s">
        <v>2236</v>
      </c>
      <c r="B219" s="1599" t="s">
        <v>2178</v>
      </c>
      <c r="C219" s="1643" t="e">
        <f>+SUMIF(#REF!,Final!A219,#REF!)</f>
        <v>#REF!</v>
      </c>
      <c r="D219" s="1597" t="e">
        <f>+SUMIF(#REF!,Final!A219,#REF!)</f>
        <v>#REF!</v>
      </c>
      <c r="E219" s="1643" t="e">
        <f>SUMIF(#REF!,Final!A219,#REF!)</f>
        <v>#REF!</v>
      </c>
      <c r="F219" s="1644" t="e">
        <f>SUMIF(#REF!,Final!A219,#REF!)</f>
        <v>#REF!</v>
      </c>
      <c r="G219" s="1597" t="e">
        <f t="shared" si="12"/>
        <v>#REF!</v>
      </c>
      <c r="H219" s="1644" t="e">
        <f t="shared" si="13"/>
        <v>#REF!</v>
      </c>
      <c r="I219" s="1597" t="e">
        <f t="shared" si="14"/>
        <v>#REF!</v>
      </c>
      <c r="J219" s="1644" t="e">
        <f t="shared" si="15"/>
        <v>#REF!</v>
      </c>
      <c r="K219" s="1539"/>
      <c r="L219" s="1539"/>
      <c r="M219" s="1545"/>
      <c r="N219" s="1545"/>
      <c r="O219" s="1539"/>
      <c r="P219" s="1539"/>
      <c r="Q219" s="1539"/>
      <c r="R219" s="1539"/>
      <c r="S219" s="1539"/>
      <c r="T219" s="1539"/>
      <c r="U219" s="1539"/>
      <c r="V219" s="1539"/>
      <c r="W219" s="1539"/>
      <c r="X219" s="1539"/>
      <c r="Y219" s="1539"/>
      <c r="Z219" s="1539"/>
      <c r="AA219" s="1539"/>
      <c r="AB219" s="1539"/>
      <c r="AC219" s="1539"/>
      <c r="AD219" s="1539"/>
      <c r="AE219" s="1539"/>
      <c r="AF219" s="1539"/>
      <c r="AG219" s="1539"/>
      <c r="AH219" s="1539"/>
      <c r="AI219" s="1539"/>
      <c r="AJ219" s="1539"/>
      <c r="AK219" s="1539"/>
      <c r="AL219" s="1539"/>
      <c r="AM219" s="1539"/>
      <c r="AN219" s="1539"/>
      <c r="AO219" s="1539"/>
      <c r="AP219" s="1539"/>
      <c r="AQ219" s="1539"/>
      <c r="AR219" s="1539"/>
      <c r="AS219" s="1539"/>
      <c r="AT219" s="1539"/>
      <c r="AU219" s="1539"/>
      <c r="AV219" s="1539"/>
      <c r="AW219" s="1539"/>
      <c r="AX219" s="1539"/>
      <c r="AY219" s="1539"/>
      <c r="AZ219" s="1539"/>
      <c r="BA219" s="1539"/>
      <c r="BB219" s="1539"/>
      <c r="BC219" s="1539"/>
      <c r="BD219" s="1539"/>
      <c r="BE219" s="1539"/>
      <c r="BF219" s="1539"/>
      <c r="BG219" s="1539"/>
      <c r="BH219" s="1539"/>
      <c r="BI219" s="1539"/>
      <c r="BJ219" s="1539"/>
      <c r="BK219" s="1539"/>
      <c r="BL219" s="1539"/>
      <c r="BM219" s="1539"/>
      <c r="BN219" s="1539"/>
      <c r="BO219" s="1539"/>
      <c r="BP219" s="1539"/>
      <c r="BQ219" s="1539"/>
      <c r="BR219" s="1539"/>
      <c r="BS219" s="1539"/>
      <c r="BT219" s="1539"/>
      <c r="BU219" s="1539"/>
      <c r="BV219" s="1539"/>
      <c r="BW219" s="1539"/>
      <c r="BX219" s="1539"/>
      <c r="BY219" s="1539"/>
      <c r="BZ219" s="1539"/>
      <c r="CA219" s="1539"/>
      <c r="CB219" s="1539"/>
      <c r="CC219" s="1539"/>
      <c r="CD219" s="1539"/>
      <c r="CE219" s="1539"/>
      <c r="CF219" s="1539"/>
      <c r="CG219" s="1539"/>
      <c r="CH219" s="1539"/>
      <c r="CI219" s="1539"/>
      <c r="CJ219" s="1539"/>
      <c r="CK219" s="1539"/>
      <c r="CL219" s="1539"/>
      <c r="CM219" s="1539"/>
      <c r="CN219" s="1539"/>
      <c r="CO219" s="1539"/>
    </row>
    <row r="220" spans="1:93" ht="15.5">
      <c r="A220" s="1598" t="s">
        <v>2237</v>
      </c>
      <c r="B220" s="1599" t="s">
        <v>2180</v>
      </c>
      <c r="C220" s="1643" t="e">
        <f>+SUMIF(#REF!,Final!A220,#REF!)</f>
        <v>#REF!</v>
      </c>
      <c r="D220" s="1597" t="e">
        <f>+SUMIF(#REF!,Final!A220,#REF!)</f>
        <v>#REF!</v>
      </c>
      <c r="E220" s="1643" t="e">
        <f>SUMIF(#REF!,Final!A220,#REF!)</f>
        <v>#REF!</v>
      </c>
      <c r="F220" s="1644" t="e">
        <f>SUMIF(#REF!,Final!A220,#REF!)</f>
        <v>#REF!</v>
      </c>
      <c r="G220" s="1597" t="e">
        <f t="shared" si="12"/>
        <v>#REF!</v>
      </c>
      <c r="H220" s="1644" t="e">
        <f t="shared" si="13"/>
        <v>#REF!</v>
      </c>
      <c r="I220" s="1597" t="e">
        <f t="shared" si="14"/>
        <v>#REF!</v>
      </c>
      <c r="J220" s="1644" t="e">
        <f t="shared" si="15"/>
        <v>#REF!</v>
      </c>
      <c r="M220" s="1545"/>
      <c r="N220" s="1545"/>
    </row>
    <row r="221" spans="1:93" s="1542" customFormat="1" ht="15.5">
      <c r="A221" s="1598" t="s">
        <v>2238</v>
      </c>
      <c r="B221" s="1599" t="s">
        <v>2182</v>
      </c>
      <c r="C221" s="1643" t="e">
        <f>+SUMIF(#REF!,Final!A221,#REF!)</f>
        <v>#REF!</v>
      </c>
      <c r="D221" s="1597" t="e">
        <f>+SUMIF(#REF!,Final!A221,#REF!)</f>
        <v>#REF!</v>
      </c>
      <c r="E221" s="1643" t="e">
        <f>SUMIF(#REF!,Final!A221,#REF!)</f>
        <v>#REF!</v>
      </c>
      <c r="F221" s="1644" t="e">
        <f>SUMIF(#REF!,Final!A221,#REF!)</f>
        <v>#REF!</v>
      </c>
      <c r="G221" s="1597" t="e">
        <f t="shared" si="12"/>
        <v>#REF!</v>
      </c>
      <c r="H221" s="1644" t="e">
        <f t="shared" si="13"/>
        <v>#REF!</v>
      </c>
      <c r="I221" s="1597" t="e">
        <f t="shared" si="14"/>
        <v>#REF!</v>
      </c>
      <c r="J221" s="1644" t="e">
        <f t="shared" si="15"/>
        <v>#REF!</v>
      </c>
      <c r="K221" s="1539"/>
      <c r="L221" s="1539"/>
      <c r="M221" s="1545"/>
      <c r="N221" s="1545"/>
      <c r="O221" s="1539"/>
      <c r="P221" s="1539"/>
      <c r="Q221" s="1539"/>
      <c r="R221" s="1539"/>
      <c r="S221" s="1539"/>
      <c r="T221" s="1539"/>
      <c r="U221" s="1539"/>
      <c r="V221" s="1539"/>
      <c r="W221" s="1539"/>
      <c r="X221" s="1539"/>
      <c r="Y221" s="1539"/>
      <c r="Z221" s="1539"/>
      <c r="AA221" s="1539"/>
      <c r="AB221" s="1539"/>
      <c r="AC221" s="1539"/>
      <c r="AD221" s="1539"/>
      <c r="AE221" s="1539"/>
      <c r="AF221" s="1539"/>
      <c r="AG221" s="1539"/>
      <c r="AH221" s="1539"/>
      <c r="AI221" s="1539"/>
      <c r="AJ221" s="1539"/>
      <c r="AK221" s="1539"/>
      <c r="AL221" s="1539"/>
      <c r="AM221" s="1539"/>
      <c r="AN221" s="1539"/>
      <c r="AO221" s="1539"/>
      <c r="AP221" s="1539"/>
      <c r="AQ221" s="1539"/>
      <c r="AR221" s="1539"/>
      <c r="AS221" s="1539"/>
      <c r="AT221" s="1539"/>
      <c r="AU221" s="1539"/>
      <c r="AV221" s="1539"/>
      <c r="AW221" s="1539"/>
      <c r="AX221" s="1539"/>
      <c r="AY221" s="1539"/>
      <c r="AZ221" s="1539"/>
      <c r="BA221" s="1539"/>
      <c r="BB221" s="1539"/>
      <c r="BC221" s="1539"/>
      <c r="BD221" s="1539"/>
      <c r="BE221" s="1539"/>
      <c r="BF221" s="1539"/>
      <c r="BG221" s="1539"/>
      <c r="BH221" s="1539"/>
      <c r="BI221" s="1539"/>
      <c r="BJ221" s="1539"/>
      <c r="BK221" s="1539"/>
      <c r="BL221" s="1539"/>
      <c r="BM221" s="1539"/>
      <c r="BN221" s="1539"/>
      <c r="BO221" s="1539"/>
      <c r="BP221" s="1539"/>
      <c r="BQ221" s="1539"/>
      <c r="BR221" s="1539"/>
      <c r="BS221" s="1539"/>
      <c r="BT221" s="1539"/>
      <c r="BU221" s="1539"/>
      <c r="BV221" s="1539"/>
      <c r="BW221" s="1539"/>
      <c r="BX221" s="1539"/>
      <c r="BY221" s="1539"/>
      <c r="BZ221" s="1539"/>
      <c r="CA221" s="1539"/>
      <c r="CB221" s="1539"/>
      <c r="CC221" s="1539"/>
      <c r="CD221" s="1539"/>
      <c r="CE221" s="1539"/>
      <c r="CF221" s="1539"/>
      <c r="CG221" s="1539"/>
      <c r="CH221" s="1539"/>
      <c r="CI221" s="1539"/>
      <c r="CJ221" s="1539"/>
      <c r="CK221" s="1539"/>
      <c r="CL221" s="1539"/>
      <c r="CM221" s="1539"/>
      <c r="CN221" s="1539"/>
      <c r="CO221" s="1539"/>
    </row>
    <row r="222" spans="1:93" ht="15.5">
      <c r="A222" s="1598" t="s">
        <v>2239</v>
      </c>
      <c r="B222" s="1599" t="s">
        <v>2240</v>
      </c>
      <c r="C222" s="1643" t="e">
        <f>+SUMIF(#REF!,Final!A222,#REF!)</f>
        <v>#REF!</v>
      </c>
      <c r="D222" s="1597" t="e">
        <f>+SUMIF(#REF!,Final!A222,#REF!)</f>
        <v>#REF!</v>
      </c>
      <c r="E222" s="1643" t="e">
        <f>SUMIF(#REF!,Final!A222,#REF!)</f>
        <v>#REF!</v>
      </c>
      <c r="F222" s="1644" t="e">
        <f>SUMIF(#REF!,Final!A222,#REF!)</f>
        <v>#REF!</v>
      </c>
      <c r="G222" s="1597" t="e">
        <f t="shared" si="12"/>
        <v>#REF!</v>
      </c>
      <c r="H222" s="1644" t="e">
        <f t="shared" si="13"/>
        <v>#REF!</v>
      </c>
      <c r="I222" s="1597" t="e">
        <f t="shared" si="14"/>
        <v>#REF!</v>
      </c>
      <c r="J222" s="1644" t="e">
        <f t="shared" si="15"/>
        <v>#REF!</v>
      </c>
      <c r="M222" s="1545"/>
      <c r="N222" s="1545"/>
    </row>
    <row r="223" spans="1:93" s="1542" customFormat="1" ht="15.5">
      <c r="A223" s="1598" t="s">
        <v>2241</v>
      </c>
      <c r="B223" s="1599" t="s">
        <v>2242</v>
      </c>
      <c r="C223" s="1643" t="e">
        <f>+SUMIF(#REF!,Final!A223,#REF!)</f>
        <v>#REF!</v>
      </c>
      <c r="D223" s="1597" t="e">
        <f>+SUMIF(#REF!,Final!A223,#REF!)</f>
        <v>#REF!</v>
      </c>
      <c r="E223" s="1643" t="e">
        <f>SUMIF(#REF!,Final!A223,#REF!)</f>
        <v>#REF!</v>
      </c>
      <c r="F223" s="1644" t="e">
        <f>SUMIF(#REF!,Final!A223,#REF!)</f>
        <v>#REF!</v>
      </c>
      <c r="G223" s="1597" t="e">
        <f t="shared" si="12"/>
        <v>#REF!</v>
      </c>
      <c r="H223" s="1644" t="e">
        <f t="shared" si="13"/>
        <v>#REF!</v>
      </c>
      <c r="I223" s="1597" t="e">
        <f t="shared" si="14"/>
        <v>#REF!</v>
      </c>
      <c r="J223" s="1644" t="e">
        <f t="shared" si="15"/>
        <v>#REF!</v>
      </c>
      <c r="K223" s="1539"/>
      <c r="L223" s="1539"/>
      <c r="M223" s="1545"/>
      <c r="N223" s="1545"/>
      <c r="O223" s="1539"/>
      <c r="P223" s="1539"/>
      <c r="Q223" s="1539"/>
      <c r="R223" s="1539"/>
      <c r="S223" s="1539"/>
      <c r="T223" s="1539"/>
      <c r="U223" s="1539"/>
      <c r="V223" s="1539"/>
      <c r="W223" s="1539"/>
      <c r="X223" s="1539"/>
      <c r="Y223" s="1539"/>
      <c r="Z223" s="1539"/>
      <c r="AA223" s="1539"/>
      <c r="AB223" s="1539"/>
      <c r="AC223" s="1539"/>
      <c r="AD223" s="1539"/>
      <c r="AE223" s="1539"/>
      <c r="AF223" s="1539"/>
      <c r="AG223" s="1539"/>
      <c r="AH223" s="1539"/>
      <c r="AI223" s="1539"/>
      <c r="AJ223" s="1539"/>
      <c r="AK223" s="1539"/>
      <c r="AL223" s="1539"/>
      <c r="AM223" s="1539"/>
      <c r="AN223" s="1539"/>
      <c r="AO223" s="1539"/>
      <c r="AP223" s="1539"/>
      <c r="AQ223" s="1539"/>
      <c r="AR223" s="1539"/>
      <c r="AS223" s="1539"/>
      <c r="AT223" s="1539"/>
      <c r="AU223" s="1539"/>
      <c r="AV223" s="1539"/>
      <c r="AW223" s="1539"/>
      <c r="AX223" s="1539"/>
      <c r="AY223" s="1539"/>
      <c r="AZ223" s="1539"/>
      <c r="BA223" s="1539"/>
      <c r="BB223" s="1539"/>
      <c r="BC223" s="1539"/>
      <c r="BD223" s="1539"/>
      <c r="BE223" s="1539"/>
      <c r="BF223" s="1539"/>
      <c r="BG223" s="1539"/>
      <c r="BH223" s="1539"/>
      <c r="BI223" s="1539"/>
      <c r="BJ223" s="1539"/>
      <c r="BK223" s="1539"/>
      <c r="BL223" s="1539"/>
      <c r="BM223" s="1539"/>
      <c r="BN223" s="1539"/>
      <c r="BO223" s="1539"/>
      <c r="BP223" s="1539"/>
      <c r="BQ223" s="1539"/>
      <c r="BR223" s="1539"/>
      <c r="BS223" s="1539"/>
      <c r="BT223" s="1539"/>
      <c r="BU223" s="1539"/>
      <c r="BV223" s="1539"/>
      <c r="BW223" s="1539"/>
      <c r="BX223" s="1539"/>
      <c r="BY223" s="1539"/>
      <c r="BZ223" s="1539"/>
      <c r="CA223" s="1539"/>
      <c r="CB223" s="1539"/>
      <c r="CC223" s="1539"/>
      <c r="CD223" s="1539"/>
      <c r="CE223" s="1539"/>
      <c r="CF223" s="1539"/>
      <c r="CG223" s="1539"/>
      <c r="CH223" s="1539"/>
      <c r="CI223" s="1539"/>
      <c r="CJ223" s="1539"/>
      <c r="CK223" s="1539"/>
      <c r="CL223" s="1539"/>
      <c r="CM223" s="1539"/>
      <c r="CN223" s="1539"/>
      <c r="CO223" s="1539"/>
    </row>
    <row r="224" spans="1:93" ht="15.5">
      <c r="A224" s="1598" t="s">
        <v>2243</v>
      </c>
      <c r="B224" s="1599" t="s">
        <v>2244</v>
      </c>
      <c r="C224" s="1643" t="e">
        <f>+SUMIF(#REF!,Final!A224,#REF!)</f>
        <v>#REF!</v>
      </c>
      <c r="D224" s="1597" t="e">
        <f>+SUMIF(#REF!,Final!A224,#REF!)</f>
        <v>#REF!</v>
      </c>
      <c r="E224" s="1643" t="e">
        <f>SUMIF(#REF!,Final!A224,#REF!)</f>
        <v>#REF!</v>
      </c>
      <c r="F224" s="1644" t="e">
        <f>SUMIF(#REF!,Final!A224,#REF!)</f>
        <v>#REF!</v>
      </c>
      <c r="G224" s="1597" t="e">
        <f t="shared" si="12"/>
        <v>#REF!</v>
      </c>
      <c r="H224" s="1644" t="e">
        <f t="shared" si="13"/>
        <v>#REF!</v>
      </c>
      <c r="I224" s="1597" t="e">
        <f t="shared" si="14"/>
        <v>#REF!</v>
      </c>
      <c r="J224" s="1644" t="e">
        <f t="shared" si="15"/>
        <v>#REF!</v>
      </c>
      <c r="M224" s="1545"/>
      <c r="N224" s="1545"/>
    </row>
    <row r="225" spans="1:93" ht="15.5">
      <c r="A225" s="1598" t="s">
        <v>2245</v>
      </c>
      <c r="B225" s="1599" t="s">
        <v>2246</v>
      </c>
      <c r="C225" s="1643" t="e">
        <f>+SUMIF(#REF!,Final!A225,#REF!)</f>
        <v>#REF!</v>
      </c>
      <c r="D225" s="1597" t="e">
        <f>+SUMIF(#REF!,Final!A225,#REF!)</f>
        <v>#REF!</v>
      </c>
      <c r="E225" s="1643" t="e">
        <f>SUMIF(#REF!,Final!A225,#REF!)</f>
        <v>#REF!</v>
      </c>
      <c r="F225" s="1644" t="e">
        <f>SUMIF(#REF!,Final!A225,#REF!)</f>
        <v>#REF!</v>
      </c>
      <c r="G225" s="1597" t="e">
        <f t="shared" si="12"/>
        <v>#REF!</v>
      </c>
      <c r="H225" s="1644" t="e">
        <f t="shared" si="13"/>
        <v>#REF!</v>
      </c>
      <c r="I225" s="1597" t="e">
        <f t="shared" si="14"/>
        <v>#REF!</v>
      </c>
      <c r="J225" s="1644" t="e">
        <f t="shared" si="15"/>
        <v>#REF!</v>
      </c>
      <c r="M225" s="1545"/>
      <c r="N225" s="1545"/>
    </row>
    <row r="226" spans="1:93" ht="15.5">
      <c r="A226" s="1598" t="s">
        <v>2247</v>
      </c>
      <c r="B226" s="1599" t="s">
        <v>2248</v>
      </c>
      <c r="C226" s="1643" t="e">
        <f>+SUMIF(#REF!,Final!A226,#REF!)</f>
        <v>#REF!</v>
      </c>
      <c r="D226" s="1597" t="e">
        <f>+SUMIF(#REF!,Final!A226,#REF!)</f>
        <v>#REF!</v>
      </c>
      <c r="E226" s="1643" t="e">
        <f>SUMIF(#REF!,Final!A226,#REF!)</f>
        <v>#REF!</v>
      </c>
      <c r="F226" s="1644" t="e">
        <f>SUMIF(#REF!,Final!A226,#REF!)</f>
        <v>#REF!</v>
      </c>
      <c r="G226" s="1597" t="e">
        <f t="shared" si="12"/>
        <v>#REF!</v>
      </c>
      <c r="H226" s="1644" t="e">
        <f t="shared" si="13"/>
        <v>#REF!</v>
      </c>
      <c r="I226" s="1597" t="e">
        <f t="shared" si="14"/>
        <v>#REF!</v>
      </c>
      <c r="J226" s="1644" t="e">
        <f t="shared" si="15"/>
        <v>#REF!</v>
      </c>
      <c r="M226" s="1545"/>
      <c r="N226" s="1545"/>
    </row>
    <row r="227" spans="1:93" s="1542" customFormat="1" ht="15.5">
      <c r="A227" s="1598" t="s">
        <v>2249</v>
      </c>
      <c r="B227" s="1599" t="s">
        <v>2250</v>
      </c>
      <c r="C227" s="1643" t="e">
        <f>+SUMIF(#REF!,Final!A227,#REF!)</f>
        <v>#REF!</v>
      </c>
      <c r="D227" s="1597" t="e">
        <f>+SUMIF(#REF!,Final!A227,#REF!)</f>
        <v>#REF!</v>
      </c>
      <c r="E227" s="1643" t="e">
        <f>SUMIF(#REF!,Final!A227,#REF!)</f>
        <v>#REF!</v>
      </c>
      <c r="F227" s="1644" t="e">
        <f>SUMIF(#REF!,Final!A227,#REF!)</f>
        <v>#REF!</v>
      </c>
      <c r="G227" s="1597" t="e">
        <f t="shared" si="12"/>
        <v>#REF!</v>
      </c>
      <c r="H227" s="1644" t="e">
        <f t="shared" si="13"/>
        <v>#REF!</v>
      </c>
      <c r="I227" s="1597" t="e">
        <f t="shared" si="14"/>
        <v>#REF!</v>
      </c>
      <c r="J227" s="1644" t="e">
        <f t="shared" si="15"/>
        <v>#REF!</v>
      </c>
      <c r="K227" s="1539"/>
      <c r="L227" s="1539"/>
      <c r="M227" s="1545"/>
      <c r="N227" s="1545"/>
      <c r="O227" s="1539"/>
      <c r="P227" s="1539"/>
      <c r="Q227" s="1539"/>
      <c r="R227" s="1539"/>
      <c r="S227" s="1539"/>
      <c r="T227" s="1539"/>
      <c r="U227" s="1539"/>
      <c r="V227" s="1539"/>
      <c r="W227" s="1539"/>
      <c r="X227" s="1539"/>
      <c r="Y227" s="1539"/>
      <c r="Z227" s="1539"/>
      <c r="AA227" s="1539"/>
      <c r="AB227" s="1539"/>
      <c r="AC227" s="1539"/>
      <c r="AD227" s="1539"/>
      <c r="AE227" s="1539"/>
      <c r="AF227" s="1539"/>
      <c r="AG227" s="1539"/>
      <c r="AH227" s="1539"/>
      <c r="AI227" s="1539"/>
      <c r="AJ227" s="1539"/>
      <c r="AK227" s="1539"/>
      <c r="AL227" s="1539"/>
      <c r="AM227" s="1539"/>
      <c r="AN227" s="1539"/>
      <c r="AO227" s="1539"/>
      <c r="AP227" s="1539"/>
      <c r="AQ227" s="1539"/>
      <c r="AR227" s="1539"/>
      <c r="AS227" s="1539"/>
      <c r="AT227" s="1539"/>
      <c r="AU227" s="1539"/>
      <c r="AV227" s="1539"/>
      <c r="AW227" s="1539"/>
      <c r="AX227" s="1539"/>
      <c r="AY227" s="1539"/>
      <c r="AZ227" s="1539"/>
      <c r="BA227" s="1539"/>
      <c r="BB227" s="1539"/>
      <c r="BC227" s="1539"/>
      <c r="BD227" s="1539"/>
      <c r="BE227" s="1539"/>
      <c r="BF227" s="1539"/>
      <c r="BG227" s="1539"/>
      <c r="BH227" s="1539"/>
      <c r="BI227" s="1539"/>
      <c r="BJ227" s="1539"/>
      <c r="BK227" s="1539"/>
      <c r="BL227" s="1539"/>
      <c r="BM227" s="1539"/>
      <c r="BN227" s="1539"/>
      <c r="BO227" s="1539"/>
      <c r="BP227" s="1539"/>
      <c r="BQ227" s="1539"/>
      <c r="BR227" s="1539"/>
      <c r="BS227" s="1539"/>
      <c r="BT227" s="1539"/>
      <c r="BU227" s="1539"/>
      <c r="BV227" s="1539"/>
      <c r="BW227" s="1539"/>
      <c r="BX227" s="1539"/>
      <c r="BY227" s="1539"/>
      <c r="BZ227" s="1539"/>
      <c r="CA227" s="1539"/>
      <c r="CB227" s="1539"/>
      <c r="CC227" s="1539"/>
      <c r="CD227" s="1539"/>
      <c r="CE227" s="1539"/>
      <c r="CF227" s="1539"/>
      <c r="CG227" s="1539"/>
      <c r="CH227" s="1539"/>
      <c r="CI227" s="1539"/>
      <c r="CJ227" s="1539"/>
      <c r="CK227" s="1539"/>
      <c r="CL227" s="1539"/>
      <c r="CM227" s="1539"/>
      <c r="CN227" s="1539"/>
      <c r="CO227" s="1539"/>
    </row>
    <row r="228" spans="1:93" ht="15.5">
      <c r="A228" s="1598" t="s">
        <v>2251</v>
      </c>
      <c r="B228" s="1599" t="s">
        <v>2252</v>
      </c>
      <c r="C228" s="1643" t="e">
        <f>+SUMIF(#REF!,Final!A228,#REF!)</f>
        <v>#REF!</v>
      </c>
      <c r="D228" s="1597" t="e">
        <f>+SUMIF(#REF!,Final!A228,#REF!)</f>
        <v>#REF!</v>
      </c>
      <c r="E228" s="1643" t="e">
        <f>SUMIF(#REF!,Final!A228,#REF!)</f>
        <v>#REF!</v>
      </c>
      <c r="F228" s="1644" t="e">
        <f>SUMIF(#REF!,Final!A228,#REF!)</f>
        <v>#REF!</v>
      </c>
      <c r="G228" s="1597" t="e">
        <f t="shared" si="12"/>
        <v>#REF!</v>
      </c>
      <c r="H228" s="1644" t="e">
        <f t="shared" si="13"/>
        <v>#REF!</v>
      </c>
      <c r="I228" s="1597" t="e">
        <f t="shared" si="14"/>
        <v>#REF!</v>
      </c>
      <c r="J228" s="1644" t="e">
        <f t="shared" si="15"/>
        <v>#REF!</v>
      </c>
      <c r="M228" s="1545"/>
      <c r="N228" s="1545"/>
    </row>
    <row r="229" spans="1:93" ht="15.5">
      <c r="A229" s="1598" t="s">
        <v>2253</v>
      </c>
      <c r="B229" s="1599" t="s">
        <v>2254</v>
      </c>
      <c r="C229" s="1643" t="e">
        <f>+SUMIF(#REF!,Final!A229,#REF!)</f>
        <v>#REF!</v>
      </c>
      <c r="D229" s="1597" t="e">
        <f>+SUMIF(#REF!,Final!A229,#REF!)</f>
        <v>#REF!</v>
      </c>
      <c r="E229" s="1643" t="e">
        <f>SUMIF(#REF!,Final!A229,#REF!)</f>
        <v>#REF!</v>
      </c>
      <c r="F229" s="1644" t="e">
        <f>SUMIF(#REF!,Final!A229,#REF!)</f>
        <v>#REF!</v>
      </c>
      <c r="G229" s="1597" t="e">
        <f t="shared" si="12"/>
        <v>#REF!</v>
      </c>
      <c r="H229" s="1644" t="e">
        <f t="shared" si="13"/>
        <v>#REF!</v>
      </c>
      <c r="I229" s="1597" t="e">
        <f t="shared" si="14"/>
        <v>#REF!</v>
      </c>
      <c r="J229" s="1644" t="e">
        <f t="shared" si="15"/>
        <v>#REF!</v>
      </c>
      <c r="M229" s="1545"/>
      <c r="N229" s="1545"/>
    </row>
    <row r="230" spans="1:93" s="1542" customFormat="1" ht="15.5">
      <c r="A230" s="1598" t="s">
        <v>2255</v>
      </c>
      <c r="B230" s="1599" t="s">
        <v>2256</v>
      </c>
      <c r="C230" s="1643" t="e">
        <f>+SUMIF(#REF!,Final!A230,#REF!)</f>
        <v>#REF!</v>
      </c>
      <c r="D230" s="1597" t="e">
        <f>+SUMIF(#REF!,Final!A230,#REF!)</f>
        <v>#REF!</v>
      </c>
      <c r="E230" s="1643" t="e">
        <f>SUMIF(#REF!,Final!A230,#REF!)</f>
        <v>#REF!</v>
      </c>
      <c r="F230" s="1644" t="e">
        <f>SUMIF(#REF!,Final!A230,#REF!)</f>
        <v>#REF!</v>
      </c>
      <c r="G230" s="1597" t="e">
        <f t="shared" si="12"/>
        <v>#REF!</v>
      </c>
      <c r="H230" s="1644" t="e">
        <f t="shared" si="13"/>
        <v>#REF!</v>
      </c>
      <c r="I230" s="1597" t="e">
        <f t="shared" si="14"/>
        <v>#REF!</v>
      </c>
      <c r="J230" s="1644" t="e">
        <f t="shared" si="15"/>
        <v>#REF!</v>
      </c>
      <c r="K230" s="1539"/>
      <c r="L230" s="1539"/>
      <c r="M230" s="1545"/>
      <c r="N230" s="1545"/>
      <c r="O230" s="1539"/>
      <c r="P230" s="1539"/>
      <c r="Q230" s="1539"/>
      <c r="R230" s="1539"/>
      <c r="S230" s="1539"/>
      <c r="T230" s="1539"/>
      <c r="U230" s="1539"/>
      <c r="V230" s="1539"/>
      <c r="W230" s="1539"/>
      <c r="X230" s="1539"/>
      <c r="Y230" s="1539"/>
      <c r="Z230" s="1539"/>
      <c r="AA230" s="1539"/>
      <c r="AB230" s="1539"/>
      <c r="AC230" s="1539"/>
      <c r="AD230" s="1539"/>
      <c r="AE230" s="1539"/>
      <c r="AF230" s="1539"/>
      <c r="AG230" s="1539"/>
      <c r="AH230" s="1539"/>
      <c r="AI230" s="1539"/>
      <c r="AJ230" s="1539"/>
      <c r="AK230" s="1539"/>
      <c r="AL230" s="1539"/>
      <c r="AM230" s="1539"/>
      <c r="AN230" s="1539"/>
      <c r="AO230" s="1539"/>
      <c r="AP230" s="1539"/>
      <c r="AQ230" s="1539"/>
      <c r="AR230" s="1539"/>
      <c r="AS230" s="1539"/>
      <c r="AT230" s="1539"/>
      <c r="AU230" s="1539"/>
      <c r="AV230" s="1539"/>
      <c r="AW230" s="1539"/>
      <c r="AX230" s="1539"/>
      <c r="AY230" s="1539"/>
      <c r="AZ230" s="1539"/>
      <c r="BA230" s="1539"/>
      <c r="BB230" s="1539"/>
      <c r="BC230" s="1539"/>
      <c r="BD230" s="1539"/>
      <c r="BE230" s="1539"/>
      <c r="BF230" s="1539"/>
      <c r="BG230" s="1539"/>
      <c r="BH230" s="1539"/>
      <c r="BI230" s="1539"/>
      <c r="BJ230" s="1539"/>
      <c r="BK230" s="1539"/>
      <c r="BL230" s="1539"/>
      <c r="BM230" s="1539"/>
      <c r="BN230" s="1539"/>
      <c r="BO230" s="1539"/>
      <c r="BP230" s="1539"/>
      <c r="BQ230" s="1539"/>
      <c r="BR230" s="1539"/>
      <c r="BS230" s="1539"/>
      <c r="BT230" s="1539"/>
      <c r="BU230" s="1539"/>
      <c r="BV230" s="1539"/>
      <c r="BW230" s="1539"/>
      <c r="BX230" s="1539"/>
      <c r="BY230" s="1539"/>
      <c r="BZ230" s="1539"/>
      <c r="CA230" s="1539"/>
      <c r="CB230" s="1539"/>
      <c r="CC230" s="1539"/>
      <c r="CD230" s="1539"/>
      <c r="CE230" s="1539"/>
      <c r="CF230" s="1539"/>
      <c r="CG230" s="1539"/>
      <c r="CH230" s="1539"/>
      <c r="CI230" s="1539"/>
      <c r="CJ230" s="1539"/>
      <c r="CK230" s="1539"/>
      <c r="CL230" s="1539"/>
      <c r="CM230" s="1539"/>
      <c r="CN230" s="1539"/>
      <c r="CO230" s="1539"/>
    </row>
    <row r="231" spans="1:93" ht="15.5">
      <c r="A231" s="1598" t="s">
        <v>2257</v>
      </c>
      <c r="B231" s="1599" t="s">
        <v>2258</v>
      </c>
      <c r="C231" s="1643" t="e">
        <f>+SUMIF(#REF!,Final!A231,#REF!)</f>
        <v>#REF!</v>
      </c>
      <c r="D231" s="1597" t="e">
        <f>+SUMIF(#REF!,Final!A231,#REF!)</f>
        <v>#REF!</v>
      </c>
      <c r="E231" s="1643" t="e">
        <f>SUMIF(#REF!,Final!A231,#REF!)</f>
        <v>#REF!</v>
      </c>
      <c r="F231" s="1644" t="e">
        <f>SUMIF(#REF!,Final!A231,#REF!)</f>
        <v>#REF!</v>
      </c>
      <c r="G231" s="1597" t="e">
        <f t="shared" si="12"/>
        <v>#REF!</v>
      </c>
      <c r="H231" s="1644" t="e">
        <f t="shared" si="13"/>
        <v>#REF!</v>
      </c>
      <c r="I231" s="1597" t="e">
        <f t="shared" si="14"/>
        <v>#REF!</v>
      </c>
      <c r="J231" s="1644" t="e">
        <f t="shared" si="15"/>
        <v>#REF!</v>
      </c>
      <c r="M231" s="1545"/>
      <c r="N231" s="1545"/>
    </row>
    <row r="232" spans="1:93" s="1552" customFormat="1" ht="15.5">
      <c r="A232" s="1598"/>
      <c r="B232" s="1599" t="s">
        <v>754</v>
      </c>
      <c r="C232" s="1643" t="e">
        <f>+SUMIF(#REF!,Final!A232,#REF!)</f>
        <v>#REF!</v>
      </c>
      <c r="D232" s="1597" t="e">
        <f>+SUMIF(#REF!,Final!A232,#REF!)</f>
        <v>#REF!</v>
      </c>
      <c r="E232" s="1643" t="e">
        <f>SUMIF(#REF!,Final!A232,#REF!)</f>
        <v>#REF!</v>
      </c>
      <c r="F232" s="1644" t="e">
        <f>SUMIF(#REF!,Final!A232,#REF!)</f>
        <v>#REF!</v>
      </c>
      <c r="G232" s="1597" t="e">
        <f t="shared" si="12"/>
        <v>#REF!</v>
      </c>
      <c r="H232" s="1644" t="e">
        <f t="shared" si="13"/>
        <v>#REF!</v>
      </c>
      <c r="I232" s="1597" t="e">
        <f t="shared" si="14"/>
        <v>#REF!</v>
      </c>
      <c r="J232" s="1644" t="e">
        <f t="shared" si="15"/>
        <v>#REF!</v>
      </c>
      <c r="K232" s="1539"/>
      <c r="L232" s="1539"/>
      <c r="M232" s="1545"/>
      <c r="N232" s="1545"/>
      <c r="O232" s="1539"/>
      <c r="P232" s="1539"/>
      <c r="Q232" s="1539"/>
      <c r="R232" s="1539"/>
      <c r="S232" s="1539"/>
      <c r="T232" s="1539"/>
      <c r="U232" s="1539"/>
      <c r="V232" s="1539"/>
      <c r="W232" s="1539"/>
      <c r="X232" s="1539"/>
      <c r="Y232" s="1539"/>
      <c r="Z232" s="1539"/>
      <c r="AA232" s="1539"/>
      <c r="AB232" s="1539"/>
      <c r="AC232" s="1539"/>
      <c r="AD232" s="1539"/>
      <c r="AE232" s="1539"/>
      <c r="AF232" s="1539"/>
      <c r="AG232" s="1539"/>
      <c r="AH232" s="1539"/>
      <c r="AI232" s="1539"/>
      <c r="AJ232" s="1539"/>
      <c r="AK232" s="1539"/>
      <c r="AL232" s="1539"/>
      <c r="AM232" s="1539"/>
      <c r="AN232" s="1539"/>
      <c r="AO232" s="1539"/>
      <c r="AP232" s="1539"/>
      <c r="AQ232" s="1539"/>
      <c r="AR232" s="1539"/>
      <c r="AS232" s="1539"/>
      <c r="AT232" s="1539"/>
      <c r="AU232" s="1539"/>
      <c r="AV232" s="1539"/>
      <c r="AW232" s="1539"/>
      <c r="AX232" s="1539"/>
      <c r="AY232" s="1539"/>
      <c r="AZ232" s="1539"/>
      <c r="BA232" s="1539"/>
      <c r="BB232" s="1539"/>
      <c r="BC232" s="1539"/>
      <c r="BD232" s="1539"/>
      <c r="BE232" s="1539"/>
      <c r="BF232" s="1539"/>
      <c r="BG232" s="1539"/>
      <c r="BH232" s="1539"/>
      <c r="BI232" s="1539"/>
      <c r="BJ232" s="1539"/>
      <c r="BK232" s="1539"/>
      <c r="BL232" s="1539"/>
      <c r="BM232" s="1539"/>
      <c r="BN232" s="1539"/>
      <c r="BO232" s="1539"/>
      <c r="BP232" s="1539"/>
      <c r="BQ232" s="1539"/>
      <c r="BR232" s="1539"/>
      <c r="BS232" s="1539"/>
      <c r="BT232" s="1539"/>
      <c r="BU232" s="1539"/>
      <c r="BV232" s="1539"/>
      <c r="BW232" s="1539"/>
      <c r="BX232" s="1539"/>
      <c r="BY232" s="1539"/>
      <c r="BZ232" s="1539"/>
      <c r="CA232" s="1539"/>
      <c r="CB232" s="1539"/>
      <c r="CC232" s="1539"/>
      <c r="CD232" s="1539"/>
      <c r="CE232" s="1539"/>
      <c r="CF232" s="1539"/>
      <c r="CG232" s="1539"/>
      <c r="CH232" s="1539"/>
      <c r="CI232" s="1539"/>
      <c r="CJ232" s="1539"/>
      <c r="CK232" s="1539"/>
      <c r="CL232" s="1539"/>
      <c r="CM232" s="1539"/>
      <c r="CN232" s="1539"/>
      <c r="CO232" s="1539"/>
    </row>
    <row r="233" spans="1:93" s="1552" customFormat="1" ht="15.5">
      <c r="A233" s="1598"/>
      <c r="B233" s="1599" t="s">
        <v>1760</v>
      </c>
      <c r="C233" s="1643" t="e">
        <f>+SUMIF(#REF!,Final!A233,#REF!)</f>
        <v>#REF!</v>
      </c>
      <c r="D233" s="1597" t="e">
        <f>+SUMIF(#REF!,Final!A233,#REF!)</f>
        <v>#REF!</v>
      </c>
      <c r="E233" s="1643" t="e">
        <f>SUMIF(#REF!,Final!A233,#REF!)</f>
        <v>#REF!</v>
      </c>
      <c r="F233" s="1644" t="e">
        <f>SUMIF(#REF!,Final!A233,#REF!)</f>
        <v>#REF!</v>
      </c>
      <c r="G233" s="1597" t="e">
        <f t="shared" si="12"/>
        <v>#REF!</v>
      </c>
      <c r="H233" s="1644" t="e">
        <f t="shared" si="13"/>
        <v>#REF!</v>
      </c>
      <c r="I233" s="1597" t="e">
        <f t="shared" si="14"/>
        <v>#REF!</v>
      </c>
      <c r="J233" s="1644" t="e">
        <f t="shared" si="15"/>
        <v>#REF!</v>
      </c>
      <c r="K233" s="1539"/>
      <c r="L233" s="1539"/>
      <c r="M233" s="1545"/>
      <c r="N233" s="1545"/>
      <c r="O233" s="1539"/>
      <c r="P233" s="1539"/>
      <c r="Q233" s="1539"/>
      <c r="R233" s="1539"/>
      <c r="S233" s="1539"/>
      <c r="T233" s="1539"/>
      <c r="U233" s="1539"/>
      <c r="V233" s="1539"/>
      <c r="W233" s="1539"/>
      <c r="X233" s="1539"/>
      <c r="Y233" s="1539"/>
      <c r="Z233" s="1539"/>
      <c r="AA233" s="1539"/>
      <c r="AB233" s="1539"/>
      <c r="AC233" s="1539"/>
      <c r="AD233" s="1539"/>
      <c r="AE233" s="1539"/>
      <c r="AF233" s="1539"/>
      <c r="AG233" s="1539"/>
      <c r="AH233" s="1539"/>
      <c r="AI233" s="1539"/>
      <c r="AJ233" s="1539"/>
      <c r="AK233" s="1539"/>
      <c r="AL233" s="1539"/>
      <c r="AM233" s="1539"/>
      <c r="AN233" s="1539"/>
      <c r="AO233" s="1539"/>
      <c r="AP233" s="1539"/>
      <c r="AQ233" s="1539"/>
      <c r="AR233" s="1539"/>
      <c r="AS233" s="1539"/>
      <c r="AT233" s="1539"/>
      <c r="AU233" s="1539"/>
      <c r="AV233" s="1539"/>
      <c r="AW233" s="1539"/>
      <c r="AX233" s="1539"/>
      <c r="AY233" s="1539"/>
      <c r="AZ233" s="1539"/>
      <c r="BA233" s="1539"/>
      <c r="BB233" s="1539"/>
      <c r="BC233" s="1539"/>
      <c r="BD233" s="1539"/>
      <c r="BE233" s="1539"/>
      <c r="BF233" s="1539"/>
      <c r="BG233" s="1539"/>
      <c r="BH233" s="1539"/>
      <c r="BI233" s="1539"/>
      <c r="BJ233" s="1539"/>
      <c r="BK233" s="1539"/>
      <c r="BL233" s="1539"/>
      <c r="BM233" s="1539"/>
      <c r="BN233" s="1539"/>
      <c r="BO233" s="1539"/>
      <c r="BP233" s="1539"/>
      <c r="BQ233" s="1539"/>
      <c r="BR233" s="1539"/>
      <c r="BS233" s="1539"/>
      <c r="BT233" s="1539"/>
      <c r="BU233" s="1539"/>
      <c r="BV233" s="1539"/>
      <c r="BW233" s="1539"/>
      <c r="BX233" s="1539"/>
      <c r="BY233" s="1539"/>
      <c r="BZ233" s="1539"/>
      <c r="CA233" s="1539"/>
      <c r="CB233" s="1539"/>
      <c r="CC233" s="1539"/>
      <c r="CD233" s="1539"/>
      <c r="CE233" s="1539"/>
      <c r="CF233" s="1539"/>
      <c r="CG233" s="1539"/>
      <c r="CH233" s="1539"/>
      <c r="CI233" s="1539"/>
      <c r="CJ233" s="1539"/>
      <c r="CK233" s="1539"/>
      <c r="CL233" s="1539"/>
      <c r="CM233" s="1539"/>
      <c r="CN233" s="1539"/>
      <c r="CO233" s="1539"/>
    </row>
    <row r="234" spans="1:93" s="1542" customFormat="1" ht="15.5">
      <c r="A234" s="1598" t="s">
        <v>544</v>
      </c>
      <c r="B234" s="1599" t="s">
        <v>2259</v>
      </c>
      <c r="C234" s="1643" t="e">
        <f>+SUMIF(#REF!,Final!A234,#REF!)</f>
        <v>#REF!</v>
      </c>
      <c r="D234" s="1597" t="e">
        <f>+SUMIF(#REF!,Final!A234,#REF!)</f>
        <v>#REF!</v>
      </c>
      <c r="E234" s="1643" t="e">
        <f>SUMIF(#REF!,Final!A234,#REF!)</f>
        <v>#REF!</v>
      </c>
      <c r="F234" s="1644" t="e">
        <f>SUMIF(#REF!,Final!A234,#REF!)</f>
        <v>#REF!</v>
      </c>
      <c r="G234" s="1597" t="e">
        <f t="shared" si="12"/>
        <v>#REF!</v>
      </c>
      <c r="H234" s="1644" t="e">
        <f t="shared" si="13"/>
        <v>#REF!</v>
      </c>
      <c r="I234" s="1597" t="e">
        <f t="shared" si="14"/>
        <v>#REF!</v>
      </c>
      <c r="J234" s="1644" t="e">
        <f t="shared" si="15"/>
        <v>#REF!</v>
      </c>
      <c r="K234" s="1539"/>
      <c r="L234" s="1539"/>
      <c r="M234" s="1545"/>
      <c r="N234" s="1545"/>
      <c r="O234" s="1539"/>
      <c r="P234" s="1539"/>
      <c r="Q234" s="1539"/>
      <c r="R234" s="1539"/>
      <c r="S234" s="1539"/>
      <c r="T234" s="1539"/>
      <c r="U234" s="1539"/>
      <c r="V234" s="1539"/>
      <c r="W234" s="1539"/>
      <c r="X234" s="1539"/>
      <c r="Y234" s="1539"/>
      <c r="Z234" s="1539"/>
      <c r="AA234" s="1539"/>
      <c r="AB234" s="1539"/>
      <c r="AC234" s="1539"/>
      <c r="AD234" s="1539"/>
      <c r="AE234" s="1539"/>
      <c r="AF234" s="1539"/>
      <c r="AG234" s="1539"/>
      <c r="AH234" s="1539"/>
      <c r="AI234" s="1539"/>
      <c r="AJ234" s="1539"/>
      <c r="AK234" s="1539"/>
      <c r="AL234" s="1539"/>
      <c r="AM234" s="1539"/>
      <c r="AN234" s="1539"/>
      <c r="AO234" s="1539"/>
      <c r="AP234" s="1539"/>
      <c r="AQ234" s="1539"/>
      <c r="AR234" s="1539"/>
      <c r="AS234" s="1539"/>
      <c r="AT234" s="1539"/>
      <c r="AU234" s="1539"/>
      <c r="AV234" s="1539"/>
      <c r="AW234" s="1539"/>
      <c r="AX234" s="1539"/>
      <c r="AY234" s="1539"/>
      <c r="AZ234" s="1539"/>
      <c r="BA234" s="1539"/>
      <c r="BB234" s="1539"/>
      <c r="BC234" s="1539"/>
      <c r="BD234" s="1539"/>
      <c r="BE234" s="1539"/>
      <c r="BF234" s="1539"/>
      <c r="BG234" s="1539"/>
      <c r="BH234" s="1539"/>
      <c r="BI234" s="1539"/>
      <c r="BJ234" s="1539"/>
      <c r="BK234" s="1539"/>
      <c r="BL234" s="1539"/>
      <c r="BM234" s="1539"/>
      <c r="BN234" s="1539"/>
      <c r="BO234" s="1539"/>
      <c r="BP234" s="1539"/>
      <c r="BQ234" s="1539"/>
      <c r="BR234" s="1539"/>
      <c r="BS234" s="1539"/>
      <c r="BT234" s="1539"/>
      <c r="BU234" s="1539"/>
      <c r="BV234" s="1539"/>
      <c r="BW234" s="1539"/>
      <c r="BX234" s="1539"/>
      <c r="BY234" s="1539"/>
      <c r="BZ234" s="1539"/>
      <c r="CA234" s="1539"/>
      <c r="CB234" s="1539"/>
      <c r="CC234" s="1539"/>
      <c r="CD234" s="1539"/>
      <c r="CE234" s="1539"/>
      <c r="CF234" s="1539"/>
      <c r="CG234" s="1539"/>
      <c r="CH234" s="1539"/>
      <c r="CI234" s="1539"/>
      <c r="CJ234" s="1539"/>
      <c r="CK234" s="1539"/>
      <c r="CL234" s="1539"/>
      <c r="CM234" s="1539"/>
      <c r="CN234" s="1539"/>
      <c r="CO234" s="1539"/>
    </row>
    <row r="235" spans="1:93" s="1542" customFormat="1" ht="15.5">
      <c r="A235" s="1598" t="s">
        <v>2260</v>
      </c>
      <c r="B235" s="1599" t="s">
        <v>2136</v>
      </c>
      <c r="C235" s="1643" t="e">
        <f>+SUMIF(#REF!,Final!A235,#REF!)</f>
        <v>#REF!</v>
      </c>
      <c r="D235" s="1597" t="e">
        <f>+SUMIF(#REF!,Final!A235,#REF!)</f>
        <v>#REF!</v>
      </c>
      <c r="E235" s="1643" t="e">
        <f>SUMIF(#REF!,Final!A235,#REF!)</f>
        <v>#REF!</v>
      </c>
      <c r="F235" s="1644" t="e">
        <f>SUMIF(#REF!,Final!A235,#REF!)</f>
        <v>#REF!</v>
      </c>
      <c r="G235" s="1597" t="e">
        <f t="shared" si="12"/>
        <v>#REF!</v>
      </c>
      <c r="H235" s="1644" t="e">
        <f t="shared" si="13"/>
        <v>#REF!</v>
      </c>
      <c r="I235" s="1597" t="e">
        <f t="shared" si="14"/>
        <v>#REF!</v>
      </c>
      <c r="J235" s="1644" t="e">
        <f t="shared" si="15"/>
        <v>#REF!</v>
      </c>
      <c r="K235" s="1539"/>
      <c r="L235" s="1539"/>
      <c r="M235" s="1545"/>
      <c r="N235" s="1545"/>
      <c r="O235" s="1539"/>
      <c r="P235" s="1539"/>
      <c r="Q235" s="1539"/>
      <c r="R235" s="1539"/>
      <c r="S235" s="1539"/>
      <c r="T235" s="1539"/>
      <c r="U235" s="1539"/>
      <c r="V235" s="1539"/>
      <c r="W235" s="1539"/>
      <c r="X235" s="1539"/>
      <c r="Y235" s="1539"/>
      <c r="Z235" s="1539"/>
      <c r="AA235" s="1539"/>
      <c r="AB235" s="1539"/>
      <c r="AC235" s="1539"/>
      <c r="AD235" s="1539"/>
      <c r="AE235" s="1539"/>
      <c r="AF235" s="1539"/>
      <c r="AG235" s="1539"/>
      <c r="AH235" s="1539"/>
      <c r="AI235" s="1539"/>
      <c r="AJ235" s="1539"/>
      <c r="AK235" s="1539"/>
      <c r="AL235" s="1539"/>
      <c r="AM235" s="1539"/>
      <c r="AN235" s="1539"/>
      <c r="AO235" s="1539"/>
      <c r="AP235" s="1539"/>
      <c r="AQ235" s="1539"/>
      <c r="AR235" s="1539"/>
      <c r="AS235" s="1539"/>
      <c r="AT235" s="1539"/>
      <c r="AU235" s="1539"/>
      <c r="AV235" s="1539"/>
      <c r="AW235" s="1539"/>
      <c r="AX235" s="1539"/>
      <c r="AY235" s="1539"/>
      <c r="AZ235" s="1539"/>
      <c r="BA235" s="1539"/>
      <c r="BB235" s="1539"/>
      <c r="BC235" s="1539"/>
      <c r="BD235" s="1539"/>
      <c r="BE235" s="1539"/>
      <c r="BF235" s="1539"/>
      <c r="BG235" s="1539"/>
      <c r="BH235" s="1539"/>
      <c r="BI235" s="1539"/>
      <c r="BJ235" s="1539"/>
      <c r="BK235" s="1539"/>
      <c r="BL235" s="1539"/>
      <c r="BM235" s="1539"/>
      <c r="BN235" s="1539"/>
      <c r="BO235" s="1539"/>
      <c r="BP235" s="1539"/>
      <c r="BQ235" s="1539"/>
      <c r="BR235" s="1539"/>
      <c r="BS235" s="1539"/>
      <c r="BT235" s="1539"/>
      <c r="BU235" s="1539"/>
      <c r="BV235" s="1539"/>
      <c r="BW235" s="1539"/>
      <c r="BX235" s="1539"/>
      <c r="BY235" s="1539"/>
      <c r="BZ235" s="1539"/>
      <c r="CA235" s="1539"/>
      <c r="CB235" s="1539"/>
      <c r="CC235" s="1539"/>
      <c r="CD235" s="1539"/>
      <c r="CE235" s="1539"/>
      <c r="CF235" s="1539"/>
      <c r="CG235" s="1539"/>
      <c r="CH235" s="1539"/>
      <c r="CI235" s="1539"/>
      <c r="CJ235" s="1539"/>
      <c r="CK235" s="1539"/>
      <c r="CL235" s="1539"/>
      <c r="CM235" s="1539"/>
      <c r="CN235" s="1539"/>
      <c r="CO235" s="1539"/>
    </row>
    <row r="236" spans="1:93" ht="15.5">
      <c r="A236" s="1598" t="s">
        <v>2261</v>
      </c>
      <c r="B236" s="1599" t="s">
        <v>2202</v>
      </c>
      <c r="C236" s="1643" t="e">
        <f>+SUMIF(#REF!,Final!A236,#REF!)</f>
        <v>#REF!</v>
      </c>
      <c r="D236" s="1597" t="e">
        <f>+SUMIF(#REF!,Final!A236,#REF!)</f>
        <v>#REF!</v>
      </c>
      <c r="E236" s="1643" t="e">
        <f>SUMIF(#REF!,Final!A236,#REF!)</f>
        <v>#REF!</v>
      </c>
      <c r="F236" s="1644" t="e">
        <f>SUMIF(#REF!,Final!A236,#REF!)</f>
        <v>#REF!</v>
      </c>
      <c r="G236" s="1597" t="e">
        <f t="shared" si="12"/>
        <v>#REF!</v>
      </c>
      <c r="H236" s="1644" t="e">
        <f t="shared" si="13"/>
        <v>#REF!</v>
      </c>
      <c r="I236" s="1597" t="e">
        <f t="shared" si="14"/>
        <v>#REF!</v>
      </c>
      <c r="J236" s="1644" t="e">
        <f t="shared" si="15"/>
        <v>#REF!</v>
      </c>
      <c r="M236" s="1545"/>
      <c r="N236" s="1545"/>
    </row>
    <row r="237" spans="1:93" s="1542" customFormat="1" ht="15.5">
      <c r="A237" s="1598" t="s">
        <v>2262</v>
      </c>
      <c r="B237" s="1599" t="s">
        <v>2204</v>
      </c>
      <c r="C237" s="1643" t="e">
        <f>+SUMIF(#REF!,Final!A237,#REF!)</f>
        <v>#REF!</v>
      </c>
      <c r="D237" s="1597" t="e">
        <f>+SUMIF(#REF!,Final!A237,#REF!)</f>
        <v>#REF!</v>
      </c>
      <c r="E237" s="1643" t="e">
        <f>SUMIF(#REF!,Final!A237,#REF!)</f>
        <v>#REF!</v>
      </c>
      <c r="F237" s="1644" t="e">
        <f>SUMIF(#REF!,Final!A237,#REF!)</f>
        <v>#REF!</v>
      </c>
      <c r="G237" s="1597" t="e">
        <f t="shared" si="12"/>
        <v>#REF!</v>
      </c>
      <c r="H237" s="1644" t="e">
        <f t="shared" si="13"/>
        <v>#REF!</v>
      </c>
      <c r="I237" s="1597" t="e">
        <f t="shared" si="14"/>
        <v>#REF!</v>
      </c>
      <c r="J237" s="1644" t="e">
        <f t="shared" si="15"/>
        <v>#REF!</v>
      </c>
      <c r="K237" s="1539"/>
      <c r="L237" s="1539"/>
      <c r="M237" s="1545"/>
      <c r="N237" s="1545"/>
      <c r="O237" s="1539"/>
      <c r="P237" s="1539"/>
      <c r="Q237" s="1539"/>
      <c r="R237" s="1539"/>
      <c r="S237" s="1539"/>
      <c r="T237" s="1539"/>
      <c r="U237" s="1539"/>
      <c r="V237" s="1539"/>
      <c r="W237" s="1539"/>
      <c r="X237" s="1539"/>
      <c r="Y237" s="1539"/>
      <c r="Z237" s="1539"/>
      <c r="AA237" s="1539"/>
      <c r="AB237" s="1539"/>
      <c r="AC237" s="1539"/>
      <c r="AD237" s="1539"/>
      <c r="AE237" s="1539"/>
      <c r="AF237" s="1539"/>
      <c r="AG237" s="1539"/>
      <c r="AH237" s="1539"/>
      <c r="AI237" s="1539"/>
      <c r="AJ237" s="1539"/>
      <c r="AK237" s="1539"/>
      <c r="AL237" s="1539"/>
      <c r="AM237" s="1539"/>
      <c r="AN237" s="1539"/>
      <c r="AO237" s="1539"/>
      <c r="AP237" s="1539"/>
      <c r="AQ237" s="1539"/>
      <c r="AR237" s="1539"/>
      <c r="AS237" s="1539"/>
      <c r="AT237" s="1539"/>
      <c r="AU237" s="1539"/>
      <c r="AV237" s="1539"/>
      <c r="AW237" s="1539"/>
      <c r="AX237" s="1539"/>
      <c r="AY237" s="1539"/>
      <c r="AZ237" s="1539"/>
      <c r="BA237" s="1539"/>
      <c r="BB237" s="1539"/>
      <c r="BC237" s="1539"/>
      <c r="BD237" s="1539"/>
      <c r="BE237" s="1539"/>
      <c r="BF237" s="1539"/>
      <c r="BG237" s="1539"/>
      <c r="BH237" s="1539"/>
      <c r="BI237" s="1539"/>
      <c r="BJ237" s="1539"/>
      <c r="BK237" s="1539"/>
      <c r="BL237" s="1539"/>
      <c r="BM237" s="1539"/>
      <c r="BN237" s="1539"/>
      <c r="BO237" s="1539"/>
      <c r="BP237" s="1539"/>
      <c r="BQ237" s="1539"/>
      <c r="BR237" s="1539"/>
      <c r="BS237" s="1539"/>
      <c r="BT237" s="1539"/>
      <c r="BU237" s="1539"/>
      <c r="BV237" s="1539"/>
      <c r="BW237" s="1539"/>
      <c r="BX237" s="1539"/>
      <c r="BY237" s="1539"/>
      <c r="BZ237" s="1539"/>
      <c r="CA237" s="1539"/>
      <c r="CB237" s="1539"/>
      <c r="CC237" s="1539"/>
      <c r="CD237" s="1539"/>
      <c r="CE237" s="1539"/>
      <c r="CF237" s="1539"/>
      <c r="CG237" s="1539"/>
      <c r="CH237" s="1539"/>
      <c r="CI237" s="1539"/>
      <c r="CJ237" s="1539"/>
      <c r="CK237" s="1539"/>
      <c r="CL237" s="1539"/>
      <c r="CM237" s="1539"/>
      <c r="CN237" s="1539"/>
      <c r="CO237" s="1539"/>
    </row>
    <row r="238" spans="1:93" ht="15.5">
      <c r="A238" s="1598" t="s">
        <v>2263</v>
      </c>
      <c r="B238" s="1599" t="s">
        <v>2206</v>
      </c>
      <c r="C238" s="1643" t="e">
        <f>+SUMIF(#REF!,Final!A238,#REF!)</f>
        <v>#REF!</v>
      </c>
      <c r="D238" s="1597" t="e">
        <f>+SUMIF(#REF!,Final!A238,#REF!)</f>
        <v>#REF!</v>
      </c>
      <c r="E238" s="1643" t="e">
        <f>SUMIF(#REF!,Final!A238,#REF!)</f>
        <v>#REF!</v>
      </c>
      <c r="F238" s="1644" t="e">
        <f>SUMIF(#REF!,Final!A238,#REF!)</f>
        <v>#REF!</v>
      </c>
      <c r="G238" s="1597" t="e">
        <f t="shared" si="12"/>
        <v>#REF!</v>
      </c>
      <c r="H238" s="1644" t="e">
        <f t="shared" si="13"/>
        <v>#REF!</v>
      </c>
      <c r="I238" s="1597" t="e">
        <f t="shared" si="14"/>
        <v>#REF!</v>
      </c>
      <c r="J238" s="1644" t="e">
        <f t="shared" si="15"/>
        <v>#REF!</v>
      </c>
      <c r="M238" s="1545"/>
      <c r="N238" s="1545"/>
    </row>
    <row r="239" spans="1:93" s="1542" customFormat="1" ht="15.5">
      <c r="A239" s="1598" t="s">
        <v>2264</v>
      </c>
      <c r="B239" s="1599" t="s">
        <v>2208</v>
      </c>
      <c r="C239" s="1643" t="e">
        <f>+SUMIF(#REF!,Final!A239,#REF!)</f>
        <v>#REF!</v>
      </c>
      <c r="D239" s="1597" t="e">
        <f>+SUMIF(#REF!,Final!A239,#REF!)</f>
        <v>#REF!</v>
      </c>
      <c r="E239" s="1643" t="e">
        <f>SUMIF(#REF!,Final!A239,#REF!)</f>
        <v>#REF!</v>
      </c>
      <c r="F239" s="1644" t="e">
        <f>SUMIF(#REF!,Final!A239,#REF!)</f>
        <v>#REF!</v>
      </c>
      <c r="G239" s="1597" t="e">
        <f t="shared" si="12"/>
        <v>#REF!</v>
      </c>
      <c r="H239" s="1644" t="e">
        <f t="shared" si="13"/>
        <v>#REF!</v>
      </c>
      <c r="I239" s="1597" t="e">
        <f t="shared" si="14"/>
        <v>#REF!</v>
      </c>
      <c r="J239" s="1644" t="e">
        <f t="shared" si="15"/>
        <v>#REF!</v>
      </c>
      <c r="K239" s="1539"/>
      <c r="L239" s="1539"/>
      <c r="M239" s="1545"/>
      <c r="N239" s="1545"/>
      <c r="O239" s="1539"/>
      <c r="P239" s="1539"/>
      <c r="Q239" s="1539"/>
      <c r="R239" s="1539"/>
      <c r="S239" s="1539"/>
      <c r="T239" s="1539"/>
      <c r="U239" s="1539"/>
      <c r="V239" s="1539"/>
      <c r="W239" s="1539"/>
      <c r="X239" s="1539"/>
      <c r="Y239" s="1539"/>
      <c r="Z239" s="1539"/>
      <c r="AA239" s="1539"/>
      <c r="AB239" s="1539"/>
      <c r="AC239" s="1539"/>
      <c r="AD239" s="1539"/>
      <c r="AE239" s="1539"/>
      <c r="AF239" s="1539"/>
      <c r="AG239" s="1539"/>
      <c r="AH239" s="1539"/>
      <c r="AI239" s="1539"/>
      <c r="AJ239" s="1539"/>
      <c r="AK239" s="1539"/>
      <c r="AL239" s="1539"/>
      <c r="AM239" s="1539"/>
      <c r="AN239" s="1539"/>
      <c r="AO239" s="1539"/>
      <c r="AP239" s="1539"/>
      <c r="AQ239" s="1539"/>
      <c r="AR239" s="1539"/>
      <c r="AS239" s="1539"/>
      <c r="AT239" s="1539"/>
      <c r="AU239" s="1539"/>
      <c r="AV239" s="1539"/>
      <c r="AW239" s="1539"/>
      <c r="AX239" s="1539"/>
      <c r="AY239" s="1539"/>
      <c r="AZ239" s="1539"/>
      <c r="BA239" s="1539"/>
      <c r="BB239" s="1539"/>
      <c r="BC239" s="1539"/>
      <c r="BD239" s="1539"/>
      <c r="BE239" s="1539"/>
      <c r="BF239" s="1539"/>
      <c r="BG239" s="1539"/>
      <c r="BH239" s="1539"/>
      <c r="BI239" s="1539"/>
      <c r="BJ239" s="1539"/>
      <c r="BK239" s="1539"/>
      <c r="BL239" s="1539"/>
      <c r="BM239" s="1539"/>
      <c r="BN239" s="1539"/>
      <c r="BO239" s="1539"/>
      <c r="BP239" s="1539"/>
      <c r="BQ239" s="1539"/>
      <c r="BR239" s="1539"/>
      <c r="BS239" s="1539"/>
      <c r="BT239" s="1539"/>
      <c r="BU239" s="1539"/>
      <c r="BV239" s="1539"/>
      <c r="BW239" s="1539"/>
      <c r="BX239" s="1539"/>
      <c r="BY239" s="1539"/>
      <c r="BZ239" s="1539"/>
      <c r="CA239" s="1539"/>
      <c r="CB239" s="1539"/>
      <c r="CC239" s="1539"/>
      <c r="CD239" s="1539"/>
      <c r="CE239" s="1539"/>
      <c r="CF239" s="1539"/>
      <c r="CG239" s="1539"/>
      <c r="CH239" s="1539"/>
      <c r="CI239" s="1539"/>
      <c r="CJ239" s="1539"/>
      <c r="CK239" s="1539"/>
      <c r="CL239" s="1539"/>
      <c r="CM239" s="1539"/>
      <c r="CN239" s="1539"/>
      <c r="CO239" s="1539"/>
    </row>
    <row r="240" spans="1:93" ht="15.5">
      <c r="A240" s="1598" t="s">
        <v>2265</v>
      </c>
      <c r="B240" s="1599" t="s">
        <v>2210</v>
      </c>
      <c r="C240" s="1643" t="e">
        <f>+SUMIF(#REF!,Final!A240,#REF!)</f>
        <v>#REF!</v>
      </c>
      <c r="D240" s="1597" t="e">
        <f>+SUMIF(#REF!,Final!A240,#REF!)</f>
        <v>#REF!</v>
      </c>
      <c r="E240" s="1643" t="e">
        <f>SUMIF(#REF!,Final!A240,#REF!)</f>
        <v>#REF!</v>
      </c>
      <c r="F240" s="1644" t="e">
        <f>SUMIF(#REF!,Final!A240,#REF!)</f>
        <v>#REF!</v>
      </c>
      <c r="G240" s="1597" t="e">
        <f t="shared" si="12"/>
        <v>#REF!</v>
      </c>
      <c r="H240" s="1644" t="e">
        <f t="shared" si="13"/>
        <v>#REF!</v>
      </c>
      <c r="I240" s="1597" t="e">
        <f t="shared" si="14"/>
        <v>#REF!</v>
      </c>
      <c r="J240" s="1644" t="e">
        <f t="shared" si="15"/>
        <v>#REF!</v>
      </c>
      <c r="M240" s="1545"/>
      <c r="N240" s="1545"/>
    </row>
    <row r="241" spans="1:93" s="1542" customFormat="1" ht="15.5">
      <c r="A241" s="1598" t="s">
        <v>2266</v>
      </c>
      <c r="B241" s="1599" t="s">
        <v>2212</v>
      </c>
      <c r="C241" s="1643" t="e">
        <f>+SUMIF(#REF!,Final!A241,#REF!)</f>
        <v>#REF!</v>
      </c>
      <c r="D241" s="1597" t="e">
        <f>+SUMIF(#REF!,Final!A241,#REF!)</f>
        <v>#REF!</v>
      </c>
      <c r="E241" s="1643" t="e">
        <f>SUMIF(#REF!,Final!A241,#REF!)</f>
        <v>#REF!</v>
      </c>
      <c r="F241" s="1644" t="e">
        <f>SUMIF(#REF!,Final!A241,#REF!)</f>
        <v>#REF!</v>
      </c>
      <c r="G241" s="1597" t="e">
        <f t="shared" si="12"/>
        <v>#REF!</v>
      </c>
      <c r="H241" s="1644" t="e">
        <f t="shared" si="13"/>
        <v>#REF!</v>
      </c>
      <c r="I241" s="1597" t="e">
        <f t="shared" si="14"/>
        <v>#REF!</v>
      </c>
      <c r="J241" s="1644" t="e">
        <f t="shared" si="15"/>
        <v>#REF!</v>
      </c>
      <c r="K241" s="1539"/>
      <c r="L241" s="1539"/>
      <c r="M241" s="1545"/>
      <c r="N241" s="1545"/>
      <c r="O241" s="1539"/>
      <c r="P241" s="1539"/>
      <c r="Q241" s="1539"/>
      <c r="R241" s="1539"/>
      <c r="S241" s="1539"/>
      <c r="T241" s="1539"/>
      <c r="U241" s="1539"/>
      <c r="V241" s="1539"/>
      <c r="W241" s="1539"/>
      <c r="X241" s="1539"/>
      <c r="Y241" s="1539"/>
      <c r="Z241" s="1539"/>
      <c r="AA241" s="1539"/>
      <c r="AB241" s="1539"/>
      <c r="AC241" s="1539"/>
      <c r="AD241" s="1539"/>
      <c r="AE241" s="1539"/>
      <c r="AF241" s="1539"/>
      <c r="AG241" s="1539"/>
      <c r="AH241" s="1539"/>
      <c r="AI241" s="1539"/>
      <c r="AJ241" s="1539"/>
      <c r="AK241" s="1539"/>
      <c r="AL241" s="1539"/>
      <c r="AM241" s="1539"/>
      <c r="AN241" s="1539"/>
      <c r="AO241" s="1539"/>
      <c r="AP241" s="1539"/>
      <c r="AQ241" s="1539"/>
      <c r="AR241" s="1539"/>
      <c r="AS241" s="1539"/>
      <c r="AT241" s="1539"/>
      <c r="AU241" s="1539"/>
      <c r="AV241" s="1539"/>
      <c r="AW241" s="1539"/>
      <c r="AX241" s="1539"/>
      <c r="AY241" s="1539"/>
      <c r="AZ241" s="1539"/>
      <c r="BA241" s="1539"/>
      <c r="BB241" s="1539"/>
      <c r="BC241" s="1539"/>
      <c r="BD241" s="1539"/>
      <c r="BE241" s="1539"/>
      <c r="BF241" s="1539"/>
      <c r="BG241" s="1539"/>
      <c r="BH241" s="1539"/>
      <c r="BI241" s="1539"/>
      <c r="BJ241" s="1539"/>
      <c r="BK241" s="1539"/>
      <c r="BL241" s="1539"/>
      <c r="BM241" s="1539"/>
      <c r="BN241" s="1539"/>
      <c r="BO241" s="1539"/>
      <c r="BP241" s="1539"/>
      <c r="BQ241" s="1539"/>
      <c r="BR241" s="1539"/>
      <c r="BS241" s="1539"/>
      <c r="BT241" s="1539"/>
      <c r="BU241" s="1539"/>
      <c r="BV241" s="1539"/>
      <c r="BW241" s="1539"/>
      <c r="BX241" s="1539"/>
      <c r="BY241" s="1539"/>
      <c r="BZ241" s="1539"/>
      <c r="CA241" s="1539"/>
      <c r="CB241" s="1539"/>
      <c r="CC241" s="1539"/>
      <c r="CD241" s="1539"/>
      <c r="CE241" s="1539"/>
      <c r="CF241" s="1539"/>
      <c r="CG241" s="1539"/>
      <c r="CH241" s="1539"/>
      <c r="CI241" s="1539"/>
      <c r="CJ241" s="1539"/>
      <c r="CK241" s="1539"/>
      <c r="CL241" s="1539"/>
      <c r="CM241" s="1539"/>
      <c r="CN241" s="1539"/>
      <c r="CO241" s="1539"/>
    </row>
    <row r="242" spans="1:93" ht="15.5">
      <c r="A242" s="1598" t="s">
        <v>2267</v>
      </c>
      <c r="B242" s="1599" t="s">
        <v>2214</v>
      </c>
      <c r="C242" s="1643" t="e">
        <f>+SUMIF(#REF!,Final!A242,#REF!)</f>
        <v>#REF!</v>
      </c>
      <c r="D242" s="1597" t="e">
        <f>+SUMIF(#REF!,Final!A242,#REF!)</f>
        <v>#REF!</v>
      </c>
      <c r="E242" s="1643" t="e">
        <f>SUMIF(#REF!,Final!A242,#REF!)</f>
        <v>#REF!</v>
      </c>
      <c r="F242" s="1644" t="e">
        <f>SUMIF(#REF!,Final!A242,#REF!)</f>
        <v>#REF!</v>
      </c>
      <c r="G242" s="1597" t="e">
        <f t="shared" si="12"/>
        <v>#REF!</v>
      </c>
      <c r="H242" s="1644" t="e">
        <f t="shared" si="13"/>
        <v>#REF!</v>
      </c>
      <c r="I242" s="1597" t="e">
        <f t="shared" si="14"/>
        <v>#REF!</v>
      </c>
      <c r="J242" s="1644" t="e">
        <f t="shared" si="15"/>
        <v>#REF!</v>
      </c>
      <c r="M242" s="1545"/>
      <c r="N242" s="1545"/>
    </row>
    <row r="243" spans="1:93" s="1542" customFormat="1" ht="15.5">
      <c r="A243" s="1598" t="s">
        <v>2268</v>
      </c>
      <c r="B243" s="1599" t="s">
        <v>2152</v>
      </c>
      <c r="C243" s="1643" t="e">
        <f>+SUMIF(#REF!,Final!A243,#REF!)</f>
        <v>#REF!</v>
      </c>
      <c r="D243" s="1597" t="e">
        <f>+SUMIF(#REF!,Final!A243,#REF!)</f>
        <v>#REF!</v>
      </c>
      <c r="E243" s="1643" t="e">
        <f>SUMIF(#REF!,Final!A243,#REF!)</f>
        <v>#REF!</v>
      </c>
      <c r="F243" s="1644" t="e">
        <f>SUMIF(#REF!,Final!A243,#REF!)</f>
        <v>#REF!</v>
      </c>
      <c r="G243" s="1597" t="e">
        <f t="shared" si="12"/>
        <v>#REF!</v>
      </c>
      <c r="H243" s="1644" t="e">
        <f t="shared" si="13"/>
        <v>#REF!</v>
      </c>
      <c r="I243" s="1597" t="e">
        <f t="shared" si="14"/>
        <v>#REF!</v>
      </c>
      <c r="J243" s="1644" t="e">
        <f t="shared" si="15"/>
        <v>#REF!</v>
      </c>
      <c r="K243" s="1539"/>
      <c r="L243" s="1539"/>
      <c r="M243" s="1545"/>
      <c r="N243" s="1545"/>
      <c r="O243" s="1539"/>
      <c r="P243" s="1539"/>
      <c r="Q243" s="1539"/>
      <c r="R243" s="1539"/>
      <c r="S243" s="1539"/>
      <c r="T243" s="1539"/>
      <c r="U243" s="1539"/>
      <c r="V243" s="1539"/>
      <c r="W243" s="1539"/>
      <c r="X243" s="1539"/>
      <c r="Y243" s="1539"/>
      <c r="Z243" s="1539"/>
      <c r="AA243" s="1539"/>
      <c r="AB243" s="1539"/>
      <c r="AC243" s="1539"/>
      <c r="AD243" s="1539"/>
      <c r="AE243" s="1539"/>
      <c r="AF243" s="1539"/>
      <c r="AG243" s="1539"/>
      <c r="AH243" s="1539"/>
      <c r="AI243" s="1539"/>
      <c r="AJ243" s="1539"/>
      <c r="AK243" s="1539"/>
      <c r="AL243" s="1539"/>
      <c r="AM243" s="1539"/>
      <c r="AN243" s="1539"/>
      <c r="AO243" s="1539"/>
      <c r="AP243" s="1539"/>
      <c r="AQ243" s="1539"/>
      <c r="AR243" s="1539"/>
      <c r="AS243" s="1539"/>
      <c r="AT243" s="1539"/>
      <c r="AU243" s="1539"/>
      <c r="AV243" s="1539"/>
      <c r="AW243" s="1539"/>
      <c r="AX243" s="1539"/>
      <c r="AY243" s="1539"/>
      <c r="AZ243" s="1539"/>
      <c r="BA243" s="1539"/>
      <c r="BB243" s="1539"/>
      <c r="BC243" s="1539"/>
      <c r="BD243" s="1539"/>
      <c r="BE243" s="1539"/>
      <c r="BF243" s="1539"/>
      <c r="BG243" s="1539"/>
      <c r="BH243" s="1539"/>
      <c r="BI243" s="1539"/>
      <c r="BJ243" s="1539"/>
      <c r="BK243" s="1539"/>
      <c r="BL243" s="1539"/>
      <c r="BM243" s="1539"/>
      <c r="BN243" s="1539"/>
      <c r="BO243" s="1539"/>
      <c r="BP243" s="1539"/>
      <c r="BQ243" s="1539"/>
      <c r="BR243" s="1539"/>
      <c r="BS243" s="1539"/>
      <c r="BT243" s="1539"/>
      <c r="BU243" s="1539"/>
      <c r="BV243" s="1539"/>
      <c r="BW243" s="1539"/>
      <c r="BX243" s="1539"/>
      <c r="BY243" s="1539"/>
      <c r="BZ243" s="1539"/>
      <c r="CA243" s="1539"/>
      <c r="CB243" s="1539"/>
      <c r="CC243" s="1539"/>
      <c r="CD243" s="1539"/>
      <c r="CE243" s="1539"/>
      <c r="CF243" s="1539"/>
      <c r="CG243" s="1539"/>
      <c r="CH243" s="1539"/>
      <c r="CI243" s="1539"/>
      <c r="CJ243" s="1539"/>
      <c r="CK243" s="1539"/>
      <c r="CL243" s="1539"/>
      <c r="CM243" s="1539"/>
      <c r="CN243" s="1539"/>
      <c r="CO243" s="1539"/>
    </row>
    <row r="244" spans="1:93" ht="15.5">
      <c r="A244" s="1598" t="s">
        <v>2269</v>
      </c>
      <c r="B244" s="1599" t="s">
        <v>2154</v>
      </c>
      <c r="C244" s="1643" t="e">
        <f>+SUMIF(#REF!,Final!A244,#REF!)</f>
        <v>#REF!</v>
      </c>
      <c r="D244" s="1597" t="e">
        <f>+SUMIF(#REF!,Final!A244,#REF!)</f>
        <v>#REF!</v>
      </c>
      <c r="E244" s="1643" t="e">
        <f>SUMIF(#REF!,Final!A244,#REF!)</f>
        <v>#REF!</v>
      </c>
      <c r="F244" s="1644" t="e">
        <f>SUMIF(#REF!,Final!A244,#REF!)</f>
        <v>#REF!</v>
      </c>
      <c r="G244" s="1597" t="e">
        <f t="shared" si="12"/>
        <v>#REF!</v>
      </c>
      <c r="H244" s="1644" t="e">
        <f t="shared" si="13"/>
        <v>#REF!</v>
      </c>
      <c r="I244" s="1597" t="e">
        <f t="shared" si="14"/>
        <v>#REF!</v>
      </c>
      <c r="J244" s="1644" t="e">
        <f t="shared" si="15"/>
        <v>#REF!</v>
      </c>
      <c r="M244" s="1545"/>
      <c r="N244" s="1545"/>
    </row>
    <row r="245" spans="1:93" ht="15.5">
      <c r="A245" s="1598" t="s">
        <v>2270</v>
      </c>
      <c r="B245" s="1599" t="s">
        <v>2156</v>
      </c>
      <c r="C245" s="1643" t="e">
        <f>+SUMIF(#REF!,Final!A245,#REF!)</f>
        <v>#REF!</v>
      </c>
      <c r="D245" s="1597" t="e">
        <f>+SUMIF(#REF!,Final!A245,#REF!)</f>
        <v>#REF!</v>
      </c>
      <c r="E245" s="1643" t="e">
        <f>SUMIF(#REF!,Final!A245,#REF!)</f>
        <v>#REF!</v>
      </c>
      <c r="F245" s="1644" t="e">
        <f>SUMIF(#REF!,Final!A245,#REF!)</f>
        <v>#REF!</v>
      </c>
      <c r="G245" s="1597" t="e">
        <f t="shared" si="12"/>
        <v>#REF!</v>
      </c>
      <c r="H245" s="1644" t="e">
        <f t="shared" si="13"/>
        <v>#REF!</v>
      </c>
      <c r="I245" s="1597" t="e">
        <f t="shared" si="14"/>
        <v>#REF!</v>
      </c>
      <c r="J245" s="1644" t="e">
        <f t="shared" si="15"/>
        <v>#REF!</v>
      </c>
      <c r="M245" s="1545"/>
      <c r="N245" s="1545"/>
    </row>
    <row r="246" spans="1:93" ht="15.5">
      <c r="A246" s="1598" t="s">
        <v>2271</v>
      </c>
      <c r="B246" s="1599" t="s">
        <v>2219</v>
      </c>
      <c r="C246" s="1643" t="e">
        <f>+SUMIF(#REF!,Final!A246,#REF!)</f>
        <v>#REF!</v>
      </c>
      <c r="D246" s="1597" t="e">
        <f>+SUMIF(#REF!,Final!A246,#REF!)</f>
        <v>#REF!</v>
      </c>
      <c r="E246" s="1643" t="e">
        <f>SUMIF(#REF!,Final!A246,#REF!)</f>
        <v>#REF!</v>
      </c>
      <c r="F246" s="1644" t="e">
        <f>SUMIF(#REF!,Final!A246,#REF!)</f>
        <v>#REF!</v>
      </c>
      <c r="G246" s="1597" t="e">
        <f t="shared" si="12"/>
        <v>#REF!</v>
      </c>
      <c r="H246" s="1644" t="e">
        <f t="shared" si="13"/>
        <v>#REF!</v>
      </c>
      <c r="I246" s="1597" t="e">
        <f t="shared" si="14"/>
        <v>#REF!</v>
      </c>
      <c r="J246" s="1644" t="e">
        <f t="shared" si="15"/>
        <v>#REF!</v>
      </c>
      <c r="M246" s="1545"/>
      <c r="N246" s="1545"/>
    </row>
    <row r="247" spans="1:93" ht="15.5">
      <c r="A247" s="1598" t="s">
        <v>2272</v>
      </c>
      <c r="B247" s="1599" t="s">
        <v>2221</v>
      </c>
      <c r="C247" s="1643" t="e">
        <f>+SUMIF(#REF!,Final!A247,#REF!)</f>
        <v>#REF!</v>
      </c>
      <c r="D247" s="1597" t="e">
        <f>+SUMIF(#REF!,Final!A247,#REF!)</f>
        <v>#REF!</v>
      </c>
      <c r="E247" s="1643" t="e">
        <f>SUMIF(#REF!,Final!A247,#REF!)</f>
        <v>#REF!</v>
      </c>
      <c r="F247" s="1644" t="e">
        <f>SUMIF(#REF!,Final!A247,#REF!)</f>
        <v>#REF!</v>
      </c>
      <c r="G247" s="1597" t="e">
        <f t="shared" si="12"/>
        <v>#REF!</v>
      </c>
      <c r="H247" s="1644" t="e">
        <f t="shared" si="13"/>
        <v>#REF!</v>
      </c>
      <c r="I247" s="1597" t="e">
        <f t="shared" si="14"/>
        <v>#REF!</v>
      </c>
      <c r="J247" s="1644" t="e">
        <f t="shared" si="15"/>
        <v>#REF!</v>
      </c>
      <c r="M247" s="1545"/>
      <c r="N247" s="1545"/>
    </row>
    <row r="248" spans="1:93" ht="15.5">
      <c r="A248" s="1598" t="s">
        <v>2273</v>
      </c>
      <c r="B248" s="1599" t="s">
        <v>2223</v>
      </c>
      <c r="C248" s="1643" t="e">
        <f>+SUMIF(#REF!,Final!A248,#REF!)</f>
        <v>#REF!</v>
      </c>
      <c r="D248" s="1597" t="e">
        <f>+SUMIF(#REF!,Final!A248,#REF!)</f>
        <v>#REF!</v>
      </c>
      <c r="E248" s="1643" t="e">
        <f>SUMIF(#REF!,Final!A248,#REF!)</f>
        <v>#REF!</v>
      </c>
      <c r="F248" s="1644" t="e">
        <f>SUMIF(#REF!,Final!A248,#REF!)</f>
        <v>#REF!</v>
      </c>
      <c r="G248" s="1597" t="e">
        <f t="shared" si="12"/>
        <v>#REF!</v>
      </c>
      <c r="H248" s="1644" t="e">
        <f t="shared" si="13"/>
        <v>#REF!</v>
      </c>
      <c r="I248" s="1597" t="e">
        <f t="shared" si="14"/>
        <v>#REF!</v>
      </c>
      <c r="J248" s="1644" t="e">
        <f t="shared" si="15"/>
        <v>#REF!</v>
      </c>
      <c r="M248" s="1545"/>
      <c r="N248" s="1545"/>
    </row>
    <row r="249" spans="1:93" s="1542" customFormat="1" ht="15.5">
      <c r="A249" s="1598" t="s">
        <v>2274</v>
      </c>
      <c r="B249" s="1599" t="s">
        <v>2162</v>
      </c>
      <c r="C249" s="1643" t="e">
        <f>+SUMIF(#REF!,Final!A249,#REF!)</f>
        <v>#REF!</v>
      </c>
      <c r="D249" s="1597" t="e">
        <f>+SUMIF(#REF!,Final!A249,#REF!)</f>
        <v>#REF!</v>
      </c>
      <c r="E249" s="1643" t="e">
        <f>SUMIF(#REF!,Final!A249,#REF!)</f>
        <v>#REF!</v>
      </c>
      <c r="F249" s="1644" t="e">
        <f>SUMIF(#REF!,Final!A249,#REF!)</f>
        <v>#REF!</v>
      </c>
      <c r="G249" s="1597" t="e">
        <f t="shared" si="12"/>
        <v>#REF!</v>
      </c>
      <c r="H249" s="1644" t="e">
        <f t="shared" si="13"/>
        <v>#REF!</v>
      </c>
      <c r="I249" s="1597" t="e">
        <f t="shared" si="14"/>
        <v>#REF!</v>
      </c>
      <c r="J249" s="1644" t="e">
        <f t="shared" si="15"/>
        <v>#REF!</v>
      </c>
      <c r="K249" s="1539"/>
      <c r="L249" s="1539"/>
      <c r="M249" s="1545"/>
      <c r="N249" s="1545"/>
      <c r="O249" s="1539"/>
      <c r="P249" s="1539"/>
      <c r="Q249" s="1539"/>
      <c r="R249" s="1539"/>
      <c r="S249" s="1539"/>
      <c r="T249" s="1539"/>
      <c r="U249" s="1539"/>
      <c r="V249" s="1539"/>
      <c r="W249" s="1539"/>
      <c r="X249" s="1539"/>
      <c r="Y249" s="1539"/>
      <c r="Z249" s="1539"/>
      <c r="AA249" s="1539"/>
      <c r="AB249" s="1539"/>
      <c r="AC249" s="1539"/>
      <c r="AD249" s="1539"/>
      <c r="AE249" s="1539"/>
      <c r="AF249" s="1539"/>
      <c r="AG249" s="1539"/>
      <c r="AH249" s="1539"/>
      <c r="AI249" s="1539"/>
      <c r="AJ249" s="1539"/>
      <c r="AK249" s="1539"/>
      <c r="AL249" s="1539"/>
      <c r="AM249" s="1539"/>
      <c r="AN249" s="1539"/>
      <c r="AO249" s="1539"/>
      <c r="AP249" s="1539"/>
      <c r="AQ249" s="1539"/>
      <c r="AR249" s="1539"/>
      <c r="AS249" s="1539"/>
      <c r="AT249" s="1539"/>
      <c r="AU249" s="1539"/>
      <c r="AV249" s="1539"/>
      <c r="AW249" s="1539"/>
      <c r="AX249" s="1539"/>
      <c r="AY249" s="1539"/>
      <c r="AZ249" s="1539"/>
      <c r="BA249" s="1539"/>
      <c r="BB249" s="1539"/>
      <c r="BC249" s="1539"/>
      <c r="BD249" s="1539"/>
      <c r="BE249" s="1539"/>
      <c r="BF249" s="1539"/>
      <c r="BG249" s="1539"/>
      <c r="BH249" s="1539"/>
      <c r="BI249" s="1539"/>
      <c r="BJ249" s="1539"/>
      <c r="BK249" s="1539"/>
      <c r="BL249" s="1539"/>
      <c r="BM249" s="1539"/>
      <c r="BN249" s="1539"/>
      <c r="BO249" s="1539"/>
      <c r="BP249" s="1539"/>
      <c r="BQ249" s="1539"/>
      <c r="BR249" s="1539"/>
      <c r="BS249" s="1539"/>
      <c r="BT249" s="1539"/>
      <c r="BU249" s="1539"/>
      <c r="BV249" s="1539"/>
      <c r="BW249" s="1539"/>
      <c r="BX249" s="1539"/>
      <c r="BY249" s="1539"/>
      <c r="BZ249" s="1539"/>
      <c r="CA249" s="1539"/>
      <c r="CB249" s="1539"/>
      <c r="CC249" s="1539"/>
      <c r="CD249" s="1539"/>
      <c r="CE249" s="1539"/>
      <c r="CF249" s="1539"/>
      <c r="CG249" s="1539"/>
      <c r="CH249" s="1539"/>
      <c r="CI249" s="1539"/>
      <c r="CJ249" s="1539"/>
      <c r="CK249" s="1539"/>
      <c r="CL249" s="1539"/>
      <c r="CM249" s="1539"/>
      <c r="CN249" s="1539"/>
      <c r="CO249" s="1539"/>
    </row>
    <row r="250" spans="1:93" s="1542" customFormat="1" ht="15.5">
      <c r="A250" s="1598" t="s">
        <v>2275</v>
      </c>
      <c r="B250" s="1599" t="s">
        <v>2228</v>
      </c>
      <c r="C250" s="1643" t="e">
        <f>+SUMIF(#REF!,Final!A250,#REF!)</f>
        <v>#REF!</v>
      </c>
      <c r="D250" s="1597" t="e">
        <f>+SUMIF(#REF!,Final!A250,#REF!)</f>
        <v>#REF!</v>
      </c>
      <c r="E250" s="1643" t="e">
        <f>SUMIF(#REF!,Final!A250,#REF!)</f>
        <v>#REF!</v>
      </c>
      <c r="F250" s="1644" t="e">
        <f>SUMIF(#REF!,Final!A250,#REF!)</f>
        <v>#REF!</v>
      </c>
      <c r="G250" s="1597" t="e">
        <f t="shared" si="12"/>
        <v>#REF!</v>
      </c>
      <c r="H250" s="1644" t="e">
        <f t="shared" si="13"/>
        <v>#REF!</v>
      </c>
      <c r="I250" s="1597" t="e">
        <f t="shared" si="14"/>
        <v>#REF!</v>
      </c>
      <c r="J250" s="1644" t="e">
        <f t="shared" si="15"/>
        <v>#REF!</v>
      </c>
      <c r="K250" s="1539"/>
      <c r="L250" s="1539"/>
      <c r="M250" s="1545"/>
      <c r="N250" s="1545"/>
      <c r="O250" s="1539"/>
      <c r="P250" s="1539"/>
      <c r="Q250" s="1539"/>
      <c r="R250" s="1539"/>
      <c r="S250" s="1539"/>
      <c r="T250" s="1539"/>
      <c r="U250" s="1539"/>
      <c r="V250" s="1539"/>
      <c r="W250" s="1539"/>
      <c r="X250" s="1539"/>
      <c r="Y250" s="1539"/>
      <c r="Z250" s="1539"/>
      <c r="AA250" s="1539"/>
      <c r="AB250" s="1539"/>
      <c r="AC250" s="1539"/>
      <c r="AD250" s="1539"/>
      <c r="AE250" s="1539"/>
      <c r="AF250" s="1539"/>
      <c r="AG250" s="1539"/>
      <c r="AH250" s="1539"/>
      <c r="AI250" s="1539"/>
      <c r="AJ250" s="1539"/>
      <c r="AK250" s="1539"/>
      <c r="AL250" s="1539"/>
      <c r="AM250" s="1539"/>
      <c r="AN250" s="1539"/>
      <c r="AO250" s="1539"/>
      <c r="AP250" s="1539"/>
      <c r="AQ250" s="1539"/>
      <c r="AR250" s="1539"/>
      <c r="AS250" s="1539"/>
      <c r="AT250" s="1539"/>
      <c r="AU250" s="1539"/>
      <c r="AV250" s="1539"/>
      <c r="AW250" s="1539"/>
      <c r="AX250" s="1539"/>
      <c r="AY250" s="1539"/>
      <c r="AZ250" s="1539"/>
      <c r="BA250" s="1539"/>
      <c r="BB250" s="1539"/>
      <c r="BC250" s="1539"/>
      <c r="BD250" s="1539"/>
      <c r="BE250" s="1539"/>
      <c r="BF250" s="1539"/>
      <c r="BG250" s="1539"/>
      <c r="BH250" s="1539"/>
      <c r="BI250" s="1539"/>
      <c r="BJ250" s="1539"/>
      <c r="BK250" s="1539"/>
      <c r="BL250" s="1539"/>
      <c r="BM250" s="1539"/>
      <c r="BN250" s="1539"/>
      <c r="BO250" s="1539"/>
      <c r="BP250" s="1539"/>
      <c r="BQ250" s="1539"/>
      <c r="BR250" s="1539"/>
      <c r="BS250" s="1539"/>
      <c r="BT250" s="1539"/>
      <c r="BU250" s="1539"/>
      <c r="BV250" s="1539"/>
      <c r="BW250" s="1539"/>
      <c r="BX250" s="1539"/>
      <c r="BY250" s="1539"/>
      <c r="BZ250" s="1539"/>
      <c r="CA250" s="1539"/>
      <c r="CB250" s="1539"/>
      <c r="CC250" s="1539"/>
      <c r="CD250" s="1539"/>
      <c r="CE250" s="1539"/>
      <c r="CF250" s="1539"/>
      <c r="CG250" s="1539"/>
      <c r="CH250" s="1539"/>
      <c r="CI250" s="1539"/>
      <c r="CJ250" s="1539"/>
      <c r="CK250" s="1539"/>
      <c r="CL250" s="1539"/>
      <c r="CM250" s="1539"/>
      <c r="CN250" s="1539"/>
      <c r="CO250" s="1539"/>
    </row>
    <row r="251" spans="1:93" ht="15.5">
      <c r="A251" s="1598" t="s">
        <v>2276</v>
      </c>
      <c r="B251" s="1599" t="s">
        <v>2164</v>
      </c>
      <c r="C251" s="1643" t="e">
        <f>+SUMIF(#REF!,Final!A251,#REF!)</f>
        <v>#REF!</v>
      </c>
      <c r="D251" s="1597" t="e">
        <f>+SUMIF(#REF!,Final!A251,#REF!)</f>
        <v>#REF!</v>
      </c>
      <c r="E251" s="1643" t="e">
        <f>SUMIF(#REF!,Final!A251,#REF!)</f>
        <v>#REF!</v>
      </c>
      <c r="F251" s="1644" t="e">
        <f>SUMIF(#REF!,Final!A251,#REF!)</f>
        <v>#REF!</v>
      </c>
      <c r="G251" s="1597" t="e">
        <f t="shared" si="12"/>
        <v>#REF!</v>
      </c>
      <c r="H251" s="1644" t="e">
        <f t="shared" si="13"/>
        <v>#REF!</v>
      </c>
      <c r="I251" s="1597" t="e">
        <f t="shared" si="14"/>
        <v>#REF!</v>
      </c>
      <c r="J251" s="1644" t="e">
        <f t="shared" si="15"/>
        <v>#REF!</v>
      </c>
      <c r="M251" s="1545"/>
      <c r="N251" s="1545"/>
    </row>
    <row r="252" spans="1:93" s="1542" customFormat="1" ht="15.5">
      <c r="A252" s="1598" t="s">
        <v>2277</v>
      </c>
      <c r="B252" s="1599" t="s">
        <v>2166</v>
      </c>
      <c r="C252" s="1643" t="e">
        <f>+SUMIF(#REF!,Final!A252,#REF!)</f>
        <v>#REF!</v>
      </c>
      <c r="D252" s="1597" t="e">
        <f>+SUMIF(#REF!,Final!A252,#REF!)</f>
        <v>#REF!</v>
      </c>
      <c r="E252" s="1643" t="e">
        <f>SUMIF(#REF!,Final!A252,#REF!)</f>
        <v>#REF!</v>
      </c>
      <c r="F252" s="1644" t="e">
        <f>SUMIF(#REF!,Final!A252,#REF!)</f>
        <v>#REF!</v>
      </c>
      <c r="G252" s="1597" t="e">
        <f t="shared" si="12"/>
        <v>#REF!</v>
      </c>
      <c r="H252" s="1644" t="e">
        <f t="shared" si="13"/>
        <v>#REF!</v>
      </c>
      <c r="I252" s="1597" t="e">
        <f t="shared" si="14"/>
        <v>#REF!</v>
      </c>
      <c r="J252" s="1644" t="e">
        <f t="shared" si="15"/>
        <v>#REF!</v>
      </c>
      <c r="K252" s="1539"/>
      <c r="L252" s="1539"/>
      <c r="M252" s="1545"/>
      <c r="N252" s="1545"/>
      <c r="O252" s="1539"/>
      <c r="P252" s="1539"/>
      <c r="Q252" s="1539"/>
      <c r="R252" s="1539"/>
      <c r="S252" s="1539"/>
      <c r="T252" s="1539"/>
      <c r="U252" s="1539"/>
      <c r="V252" s="1539"/>
      <c r="W252" s="1539"/>
      <c r="X252" s="1539"/>
      <c r="Y252" s="1539"/>
      <c r="Z252" s="1539"/>
      <c r="AA252" s="1539"/>
      <c r="AB252" s="1539"/>
      <c r="AC252" s="1539"/>
      <c r="AD252" s="1539"/>
      <c r="AE252" s="1539"/>
      <c r="AF252" s="1539"/>
      <c r="AG252" s="1539"/>
      <c r="AH252" s="1539"/>
      <c r="AI252" s="1539"/>
      <c r="AJ252" s="1539"/>
      <c r="AK252" s="1539"/>
      <c r="AL252" s="1539"/>
      <c r="AM252" s="1539"/>
      <c r="AN252" s="1539"/>
      <c r="AO252" s="1539"/>
      <c r="AP252" s="1539"/>
      <c r="AQ252" s="1539"/>
      <c r="AR252" s="1539"/>
      <c r="AS252" s="1539"/>
      <c r="AT252" s="1539"/>
      <c r="AU252" s="1539"/>
      <c r="AV252" s="1539"/>
      <c r="AW252" s="1539"/>
      <c r="AX252" s="1539"/>
      <c r="AY252" s="1539"/>
      <c r="AZ252" s="1539"/>
      <c r="BA252" s="1539"/>
      <c r="BB252" s="1539"/>
      <c r="BC252" s="1539"/>
      <c r="BD252" s="1539"/>
      <c r="BE252" s="1539"/>
      <c r="BF252" s="1539"/>
      <c r="BG252" s="1539"/>
      <c r="BH252" s="1539"/>
      <c r="BI252" s="1539"/>
      <c r="BJ252" s="1539"/>
      <c r="BK252" s="1539"/>
      <c r="BL252" s="1539"/>
      <c r="BM252" s="1539"/>
      <c r="BN252" s="1539"/>
      <c r="BO252" s="1539"/>
      <c r="BP252" s="1539"/>
      <c r="BQ252" s="1539"/>
      <c r="BR252" s="1539"/>
      <c r="BS252" s="1539"/>
      <c r="BT252" s="1539"/>
      <c r="BU252" s="1539"/>
      <c r="BV252" s="1539"/>
      <c r="BW252" s="1539"/>
      <c r="BX252" s="1539"/>
      <c r="BY252" s="1539"/>
      <c r="BZ252" s="1539"/>
      <c r="CA252" s="1539"/>
      <c r="CB252" s="1539"/>
      <c r="CC252" s="1539"/>
      <c r="CD252" s="1539"/>
      <c r="CE252" s="1539"/>
      <c r="CF252" s="1539"/>
      <c r="CG252" s="1539"/>
      <c r="CH252" s="1539"/>
      <c r="CI252" s="1539"/>
      <c r="CJ252" s="1539"/>
      <c r="CK252" s="1539"/>
      <c r="CL252" s="1539"/>
      <c r="CM252" s="1539"/>
      <c r="CN252" s="1539"/>
      <c r="CO252" s="1539"/>
    </row>
    <row r="253" spans="1:93" ht="15.5">
      <c r="A253" s="1598" t="s">
        <v>2278</v>
      </c>
      <c r="B253" s="1599" t="s">
        <v>2168</v>
      </c>
      <c r="C253" s="1643" t="e">
        <f>+SUMIF(#REF!,Final!A253,#REF!)</f>
        <v>#REF!</v>
      </c>
      <c r="D253" s="1597" t="e">
        <f>+SUMIF(#REF!,Final!A253,#REF!)</f>
        <v>#REF!</v>
      </c>
      <c r="E253" s="1643" t="e">
        <f>SUMIF(#REF!,Final!A253,#REF!)</f>
        <v>#REF!</v>
      </c>
      <c r="F253" s="1644" t="e">
        <f>SUMIF(#REF!,Final!A253,#REF!)</f>
        <v>#REF!</v>
      </c>
      <c r="G253" s="1597" t="e">
        <f t="shared" si="12"/>
        <v>#REF!</v>
      </c>
      <c r="H253" s="1644" t="e">
        <f t="shared" si="13"/>
        <v>#REF!</v>
      </c>
      <c r="I253" s="1597" t="e">
        <f t="shared" si="14"/>
        <v>#REF!</v>
      </c>
      <c r="J253" s="1644" t="e">
        <f t="shared" si="15"/>
        <v>#REF!</v>
      </c>
      <c r="M253" s="1545"/>
      <c r="N253" s="1545"/>
    </row>
    <row r="254" spans="1:93" s="1542" customFormat="1" ht="15.5">
      <c r="A254" s="1598" t="s">
        <v>2279</v>
      </c>
      <c r="B254" s="1599" t="s">
        <v>2170</v>
      </c>
      <c r="C254" s="1643" t="e">
        <f>+SUMIF(#REF!,Final!A254,#REF!)</f>
        <v>#REF!</v>
      </c>
      <c r="D254" s="1597" t="e">
        <f>+SUMIF(#REF!,Final!A254,#REF!)</f>
        <v>#REF!</v>
      </c>
      <c r="E254" s="1643" t="e">
        <f>SUMIF(#REF!,Final!A254,#REF!)</f>
        <v>#REF!</v>
      </c>
      <c r="F254" s="1644" t="e">
        <f>SUMIF(#REF!,Final!A254,#REF!)</f>
        <v>#REF!</v>
      </c>
      <c r="G254" s="1597" t="e">
        <f t="shared" si="12"/>
        <v>#REF!</v>
      </c>
      <c r="H254" s="1644" t="e">
        <f t="shared" si="13"/>
        <v>#REF!</v>
      </c>
      <c r="I254" s="1597" t="e">
        <f t="shared" si="14"/>
        <v>#REF!</v>
      </c>
      <c r="J254" s="1644" t="e">
        <f t="shared" si="15"/>
        <v>#REF!</v>
      </c>
      <c r="K254" s="1539"/>
      <c r="L254" s="1539"/>
      <c r="M254" s="1545"/>
      <c r="N254" s="1545"/>
      <c r="O254" s="1539"/>
      <c r="P254" s="1539"/>
      <c r="Q254" s="1539"/>
      <c r="R254" s="1539"/>
      <c r="S254" s="1539"/>
      <c r="T254" s="1539"/>
      <c r="U254" s="1539"/>
      <c r="V254" s="1539"/>
      <c r="W254" s="1539"/>
      <c r="X254" s="1539"/>
      <c r="Y254" s="1539"/>
      <c r="Z254" s="1539"/>
      <c r="AA254" s="1539"/>
      <c r="AB254" s="1539"/>
      <c r="AC254" s="1539"/>
      <c r="AD254" s="1539"/>
      <c r="AE254" s="1539"/>
      <c r="AF254" s="1539"/>
      <c r="AG254" s="1539"/>
      <c r="AH254" s="1539"/>
      <c r="AI254" s="1539"/>
      <c r="AJ254" s="1539"/>
      <c r="AK254" s="1539"/>
      <c r="AL254" s="1539"/>
      <c r="AM254" s="1539"/>
      <c r="AN254" s="1539"/>
      <c r="AO254" s="1539"/>
      <c r="AP254" s="1539"/>
      <c r="AQ254" s="1539"/>
      <c r="AR254" s="1539"/>
      <c r="AS254" s="1539"/>
      <c r="AT254" s="1539"/>
      <c r="AU254" s="1539"/>
      <c r="AV254" s="1539"/>
      <c r="AW254" s="1539"/>
      <c r="AX254" s="1539"/>
      <c r="AY254" s="1539"/>
      <c r="AZ254" s="1539"/>
      <c r="BA254" s="1539"/>
      <c r="BB254" s="1539"/>
      <c r="BC254" s="1539"/>
      <c r="BD254" s="1539"/>
      <c r="BE254" s="1539"/>
      <c r="BF254" s="1539"/>
      <c r="BG254" s="1539"/>
      <c r="BH254" s="1539"/>
      <c r="BI254" s="1539"/>
      <c r="BJ254" s="1539"/>
      <c r="BK254" s="1539"/>
      <c r="BL254" s="1539"/>
      <c r="BM254" s="1539"/>
      <c r="BN254" s="1539"/>
      <c r="BO254" s="1539"/>
      <c r="BP254" s="1539"/>
      <c r="BQ254" s="1539"/>
      <c r="BR254" s="1539"/>
      <c r="BS254" s="1539"/>
      <c r="BT254" s="1539"/>
      <c r="BU254" s="1539"/>
      <c r="BV254" s="1539"/>
      <c r="BW254" s="1539"/>
      <c r="BX254" s="1539"/>
      <c r="BY254" s="1539"/>
      <c r="BZ254" s="1539"/>
      <c r="CA254" s="1539"/>
      <c r="CB254" s="1539"/>
      <c r="CC254" s="1539"/>
      <c r="CD254" s="1539"/>
      <c r="CE254" s="1539"/>
      <c r="CF254" s="1539"/>
      <c r="CG254" s="1539"/>
      <c r="CH254" s="1539"/>
      <c r="CI254" s="1539"/>
      <c r="CJ254" s="1539"/>
      <c r="CK254" s="1539"/>
      <c r="CL254" s="1539"/>
      <c r="CM254" s="1539"/>
      <c r="CN254" s="1539"/>
      <c r="CO254" s="1539"/>
    </row>
    <row r="255" spans="1:93" s="1542" customFormat="1" ht="15.5">
      <c r="A255" s="1598" t="s">
        <v>2280</v>
      </c>
      <c r="B255" s="1599" t="s">
        <v>2172</v>
      </c>
      <c r="C255" s="1643" t="e">
        <f>+SUMIF(#REF!,Final!A255,#REF!)</f>
        <v>#REF!</v>
      </c>
      <c r="D255" s="1597" t="e">
        <f>+SUMIF(#REF!,Final!A255,#REF!)</f>
        <v>#REF!</v>
      </c>
      <c r="E255" s="1643" t="e">
        <f>SUMIF(#REF!,Final!A255,#REF!)</f>
        <v>#REF!</v>
      </c>
      <c r="F255" s="1644" t="e">
        <f>SUMIF(#REF!,Final!A255,#REF!)</f>
        <v>#REF!</v>
      </c>
      <c r="G255" s="1597" t="e">
        <f t="shared" si="12"/>
        <v>#REF!</v>
      </c>
      <c r="H255" s="1644" t="e">
        <f t="shared" si="13"/>
        <v>#REF!</v>
      </c>
      <c r="I255" s="1597" t="e">
        <f t="shared" si="14"/>
        <v>#REF!</v>
      </c>
      <c r="J255" s="1644" t="e">
        <f t="shared" si="15"/>
        <v>#REF!</v>
      </c>
      <c r="K255" s="1539"/>
      <c r="L255" s="1539"/>
      <c r="M255" s="1545"/>
      <c r="N255" s="1545"/>
      <c r="O255" s="1539"/>
      <c r="P255" s="1539"/>
      <c r="Q255" s="1539"/>
      <c r="R255" s="1539"/>
      <c r="S255" s="1539"/>
      <c r="T255" s="1539"/>
      <c r="U255" s="1539"/>
      <c r="V255" s="1539"/>
      <c r="W255" s="1539"/>
      <c r="X255" s="1539"/>
      <c r="Y255" s="1539"/>
      <c r="Z255" s="1539"/>
      <c r="AA255" s="1539"/>
      <c r="AB255" s="1539"/>
      <c r="AC255" s="1539"/>
      <c r="AD255" s="1539"/>
      <c r="AE255" s="1539"/>
      <c r="AF255" s="1539"/>
      <c r="AG255" s="1539"/>
      <c r="AH255" s="1539"/>
      <c r="AI255" s="1539"/>
      <c r="AJ255" s="1539"/>
      <c r="AK255" s="1539"/>
      <c r="AL255" s="1539"/>
      <c r="AM255" s="1539"/>
      <c r="AN255" s="1539"/>
      <c r="AO255" s="1539"/>
      <c r="AP255" s="1539"/>
      <c r="AQ255" s="1539"/>
      <c r="AR255" s="1539"/>
      <c r="AS255" s="1539"/>
      <c r="AT255" s="1539"/>
      <c r="AU255" s="1539"/>
      <c r="AV255" s="1539"/>
      <c r="AW255" s="1539"/>
      <c r="AX255" s="1539"/>
      <c r="AY255" s="1539"/>
      <c r="AZ255" s="1539"/>
      <c r="BA255" s="1539"/>
      <c r="BB255" s="1539"/>
      <c r="BC255" s="1539"/>
      <c r="BD255" s="1539"/>
      <c r="BE255" s="1539"/>
      <c r="BF255" s="1539"/>
      <c r="BG255" s="1539"/>
      <c r="BH255" s="1539"/>
      <c r="BI255" s="1539"/>
      <c r="BJ255" s="1539"/>
      <c r="BK255" s="1539"/>
      <c r="BL255" s="1539"/>
      <c r="BM255" s="1539"/>
      <c r="BN255" s="1539"/>
      <c r="BO255" s="1539"/>
      <c r="BP255" s="1539"/>
      <c r="BQ255" s="1539"/>
      <c r="BR255" s="1539"/>
      <c r="BS255" s="1539"/>
      <c r="BT255" s="1539"/>
      <c r="BU255" s="1539"/>
      <c r="BV255" s="1539"/>
      <c r="BW255" s="1539"/>
      <c r="BX255" s="1539"/>
      <c r="BY255" s="1539"/>
      <c r="BZ255" s="1539"/>
      <c r="CA255" s="1539"/>
      <c r="CB255" s="1539"/>
      <c r="CC255" s="1539"/>
      <c r="CD255" s="1539"/>
      <c r="CE255" s="1539"/>
      <c r="CF255" s="1539"/>
      <c r="CG255" s="1539"/>
      <c r="CH255" s="1539"/>
      <c r="CI255" s="1539"/>
      <c r="CJ255" s="1539"/>
      <c r="CK255" s="1539"/>
      <c r="CL255" s="1539"/>
      <c r="CM255" s="1539"/>
      <c r="CN255" s="1539"/>
      <c r="CO255" s="1539"/>
    </row>
    <row r="256" spans="1:93" ht="15.5">
      <c r="A256" s="1598" t="s">
        <v>2281</v>
      </c>
      <c r="B256" s="1599" t="s">
        <v>2174</v>
      </c>
      <c r="C256" s="1643" t="e">
        <f>+SUMIF(#REF!,Final!A256,#REF!)</f>
        <v>#REF!</v>
      </c>
      <c r="D256" s="1597" t="e">
        <f>+SUMIF(#REF!,Final!A256,#REF!)</f>
        <v>#REF!</v>
      </c>
      <c r="E256" s="1643" t="e">
        <f>SUMIF(#REF!,Final!A256,#REF!)</f>
        <v>#REF!</v>
      </c>
      <c r="F256" s="1644" t="e">
        <f>SUMIF(#REF!,Final!A256,#REF!)</f>
        <v>#REF!</v>
      </c>
      <c r="G256" s="1597" t="e">
        <f t="shared" si="12"/>
        <v>#REF!</v>
      </c>
      <c r="H256" s="1644" t="e">
        <f t="shared" si="13"/>
        <v>#REF!</v>
      </c>
      <c r="I256" s="1597" t="e">
        <f t="shared" si="14"/>
        <v>#REF!</v>
      </c>
      <c r="J256" s="1644" t="e">
        <f t="shared" si="15"/>
        <v>#REF!</v>
      </c>
      <c r="M256" s="1545"/>
      <c r="N256" s="1545"/>
    </row>
    <row r="257" spans="1:93" ht="15.5">
      <c r="A257" s="1598" t="s">
        <v>2282</v>
      </c>
      <c r="B257" s="1599" t="s">
        <v>2176</v>
      </c>
      <c r="C257" s="1643" t="e">
        <f>+SUMIF(#REF!,Final!A257,#REF!)</f>
        <v>#REF!</v>
      </c>
      <c r="D257" s="1597" t="e">
        <f>+SUMIF(#REF!,Final!A257,#REF!)</f>
        <v>#REF!</v>
      </c>
      <c r="E257" s="1643" t="e">
        <f>SUMIF(#REF!,Final!A257,#REF!)</f>
        <v>#REF!</v>
      </c>
      <c r="F257" s="1644" t="e">
        <f>SUMIF(#REF!,Final!A257,#REF!)</f>
        <v>#REF!</v>
      </c>
      <c r="G257" s="1597" t="e">
        <f t="shared" si="12"/>
        <v>#REF!</v>
      </c>
      <c r="H257" s="1644" t="e">
        <f t="shared" si="13"/>
        <v>#REF!</v>
      </c>
      <c r="I257" s="1597" t="e">
        <f t="shared" si="14"/>
        <v>#REF!</v>
      </c>
      <c r="J257" s="1644" t="e">
        <f t="shared" si="15"/>
        <v>#REF!</v>
      </c>
      <c r="M257" s="1545"/>
      <c r="N257" s="1545"/>
    </row>
    <row r="258" spans="1:93" ht="15.5">
      <c r="A258" s="1598" t="s">
        <v>2283</v>
      </c>
      <c r="B258" s="1599" t="s">
        <v>2178</v>
      </c>
      <c r="C258" s="1643" t="e">
        <f>+SUMIF(#REF!,Final!A258,#REF!)</f>
        <v>#REF!</v>
      </c>
      <c r="D258" s="1597" t="e">
        <f>+SUMIF(#REF!,Final!A258,#REF!)</f>
        <v>#REF!</v>
      </c>
      <c r="E258" s="1643" t="e">
        <f>SUMIF(#REF!,Final!A258,#REF!)</f>
        <v>#REF!</v>
      </c>
      <c r="F258" s="1644" t="e">
        <f>SUMIF(#REF!,Final!A258,#REF!)</f>
        <v>#REF!</v>
      </c>
      <c r="G258" s="1597" t="e">
        <f t="shared" si="12"/>
        <v>#REF!</v>
      </c>
      <c r="H258" s="1644" t="e">
        <f t="shared" si="13"/>
        <v>#REF!</v>
      </c>
      <c r="I258" s="1597" t="e">
        <f t="shared" si="14"/>
        <v>#REF!</v>
      </c>
      <c r="J258" s="1644" t="e">
        <f t="shared" si="15"/>
        <v>#REF!</v>
      </c>
      <c r="M258" s="1545"/>
      <c r="N258" s="1545"/>
    </row>
    <row r="259" spans="1:93" s="1542" customFormat="1" ht="15.5">
      <c r="A259" s="1598" t="s">
        <v>2284</v>
      </c>
      <c r="B259" s="1599" t="s">
        <v>2180</v>
      </c>
      <c r="C259" s="1643" t="e">
        <f>+SUMIF(#REF!,Final!A259,#REF!)</f>
        <v>#REF!</v>
      </c>
      <c r="D259" s="1597" t="e">
        <f>+SUMIF(#REF!,Final!A259,#REF!)</f>
        <v>#REF!</v>
      </c>
      <c r="E259" s="1643" t="e">
        <f>SUMIF(#REF!,Final!A259,#REF!)</f>
        <v>#REF!</v>
      </c>
      <c r="F259" s="1644" t="e">
        <f>SUMIF(#REF!,Final!A259,#REF!)</f>
        <v>#REF!</v>
      </c>
      <c r="G259" s="1597" t="e">
        <f t="shared" si="12"/>
        <v>#REF!</v>
      </c>
      <c r="H259" s="1644" t="e">
        <f t="shared" si="13"/>
        <v>#REF!</v>
      </c>
      <c r="I259" s="1597" t="e">
        <f t="shared" si="14"/>
        <v>#REF!</v>
      </c>
      <c r="J259" s="1644" t="e">
        <f t="shared" si="15"/>
        <v>#REF!</v>
      </c>
      <c r="K259" s="1539"/>
      <c r="L259" s="1539"/>
      <c r="M259" s="1545"/>
      <c r="N259" s="1545"/>
      <c r="O259" s="1539"/>
      <c r="P259" s="1539"/>
      <c r="Q259" s="1539"/>
      <c r="R259" s="1539"/>
      <c r="S259" s="1539"/>
      <c r="T259" s="1539"/>
      <c r="U259" s="1539"/>
      <c r="V259" s="1539"/>
      <c r="W259" s="1539"/>
      <c r="X259" s="1539"/>
      <c r="Y259" s="1539"/>
      <c r="Z259" s="1539"/>
      <c r="AA259" s="1539"/>
      <c r="AB259" s="1539"/>
      <c r="AC259" s="1539"/>
      <c r="AD259" s="1539"/>
      <c r="AE259" s="1539"/>
      <c r="AF259" s="1539"/>
      <c r="AG259" s="1539"/>
      <c r="AH259" s="1539"/>
      <c r="AI259" s="1539"/>
      <c r="AJ259" s="1539"/>
      <c r="AK259" s="1539"/>
      <c r="AL259" s="1539"/>
      <c r="AM259" s="1539"/>
      <c r="AN259" s="1539"/>
      <c r="AO259" s="1539"/>
      <c r="AP259" s="1539"/>
      <c r="AQ259" s="1539"/>
      <c r="AR259" s="1539"/>
      <c r="AS259" s="1539"/>
      <c r="AT259" s="1539"/>
      <c r="AU259" s="1539"/>
      <c r="AV259" s="1539"/>
      <c r="AW259" s="1539"/>
      <c r="AX259" s="1539"/>
      <c r="AY259" s="1539"/>
      <c r="AZ259" s="1539"/>
      <c r="BA259" s="1539"/>
      <c r="BB259" s="1539"/>
      <c r="BC259" s="1539"/>
      <c r="BD259" s="1539"/>
      <c r="BE259" s="1539"/>
      <c r="BF259" s="1539"/>
      <c r="BG259" s="1539"/>
      <c r="BH259" s="1539"/>
      <c r="BI259" s="1539"/>
      <c r="BJ259" s="1539"/>
      <c r="BK259" s="1539"/>
      <c r="BL259" s="1539"/>
      <c r="BM259" s="1539"/>
      <c r="BN259" s="1539"/>
      <c r="BO259" s="1539"/>
      <c r="BP259" s="1539"/>
      <c r="BQ259" s="1539"/>
      <c r="BR259" s="1539"/>
      <c r="BS259" s="1539"/>
      <c r="BT259" s="1539"/>
      <c r="BU259" s="1539"/>
      <c r="BV259" s="1539"/>
      <c r="BW259" s="1539"/>
      <c r="BX259" s="1539"/>
      <c r="BY259" s="1539"/>
      <c r="BZ259" s="1539"/>
      <c r="CA259" s="1539"/>
      <c r="CB259" s="1539"/>
      <c r="CC259" s="1539"/>
      <c r="CD259" s="1539"/>
      <c r="CE259" s="1539"/>
      <c r="CF259" s="1539"/>
      <c r="CG259" s="1539"/>
      <c r="CH259" s="1539"/>
      <c r="CI259" s="1539"/>
      <c r="CJ259" s="1539"/>
      <c r="CK259" s="1539"/>
      <c r="CL259" s="1539"/>
      <c r="CM259" s="1539"/>
      <c r="CN259" s="1539"/>
      <c r="CO259" s="1539"/>
    </row>
    <row r="260" spans="1:93" ht="15.5">
      <c r="A260" s="1598" t="s">
        <v>2285</v>
      </c>
      <c r="B260" s="1599" t="s">
        <v>2182</v>
      </c>
      <c r="C260" s="1643" t="e">
        <f>+SUMIF(#REF!,Final!A260,#REF!)</f>
        <v>#REF!</v>
      </c>
      <c r="D260" s="1597" t="e">
        <f>+SUMIF(#REF!,Final!A260,#REF!)</f>
        <v>#REF!</v>
      </c>
      <c r="E260" s="1643" t="e">
        <f>SUMIF(#REF!,Final!A260,#REF!)</f>
        <v>#REF!</v>
      </c>
      <c r="F260" s="1644" t="e">
        <f>SUMIF(#REF!,Final!A260,#REF!)</f>
        <v>#REF!</v>
      </c>
      <c r="G260" s="1597" t="e">
        <f t="shared" si="12"/>
        <v>#REF!</v>
      </c>
      <c r="H260" s="1644" t="e">
        <f t="shared" si="13"/>
        <v>#REF!</v>
      </c>
      <c r="I260" s="1597" t="e">
        <f t="shared" si="14"/>
        <v>#REF!</v>
      </c>
      <c r="J260" s="1644" t="e">
        <f t="shared" si="15"/>
        <v>#REF!</v>
      </c>
      <c r="M260" s="1545"/>
      <c r="N260" s="1545"/>
    </row>
    <row r="261" spans="1:93" ht="15.5">
      <c r="A261" s="1598" t="s">
        <v>2286</v>
      </c>
      <c r="B261" s="1599" t="s">
        <v>2240</v>
      </c>
      <c r="C261" s="1643" t="e">
        <f>+SUMIF(#REF!,Final!A261,#REF!)</f>
        <v>#REF!</v>
      </c>
      <c r="D261" s="1597" t="e">
        <f>+SUMIF(#REF!,Final!A261,#REF!)</f>
        <v>#REF!</v>
      </c>
      <c r="E261" s="1643" t="e">
        <f>SUMIF(#REF!,Final!A261,#REF!)</f>
        <v>#REF!</v>
      </c>
      <c r="F261" s="1644" t="e">
        <f>SUMIF(#REF!,Final!A261,#REF!)</f>
        <v>#REF!</v>
      </c>
      <c r="G261" s="1597" t="e">
        <f t="shared" si="12"/>
        <v>#REF!</v>
      </c>
      <c r="H261" s="1644" t="e">
        <f t="shared" si="13"/>
        <v>#REF!</v>
      </c>
      <c r="I261" s="1597" t="e">
        <f t="shared" si="14"/>
        <v>#REF!</v>
      </c>
      <c r="J261" s="1644" t="e">
        <f t="shared" si="15"/>
        <v>#REF!</v>
      </c>
      <c r="M261" s="1545"/>
      <c r="N261" s="1545"/>
    </row>
    <row r="262" spans="1:93" ht="15.5">
      <c r="A262" s="1598" t="s">
        <v>2287</v>
      </c>
      <c r="B262" s="1599" t="s">
        <v>2242</v>
      </c>
      <c r="C262" s="1643" t="e">
        <f>+SUMIF(#REF!,Final!A262,#REF!)</f>
        <v>#REF!</v>
      </c>
      <c r="D262" s="1597" t="e">
        <f>+SUMIF(#REF!,Final!A262,#REF!)</f>
        <v>#REF!</v>
      </c>
      <c r="E262" s="1643" t="e">
        <f>SUMIF(#REF!,Final!A262,#REF!)</f>
        <v>#REF!</v>
      </c>
      <c r="F262" s="1644" t="e">
        <f>SUMIF(#REF!,Final!A262,#REF!)</f>
        <v>#REF!</v>
      </c>
      <c r="G262" s="1597" t="e">
        <f t="shared" si="12"/>
        <v>#REF!</v>
      </c>
      <c r="H262" s="1644" t="e">
        <f t="shared" si="13"/>
        <v>#REF!</v>
      </c>
      <c r="I262" s="1597" t="e">
        <f t="shared" si="14"/>
        <v>#REF!</v>
      </c>
      <c r="J262" s="1644" t="e">
        <f t="shared" si="15"/>
        <v>#REF!</v>
      </c>
      <c r="M262" s="1545"/>
      <c r="N262" s="1545"/>
    </row>
    <row r="263" spans="1:93" s="1542" customFormat="1" ht="15.5">
      <c r="A263" s="1598" t="s">
        <v>2288</v>
      </c>
      <c r="B263" s="1599" t="s">
        <v>2244</v>
      </c>
      <c r="C263" s="1643" t="e">
        <f>+SUMIF(#REF!,Final!A263,#REF!)</f>
        <v>#REF!</v>
      </c>
      <c r="D263" s="1597" t="e">
        <f>+SUMIF(#REF!,Final!A263,#REF!)</f>
        <v>#REF!</v>
      </c>
      <c r="E263" s="1643" t="e">
        <f>SUMIF(#REF!,Final!A263,#REF!)</f>
        <v>#REF!</v>
      </c>
      <c r="F263" s="1644" t="e">
        <f>SUMIF(#REF!,Final!A263,#REF!)</f>
        <v>#REF!</v>
      </c>
      <c r="G263" s="1597" t="e">
        <f t="shared" si="12"/>
        <v>#REF!</v>
      </c>
      <c r="H263" s="1644" t="e">
        <f t="shared" si="13"/>
        <v>#REF!</v>
      </c>
      <c r="I263" s="1597" t="e">
        <f t="shared" si="14"/>
        <v>#REF!</v>
      </c>
      <c r="J263" s="1644" t="e">
        <f t="shared" si="15"/>
        <v>#REF!</v>
      </c>
      <c r="K263" s="1539"/>
      <c r="L263" s="1539"/>
      <c r="M263" s="1545"/>
      <c r="N263" s="1545"/>
      <c r="O263" s="1539"/>
      <c r="P263" s="1539"/>
      <c r="Q263" s="1539"/>
      <c r="R263" s="1539"/>
      <c r="S263" s="1539"/>
      <c r="T263" s="1539"/>
      <c r="U263" s="1539"/>
      <c r="V263" s="1539"/>
      <c r="W263" s="1539"/>
      <c r="X263" s="1539"/>
      <c r="Y263" s="1539"/>
      <c r="Z263" s="1539"/>
      <c r="AA263" s="1539"/>
      <c r="AB263" s="1539"/>
      <c r="AC263" s="1539"/>
      <c r="AD263" s="1539"/>
      <c r="AE263" s="1539"/>
      <c r="AF263" s="1539"/>
      <c r="AG263" s="1539"/>
      <c r="AH263" s="1539"/>
      <c r="AI263" s="1539"/>
      <c r="AJ263" s="1539"/>
      <c r="AK263" s="1539"/>
      <c r="AL263" s="1539"/>
      <c r="AM263" s="1539"/>
      <c r="AN263" s="1539"/>
      <c r="AO263" s="1539"/>
      <c r="AP263" s="1539"/>
      <c r="AQ263" s="1539"/>
      <c r="AR263" s="1539"/>
      <c r="AS263" s="1539"/>
      <c r="AT263" s="1539"/>
      <c r="AU263" s="1539"/>
      <c r="AV263" s="1539"/>
      <c r="AW263" s="1539"/>
      <c r="AX263" s="1539"/>
      <c r="AY263" s="1539"/>
      <c r="AZ263" s="1539"/>
      <c r="BA263" s="1539"/>
      <c r="BB263" s="1539"/>
      <c r="BC263" s="1539"/>
      <c r="BD263" s="1539"/>
      <c r="BE263" s="1539"/>
      <c r="BF263" s="1539"/>
      <c r="BG263" s="1539"/>
      <c r="BH263" s="1539"/>
      <c r="BI263" s="1539"/>
      <c r="BJ263" s="1539"/>
      <c r="BK263" s="1539"/>
      <c r="BL263" s="1539"/>
      <c r="BM263" s="1539"/>
      <c r="BN263" s="1539"/>
      <c r="BO263" s="1539"/>
      <c r="BP263" s="1539"/>
      <c r="BQ263" s="1539"/>
      <c r="BR263" s="1539"/>
      <c r="BS263" s="1539"/>
      <c r="BT263" s="1539"/>
      <c r="BU263" s="1539"/>
      <c r="BV263" s="1539"/>
      <c r="BW263" s="1539"/>
      <c r="BX263" s="1539"/>
      <c r="BY263" s="1539"/>
      <c r="BZ263" s="1539"/>
      <c r="CA263" s="1539"/>
      <c r="CB263" s="1539"/>
      <c r="CC263" s="1539"/>
      <c r="CD263" s="1539"/>
      <c r="CE263" s="1539"/>
      <c r="CF263" s="1539"/>
      <c r="CG263" s="1539"/>
      <c r="CH263" s="1539"/>
      <c r="CI263" s="1539"/>
      <c r="CJ263" s="1539"/>
      <c r="CK263" s="1539"/>
      <c r="CL263" s="1539"/>
      <c r="CM263" s="1539"/>
      <c r="CN263" s="1539"/>
      <c r="CO263" s="1539"/>
    </row>
    <row r="264" spans="1:93" ht="15.5">
      <c r="A264" s="1598" t="s">
        <v>2289</v>
      </c>
      <c r="B264" s="1599" t="s">
        <v>2246</v>
      </c>
      <c r="C264" s="1643" t="e">
        <f>+SUMIF(#REF!,Final!A264,#REF!)</f>
        <v>#REF!</v>
      </c>
      <c r="D264" s="1597" t="e">
        <f>+SUMIF(#REF!,Final!A264,#REF!)</f>
        <v>#REF!</v>
      </c>
      <c r="E264" s="1643" t="e">
        <f>SUMIF(#REF!,Final!A264,#REF!)</f>
        <v>#REF!</v>
      </c>
      <c r="F264" s="1644" t="e">
        <f>SUMIF(#REF!,Final!A264,#REF!)</f>
        <v>#REF!</v>
      </c>
      <c r="G264" s="1597" t="e">
        <f t="shared" ref="G264:G327" si="16">C264+E264</f>
        <v>#REF!</v>
      </c>
      <c r="H264" s="1644" t="e">
        <f t="shared" ref="H264:H327" si="17">D264+F264</f>
        <v>#REF!</v>
      </c>
      <c r="I264" s="1597" t="e">
        <f t="shared" ref="I264:I327" si="18">IF(G264&gt;H264,G264-H264,0)</f>
        <v>#REF!</v>
      </c>
      <c r="J264" s="1644" t="e">
        <f t="shared" ref="J264:J327" si="19">IF(H264&gt;G264,H264-G264,0)</f>
        <v>#REF!</v>
      </c>
      <c r="M264" s="1545"/>
      <c r="N264" s="1545"/>
    </row>
    <row r="265" spans="1:93" ht="15.5">
      <c r="A265" s="1598" t="s">
        <v>2290</v>
      </c>
      <c r="B265" s="1599" t="s">
        <v>2291</v>
      </c>
      <c r="C265" s="1643" t="e">
        <f>+SUMIF(#REF!,Final!A265,#REF!)</f>
        <v>#REF!</v>
      </c>
      <c r="D265" s="1597" t="e">
        <f>+SUMIF(#REF!,Final!A265,#REF!)</f>
        <v>#REF!</v>
      </c>
      <c r="E265" s="1643" t="e">
        <f>SUMIF(#REF!,Final!A265,#REF!)</f>
        <v>#REF!</v>
      </c>
      <c r="F265" s="1644" t="e">
        <f>SUMIF(#REF!,Final!A265,#REF!)</f>
        <v>#REF!</v>
      </c>
      <c r="G265" s="1597" t="e">
        <f t="shared" si="16"/>
        <v>#REF!</v>
      </c>
      <c r="H265" s="1644" t="e">
        <f t="shared" si="17"/>
        <v>#REF!</v>
      </c>
      <c r="I265" s="1597" t="e">
        <f t="shared" si="18"/>
        <v>#REF!</v>
      </c>
      <c r="J265" s="1644" t="e">
        <f t="shared" si="19"/>
        <v>#REF!</v>
      </c>
      <c r="M265" s="1545"/>
      <c r="N265" s="1545"/>
    </row>
    <row r="266" spans="1:93" ht="15.5">
      <c r="A266" s="1598" t="s">
        <v>2292</v>
      </c>
      <c r="B266" s="1599" t="s">
        <v>2293</v>
      </c>
      <c r="C266" s="1643" t="e">
        <f>+SUMIF(#REF!,Final!A266,#REF!)</f>
        <v>#REF!</v>
      </c>
      <c r="D266" s="1597" t="e">
        <f>+SUMIF(#REF!,Final!A266,#REF!)</f>
        <v>#REF!</v>
      </c>
      <c r="E266" s="1643" t="e">
        <f>SUMIF(#REF!,Final!A266,#REF!)</f>
        <v>#REF!</v>
      </c>
      <c r="F266" s="1644" t="e">
        <f>SUMIF(#REF!,Final!A266,#REF!)</f>
        <v>#REF!</v>
      </c>
      <c r="G266" s="1597" t="e">
        <f t="shared" si="16"/>
        <v>#REF!</v>
      </c>
      <c r="H266" s="1644" t="e">
        <f t="shared" si="17"/>
        <v>#REF!</v>
      </c>
      <c r="I266" s="1597" t="e">
        <f t="shared" si="18"/>
        <v>#REF!</v>
      </c>
      <c r="J266" s="1644" t="e">
        <f t="shared" si="19"/>
        <v>#REF!</v>
      </c>
      <c r="M266" s="1545"/>
      <c r="N266" s="1545"/>
    </row>
    <row r="267" spans="1:93" ht="15.5">
      <c r="A267" s="1598" t="s">
        <v>2294</v>
      </c>
      <c r="B267" s="1599" t="s">
        <v>2295</v>
      </c>
      <c r="C267" s="1643" t="e">
        <f>+SUMIF(#REF!,Final!A267,#REF!)</f>
        <v>#REF!</v>
      </c>
      <c r="D267" s="1597" t="e">
        <f>+SUMIF(#REF!,Final!A267,#REF!)</f>
        <v>#REF!</v>
      </c>
      <c r="E267" s="1643" t="e">
        <f>SUMIF(#REF!,Final!A267,#REF!)</f>
        <v>#REF!</v>
      </c>
      <c r="F267" s="1644" t="e">
        <f>SUMIF(#REF!,Final!A267,#REF!)</f>
        <v>#REF!</v>
      </c>
      <c r="G267" s="1597" t="e">
        <f t="shared" si="16"/>
        <v>#REF!</v>
      </c>
      <c r="H267" s="1644" t="e">
        <f t="shared" si="17"/>
        <v>#REF!</v>
      </c>
      <c r="I267" s="1597" t="e">
        <f t="shared" si="18"/>
        <v>#REF!</v>
      </c>
      <c r="J267" s="1644" t="e">
        <f t="shared" si="19"/>
        <v>#REF!</v>
      </c>
      <c r="M267" s="1545"/>
      <c r="N267" s="1545"/>
    </row>
    <row r="268" spans="1:93" ht="15.5">
      <c r="A268" s="1598" t="s">
        <v>2296</v>
      </c>
      <c r="B268" s="1599" t="s">
        <v>2297</v>
      </c>
      <c r="C268" s="1643" t="e">
        <f>+SUMIF(#REF!,Final!A268,#REF!)</f>
        <v>#REF!</v>
      </c>
      <c r="D268" s="1597" t="e">
        <f>+SUMIF(#REF!,Final!A268,#REF!)</f>
        <v>#REF!</v>
      </c>
      <c r="E268" s="1643" t="e">
        <f>SUMIF(#REF!,Final!A268,#REF!)</f>
        <v>#REF!</v>
      </c>
      <c r="F268" s="1644" t="e">
        <f>SUMIF(#REF!,Final!A268,#REF!)</f>
        <v>#REF!</v>
      </c>
      <c r="G268" s="1597" t="e">
        <f t="shared" si="16"/>
        <v>#REF!</v>
      </c>
      <c r="H268" s="1644" t="e">
        <f t="shared" si="17"/>
        <v>#REF!</v>
      </c>
      <c r="I268" s="1597" t="e">
        <f t="shared" si="18"/>
        <v>#REF!</v>
      </c>
      <c r="J268" s="1644" t="e">
        <f t="shared" si="19"/>
        <v>#REF!</v>
      </c>
      <c r="M268" s="1545"/>
      <c r="N268" s="1545"/>
    </row>
    <row r="269" spans="1:93" s="1542" customFormat="1" ht="15.5">
      <c r="A269" s="1598" t="s">
        <v>2298</v>
      </c>
      <c r="B269" s="1599" t="s">
        <v>2299</v>
      </c>
      <c r="C269" s="1643" t="e">
        <f>+SUMIF(#REF!,Final!A269,#REF!)</f>
        <v>#REF!</v>
      </c>
      <c r="D269" s="1597" t="e">
        <f>+SUMIF(#REF!,Final!A269,#REF!)</f>
        <v>#REF!</v>
      </c>
      <c r="E269" s="1643" t="e">
        <f>SUMIF(#REF!,Final!A269,#REF!)</f>
        <v>#REF!</v>
      </c>
      <c r="F269" s="1644" t="e">
        <f>SUMIF(#REF!,Final!A269,#REF!)</f>
        <v>#REF!</v>
      </c>
      <c r="G269" s="1597" t="e">
        <f t="shared" si="16"/>
        <v>#REF!</v>
      </c>
      <c r="H269" s="1644" t="e">
        <f t="shared" si="17"/>
        <v>#REF!</v>
      </c>
      <c r="I269" s="1597" t="e">
        <f t="shared" si="18"/>
        <v>#REF!</v>
      </c>
      <c r="J269" s="1644" t="e">
        <f t="shared" si="19"/>
        <v>#REF!</v>
      </c>
      <c r="K269" s="1539"/>
      <c r="L269" s="1539"/>
      <c r="M269" s="1545"/>
      <c r="N269" s="1545"/>
      <c r="O269" s="1539"/>
      <c r="P269" s="1539"/>
      <c r="Q269" s="1539"/>
      <c r="R269" s="1539"/>
      <c r="S269" s="1539"/>
      <c r="T269" s="1539"/>
      <c r="U269" s="1539"/>
      <c r="V269" s="1539"/>
      <c r="W269" s="1539"/>
      <c r="X269" s="1539"/>
      <c r="Y269" s="1539"/>
      <c r="Z269" s="1539"/>
      <c r="AA269" s="1539"/>
      <c r="AB269" s="1539"/>
      <c r="AC269" s="1539"/>
      <c r="AD269" s="1539"/>
      <c r="AE269" s="1539"/>
      <c r="AF269" s="1539"/>
      <c r="AG269" s="1539"/>
      <c r="AH269" s="1539"/>
      <c r="AI269" s="1539"/>
      <c r="AJ269" s="1539"/>
      <c r="AK269" s="1539"/>
      <c r="AL269" s="1539"/>
      <c r="AM269" s="1539"/>
      <c r="AN269" s="1539"/>
      <c r="AO269" s="1539"/>
      <c r="AP269" s="1539"/>
      <c r="AQ269" s="1539"/>
      <c r="AR269" s="1539"/>
      <c r="AS269" s="1539"/>
      <c r="AT269" s="1539"/>
      <c r="AU269" s="1539"/>
      <c r="AV269" s="1539"/>
      <c r="AW269" s="1539"/>
      <c r="AX269" s="1539"/>
      <c r="AY269" s="1539"/>
      <c r="AZ269" s="1539"/>
      <c r="BA269" s="1539"/>
      <c r="BB269" s="1539"/>
      <c r="BC269" s="1539"/>
      <c r="BD269" s="1539"/>
      <c r="BE269" s="1539"/>
      <c r="BF269" s="1539"/>
      <c r="BG269" s="1539"/>
      <c r="BH269" s="1539"/>
      <c r="BI269" s="1539"/>
      <c r="BJ269" s="1539"/>
      <c r="BK269" s="1539"/>
      <c r="BL269" s="1539"/>
      <c r="BM269" s="1539"/>
      <c r="BN269" s="1539"/>
      <c r="BO269" s="1539"/>
      <c r="BP269" s="1539"/>
      <c r="BQ269" s="1539"/>
      <c r="BR269" s="1539"/>
      <c r="BS269" s="1539"/>
      <c r="BT269" s="1539"/>
      <c r="BU269" s="1539"/>
      <c r="BV269" s="1539"/>
      <c r="BW269" s="1539"/>
      <c r="BX269" s="1539"/>
      <c r="BY269" s="1539"/>
      <c r="BZ269" s="1539"/>
      <c r="CA269" s="1539"/>
      <c r="CB269" s="1539"/>
      <c r="CC269" s="1539"/>
      <c r="CD269" s="1539"/>
      <c r="CE269" s="1539"/>
      <c r="CF269" s="1539"/>
      <c r="CG269" s="1539"/>
      <c r="CH269" s="1539"/>
      <c r="CI269" s="1539"/>
      <c r="CJ269" s="1539"/>
      <c r="CK269" s="1539"/>
      <c r="CL269" s="1539"/>
      <c r="CM269" s="1539"/>
      <c r="CN269" s="1539"/>
      <c r="CO269" s="1539"/>
    </row>
    <row r="270" spans="1:93" ht="15.5">
      <c r="A270" s="1598" t="s">
        <v>2300</v>
      </c>
      <c r="B270" s="1599" t="s">
        <v>2301</v>
      </c>
      <c r="C270" s="1643" t="e">
        <f>+SUMIF(#REF!,Final!A270,#REF!)</f>
        <v>#REF!</v>
      </c>
      <c r="D270" s="1597" t="e">
        <f>+SUMIF(#REF!,Final!A270,#REF!)</f>
        <v>#REF!</v>
      </c>
      <c r="E270" s="1643" t="e">
        <f>SUMIF(#REF!,Final!A270,#REF!)</f>
        <v>#REF!</v>
      </c>
      <c r="F270" s="1644" t="e">
        <f>SUMIF(#REF!,Final!A270,#REF!)</f>
        <v>#REF!</v>
      </c>
      <c r="G270" s="1597" t="e">
        <f t="shared" si="16"/>
        <v>#REF!</v>
      </c>
      <c r="H270" s="1644" t="e">
        <f t="shared" si="17"/>
        <v>#REF!</v>
      </c>
      <c r="I270" s="1597" t="e">
        <f t="shared" si="18"/>
        <v>#REF!</v>
      </c>
      <c r="J270" s="1644" t="e">
        <f t="shared" si="19"/>
        <v>#REF!</v>
      </c>
      <c r="M270" s="1545"/>
      <c r="N270" s="1545"/>
    </row>
    <row r="271" spans="1:93" ht="15.5">
      <c r="A271" s="1598" t="s">
        <v>2302</v>
      </c>
      <c r="B271" s="1599" t="s">
        <v>2303</v>
      </c>
      <c r="C271" s="1643" t="e">
        <f>+SUMIF(#REF!,Final!A271,#REF!)</f>
        <v>#REF!</v>
      </c>
      <c r="D271" s="1597" t="e">
        <f>+SUMIF(#REF!,Final!A271,#REF!)</f>
        <v>#REF!</v>
      </c>
      <c r="E271" s="1643" t="e">
        <f>SUMIF(#REF!,Final!A271,#REF!)</f>
        <v>#REF!</v>
      </c>
      <c r="F271" s="1644" t="e">
        <f>SUMIF(#REF!,Final!A271,#REF!)</f>
        <v>#REF!</v>
      </c>
      <c r="G271" s="1597" t="e">
        <f t="shared" si="16"/>
        <v>#REF!</v>
      </c>
      <c r="H271" s="1644" t="e">
        <f t="shared" si="17"/>
        <v>#REF!</v>
      </c>
      <c r="I271" s="1597" t="e">
        <f t="shared" si="18"/>
        <v>#REF!</v>
      </c>
      <c r="J271" s="1644" t="e">
        <f t="shared" si="19"/>
        <v>#REF!</v>
      </c>
      <c r="M271" s="1545"/>
      <c r="N271" s="1545"/>
    </row>
    <row r="272" spans="1:93" ht="15.5">
      <c r="A272" s="1598" t="s">
        <v>2304</v>
      </c>
      <c r="B272" s="1599" t="s">
        <v>2305</v>
      </c>
      <c r="C272" s="1643" t="e">
        <f>+SUMIF(#REF!,Final!A272,#REF!)</f>
        <v>#REF!</v>
      </c>
      <c r="D272" s="1597" t="e">
        <f>+SUMIF(#REF!,Final!A272,#REF!)</f>
        <v>#REF!</v>
      </c>
      <c r="E272" s="1643" t="e">
        <f>SUMIF(#REF!,Final!A272,#REF!)</f>
        <v>#REF!</v>
      </c>
      <c r="F272" s="1644" t="e">
        <f>SUMIF(#REF!,Final!A272,#REF!)</f>
        <v>#REF!</v>
      </c>
      <c r="G272" s="1597" t="e">
        <f t="shared" si="16"/>
        <v>#REF!</v>
      </c>
      <c r="H272" s="1644" t="e">
        <f t="shared" si="17"/>
        <v>#REF!</v>
      </c>
      <c r="I272" s="1597" t="e">
        <f t="shared" si="18"/>
        <v>#REF!</v>
      </c>
      <c r="J272" s="1644" t="e">
        <f t="shared" si="19"/>
        <v>#REF!</v>
      </c>
      <c r="M272" s="1545"/>
      <c r="N272" s="1545"/>
    </row>
    <row r="273" spans="1:93" ht="15.5">
      <c r="A273" s="1598" t="s">
        <v>2306</v>
      </c>
      <c r="B273" s="1599" t="s">
        <v>2248</v>
      </c>
      <c r="C273" s="1643" t="e">
        <f>+SUMIF(#REF!,Final!A273,#REF!)</f>
        <v>#REF!</v>
      </c>
      <c r="D273" s="1597" t="e">
        <f>+SUMIF(#REF!,Final!A273,#REF!)</f>
        <v>#REF!</v>
      </c>
      <c r="E273" s="1643" t="e">
        <f>SUMIF(#REF!,Final!A273,#REF!)</f>
        <v>#REF!</v>
      </c>
      <c r="F273" s="1644" t="e">
        <f>SUMIF(#REF!,Final!A273,#REF!)</f>
        <v>#REF!</v>
      </c>
      <c r="G273" s="1597" t="e">
        <f t="shared" si="16"/>
        <v>#REF!</v>
      </c>
      <c r="H273" s="1644" t="e">
        <f t="shared" si="17"/>
        <v>#REF!</v>
      </c>
      <c r="I273" s="1597" t="e">
        <f t="shared" si="18"/>
        <v>#REF!</v>
      </c>
      <c r="J273" s="1644" t="e">
        <f t="shared" si="19"/>
        <v>#REF!</v>
      </c>
      <c r="M273" s="1545"/>
      <c r="N273" s="1545"/>
    </row>
    <row r="274" spans="1:93" ht="15.5">
      <c r="A274" s="1598" t="s">
        <v>2307</v>
      </c>
      <c r="B274" s="1599" t="s">
        <v>2250</v>
      </c>
      <c r="C274" s="1643" t="e">
        <f>+SUMIF(#REF!,Final!A274,#REF!)</f>
        <v>#REF!</v>
      </c>
      <c r="D274" s="1597" t="e">
        <f>+SUMIF(#REF!,Final!A274,#REF!)</f>
        <v>#REF!</v>
      </c>
      <c r="E274" s="1643" t="e">
        <f>SUMIF(#REF!,Final!A274,#REF!)</f>
        <v>#REF!</v>
      </c>
      <c r="F274" s="1644" t="e">
        <f>SUMIF(#REF!,Final!A274,#REF!)</f>
        <v>#REF!</v>
      </c>
      <c r="G274" s="1597" t="e">
        <f t="shared" si="16"/>
        <v>#REF!</v>
      </c>
      <c r="H274" s="1644" t="e">
        <f t="shared" si="17"/>
        <v>#REF!</v>
      </c>
      <c r="I274" s="1597" t="e">
        <f t="shared" si="18"/>
        <v>#REF!</v>
      </c>
      <c r="J274" s="1644" t="e">
        <f t="shared" si="19"/>
        <v>#REF!</v>
      </c>
      <c r="M274" s="1545"/>
      <c r="N274" s="1545"/>
    </row>
    <row r="275" spans="1:93" s="1542" customFormat="1" ht="15.5">
      <c r="A275" s="1598" t="s">
        <v>2308</v>
      </c>
      <c r="B275" s="1599" t="s">
        <v>2252</v>
      </c>
      <c r="C275" s="1643" t="e">
        <f>+SUMIF(#REF!,Final!A275,#REF!)</f>
        <v>#REF!</v>
      </c>
      <c r="D275" s="1597" t="e">
        <f>+SUMIF(#REF!,Final!A275,#REF!)</f>
        <v>#REF!</v>
      </c>
      <c r="E275" s="1643" t="e">
        <f>SUMIF(#REF!,Final!A275,#REF!)</f>
        <v>#REF!</v>
      </c>
      <c r="F275" s="1644" t="e">
        <f>SUMIF(#REF!,Final!A275,#REF!)</f>
        <v>#REF!</v>
      </c>
      <c r="G275" s="1597" t="e">
        <f t="shared" si="16"/>
        <v>#REF!</v>
      </c>
      <c r="H275" s="1644" t="e">
        <f t="shared" si="17"/>
        <v>#REF!</v>
      </c>
      <c r="I275" s="1597" t="e">
        <f t="shared" si="18"/>
        <v>#REF!</v>
      </c>
      <c r="J275" s="1644" t="e">
        <f t="shared" si="19"/>
        <v>#REF!</v>
      </c>
      <c r="K275" s="1539"/>
      <c r="L275" s="1539"/>
      <c r="M275" s="1545"/>
      <c r="N275" s="1545"/>
      <c r="O275" s="1539"/>
      <c r="P275" s="1539"/>
      <c r="Q275" s="1539"/>
      <c r="R275" s="1539"/>
      <c r="S275" s="1539"/>
      <c r="T275" s="1539"/>
      <c r="U275" s="1539"/>
      <c r="V275" s="1539"/>
      <c r="W275" s="1539"/>
      <c r="X275" s="1539"/>
      <c r="Y275" s="1539"/>
      <c r="Z275" s="1539"/>
      <c r="AA275" s="1539"/>
      <c r="AB275" s="1539"/>
      <c r="AC275" s="1539"/>
      <c r="AD275" s="1539"/>
      <c r="AE275" s="1539"/>
      <c r="AF275" s="1539"/>
      <c r="AG275" s="1539"/>
      <c r="AH275" s="1539"/>
      <c r="AI275" s="1539"/>
      <c r="AJ275" s="1539"/>
      <c r="AK275" s="1539"/>
      <c r="AL275" s="1539"/>
      <c r="AM275" s="1539"/>
      <c r="AN275" s="1539"/>
      <c r="AO275" s="1539"/>
      <c r="AP275" s="1539"/>
      <c r="AQ275" s="1539"/>
      <c r="AR275" s="1539"/>
      <c r="AS275" s="1539"/>
      <c r="AT275" s="1539"/>
      <c r="AU275" s="1539"/>
      <c r="AV275" s="1539"/>
      <c r="AW275" s="1539"/>
      <c r="AX275" s="1539"/>
      <c r="AY275" s="1539"/>
      <c r="AZ275" s="1539"/>
      <c r="BA275" s="1539"/>
      <c r="BB275" s="1539"/>
      <c r="BC275" s="1539"/>
      <c r="BD275" s="1539"/>
      <c r="BE275" s="1539"/>
      <c r="BF275" s="1539"/>
      <c r="BG275" s="1539"/>
      <c r="BH275" s="1539"/>
      <c r="BI275" s="1539"/>
      <c r="BJ275" s="1539"/>
      <c r="BK275" s="1539"/>
      <c r="BL275" s="1539"/>
      <c r="BM275" s="1539"/>
      <c r="BN275" s="1539"/>
      <c r="BO275" s="1539"/>
      <c r="BP275" s="1539"/>
      <c r="BQ275" s="1539"/>
      <c r="BR275" s="1539"/>
      <c r="BS275" s="1539"/>
      <c r="BT275" s="1539"/>
      <c r="BU275" s="1539"/>
      <c r="BV275" s="1539"/>
      <c r="BW275" s="1539"/>
      <c r="BX275" s="1539"/>
      <c r="BY275" s="1539"/>
      <c r="BZ275" s="1539"/>
      <c r="CA275" s="1539"/>
      <c r="CB275" s="1539"/>
      <c r="CC275" s="1539"/>
      <c r="CD275" s="1539"/>
      <c r="CE275" s="1539"/>
      <c r="CF275" s="1539"/>
      <c r="CG275" s="1539"/>
      <c r="CH275" s="1539"/>
      <c r="CI275" s="1539"/>
      <c r="CJ275" s="1539"/>
      <c r="CK275" s="1539"/>
      <c r="CL275" s="1539"/>
      <c r="CM275" s="1539"/>
      <c r="CN275" s="1539"/>
      <c r="CO275" s="1539"/>
    </row>
    <row r="276" spans="1:93" ht="15.5">
      <c r="A276" s="1598" t="s">
        <v>2309</v>
      </c>
      <c r="B276" s="1599" t="s">
        <v>2254</v>
      </c>
      <c r="C276" s="1643" t="e">
        <f>+SUMIF(#REF!,Final!A276,#REF!)</f>
        <v>#REF!</v>
      </c>
      <c r="D276" s="1597" t="e">
        <f>+SUMIF(#REF!,Final!A276,#REF!)</f>
        <v>#REF!</v>
      </c>
      <c r="E276" s="1643" t="e">
        <f>SUMIF(#REF!,Final!A276,#REF!)</f>
        <v>#REF!</v>
      </c>
      <c r="F276" s="1644" t="e">
        <f>SUMIF(#REF!,Final!A276,#REF!)</f>
        <v>#REF!</v>
      </c>
      <c r="G276" s="1597" t="e">
        <f t="shared" si="16"/>
        <v>#REF!</v>
      </c>
      <c r="H276" s="1644" t="e">
        <f t="shared" si="17"/>
        <v>#REF!</v>
      </c>
      <c r="I276" s="1597" t="e">
        <f t="shared" si="18"/>
        <v>#REF!</v>
      </c>
      <c r="J276" s="1644" t="e">
        <f t="shared" si="19"/>
        <v>#REF!</v>
      </c>
      <c r="M276" s="1545"/>
      <c r="N276" s="1545"/>
    </row>
    <row r="277" spans="1:93" ht="15.5">
      <c r="A277" s="1598" t="s">
        <v>2310</v>
      </c>
      <c r="B277" s="1599" t="s">
        <v>2256</v>
      </c>
      <c r="C277" s="1643" t="e">
        <f>+SUMIF(#REF!,Final!A277,#REF!)</f>
        <v>#REF!</v>
      </c>
      <c r="D277" s="1597" t="e">
        <f>+SUMIF(#REF!,Final!A277,#REF!)</f>
        <v>#REF!</v>
      </c>
      <c r="E277" s="1643" t="e">
        <f>SUMIF(#REF!,Final!A277,#REF!)</f>
        <v>#REF!</v>
      </c>
      <c r="F277" s="1644" t="e">
        <f>SUMIF(#REF!,Final!A277,#REF!)</f>
        <v>#REF!</v>
      </c>
      <c r="G277" s="1597" t="e">
        <f t="shared" si="16"/>
        <v>#REF!</v>
      </c>
      <c r="H277" s="1644" t="e">
        <f t="shared" si="17"/>
        <v>#REF!</v>
      </c>
      <c r="I277" s="1597" t="e">
        <f t="shared" si="18"/>
        <v>#REF!</v>
      </c>
      <c r="J277" s="1644" t="e">
        <f t="shared" si="19"/>
        <v>#REF!</v>
      </c>
      <c r="M277" s="1545"/>
      <c r="N277" s="1545"/>
    </row>
    <row r="278" spans="1:93" s="1552" customFormat="1" ht="15.5">
      <c r="A278" s="1598"/>
      <c r="B278" s="1599" t="s">
        <v>754</v>
      </c>
      <c r="C278" s="1643" t="e">
        <f>+SUMIF(#REF!,Final!A278,#REF!)</f>
        <v>#REF!</v>
      </c>
      <c r="D278" s="1597" t="e">
        <f>+SUMIF(#REF!,Final!A278,#REF!)</f>
        <v>#REF!</v>
      </c>
      <c r="E278" s="1643" t="e">
        <f>SUMIF(#REF!,Final!A278,#REF!)</f>
        <v>#REF!</v>
      </c>
      <c r="F278" s="1644" t="e">
        <f>SUMIF(#REF!,Final!A278,#REF!)</f>
        <v>#REF!</v>
      </c>
      <c r="G278" s="1597" t="e">
        <f t="shared" si="16"/>
        <v>#REF!</v>
      </c>
      <c r="H278" s="1644" t="e">
        <f t="shared" si="17"/>
        <v>#REF!</v>
      </c>
      <c r="I278" s="1597" t="e">
        <f t="shared" si="18"/>
        <v>#REF!</v>
      </c>
      <c r="J278" s="1644" t="e">
        <f t="shared" si="19"/>
        <v>#REF!</v>
      </c>
      <c r="K278" s="1539"/>
      <c r="L278" s="1539"/>
      <c r="M278" s="1545"/>
      <c r="N278" s="1545"/>
      <c r="O278" s="1539"/>
      <c r="P278" s="1539"/>
      <c r="Q278" s="1539"/>
      <c r="R278" s="1539"/>
      <c r="S278" s="1539"/>
      <c r="T278" s="1539"/>
      <c r="U278" s="1539"/>
      <c r="V278" s="1539"/>
      <c r="W278" s="1539"/>
      <c r="X278" s="1539"/>
      <c r="Y278" s="1539"/>
      <c r="Z278" s="1539"/>
      <c r="AA278" s="1539"/>
      <c r="AB278" s="1539"/>
      <c r="AC278" s="1539"/>
      <c r="AD278" s="1539"/>
      <c r="AE278" s="1539"/>
      <c r="AF278" s="1539"/>
      <c r="AG278" s="1539"/>
      <c r="AH278" s="1539"/>
      <c r="AI278" s="1539"/>
      <c r="AJ278" s="1539"/>
      <c r="AK278" s="1539"/>
      <c r="AL278" s="1539"/>
      <c r="AM278" s="1539"/>
      <c r="AN278" s="1539"/>
      <c r="AO278" s="1539"/>
      <c r="AP278" s="1539"/>
      <c r="AQ278" s="1539"/>
      <c r="AR278" s="1539"/>
      <c r="AS278" s="1539"/>
      <c r="AT278" s="1539"/>
      <c r="AU278" s="1539"/>
      <c r="AV278" s="1539"/>
      <c r="AW278" s="1539"/>
      <c r="AX278" s="1539"/>
      <c r="AY278" s="1539"/>
      <c r="AZ278" s="1539"/>
      <c r="BA278" s="1539"/>
      <c r="BB278" s="1539"/>
      <c r="BC278" s="1539"/>
      <c r="BD278" s="1539"/>
      <c r="BE278" s="1539"/>
      <c r="BF278" s="1539"/>
      <c r="BG278" s="1539"/>
      <c r="BH278" s="1539"/>
      <c r="BI278" s="1539"/>
      <c r="BJ278" s="1539"/>
      <c r="BK278" s="1539"/>
      <c r="BL278" s="1539"/>
      <c r="BM278" s="1539"/>
      <c r="BN278" s="1539"/>
      <c r="BO278" s="1539"/>
      <c r="BP278" s="1539"/>
      <c r="BQ278" s="1539"/>
      <c r="BR278" s="1539"/>
      <c r="BS278" s="1539"/>
      <c r="BT278" s="1539"/>
      <c r="BU278" s="1539"/>
      <c r="BV278" s="1539"/>
      <c r="BW278" s="1539"/>
      <c r="BX278" s="1539"/>
      <c r="BY278" s="1539"/>
      <c r="BZ278" s="1539"/>
      <c r="CA278" s="1539"/>
      <c r="CB278" s="1539"/>
      <c r="CC278" s="1539"/>
      <c r="CD278" s="1539"/>
      <c r="CE278" s="1539"/>
      <c r="CF278" s="1539"/>
      <c r="CG278" s="1539"/>
      <c r="CH278" s="1539"/>
      <c r="CI278" s="1539"/>
      <c r="CJ278" s="1539"/>
      <c r="CK278" s="1539"/>
      <c r="CL278" s="1539"/>
      <c r="CM278" s="1539"/>
      <c r="CN278" s="1539"/>
      <c r="CO278" s="1539"/>
    </row>
    <row r="279" spans="1:93" s="1552" customFormat="1" ht="15.5">
      <c r="A279" s="1598"/>
      <c r="B279" s="1599" t="s">
        <v>1760</v>
      </c>
      <c r="C279" s="1643" t="e">
        <f>+SUMIF(#REF!,Final!A279,#REF!)</f>
        <v>#REF!</v>
      </c>
      <c r="D279" s="1597" t="e">
        <f>+SUMIF(#REF!,Final!A279,#REF!)</f>
        <v>#REF!</v>
      </c>
      <c r="E279" s="1643" t="e">
        <f>SUMIF(#REF!,Final!A279,#REF!)</f>
        <v>#REF!</v>
      </c>
      <c r="F279" s="1644" t="e">
        <f>SUMIF(#REF!,Final!A279,#REF!)</f>
        <v>#REF!</v>
      </c>
      <c r="G279" s="1597" t="e">
        <f t="shared" si="16"/>
        <v>#REF!</v>
      </c>
      <c r="H279" s="1644" t="e">
        <f t="shared" si="17"/>
        <v>#REF!</v>
      </c>
      <c r="I279" s="1597" t="e">
        <f t="shared" si="18"/>
        <v>#REF!</v>
      </c>
      <c r="J279" s="1644" t="e">
        <f t="shared" si="19"/>
        <v>#REF!</v>
      </c>
      <c r="K279" s="1539"/>
      <c r="L279" s="1539"/>
      <c r="M279" s="1545"/>
      <c r="N279" s="1545"/>
      <c r="O279" s="1539"/>
      <c r="P279" s="1539"/>
      <c r="Q279" s="1539"/>
      <c r="R279" s="1539"/>
      <c r="S279" s="1539"/>
      <c r="T279" s="1539"/>
      <c r="U279" s="1539"/>
      <c r="V279" s="1539"/>
      <c r="W279" s="1539"/>
      <c r="X279" s="1539"/>
      <c r="Y279" s="1539"/>
      <c r="Z279" s="1539"/>
      <c r="AA279" s="1539"/>
      <c r="AB279" s="1539"/>
      <c r="AC279" s="1539"/>
      <c r="AD279" s="1539"/>
      <c r="AE279" s="1539"/>
      <c r="AF279" s="1539"/>
      <c r="AG279" s="1539"/>
      <c r="AH279" s="1539"/>
      <c r="AI279" s="1539"/>
      <c r="AJ279" s="1539"/>
      <c r="AK279" s="1539"/>
      <c r="AL279" s="1539"/>
      <c r="AM279" s="1539"/>
      <c r="AN279" s="1539"/>
      <c r="AO279" s="1539"/>
      <c r="AP279" s="1539"/>
      <c r="AQ279" s="1539"/>
      <c r="AR279" s="1539"/>
      <c r="AS279" s="1539"/>
      <c r="AT279" s="1539"/>
      <c r="AU279" s="1539"/>
      <c r="AV279" s="1539"/>
      <c r="AW279" s="1539"/>
      <c r="AX279" s="1539"/>
      <c r="AY279" s="1539"/>
      <c r="AZ279" s="1539"/>
      <c r="BA279" s="1539"/>
      <c r="BB279" s="1539"/>
      <c r="BC279" s="1539"/>
      <c r="BD279" s="1539"/>
      <c r="BE279" s="1539"/>
      <c r="BF279" s="1539"/>
      <c r="BG279" s="1539"/>
      <c r="BH279" s="1539"/>
      <c r="BI279" s="1539"/>
      <c r="BJ279" s="1539"/>
      <c r="BK279" s="1539"/>
      <c r="BL279" s="1539"/>
      <c r="BM279" s="1539"/>
      <c r="BN279" s="1539"/>
      <c r="BO279" s="1539"/>
      <c r="BP279" s="1539"/>
      <c r="BQ279" s="1539"/>
      <c r="BR279" s="1539"/>
      <c r="BS279" s="1539"/>
      <c r="BT279" s="1539"/>
      <c r="BU279" s="1539"/>
      <c r="BV279" s="1539"/>
      <c r="BW279" s="1539"/>
      <c r="BX279" s="1539"/>
      <c r="BY279" s="1539"/>
      <c r="BZ279" s="1539"/>
      <c r="CA279" s="1539"/>
      <c r="CB279" s="1539"/>
      <c r="CC279" s="1539"/>
      <c r="CD279" s="1539"/>
      <c r="CE279" s="1539"/>
      <c r="CF279" s="1539"/>
      <c r="CG279" s="1539"/>
      <c r="CH279" s="1539"/>
      <c r="CI279" s="1539"/>
      <c r="CJ279" s="1539"/>
      <c r="CK279" s="1539"/>
      <c r="CL279" s="1539"/>
      <c r="CM279" s="1539"/>
      <c r="CN279" s="1539"/>
      <c r="CO279" s="1539"/>
    </row>
    <row r="280" spans="1:93" s="1542" customFormat="1" ht="15.5">
      <c r="A280" s="1598" t="s">
        <v>545</v>
      </c>
      <c r="B280" s="1599" t="s">
        <v>2311</v>
      </c>
      <c r="C280" s="1643" t="e">
        <f>+SUMIF(#REF!,Final!A280,#REF!)</f>
        <v>#REF!</v>
      </c>
      <c r="D280" s="1597" t="e">
        <f>+SUMIF(#REF!,Final!A280,#REF!)</f>
        <v>#REF!</v>
      </c>
      <c r="E280" s="1643" t="e">
        <f>SUMIF(#REF!,Final!A280,#REF!)</f>
        <v>#REF!</v>
      </c>
      <c r="F280" s="1644" t="e">
        <f>SUMIF(#REF!,Final!A280,#REF!)</f>
        <v>#REF!</v>
      </c>
      <c r="G280" s="1597" t="e">
        <f t="shared" si="16"/>
        <v>#REF!</v>
      </c>
      <c r="H280" s="1644" t="e">
        <f t="shared" si="17"/>
        <v>#REF!</v>
      </c>
      <c r="I280" s="1597" t="e">
        <f t="shared" si="18"/>
        <v>#REF!</v>
      </c>
      <c r="J280" s="1644" t="e">
        <f t="shared" si="19"/>
        <v>#REF!</v>
      </c>
      <c r="K280" s="1539"/>
      <c r="L280" s="1539"/>
      <c r="M280" s="1545"/>
      <c r="N280" s="1545"/>
      <c r="O280" s="1539"/>
      <c r="P280" s="1539"/>
      <c r="Q280" s="1539"/>
      <c r="R280" s="1539"/>
      <c r="S280" s="1539"/>
      <c r="T280" s="1539"/>
      <c r="U280" s="1539"/>
      <c r="V280" s="1539"/>
      <c r="W280" s="1539"/>
      <c r="X280" s="1539"/>
      <c r="Y280" s="1539"/>
      <c r="Z280" s="1539"/>
      <c r="AA280" s="1539"/>
      <c r="AB280" s="1539"/>
      <c r="AC280" s="1539"/>
      <c r="AD280" s="1539"/>
      <c r="AE280" s="1539"/>
      <c r="AF280" s="1539"/>
      <c r="AG280" s="1539"/>
      <c r="AH280" s="1539"/>
      <c r="AI280" s="1539"/>
      <c r="AJ280" s="1539"/>
      <c r="AK280" s="1539"/>
      <c r="AL280" s="1539"/>
      <c r="AM280" s="1539"/>
      <c r="AN280" s="1539"/>
      <c r="AO280" s="1539"/>
      <c r="AP280" s="1539"/>
      <c r="AQ280" s="1539"/>
      <c r="AR280" s="1539"/>
      <c r="AS280" s="1539"/>
      <c r="AT280" s="1539"/>
      <c r="AU280" s="1539"/>
      <c r="AV280" s="1539"/>
      <c r="AW280" s="1539"/>
      <c r="AX280" s="1539"/>
      <c r="AY280" s="1539"/>
      <c r="AZ280" s="1539"/>
      <c r="BA280" s="1539"/>
      <c r="BB280" s="1539"/>
      <c r="BC280" s="1539"/>
      <c r="BD280" s="1539"/>
      <c r="BE280" s="1539"/>
      <c r="BF280" s="1539"/>
      <c r="BG280" s="1539"/>
      <c r="BH280" s="1539"/>
      <c r="BI280" s="1539"/>
      <c r="BJ280" s="1539"/>
      <c r="BK280" s="1539"/>
      <c r="BL280" s="1539"/>
      <c r="BM280" s="1539"/>
      <c r="BN280" s="1539"/>
      <c r="BO280" s="1539"/>
      <c r="BP280" s="1539"/>
      <c r="BQ280" s="1539"/>
      <c r="BR280" s="1539"/>
      <c r="BS280" s="1539"/>
      <c r="BT280" s="1539"/>
      <c r="BU280" s="1539"/>
      <c r="BV280" s="1539"/>
      <c r="BW280" s="1539"/>
      <c r="BX280" s="1539"/>
      <c r="BY280" s="1539"/>
      <c r="BZ280" s="1539"/>
      <c r="CA280" s="1539"/>
      <c r="CB280" s="1539"/>
      <c r="CC280" s="1539"/>
      <c r="CD280" s="1539"/>
      <c r="CE280" s="1539"/>
      <c r="CF280" s="1539"/>
      <c r="CG280" s="1539"/>
      <c r="CH280" s="1539"/>
      <c r="CI280" s="1539"/>
      <c r="CJ280" s="1539"/>
      <c r="CK280" s="1539"/>
      <c r="CL280" s="1539"/>
      <c r="CM280" s="1539"/>
      <c r="CN280" s="1539"/>
      <c r="CO280" s="1539"/>
    </row>
    <row r="281" spans="1:93" ht="15.5">
      <c r="A281" s="1598" t="s">
        <v>2312</v>
      </c>
      <c r="B281" s="1599" t="s">
        <v>2210</v>
      </c>
      <c r="C281" s="1643" t="e">
        <f>+SUMIF(#REF!,Final!A281,#REF!)</f>
        <v>#REF!</v>
      </c>
      <c r="D281" s="1597" t="e">
        <f>+SUMIF(#REF!,Final!A281,#REF!)</f>
        <v>#REF!</v>
      </c>
      <c r="E281" s="1643" t="e">
        <f>SUMIF(#REF!,Final!A281,#REF!)</f>
        <v>#REF!</v>
      </c>
      <c r="F281" s="1644" t="e">
        <f>SUMIF(#REF!,Final!A281,#REF!)</f>
        <v>#REF!</v>
      </c>
      <c r="G281" s="1597" t="e">
        <f t="shared" si="16"/>
        <v>#REF!</v>
      </c>
      <c r="H281" s="1644" t="e">
        <f t="shared" si="17"/>
        <v>#REF!</v>
      </c>
      <c r="I281" s="1597" t="e">
        <f t="shared" si="18"/>
        <v>#REF!</v>
      </c>
      <c r="J281" s="1644" t="e">
        <f t="shared" si="19"/>
        <v>#REF!</v>
      </c>
      <c r="M281" s="1545"/>
      <c r="N281" s="1545"/>
    </row>
    <row r="282" spans="1:93" ht="15.5">
      <c r="A282" s="1598" t="s">
        <v>2313</v>
      </c>
      <c r="B282" s="1599" t="s">
        <v>2212</v>
      </c>
      <c r="C282" s="1643" t="e">
        <f>+SUMIF(#REF!,Final!A282,#REF!)</f>
        <v>#REF!</v>
      </c>
      <c r="D282" s="1597" t="e">
        <f>+SUMIF(#REF!,Final!A282,#REF!)</f>
        <v>#REF!</v>
      </c>
      <c r="E282" s="1643" t="e">
        <f>SUMIF(#REF!,Final!A282,#REF!)</f>
        <v>#REF!</v>
      </c>
      <c r="F282" s="1644" t="e">
        <f>SUMIF(#REF!,Final!A282,#REF!)</f>
        <v>#REF!</v>
      </c>
      <c r="G282" s="1597" t="e">
        <f t="shared" si="16"/>
        <v>#REF!</v>
      </c>
      <c r="H282" s="1644" t="e">
        <f t="shared" si="17"/>
        <v>#REF!</v>
      </c>
      <c r="I282" s="1597" t="e">
        <f t="shared" si="18"/>
        <v>#REF!</v>
      </c>
      <c r="J282" s="1644" t="e">
        <f t="shared" si="19"/>
        <v>#REF!</v>
      </c>
      <c r="M282" s="1545"/>
      <c r="N282" s="1545"/>
    </row>
    <row r="283" spans="1:93" ht="15.5">
      <c r="A283" s="1598" t="s">
        <v>2314</v>
      </c>
      <c r="B283" s="1599" t="s">
        <v>2154</v>
      </c>
      <c r="C283" s="1643" t="e">
        <f>+SUMIF(#REF!,Final!A283,#REF!)</f>
        <v>#REF!</v>
      </c>
      <c r="D283" s="1597" t="e">
        <f>+SUMIF(#REF!,Final!A283,#REF!)</f>
        <v>#REF!</v>
      </c>
      <c r="E283" s="1643" t="e">
        <f>SUMIF(#REF!,Final!A283,#REF!)</f>
        <v>#REF!</v>
      </c>
      <c r="F283" s="1644" t="e">
        <f>SUMIF(#REF!,Final!A283,#REF!)</f>
        <v>#REF!</v>
      </c>
      <c r="G283" s="1597" t="e">
        <f t="shared" si="16"/>
        <v>#REF!</v>
      </c>
      <c r="H283" s="1644" t="e">
        <f t="shared" si="17"/>
        <v>#REF!</v>
      </c>
      <c r="I283" s="1597" t="e">
        <f t="shared" si="18"/>
        <v>#REF!</v>
      </c>
      <c r="J283" s="1644" t="e">
        <f t="shared" si="19"/>
        <v>#REF!</v>
      </c>
      <c r="M283" s="1545"/>
      <c r="N283" s="1545"/>
    </row>
    <row r="284" spans="1:93" s="1542" customFormat="1" ht="15.5">
      <c r="A284" s="1598" t="s">
        <v>2315</v>
      </c>
      <c r="B284" s="1599" t="s">
        <v>2156</v>
      </c>
      <c r="C284" s="1643" t="e">
        <f>+SUMIF(#REF!,Final!A284,#REF!)</f>
        <v>#REF!</v>
      </c>
      <c r="D284" s="1597" t="e">
        <f>+SUMIF(#REF!,Final!A284,#REF!)</f>
        <v>#REF!</v>
      </c>
      <c r="E284" s="1643" t="e">
        <f>SUMIF(#REF!,Final!A284,#REF!)</f>
        <v>#REF!</v>
      </c>
      <c r="F284" s="1644" t="e">
        <f>SUMIF(#REF!,Final!A284,#REF!)</f>
        <v>#REF!</v>
      </c>
      <c r="G284" s="1597" t="e">
        <f t="shared" si="16"/>
        <v>#REF!</v>
      </c>
      <c r="H284" s="1644" t="e">
        <f t="shared" si="17"/>
        <v>#REF!</v>
      </c>
      <c r="I284" s="1597" t="e">
        <f t="shared" si="18"/>
        <v>#REF!</v>
      </c>
      <c r="J284" s="1644" t="e">
        <f t="shared" si="19"/>
        <v>#REF!</v>
      </c>
      <c r="K284" s="1539"/>
      <c r="L284" s="1539"/>
      <c r="M284" s="1545"/>
      <c r="N284" s="1545"/>
      <c r="O284" s="1539"/>
      <c r="P284" s="1539"/>
      <c r="Q284" s="1539"/>
      <c r="R284" s="1539"/>
      <c r="S284" s="1539"/>
      <c r="T284" s="1539"/>
      <c r="U284" s="1539"/>
      <c r="V284" s="1539"/>
      <c r="W284" s="1539"/>
      <c r="X284" s="1539"/>
      <c r="Y284" s="1539"/>
      <c r="Z284" s="1539"/>
      <c r="AA284" s="1539"/>
      <c r="AB284" s="1539"/>
      <c r="AC284" s="1539"/>
      <c r="AD284" s="1539"/>
      <c r="AE284" s="1539"/>
      <c r="AF284" s="1539"/>
      <c r="AG284" s="1539"/>
      <c r="AH284" s="1539"/>
      <c r="AI284" s="1539"/>
      <c r="AJ284" s="1539"/>
      <c r="AK284" s="1539"/>
      <c r="AL284" s="1539"/>
      <c r="AM284" s="1539"/>
      <c r="AN284" s="1539"/>
      <c r="AO284" s="1539"/>
      <c r="AP284" s="1539"/>
      <c r="AQ284" s="1539"/>
      <c r="AR284" s="1539"/>
      <c r="AS284" s="1539"/>
      <c r="AT284" s="1539"/>
      <c r="AU284" s="1539"/>
      <c r="AV284" s="1539"/>
      <c r="AW284" s="1539"/>
      <c r="AX284" s="1539"/>
      <c r="AY284" s="1539"/>
      <c r="AZ284" s="1539"/>
      <c r="BA284" s="1539"/>
      <c r="BB284" s="1539"/>
      <c r="BC284" s="1539"/>
      <c r="BD284" s="1539"/>
      <c r="BE284" s="1539"/>
      <c r="BF284" s="1539"/>
      <c r="BG284" s="1539"/>
      <c r="BH284" s="1539"/>
      <c r="BI284" s="1539"/>
      <c r="BJ284" s="1539"/>
      <c r="BK284" s="1539"/>
      <c r="BL284" s="1539"/>
      <c r="BM284" s="1539"/>
      <c r="BN284" s="1539"/>
      <c r="BO284" s="1539"/>
      <c r="BP284" s="1539"/>
      <c r="BQ284" s="1539"/>
      <c r="BR284" s="1539"/>
      <c r="BS284" s="1539"/>
      <c r="BT284" s="1539"/>
      <c r="BU284" s="1539"/>
      <c r="BV284" s="1539"/>
      <c r="BW284" s="1539"/>
      <c r="BX284" s="1539"/>
      <c r="BY284" s="1539"/>
      <c r="BZ284" s="1539"/>
      <c r="CA284" s="1539"/>
      <c r="CB284" s="1539"/>
      <c r="CC284" s="1539"/>
      <c r="CD284" s="1539"/>
      <c r="CE284" s="1539"/>
      <c r="CF284" s="1539"/>
      <c r="CG284" s="1539"/>
      <c r="CH284" s="1539"/>
      <c r="CI284" s="1539"/>
      <c r="CJ284" s="1539"/>
      <c r="CK284" s="1539"/>
      <c r="CL284" s="1539"/>
      <c r="CM284" s="1539"/>
      <c r="CN284" s="1539"/>
      <c r="CO284" s="1539"/>
    </row>
    <row r="285" spans="1:93" ht="15.5">
      <c r="A285" s="1598" t="s">
        <v>2316</v>
      </c>
      <c r="B285" s="1599" t="s">
        <v>2228</v>
      </c>
      <c r="C285" s="1643" t="e">
        <f>+SUMIF(#REF!,Final!A285,#REF!)</f>
        <v>#REF!</v>
      </c>
      <c r="D285" s="1597" t="e">
        <f>+SUMIF(#REF!,Final!A285,#REF!)</f>
        <v>#REF!</v>
      </c>
      <c r="E285" s="1643" t="e">
        <f>SUMIF(#REF!,Final!A285,#REF!)</f>
        <v>#REF!</v>
      </c>
      <c r="F285" s="1644" t="e">
        <f>SUMIF(#REF!,Final!A285,#REF!)</f>
        <v>#REF!</v>
      </c>
      <c r="G285" s="1597" t="e">
        <f t="shared" si="16"/>
        <v>#REF!</v>
      </c>
      <c r="H285" s="1644" t="e">
        <f t="shared" si="17"/>
        <v>#REF!</v>
      </c>
      <c r="I285" s="1597" t="e">
        <f t="shared" si="18"/>
        <v>#REF!</v>
      </c>
      <c r="J285" s="1644" t="e">
        <f t="shared" si="19"/>
        <v>#REF!</v>
      </c>
      <c r="M285" s="1545"/>
      <c r="N285" s="1545"/>
    </row>
    <row r="286" spans="1:93" s="1542" customFormat="1" ht="15.5">
      <c r="A286" s="1598" t="s">
        <v>2317</v>
      </c>
      <c r="B286" s="1599" t="s">
        <v>2168</v>
      </c>
      <c r="C286" s="1643" t="e">
        <f>+SUMIF(#REF!,Final!A286,#REF!)</f>
        <v>#REF!</v>
      </c>
      <c r="D286" s="1597" t="e">
        <f>+SUMIF(#REF!,Final!A286,#REF!)</f>
        <v>#REF!</v>
      </c>
      <c r="E286" s="1643" t="e">
        <f>SUMIF(#REF!,Final!A286,#REF!)</f>
        <v>#REF!</v>
      </c>
      <c r="F286" s="1644" t="e">
        <f>SUMIF(#REF!,Final!A286,#REF!)</f>
        <v>#REF!</v>
      </c>
      <c r="G286" s="1597" t="e">
        <f t="shared" si="16"/>
        <v>#REF!</v>
      </c>
      <c r="H286" s="1644" t="e">
        <f t="shared" si="17"/>
        <v>#REF!</v>
      </c>
      <c r="I286" s="1597" t="e">
        <f t="shared" si="18"/>
        <v>#REF!</v>
      </c>
      <c r="J286" s="1644" t="e">
        <f t="shared" si="19"/>
        <v>#REF!</v>
      </c>
      <c r="K286" s="1539"/>
      <c r="L286" s="1539"/>
      <c r="M286" s="1545"/>
      <c r="N286" s="1545"/>
      <c r="O286" s="1539"/>
      <c r="P286" s="1539"/>
      <c r="Q286" s="1539"/>
      <c r="R286" s="1539"/>
      <c r="S286" s="1539"/>
      <c r="T286" s="1539"/>
      <c r="U286" s="1539"/>
      <c r="V286" s="1539"/>
      <c r="W286" s="1539"/>
      <c r="X286" s="1539"/>
      <c r="Y286" s="1539"/>
      <c r="Z286" s="1539"/>
      <c r="AA286" s="1539"/>
      <c r="AB286" s="1539"/>
      <c r="AC286" s="1539"/>
      <c r="AD286" s="1539"/>
      <c r="AE286" s="1539"/>
      <c r="AF286" s="1539"/>
      <c r="AG286" s="1539"/>
      <c r="AH286" s="1539"/>
      <c r="AI286" s="1539"/>
      <c r="AJ286" s="1539"/>
      <c r="AK286" s="1539"/>
      <c r="AL286" s="1539"/>
      <c r="AM286" s="1539"/>
      <c r="AN286" s="1539"/>
      <c r="AO286" s="1539"/>
      <c r="AP286" s="1539"/>
      <c r="AQ286" s="1539"/>
      <c r="AR286" s="1539"/>
      <c r="AS286" s="1539"/>
      <c r="AT286" s="1539"/>
      <c r="AU286" s="1539"/>
      <c r="AV286" s="1539"/>
      <c r="AW286" s="1539"/>
      <c r="AX286" s="1539"/>
      <c r="AY286" s="1539"/>
      <c r="AZ286" s="1539"/>
      <c r="BA286" s="1539"/>
      <c r="BB286" s="1539"/>
      <c r="BC286" s="1539"/>
      <c r="BD286" s="1539"/>
      <c r="BE286" s="1539"/>
      <c r="BF286" s="1539"/>
      <c r="BG286" s="1539"/>
      <c r="BH286" s="1539"/>
      <c r="BI286" s="1539"/>
      <c r="BJ286" s="1539"/>
      <c r="BK286" s="1539"/>
      <c r="BL286" s="1539"/>
      <c r="BM286" s="1539"/>
      <c r="BN286" s="1539"/>
      <c r="BO286" s="1539"/>
      <c r="BP286" s="1539"/>
      <c r="BQ286" s="1539"/>
      <c r="BR286" s="1539"/>
      <c r="BS286" s="1539"/>
      <c r="BT286" s="1539"/>
      <c r="BU286" s="1539"/>
      <c r="BV286" s="1539"/>
      <c r="BW286" s="1539"/>
      <c r="BX286" s="1539"/>
      <c r="BY286" s="1539"/>
      <c r="BZ286" s="1539"/>
      <c r="CA286" s="1539"/>
      <c r="CB286" s="1539"/>
      <c r="CC286" s="1539"/>
      <c r="CD286" s="1539"/>
      <c r="CE286" s="1539"/>
      <c r="CF286" s="1539"/>
      <c r="CG286" s="1539"/>
      <c r="CH286" s="1539"/>
      <c r="CI286" s="1539"/>
      <c r="CJ286" s="1539"/>
      <c r="CK286" s="1539"/>
      <c r="CL286" s="1539"/>
      <c r="CM286" s="1539"/>
      <c r="CN286" s="1539"/>
      <c r="CO286" s="1539"/>
    </row>
    <row r="287" spans="1:93" ht="15.5">
      <c r="A287" s="1598" t="s">
        <v>2318</v>
      </c>
      <c r="B287" s="1599" t="s">
        <v>2170</v>
      </c>
      <c r="C287" s="1643" t="e">
        <f>+SUMIF(#REF!,Final!A287,#REF!)</f>
        <v>#REF!</v>
      </c>
      <c r="D287" s="1597" t="e">
        <f>+SUMIF(#REF!,Final!A287,#REF!)</f>
        <v>#REF!</v>
      </c>
      <c r="E287" s="1643" t="e">
        <f>SUMIF(#REF!,Final!A287,#REF!)</f>
        <v>#REF!</v>
      </c>
      <c r="F287" s="1644" t="e">
        <f>SUMIF(#REF!,Final!A287,#REF!)</f>
        <v>#REF!</v>
      </c>
      <c r="G287" s="1597" t="e">
        <f t="shared" si="16"/>
        <v>#REF!</v>
      </c>
      <c r="H287" s="1644" t="e">
        <f t="shared" si="17"/>
        <v>#REF!</v>
      </c>
      <c r="I287" s="1597" t="e">
        <f t="shared" si="18"/>
        <v>#REF!</v>
      </c>
      <c r="J287" s="1644" t="e">
        <f t="shared" si="19"/>
        <v>#REF!</v>
      </c>
      <c r="M287" s="1545"/>
      <c r="N287" s="1545"/>
    </row>
    <row r="288" spans="1:93" ht="15.5">
      <c r="A288" s="1598" t="s">
        <v>2319</v>
      </c>
      <c r="B288" s="1599" t="s">
        <v>2172</v>
      </c>
      <c r="C288" s="1643" t="e">
        <f>+SUMIF(#REF!,Final!A288,#REF!)</f>
        <v>#REF!</v>
      </c>
      <c r="D288" s="1597" t="e">
        <f>+SUMIF(#REF!,Final!A288,#REF!)</f>
        <v>#REF!</v>
      </c>
      <c r="E288" s="1643" t="e">
        <f>SUMIF(#REF!,Final!A288,#REF!)</f>
        <v>#REF!</v>
      </c>
      <c r="F288" s="1644" t="e">
        <f>SUMIF(#REF!,Final!A288,#REF!)</f>
        <v>#REF!</v>
      </c>
      <c r="G288" s="1597" t="e">
        <f t="shared" si="16"/>
        <v>#REF!</v>
      </c>
      <c r="H288" s="1644" t="e">
        <f t="shared" si="17"/>
        <v>#REF!</v>
      </c>
      <c r="I288" s="1597" t="e">
        <f t="shared" si="18"/>
        <v>#REF!</v>
      </c>
      <c r="J288" s="1644" t="e">
        <f t="shared" si="19"/>
        <v>#REF!</v>
      </c>
      <c r="M288" s="1545"/>
      <c r="N288" s="1545"/>
    </row>
    <row r="289" spans="1:93" ht="15.5">
      <c r="A289" s="1598" t="s">
        <v>2320</v>
      </c>
      <c r="B289" s="1599" t="s">
        <v>2176</v>
      </c>
      <c r="C289" s="1643" t="e">
        <f>+SUMIF(#REF!,Final!A289,#REF!)</f>
        <v>#REF!</v>
      </c>
      <c r="D289" s="1597" t="e">
        <f>+SUMIF(#REF!,Final!A289,#REF!)</f>
        <v>#REF!</v>
      </c>
      <c r="E289" s="1643" t="e">
        <f>SUMIF(#REF!,Final!A289,#REF!)</f>
        <v>#REF!</v>
      </c>
      <c r="F289" s="1644" t="e">
        <f>SUMIF(#REF!,Final!A289,#REF!)</f>
        <v>#REF!</v>
      </c>
      <c r="G289" s="1597" t="e">
        <f t="shared" si="16"/>
        <v>#REF!</v>
      </c>
      <c r="H289" s="1644" t="e">
        <f t="shared" si="17"/>
        <v>#REF!</v>
      </c>
      <c r="I289" s="1597" t="e">
        <f t="shared" si="18"/>
        <v>#REF!</v>
      </c>
      <c r="J289" s="1644" t="e">
        <f t="shared" si="19"/>
        <v>#REF!</v>
      </c>
      <c r="M289" s="1545"/>
      <c r="N289" s="1545"/>
    </row>
    <row r="290" spans="1:93" ht="15.5">
      <c r="A290" s="1598" t="s">
        <v>2321</v>
      </c>
      <c r="B290" s="1599" t="s">
        <v>2178</v>
      </c>
      <c r="C290" s="1643" t="e">
        <f>+SUMIF(#REF!,Final!A290,#REF!)</f>
        <v>#REF!</v>
      </c>
      <c r="D290" s="1597" t="e">
        <f>+SUMIF(#REF!,Final!A290,#REF!)</f>
        <v>#REF!</v>
      </c>
      <c r="E290" s="1643" t="e">
        <f>SUMIF(#REF!,Final!A290,#REF!)</f>
        <v>#REF!</v>
      </c>
      <c r="F290" s="1644" t="e">
        <f>SUMIF(#REF!,Final!A290,#REF!)</f>
        <v>#REF!</v>
      </c>
      <c r="G290" s="1597" t="e">
        <f t="shared" si="16"/>
        <v>#REF!</v>
      </c>
      <c r="H290" s="1644" t="e">
        <f t="shared" si="17"/>
        <v>#REF!</v>
      </c>
      <c r="I290" s="1597" t="e">
        <f t="shared" si="18"/>
        <v>#REF!</v>
      </c>
      <c r="J290" s="1644" t="e">
        <f t="shared" si="19"/>
        <v>#REF!</v>
      </c>
      <c r="M290" s="1545"/>
      <c r="N290" s="1545"/>
    </row>
    <row r="291" spans="1:93" ht="15.5">
      <c r="A291" s="1598" t="s">
        <v>2322</v>
      </c>
      <c r="B291" s="1599" t="s">
        <v>2180</v>
      </c>
      <c r="C291" s="1643" t="e">
        <f>+SUMIF(#REF!,Final!A291,#REF!)</f>
        <v>#REF!</v>
      </c>
      <c r="D291" s="1597" t="e">
        <f>+SUMIF(#REF!,Final!A291,#REF!)</f>
        <v>#REF!</v>
      </c>
      <c r="E291" s="1643" t="e">
        <f>SUMIF(#REF!,Final!A291,#REF!)</f>
        <v>#REF!</v>
      </c>
      <c r="F291" s="1644" t="e">
        <f>SUMIF(#REF!,Final!A291,#REF!)</f>
        <v>#REF!</v>
      </c>
      <c r="G291" s="1597" t="e">
        <f t="shared" si="16"/>
        <v>#REF!</v>
      </c>
      <c r="H291" s="1644" t="e">
        <f t="shared" si="17"/>
        <v>#REF!</v>
      </c>
      <c r="I291" s="1597" t="e">
        <f t="shared" si="18"/>
        <v>#REF!</v>
      </c>
      <c r="J291" s="1644" t="e">
        <f t="shared" si="19"/>
        <v>#REF!</v>
      </c>
      <c r="M291" s="1545"/>
      <c r="N291" s="1545"/>
    </row>
    <row r="292" spans="1:93" s="1542" customFormat="1" ht="15.5">
      <c r="A292" s="1598" t="s">
        <v>2323</v>
      </c>
      <c r="B292" s="1599" t="s">
        <v>2182</v>
      </c>
      <c r="C292" s="1643" t="e">
        <f>+SUMIF(#REF!,Final!A292,#REF!)</f>
        <v>#REF!</v>
      </c>
      <c r="D292" s="1597" t="e">
        <f>+SUMIF(#REF!,Final!A292,#REF!)</f>
        <v>#REF!</v>
      </c>
      <c r="E292" s="1643" t="e">
        <f>SUMIF(#REF!,Final!A292,#REF!)</f>
        <v>#REF!</v>
      </c>
      <c r="F292" s="1644" t="e">
        <f>SUMIF(#REF!,Final!A292,#REF!)</f>
        <v>#REF!</v>
      </c>
      <c r="G292" s="1597" t="e">
        <f t="shared" si="16"/>
        <v>#REF!</v>
      </c>
      <c r="H292" s="1644" t="e">
        <f t="shared" si="17"/>
        <v>#REF!</v>
      </c>
      <c r="I292" s="1597" t="e">
        <f t="shared" si="18"/>
        <v>#REF!</v>
      </c>
      <c r="J292" s="1644" t="e">
        <f t="shared" si="19"/>
        <v>#REF!</v>
      </c>
      <c r="K292" s="1539"/>
      <c r="L292" s="1539"/>
      <c r="M292" s="1545"/>
      <c r="N292" s="1545"/>
      <c r="O292" s="1539"/>
      <c r="P292" s="1539"/>
      <c r="Q292" s="1539"/>
      <c r="R292" s="1539"/>
      <c r="S292" s="1539"/>
      <c r="T292" s="1539"/>
      <c r="U292" s="1539"/>
      <c r="V292" s="1539"/>
      <c r="W292" s="1539"/>
      <c r="X292" s="1539"/>
      <c r="Y292" s="1539"/>
      <c r="Z292" s="1539"/>
      <c r="AA292" s="1539"/>
      <c r="AB292" s="1539"/>
      <c r="AC292" s="1539"/>
      <c r="AD292" s="1539"/>
      <c r="AE292" s="1539"/>
      <c r="AF292" s="1539"/>
      <c r="AG292" s="1539"/>
      <c r="AH292" s="1539"/>
      <c r="AI292" s="1539"/>
      <c r="AJ292" s="1539"/>
      <c r="AK292" s="1539"/>
      <c r="AL292" s="1539"/>
      <c r="AM292" s="1539"/>
      <c r="AN292" s="1539"/>
      <c r="AO292" s="1539"/>
      <c r="AP292" s="1539"/>
      <c r="AQ292" s="1539"/>
      <c r="AR292" s="1539"/>
      <c r="AS292" s="1539"/>
      <c r="AT292" s="1539"/>
      <c r="AU292" s="1539"/>
      <c r="AV292" s="1539"/>
      <c r="AW292" s="1539"/>
      <c r="AX292" s="1539"/>
      <c r="AY292" s="1539"/>
      <c r="AZ292" s="1539"/>
      <c r="BA292" s="1539"/>
      <c r="BB292" s="1539"/>
      <c r="BC292" s="1539"/>
      <c r="BD292" s="1539"/>
      <c r="BE292" s="1539"/>
      <c r="BF292" s="1539"/>
      <c r="BG292" s="1539"/>
      <c r="BH292" s="1539"/>
      <c r="BI292" s="1539"/>
      <c r="BJ292" s="1539"/>
      <c r="BK292" s="1539"/>
      <c r="BL292" s="1539"/>
      <c r="BM292" s="1539"/>
      <c r="BN292" s="1539"/>
      <c r="BO292" s="1539"/>
      <c r="BP292" s="1539"/>
      <c r="BQ292" s="1539"/>
      <c r="BR292" s="1539"/>
      <c r="BS292" s="1539"/>
      <c r="BT292" s="1539"/>
      <c r="BU292" s="1539"/>
      <c r="BV292" s="1539"/>
      <c r="BW292" s="1539"/>
      <c r="BX292" s="1539"/>
      <c r="BY292" s="1539"/>
      <c r="BZ292" s="1539"/>
      <c r="CA292" s="1539"/>
      <c r="CB292" s="1539"/>
      <c r="CC292" s="1539"/>
      <c r="CD292" s="1539"/>
      <c r="CE292" s="1539"/>
      <c r="CF292" s="1539"/>
      <c r="CG292" s="1539"/>
      <c r="CH292" s="1539"/>
      <c r="CI292" s="1539"/>
      <c r="CJ292" s="1539"/>
      <c r="CK292" s="1539"/>
      <c r="CL292" s="1539"/>
      <c r="CM292" s="1539"/>
      <c r="CN292" s="1539"/>
      <c r="CO292" s="1539"/>
    </row>
    <row r="293" spans="1:93" ht="15.5">
      <c r="A293" s="1598" t="s">
        <v>2324</v>
      </c>
      <c r="B293" s="1599" t="s">
        <v>2305</v>
      </c>
      <c r="C293" s="1643" t="e">
        <f>+SUMIF(#REF!,Final!A293,#REF!)</f>
        <v>#REF!</v>
      </c>
      <c r="D293" s="1597" t="e">
        <f>+SUMIF(#REF!,Final!A293,#REF!)</f>
        <v>#REF!</v>
      </c>
      <c r="E293" s="1643" t="e">
        <f>SUMIF(#REF!,Final!A293,#REF!)</f>
        <v>#REF!</v>
      </c>
      <c r="F293" s="1644" t="e">
        <f>SUMIF(#REF!,Final!A293,#REF!)</f>
        <v>#REF!</v>
      </c>
      <c r="G293" s="1597" t="e">
        <f t="shared" si="16"/>
        <v>#REF!</v>
      </c>
      <c r="H293" s="1644" t="e">
        <f t="shared" si="17"/>
        <v>#REF!</v>
      </c>
      <c r="I293" s="1597" t="e">
        <f t="shared" si="18"/>
        <v>#REF!</v>
      </c>
      <c r="J293" s="1644" t="e">
        <f t="shared" si="19"/>
        <v>#REF!</v>
      </c>
      <c r="M293" s="1545"/>
      <c r="N293" s="1545"/>
    </row>
    <row r="294" spans="1:93" s="1552" customFormat="1" ht="15.5">
      <c r="A294" s="1598"/>
      <c r="B294" s="1599" t="s">
        <v>754</v>
      </c>
      <c r="C294" s="1643" t="e">
        <f>+SUMIF(#REF!,Final!A294,#REF!)</f>
        <v>#REF!</v>
      </c>
      <c r="D294" s="1597" t="e">
        <f>+SUMIF(#REF!,Final!A294,#REF!)</f>
        <v>#REF!</v>
      </c>
      <c r="E294" s="1643" t="e">
        <f>SUMIF(#REF!,Final!A294,#REF!)</f>
        <v>#REF!</v>
      </c>
      <c r="F294" s="1644" t="e">
        <f>SUMIF(#REF!,Final!A294,#REF!)</f>
        <v>#REF!</v>
      </c>
      <c r="G294" s="1597" t="e">
        <f t="shared" si="16"/>
        <v>#REF!</v>
      </c>
      <c r="H294" s="1644" t="e">
        <f t="shared" si="17"/>
        <v>#REF!</v>
      </c>
      <c r="I294" s="1597" t="e">
        <f t="shared" si="18"/>
        <v>#REF!</v>
      </c>
      <c r="J294" s="1644" t="e">
        <f t="shared" si="19"/>
        <v>#REF!</v>
      </c>
      <c r="K294" s="1539"/>
      <c r="L294" s="1539"/>
      <c r="M294" s="1545"/>
      <c r="N294" s="1545"/>
      <c r="O294" s="1539"/>
      <c r="P294" s="1539"/>
      <c r="Q294" s="1539"/>
      <c r="R294" s="1539"/>
      <c r="S294" s="1539"/>
      <c r="T294" s="1539"/>
      <c r="U294" s="1539"/>
      <c r="V294" s="1539"/>
      <c r="W294" s="1539"/>
      <c r="X294" s="1539"/>
      <c r="Y294" s="1539"/>
      <c r="Z294" s="1539"/>
      <c r="AA294" s="1539"/>
      <c r="AB294" s="1539"/>
      <c r="AC294" s="1539"/>
      <c r="AD294" s="1539"/>
      <c r="AE294" s="1539"/>
      <c r="AF294" s="1539"/>
      <c r="AG294" s="1539"/>
      <c r="AH294" s="1539"/>
      <c r="AI294" s="1539"/>
      <c r="AJ294" s="1539"/>
      <c r="AK294" s="1539"/>
      <c r="AL294" s="1539"/>
      <c r="AM294" s="1539"/>
      <c r="AN294" s="1539"/>
      <c r="AO294" s="1539"/>
      <c r="AP294" s="1539"/>
      <c r="AQ294" s="1539"/>
      <c r="AR294" s="1539"/>
      <c r="AS294" s="1539"/>
      <c r="AT294" s="1539"/>
      <c r="AU294" s="1539"/>
      <c r="AV294" s="1539"/>
      <c r="AW294" s="1539"/>
      <c r="AX294" s="1539"/>
      <c r="AY294" s="1539"/>
      <c r="AZ294" s="1539"/>
      <c r="BA294" s="1539"/>
      <c r="BB294" s="1539"/>
      <c r="BC294" s="1539"/>
      <c r="BD294" s="1539"/>
      <c r="BE294" s="1539"/>
      <c r="BF294" s="1539"/>
      <c r="BG294" s="1539"/>
      <c r="BH294" s="1539"/>
      <c r="BI294" s="1539"/>
      <c r="BJ294" s="1539"/>
      <c r="BK294" s="1539"/>
      <c r="BL294" s="1539"/>
      <c r="BM294" s="1539"/>
      <c r="BN294" s="1539"/>
      <c r="BO294" s="1539"/>
      <c r="BP294" s="1539"/>
      <c r="BQ294" s="1539"/>
      <c r="BR294" s="1539"/>
      <c r="BS294" s="1539"/>
      <c r="BT294" s="1539"/>
      <c r="BU294" s="1539"/>
      <c r="BV294" s="1539"/>
      <c r="BW294" s="1539"/>
      <c r="BX294" s="1539"/>
      <c r="BY294" s="1539"/>
      <c r="BZ294" s="1539"/>
      <c r="CA294" s="1539"/>
      <c r="CB294" s="1539"/>
      <c r="CC294" s="1539"/>
      <c r="CD294" s="1539"/>
      <c r="CE294" s="1539"/>
      <c r="CF294" s="1539"/>
      <c r="CG294" s="1539"/>
      <c r="CH294" s="1539"/>
      <c r="CI294" s="1539"/>
      <c r="CJ294" s="1539"/>
      <c r="CK294" s="1539"/>
      <c r="CL294" s="1539"/>
      <c r="CM294" s="1539"/>
      <c r="CN294" s="1539"/>
      <c r="CO294" s="1539"/>
    </row>
    <row r="295" spans="1:93" s="1552" customFormat="1" ht="15.5">
      <c r="A295" s="1598"/>
      <c r="B295" s="1599" t="s">
        <v>1760</v>
      </c>
      <c r="C295" s="1643" t="e">
        <f>+SUMIF(#REF!,Final!A295,#REF!)</f>
        <v>#REF!</v>
      </c>
      <c r="D295" s="1597" t="e">
        <f>+SUMIF(#REF!,Final!A295,#REF!)</f>
        <v>#REF!</v>
      </c>
      <c r="E295" s="1643" t="e">
        <f>SUMIF(#REF!,Final!A295,#REF!)</f>
        <v>#REF!</v>
      </c>
      <c r="F295" s="1644" t="e">
        <f>SUMIF(#REF!,Final!A295,#REF!)</f>
        <v>#REF!</v>
      </c>
      <c r="G295" s="1597" t="e">
        <f t="shared" si="16"/>
        <v>#REF!</v>
      </c>
      <c r="H295" s="1644" t="e">
        <f t="shared" si="17"/>
        <v>#REF!</v>
      </c>
      <c r="I295" s="1597" t="e">
        <f t="shared" si="18"/>
        <v>#REF!</v>
      </c>
      <c r="J295" s="1644" t="e">
        <f t="shared" si="19"/>
        <v>#REF!</v>
      </c>
      <c r="K295" s="1539"/>
      <c r="L295" s="1539"/>
      <c r="M295" s="1545"/>
      <c r="N295" s="1545"/>
      <c r="O295" s="1539"/>
      <c r="P295" s="1539"/>
      <c r="Q295" s="1539"/>
      <c r="R295" s="1539"/>
      <c r="S295" s="1539"/>
      <c r="T295" s="1539"/>
      <c r="U295" s="1539"/>
      <c r="V295" s="1539"/>
      <c r="W295" s="1539"/>
      <c r="X295" s="1539"/>
      <c r="Y295" s="1539"/>
      <c r="Z295" s="1539"/>
      <c r="AA295" s="1539"/>
      <c r="AB295" s="1539"/>
      <c r="AC295" s="1539"/>
      <c r="AD295" s="1539"/>
      <c r="AE295" s="1539"/>
      <c r="AF295" s="1539"/>
      <c r="AG295" s="1539"/>
      <c r="AH295" s="1539"/>
      <c r="AI295" s="1539"/>
      <c r="AJ295" s="1539"/>
      <c r="AK295" s="1539"/>
      <c r="AL295" s="1539"/>
      <c r="AM295" s="1539"/>
      <c r="AN295" s="1539"/>
      <c r="AO295" s="1539"/>
      <c r="AP295" s="1539"/>
      <c r="AQ295" s="1539"/>
      <c r="AR295" s="1539"/>
      <c r="AS295" s="1539"/>
      <c r="AT295" s="1539"/>
      <c r="AU295" s="1539"/>
      <c r="AV295" s="1539"/>
      <c r="AW295" s="1539"/>
      <c r="AX295" s="1539"/>
      <c r="AY295" s="1539"/>
      <c r="AZ295" s="1539"/>
      <c r="BA295" s="1539"/>
      <c r="BB295" s="1539"/>
      <c r="BC295" s="1539"/>
      <c r="BD295" s="1539"/>
      <c r="BE295" s="1539"/>
      <c r="BF295" s="1539"/>
      <c r="BG295" s="1539"/>
      <c r="BH295" s="1539"/>
      <c r="BI295" s="1539"/>
      <c r="BJ295" s="1539"/>
      <c r="BK295" s="1539"/>
      <c r="BL295" s="1539"/>
      <c r="BM295" s="1539"/>
      <c r="BN295" s="1539"/>
      <c r="BO295" s="1539"/>
      <c r="BP295" s="1539"/>
      <c r="BQ295" s="1539"/>
      <c r="BR295" s="1539"/>
      <c r="BS295" s="1539"/>
      <c r="BT295" s="1539"/>
      <c r="BU295" s="1539"/>
      <c r="BV295" s="1539"/>
      <c r="BW295" s="1539"/>
      <c r="BX295" s="1539"/>
      <c r="BY295" s="1539"/>
      <c r="BZ295" s="1539"/>
      <c r="CA295" s="1539"/>
      <c r="CB295" s="1539"/>
      <c r="CC295" s="1539"/>
      <c r="CD295" s="1539"/>
      <c r="CE295" s="1539"/>
      <c r="CF295" s="1539"/>
      <c r="CG295" s="1539"/>
      <c r="CH295" s="1539"/>
      <c r="CI295" s="1539"/>
      <c r="CJ295" s="1539"/>
      <c r="CK295" s="1539"/>
      <c r="CL295" s="1539"/>
      <c r="CM295" s="1539"/>
      <c r="CN295" s="1539"/>
      <c r="CO295" s="1539"/>
    </row>
    <row r="296" spans="1:93" s="1542" customFormat="1" ht="15.5">
      <c r="A296" s="1598" t="s">
        <v>1404</v>
      </c>
      <c r="B296" s="1599" t="s">
        <v>2325</v>
      </c>
      <c r="C296" s="1643" t="e">
        <f>+SUMIF(#REF!,Final!A296,#REF!)</f>
        <v>#REF!</v>
      </c>
      <c r="D296" s="1597" t="e">
        <f>+SUMIF(#REF!,Final!A296,#REF!)</f>
        <v>#REF!</v>
      </c>
      <c r="E296" s="1643" t="e">
        <f>SUMIF(#REF!,Final!A296,#REF!)</f>
        <v>#REF!</v>
      </c>
      <c r="F296" s="1644" t="e">
        <f>SUMIF(#REF!,Final!A296,#REF!)</f>
        <v>#REF!</v>
      </c>
      <c r="G296" s="1597" t="e">
        <f t="shared" si="16"/>
        <v>#REF!</v>
      </c>
      <c r="H296" s="1644" t="e">
        <f t="shared" si="17"/>
        <v>#REF!</v>
      </c>
      <c r="I296" s="1597" t="e">
        <f t="shared" si="18"/>
        <v>#REF!</v>
      </c>
      <c r="J296" s="1644" t="e">
        <f t="shared" si="19"/>
        <v>#REF!</v>
      </c>
      <c r="K296" s="1539"/>
      <c r="L296" s="1539"/>
      <c r="M296" s="1545"/>
      <c r="N296" s="1545"/>
      <c r="O296" s="1539"/>
      <c r="P296" s="1539"/>
      <c r="Q296" s="1539"/>
      <c r="R296" s="1539"/>
      <c r="S296" s="1539"/>
      <c r="T296" s="1539"/>
      <c r="U296" s="1539"/>
      <c r="V296" s="1539"/>
      <c r="W296" s="1539"/>
      <c r="X296" s="1539"/>
      <c r="Y296" s="1539"/>
      <c r="Z296" s="1539"/>
      <c r="AA296" s="1539"/>
      <c r="AB296" s="1539"/>
      <c r="AC296" s="1539"/>
      <c r="AD296" s="1539"/>
      <c r="AE296" s="1539"/>
      <c r="AF296" s="1539"/>
      <c r="AG296" s="1539"/>
      <c r="AH296" s="1539"/>
      <c r="AI296" s="1539"/>
      <c r="AJ296" s="1539"/>
      <c r="AK296" s="1539"/>
      <c r="AL296" s="1539"/>
      <c r="AM296" s="1539"/>
      <c r="AN296" s="1539"/>
      <c r="AO296" s="1539"/>
      <c r="AP296" s="1539"/>
      <c r="AQ296" s="1539"/>
      <c r="AR296" s="1539"/>
      <c r="AS296" s="1539"/>
      <c r="AT296" s="1539"/>
      <c r="AU296" s="1539"/>
      <c r="AV296" s="1539"/>
      <c r="AW296" s="1539"/>
      <c r="AX296" s="1539"/>
      <c r="AY296" s="1539"/>
      <c r="AZ296" s="1539"/>
      <c r="BA296" s="1539"/>
      <c r="BB296" s="1539"/>
      <c r="BC296" s="1539"/>
      <c r="BD296" s="1539"/>
      <c r="BE296" s="1539"/>
      <c r="BF296" s="1539"/>
      <c r="BG296" s="1539"/>
      <c r="BH296" s="1539"/>
      <c r="BI296" s="1539"/>
      <c r="BJ296" s="1539"/>
      <c r="BK296" s="1539"/>
      <c r="BL296" s="1539"/>
      <c r="BM296" s="1539"/>
      <c r="BN296" s="1539"/>
      <c r="BO296" s="1539"/>
      <c r="BP296" s="1539"/>
      <c r="BQ296" s="1539"/>
      <c r="BR296" s="1539"/>
      <c r="BS296" s="1539"/>
      <c r="BT296" s="1539"/>
      <c r="BU296" s="1539"/>
      <c r="BV296" s="1539"/>
      <c r="BW296" s="1539"/>
      <c r="BX296" s="1539"/>
      <c r="BY296" s="1539"/>
      <c r="BZ296" s="1539"/>
      <c r="CA296" s="1539"/>
      <c r="CB296" s="1539"/>
      <c r="CC296" s="1539"/>
      <c r="CD296" s="1539"/>
      <c r="CE296" s="1539"/>
      <c r="CF296" s="1539"/>
      <c r="CG296" s="1539"/>
      <c r="CH296" s="1539"/>
      <c r="CI296" s="1539"/>
      <c r="CJ296" s="1539"/>
      <c r="CK296" s="1539"/>
      <c r="CL296" s="1539"/>
      <c r="CM296" s="1539"/>
      <c r="CN296" s="1539"/>
      <c r="CO296" s="1539"/>
    </row>
    <row r="297" spans="1:93" ht="15.5">
      <c r="A297" s="1598" t="s">
        <v>2326</v>
      </c>
      <c r="B297" s="1599" t="s">
        <v>2208</v>
      </c>
      <c r="C297" s="1643" t="e">
        <f>+SUMIF(#REF!,Final!A297,#REF!)</f>
        <v>#REF!</v>
      </c>
      <c r="D297" s="1597" t="e">
        <f>+SUMIF(#REF!,Final!A297,#REF!)</f>
        <v>#REF!</v>
      </c>
      <c r="E297" s="1643" t="e">
        <f>SUMIF(#REF!,Final!A297,#REF!)</f>
        <v>#REF!</v>
      </c>
      <c r="F297" s="1644" t="e">
        <f>SUMIF(#REF!,Final!A297,#REF!)</f>
        <v>#REF!</v>
      </c>
      <c r="G297" s="1597" t="e">
        <f t="shared" si="16"/>
        <v>#REF!</v>
      </c>
      <c r="H297" s="1644" t="e">
        <f t="shared" si="17"/>
        <v>#REF!</v>
      </c>
      <c r="I297" s="1597" t="e">
        <f t="shared" si="18"/>
        <v>#REF!</v>
      </c>
      <c r="J297" s="1644" t="e">
        <f t="shared" si="19"/>
        <v>#REF!</v>
      </c>
      <c r="M297" s="1545"/>
      <c r="N297" s="1545"/>
    </row>
    <row r="298" spans="1:93" ht="15.5">
      <c r="A298" s="1598" t="s">
        <v>2327</v>
      </c>
      <c r="B298" s="1599" t="s">
        <v>2210</v>
      </c>
      <c r="C298" s="1643" t="e">
        <f>+SUMIF(#REF!,Final!A298,#REF!)</f>
        <v>#REF!</v>
      </c>
      <c r="D298" s="1597" t="e">
        <f>+SUMIF(#REF!,Final!A298,#REF!)</f>
        <v>#REF!</v>
      </c>
      <c r="E298" s="1643" t="e">
        <f>SUMIF(#REF!,Final!A298,#REF!)</f>
        <v>#REF!</v>
      </c>
      <c r="F298" s="1644" t="e">
        <f>SUMIF(#REF!,Final!A298,#REF!)</f>
        <v>#REF!</v>
      </c>
      <c r="G298" s="1597" t="e">
        <f t="shared" si="16"/>
        <v>#REF!</v>
      </c>
      <c r="H298" s="1644" t="e">
        <f t="shared" si="17"/>
        <v>#REF!</v>
      </c>
      <c r="I298" s="1597" t="e">
        <f t="shared" si="18"/>
        <v>#REF!</v>
      </c>
      <c r="J298" s="1644" t="e">
        <f t="shared" si="19"/>
        <v>#REF!</v>
      </c>
      <c r="M298" s="1545"/>
      <c r="N298" s="1545"/>
    </row>
    <row r="299" spans="1:93" s="1542" customFormat="1" ht="15.5">
      <c r="A299" s="1598" t="s">
        <v>2328</v>
      </c>
      <c r="B299" s="1599" t="s">
        <v>2152</v>
      </c>
      <c r="C299" s="1643" t="e">
        <f>+SUMIF(#REF!,Final!A299,#REF!)</f>
        <v>#REF!</v>
      </c>
      <c r="D299" s="1597" t="e">
        <f>+SUMIF(#REF!,Final!A299,#REF!)</f>
        <v>#REF!</v>
      </c>
      <c r="E299" s="1643" t="e">
        <f>SUMIF(#REF!,Final!A299,#REF!)</f>
        <v>#REF!</v>
      </c>
      <c r="F299" s="1644" t="e">
        <f>SUMIF(#REF!,Final!A299,#REF!)</f>
        <v>#REF!</v>
      </c>
      <c r="G299" s="1597" t="e">
        <f t="shared" si="16"/>
        <v>#REF!</v>
      </c>
      <c r="H299" s="1644" t="e">
        <f t="shared" si="17"/>
        <v>#REF!</v>
      </c>
      <c r="I299" s="1597" t="e">
        <f t="shared" si="18"/>
        <v>#REF!</v>
      </c>
      <c r="J299" s="1644" t="e">
        <f t="shared" si="19"/>
        <v>#REF!</v>
      </c>
      <c r="K299" s="1539"/>
      <c r="L299" s="1539"/>
      <c r="M299" s="1545"/>
      <c r="N299" s="1545"/>
      <c r="O299" s="1539"/>
      <c r="P299" s="1539"/>
      <c r="Q299" s="1539"/>
      <c r="R299" s="1539"/>
      <c r="S299" s="1539"/>
      <c r="T299" s="1539"/>
      <c r="U299" s="1539"/>
      <c r="V299" s="1539"/>
      <c r="W299" s="1539"/>
      <c r="X299" s="1539"/>
      <c r="Y299" s="1539"/>
      <c r="Z299" s="1539"/>
      <c r="AA299" s="1539"/>
      <c r="AB299" s="1539"/>
      <c r="AC299" s="1539"/>
      <c r="AD299" s="1539"/>
      <c r="AE299" s="1539"/>
      <c r="AF299" s="1539"/>
      <c r="AG299" s="1539"/>
      <c r="AH299" s="1539"/>
      <c r="AI299" s="1539"/>
      <c r="AJ299" s="1539"/>
      <c r="AK299" s="1539"/>
      <c r="AL299" s="1539"/>
      <c r="AM299" s="1539"/>
      <c r="AN299" s="1539"/>
      <c r="AO299" s="1539"/>
      <c r="AP299" s="1539"/>
      <c r="AQ299" s="1539"/>
      <c r="AR299" s="1539"/>
      <c r="AS299" s="1539"/>
      <c r="AT299" s="1539"/>
      <c r="AU299" s="1539"/>
      <c r="AV299" s="1539"/>
      <c r="AW299" s="1539"/>
      <c r="AX299" s="1539"/>
      <c r="AY299" s="1539"/>
      <c r="AZ299" s="1539"/>
      <c r="BA299" s="1539"/>
      <c r="BB299" s="1539"/>
      <c r="BC299" s="1539"/>
      <c r="BD299" s="1539"/>
      <c r="BE299" s="1539"/>
      <c r="BF299" s="1539"/>
      <c r="BG299" s="1539"/>
      <c r="BH299" s="1539"/>
      <c r="BI299" s="1539"/>
      <c r="BJ299" s="1539"/>
      <c r="BK299" s="1539"/>
      <c r="BL299" s="1539"/>
      <c r="BM299" s="1539"/>
      <c r="BN299" s="1539"/>
      <c r="BO299" s="1539"/>
      <c r="BP299" s="1539"/>
      <c r="BQ299" s="1539"/>
      <c r="BR299" s="1539"/>
      <c r="BS299" s="1539"/>
      <c r="BT299" s="1539"/>
      <c r="BU299" s="1539"/>
      <c r="BV299" s="1539"/>
      <c r="BW299" s="1539"/>
      <c r="BX299" s="1539"/>
      <c r="BY299" s="1539"/>
      <c r="BZ299" s="1539"/>
      <c r="CA299" s="1539"/>
      <c r="CB299" s="1539"/>
      <c r="CC299" s="1539"/>
      <c r="CD299" s="1539"/>
      <c r="CE299" s="1539"/>
      <c r="CF299" s="1539"/>
      <c r="CG299" s="1539"/>
      <c r="CH299" s="1539"/>
      <c r="CI299" s="1539"/>
      <c r="CJ299" s="1539"/>
      <c r="CK299" s="1539"/>
      <c r="CL299" s="1539"/>
      <c r="CM299" s="1539"/>
      <c r="CN299" s="1539"/>
      <c r="CO299" s="1539"/>
    </row>
    <row r="300" spans="1:93" ht="15.5">
      <c r="A300" s="1598" t="s">
        <v>2329</v>
      </c>
      <c r="B300" s="1599" t="s">
        <v>2154</v>
      </c>
      <c r="C300" s="1643" t="e">
        <f>+SUMIF(#REF!,Final!A300,#REF!)</f>
        <v>#REF!</v>
      </c>
      <c r="D300" s="1597" t="e">
        <f>+SUMIF(#REF!,Final!A300,#REF!)</f>
        <v>#REF!</v>
      </c>
      <c r="E300" s="1643" t="e">
        <f>SUMIF(#REF!,Final!A300,#REF!)</f>
        <v>#REF!</v>
      </c>
      <c r="F300" s="1644" t="e">
        <f>SUMIF(#REF!,Final!A300,#REF!)</f>
        <v>#REF!</v>
      </c>
      <c r="G300" s="1597" t="e">
        <f t="shared" si="16"/>
        <v>#REF!</v>
      </c>
      <c r="H300" s="1644" t="e">
        <f t="shared" si="17"/>
        <v>#REF!</v>
      </c>
      <c r="I300" s="1597" t="e">
        <f t="shared" si="18"/>
        <v>#REF!</v>
      </c>
      <c r="J300" s="1644" t="e">
        <f t="shared" si="19"/>
        <v>#REF!</v>
      </c>
      <c r="M300" s="1545"/>
      <c r="N300" s="1545"/>
    </row>
    <row r="301" spans="1:93" ht="15.5">
      <c r="A301" s="1598" t="s">
        <v>2330</v>
      </c>
      <c r="B301" s="1599" t="s">
        <v>2156</v>
      </c>
      <c r="C301" s="1643" t="e">
        <f>+SUMIF(#REF!,Final!A301,#REF!)</f>
        <v>#REF!</v>
      </c>
      <c r="D301" s="1597" t="e">
        <f>+SUMIF(#REF!,Final!A301,#REF!)</f>
        <v>#REF!</v>
      </c>
      <c r="E301" s="1643" t="e">
        <f>SUMIF(#REF!,Final!A301,#REF!)</f>
        <v>#REF!</v>
      </c>
      <c r="F301" s="1644" t="e">
        <f>SUMIF(#REF!,Final!A301,#REF!)</f>
        <v>#REF!</v>
      </c>
      <c r="G301" s="1597" t="e">
        <f t="shared" si="16"/>
        <v>#REF!</v>
      </c>
      <c r="H301" s="1644" t="e">
        <f t="shared" si="17"/>
        <v>#REF!</v>
      </c>
      <c r="I301" s="1597" t="e">
        <f t="shared" si="18"/>
        <v>#REF!</v>
      </c>
      <c r="J301" s="1644" t="e">
        <f t="shared" si="19"/>
        <v>#REF!</v>
      </c>
      <c r="M301" s="1545"/>
      <c r="N301" s="1545"/>
    </row>
    <row r="302" spans="1:93" ht="15.5">
      <c r="A302" s="1598" t="s">
        <v>2331</v>
      </c>
      <c r="B302" s="1599" t="s">
        <v>2168</v>
      </c>
      <c r="C302" s="1643" t="e">
        <f>+SUMIF(#REF!,Final!A302,#REF!)</f>
        <v>#REF!</v>
      </c>
      <c r="D302" s="1597" t="e">
        <f>+SUMIF(#REF!,Final!A302,#REF!)</f>
        <v>#REF!</v>
      </c>
      <c r="E302" s="1643" t="e">
        <f>SUMIF(#REF!,Final!A302,#REF!)</f>
        <v>#REF!</v>
      </c>
      <c r="F302" s="1644" t="e">
        <f>SUMIF(#REF!,Final!A302,#REF!)</f>
        <v>#REF!</v>
      </c>
      <c r="G302" s="1597" t="e">
        <f t="shared" si="16"/>
        <v>#REF!</v>
      </c>
      <c r="H302" s="1644" t="e">
        <f t="shared" si="17"/>
        <v>#REF!</v>
      </c>
      <c r="I302" s="1597" t="e">
        <f t="shared" si="18"/>
        <v>#REF!</v>
      </c>
      <c r="J302" s="1644" t="e">
        <f t="shared" si="19"/>
        <v>#REF!</v>
      </c>
      <c r="M302" s="1545"/>
      <c r="N302" s="1545"/>
    </row>
    <row r="303" spans="1:93" ht="15.5">
      <c r="A303" s="1598" t="s">
        <v>2332</v>
      </c>
      <c r="B303" s="1599" t="s">
        <v>2170</v>
      </c>
      <c r="C303" s="1643" t="e">
        <f>+SUMIF(#REF!,Final!A303,#REF!)</f>
        <v>#REF!</v>
      </c>
      <c r="D303" s="1597" t="e">
        <f>+SUMIF(#REF!,Final!A303,#REF!)</f>
        <v>#REF!</v>
      </c>
      <c r="E303" s="1643" t="e">
        <f>SUMIF(#REF!,Final!A303,#REF!)</f>
        <v>#REF!</v>
      </c>
      <c r="F303" s="1644" t="e">
        <f>SUMIF(#REF!,Final!A303,#REF!)</f>
        <v>#REF!</v>
      </c>
      <c r="G303" s="1597" t="e">
        <f t="shared" si="16"/>
        <v>#REF!</v>
      </c>
      <c r="H303" s="1644" t="e">
        <f t="shared" si="17"/>
        <v>#REF!</v>
      </c>
      <c r="I303" s="1597" t="e">
        <f t="shared" si="18"/>
        <v>#REF!</v>
      </c>
      <c r="J303" s="1644" t="e">
        <f t="shared" si="19"/>
        <v>#REF!</v>
      </c>
      <c r="M303" s="1545"/>
      <c r="N303" s="1545"/>
    </row>
    <row r="304" spans="1:93" ht="15.5">
      <c r="A304" s="1598" t="s">
        <v>2333</v>
      </c>
      <c r="B304" s="1599" t="s">
        <v>2176</v>
      </c>
      <c r="C304" s="1643" t="e">
        <f>+SUMIF(#REF!,Final!A304,#REF!)</f>
        <v>#REF!</v>
      </c>
      <c r="D304" s="1597" t="e">
        <f>+SUMIF(#REF!,Final!A304,#REF!)</f>
        <v>#REF!</v>
      </c>
      <c r="E304" s="1643" t="e">
        <f>SUMIF(#REF!,Final!A304,#REF!)</f>
        <v>#REF!</v>
      </c>
      <c r="F304" s="1644" t="e">
        <f>SUMIF(#REF!,Final!A304,#REF!)</f>
        <v>#REF!</v>
      </c>
      <c r="G304" s="1597" t="e">
        <f t="shared" si="16"/>
        <v>#REF!</v>
      </c>
      <c r="H304" s="1644" t="e">
        <f t="shared" si="17"/>
        <v>#REF!</v>
      </c>
      <c r="I304" s="1597" t="e">
        <f t="shared" si="18"/>
        <v>#REF!</v>
      </c>
      <c r="J304" s="1644" t="e">
        <f t="shared" si="19"/>
        <v>#REF!</v>
      </c>
      <c r="M304" s="1545"/>
      <c r="N304" s="1545"/>
    </row>
    <row r="305" spans="1:93" s="1542" customFormat="1" ht="15.5">
      <c r="A305" s="1598" t="s">
        <v>2334</v>
      </c>
      <c r="B305" s="1599" t="s">
        <v>2178</v>
      </c>
      <c r="C305" s="1643" t="e">
        <f>+SUMIF(#REF!,Final!A305,#REF!)</f>
        <v>#REF!</v>
      </c>
      <c r="D305" s="1597" t="e">
        <f>+SUMIF(#REF!,Final!A305,#REF!)</f>
        <v>#REF!</v>
      </c>
      <c r="E305" s="1643" t="e">
        <f>SUMIF(#REF!,Final!A305,#REF!)</f>
        <v>#REF!</v>
      </c>
      <c r="F305" s="1644" t="e">
        <f>SUMIF(#REF!,Final!A305,#REF!)</f>
        <v>#REF!</v>
      </c>
      <c r="G305" s="1597" t="e">
        <f t="shared" si="16"/>
        <v>#REF!</v>
      </c>
      <c r="H305" s="1644" t="e">
        <f t="shared" si="17"/>
        <v>#REF!</v>
      </c>
      <c r="I305" s="1597" t="e">
        <f t="shared" si="18"/>
        <v>#REF!</v>
      </c>
      <c r="J305" s="1644" t="e">
        <f t="shared" si="19"/>
        <v>#REF!</v>
      </c>
      <c r="K305" s="1539"/>
      <c r="L305" s="1539"/>
      <c r="M305" s="1545"/>
      <c r="N305" s="1545"/>
      <c r="O305" s="1539"/>
      <c r="P305" s="1539"/>
      <c r="Q305" s="1539"/>
      <c r="R305" s="1539"/>
      <c r="S305" s="1539"/>
      <c r="T305" s="1539"/>
      <c r="U305" s="1539"/>
      <c r="V305" s="1539"/>
      <c r="W305" s="1539"/>
      <c r="X305" s="1539"/>
      <c r="Y305" s="1539"/>
      <c r="Z305" s="1539"/>
      <c r="AA305" s="1539"/>
      <c r="AB305" s="1539"/>
      <c r="AC305" s="1539"/>
      <c r="AD305" s="1539"/>
      <c r="AE305" s="1539"/>
      <c r="AF305" s="1539"/>
      <c r="AG305" s="1539"/>
      <c r="AH305" s="1539"/>
      <c r="AI305" s="1539"/>
      <c r="AJ305" s="1539"/>
      <c r="AK305" s="1539"/>
      <c r="AL305" s="1539"/>
      <c r="AM305" s="1539"/>
      <c r="AN305" s="1539"/>
      <c r="AO305" s="1539"/>
      <c r="AP305" s="1539"/>
      <c r="AQ305" s="1539"/>
      <c r="AR305" s="1539"/>
      <c r="AS305" s="1539"/>
      <c r="AT305" s="1539"/>
      <c r="AU305" s="1539"/>
      <c r="AV305" s="1539"/>
      <c r="AW305" s="1539"/>
      <c r="AX305" s="1539"/>
      <c r="AY305" s="1539"/>
      <c r="AZ305" s="1539"/>
      <c r="BA305" s="1539"/>
      <c r="BB305" s="1539"/>
      <c r="BC305" s="1539"/>
      <c r="BD305" s="1539"/>
      <c r="BE305" s="1539"/>
      <c r="BF305" s="1539"/>
      <c r="BG305" s="1539"/>
      <c r="BH305" s="1539"/>
      <c r="BI305" s="1539"/>
      <c r="BJ305" s="1539"/>
      <c r="BK305" s="1539"/>
      <c r="BL305" s="1539"/>
      <c r="BM305" s="1539"/>
      <c r="BN305" s="1539"/>
      <c r="BO305" s="1539"/>
      <c r="BP305" s="1539"/>
      <c r="BQ305" s="1539"/>
      <c r="BR305" s="1539"/>
      <c r="BS305" s="1539"/>
      <c r="BT305" s="1539"/>
      <c r="BU305" s="1539"/>
      <c r="BV305" s="1539"/>
      <c r="BW305" s="1539"/>
      <c r="BX305" s="1539"/>
      <c r="BY305" s="1539"/>
      <c r="BZ305" s="1539"/>
      <c r="CA305" s="1539"/>
      <c r="CB305" s="1539"/>
      <c r="CC305" s="1539"/>
      <c r="CD305" s="1539"/>
      <c r="CE305" s="1539"/>
      <c r="CF305" s="1539"/>
      <c r="CG305" s="1539"/>
      <c r="CH305" s="1539"/>
      <c r="CI305" s="1539"/>
      <c r="CJ305" s="1539"/>
      <c r="CK305" s="1539"/>
      <c r="CL305" s="1539"/>
      <c r="CM305" s="1539"/>
      <c r="CN305" s="1539"/>
      <c r="CO305" s="1539"/>
    </row>
    <row r="306" spans="1:93" ht="15.5">
      <c r="A306" s="1598" t="s">
        <v>2335</v>
      </c>
      <c r="B306" s="1599" t="s">
        <v>2180</v>
      </c>
      <c r="C306" s="1643" t="e">
        <f>+SUMIF(#REF!,Final!A306,#REF!)</f>
        <v>#REF!</v>
      </c>
      <c r="D306" s="1597" t="e">
        <f>+SUMIF(#REF!,Final!A306,#REF!)</f>
        <v>#REF!</v>
      </c>
      <c r="E306" s="1643" t="e">
        <f>SUMIF(#REF!,Final!A306,#REF!)</f>
        <v>#REF!</v>
      </c>
      <c r="F306" s="1644" t="e">
        <f>SUMIF(#REF!,Final!A306,#REF!)</f>
        <v>#REF!</v>
      </c>
      <c r="G306" s="1597" t="e">
        <f t="shared" si="16"/>
        <v>#REF!</v>
      </c>
      <c r="H306" s="1644" t="e">
        <f t="shared" si="17"/>
        <v>#REF!</v>
      </c>
      <c r="I306" s="1597" t="e">
        <f t="shared" si="18"/>
        <v>#REF!</v>
      </c>
      <c r="J306" s="1644" t="e">
        <f t="shared" si="19"/>
        <v>#REF!</v>
      </c>
      <c r="M306" s="1545"/>
      <c r="N306" s="1545"/>
    </row>
    <row r="307" spans="1:93" ht="15.5">
      <c r="A307" s="1598" t="s">
        <v>2336</v>
      </c>
      <c r="B307" s="1599" t="s">
        <v>2303</v>
      </c>
      <c r="C307" s="1643" t="e">
        <f>+SUMIF(#REF!,Final!A307,#REF!)</f>
        <v>#REF!</v>
      </c>
      <c r="D307" s="1597" t="e">
        <f>+SUMIF(#REF!,Final!A307,#REF!)</f>
        <v>#REF!</v>
      </c>
      <c r="E307" s="1643" t="e">
        <f>SUMIF(#REF!,Final!A307,#REF!)</f>
        <v>#REF!</v>
      </c>
      <c r="F307" s="1644" t="e">
        <f>SUMIF(#REF!,Final!A307,#REF!)</f>
        <v>#REF!</v>
      </c>
      <c r="G307" s="1597" t="e">
        <f t="shared" si="16"/>
        <v>#REF!</v>
      </c>
      <c r="H307" s="1644" t="e">
        <f t="shared" si="17"/>
        <v>#REF!</v>
      </c>
      <c r="I307" s="1597" t="e">
        <f t="shared" si="18"/>
        <v>#REF!</v>
      </c>
      <c r="J307" s="1644" t="e">
        <f t="shared" si="19"/>
        <v>#REF!</v>
      </c>
      <c r="M307" s="1545"/>
      <c r="N307" s="1545"/>
    </row>
    <row r="308" spans="1:93" ht="15.5">
      <c r="A308" s="1598" t="s">
        <v>2337</v>
      </c>
      <c r="B308" s="1599" t="s">
        <v>2305</v>
      </c>
      <c r="C308" s="1643" t="e">
        <f>+SUMIF(#REF!,Final!A308,#REF!)</f>
        <v>#REF!</v>
      </c>
      <c r="D308" s="1597" t="e">
        <f>+SUMIF(#REF!,Final!A308,#REF!)</f>
        <v>#REF!</v>
      </c>
      <c r="E308" s="1643" t="e">
        <f>SUMIF(#REF!,Final!A308,#REF!)</f>
        <v>#REF!</v>
      </c>
      <c r="F308" s="1644" t="e">
        <f>SUMIF(#REF!,Final!A308,#REF!)</f>
        <v>#REF!</v>
      </c>
      <c r="G308" s="1597" t="e">
        <f t="shared" si="16"/>
        <v>#REF!</v>
      </c>
      <c r="H308" s="1644" t="e">
        <f t="shared" si="17"/>
        <v>#REF!</v>
      </c>
      <c r="I308" s="1597" t="e">
        <f t="shared" si="18"/>
        <v>#REF!</v>
      </c>
      <c r="J308" s="1644" t="e">
        <f t="shared" si="19"/>
        <v>#REF!</v>
      </c>
      <c r="M308" s="1545"/>
      <c r="N308" s="1545"/>
    </row>
    <row r="309" spans="1:93" s="1552" customFormat="1" ht="15.5">
      <c r="A309" s="1598"/>
      <c r="B309" s="1599" t="s">
        <v>754</v>
      </c>
      <c r="C309" s="1643" t="e">
        <f>+SUMIF(#REF!,Final!A309,#REF!)</f>
        <v>#REF!</v>
      </c>
      <c r="D309" s="1597" t="e">
        <f>+SUMIF(#REF!,Final!A309,#REF!)</f>
        <v>#REF!</v>
      </c>
      <c r="E309" s="1643" t="e">
        <f>SUMIF(#REF!,Final!A309,#REF!)</f>
        <v>#REF!</v>
      </c>
      <c r="F309" s="1644" t="e">
        <f>SUMIF(#REF!,Final!A309,#REF!)</f>
        <v>#REF!</v>
      </c>
      <c r="G309" s="1597" t="e">
        <f t="shared" si="16"/>
        <v>#REF!</v>
      </c>
      <c r="H309" s="1644" t="e">
        <f t="shared" si="17"/>
        <v>#REF!</v>
      </c>
      <c r="I309" s="1597" t="e">
        <f t="shared" si="18"/>
        <v>#REF!</v>
      </c>
      <c r="J309" s="1644" t="e">
        <f t="shared" si="19"/>
        <v>#REF!</v>
      </c>
      <c r="K309" s="1539"/>
      <c r="L309" s="1539"/>
      <c r="M309" s="1545"/>
      <c r="N309" s="1545"/>
      <c r="O309" s="1539"/>
      <c r="P309" s="1539"/>
      <c r="Q309" s="1539"/>
      <c r="R309" s="1539"/>
      <c r="S309" s="1539"/>
      <c r="T309" s="1539"/>
      <c r="U309" s="1539"/>
      <c r="V309" s="1539"/>
      <c r="W309" s="1539"/>
      <c r="X309" s="1539"/>
      <c r="Y309" s="1539"/>
      <c r="Z309" s="1539"/>
      <c r="AA309" s="1539"/>
      <c r="AB309" s="1539"/>
      <c r="AC309" s="1539"/>
      <c r="AD309" s="1539"/>
      <c r="AE309" s="1539"/>
      <c r="AF309" s="1539"/>
      <c r="AG309" s="1539"/>
      <c r="AH309" s="1539"/>
      <c r="AI309" s="1539"/>
      <c r="AJ309" s="1539"/>
      <c r="AK309" s="1539"/>
      <c r="AL309" s="1539"/>
      <c r="AM309" s="1539"/>
      <c r="AN309" s="1539"/>
      <c r="AO309" s="1539"/>
      <c r="AP309" s="1539"/>
      <c r="AQ309" s="1539"/>
      <c r="AR309" s="1539"/>
      <c r="AS309" s="1539"/>
      <c r="AT309" s="1539"/>
      <c r="AU309" s="1539"/>
      <c r="AV309" s="1539"/>
      <c r="AW309" s="1539"/>
      <c r="AX309" s="1539"/>
      <c r="AY309" s="1539"/>
      <c r="AZ309" s="1539"/>
      <c r="BA309" s="1539"/>
      <c r="BB309" s="1539"/>
      <c r="BC309" s="1539"/>
      <c r="BD309" s="1539"/>
      <c r="BE309" s="1539"/>
      <c r="BF309" s="1539"/>
      <c r="BG309" s="1539"/>
      <c r="BH309" s="1539"/>
      <c r="BI309" s="1539"/>
      <c r="BJ309" s="1539"/>
      <c r="BK309" s="1539"/>
      <c r="BL309" s="1539"/>
      <c r="BM309" s="1539"/>
      <c r="BN309" s="1539"/>
      <c r="BO309" s="1539"/>
      <c r="BP309" s="1539"/>
      <c r="BQ309" s="1539"/>
      <c r="BR309" s="1539"/>
      <c r="BS309" s="1539"/>
      <c r="BT309" s="1539"/>
      <c r="BU309" s="1539"/>
      <c r="BV309" s="1539"/>
      <c r="BW309" s="1539"/>
      <c r="BX309" s="1539"/>
      <c r="BY309" s="1539"/>
      <c r="BZ309" s="1539"/>
      <c r="CA309" s="1539"/>
      <c r="CB309" s="1539"/>
      <c r="CC309" s="1539"/>
      <c r="CD309" s="1539"/>
      <c r="CE309" s="1539"/>
      <c r="CF309" s="1539"/>
      <c r="CG309" s="1539"/>
      <c r="CH309" s="1539"/>
      <c r="CI309" s="1539"/>
      <c r="CJ309" s="1539"/>
      <c r="CK309" s="1539"/>
      <c r="CL309" s="1539"/>
      <c r="CM309" s="1539"/>
      <c r="CN309" s="1539"/>
      <c r="CO309" s="1539"/>
    </row>
    <row r="310" spans="1:93" s="1552" customFormat="1" ht="15.5">
      <c r="A310" s="1598"/>
      <c r="B310" s="1599" t="s">
        <v>1760</v>
      </c>
      <c r="C310" s="1643" t="e">
        <f>+SUMIF(#REF!,Final!A310,#REF!)</f>
        <v>#REF!</v>
      </c>
      <c r="D310" s="1597" t="e">
        <f>+SUMIF(#REF!,Final!A310,#REF!)</f>
        <v>#REF!</v>
      </c>
      <c r="E310" s="1643" t="e">
        <f>SUMIF(#REF!,Final!A310,#REF!)</f>
        <v>#REF!</v>
      </c>
      <c r="F310" s="1644" t="e">
        <f>SUMIF(#REF!,Final!A310,#REF!)</f>
        <v>#REF!</v>
      </c>
      <c r="G310" s="1597" t="e">
        <f t="shared" si="16"/>
        <v>#REF!</v>
      </c>
      <c r="H310" s="1644" t="e">
        <f t="shared" si="17"/>
        <v>#REF!</v>
      </c>
      <c r="I310" s="1597" t="e">
        <f t="shared" si="18"/>
        <v>#REF!</v>
      </c>
      <c r="J310" s="1644" t="e">
        <f t="shared" si="19"/>
        <v>#REF!</v>
      </c>
      <c r="K310" s="1539"/>
      <c r="L310" s="1539"/>
      <c r="M310" s="1545"/>
      <c r="N310" s="1545"/>
      <c r="O310" s="1539"/>
      <c r="P310" s="1539"/>
      <c r="Q310" s="1539"/>
      <c r="R310" s="1539"/>
      <c r="S310" s="1539"/>
      <c r="T310" s="1539"/>
      <c r="U310" s="1539"/>
      <c r="V310" s="1539"/>
      <c r="W310" s="1539"/>
      <c r="X310" s="1539"/>
      <c r="Y310" s="1539"/>
      <c r="Z310" s="1539"/>
      <c r="AA310" s="1539"/>
      <c r="AB310" s="1539"/>
      <c r="AC310" s="1539"/>
      <c r="AD310" s="1539"/>
      <c r="AE310" s="1539"/>
      <c r="AF310" s="1539"/>
      <c r="AG310" s="1539"/>
      <c r="AH310" s="1539"/>
      <c r="AI310" s="1539"/>
      <c r="AJ310" s="1539"/>
      <c r="AK310" s="1539"/>
      <c r="AL310" s="1539"/>
      <c r="AM310" s="1539"/>
      <c r="AN310" s="1539"/>
      <c r="AO310" s="1539"/>
      <c r="AP310" s="1539"/>
      <c r="AQ310" s="1539"/>
      <c r="AR310" s="1539"/>
      <c r="AS310" s="1539"/>
      <c r="AT310" s="1539"/>
      <c r="AU310" s="1539"/>
      <c r="AV310" s="1539"/>
      <c r="AW310" s="1539"/>
      <c r="AX310" s="1539"/>
      <c r="AY310" s="1539"/>
      <c r="AZ310" s="1539"/>
      <c r="BA310" s="1539"/>
      <c r="BB310" s="1539"/>
      <c r="BC310" s="1539"/>
      <c r="BD310" s="1539"/>
      <c r="BE310" s="1539"/>
      <c r="BF310" s="1539"/>
      <c r="BG310" s="1539"/>
      <c r="BH310" s="1539"/>
      <c r="BI310" s="1539"/>
      <c r="BJ310" s="1539"/>
      <c r="BK310" s="1539"/>
      <c r="BL310" s="1539"/>
      <c r="BM310" s="1539"/>
      <c r="BN310" s="1539"/>
      <c r="BO310" s="1539"/>
      <c r="BP310" s="1539"/>
      <c r="BQ310" s="1539"/>
      <c r="BR310" s="1539"/>
      <c r="BS310" s="1539"/>
      <c r="BT310" s="1539"/>
      <c r="BU310" s="1539"/>
      <c r="BV310" s="1539"/>
      <c r="BW310" s="1539"/>
      <c r="BX310" s="1539"/>
      <c r="BY310" s="1539"/>
      <c r="BZ310" s="1539"/>
      <c r="CA310" s="1539"/>
      <c r="CB310" s="1539"/>
      <c r="CC310" s="1539"/>
      <c r="CD310" s="1539"/>
      <c r="CE310" s="1539"/>
      <c r="CF310" s="1539"/>
      <c r="CG310" s="1539"/>
      <c r="CH310" s="1539"/>
      <c r="CI310" s="1539"/>
      <c r="CJ310" s="1539"/>
      <c r="CK310" s="1539"/>
      <c r="CL310" s="1539"/>
      <c r="CM310" s="1539"/>
      <c r="CN310" s="1539"/>
      <c r="CO310" s="1539"/>
    </row>
    <row r="311" spans="1:93" s="1542" customFormat="1" ht="15.5">
      <c r="A311" s="1598" t="s">
        <v>1405</v>
      </c>
      <c r="B311" s="1599" t="s">
        <v>2338</v>
      </c>
      <c r="C311" s="1643" t="e">
        <f>+SUMIF(#REF!,Final!A311,#REF!)</f>
        <v>#REF!</v>
      </c>
      <c r="D311" s="1597" t="e">
        <f>+SUMIF(#REF!,Final!A311,#REF!)</f>
        <v>#REF!</v>
      </c>
      <c r="E311" s="1643" t="e">
        <f>SUMIF(#REF!,Final!A311,#REF!)</f>
        <v>#REF!</v>
      </c>
      <c r="F311" s="1644" t="e">
        <f>SUMIF(#REF!,Final!A311,#REF!)</f>
        <v>#REF!</v>
      </c>
      <c r="G311" s="1597" t="e">
        <f t="shared" si="16"/>
        <v>#REF!</v>
      </c>
      <c r="H311" s="1644" t="e">
        <f t="shared" si="17"/>
        <v>#REF!</v>
      </c>
      <c r="I311" s="1597" t="e">
        <f t="shared" si="18"/>
        <v>#REF!</v>
      </c>
      <c r="J311" s="1644" t="e">
        <f t="shared" si="19"/>
        <v>#REF!</v>
      </c>
      <c r="K311" s="1539"/>
      <c r="L311" s="1539"/>
      <c r="M311" s="1545"/>
      <c r="N311" s="1545"/>
      <c r="O311" s="1539"/>
      <c r="P311" s="1539"/>
      <c r="Q311" s="1539"/>
      <c r="R311" s="1539"/>
      <c r="S311" s="1539"/>
      <c r="T311" s="1539"/>
      <c r="U311" s="1539"/>
      <c r="V311" s="1539"/>
      <c r="W311" s="1539"/>
      <c r="X311" s="1539"/>
      <c r="Y311" s="1539"/>
      <c r="Z311" s="1539"/>
      <c r="AA311" s="1539"/>
      <c r="AB311" s="1539"/>
      <c r="AC311" s="1539"/>
      <c r="AD311" s="1539"/>
      <c r="AE311" s="1539"/>
      <c r="AF311" s="1539"/>
      <c r="AG311" s="1539"/>
      <c r="AH311" s="1539"/>
      <c r="AI311" s="1539"/>
      <c r="AJ311" s="1539"/>
      <c r="AK311" s="1539"/>
      <c r="AL311" s="1539"/>
      <c r="AM311" s="1539"/>
      <c r="AN311" s="1539"/>
      <c r="AO311" s="1539"/>
      <c r="AP311" s="1539"/>
      <c r="AQ311" s="1539"/>
      <c r="AR311" s="1539"/>
      <c r="AS311" s="1539"/>
      <c r="AT311" s="1539"/>
      <c r="AU311" s="1539"/>
      <c r="AV311" s="1539"/>
      <c r="AW311" s="1539"/>
      <c r="AX311" s="1539"/>
      <c r="AY311" s="1539"/>
      <c r="AZ311" s="1539"/>
      <c r="BA311" s="1539"/>
      <c r="BB311" s="1539"/>
      <c r="BC311" s="1539"/>
      <c r="BD311" s="1539"/>
      <c r="BE311" s="1539"/>
      <c r="BF311" s="1539"/>
      <c r="BG311" s="1539"/>
      <c r="BH311" s="1539"/>
      <c r="BI311" s="1539"/>
      <c r="BJ311" s="1539"/>
      <c r="BK311" s="1539"/>
      <c r="BL311" s="1539"/>
      <c r="BM311" s="1539"/>
      <c r="BN311" s="1539"/>
      <c r="BO311" s="1539"/>
      <c r="BP311" s="1539"/>
      <c r="BQ311" s="1539"/>
      <c r="BR311" s="1539"/>
      <c r="BS311" s="1539"/>
      <c r="BT311" s="1539"/>
      <c r="BU311" s="1539"/>
      <c r="BV311" s="1539"/>
      <c r="BW311" s="1539"/>
      <c r="BX311" s="1539"/>
      <c r="BY311" s="1539"/>
      <c r="BZ311" s="1539"/>
      <c r="CA311" s="1539"/>
      <c r="CB311" s="1539"/>
      <c r="CC311" s="1539"/>
      <c r="CD311" s="1539"/>
      <c r="CE311" s="1539"/>
      <c r="CF311" s="1539"/>
      <c r="CG311" s="1539"/>
      <c r="CH311" s="1539"/>
      <c r="CI311" s="1539"/>
      <c r="CJ311" s="1539"/>
      <c r="CK311" s="1539"/>
      <c r="CL311" s="1539"/>
      <c r="CM311" s="1539"/>
      <c r="CN311" s="1539"/>
      <c r="CO311" s="1539"/>
    </row>
    <row r="312" spans="1:93" ht="15.5">
      <c r="A312" s="1598" t="s">
        <v>2339</v>
      </c>
      <c r="B312" s="1599" t="s">
        <v>2202</v>
      </c>
      <c r="C312" s="1643" t="e">
        <f>+SUMIF(#REF!,Final!A312,#REF!)</f>
        <v>#REF!</v>
      </c>
      <c r="D312" s="1597" t="e">
        <f>+SUMIF(#REF!,Final!A312,#REF!)</f>
        <v>#REF!</v>
      </c>
      <c r="E312" s="1643" t="e">
        <f>SUMIF(#REF!,Final!A312,#REF!)</f>
        <v>#REF!</v>
      </c>
      <c r="F312" s="1644" t="e">
        <f>SUMIF(#REF!,Final!A312,#REF!)</f>
        <v>#REF!</v>
      </c>
      <c r="G312" s="1597" t="e">
        <f t="shared" si="16"/>
        <v>#REF!</v>
      </c>
      <c r="H312" s="1644" t="e">
        <f t="shared" si="17"/>
        <v>#REF!</v>
      </c>
      <c r="I312" s="1597" t="e">
        <f t="shared" si="18"/>
        <v>#REF!</v>
      </c>
      <c r="J312" s="1644" t="e">
        <f t="shared" si="19"/>
        <v>#REF!</v>
      </c>
      <c r="M312" s="1545"/>
      <c r="N312" s="1545"/>
    </row>
    <row r="313" spans="1:93" ht="15.5">
      <c r="A313" s="1598" t="s">
        <v>2340</v>
      </c>
      <c r="B313" s="1599" t="s">
        <v>2204</v>
      </c>
      <c r="C313" s="1643" t="e">
        <f>+SUMIF(#REF!,Final!A313,#REF!)</f>
        <v>#REF!</v>
      </c>
      <c r="D313" s="1597" t="e">
        <f>+SUMIF(#REF!,Final!A313,#REF!)</f>
        <v>#REF!</v>
      </c>
      <c r="E313" s="1643" t="e">
        <f>SUMIF(#REF!,Final!A313,#REF!)</f>
        <v>#REF!</v>
      </c>
      <c r="F313" s="1644" t="e">
        <f>SUMIF(#REF!,Final!A313,#REF!)</f>
        <v>#REF!</v>
      </c>
      <c r="G313" s="1597" t="e">
        <f t="shared" si="16"/>
        <v>#REF!</v>
      </c>
      <c r="H313" s="1644" t="e">
        <f t="shared" si="17"/>
        <v>#REF!</v>
      </c>
      <c r="I313" s="1597" t="e">
        <f t="shared" si="18"/>
        <v>#REF!</v>
      </c>
      <c r="J313" s="1644" t="e">
        <f t="shared" si="19"/>
        <v>#REF!</v>
      </c>
      <c r="M313" s="1545"/>
      <c r="N313" s="1545"/>
    </row>
    <row r="314" spans="1:93" s="1542" customFormat="1" ht="15.5">
      <c r="A314" s="1598" t="s">
        <v>2341</v>
      </c>
      <c r="B314" s="1599" t="s">
        <v>2210</v>
      </c>
      <c r="C314" s="1643" t="e">
        <f>+SUMIF(#REF!,Final!A314,#REF!)</f>
        <v>#REF!</v>
      </c>
      <c r="D314" s="1597" t="e">
        <f>+SUMIF(#REF!,Final!A314,#REF!)</f>
        <v>#REF!</v>
      </c>
      <c r="E314" s="1643" t="e">
        <f>SUMIF(#REF!,Final!A314,#REF!)</f>
        <v>#REF!</v>
      </c>
      <c r="F314" s="1644" t="e">
        <f>SUMIF(#REF!,Final!A314,#REF!)</f>
        <v>#REF!</v>
      </c>
      <c r="G314" s="1597" t="e">
        <f t="shared" si="16"/>
        <v>#REF!</v>
      </c>
      <c r="H314" s="1644" t="e">
        <f t="shared" si="17"/>
        <v>#REF!</v>
      </c>
      <c r="I314" s="1597" t="e">
        <f t="shared" si="18"/>
        <v>#REF!</v>
      </c>
      <c r="J314" s="1644" t="e">
        <f t="shared" si="19"/>
        <v>#REF!</v>
      </c>
      <c r="K314" s="1539"/>
      <c r="L314" s="1539"/>
      <c r="M314" s="1545"/>
      <c r="N314" s="1545"/>
      <c r="O314" s="1539"/>
      <c r="P314" s="1539"/>
      <c r="Q314" s="1539"/>
      <c r="R314" s="1539"/>
      <c r="S314" s="1539"/>
      <c r="T314" s="1539"/>
      <c r="U314" s="1539"/>
      <c r="V314" s="1539"/>
      <c r="W314" s="1539"/>
      <c r="X314" s="1539"/>
      <c r="Y314" s="1539"/>
      <c r="Z314" s="1539"/>
      <c r="AA314" s="1539"/>
      <c r="AB314" s="1539"/>
      <c r="AC314" s="1539"/>
      <c r="AD314" s="1539"/>
      <c r="AE314" s="1539"/>
      <c r="AF314" s="1539"/>
      <c r="AG314" s="1539"/>
      <c r="AH314" s="1539"/>
      <c r="AI314" s="1539"/>
      <c r="AJ314" s="1539"/>
      <c r="AK314" s="1539"/>
      <c r="AL314" s="1539"/>
      <c r="AM314" s="1539"/>
      <c r="AN314" s="1539"/>
      <c r="AO314" s="1539"/>
      <c r="AP314" s="1539"/>
      <c r="AQ314" s="1539"/>
      <c r="AR314" s="1539"/>
      <c r="AS314" s="1539"/>
      <c r="AT314" s="1539"/>
      <c r="AU314" s="1539"/>
      <c r="AV314" s="1539"/>
      <c r="AW314" s="1539"/>
      <c r="AX314" s="1539"/>
      <c r="AY314" s="1539"/>
      <c r="AZ314" s="1539"/>
      <c r="BA314" s="1539"/>
      <c r="BB314" s="1539"/>
      <c r="BC314" s="1539"/>
      <c r="BD314" s="1539"/>
      <c r="BE314" s="1539"/>
      <c r="BF314" s="1539"/>
      <c r="BG314" s="1539"/>
      <c r="BH314" s="1539"/>
      <c r="BI314" s="1539"/>
      <c r="BJ314" s="1539"/>
      <c r="BK314" s="1539"/>
      <c r="BL314" s="1539"/>
      <c r="BM314" s="1539"/>
      <c r="BN314" s="1539"/>
      <c r="BO314" s="1539"/>
      <c r="BP314" s="1539"/>
      <c r="BQ314" s="1539"/>
      <c r="BR314" s="1539"/>
      <c r="BS314" s="1539"/>
      <c r="BT314" s="1539"/>
      <c r="BU314" s="1539"/>
      <c r="BV314" s="1539"/>
      <c r="BW314" s="1539"/>
      <c r="BX314" s="1539"/>
      <c r="BY314" s="1539"/>
      <c r="BZ314" s="1539"/>
      <c r="CA314" s="1539"/>
      <c r="CB314" s="1539"/>
      <c r="CC314" s="1539"/>
      <c r="CD314" s="1539"/>
      <c r="CE314" s="1539"/>
      <c r="CF314" s="1539"/>
      <c r="CG314" s="1539"/>
      <c r="CH314" s="1539"/>
      <c r="CI314" s="1539"/>
      <c r="CJ314" s="1539"/>
      <c r="CK314" s="1539"/>
      <c r="CL314" s="1539"/>
      <c r="CM314" s="1539"/>
      <c r="CN314" s="1539"/>
      <c r="CO314" s="1539"/>
    </row>
    <row r="315" spans="1:93" ht="15.5">
      <c r="A315" s="1598" t="s">
        <v>2342</v>
      </c>
      <c r="B315" s="1599" t="s">
        <v>2212</v>
      </c>
      <c r="C315" s="1643" t="e">
        <f>+SUMIF(#REF!,Final!A315,#REF!)</f>
        <v>#REF!</v>
      </c>
      <c r="D315" s="1597" t="e">
        <f>+SUMIF(#REF!,Final!A315,#REF!)</f>
        <v>#REF!</v>
      </c>
      <c r="E315" s="1643" t="e">
        <f>SUMIF(#REF!,Final!A315,#REF!)</f>
        <v>#REF!</v>
      </c>
      <c r="F315" s="1644" t="e">
        <f>SUMIF(#REF!,Final!A315,#REF!)</f>
        <v>#REF!</v>
      </c>
      <c r="G315" s="1597" t="e">
        <f t="shared" si="16"/>
        <v>#REF!</v>
      </c>
      <c r="H315" s="1644" t="e">
        <f t="shared" si="17"/>
        <v>#REF!</v>
      </c>
      <c r="I315" s="1597" t="e">
        <f t="shared" si="18"/>
        <v>#REF!</v>
      </c>
      <c r="J315" s="1644" t="e">
        <f t="shared" si="19"/>
        <v>#REF!</v>
      </c>
      <c r="M315" s="1545"/>
      <c r="N315" s="1545"/>
    </row>
    <row r="316" spans="1:93" ht="15.5">
      <c r="A316" s="1598" t="s">
        <v>2343</v>
      </c>
      <c r="B316" s="1599" t="s">
        <v>2154</v>
      </c>
      <c r="C316" s="1643" t="e">
        <f>+SUMIF(#REF!,Final!A316,#REF!)</f>
        <v>#REF!</v>
      </c>
      <c r="D316" s="1597" t="e">
        <f>+SUMIF(#REF!,Final!A316,#REF!)</f>
        <v>#REF!</v>
      </c>
      <c r="E316" s="1643" t="e">
        <f>SUMIF(#REF!,Final!A316,#REF!)</f>
        <v>#REF!</v>
      </c>
      <c r="F316" s="1644" t="e">
        <f>SUMIF(#REF!,Final!A316,#REF!)</f>
        <v>#REF!</v>
      </c>
      <c r="G316" s="1597" t="e">
        <f t="shared" si="16"/>
        <v>#REF!</v>
      </c>
      <c r="H316" s="1644" t="e">
        <f t="shared" si="17"/>
        <v>#REF!</v>
      </c>
      <c r="I316" s="1597" t="e">
        <f t="shared" si="18"/>
        <v>#REF!</v>
      </c>
      <c r="J316" s="1644" t="e">
        <f t="shared" si="19"/>
        <v>#REF!</v>
      </c>
      <c r="M316" s="1545"/>
      <c r="N316" s="1545"/>
    </row>
    <row r="317" spans="1:93" ht="15.5">
      <c r="A317" s="1598" t="s">
        <v>2344</v>
      </c>
      <c r="B317" s="1599" t="s">
        <v>2156</v>
      </c>
      <c r="C317" s="1643" t="e">
        <f>+SUMIF(#REF!,Final!A317,#REF!)</f>
        <v>#REF!</v>
      </c>
      <c r="D317" s="1597" t="e">
        <f>+SUMIF(#REF!,Final!A317,#REF!)</f>
        <v>#REF!</v>
      </c>
      <c r="E317" s="1643" t="e">
        <f>SUMIF(#REF!,Final!A317,#REF!)</f>
        <v>#REF!</v>
      </c>
      <c r="F317" s="1644" t="e">
        <f>SUMIF(#REF!,Final!A317,#REF!)</f>
        <v>#REF!</v>
      </c>
      <c r="G317" s="1597" t="e">
        <f t="shared" si="16"/>
        <v>#REF!</v>
      </c>
      <c r="H317" s="1644" t="e">
        <f t="shared" si="17"/>
        <v>#REF!</v>
      </c>
      <c r="I317" s="1597" t="e">
        <f t="shared" si="18"/>
        <v>#REF!</v>
      </c>
      <c r="J317" s="1644" t="e">
        <f t="shared" si="19"/>
        <v>#REF!</v>
      </c>
      <c r="M317" s="1545"/>
      <c r="N317" s="1545"/>
    </row>
    <row r="318" spans="1:93" ht="15.5">
      <c r="A318" s="1598" t="s">
        <v>2345</v>
      </c>
      <c r="B318" s="1599" t="s">
        <v>2168</v>
      </c>
      <c r="C318" s="1643" t="e">
        <f>+SUMIF(#REF!,Final!A318,#REF!)</f>
        <v>#REF!</v>
      </c>
      <c r="D318" s="1597" t="e">
        <f>+SUMIF(#REF!,Final!A318,#REF!)</f>
        <v>#REF!</v>
      </c>
      <c r="E318" s="1643" t="e">
        <f>SUMIF(#REF!,Final!A318,#REF!)</f>
        <v>#REF!</v>
      </c>
      <c r="F318" s="1644" t="e">
        <f>SUMIF(#REF!,Final!A318,#REF!)</f>
        <v>#REF!</v>
      </c>
      <c r="G318" s="1597" t="e">
        <f t="shared" si="16"/>
        <v>#REF!</v>
      </c>
      <c r="H318" s="1644" t="e">
        <f t="shared" si="17"/>
        <v>#REF!</v>
      </c>
      <c r="I318" s="1597" t="e">
        <f t="shared" si="18"/>
        <v>#REF!</v>
      </c>
      <c r="J318" s="1644" t="e">
        <f t="shared" si="19"/>
        <v>#REF!</v>
      </c>
      <c r="M318" s="1545"/>
      <c r="N318" s="1545"/>
    </row>
    <row r="319" spans="1:93" ht="15.5">
      <c r="A319" s="1598" t="s">
        <v>2346</v>
      </c>
      <c r="B319" s="1599" t="s">
        <v>2170</v>
      </c>
      <c r="C319" s="1643" t="e">
        <f>+SUMIF(#REF!,Final!A319,#REF!)</f>
        <v>#REF!</v>
      </c>
      <c r="D319" s="1597" t="e">
        <f>+SUMIF(#REF!,Final!A319,#REF!)</f>
        <v>#REF!</v>
      </c>
      <c r="E319" s="1643" t="e">
        <f>SUMIF(#REF!,Final!A319,#REF!)</f>
        <v>#REF!</v>
      </c>
      <c r="F319" s="1644" t="e">
        <f>SUMIF(#REF!,Final!A319,#REF!)</f>
        <v>#REF!</v>
      </c>
      <c r="G319" s="1597" t="e">
        <f t="shared" si="16"/>
        <v>#REF!</v>
      </c>
      <c r="H319" s="1644" t="e">
        <f t="shared" si="17"/>
        <v>#REF!</v>
      </c>
      <c r="I319" s="1597" t="e">
        <f t="shared" si="18"/>
        <v>#REF!</v>
      </c>
      <c r="J319" s="1644" t="e">
        <f t="shared" si="19"/>
        <v>#REF!</v>
      </c>
      <c r="M319" s="1545"/>
      <c r="N319" s="1545"/>
    </row>
    <row r="320" spans="1:93" s="1542" customFormat="1" ht="15.5">
      <c r="A320" s="1598" t="s">
        <v>2347</v>
      </c>
      <c r="B320" s="1599" t="s">
        <v>2172</v>
      </c>
      <c r="C320" s="1643" t="e">
        <f>+SUMIF(#REF!,Final!A320,#REF!)</f>
        <v>#REF!</v>
      </c>
      <c r="D320" s="1597" t="e">
        <f>+SUMIF(#REF!,Final!A320,#REF!)</f>
        <v>#REF!</v>
      </c>
      <c r="E320" s="1643" t="e">
        <f>SUMIF(#REF!,Final!A320,#REF!)</f>
        <v>#REF!</v>
      </c>
      <c r="F320" s="1644" t="e">
        <f>SUMIF(#REF!,Final!A320,#REF!)</f>
        <v>#REF!</v>
      </c>
      <c r="G320" s="1597" t="e">
        <f t="shared" si="16"/>
        <v>#REF!</v>
      </c>
      <c r="H320" s="1644" t="e">
        <f t="shared" si="17"/>
        <v>#REF!</v>
      </c>
      <c r="I320" s="1597" t="e">
        <f t="shared" si="18"/>
        <v>#REF!</v>
      </c>
      <c r="J320" s="1644" t="e">
        <f t="shared" si="19"/>
        <v>#REF!</v>
      </c>
      <c r="K320" s="1539"/>
      <c r="L320" s="1539"/>
      <c r="M320" s="1545"/>
      <c r="N320" s="1545"/>
      <c r="O320" s="1539"/>
      <c r="P320" s="1539"/>
      <c r="Q320" s="1539"/>
      <c r="R320" s="1539"/>
      <c r="S320" s="1539"/>
      <c r="T320" s="1539"/>
      <c r="U320" s="1539"/>
      <c r="V320" s="1539"/>
      <c r="W320" s="1539"/>
      <c r="X320" s="1539"/>
      <c r="Y320" s="1539"/>
      <c r="Z320" s="1539"/>
      <c r="AA320" s="1539"/>
      <c r="AB320" s="1539"/>
      <c r="AC320" s="1539"/>
      <c r="AD320" s="1539"/>
      <c r="AE320" s="1539"/>
      <c r="AF320" s="1539"/>
      <c r="AG320" s="1539"/>
      <c r="AH320" s="1539"/>
      <c r="AI320" s="1539"/>
      <c r="AJ320" s="1539"/>
      <c r="AK320" s="1539"/>
      <c r="AL320" s="1539"/>
      <c r="AM320" s="1539"/>
      <c r="AN320" s="1539"/>
      <c r="AO320" s="1539"/>
      <c r="AP320" s="1539"/>
      <c r="AQ320" s="1539"/>
      <c r="AR320" s="1539"/>
      <c r="AS320" s="1539"/>
      <c r="AT320" s="1539"/>
      <c r="AU320" s="1539"/>
      <c r="AV320" s="1539"/>
      <c r="AW320" s="1539"/>
      <c r="AX320" s="1539"/>
      <c r="AY320" s="1539"/>
      <c r="AZ320" s="1539"/>
      <c r="BA320" s="1539"/>
      <c r="BB320" s="1539"/>
      <c r="BC320" s="1539"/>
      <c r="BD320" s="1539"/>
      <c r="BE320" s="1539"/>
      <c r="BF320" s="1539"/>
      <c r="BG320" s="1539"/>
      <c r="BH320" s="1539"/>
      <c r="BI320" s="1539"/>
      <c r="BJ320" s="1539"/>
      <c r="BK320" s="1539"/>
      <c r="BL320" s="1539"/>
      <c r="BM320" s="1539"/>
      <c r="BN320" s="1539"/>
      <c r="BO320" s="1539"/>
      <c r="BP320" s="1539"/>
      <c r="BQ320" s="1539"/>
      <c r="BR320" s="1539"/>
      <c r="BS320" s="1539"/>
      <c r="BT320" s="1539"/>
      <c r="BU320" s="1539"/>
      <c r="BV320" s="1539"/>
      <c r="BW320" s="1539"/>
      <c r="BX320" s="1539"/>
      <c r="BY320" s="1539"/>
      <c r="BZ320" s="1539"/>
      <c r="CA320" s="1539"/>
      <c r="CB320" s="1539"/>
      <c r="CC320" s="1539"/>
      <c r="CD320" s="1539"/>
      <c r="CE320" s="1539"/>
      <c r="CF320" s="1539"/>
      <c r="CG320" s="1539"/>
      <c r="CH320" s="1539"/>
      <c r="CI320" s="1539"/>
      <c r="CJ320" s="1539"/>
      <c r="CK320" s="1539"/>
      <c r="CL320" s="1539"/>
      <c r="CM320" s="1539"/>
      <c r="CN320" s="1539"/>
      <c r="CO320" s="1539"/>
    </row>
    <row r="321" spans="1:93" ht="15.5">
      <c r="A321" s="1598" t="s">
        <v>2348</v>
      </c>
      <c r="B321" s="1599" t="s">
        <v>2176</v>
      </c>
      <c r="C321" s="1643" t="e">
        <f>+SUMIF(#REF!,Final!A321,#REF!)</f>
        <v>#REF!</v>
      </c>
      <c r="D321" s="1597" t="e">
        <f>+SUMIF(#REF!,Final!A321,#REF!)</f>
        <v>#REF!</v>
      </c>
      <c r="E321" s="1643" t="e">
        <f>SUMIF(#REF!,Final!A321,#REF!)</f>
        <v>#REF!</v>
      </c>
      <c r="F321" s="1644" t="e">
        <f>SUMIF(#REF!,Final!A321,#REF!)</f>
        <v>#REF!</v>
      </c>
      <c r="G321" s="1597" t="e">
        <f t="shared" si="16"/>
        <v>#REF!</v>
      </c>
      <c r="H321" s="1644" t="e">
        <f t="shared" si="17"/>
        <v>#REF!</v>
      </c>
      <c r="I321" s="1597" t="e">
        <f t="shared" si="18"/>
        <v>#REF!</v>
      </c>
      <c r="J321" s="1644" t="e">
        <f t="shared" si="19"/>
        <v>#REF!</v>
      </c>
      <c r="M321" s="1545"/>
      <c r="N321" s="1545"/>
    </row>
    <row r="322" spans="1:93" ht="15.5">
      <c r="A322" s="1598" t="s">
        <v>2349</v>
      </c>
      <c r="B322" s="1599" t="s">
        <v>2178</v>
      </c>
      <c r="C322" s="1643" t="e">
        <f>+SUMIF(#REF!,Final!A322,#REF!)</f>
        <v>#REF!</v>
      </c>
      <c r="D322" s="1597" t="e">
        <f>+SUMIF(#REF!,Final!A322,#REF!)</f>
        <v>#REF!</v>
      </c>
      <c r="E322" s="1643" t="e">
        <f>SUMIF(#REF!,Final!A322,#REF!)</f>
        <v>#REF!</v>
      </c>
      <c r="F322" s="1644" t="e">
        <f>SUMIF(#REF!,Final!A322,#REF!)</f>
        <v>#REF!</v>
      </c>
      <c r="G322" s="1597" t="e">
        <f t="shared" si="16"/>
        <v>#REF!</v>
      </c>
      <c r="H322" s="1644" t="e">
        <f t="shared" si="17"/>
        <v>#REF!</v>
      </c>
      <c r="I322" s="1597" t="e">
        <f t="shared" si="18"/>
        <v>#REF!</v>
      </c>
      <c r="J322" s="1644" t="e">
        <f t="shared" si="19"/>
        <v>#REF!</v>
      </c>
      <c r="M322" s="1545"/>
      <c r="N322" s="1545"/>
    </row>
    <row r="323" spans="1:93" ht="15.5">
      <c r="A323" s="1598" t="s">
        <v>2350</v>
      </c>
      <c r="B323" s="1599" t="s">
        <v>2180</v>
      </c>
      <c r="C323" s="1643" t="e">
        <f>+SUMIF(#REF!,Final!A323,#REF!)</f>
        <v>#REF!</v>
      </c>
      <c r="D323" s="1597" t="e">
        <f>+SUMIF(#REF!,Final!A323,#REF!)</f>
        <v>#REF!</v>
      </c>
      <c r="E323" s="1643" t="e">
        <f>SUMIF(#REF!,Final!A323,#REF!)</f>
        <v>#REF!</v>
      </c>
      <c r="F323" s="1644" t="e">
        <f>SUMIF(#REF!,Final!A323,#REF!)</f>
        <v>#REF!</v>
      </c>
      <c r="G323" s="1597" t="e">
        <f t="shared" si="16"/>
        <v>#REF!</v>
      </c>
      <c r="H323" s="1644" t="e">
        <f t="shared" si="17"/>
        <v>#REF!</v>
      </c>
      <c r="I323" s="1597" t="e">
        <f t="shared" si="18"/>
        <v>#REF!</v>
      </c>
      <c r="J323" s="1644" t="e">
        <f t="shared" si="19"/>
        <v>#REF!</v>
      </c>
      <c r="M323" s="1545"/>
      <c r="N323" s="1545"/>
    </row>
    <row r="324" spans="1:93" ht="15.5">
      <c r="A324" s="1598" t="s">
        <v>2351</v>
      </c>
      <c r="B324" s="1599" t="s">
        <v>2182</v>
      </c>
      <c r="C324" s="1643" t="e">
        <f>+SUMIF(#REF!,Final!A324,#REF!)</f>
        <v>#REF!</v>
      </c>
      <c r="D324" s="1597" t="e">
        <f>+SUMIF(#REF!,Final!A324,#REF!)</f>
        <v>#REF!</v>
      </c>
      <c r="E324" s="1643" t="e">
        <f>SUMIF(#REF!,Final!A324,#REF!)</f>
        <v>#REF!</v>
      </c>
      <c r="F324" s="1644" t="e">
        <f>SUMIF(#REF!,Final!A324,#REF!)</f>
        <v>#REF!</v>
      </c>
      <c r="G324" s="1597" t="e">
        <f t="shared" si="16"/>
        <v>#REF!</v>
      </c>
      <c r="H324" s="1644" t="e">
        <f t="shared" si="17"/>
        <v>#REF!</v>
      </c>
      <c r="I324" s="1597" t="e">
        <f t="shared" si="18"/>
        <v>#REF!</v>
      </c>
      <c r="J324" s="1644" t="e">
        <f t="shared" si="19"/>
        <v>#REF!</v>
      </c>
      <c r="M324" s="1545"/>
      <c r="N324" s="1545"/>
    </row>
    <row r="325" spans="1:93" s="1542" customFormat="1" ht="15.5">
      <c r="A325" s="1598" t="s">
        <v>2352</v>
      </c>
      <c r="B325" s="1599" t="s">
        <v>2301</v>
      </c>
      <c r="C325" s="1643" t="e">
        <f>+SUMIF(#REF!,Final!A325,#REF!)</f>
        <v>#REF!</v>
      </c>
      <c r="D325" s="1597" t="e">
        <f>+SUMIF(#REF!,Final!A325,#REF!)</f>
        <v>#REF!</v>
      </c>
      <c r="E325" s="1643" t="e">
        <f>SUMIF(#REF!,Final!A325,#REF!)</f>
        <v>#REF!</v>
      </c>
      <c r="F325" s="1644" t="e">
        <f>SUMIF(#REF!,Final!A325,#REF!)</f>
        <v>#REF!</v>
      </c>
      <c r="G325" s="1597" t="e">
        <f t="shared" si="16"/>
        <v>#REF!</v>
      </c>
      <c r="H325" s="1644" t="e">
        <f t="shared" si="17"/>
        <v>#REF!</v>
      </c>
      <c r="I325" s="1597" t="e">
        <f t="shared" si="18"/>
        <v>#REF!</v>
      </c>
      <c r="J325" s="1644" t="e">
        <f t="shared" si="19"/>
        <v>#REF!</v>
      </c>
      <c r="K325" s="1539"/>
      <c r="L325" s="1539"/>
      <c r="M325" s="1545"/>
      <c r="N325" s="1545"/>
      <c r="O325" s="1539"/>
      <c r="P325" s="1539"/>
      <c r="Q325" s="1539"/>
      <c r="R325" s="1539"/>
      <c r="S325" s="1539"/>
      <c r="T325" s="1539"/>
      <c r="U325" s="1539"/>
      <c r="V325" s="1539"/>
      <c r="W325" s="1539"/>
      <c r="X325" s="1539"/>
      <c r="Y325" s="1539"/>
      <c r="Z325" s="1539"/>
      <c r="AA325" s="1539"/>
      <c r="AB325" s="1539"/>
      <c r="AC325" s="1539"/>
      <c r="AD325" s="1539"/>
      <c r="AE325" s="1539"/>
      <c r="AF325" s="1539"/>
      <c r="AG325" s="1539"/>
      <c r="AH325" s="1539"/>
      <c r="AI325" s="1539"/>
      <c r="AJ325" s="1539"/>
      <c r="AK325" s="1539"/>
      <c r="AL325" s="1539"/>
      <c r="AM325" s="1539"/>
      <c r="AN325" s="1539"/>
      <c r="AO325" s="1539"/>
      <c r="AP325" s="1539"/>
      <c r="AQ325" s="1539"/>
      <c r="AR325" s="1539"/>
      <c r="AS325" s="1539"/>
      <c r="AT325" s="1539"/>
      <c r="AU325" s="1539"/>
      <c r="AV325" s="1539"/>
      <c r="AW325" s="1539"/>
      <c r="AX325" s="1539"/>
      <c r="AY325" s="1539"/>
      <c r="AZ325" s="1539"/>
      <c r="BA325" s="1539"/>
      <c r="BB325" s="1539"/>
      <c r="BC325" s="1539"/>
      <c r="BD325" s="1539"/>
      <c r="BE325" s="1539"/>
      <c r="BF325" s="1539"/>
      <c r="BG325" s="1539"/>
      <c r="BH325" s="1539"/>
      <c r="BI325" s="1539"/>
      <c r="BJ325" s="1539"/>
      <c r="BK325" s="1539"/>
      <c r="BL325" s="1539"/>
      <c r="BM325" s="1539"/>
      <c r="BN325" s="1539"/>
      <c r="BO325" s="1539"/>
      <c r="BP325" s="1539"/>
      <c r="BQ325" s="1539"/>
      <c r="BR325" s="1539"/>
      <c r="BS325" s="1539"/>
      <c r="BT325" s="1539"/>
      <c r="BU325" s="1539"/>
      <c r="BV325" s="1539"/>
      <c r="BW325" s="1539"/>
      <c r="BX325" s="1539"/>
      <c r="BY325" s="1539"/>
      <c r="BZ325" s="1539"/>
      <c r="CA325" s="1539"/>
      <c r="CB325" s="1539"/>
      <c r="CC325" s="1539"/>
      <c r="CD325" s="1539"/>
      <c r="CE325" s="1539"/>
      <c r="CF325" s="1539"/>
      <c r="CG325" s="1539"/>
      <c r="CH325" s="1539"/>
      <c r="CI325" s="1539"/>
      <c r="CJ325" s="1539"/>
      <c r="CK325" s="1539"/>
      <c r="CL325" s="1539"/>
      <c r="CM325" s="1539"/>
      <c r="CN325" s="1539"/>
      <c r="CO325" s="1539"/>
    </row>
    <row r="326" spans="1:93" ht="15.5">
      <c r="A326" s="1598" t="s">
        <v>2353</v>
      </c>
      <c r="B326" s="1599" t="s">
        <v>2303</v>
      </c>
      <c r="C326" s="1643" t="e">
        <f>+SUMIF(#REF!,Final!A326,#REF!)</f>
        <v>#REF!</v>
      </c>
      <c r="D326" s="1597" t="e">
        <f>+SUMIF(#REF!,Final!A326,#REF!)</f>
        <v>#REF!</v>
      </c>
      <c r="E326" s="1643" t="e">
        <f>SUMIF(#REF!,Final!A326,#REF!)</f>
        <v>#REF!</v>
      </c>
      <c r="F326" s="1644" t="e">
        <f>SUMIF(#REF!,Final!A326,#REF!)</f>
        <v>#REF!</v>
      </c>
      <c r="G326" s="1597" t="e">
        <f t="shared" si="16"/>
        <v>#REF!</v>
      </c>
      <c r="H326" s="1644" t="e">
        <f t="shared" si="17"/>
        <v>#REF!</v>
      </c>
      <c r="I326" s="1597" t="e">
        <f t="shared" si="18"/>
        <v>#REF!</v>
      </c>
      <c r="J326" s="1644" t="e">
        <f t="shared" si="19"/>
        <v>#REF!</v>
      </c>
      <c r="M326" s="1545"/>
      <c r="N326" s="1545"/>
    </row>
    <row r="327" spans="1:93" ht="15.5">
      <c r="A327" s="1598" t="s">
        <v>2354</v>
      </c>
      <c r="B327" s="1599" t="s">
        <v>2305</v>
      </c>
      <c r="C327" s="1643" t="e">
        <f>+SUMIF(#REF!,Final!A327,#REF!)</f>
        <v>#REF!</v>
      </c>
      <c r="D327" s="1597" t="e">
        <f>+SUMIF(#REF!,Final!A327,#REF!)</f>
        <v>#REF!</v>
      </c>
      <c r="E327" s="1643" t="e">
        <f>SUMIF(#REF!,Final!A327,#REF!)</f>
        <v>#REF!</v>
      </c>
      <c r="F327" s="1644" t="e">
        <f>SUMIF(#REF!,Final!A327,#REF!)</f>
        <v>#REF!</v>
      </c>
      <c r="G327" s="1597" t="e">
        <f t="shared" si="16"/>
        <v>#REF!</v>
      </c>
      <c r="H327" s="1644" t="e">
        <f t="shared" si="17"/>
        <v>#REF!</v>
      </c>
      <c r="I327" s="1597" t="e">
        <f t="shared" si="18"/>
        <v>#REF!</v>
      </c>
      <c r="J327" s="1644" t="e">
        <f t="shared" si="19"/>
        <v>#REF!</v>
      </c>
      <c r="M327" s="1545"/>
      <c r="N327" s="1545"/>
    </row>
    <row r="328" spans="1:93" s="1552" customFormat="1" ht="15.5">
      <c r="A328" s="1598"/>
      <c r="B328" s="1599" t="s">
        <v>754</v>
      </c>
      <c r="C328" s="1643" t="e">
        <f>+SUMIF(#REF!,Final!A328,#REF!)</f>
        <v>#REF!</v>
      </c>
      <c r="D328" s="1597" t="e">
        <f>+SUMIF(#REF!,Final!A328,#REF!)</f>
        <v>#REF!</v>
      </c>
      <c r="E328" s="1643" t="e">
        <f>SUMIF(#REF!,Final!A328,#REF!)</f>
        <v>#REF!</v>
      </c>
      <c r="F328" s="1644" t="e">
        <f>SUMIF(#REF!,Final!A328,#REF!)</f>
        <v>#REF!</v>
      </c>
      <c r="G328" s="1597" t="e">
        <f t="shared" ref="G328:G391" si="20">C328+E328</f>
        <v>#REF!</v>
      </c>
      <c r="H328" s="1644" t="e">
        <f t="shared" ref="H328:H391" si="21">D328+F328</f>
        <v>#REF!</v>
      </c>
      <c r="I328" s="1597" t="e">
        <f t="shared" ref="I328:I391" si="22">IF(G328&gt;H328,G328-H328,0)</f>
        <v>#REF!</v>
      </c>
      <c r="J328" s="1644" t="e">
        <f t="shared" ref="J328:J391" si="23">IF(H328&gt;G328,H328-G328,0)</f>
        <v>#REF!</v>
      </c>
      <c r="K328" s="1539"/>
      <c r="L328" s="1539"/>
      <c r="M328" s="1545"/>
      <c r="N328" s="1545"/>
      <c r="O328" s="1539"/>
      <c r="P328" s="1539"/>
      <c r="Q328" s="1539"/>
      <c r="R328" s="1539"/>
      <c r="S328" s="1539"/>
      <c r="T328" s="1539"/>
      <c r="U328" s="1539"/>
      <c r="V328" s="1539"/>
      <c r="W328" s="1539"/>
      <c r="X328" s="1539"/>
      <c r="Y328" s="1539"/>
      <c r="Z328" s="1539"/>
      <c r="AA328" s="1539"/>
      <c r="AB328" s="1539"/>
      <c r="AC328" s="1539"/>
      <c r="AD328" s="1539"/>
      <c r="AE328" s="1539"/>
      <c r="AF328" s="1539"/>
      <c r="AG328" s="1539"/>
      <c r="AH328" s="1539"/>
      <c r="AI328" s="1539"/>
      <c r="AJ328" s="1539"/>
      <c r="AK328" s="1539"/>
      <c r="AL328" s="1539"/>
      <c r="AM328" s="1539"/>
      <c r="AN328" s="1539"/>
      <c r="AO328" s="1539"/>
      <c r="AP328" s="1539"/>
      <c r="AQ328" s="1539"/>
      <c r="AR328" s="1539"/>
      <c r="AS328" s="1539"/>
      <c r="AT328" s="1539"/>
      <c r="AU328" s="1539"/>
      <c r="AV328" s="1539"/>
      <c r="AW328" s="1539"/>
      <c r="AX328" s="1539"/>
      <c r="AY328" s="1539"/>
      <c r="AZ328" s="1539"/>
      <c r="BA328" s="1539"/>
      <c r="BB328" s="1539"/>
      <c r="BC328" s="1539"/>
      <c r="BD328" s="1539"/>
      <c r="BE328" s="1539"/>
      <c r="BF328" s="1539"/>
      <c r="BG328" s="1539"/>
      <c r="BH328" s="1539"/>
      <c r="BI328" s="1539"/>
      <c r="BJ328" s="1539"/>
      <c r="BK328" s="1539"/>
      <c r="BL328" s="1539"/>
      <c r="BM328" s="1539"/>
      <c r="BN328" s="1539"/>
      <c r="BO328" s="1539"/>
      <c r="BP328" s="1539"/>
      <c r="BQ328" s="1539"/>
      <c r="BR328" s="1539"/>
      <c r="BS328" s="1539"/>
      <c r="BT328" s="1539"/>
      <c r="BU328" s="1539"/>
      <c r="BV328" s="1539"/>
      <c r="BW328" s="1539"/>
      <c r="BX328" s="1539"/>
      <c r="BY328" s="1539"/>
      <c r="BZ328" s="1539"/>
      <c r="CA328" s="1539"/>
      <c r="CB328" s="1539"/>
      <c r="CC328" s="1539"/>
      <c r="CD328" s="1539"/>
      <c r="CE328" s="1539"/>
      <c r="CF328" s="1539"/>
      <c r="CG328" s="1539"/>
      <c r="CH328" s="1539"/>
      <c r="CI328" s="1539"/>
      <c r="CJ328" s="1539"/>
      <c r="CK328" s="1539"/>
      <c r="CL328" s="1539"/>
      <c r="CM328" s="1539"/>
      <c r="CN328" s="1539"/>
      <c r="CO328" s="1539"/>
    </row>
    <row r="329" spans="1:93" s="1552" customFormat="1" ht="15.5">
      <c r="A329" s="1598"/>
      <c r="B329" s="1599" t="s">
        <v>1760</v>
      </c>
      <c r="C329" s="1643" t="e">
        <f>+SUMIF(#REF!,Final!A329,#REF!)</f>
        <v>#REF!</v>
      </c>
      <c r="D329" s="1597" t="e">
        <f>+SUMIF(#REF!,Final!A329,#REF!)</f>
        <v>#REF!</v>
      </c>
      <c r="E329" s="1643" t="e">
        <f>SUMIF(#REF!,Final!A329,#REF!)</f>
        <v>#REF!</v>
      </c>
      <c r="F329" s="1644" t="e">
        <f>SUMIF(#REF!,Final!A329,#REF!)</f>
        <v>#REF!</v>
      </c>
      <c r="G329" s="1597" t="e">
        <f t="shared" si="20"/>
        <v>#REF!</v>
      </c>
      <c r="H329" s="1644" t="e">
        <f t="shared" si="21"/>
        <v>#REF!</v>
      </c>
      <c r="I329" s="1597" t="e">
        <f t="shared" si="22"/>
        <v>#REF!</v>
      </c>
      <c r="J329" s="1644" t="e">
        <f t="shared" si="23"/>
        <v>#REF!</v>
      </c>
      <c r="K329" s="1539"/>
      <c r="L329" s="1539"/>
      <c r="M329" s="1545"/>
      <c r="N329" s="1545"/>
      <c r="O329" s="1539"/>
      <c r="P329" s="1539"/>
      <c r="Q329" s="1539"/>
      <c r="R329" s="1539"/>
      <c r="S329" s="1539"/>
      <c r="T329" s="1539"/>
      <c r="U329" s="1539"/>
      <c r="V329" s="1539"/>
      <c r="W329" s="1539"/>
      <c r="X329" s="1539"/>
      <c r="Y329" s="1539"/>
      <c r="Z329" s="1539"/>
      <c r="AA329" s="1539"/>
      <c r="AB329" s="1539"/>
      <c r="AC329" s="1539"/>
      <c r="AD329" s="1539"/>
      <c r="AE329" s="1539"/>
      <c r="AF329" s="1539"/>
      <c r="AG329" s="1539"/>
      <c r="AH329" s="1539"/>
      <c r="AI329" s="1539"/>
      <c r="AJ329" s="1539"/>
      <c r="AK329" s="1539"/>
      <c r="AL329" s="1539"/>
      <c r="AM329" s="1539"/>
      <c r="AN329" s="1539"/>
      <c r="AO329" s="1539"/>
      <c r="AP329" s="1539"/>
      <c r="AQ329" s="1539"/>
      <c r="AR329" s="1539"/>
      <c r="AS329" s="1539"/>
      <c r="AT329" s="1539"/>
      <c r="AU329" s="1539"/>
      <c r="AV329" s="1539"/>
      <c r="AW329" s="1539"/>
      <c r="AX329" s="1539"/>
      <c r="AY329" s="1539"/>
      <c r="AZ329" s="1539"/>
      <c r="BA329" s="1539"/>
      <c r="BB329" s="1539"/>
      <c r="BC329" s="1539"/>
      <c r="BD329" s="1539"/>
      <c r="BE329" s="1539"/>
      <c r="BF329" s="1539"/>
      <c r="BG329" s="1539"/>
      <c r="BH329" s="1539"/>
      <c r="BI329" s="1539"/>
      <c r="BJ329" s="1539"/>
      <c r="BK329" s="1539"/>
      <c r="BL329" s="1539"/>
      <c r="BM329" s="1539"/>
      <c r="BN329" s="1539"/>
      <c r="BO329" s="1539"/>
      <c r="BP329" s="1539"/>
      <c r="BQ329" s="1539"/>
      <c r="BR329" s="1539"/>
      <c r="BS329" s="1539"/>
      <c r="BT329" s="1539"/>
      <c r="BU329" s="1539"/>
      <c r="BV329" s="1539"/>
      <c r="BW329" s="1539"/>
      <c r="BX329" s="1539"/>
      <c r="BY329" s="1539"/>
      <c r="BZ329" s="1539"/>
      <c r="CA329" s="1539"/>
      <c r="CB329" s="1539"/>
      <c r="CC329" s="1539"/>
      <c r="CD329" s="1539"/>
      <c r="CE329" s="1539"/>
      <c r="CF329" s="1539"/>
      <c r="CG329" s="1539"/>
      <c r="CH329" s="1539"/>
      <c r="CI329" s="1539"/>
      <c r="CJ329" s="1539"/>
      <c r="CK329" s="1539"/>
      <c r="CL329" s="1539"/>
      <c r="CM329" s="1539"/>
      <c r="CN329" s="1539"/>
      <c r="CO329" s="1539"/>
    </row>
    <row r="330" spans="1:93" s="1542" customFormat="1" ht="15.5">
      <c r="A330" s="1598" t="s">
        <v>1406</v>
      </c>
      <c r="B330" s="1599" t="s">
        <v>2355</v>
      </c>
      <c r="C330" s="1643" t="e">
        <f>+SUMIF(#REF!,Final!A330,#REF!)</f>
        <v>#REF!</v>
      </c>
      <c r="D330" s="1597" t="e">
        <f>+SUMIF(#REF!,Final!A330,#REF!)</f>
        <v>#REF!</v>
      </c>
      <c r="E330" s="1643" t="e">
        <f>SUMIF(#REF!,Final!A330,#REF!)</f>
        <v>#REF!</v>
      </c>
      <c r="F330" s="1644" t="e">
        <f>SUMIF(#REF!,Final!A330,#REF!)</f>
        <v>#REF!</v>
      </c>
      <c r="G330" s="1597" t="e">
        <f t="shared" si="20"/>
        <v>#REF!</v>
      </c>
      <c r="H330" s="1644" t="e">
        <f t="shared" si="21"/>
        <v>#REF!</v>
      </c>
      <c r="I330" s="1597" t="e">
        <f t="shared" si="22"/>
        <v>#REF!</v>
      </c>
      <c r="J330" s="1644" t="e">
        <f t="shared" si="23"/>
        <v>#REF!</v>
      </c>
      <c r="K330" s="1539"/>
      <c r="L330" s="1539"/>
      <c r="M330" s="1545"/>
      <c r="N330" s="1545"/>
      <c r="O330" s="1539"/>
      <c r="P330" s="1539"/>
      <c r="Q330" s="1539"/>
      <c r="R330" s="1539"/>
      <c r="S330" s="1539"/>
      <c r="T330" s="1539"/>
      <c r="U330" s="1539"/>
      <c r="V330" s="1539"/>
      <c r="W330" s="1539"/>
      <c r="X330" s="1539"/>
      <c r="Y330" s="1539"/>
      <c r="Z330" s="1539"/>
      <c r="AA330" s="1539"/>
      <c r="AB330" s="1539"/>
      <c r="AC330" s="1539"/>
      <c r="AD330" s="1539"/>
      <c r="AE330" s="1539"/>
      <c r="AF330" s="1539"/>
      <c r="AG330" s="1539"/>
      <c r="AH330" s="1539"/>
      <c r="AI330" s="1539"/>
      <c r="AJ330" s="1539"/>
      <c r="AK330" s="1539"/>
      <c r="AL330" s="1539"/>
      <c r="AM330" s="1539"/>
      <c r="AN330" s="1539"/>
      <c r="AO330" s="1539"/>
      <c r="AP330" s="1539"/>
      <c r="AQ330" s="1539"/>
      <c r="AR330" s="1539"/>
      <c r="AS330" s="1539"/>
      <c r="AT330" s="1539"/>
      <c r="AU330" s="1539"/>
      <c r="AV330" s="1539"/>
      <c r="AW330" s="1539"/>
      <c r="AX330" s="1539"/>
      <c r="AY330" s="1539"/>
      <c r="AZ330" s="1539"/>
      <c r="BA330" s="1539"/>
      <c r="BB330" s="1539"/>
      <c r="BC330" s="1539"/>
      <c r="BD330" s="1539"/>
      <c r="BE330" s="1539"/>
      <c r="BF330" s="1539"/>
      <c r="BG330" s="1539"/>
      <c r="BH330" s="1539"/>
      <c r="BI330" s="1539"/>
      <c r="BJ330" s="1539"/>
      <c r="BK330" s="1539"/>
      <c r="BL330" s="1539"/>
      <c r="BM330" s="1539"/>
      <c r="BN330" s="1539"/>
      <c r="BO330" s="1539"/>
      <c r="BP330" s="1539"/>
      <c r="BQ330" s="1539"/>
      <c r="BR330" s="1539"/>
      <c r="BS330" s="1539"/>
      <c r="BT330" s="1539"/>
      <c r="BU330" s="1539"/>
      <c r="BV330" s="1539"/>
      <c r="BW330" s="1539"/>
      <c r="BX330" s="1539"/>
      <c r="BY330" s="1539"/>
      <c r="BZ330" s="1539"/>
      <c r="CA330" s="1539"/>
      <c r="CB330" s="1539"/>
      <c r="CC330" s="1539"/>
      <c r="CD330" s="1539"/>
      <c r="CE330" s="1539"/>
      <c r="CF330" s="1539"/>
      <c r="CG330" s="1539"/>
      <c r="CH330" s="1539"/>
      <c r="CI330" s="1539"/>
      <c r="CJ330" s="1539"/>
      <c r="CK330" s="1539"/>
      <c r="CL330" s="1539"/>
      <c r="CM330" s="1539"/>
      <c r="CN330" s="1539"/>
      <c r="CO330" s="1539"/>
    </row>
    <row r="331" spans="1:93" ht="15.5">
      <c r="A331" s="1598" t="s">
        <v>2356</v>
      </c>
      <c r="B331" s="1599" t="s">
        <v>2210</v>
      </c>
      <c r="C331" s="1643" t="e">
        <f>+SUMIF(#REF!,Final!A331,#REF!)</f>
        <v>#REF!</v>
      </c>
      <c r="D331" s="1597" t="e">
        <f>+SUMIF(#REF!,Final!A331,#REF!)</f>
        <v>#REF!</v>
      </c>
      <c r="E331" s="1643" t="e">
        <f>SUMIF(#REF!,Final!A331,#REF!)</f>
        <v>#REF!</v>
      </c>
      <c r="F331" s="1644" t="e">
        <f>SUMIF(#REF!,Final!A331,#REF!)</f>
        <v>#REF!</v>
      </c>
      <c r="G331" s="1597" t="e">
        <f t="shared" si="20"/>
        <v>#REF!</v>
      </c>
      <c r="H331" s="1644" t="e">
        <f t="shared" si="21"/>
        <v>#REF!</v>
      </c>
      <c r="I331" s="1597" t="e">
        <f t="shared" si="22"/>
        <v>#REF!</v>
      </c>
      <c r="J331" s="1644" t="e">
        <f t="shared" si="23"/>
        <v>#REF!</v>
      </c>
      <c r="M331" s="1545"/>
      <c r="N331" s="1545"/>
    </row>
    <row r="332" spans="1:93" ht="15.5">
      <c r="A332" s="1598" t="s">
        <v>2357</v>
      </c>
      <c r="B332" s="1599" t="s">
        <v>2212</v>
      </c>
      <c r="C332" s="1643" t="e">
        <f>+SUMIF(#REF!,Final!A332,#REF!)</f>
        <v>#REF!</v>
      </c>
      <c r="D332" s="1597" t="e">
        <f>+SUMIF(#REF!,Final!A332,#REF!)</f>
        <v>#REF!</v>
      </c>
      <c r="E332" s="1643" t="e">
        <f>SUMIF(#REF!,Final!A332,#REF!)</f>
        <v>#REF!</v>
      </c>
      <c r="F332" s="1644" t="e">
        <f>SUMIF(#REF!,Final!A332,#REF!)</f>
        <v>#REF!</v>
      </c>
      <c r="G332" s="1597" t="e">
        <f t="shared" si="20"/>
        <v>#REF!</v>
      </c>
      <c r="H332" s="1644" t="e">
        <f t="shared" si="21"/>
        <v>#REF!</v>
      </c>
      <c r="I332" s="1597" t="e">
        <f t="shared" si="22"/>
        <v>#REF!</v>
      </c>
      <c r="J332" s="1644" t="e">
        <f t="shared" si="23"/>
        <v>#REF!</v>
      </c>
      <c r="M332" s="1545"/>
      <c r="N332" s="1545"/>
    </row>
    <row r="333" spans="1:93" ht="15.5">
      <c r="A333" s="1598" t="s">
        <v>2358</v>
      </c>
      <c r="B333" s="1599" t="s">
        <v>2168</v>
      </c>
      <c r="C333" s="1643" t="e">
        <f>+SUMIF(#REF!,Final!A333,#REF!)</f>
        <v>#REF!</v>
      </c>
      <c r="D333" s="1597" t="e">
        <f>+SUMIF(#REF!,Final!A333,#REF!)</f>
        <v>#REF!</v>
      </c>
      <c r="E333" s="1643" t="e">
        <f>SUMIF(#REF!,Final!A333,#REF!)</f>
        <v>#REF!</v>
      </c>
      <c r="F333" s="1644" t="e">
        <f>SUMIF(#REF!,Final!A333,#REF!)</f>
        <v>#REF!</v>
      </c>
      <c r="G333" s="1597" t="e">
        <f t="shared" si="20"/>
        <v>#REF!</v>
      </c>
      <c r="H333" s="1644" t="e">
        <f t="shared" si="21"/>
        <v>#REF!</v>
      </c>
      <c r="I333" s="1597" t="e">
        <f t="shared" si="22"/>
        <v>#REF!</v>
      </c>
      <c r="J333" s="1644" t="e">
        <f t="shared" si="23"/>
        <v>#REF!</v>
      </c>
      <c r="M333" s="1545"/>
      <c r="N333" s="1545"/>
    </row>
    <row r="334" spans="1:93" s="1542" customFormat="1" ht="15.5">
      <c r="A334" s="1598" t="s">
        <v>2359</v>
      </c>
      <c r="B334" s="1599" t="s">
        <v>2170</v>
      </c>
      <c r="C334" s="1643" t="e">
        <f>+SUMIF(#REF!,Final!A334,#REF!)</f>
        <v>#REF!</v>
      </c>
      <c r="D334" s="1597" t="e">
        <f>+SUMIF(#REF!,Final!A334,#REF!)</f>
        <v>#REF!</v>
      </c>
      <c r="E334" s="1643" t="e">
        <f>SUMIF(#REF!,Final!A334,#REF!)</f>
        <v>#REF!</v>
      </c>
      <c r="F334" s="1644" t="e">
        <f>SUMIF(#REF!,Final!A334,#REF!)</f>
        <v>#REF!</v>
      </c>
      <c r="G334" s="1597" t="e">
        <f t="shared" si="20"/>
        <v>#REF!</v>
      </c>
      <c r="H334" s="1644" t="e">
        <f t="shared" si="21"/>
        <v>#REF!</v>
      </c>
      <c r="I334" s="1597" t="e">
        <f t="shared" si="22"/>
        <v>#REF!</v>
      </c>
      <c r="J334" s="1644" t="e">
        <f t="shared" si="23"/>
        <v>#REF!</v>
      </c>
      <c r="K334" s="1539"/>
      <c r="L334" s="1539"/>
      <c r="M334" s="1545"/>
      <c r="N334" s="1545"/>
      <c r="O334" s="1539"/>
      <c r="P334" s="1539"/>
      <c r="Q334" s="1539"/>
      <c r="R334" s="1539"/>
      <c r="S334" s="1539"/>
      <c r="T334" s="1539"/>
      <c r="U334" s="1539"/>
      <c r="V334" s="1539"/>
      <c r="W334" s="1539"/>
      <c r="X334" s="1539"/>
      <c r="Y334" s="1539"/>
      <c r="Z334" s="1539"/>
      <c r="AA334" s="1539"/>
      <c r="AB334" s="1539"/>
      <c r="AC334" s="1539"/>
      <c r="AD334" s="1539"/>
      <c r="AE334" s="1539"/>
      <c r="AF334" s="1539"/>
      <c r="AG334" s="1539"/>
      <c r="AH334" s="1539"/>
      <c r="AI334" s="1539"/>
      <c r="AJ334" s="1539"/>
      <c r="AK334" s="1539"/>
      <c r="AL334" s="1539"/>
      <c r="AM334" s="1539"/>
      <c r="AN334" s="1539"/>
      <c r="AO334" s="1539"/>
      <c r="AP334" s="1539"/>
      <c r="AQ334" s="1539"/>
      <c r="AR334" s="1539"/>
      <c r="AS334" s="1539"/>
      <c r="AT334" s="1539"/>
      <c r="AU334" s="1539"/>
      <c r="AV334" s="1539"/>
      <c r="AW334" s="1539"/>
      <c r="AX334" s="1539"/>
      <c r="AY334" s="1539"/>
      <c r="AZ334" s="1539"/>
      <c r="BA334" s="1539"/>
      <c r="BB334" s="1539"/>
      <c r="BC334" s="1539"/>
      <c r="BD334" s="1539"/>
      <c r="BE334" s="1539"/>
      <c r="BF334" s="1539"/>
      <c r="BG334" s="1539"/>
      <c r="BH334" s="1539"/>
      <c r="BI334" s="1539"/>
      <c r="BJ334" s="1539"/>
      <c r="BK334" s="1539"/>
      <c r="BL334" s="1539"/>
      <c r="BM334" s="1539"/>
      <c r="BN334" s="1539"/>
      <c r="BO334" s="1539"/>
      <c r="BP334" s="1539"/>
      <c r="BQ334" s="1539"/>
      <c r="BR334" s="1539"/>
      <c r="BS334" s="1539"/>
      <c r="BT334" s="1539"/>
      <c r="BU334" s="1539"/>
      <c r="BV334" s="1539"/>
      <c r="BW334" s="1539"/>
      <c r="BX334" s="1539"/>
      <c r="BY334" s="1539"/>
      <c r="BZ334" s="1539"/>
      <c r="CA334" s="1539"/>
      <c r="CB334" s="1539"/>
      <c r="CC334" s="1539"/>
      <c r="CD334" s="1539"/>
      <c r="CE334" s="1539"/>
      <c r="CF334" s="1539"/>
      <c r="CG334" s="1539"/>
      <c r="CH334" s="1539"/>
      <c r="CI334" s="1539"/>
      <c r="CJ334" s="1539"/>
      <c r="CK334" s="1539"/>
      <c r="CL334" s="1539"/>
      <c r="CM334" s="1539"/>
      <c r="CN334" s="1539"/>
      <c r="CO334" s="1539"/>
    </row>
    <row r="335" spans="1:93" ht="15.5">
      <c r="A335" s="1598" t="s">
        <v>2360</v>
      </c>
      <c r="B335" s="1599" t="s">
        <v>2172</v>
      </c>
      <c r="C335" s="1643" t="e">
        <f>+SUMIF(#REF!,Final!A335,#REF!)</f>
        <v>#REF!</v>
      </c>
      <c r="D335" s="1597" t="e">
        <f>+SUMIF(#REF!,Final!A335,#REF!)</f>
        <v>#REF!</v>
      </c>
      <c r="E335" s="1643" t="e">
        <f>SUMIF(#REF!,Final!A335,#REF!)</f>
        <v>#REF!</v>
      </c>
      <c r="F335" s="1644" t="e">
        <f>SUMIF(#REF!,Final!A335,#REF!)</f>
        <v>#REF!</v>
      </c>
      <c r="G335" s="1597" t="e">
        <f t="shared" si="20"/>
        <v>#REF!</v>
      </c>
      <c r="H335" s="1644" t="e">
        <f t="shared" si="21"/>
        <v>#REF!</v>
      </c>
      <c r="I335" s="1597" t="e">
        <f t="shared" si="22"/>
        <v>#REF!</v>
      </c>
      <c r="J335" s="1644" t="e">
        <f t="shared" si="23"/>
        <v>#REF!</v>
      </c>
      <c r="M335" s="1545"/>
      <c r="N335" s="1545"/>
    </row>
    <row r="336" spans="1:93" ht="15.5">
      <c r="A336" s="1598" t="s">
        <v>2361</v>
      </c>
      <c r="B336" s="1599" t="s">
        <v>2176</v>
      </c>
      <c r="C336" s="1643" t="e">
        <f>+SUMIF(#REF!,Final!A336,#REF!)</f>
        <v>#REF!</v>
      </c>
      <c r="D336" s="1597" t="e">
        <f>+SUMIF(#REF!,Final!A336,#REF!)</f>
        <v>#REF!</v>
      </c>
      <c r="E336" s="1643" t="e">
        <f>SUMIF(#REF!,Final!A336,#REF!)</f>
        <v>#REF!</v>
      </c>
      <c r="F336" s="1644" t="e">
        <f>SUMIF(#REF!,Final!A336,#REF!)</f>
        <v>#REF!</v>
      </c>
      <c r="G336" s="1597" t="e">
        <f t="shared" si="20"/>
        <v>#REF!</v>
      </c>
      <c r="H336" s="1644" t="e">
        <f t="shared" si="21"/>
        <v>#REF!</v>
      </c>
      <c r="I336" s="1597" t="e">
        <f t="shared" si="22"/>
        <v>#REF!</v>
      </c>
      <c r="J336" s="1644" t="e">
        <f t="shared" si="23"/>
        <v>#REF!</v>
      </c>
      <c r="M336" s="1545"/>
      <c r="N336" s="1545"/>
    </row>
    <row r="337" spans="1:93" ht="15.5">
      <c r="A337" s="1598" t="s">
        <v>2362</v>
      </c>
      <c r="B337" s="1599" t="s">
        <v>2178</v>
      </c>
      <c r="C337" s="1643" t="e">
        <f>+SUMIF(#REF!,Final!A337,#REF!)</f>
        <v>#REF!</v>
      </c>
      <c r="D337" s="1597" t="e">
        <f>+SUMIF(#REF!,Final!A337,#REF!)</f>
        <v>#REF!</v>
      </c>
      <c r="E337" s="1643" t="e">
        <f>SUMIF(#REF!,Final!A337,#REF!)</f>
        <v>#REF!</v>
      </c>
      <c r="F337" s="1644" t="e">
        <f>SUMIF(#REF!,Final!A337,#REF!)</f>
        <v>#REF!</v>
      </c>
      <c r="G337" s="1597" t="e">
        <f t="shared" si="20"/>
        <v>#REF!</v>
      </c>
      <c r="H337" s="1644" t="e">
        <f t="shared" si="21"/>
        <v>#REF!</v>
      </c>
      <c r="I337" s="1597" t="e">
        <f t="shared" si="22"/>
        <v>#REF!</v>
      </c>
      <c r="J337" s="1644" t="e">
        <f t="shared" si="23"/>
        <v>#REF!</v>
      </c>
      <c r="M337" s="1545"/>
      <c r="N337" s="1545"/>
    </row>
    <row r="338" spans="1:93" ht="15.5">
      <c r="A338" s="1598" t="s">
        <v>2363</v>
      </c>
      <c r="B338" s="1599" t="s">
        <v>2180</v>
      </c>
      <c r="C338" s="1643" t="e">
        <f>+SUMIF(#REF!,Final!A338,#REF!)</f>
        <v>#REF!</v>
      </c>
      <c r="D338" s="1597" t="e">
        <f>+SUMIF(#REF!,Final!A338,#REF!)</f>
        <v>#REF!</v>
      </c>
      <c r="E338" s="1643" t="e">
        <f>SUMIF(#REF!,Final!A338,#REF!)</f>
        <v>#REF!</v>
      </c>
      <c r="F338" s="1644" t="e">
        <f>SUMIF(#REF!,Final!A338,#REF!)</f>
        <v>#REF!</v>
      </c>
      <c r="G338" s="1597" t="e">
        <f t="shared" si="20"/>
        <v>#REF!</v>
      </c>
      <c r="H338" s="1644" t="e">
        <f t="shared" si="21"/>
        <v>#REF!</v>
      </c>
      <c r="I338" s="1597" t="e">
        <f t="shared" si="22"/>
        <v>#REF!</v>
      </c>
      <c r="J338" s="1644" t="e">
        <f t="shared" si="23"/>
        <v>#REF!</v>
      </c>
      <c r="M338" s="1545"/>
      <c r="N338" s="1545"/>
    </row>
    <row r="339" spans="1:93" ht="15.5">
      <c r="A339" s="1598" t="s">
        <v>2364</v>
      </c>
      <c r="B339" s="1599" t="s">
        <v>2365</v>
      </c>
      <c r="C339" s="1643" t="e">
        <f>+SUMIF(#REF!,Final!A339,#REF!)</f>
        <v>#REF!</v>
      </c>
      <c r="D339" s="1597" t="e">
        <f>+SUMIF(#REF!,Final!A339,#REF!)</f>
        <v>#REF!</v>
      </c>
      <c r="E339" s="1643" t="e">
        <f>SUMIF(#REF!,Final!A339,#REF!)</f>
        <v>#REF!</v>
      </c>
      <c r="F339" s="1644" t="e">
        <f>SUMIF(#REF!,Final!A339,#REF!)</f>
        <v>#REF!</v>
      </c>
      <c r="G339" s="1597" t="e">
        <f t="shared" si="20"/>
        <v>#REF!</v>
      </c>
      <c r="H339" s="1644" t="e">
        <f t="shared" si="21"/>
        <v>#REF!</v>
      </c>
      <c r="I339" s="1597" t="e">
        <f t="shared" si="22"/>
        <v>#REF!</v>
      </c>
      <c r="J339" s="1644" t="e">
        <f t="shared" si="23"/>
        <v>#REF!</v>
      </c>
      <c r="M339" s="1545"/>
      <c r="N339" s="1545"/>
    </row>
    <row r="340" spans="1:93" ht="15.5">
      <c r="A340" s="1598" t="s">
        <v>2366</v>
      </c>
      <c r="B340" s="1599" t="s">
        <v>2367</v>
      </c>
      <c r="C340" s="1643" t="e">
        <f>+SUMIF(#REF!,Final!A340,#REF!)</f>
        <v>#REF!</v>
      </c>
      <c r="D340" s="1597" t="e">
        <f>+SUMIF(#REF!,Final!A340,#REF!)</f>
        <v>#REF!</v>
      </c>
      <c r="E340" s="1643" t="e">
        <f>SUMIF(#REF!,Final!A340,#REF!)</f>
        <v>#REF!</v>
      </c>
      <c r="F340" s="1644" t="e">
        <f>SUMIF(#REF!,Final!A340,#REF!)</f>
        <v>#REF!</v>
      </c>
      <c r="G340" s="1597" t="e">
        <f t="shared" si="20"/>
        <v>#REF!</v>
      </c>
      <c r="H340" s="1644" t="e">
        <f t="shared" si="21"/>
        <v>#REF!</v>
      </c>
      <c r="I340" s="1597" t="e">
        <f t="shared" si="22"/>
        <v>#REF!</v>
      </c>
      <c r="J340" s="1644" t="e">
        <f t="shared" si="23"/>
        <v>#REF!</v>
      </c>
      <c r="M340" s="1545"/>
      <c r="N340" s="1545"/>
    </row>
    <row r="341" spans="1:93" s="1552" customFormat="1" ht="15.5">
      <c r="A341" s="1598"/>
      <c r="B341" s="1599" t="s">
        <v>754</v>
      </c>
      <c r="C341" s="1643" t="e">
        <f>+SUMIF(#REF!,Final!A341,#REF!)</f>
        <v>#REF!</v>
      </c>
      <c r="D341" s="1597" t="e">
        <f>+SUMIF(#REF!,Final!A341,#REF!)</f>
        <v>#REF!</v>
      </c>
      <c r="E341" s="1643" t="e">
        <f>SUMIF(#REF!,Final!A341,#REF!)</f>
        <v>#REF!</v>
      </c>
      <c r="F341" s="1644" t="e">
        <f>SUMIF(#REF!,Final!A341,#REF!)</f>
        <v>#REF!</v>
      </c>
      <c r="G341" s="1597" t="e">
        <f t="shared" si="20"/>
        <v>#REF!</v>
      </c>
      <c r="H341" s="1644" t="e">
        <f t="shared" si="21"/>
        <v>#REF!</v>
      </c>
      <c r="I341" s="1597" t="e">
        <f t="shared" si="22"/>
        <v>#REF!</v>
      </c>
      <c r="J341" s="1644" t="e">
        <f t="shared" si="23"/>
        <v>#REF!</v>
      </c>
      <c r="K341" s="1539"/>
      <c r="L341" s="1539"/>
      <c r="M341" s="1545"/>
      <c r="N341" s="1545"/>
      <c r="O341" s="1539"/>
      <c r="P341" s="1539"/>
      <c r="Q341" s="1539"/>
      <c r="R341" s="1539"/>
      <c r="S341" s="1539"/>
      <c r="T341" s="1539"/>
      <c r="U341" s="1539"/>
      <c r="V341" s="1539"/>
      <c r="W341" s="1539"/>
      <c r="X341" s="1539"/>
      <c r="Y341" s="1539"/>
      <c r="Z341" s="1539"/>
      <c r="AA341" s="1539"/>
      <c r="AB341" s="1539"/>
      <c r="AC341" s="1539"/>
      <c r="AD341" s="1539"/>
      <c r="AE341" s="1539"/>
      <c r="AF341" s="1539"/>
      <c r="AG341" s="1539"/>
      <c r="AH341" s="1539"/>
      <c r="AI341" s="1539"/>
      <c r="AJ341" s="1539"/>
      <c r="AK341" s="1539"/>
      <c r="AL341" s="1539"/>
      <c r="AM341" s="1539"/>
      <c r="AN341" s="1539"/>
      <c r="AO341" s="1539"/>
      <c r="AP341" s="1539"/>
      <c r="AQ341" s="1539"/>
      <c r="AR341" s="1539"/>
      <c r="AS341" s="1539"/>
      <c r="AT341" s="1539"/>
      <c r="AU341" s="1539"/>
      <c r="AV341" s="1539"/>
      <c r="AW341" s="1539"/>
      <c r="AX341" s="1539"/>
      <c r="AY341" s="1539"/>
      <c r="AZ341" s="1539"/>
      <c r="BA341" s="1539"/>
      <c r="BB341" s="1539"/>
      <c r="BC341" s="1539"/>
      <c r="BD341" s="1539"/>
      <c r="BE341" s="1539"/>
      <c r="BF341" s="1539"/>
      <c r="BG341" s="1539"/>
      <c r="BH341" s="1539"/>
      <c r="BI341" s="1539"/>
      <c r="BJ341" s="1539"/>
      <c r="BK341" s="1539"/>
      <c r="BL341" s="1539"/>
      <c r="BM341" s="1539"/>
      <c r="BN341" s="1539"/>
      <c r="BO341" s="1539"/>
      <c r="BP341" s="1539"/>
      <c r="BQ341" s="1539"/>
      <c r="BR341" s="1539"/>
      <c r="BS341" s="1539"/>
      <c r="BT341" s="1539"/>
      <c r="BU341" s="1539"/>
      <c r="BV341" s="1539"/>
      <c r="BW341" s="1539"/>
      <c r="BX341" s="1539"/>
      <c r="BY341" s="1539"/>
      <c r="BZ341" s="1539"/>
      <c r="CA341" s="1539"/>
      <c r="CB341" s="1539"/>
      <c r="CC341" s="1539"/>
      <c r="CD341" s="1539"/>
      <c r="CE341" s="1539"/>
      <c r="CF341" s="1539"/>
      <c r="CG341" s="1539"/>
      <c r="CH341" s="1539"/>
      <c r="CI341" s="1539"/>
      <c r="CJ341" s="1539"/>
      <c r="CK341" s="1539"/>
      <c r="CL341" s="1539"/>
      <c r="CM341" s="1539"/>
      <c r="CN341" s="1539"/>
      <c r="CO341" s="1539"/>
    </row>
    <row r="342" spans="1:93" s="1552" customFormat="1" ht="15.5">
      <c r="A342" s="1598"/>
      <c r="B342" s="1599" t="s">
        <v>1760</v>
      </c>
      <c r="C342" s="1643" t="e">
        <f>+SUMIF(#REF!,Final!A342,#REF!)</f>
        <v>#REF!</v>
      </c>
      <c r="D342" s="1597" t="e">
        <f>+SUMIF(#REF!,Final!A342,#REF!)</f>
        <v>#REF!</v>
      </c>
      <c r="E342" s="1643" t="e">
        <f>SUMIF(#REF!,Final!A342,#REF!)</f>
        <v>#REF!</v>
      </c>
      <c r="F342" s="1644" t="e">
        <f>SUMIF(#REF!,Final!A342,#REF!)</f>
        <v>#REF!</v>
      </c>
      <c r="G342" s="1597" t="e">
        <f t="shared" si="20"/>
        <v>#REF!</v>
      </c>
      <c r="H342" s="1644" t="e">
        <f t="shared" si="21"/>
        <v>#REF!</v>
      </c>
      <c r="I342" s="1597" t="e">
        <f t="shared" si="22"/>
        <v>#REF!</v>
      </c>
      <c r="J342" s="1644" t="e">
        <f t="shared" si="23"/>
        <v>#REF!</v>
      </c>
      <c r="K342" s="1539"/>
      <c r="L342" s="1539"/>
      <c r="M342" s="1545"/>
      <c r="N342" s="1545"/>
      <c r="O342" s="1539"/>
      <c r="P342" s="1539"/>
      <c r="Q342" s="1539"/>
      <c r="R342" s="1539"/>
      <c r="S342" s="1539"/>
      <c r="T342" s="1539"/>
      <c r="U342" s="1539"/>
      <c r="V342" s="1539"/>
      <c r="W342" s="1539"/>
      <c r="X342" s="1539"/>
      <c r="Y342" s="1539"/>
      <c r="Z342" s="1539"/>
      <c r="AA342" s="1539"/>
      <c r="AB342" s="1539"/>
      <c r="AC342" s="1539"/>
      <c r="AD342" s="1539"/>
      <c r="AE342" s="1539"/>
      <c r="AF342" s="1539"/>
      <c r="AG342" s="1539"/>
      <c r="AH342" s="1539"/>
      <c r="AI342" s="1539"/>
      <c r="AJ342" s="1539"/>
      <c r="AK342" s="1539"/>
      <c r="AL342" s="1539"/>
      <c r="AM342" s="1539"/>
      <c r="AN342" s="1539"/>
      <c r="AO342" s="1539"/>
      <c r="AP342" s="1539"/>
      <c r="AQ342" s="1539"/>
      <c r="AR342" s="1539"/>
      <c r="AS342" s="1539"/>
      <c r="AT342" s="1539"/>
      <c r="AU342" s="1539"/>
      <c r="AV342" s="1539"/>
      <c r="AW342" s="1539"/>
      <c r="AX342" s="1539"/>
      <c r="AY342" s="1539"/>
      <c r="AZ342" s="1539"/>
      <c r="BA342" s="1539"/>
      <c r="BB342" s="1539"/>
      <c r="BC342" s="1539"/>
      <c r="BD342" s="1539"/>
      <c r="BE342" s="1539"/>
      <c r="BF342" s="1539"/>
      <c r="BG342" s="1539"/>
      <c r="BH342" s="1539"/>
      <c r="BI342" s="1539"/>
      <c r="BJ342" s="1539"/>
      <c r="BK342" s="1539"/>
      <c r="BL342" s="1539"/>
      <c r="BM342" s="1539"/>
      <c r="BN342" s="1539"/>
      <c r="BO342" s="1539"/>
      <c r="BP342" s="1539"/>
      <c r="BQ342" s="1539"/>
      <c r="BR342" s="1539"/>
      <c r="BS342" s="1539"/>
      <c r="BT342" s="1539"/>
      <c r="BU342" s="1539"/>
      <c r="BV342" s="1539"/>
      <c r="BW342" s="1539"/>
      <c r="BX342" s="1539"/>
      <c r="BY342" s="1539"/>
      <c r="BZ342" s="1539"/>
      <c r="CA342" s="1539"/>
      <c r="CB342" s="1539"/>
      <c r="CC342" s="1539"/>
      <c r="CD342" s="1539"/>
      <c r="CE342" s="1539"/>
      <c r="CF342" s="1539"/>
      <c r="CG342" s="1539"/>
      <c r="CH342" s="1539"/>
      <c r="CI342" s="1539"/>
      <c r="CJ342" s="1539"/>
      <c r="CK342" s="1539"/>
      <c r="CL342" s="1539"/>
      <c r="CM342" s="1539"/>
      <c r="CN342" s="1539"/>
      <c r="CO342" s="1539"/>
    </row>
    <row r="343" spans="1:93" s="1542" customFormat="1" ht="15.5">
      <c r="A343" s="1598" t="s">
        <v>1407</v>
      </c>
      <c r="B343" s="1599" t="s">
        <v>2368</v>
      </c>
      <c r="C343" s="1643" t="e">
        <f>+SUMIF(#REF!,Final!A343,#REF!)</f>
        <v>#REF!</v>
      </c>
      <c r="D343" s="1597" t="e">
        <f>+SUMIF(#REF!,Final!A343,#REF!)</f>
        <v>#REF!</v>
      </c>
      <c r="E343" s="1643" t="e">
        <f>SUMIF(#REF!,Final!A343,#REF!)</f>
        <v>#REF!</v>
      </c>
      <c r="F343" s="1644" t="e">
        <f>SUMIF(#REF!,Final!A343,#REF!)</f>
        <v>#REF!</v>
      </c>
      <c r="G343" s="1597" t="e">
        <f t="shared" si="20"/>
        <v>#REF!</v>
      </c>
      <c r="H343" s="1644" t="e">
        <f t="shared" si="21"/>
        <v>#REF!</v>
      </c>
      <c r="I343" s="1597" t="e">
        <f t="shared" si="22"/>
        <v>#REF!</v>
      </c>
      <c r="J343" s="1644" t="e">
        <f t="shared" si="23"/>
        <v>#REF!</v>
      </c>
      <c r="K343" s="1539"/>
      <c r="L343" s="1539"/>
      <c r="M343" s="1545"/>
      <c r="N343" s="1545"/>
      <c r="O343" s="1539"/>
      <c r="P343" s="1539"/>
      <c r="Q343" s="1539"/>
      <c r="R343" s="1539"/>
      <c r="S343" s="1539"/>
      <c r="T343" s="1539"/>
      <c r="U343" s="1539"/>
      <c r="V343" s="1539"/>
      <c r="W343" s="1539"/>
      <c r="X343" s="1539"/>
      <c r="Y343" s="1539"/>
      <c r="Z343" s="1539"/>
      <c r="AA343" s="1539"/>
      <c r="AB343" s="1539"/>
      <c r="AC343" s="1539"/>
      <c r="AD343" s="1539"/>
      <c r="AE343" s="1539"/>
      <c r="AF343" s="1539"/>
      <c r="AG343" s="1539"/>
      <c r="AH343" s="1539"/>
      <c r="AI343" s="1539"/>
      <c r="AJ343" s="1539"/>
      <c r="AK343" s="1539"/>
      <c r="AL343" s="1539"/>
      <c r="AM343" s="1539"/>
      <c r="AN343" s="1539"/>
      <c r="AO343" s="1539"/>
      <c r="AP343" s="1539"/>
      <c r="AQ343" s="1539"/>
      <c r="AR343" s="1539"/>
      <c r="AS343" s="1539"/>
      <c r="AT343" s="1539"/>
      <c r="AU343" s="1539"/>
      <c r="AV343" s="1539"/>
      <c r="AW343" s="1539"/>
      <c r="AX343" s="1539"/>
      <c r="AY343" s="1539"/>
      <c r="AZ343" s="1539"/>
      <c r="BA343" s="1539"/>
      <c r="BB343" s="1539"/>
      <c r="BC343" s="1539"/>
      <c r="BD343" s="1539"/>
      <c r="BE343" s="1539"/>
      <c r="BF343" s="1539"/>
      <c r="BG343" s="1539"/>
      <c r="BH343" s="1539"/>
      <c r="BI343" s="1539"/>
      <c r="BJ343" s="1539"/>
      <c r="BK343" s="1539"/>
      <c r="BL343" s="1539"/>
      <c r="BM343" s="1539"/>
      <c r="BN343" s="1539"/>
      <c r="BO343" s="1539"/>
      <c r="BP343" s="1539"/>
      <c r="BQ343" s="1539"/>
      <c r="BR343" s="1539"/>
      <c r="BS343" s="1539"/>
      <c r="BT343" s="1539"/>
      <c r="BU343" s="1539"/>
      <c r="BV343" s="1539"/>
      <c r="BW343" s="1539"/>
      <c r="BX343" s="1539"/>
      <c r="BY343" s="1539"/>
      <c r="BZ343" s="1539"/>
      <c r="CA343" s="1539"/>
      <c r="CB343" s="1539"/>
      <c r="CC343" s="1539"/>
      <c r="CD343" s="1539"/>
      <c r="CE343" s="1539"/>
      <c r="CF343" s="1539"/>
      <c r="CG343" s="1539"/>
      <c r="CH343" s="1539"/>
      <c r="CI343" s="1539"/>
      <c r="CJ343" s="1539"/>
      <c r="CK343" s="1539"/>
      <c r="CL343" s="1539"/>
      <c r="CM343" s="1539"/>
      <c r="CN343" s="1539"/>
      <c r="CO343" s="1539"/>
    </row>
    <row r="344" spans="1:93" ht="15.5">
      <c r="A344" s="1598" t="s">
        <v>2369</v>
      </c>
      <c r="B344" s="1599" t="s">
        <v>2136</v>
      </c>
      <c r="C344" s="1643" t="e">
        <f>+SUMIF(#REF!,Final!A344,#REF!)</f>
        <v>#REF!</v>
      </c>
      <c r="D344" s="1597" t="e">
        <f>+SUMIF(#REF!,Final!A344,#REF!)</f>
        <v>#REF!</v>
      </c>
      <c r="E344" s="1643" t="e">
        <f>SUMIF(#REF!,Final!A344,#REF!)</f>
        <v>#REF!</v>
      </c>
      <c r="F344" s="1644" t="e">
        <f>SUMIF(#REF!,Final!A344,#REF!)</f>
        <v>#REF!</v>
      </c>
      <c r="G344" s="1597" t="e">
        <f t="shared" si="20"/>
        <v>#REF!</v>
      </c>
      <c r="H344" s="1644" t="e">
        <f t="shared" si="21"/>
        <v>#REF!</v>
      </c>
      <c r="I344" s="1597" t="e">
        <f t="shared" si="22"/>
        <v>#REF!</v>
      </c>
      <c r="J344" s="1644" t="e">
        <f t="shared" si="23"/>
        <v>#REF!</v>
      </c>
      <c r="M344" s="1545"/>
      <c r="N344" s="1545"/>
    </row>
    <row r="345" spans="1:93" ht="15.5">
      <c r="A345" s="1598" t="s">
        <v>2370</v>
      </c>
      <c r="B345" s="1599" t="s">
        <v>2202</v>
      </c>
      <c r="C345" s="1643" t="e">
        <f>+SUMIF(#REF!,Final!A345,#REF!)</f>
        <v>#REF!</v>
      </c>
      <c r="D345" s="1597" t="e">
        <f>+SUMIF(#REF!,Final!A345,#REF!)</f>
        <v>#REF!</v>
      </c>
      <c r="E345" s="1643" t="e">
        <f>SUMIF(#REF!,Final!A345,#REF!)</f>
        <v>#REF!</v>
      </c>
      <c r="F345" s="1644" t="e">
        <f>SUMIF(#REF!,Final!A345,#REF!)</f>
        <v>#REF!</v>
      </c>
      <c r="G345" s="1597" t="e">
        <f t="shared" si="20"/>
        <v>#REF!</v>
      </c>
      <c r="H345" s="1644" t="e">
        <f t="shared" si="21"/>
        <v>#REF!</v>
      </c>
      <c r="I345" s="1597" t="e">
        <f t="shared" si="22"/>
        <v>#REF!</v>
      </c>
      <c r="J345" s="1644" t="e">
        <f t="shared" si="23"/>
        <v>#REF!</v>
      </c>
      <c r="M345" s="1545"/>
      <c r="N345" s="1545"/>
    </row>
    <row r="346" spans="1:93" ht="15.5">
      <c r="A346" s="1598" t="s">
        <v>2371</v>
      </c>
      <c r="B346" s="1599" t="s">
        <v>2204</v>
      </c>
      <c r="C346" s="1643" t="e">
        <f>+SUMIF(#REF!,Final!A346,#REF!)</f>
        <v>#REF!</v>
      </c>
      <c r="D346" s="1597" t="e">
        <f>+SUMIF(#REF!,Final!A346,#REF!)</f>
        <v>#REF!</v>
      </c>
      <c r="E346" s="1643" t="e">
        <f>SUMIF(#REF!,Final!A346,#REF!)</f>
        <v>#REF!</v>
      </c>
      <c r="F346" s="1644" t="e">
        <f>SUMIF(#REF!,Final!A346,#REF!)</f>
        <v>#REF!</v>
      </c>
      <c r="G346" s="1597" t="e">
        <f t="shared" si="20"/>
        <v>#REF!</v>
      </c>
      <c r="H346" s="1644" t="e">
        <f t="shared" si="21"/>
        <v>#REF!</v>
      </c>
      <c r="I346" s="1597" t="e">
        <f t="shared" si="22"/>
        <v>#REF!</v>
      </c>
      <c r="J346" s="1644" t="e">
        <f t="shared" si="23"/>
        <v>#REF!</v>
      </c>
      <c r="M346" s="1545"/>
      <c r="N346" s="1545"/>
    </row>
    <row r="347" spans="1:93" ht="15.5">
      <c r="A347" s="1598" t="s">
        <v>2372</v>
      </c>
      <c r="B347" s="1599" t="s">
        <v>2206</v>
      </c>
      <c r="C347" s="1643" t="e">
        <f>+SUMIF(#REF!,Final!A347,#REF!)</f>
        <v>#REF!</v>
      </c>
      <c r="D347" s="1597" t="e">
        <f>+SUMIF(#REF!,Final!A347,#REF!)</f>
        <v>#REF!</v>
      </c>
      <c r="E347" s="1643" t="e">
        <f>SUMIF(#REF!,Final!A347,#REF!)</f>
        <v>#REF!</v>
      </c>
      <c r="F347" s="1644" t="e">
        <f>SUMIF(#REF!,Final!A347,#REF!)</f>
        <v>#REF!</v>
      </c>
      <c r="G347" s="1597" t="e">
        <f t="shared" si="20"/>
        <v>#REF!</v>
      </c>
      <c r="H347" s="1644" t="e">
        <f t="shared" si="21"/>
        <v>#REF!</v>
      </c>
      <c r="I347" s="1597" t="e">
        <f t="shared" si="22"/>
        <v>#REF!</v>
      </c>
      <c r="J347" s="1644" t="e">
        <f t="shared" si="23"/>
        <v>#REF!</v>
      </c>
      <c r="M347" s="1545"/>
      <c r="N347" s="1545"/>
    </row>
    <row r="348" spans="1:93" ht="15.5">
      <c r="A348" s="1598" t="s">
        <v>2373</v>
      </c>
      <c r="B348" s="1599" t="s">
        <v>2208</v>
      </c>
      <c r="C348" s="1643" t="e">
        <f>+SUMIF(#REF!,Final!A348,#REF!)</f>
        <v>#REF!</v>
      </c>
      <c r="D348" s="1597" t="e">
        <f>+SUMIF(#REF!,Final!A348,#REF!)</f>
        <v>#REF!</v>
      </c>
      <c r="E348" s="1643" t="e">
        <f>SUMIF(#REF!,Final!A348,#REF!)</f>
        <v>#REF!</v>
      </c>
      <c r="F348" s="1644" t="e">
        <f>SUMIF(#REF!,Final!A348,#REF!)</f>
        <v>#REF!</v>
      </c>
      <c r="G348" s="1597" t="e">
        <f t="shared" si="20"/>
        <v>#REF!</v>
      </c>
      <c r="H348" s="1644" t="e">
        <f t="shared" si="21"/>
        <v>#REF!</v>
      </c>
      <c r="I348" s="1597" t="e">
        <f t="shared" si="22"/>
        <v>#REF!</v>
      </c>
      <c r="J348" s="1644" t="e">
        <f t="shared" si="23"/>
        <v>#REF!</v>
      </c>
      <c r="M348" s="1545"/>
      <c r="N348" s="1545"/>
    </row>
    <row r="349" spans="1:93" ht="15.5">
      <c r="A349" s="1598" t="s">
        <v>2374</v>
      </c>
      <c r="B349" s="1599" t="s">
        <v>2210</v>
      </c>
      <c r="C349" s="1643" t="e">
        <f>+SUMIF(#REF!,Final!A349,#REF!)</f>
        <v>#REF!</v>
      </c>
      <c r="D349" s="1597" t="e">
        <f>+SUMIF(#REF!,Final!A349,#REF!)</f>
        <v>#REF!</v>
      </c>
      <c r="E349" s="1643" t="e">
        <f>SUMIF(#REF!,Final!A349,#REF!)</f>
        <v>#REF!</v>
      </c>
      <c r="F349" s="1644" t="e">
        <f>SUMIF(#REF!,Final!A349,#REF!)</f>
        <v>#REF!</v>
      </c>
      <c r="G349" s="1597" t="e">
        <f t="shared" si="20"/>
        <v>#REF!</v>
      </c>
      <c r="H349" s="1644" t="e">
        <f t="shared" si="21"/>
        <v>#REF!</v>
      </c>
      <c r="I349" s="1597" t="e">
        <f t="shared" si="22"/>
        <v>#REF!</v>
      </c>
      <c r="J349" s="1644" t="e">
        <f t="shared" si="23"/>
        <v>#REF!</v>
      </c>
      <c r="M349" s="1545"/>
      <c r="N349" s="1545"/>
    </row>
    <row r="350" spans="1:93" ht="15.5">
      <c r="A350" s="1598" t="s">
        <v>2375</v>
      </c>
      <c r="B350" s="1599" t="s">
        <v>2212</v>
      </c>
      <c r="C350" s="1643" t="e">
        <f>+SUMIF(#REF!,Final!A350,#REF!)</f>
        <v>#REF!</v>
      </c>
      <c r="D350" s="1597" t="e">
        <f>+SUMIF(#REF!,Final!A350,#REF!)</f>
        <v>#REF!</v>
      </c>
      <c r="E350" s="1643" t="e">
        <f>SUMIF(#REF!,Final!A350,#REF!)</f>
        <v>#REF!</v>
      </c>
      <c r="F350" s="1644" t="e">
        <f>SUMIF(#REF!,Final!A350,#REF!)</f>
        <v>#REF!</v>
      </c>
      <c r="G350" s="1597" t="e">
        <f t="shared" si="20"/>
        <v>#REF!</v>
      </c>
      <c r="H350" s="1644" t="e">
        <f t="shared" si="21"/>
        <v>#REF!</v>
      </c>
      <c r="I350" s="1597" t="e">
        <f t="shared" si="22"/>
        <v>#REF!</v>
      </c>
      <c r="J350" s="1644" t="e">
        <f t="shared" si="23"/>
        <v>#REF!</v>
      </c>
      <c r="M350" s="1545"/>
      <c r="N350" s="1545"/>
    </row>
    <row r="351" spans="1:93" ht="15.5">
      <c r="A351" s="1598" t="s">
        <v>2376</v>
      </c>
      <c r="B351" s="1599" t="s">
        <v>2214</v>
      </c>
      <c r="C351" s="1643" t="e">
        <f>+SUMIF(#REF!,Final!A351,#REF!)</f>
        <v>#REF!</v>
      </c>
      <c r="D351" s="1597" t="e">
        <f>+SUMIF(#REF!,Final!A351,#REF!)</f>
        <v>#REF!</v>
      </c>
      <c r="E351" s="1643" t="e">
        <f>SUMIF(#REF!,Final!A351,#REF!)</f>
        <v>#REF!</v>
      </c>
      <c r="F351" s="1644" t="e">
        <f>SUMIF(#REF!,Final!A351,#REF!)</f>
        <v>#REF!</v>
      </c>
      <c r="G351" s="1597" t="e">
        <f t="shared" si="20"/>
        <v>#REF!</v>
      </c>
      <c r="H351" s="1644" t="e">
        <f t="shared" si="21"/>
        <v>#REF!</v>
      </c>
      <c r="I351" s="1597" t="e">
        <f t="shared" si="22"/>
        <v>#REF!</v>
      </c>
      <c r="J351" s="1644" t="e">
        <f t="shared" si="23"/>
        <v>#REF!</v>
      </c>
      <c r="M351" s="1545"/>
      <c r="N351" s="1545"/>
    </row>
    <row r="352" spans="1:93" ht="15.5">
      <c r="A352" s="1598" t="s">
        <v>2377</v>
      </c>
      <c r="B352" s="1599" t="s">
        <v>2152</v>
      </c>
      <c r="C352" s="1643" t="e">
        <f>+SUMIF(#REF!,Final!A352,#REF!)</f>
        <v>#REF!</v>
      </c>
      <c r="D352" s="1597" t="e">
        <f>+SUMIF(#REF!,Final!A352,#REF!)</f>
        <v>#REF!</v>
      </c>
      <c r="E352" s="1643" t="e">
        <f>SUMIF(#REF!,Final!A352,#REF!)</f>
        <v>#REF!</v>
      </c>
      <c r="F352" s="1644" t="e">
        <f>SUMIF(#REF!,Final!A352,#REF!)</f>
        <v>#REF!</v>
      </c>
      <c r="G352" s="1597" t="e">
        <f t="shared" si="20"/>
        <v>#REF!</v>
      </c>
      <c r="H352" s="1644" t="e">
        <f t="shared" si="21"/>
        <v>#REF!</v>
      </c>
      <c r="I352" s="1597" t="e">
        <f t="shared" si="22"/>
        <v>#REF!</v>
      </c>
      <c r="J352" s="1644" t="e">
        <f t="shared" si="23"/>
        <v>#REF!</v>
      </c>
      <c r="M352" s="1545"/>
      <c r="N352" s="1545"/>
    </row>
    <row r="353" spans="1:93" s="1542" customFormat="1" ht="15.5">
      <c r="A353" s="1598" t="s">
        <v>2378</v>
      </c>
      <c r="B353" s="1599" t="s">
        <v>2154</v>
      </c>
      <c r="C353" s="1643" t="e">
        <f>+SUMIF(#REF!,Final!A353,#REF!)</f>
        <v>#REF!</v>
      </c>
      <c r="D353" s="1597" t="e">
        <f>+SUMIF(#REF!,Final!A353,#REF!)</f>
        <v>#REF!</v>
      </c>
      <c r="E353" s="1643" t="e">
        <f>SUMIF(#REF!,Final!A353,#REF!)</f>
        <v>#REF!</v>
      </c>
      <c r="F353" s="1644" t="e">
        <f>SUMIF(#REF!,Final!A353,#REF!)</f>
        <v>#REF!</v>
      </c>
      <c r="G353" s="1597" t="e">
        <f t="shared" si="20"/>
        <v>#REF!</v>
      </c>
      <c r="H353" s="1644" t="e">
        <f t="shared" si="21"/>
        <v>#REF!</v>
      </c>
      <c r="I353" s="1597" t="e">
        <f t="shared" si="22"/>
        <v>#REF!</v>
      </c>
      <c r="J353" s="1644" t="e">
        <f t="shared" si="23"/>
        <v>#REF!</v>
      </c>
      <c r="K353" s="1539"/>
      <c r="L353" s="1539"/>
      <c r="M353" s="1545"/>
      <c r="N353" s="1545"/>
      <c r="O353" s="1539"/>
      <c r="P353" s="1539"/>
      <c r="Q353" s="1539"/>
      <c r="R353" s="1539"/>
      <c r="S353" s="1539"/>
      <c r="T353" s="1539"/>
      <c r="U353" s="1539"/>
      <c r="V353" s="1539"/>
      <c r="W353" s="1539"/>
      <c r="X353" s="1539"/>
      <c r="Y353" s="1539"/>
      <c r="Z353" s="1539"/>
      <c r="AA353" s="1539"/>
      <c r="AB353" s="1539"/>
      <c r="AC353" s="1539"/>
      <c r="AD353" s="1539"/>
      <c r="AE353" s="1539"/>
      <c r="AF353" s="1539"/>
      <c r="AG353" s="1539"/>
      <c r="AH353" s="1539"/>
      <c r="AI353" s="1539"/>
      <c r="AJ353" s="1539"/>
      <c r="AK353" s="1539"/>
      <c r="AL353" s="1539"/>
      <c r="AM353" s="1539"/>
      <c r="AN353" s="1539"/>
      <c r="AO353" s="1539"/>
      <c r="AP353" s="1539"/>
      <c r="AQ353" s="1539"/>
      <c r="AR353" s="1539"/>
      <c r="AS353" s="1539"/>
      <c r="AT353" s="1539"/>
      <c r="AU353" s="1539"/>
      <c r="AV353" s="1539"/>
      <c r="AW353" s="1539"/>
      <c r="AX353" s="1539"/>
      <c r="AY353" s="1539"/>
      <c r="AZ353" s="1539"/>
      <c r="BA353" s="1539"/>
      <c r="BB353" s="1539"/>
      <c r="BC353" s="1539"/>
      <c r="BD353" s="1539"/>
      <c r="BE353" s="1539"/>
      <c r="BF353" s="1539"/>
      <c r="BG353" s="1539"/>
      <c r="BH353" s="1539"/>
      <c r="BI353" s="1539"/>
      <c r="BJ353" s="1539"/>
      <c r="BK353" s="1539"/>
      <c r="BL353" s="1539"/>
      <c r="BM353" s="1539"/>
      <c r="BN353" s="1539"/>
      <c r="BO353" s="1539"/>
      <c r="BP353" s="1539"/>
      <c r="BQ353" s="1539"/>
      <c r="BR353" s="1539"/>
      <c r="BS353" s="1539"/>
      <c r="BT353" s="1539"/>
      <c r="BU353" s="1539"/>
      <c r="BV353" s="1539"/>
      <c r="BW353" s="1539"/>
      <c r="BX353" s="1539"/>
      <c r="BY353" s="1539"/>
      <c r="BZ353" s="1539"/>
      <c r="CA353" s="1539"/>
      <c r="CB353" s="1539"/>
      <c r="CC353" s="1539"/>
      <c r="CD353" s="1539"/>
      <c r="CE353" s="1539"/>
      <c r="CF353" s="1539"/>
      <c r="CG353" s="1539"/>
      <c r="CH353" s="1539"/>
      <c r="CI353" s="1539"/>
      <c r="CJ353" s="1539"/>
      <c r="CK353" s="1539"/>
      <c r="CL353" s="1539"/>
      <c r="CM353" s="1539"/>
      <c r="CN353" s="1539"/>
      <c r="CO353" s="1539"/>
    </row>
    <row r="354" spans="1:93" ht="15.5">
      <c r="A354" s="1598" t="s">
        <v>2379</v>
      </c>
      <c r="B354" s="1599" t="s">
        <v>2156</v>
      </c>
      <c r="C354" s="1643" t="e">
        <f>+SUMIF(#REF!,Final!A354,#REF!)</f>
        <v>#REF!</v>
      </c>
      <c r="D354" s="1597" t="e">
        <f>+SUMIF(#REF!,Final!A354,#REF!)</f>
        <v>#REF!</v>
      </c>
      <c r="E354" s="1643" t="e">
        <f>SUMIF(#REF!,Final!A354,#REF!)</f>
        <v>#REF!</v>
      </c>
      <c r="F354" s="1644" t="e">
        <f>SUMIF(#REF!,Final!A354,#REF!)</f>
        <v>#REF!</v>
      </c>
      <c r="G354" s="1597" t="e">
        <f t="shared" si="20"/>
        <v>#REF!</v>
      </c>
      <c r="H354" s="1644" t="e">
        <f t="shared" si="21"/>
        <v>#REF!</v>
      </c>
      <c r="I354" s="1597" t="e">
        <f t="shared" si="22"/>
        <v>#REF!</v>
      </c>
      <c r="J354" s="1644" t="e">
        <f t="shared" si="23"/>
        <v>#REF!</v>
      </c>
      <c r="M354" s="1545"/>
      <c r="N354" s="1545"/>
    </row>
    <row r="355" spans="1:93" ht="15.5">
      <c r="A355" s="1598" t="s">
        <v>2380</v>
      </c>
      <c r="B355" s="1599" t="s">
        <v>2219</v>
      </c>
      <c r="C355" s="1643" t="e">
        <f>+SUMIF(#REF!,Final!A355,#REF!)</f>
        <v>#REF!</v>
      </c>
      <c r="D355" s="1597" t="e">
        <f>+SUMIF(#REF!,Final!A355,#REF!)</f>
        <v>#REF!</v>
      </c>
      <c r="E355" s="1643" t="e">
        <f>SUMIF(#REF!,Final!A355,#REF!)</f>
        <v>#REF!</v>
      </c>
      <c r="F355" s="1644" t="e">
        <f>SUMIF(#REF!,Final!A355,#REF!)</f>
        <v>#REF!</v>
      </c>
      <c r="G355" s="1597" t="e">
        <f t="shared" si="20"/>
        <v>#REF!</v>
      </c>
      <c r="H355" s="1644" t="e">
        <f t="shared" si="21"/>
        <v>#REF!</v>
      </c>
      <c r="I355" s="1597" t="e">
        <f t="shared" si="22"/>
        <v>#REF!</v>
      </c>
      <c r="J355" s="1644" t="e">
        <f t="shared" si="23"/>
        <v>#REF!</v>
      </c>
      <c r="M355" s="1545"/>
      <c r="N355" s="1545"/>
    </row>
    <row r="356" spans="1:93" ht="15.5">
      <c r="A356" s="1598" t="s">
        <v>2381</v>
      </c>
      <c r="B356" s="1599" t="s">
        <v>2221</v>
      </c>
      <c r="C356" s="1643" t="e">
        <f>+SUMIF(#REF!,Final!A356,#REF!)</f>
        <v>#REF!</v>
      </c>
      <c r="D356" s="1597" t="e">
        <f>+SUMIF(#REF!,Final!A356,#REF!)</f>
        <v>#REF!</v>
      </c>
      <c r="E356" s="1643" t="e">
        <f>SUMIF(#REF!,Final!A356,#REF!)</f>
        <v>#REF!</v>
      </c>
      <c r="F356" s="1644" t="e">
        <f>SUMIF(#REF!,Final!A356,#REF!)</f>
        <v>#REF!</v>
      </c>
      <c r="G356" s="1597" t="e">
        <f t="shared" si="20"/>
        <v>#REF!</v>
      </c>
      <c r="H356" s="1644" t="e">
        <f t="shared" si="21"/>
        <v>#REF!</v>
      </c>
      <c r="I356" s="1597" t="e">
        <f t="shared" si="22"/>
        <v>#REF!</v>
      </c>
      <c r="J356" s="1644" t="e">
        <f t="shared" si="23"/>
        <v>#REF!</v>
      </c>
      <c r="M356" s="1545"/>
      <c r="N356" s="1545"/>
    </row>
    <row r="357" spans="1:93" ht="15.5">
      <c r="A357" s="1598" t="s">
        <v>2382</v>
      </c>
      <c r="B357" s="1599" t="s">
        <v>2223</v>
      </c>
      <c r="C357" s="1643" t="e">
        <f>+SUMIF(#REF!,Final!A357,#REF!)</f>
        <v>#REF!</v>
      </c>
      <c r="D357" s="1597" t="e">
        <f>+SUMIF(#REF!,Final!A357,#REF!)</f>
        <v>#REF!</v>
      </c>
      <c r="E357" s="1643" t="e">
        <f>SUMIF(#REF!,Final!A357,#REF!)</f>
        <v>#REF!</v>
      </c>
      <c r="F357" s="1644" t="e">
        <f>SUMIF(#REF!,Final!A357,#REF!)</f>
        <v>#REF!</v>
      </c>
      <c r="G357" s="1597" t="e">
        <f t="shared" si="20"/>
        <v>#REF!</v>
      </c>
      <c r="H357" s="1644" t="e">
        <f t="shared" si="21"/>
        <v>#REF!</v>
      </c>
      <c r="I357" s="1597" t="e">
        <f t="shared" si="22"/>
        <v>#REF!</v>
      </c>
      <c r="J357" s="1644" t="e">
        <f t="shared" si="23"/>
        <v>#REF!</v>
      </c>
      <c r="M357" s="1545"/>
      <c r="N357" s="1545"/>
    </row>
    <row r="358" spans="1:93" ht="15.5">
      <c r="A358" s="1598" t="s">
        <v>2383</v>
      </c>
      <c r="B358" s="1599" t="s">
        <v>2168</v>
      </c>
      <c r="C358" s="1643" t="e">
        <f>+SUMIF(#REF!,Final!A358,#REF!)</f>
        <v>#REF!</v>
      </c>
      <c r="D358" s="1597" t="e">
        <f>+SUMIF(#REF!,Final!A358,#REF!)</f>
        <v>#REF!</v>
      </c>
      <c r="E358" s="1643" t="e">
        <f>SUMIF(#REF!,Final!A358,#REF!)</f>
        <v>#REF!</v>
      </c>
      <c r="F358" s="1644" t="e">
        <f>SUMIF(#REF!,Final!A358,#REF!)</f>
        <v>#REF!</v>
      </c>
      <c r="G358" s="1597" t="e">
        <f t="shared" si="20"/>
        <v>#REF!</v>
      </c>
      <c r="H358" s="1644" t="e">
        <f t="shared" si="21"/>
        <v>#REF!</v>
      </c>
      <c r="I358" s="1597" t="e">
        <f t="shared" si="22"/>
        <v>#REF!</v>
      </c>
      <c r="J358" s="1644" t="e">
        <f t="shared" si="23"/>
        <v>#REF!</v>
      </c>
      <c r="M358" s="1545"/>
      <c r="N358" s="1545"/>
    </row>
    <row r="359" spans="1:93" ht="15.5">
      <c r="A359" s="1598" t="s">
        <v>2384</v>
      </c>
      <c r="B359" s="1599" t="s">
        <v>2170</v>
      </c>
      <c r="C359" s="1643" t="e">
        <f>+SUMIF(#REF!,Final!A359,#REF!)</f>
        <v>#REF!</v>
      </c>
      <c r="D359" s="1597" t="e">
        <f>+SUMIF(#REF!,Final!A359,#REF!)</f>
        <v>#REF!</v>
      </c>
      <c r="E359" s="1643" t="e">
        <f>SUMIF(#REF!,Final!A359,#REF!)</f>
        <v>#REF!</v>
      </c>
      <c r="F359" s="1644" t="e">
        <f>SUMIF(#REF!,Final!A359,#REF!)</f>
        <v>#REF!</v>
      </c>
      <c r="G359" s="1597" t="e">
        <f t="shared" si="20"/>
        <v>#REF!</v>
      </c>
      <c r="H359" s="1644" t="e">
        <f t="shared" si="21"/>
        <v>#REF!</v>
      </c>
      <c r="I359" s="1597" t="e">
        <f t="shared" si="22"/>
        <v>#REF!</v>
      </c>
      <c r="J359" s="1644" t="e">
        <f t="shared" si="23"/>
        <v>#REF!</v>
      </c>
      <c r="M359" s="1545"/>
      <c r="N359" s="1545"/>
    </row>
    <row r="360" spans="1:93" ht="15.5">
      <c r="A360" s="1598" t="s">
        <v>2385</v>
      </c>
      <c r="B360" s="1599" t="s">
        <v>2172</v>
      </c>
      <c r="C360" s="1643" t="e">
        <f>+SUMIF(#REF!,Final!A360,#REF!)</f>
        <v>#REF!</v>
      </c>
      <c r="D360" s="1597" t="e">
        <f>+SUMIF(#REF!,Final!A360,#REF!)</f>
        <v>#REF!</v>
      </c>
      <c r="E360" s="1643" t="e">
        <f>SUMIF(#REF!,Final!A360,#REF!)</f>
        <v>#REF!</v>
      </c>
      <c r="F360" s="1644" t="e">
        <f>SUMIF(#REF!,Final!A360,#REF!)</f>
        <v>#REF!</v>
      </c>
      <c r="G360" s="1597" t="e">
        <f t="shared" si="20"/>
        <v>#REF!</v>
      </c>
      <c r="H360" s="1644" t="e">
        <f t="shared" si="21"/>
        <v>#REF!</v>
      </c>
      <c r="I360" s="1597" t="e">
        <f t="shared" si="22"/>
        <v>#REF!</v>
      </c>
      <c r="J360" s="1644" t="e">
        <f t="shared" si="23"/>
        <v>#REF!</v>
      </c>
      <c r="M360" s="1545"/>
      <c r="N360" s="1545"/>
    </row>
    <row r="361" spans="1:93" ht="15.5">
      <c r="A361" s="1598" t="s">
        <v>2386</v>
      </c>
      <c r="B361" s="1599" t="s">
        <v>2174</v>
      </c>
      <c r="C361" s="1643" t="e">
        <f>+SUMIF(#REF!,Final!A361,#REF!)</f>
        <v>#REF!</v>
      </c>
      <c r="D361" s="1597" t="e">
        <f>+SUMIF(#REF!,Final!A361,#REF!)</f>
        <v>#REF!</v>
      </c>
      <c r="E361" s="1643" t="e">
        <f>SUMIF(#REF!,Final!A361,#REF!)</f>
        <v>#REF!</v>
      </c>
      <c r="F361" s="1644" t="e">
        <f>SUMIF(#REF!,Final!A361,#REF!)</f>
        <v>#REF!</v>
      </c>
      <c r="G361" s="1597" t="e">
        <f t="shared" si="20"/>
        <v>#REF!</v>
      </c>
      <c r="H361" s="1644" t="e">
        <f t="shared" si="21"/>
        <v>#REF!</v>
      </c>
      <c r="I361" s="1597" t="e">
        <f t="shared" si="22"/>
        <v>#REF!</v>
      </c>
      <c r="J361" s="1644" t="e">
        <f t="shared" si="23"/>
        <v>#REF!</v>
      </c>
      <c r="M361" s="1545"/>
      <c r="N361" s="1545"/>
    </row>
    <row r="362" spans="1:93" ht="15.5">
      <c r="A362" s="1598" t="s">
        <v>2387</v>
      </c>
      <c r="B362" s="1599" t="s">
        <v>2176</v>
      </c>
      <c r="C362" s="1643" t="e">
        <f>+SUMIF(#REF!,Final!A362,#REF!)</f>
        <v>#REF!</v>
      </c>
      <c r="D362" s="1597" t="e">
        <f>+SUMIF(#REF!,Final!A362,#REF!)</f>
        <v>#REF!</v>
      </c>
      <c r="E362" s="1643" t="e">
        <f>SUMIF(#REF!,Final!A362,#REF!)</f>
        <v>#REF!</v>
      </c>
      <c r="F362" s="1644" t="e">
        <f>SUMIF(#REF!,Final!A362,#REF!)</f>
        <v>#REF!</v>
      </c>
      <c r="G362" s="1597" t="e">
        <f t="shared" si="20"/>
        <v>#REF!</v>
      </c>
      <c r="H362" s="1644" t="e">
        <f t="shared" si="21"/>
        <v>#REF!</v>
      </c>
      <c r="I362" s="1597" t="e">
        <f t="shared" si="22"/>
        <v>#REF!</v>
      </c>
      <c r="J362" s="1644" t="e">
        <f t="shared" si="23"/>
        <v>#REF!</v>
      </c>
      <c r="M362" s="1545"/>
      <c r="N362" s="1545"/>
    </row>
    <row r="363" spans="1:93" ht="15.5">
      <c r="A363" s="1598" t="s">
        <v>2388</v>
      </c>
      <c r="B363" s="1599" t="s">
        <v>2178</v>
      </c>
      <c r="C363" s="1643" t="e">
        <f>+SUMIF(#REF!,Final!A363,#REF!)</f>
        <v>#REF!</v>
      </c>
      <c r="D363" s="1597" t="e">
        <f>+SUMIF(#REF!,Final!A363,#REF!)</f>
        <v>#REF!</v>
      </c>
      <c r="E363" s="1643" t="e">
        <f>SUMIF(#REF!,Final!A363,#REF!)</f>
        <v>#REF!</v>
      </c>
      <c r="F363" s="1644" t="e">
        <f>SUMIF(#REF!,Final!A363,#REF!)</f>
        <v>#REF!</v>
      </c>
      <c r="G363" s="1597" t="e">
        <f t="shared" si="20"/>
        <v>#REF!</v>
      </c>
      <c r="H363" s="1644" t="e">
        <f t="shared" si="21"/>
        <v>#REF!</v>
      </c>
      <c r="I363" s="1597" t="e">
        <f t="shared" si="22"/>
        <v>#REF!</v>
      </c>
      <c r="J363" s="1644" t="e">
        <f t="shared" si="23"/>
        <v>#REF!</v>
      </c>
      <c r="M363" s="1545"/>
      <c r="N363" s="1545"/>
    </row>
    <row r="364" spans="1:93" ht="15.5">
      <c r="A364" s="1598" t="s">
        <v>2389</v>
      </c>
      <c r="B364" s="1599" t="s">
        <v>2180</v>
      </c>
      <c r="C364" s="1643" t="e">
        <f>+SUMIF(#REF!,Final!A364,#REF!)</f>
        <v>#REF!</v>
      </c>
      <c r="D364" s="1597" t="e">
        <f>+SUMIF(#REF!,Final!A364,#REF!)</f>
        <v>#REF!</v>
      </c>
      <c r="E364" s="1643" t="e">
        <f>SUMIF(#REF!,Final!A364,#REF!)</f>
        <v>#REF!</v>
      </c>
      <c r="F364" s="1644" t="e">
        <f>SUMIF(#REF!,Final!A364,#REF!)</f>
        <v>#REF!</v>
      </c>
      <c r="G364" s="1597" t="e">
        <f t="shared" si="20"/>
        <v>#REF!</v>
      </c>
      <c r="H364" s="1644" t="e">
        <f t="shared" si="21"/>
        <v>#REF!</v>
      </c>
      <c r="I364" s="1597" t="e">
        <f t="shared" si="22"/>
        <v>#REF!</v>
      </c>
      <c r="J364" s="1644" t="e">
        <f t="shared" si="23"/>
        <v>#REF!</v>
      </c>
      <c r="M364" s="1545"/>
      <c r="N364" s="1545"/>
    </row>
    <row r="365" spans="1:93" ht="15.5">
      <c r="A365" s="1598" t="s">
        <v>2390</v>
      </c>
      <c r="B365" s="1599" t="s">
        <v>2182</v>
      </c>
      <c r="C365" s="1643" t="e">
        <f>+SUMIF(#REF!,Final!A365,#REF!)</f>
        <v>#REF!</v>
      </c>
      <c r="D365" s="1597" t="e">
        <f>+SUMIF(#REF!,Final!A365,#REF!)</f>
        <v>#REF!</v>
      </c>
      <c r="E365" s="1643" t="e">
        <f>SUMIF(#REF!,Final!A365,#REF!)</f>
        <v>#REF!</v>
      </c>
      <c r="F365" s="1644" t="e">
        <f>SUMIF(#REF!,Final!A365,#REF!)</f>
        <v>#REF!</v>
      </c>
      <c r="G365" s="1597" t="e">
        <f t="shared" si="20"/>
        <v>#REF!</v>
      </c>
      <c r="H365" s="1644" t="e">
        <f t="shared" si="21"/>
        <v>#REF!</v>
      </c>
      <c r="I365" s="1597" t="e">
        <f t="shared" si="22"/>
        <v>#REF!</v>
      </c>
      <c r="J365" s="1644" t="e">
        <f t="shared" si="23"/>
        <v>#REF!</v>
      </c>
      <c r="M365" s="1545"/>
      <c r="N365" s="1545"/>
    </row>
    <row r="366" spans="1:93" ht="15.5">
      <c r="A366" s="1598" t="s">
        <v>2391</v>
      </c>
      <c r="B366" s="1599" t="s">
        <v>2240</v>
      </c>
      <c r="C366" s="1643" t="e">
        <f>+SUMIF(#REF!,Final!A366,#REF!)</f>
        <v>#REF!</v>
      </c>
      <c r="D366" s="1597" t="e">
        <f>+SUMIF(#REF!,Final!A366,#REF!)</f>
        <v>#REF!</v>
      </c>
      <c r="E366" s="1643" t="e">
        <f>SUMIF(#REF!,Final!A366,#REF!)</f>
        <v>#REF!</v>
      </c>
      <c r="F366" s="1644" t="e">
        <f>SUMIF(#REF!,Final!A366,#REF!)</f>
        <v>#REF!</v>
      </c>
      <c r="G366" s="1597" t="e">
        <f t="shared" si="20"/>
        <v>#REF!</v>
      </c>
      <c r="H366" s="1644" t="e">
        <f t="shared" si="21"/>
        <v>#REF!</v>
      </c>
      <c r="I366" s="1597" t="e">
        <f t="shared" si="22"/>
        <v>#REF!</v>
      </c>
      <c r="J366" s="1644" t="e">
        <f t="shared" si="23"/>
        <v>#REF!</v>
      </c>
      <c r="M366" s="1545"/>
      <c r="N366" s="1545"/>
    </row>
    <row r="367" spans="1:93" ht="15.5">
      <c r="A367" s="1598" t="s">
        <v>2392</v>
      </c>
      <c r="B367" s="1599" t="s">
        <v>2242</v>
      </c>
      <c r="C367" s="1643" t="e">
        <f>+SUMIF(#REF!,Final!A367,#REF!)</f>
        <v>#REF!</v>
      </c>
      <c r="D367" s="1597" t="e">
        <f>+SUMIF(#REF!,Final!A367,#REF!)</f>
        <v>#REF!</v>
      </c>
      <c r="E367" s="1643" t="e">
        <f>SUMIF(#REF!,Final!A367,#REF!)</f>
        <v>#REF!</v>
      </c>
      <c r="F367" s="1644" t="e">
        <f>SUMIF(#REF!,Final!A367,#REF!)</f>
        <v>#REF!</v>
      </c>
      <c r="G367" s="1597" t="e">
        <f t="shared" si="20"/>
        <v>#REF!</v>
      </c>
      <c r="H367" s="1644" t="e">
        <f t="shared" si="21"/>
        <v>#REF!</v>
      </c>
      <c r="I367" s="1597" t="e">
        <f t="shared" si="22"/>
        <v>#REF!</v>
      </c>
      <c r="J367" s="1644" t="e">
        <f t="shared" si="23"/>
        <v>#REF!</v>
      </c>
      <c r="M367" s="1545"/>
      <c r="N367" s="1545"/>
    </row>
    <row r="368" spans="1:93" ht="15.5">
      <c r="A368" s="1598" t="s">
        <v>2393</v>
      </c>
      <c r="B368" s="1599" t="s">
        <v>2246</v>
      </c>
      <c r="C368" s="1643" t="e">
        <f>+SUMIF(#REF!,Final!A368,#REF!)</f>
        <v>#REF!</v>
      </c>
      <c r="D368" s="1597" t="e">
        <f>+SUMIF(#REF!,Final!A368,#REF!)</f>
        <v>#REF!</v>
      </c>
      <c r="E368" s="1643" t="e">
        <f>SUMIF(#REF!,Final!A368,#REF!)</f>
        <v>#REF!</v>
      </c>
      <c r="F368" s="1644" t="e">
        <f>SUMIF(#REF!,Final!A368,#REF!)</f>
        <v>#REF!</v>
      </c>
      <c r="G368" s="1597" t="e">
        <f t="shared" si="20"/>
        <v>#REF!</v>
      </c>
      <c r="H368" s="1644" t="e">
        <f t="shared" si="21"/>
        <v>#REF!</v>
      </c>
      <c r="I368" s="1597" t="e">
        <f t="shared" si="22"/>
        <v>#REF!</v>
      </c>
      <c r="J368" s="1644" t="e">
        <f t="shared" si="23"/>
        <v>#REF!</v>
      </c>
      <c r="M368" s="1545"/>
      <c r="N368" s="1545"/>
    </row>
    <row r="369" spans="1:93" s="1542" customFormat="1" ht="15.5">
      <c r="A369" s="1598" t="s">
        <v>2394</v>
      </c>
      <c r="B369" s="1599" t="s">
        <v>2244</v>
      </c>
      <c r="C369" s="1643" t="e">
        <f>+SUMIF(#REF!,Final!A369,#REF!)</f>
        <v>#REF!</v>
      </c>
      <c r="D369" s="1597" t="e">
        <f>+SUMIF(#REF!,Final!A369,#REF!)</f>
        <v>#REF!</v>
      </c>
      <c r="E369" s="1643" t="e">
        <f>SUMIF(#REF!,Final!A369,#REF!)</f>
        <v>#REF!</v>
      </c>
      <c r="F369" s="1644" t="e">
        <f>SUMIF(#REF!,Final!A369,#REF!)</f>
        <v>#REF!</v>
      </c>
      <c r="G369" s="1597" t="e">
        <f t="shared" si="20"/>
        <v>#REF!</v>
      </c>
      <c r="H369" s="1644" t="e">
        <f t="shared" si="21"/>
        <v>#REF!</v>
      </c>
      <c r="I369" s="1597" t="e">
        <f t="shared" si="22"/>
        <v>#REF!</v>
      </c>
      <c r="J369" s="1644" t="e">
        <f t="shared" si="23"/>
        <v>#REF!</v>
      </c>
      <c r="K369" s="1539"/>
      <c r="L369" s="1539"/>
      <c r="M369" s="1545"/>
      <c r="N369" s="1545"/>
      <c r="O369" s="1539"/>
      <c r="P369" s="1539"/>
      <c r="Q369" s="1539"/>
      <c r="R369" s="1539"/>
      <c r="S369" s="1539"/>
      <c r="T369" s="1539"/>
      <c r="U369" s="1539"/>
      <c r="V369" s="1539"/>
      <c r="W369" s="1539"/>
      <c r="X369" s="1539"/>
      <c r="Y369" s="1539"/>
      <c r="Z369" s="1539"/>
      <c r="AA369" s="1539"/>
      <c r="AB369" s="1539"/>
      <c r="AC369" s="1539"/>
      <c r="AD369" s="1539"/>
      <c r="AE369" s="1539"/>
      <c r="AF369" s="1539"/>
      <c r="AG369" s="1539"/>
      <c r="AH369" s="1539"/>
      <c r="AI369" s="1539"/>
      <c r="AJ369" s="1539"/>
      <c r="AK369" s="1539"/>
      <c r="AL369" s="1539"/>
      <c r="AM369" s="1539"/>
      <c r="AN369" s="1539"/>
      <c r="AO369" s="1539"/>
      <c r="AP369" s="1539"/>
      <c r="AQ369" s="1539"/>
      <c r="AR369" s="1539"/>
      <c r="AS369" s="1539"/>
      <c r="AT369" s="1539"/>
      <c r="AU369" s="1539"/>
      <c r="AV369" s="1539"/>
      <c r="AW369" s="1539"/>
      <c r="AX369" s="1539"/>
      <c r="AY369" s="1539"/>
      <c r="AZ369" s="1539"/>
      <c r="BA369" s="1539"/>
      <c r="BB369" s="1539"/>
      <c r="BC369" s="1539"/>
      <c r="BD369" s="1539"/>
      <c r="BE369" s="1539"/>
      <c r="BF369" s="1539"/>
      <c r="BG369" s="1539"/>
      <c r="BH369" s="1539"/>
      <c r="BI369" s="1539"/>
      <c r="BJ369" s="1539"/>
      <c r="BK369" s="1539"/>
      <c r="BL369" s="1539"/>
      <c r="BM369" s="1539"/>
      <c r="BN369" s="1539"/>
      <c r="BO369" s="1539"/>
      <c r="BP369" s="1539"/>
      <c r="BQ369" s="1539"/>
      <c r="BR369" s="1539"/>
      <c r="BS369" s="1539"/>
      <c r="BT369" s="1539"/>
      <c r="BU369" s="1539"/>
      <c r="BV369" s="1539"/>
      <c r="BW369" s="1539"/>
      <c r="BX369" s="1539"/>
      <c r="BY369" s="1539"/>
      <c r="BZ369" s="1539"/>
      <c r="CA369" s="1539"/>
      <c r="CB369" s="1539"/>
      <c r="CC369" s="1539"/>
      <c r="CD369" s="1539"/>
      <c r="CE369" s="1539"/>
      <c r="CF369" s="1539"/>
      <c r="CG369" s="1539"/>
      <c r="CH369" s="1539"/>
      <c r="CI369" s="1539"/>
      <c r="CJ369" s="1539"/>
      <c r="CK369" s="1539"/>
      <c r="CL369" s="1539"/>
      <c r="CM369" s="1539"/>
      <c r="CN369" s="1539"/>
      <c r="CO369" s="1539"/>
    </row>
    <row r="370" spans="1:93" ht="15.5">
      <c r="A370" s="1598" t="s">
        <v>2395</v>
      </c>
      <c r="B370" s="1599" t="s">
        <v>2254</v>
      </c>
      <c r="C370" s="1643" t="e">
        <f>+SUMIF(#REF!,Final!A370,#REF!)</f>
        <v>#REF!</v>
      </c>
      <c r="D370" s="1597" t="e">
        <f>+SUMIF(#REF!,Final!A370,#REF!)</f>
        <v>#REF!</v>
      </c>
      <c r="E370" s="1643" t="e">
        <f>SUMIF(#REF!,Final!A370,#REF!)</f>
        <v>#REF!</v>
      </c>
      <c r="F370" s="1644" t="e">
        <f>SUMIF(#REF!,Final!A370,#REF!)</f>
        <v>#REF!</v>
      </c>
      <c r="G370" s="1597" t="e">
        <f t="shared" si="20"/>
        <v>#REF!</v>
      </c>
      <c r="H370" s="1644" t="e">
        <f t="shared" si="21"/>
        <v>#REF!</v>
      </c>
      <c r="I370" s="1597" t="e">
        <f t="shared" si="22"/>
        <v>#REF!</v>
      </c>
      <c r="J370" s="1644" t="e">
        <f t="shared" si="23"/>
        <v>#REF!</v>
      </c>
      <c r="M370" s="1545"/>
      <c r="N370" s="1545"/>
    </row>
    <row r="371" spans="1:93" s="1542" customFormat="1" ht="15.5">
      <c r="A371" s="1598" t="s">
        <v>2396</v>
      </c>
      <c r="B371" s="1599" t="s">
        <v>2256</v>
      </c>
      <c r="C371" s="1643" t="e">
        <f>+SUMIF(#REF!,Final!A371,#REF!)</f>
        <v>#REF!</v>
      </c>
      <c r="D371" s="1597" t="e">
        <f>+SUMIF(#REF!,Final!A371,#REF!)</f>
        <v>#REF!</v>
      </c>
      <c r="E371" s="1643" t="e">
        <f>SUMIF(#REF!,Final!A371,#REF!)</f>
        <v>#REF!</v>
      </c>
      <c r="F371" s="1644" t="e">
        <f>SUMIF(#REF!,Final!A371,#REF!)</f>
        <v>#REF!</v>
      </c>
      <c r="G371" s="1597" t="e">
        <f t="shared" si="20"/>
        <v>#REF!</v>
      </c>
      <c r="H371" s="1644" t="e">
        <f t="shared" si="21"/>
        <v>#REF!</v>
      </c>
      <c r="I371" s="1597" t="e">
        <f t="shared" si="22"/>
        <v>#REF!</v>
      </c>
      <c r="J371" s="1644" t="e">
        <f t="shared" si="23"/>
        <v>#REF!</v>
      </c>
      <c r="K371" s="1539"/>
      <c r="L371" s="1539"/>
      <c r="M371" s="1545"/>
      <c r="N371" s="1545"/>
      <c r="O371" s="1539"/>
      <c r="P371" s="1539"/>
      <c r="Q371" s="1539"/>
      <c r="R371" s="1539"/>
      <c r="S371" s="1539"/>
      <c r="T371" s="1539"/>
      <c r="U371" s="1539"/>
      <c r="V371" s="1539"/>
      <c r="W371" s="1539"/>
      <c r="X371" s="1539"/>
      <c r="Y371" s="1539"/>
      <c r="Z371" s="1539"/>
      <c r="AA371" s="1539"/>
      <c r="AB371" s="1539"/>
      <c r="AC371" s="1539"/>
      <c r="AD371" s="1539"/>
      <c r="AE371" s="1539"/>
      <c r="AF371" s="1539"/>
      <c r="AG371" s="1539"/>
      <c r="AH371" s="1539"/>
      <c r="AI371" s="1539"/>
      <c r="AJ371" s="1539"/>
      <c r="AK371" s="1539"/>
      <c r="AL371" s="1539"/>
      <c r="AM371" s="1539"/>
      <c r="AN371" s="1539"/>
      <c r="AO371" s="1539"/>
      <c r="AP371" s="1539"/>
      <c r="AQ371" s="1539"/>
      <c r="AR371" s="1539"/>
      <c r="AS371" s="1539"/>
      <c r="AT371" s="1539"/>
      <c r="AU371" s="1539"/>
      <c r="AV371" s="1539"/>
      <c r="AW371" s="1539"/>
      <c r="AX371" s="1539"/>
      <c r="AY371" s="1539"/>
      <c r="AZ371" s="1539"/>
      <c r="BA371" s="1539"/>
      <c r="BB371" s="1539"/>
      <c r="BC371" s="1539"/>
      <c r="BD371" s="1539"/>
      <c r="BE371" s="1539"/>
      <c r="BF371" s="1539"/>
      <c r="BG371" s="1539"/>
      <c r="BH371" s="1539"/>
      <c r="BI371" s="1539"/>
      <c r="BJ371" s="1539"/>
      <c r="BK371" s="1539"/>
      <c r="BL371" s="1539"/>
      <c r="BM371" s="1539"/>
      <c r="BN371" s="1539"/>
      <c r="BO371" s="1539"/>
      <c r="BP371" s="1539"/>
      <c r="BQ371" s="1539"/>
      <c r="BR371" s="1539"/>
      <c r="BS371" s="1539"/>
      <c r="BT371" s="1539"/>
      <c r="BU371" s="1539"/>
      <c r="BV371" s="1539"/>
      <c r="BW371" s="1539"/>
      <c r="BX371" s="1539"/>
      <c r="BY371" s="1539"/>
      <c r="BZ371" s="1539"/>
      <c r="CA371" s="1539"/>
      <c r="CB371" s="1539"/>
      <c r="CC371" s="1539"/>
      <c r="CD371" s="1539"/>
      <c r="CE371" s="1539"/>
      <c r="CF371" s="1539"/>
      <c r="CG371" s="1539"/>
      <c r="CH371" s="1539"/>
      <c r="CI371" s="1539"/>
      <c r="CJ371" s="1539"/>
      <c r="CK371" s="1539"/>
      <c r="CL371" s="1539"/>
      <c r="CM371" s="1539"/>
      <c r="CN371" s="1539"/>
      <c r="CO371" s="1539"/>
    </row>
    <row r="372" spans="1:93" s="1552" customFormat="1" ht="15.5">
      <c r="A372" s="1598"/>
      <c r="B372" s="1599" t="s">
        <v>754</v>
      </c>
      <c r="C372" s="1643" t="e">
        <f>+SUMIF(#REF!,Final!A372,#REF!)</f>
        <v>#REF!</v>
      </c>
      <c r="D372" s="1597" t="e">
        <f>+SUMIF(#REF!,Final!A372,#REF!)</f>
        <v>#REF!</v>
      </c>
      <c r="E372" s="1643" t="e">
        <f>SUMIF(#REF!,Final!A372,#REF!)</f>
        <v>#REF!</v>
      </c>
      <c r="F372" s="1644" t="e">
        <f>SUMIF(#REF!,Final!A372,#REF!)</f>
        <v>#REF!</v>
      </c>
      <c r="G372" s="1597" t="e">
        <f t="shared" si="20"/>
        <v>#REF!</v>
      </c>
      <c r="H372" s="1644" t="e">
        <f t="shared" si="21"/>
        <v>#REF!</v>
      </c>
      <c r="I372" s="1597" t="e">
        <f t="shared" si="22"/>
        <v>#REF!</v>
      </c>
      <c r="J372" s="1644" t="e">
        <f t="shared" si="23"/>
        <v>#REF!</v>
      </c>
      <c r="K372" s="1539"/>
      <c r="L372" s="1539"/>
      <c r="M372" s="1545"/>
      <c r="N372" s="1545"/>
      <c r="O372" s="1539"/>
      <c r="P372" s="1539"/>
      <c r="Q372" s="1539"/>
      <c r="R372" s="1539"/>
      <c r="S372" s="1539"/>
      <c r="T372" s="1539"/>
      <c r="U372" s="1539"/>
      <c r="V372" s="1539"/>
      <c r="W372" s="1539"/>
      <c r="X372" s="1539"/>
      <c r="Y372" s="1539"/>
      <c r="Z372" s="1539"/>
      <c r="AA372" s="1539"/>
      <c r="AB372" s="1539"/>
      <c r="AC372" s="1539"/>
      <c r="AD372" s="1539"/>
      <c r="AE372" s="1539"/>
      <c r="AF372" s="1539"/>
      <c r="AG372" s="1539"/>
      <c r="AH372" s="1539"/>
      <c r="AI372" s="1539"/>
      <c r="AJ372" s="1539"/>
      <c r="AK372" s="1539"/>
      <c r="AL372" s="1539"/>
      <c r="AM372" s="1539"/>
      <c r="AN372" s="1539"/>
      <c r="AO372" s="1539"/>
      <c r="AP372" s="1539"/>
      <c r="AQ372" s="1539"/>
      <c r="AR372" s="1539"/>
      <c r="AS372" s="1539"/>
      <c r="AT372" s="1539"/>
      <c r="AU372" s="1539"/>
      <c r="AV372" s="1539"/>
      <c r="AW372" s="1539"/>
      <c r="AX372" s="1539"/>
      <c r="AY372" s="1539"/>
      <c r="AZ372" s="1539"/>
      <c r="BA372" s="1539"/>
      <c r="BB372" s="1539"/>
      <c r="BC372" s="1539"/>
      <c r="BD372" s="1539"/>
      <c r="BE372" s="1539"/>
      <c r="BF372" s="1539"/>
      <c r="BG372" s="1539"/>
      <c r="BH372" s="1539"/>
      <c r="BI372" s="1539"/>
      <c r="BJ372" s="1539"/>
      <c r="BK372" s="1539"/>
      <c r="BL372" s="1539"/>
      <c r="BM372" s="1539"/>
      <c r="BN372" s="1539"/>
      <c r="BO372" s="1539"/>
      <c r="BP372" s="1539"/>
      <c r="BQ372" s="1539"/>
      <c r="BR372" s="1539"/>
      <c r="BS372" s="1539"/>
      <c r="BT372" s="1539"/>
      <c r="BU372" s="1539"/>
      <c r="BV372" s="1539"/>
      <c r="BW372" s="1539"/>
      <c r="BX372" s="1539"/>
      <c r="BY372" s="1539"/>
      <c r="BZ372" s="1539"/>
      <c r="CA372" s="1539"/>
      <c r="CB372" s="1539"/>
      <c r="CC372" s="1539"/>
      <c r="CD372" s="1539"/>
      <c r="CE372" s="1539"/>
      <c r="CF372" s="1539"/>
      <c r="CG372" s="1539"/>
      <c r="CH372" s="1539"/>
      <c r="CI372" s="1539"/>
      <c r="CJ372" s="1539"/>
      <c r="CK372" s="1539"/>
      <c r="CL372" s="1539"/>
      <c r="CM372" s="1539"/>
      <c r="CN372" s="1539"/>
      <c r="CO372" s="1539"/>
    </row>
    <row r="373" spans="1:93" s="1552" customFormat="1" ht="15.5">
      <c r="A373" s="1598"/>
      <c r="B373" s="1599" t="s">
        <v>1760</v>
      </c>
      <c r="C373" s="1643" t="e">
        <f>+SUMIF(#REF!,Final!A373,#REF!)</f>
        <v>#REF!</v>
      </c>
      <c r="D373" s="1597" t="e">
        <f>+SUMIF(#REF!,Final!A373,#REF!)</f>
        <v>#REF!</v>
      </c>
      <c r="E373" s="1643" t="e">
        <f>SUMIF(#REF!,Final!A373,#REF!)</f>
        <v>#REF!</v>
      </c>
      <c r="F373" s="1644" t="e">
        <f>SUMIF(#REF!,Final!A373,#REF!)</f>
        <v>#REF!</v>
      </c>
      <c r="G373" s="1597" t="e">
        <f t="shared" si="20"/>
        <v>#REF!</v>
      </c>
      <c r="H373" s="1644" t="e">
        <f t="shared" si="21"/>
        <v>#REF!</v>
      </c>
      <c r="I373" s="1597" t="e">
        <f t="shared" si="22"/>
        <v>#REF!</v>
      </c>
      <c r="J373" s="1644" t="e">
        <f t="shared" si="23"/>
        <v>#REF!</v>
      </c>
      <c r="K373" s="1539"/>
      <c r="L373" s="1539"/>
      <c r="M373" s="1545"/>
      <c r="N373" s="1545"/>
      <c r="O373" s="1539"/>
      <c r="P373" s="1539"/>
      <c r="Q373" s="1539"/>
      <c r="R373" s="1539"/>
      <c r="S373" s="1539"/>
      <c r="T373" s="1539"/>
      <c r="U373" s="1539"/>
      <c r="V373" s="1539"/>
      <c r="W373" s="1539"/>
      <c r="X373" s="1539"/>
      <c r="Y373" s="1539"/>
      <c r="Z373" s="1539"/>
      <c r="AA373" s="1539"/>
      <c r="AB373" s="1539"/>
      <c r="AC373" s="1539"/>
      <c r="AD373" s="1539"/>
      <c r="AE373" s="1539"/>
      <c r="AF373" s="1539"/>
      <c r="AG373" s="1539"/>
      <c r="AH373" s="1539"/>
      <c r="AI373" s="1539"/>
      <c r="AJ373" s="1539"/>
      <c r="AK373" s="1539"/>
      <c r="AL373" s="1539"/>
      <c r="AM373" s="1539"/>
      <c r="AN373" s="1539"/>
      <c r="AO373" s="1539"/>
      <c r="AP373" s="1539"/>
      <c r="AQ373" s="1539"/>
      <c r="AR373" s="1539"/>
      <c r="AS373" s="1539"/>
      <c r="AT373" s="1539"/>
      <c r="AU373" s="1539"/>
      <c r="AV373" s="1539"/>
      <c r="AW373" s="1539"/>
      <c r="AX373" s="1539"/>
      <c r="AY373" s="1539"/>
      <c r="AZ373" s="1539"/>
      <c r="BA373" s="1539"/>
      <c r="BB373" s="1539"/>
      <c r="BC373" s="1539"/>
      <c r="BD373" s="1539"/>
      <c r="BE373" s="1539"/>
      <c r="BF373" s="1539"/>
      <c r="BG373" s="1539"/>
      <c r="BH373" s="1539"/>
      <c r="BI373" s="1539"/>
      <c r="BJ373" s="1539"/>
      <c r="BK373" s="1539"/>
      <c r="BL373" s="1539"/>
      <c r="BM373" s="1539"/>
      <c r="BN373" s="1539"/>
      <c r="BO373" s="1539"/>
      <c r="BP373" s="1539"/>
      <c r="BQ373" s="1539"/>
      <c r="BR373" s="1539"/>
      <c r="BS373" s="1539"/>
      <c r="BT373" s="1539"/>
      <c r="BU373" s="1539"/>
      <c r="BV373" s="1539"/>
      <c r="BW373" s="1539"/>
      <c r="BX373" s="1539"/>
      <c r="BY373" s="1539"/>
      <c r="BZ373" s="1539"/>
      <c r="CA373" s="1539"/>
      <c r="CB373" s="1539"/>
      <c r="CC373" s="1539"/>
      <c r="CD373" s="1539"/>
      <c r="CE373" s="1539"/>
      <c r="CF373" s="1539"/>
      <c r="CG373" s="1539"/>
      <c r="CH373" s="1539"/>
      <c r="CI373" s="1539"/>
      <c r="CJ373" s="1539"/>
      <c r="CK373" s="1539"/>
      <c r="CL373" s="1539"/>
      <c r="CM373" s="1539"/>
      <c r="CN373" s="1539"/>
      <c r="CO373" s="1539"/>
    </row>
    <row r="374" spans="1:93" s="1542" customFormat="1" ht="15.5">
      <c r="A374" s="1598" t="s">
        <v>1408</v>
      </c>
      <c r="B374" s="1599" t="s">
        <v>2397</v>
      </c>
      <c r="C374" s="1643" t="e">
        <f>+SUMIF(#REF!,Final!A374,#REF!)</f>
        <v>#REF!</v>
      </c>
      <c r="D374" s="1597" t="e">
        <f>+SUMIF(#REF!,Final!A374,#REF!)</f>
        <v>#REF!</v>
      </c>
      <c r="E374" s="1643" t="e">
        <f>SUMIF(#REF!,Final!A374,#REF!)</f>
        <v>#REF!</v>
      </c>
      <c r="F374" s="1644" t="e">
        <f>SUMIF(#REF!,Final!A374,#REF!)</f>
        <v>#REF!</v>
      </c>
      <c r="G374" s="1597" t="e">
        <f t="shared" si="20"/>
        <v>#REF!</v>
      </c>
      <c r="H374" s="1644" t="e">
        <f t="shared" si="21"/>
        <v>#REF!</v>
      </c>
      <c r="I374" s="1597" t="e">
        <f t="shared" si="22"/>
        <v>#REF!</v>
      </c>
      <c r="J374" s="1644" t="e">
        <f t="shared" si="23"/>
        <v>#REF!</v>
      </c>
      <c r="K374" s="1539"/>
      <c r="L374" s="1539"/>
      <c r="M374" s="1545"/>
      <c r="N374" s="1545"/>
      <c r="O374" s="1539"/>
      <c r="P374" s="1539"/>
      <c r="Q374" s="1539"/>
      <c r="R374" s="1539"/>
      <c r="S374" s="1539"/>
      <c r="T374" s="1539"/>
      <c r="U374" s="1539"/>
      <c r="V374" s="1539"/>
      <c r="W374" s="1539"/>
      <c r="X374" s="1539"/>
      <c r="Y374" s="1539"/>
      <c r="Z374" s="1539"/>
      <c r="AA374" s="1539"/>
      <c r="AB374" s="1539"/>
      <c r="AC374" s="1539"/>
      <c r="AD374" s="1539"/>
      <c r="AE374" s="1539"/>
      <c r="AF374" s="1539"/>
      <c r="AG374" s="1539"/>
      <c r="AH374" s="1539"/>
      <c r="AI374" s="1539"/>
      <c r="AJ374" s="1539"/>
      <c r="AK374" s="1539"/>
      <c r="AL374" s="1539"/>
      <c r="AM374" s="1539"/>
      <c r="AN374" s="1539"/>
      <c r="AO374" s="1539"/>
      <c r="AP374" s="1539"/>
      <c r="AQ374" s="1539"/>
      <c r="AR374" s="1539"/>
      <c r="AS374" s="1539"/>
      <c r="AT374" s="1539"/>
      <c r="AU374" s="1539"/>
      <c r="AV374" s="1539"/>
      <c r="AW374" s="1539"/>
      <c r="AX374" s="1539"/>
      <c r="AY374" s="1539"/>
      <c r="AZ374" s="1539"/>
      <c r="BA374" s="1539"/>
      <c r="BB374" s="1539"/>
      <c r="BC374" s="1539"/>
      <c r="BD374" s="1539"/>
      <c r="BE374" s="1539"/>
      <c r="BF374" s="1539"/>
      <c r="BG374" s="1539"/>
      <c r="BH374" s="1539"/>
      <c r="BI374" s="1539"/>
      <c r="BJ374" s="1539"/>
      <c r="BK374" s="1539"/>
      <c r="BL374" s="1539"/>
      <c r="BM374" s="1539"/>
      <c r="BN374" s="1539"/>
      <c r="BO374" s="1539"/>
      <c r="BP374" s="1539"/>
      <c r="BQ374" s="1539"/>
      <c r="BR374" s="1539"/>
      <c r="BS374" s="1539"/>
      <c r="BT374" s="1539"/>
      <c r="BU374" s="1539"/>
      <c r="BV374" s="1539"/>
      <c r="BW374" s="1539"/>
      <c r="BX374" s="1539"/>
      <c r="BY374" s="1539"/>
      <c r="BZ374" s="1539"/>
      <c r="CA374" s="1539"/>
      <c r="CB374" s="1539"/>
      <c r="CC374" s="1539"/>
      <c r="CD374" s="1539"/>
      <c r="CE374" s="1539"/>
      <c r="CF374" s="1539"/>
      <c r="CG374" s="1539"/>
      <c r="CH374" s="1539"/>
      <c r="CI374" s="1539"/>
      <c r="CJ374" s="1539"/>
      <c r="CK374" s="1539"/>
      <c r="CL374" s="1539"/>
      <c r="CM374" s="1539"/>
      <c r="CN374" s="1539"/>
      <c r="CO374" s="1539"/>
    </row>
    <row r="375" spans="1:93" ht="15.5">
      <c r="A375" s="1598" t="s">
        <v>2398</v>
      </c>
      <c r="B375" s="1599" t="s">
        <v>2136</v>
      </c>
      <c r="C375" s="1643" t="e">
        <f>+SUMIF(#REF!,Final!A375,#REF!)</f>
        <v>#REF!</v>
      </c>
      <c r="D375" s="1597" t="e">
        <f>+SUMIF(#REF!,Final!A375,#REF!)</f>
        <v>#REF!</v>
      </c>
      <c r="E375" s="1643" t="e">
        <f>SUMIF(#REF!,Final!A375,#REF!)</f>
        <v>#REF!</v>
      </c>
      <c r="F375" s="1644" t="e">
        <f>SUMIF(#REF!,Final!A375,#REF!)</f>
        <v>#REF!</v>
      </c>
      <c r="G375" s="1597" t="e">
        <f t="shared" si="20"/>
        <v>#REF!</v>
      </c>
      <c r="H375" s="1644" t="e">
        <f t="shared" si="21"/>
        <v>#REF!</v>
      </c>
      <c r="I375" s="1597" t="e">
        <f t="shared" si="22"/>
        <v>#REF!</v>
      </c>
      <c r="J375" s="1644" t="e">
        <f t="shared" si="23"/>
        <v>#REF!</v>
      </c>
      <c r="M375" s="1545"/>
      <c r="N375" s="1545"/>
    </row>
    <row r="376" spans="1:93" s="1542" customFormat="1" ht="15.5">
      <c r="A376" s="1598" t="s">
        <v>2399</v>
      </c>
      <c r="B376" s="1599" t="s">
        <v>2202</v>
      </c>
      <c r="C376" s="1643" t="e">
        <f>+SUMIF(#REF!,Final!A376,#REF!)</f>
        <v>#REF!</v>
      </c>
      <c r="D376" s="1597" t="e">
        <f>+SUMIF(#REF!,Final!A376,#REF!)</f>
        <v>#REF!</v>
      </c>
      <c r="E376" s="1643" t="e">
        <f>SUMIF(#REF!,Final!A376,#REF!)</f>
        <v>#REF!</v>
      </c>
      <c r="F376" s="1644" t="e">
        <f>SUMIF(#REF!,Final!A376,#REF!)</f>
        <v>#REF!</v>
      </c>
      <c r="G376" s="1597" t="e">
        <f t="shared" si="20"/>
        <v>#REF!</v>
      </c>
      <c r="H376" s="1644" t="e">
        <f t="shared" si="21"/>
        <v>#REF!</v>
      </c>
      <c r="I376" s="1597" t="e">
        <f t="shared" si="22"/>
        <v>#REF!</v>
      </c>
      <c r="J376" s="1644" t="e">
        <f t="shared" si="23"/>
        <v>#REF!</v>
      </c>
      <c r="K376" s="1539"/>
      <c r="L376" s="1539"/>
      <c r="M376" s="1545"/>
      <c r="N376" s="1545"/>
      <c r="O376" s="1539"/>
      <c r="P376" s="1539"/>
      <c r="Q376" s="1539"/>
      <c r="R376" s="1539"/>
      <c r="S376" s="1539"/>
      <c r="T376" s="1539"/>
      <c r="U376" s="1539"/>
      <c r="V376" s="1539"/>
      <c r="W376" s="1539"/>
      <c r="X376" s="1539"/>
      <c r="Y376" s="1539"/>
      <c r="Z376" s="1539"/>
      <c r="AA376" s="1539"/>
      <c r="AB376" s="1539"/>
      <c r="AC376" s="1539"/>
      <c r="AD376" s="1539"/>
      <c r="AE376" s="1539"/>
      <c r="AF376" s="1539"/>
      <c r="AG376" s="1539"/>
      <c r="AH376" s="1539"/>
      <c r="AI376" s="1539"/>
      <c r="AJ376" s="1539"/>
      <c r="AK376" s="1539"/>
      <c r="AL376" s="1539"/>
      <c r="AM376" s="1539"/>
      <c r="AN376" s="1539"/>
      <c r="AO376" s="1539"/>
      <c r="AP376" s="1539"/>
      <c r="AQ376" s="1539"/>
      <c r="AR376" s="1539"/>
      <c r="AS376" s="1539"/>
      <c r="AT376" s="1539"/>
      <c r="AU376" s="1539"/>
      <c r="AV376" s="1539"/>
      <c r="AW376" s="1539"/>
      <c r="AX376" s="1539"/>
      <c r="AY376" s="1539"/>
      <c r="AZ376" s="1539"/>
      <c r="BA376" s="1539"/>
      <c r="BB376" s="1539"/>
      <c r="BC376" s="1539"/>
      <c r="BD376" s="1539"/>
      <c r="BE376" s="1539"/>
      <c r="BF376" s="1539"/>
      <c r="BG376" s="1539"/>
      <c r="BH376" s="1539"/>
      <c r="BI376" s="1539"/>
      <c r="BJ376" s="1539"/>
      <c r="BK376" s="1539"/>
      <c r="BL376" s="1539"/>
      <c r="BM376" s="1539"/>
      <c r="BN376" s="1539"/>
      <c r="BO376" s="1539"/>
      <c r="BP376" s="1539"/>
      <c r="BQ376" s="1539"/>
      <c r="BR376" s="1539"/>
      <c r="BS376" s="1539"/>
      <c r="BT376" s="1539"/>
      <c r="BU376" s="1539"/>
      <c r="BV376" s="1539"/>
      <c r="BW376" s="1539"/>
      <c r="BX376" s="1539"/>
      <c r="BY376" s="1539"/>
      <c r="BZ376" s="1539"/>
      <c r="CA376" s="1539"/>
      <c r="CB376" s="1539"/>
      <c r="CC376" s="1539"/>
      <c r="CD376" s="1539"/>
      <c r="CE376" s="1539"/>
      <c r="CF376" s="1539"/>
      <c r="CG376" s="1539"/>
      <c r="CH376" s="1539"/>
      <c r="CI376" s="1539"/>
      <c r="CJ376" s="1539"/>
      <c r="CK376" s="1539"/>
      <c r="CL376" s="1539"/>
      <c r="CM376" s="1539"/>
      <c r="CN376" s="1539"/>
      <c r="CO376" s="1539"/>
    </row>
    <row r="377" spans="1:93" ht="15.5">
      <c r="A377" s="1598" t="s">
        <v>2400</v>
      </c>
      <c r="B377" s="1599" t="s">
        <v>2204</v>
      </c>
      <c r="C377" s="1643" t="e">
        <f>+SUMIF(#REF!,Final!A377,#REF!)</f>
        <v>#REF!</v>
      </c>
      <c r="D377" s="1597" t="e">
        <f>+SUMIF(#REF!,Final!A377,#REF!)</f>
        <v>#REF!</v>
      </c>
      <c r="E377" s="1643" t="e">
        <f>SUMIF(#REF!,Final!A377,#REF!)</f>
        <v>#REF!</v>
      </c>
      <c r="F377" s="1644" t="e">
        <f>SUMIF(#REF!,Final!A377,#REF!)</f>
        <v>#REF!</v>
      </c>
      <c r="G377" s="1597" t="e">
        <f t="shared" si="20"/>
        <v>#REF!</v>
      </c>
      <c r="H377" s="1644" t="e">
        <f t="shared" si="21"/>
        <v>#REF!</v>
      </c>
      <c r="I377" s="1597" t="e">
        <f t="shared" si="22"/>
        <v>#REF!</v>
      </c>
      <c r="J377" s="1644" t="e">
        <f t="shared" si="23"/>
        <v>#REF!</v>
      </c>
      <c r="M377" s="1545"/>
      <c r="N377" s="1545"/>
    </row>
    <row r="378" spans="1:93" ht="15.5">
      <c r="A378" s="1598" t="s">
        <v>2401</v>
      </c>
      <c r="B378" s="1599" t="s">
        <v>2206</v>
      </c>
      <c r="C378" s="1643" t="e">
        <f>+SUMIF(#REF!,Final!A378,#REF!)</f>
        <v>#REF!</v>
      </c>
      <c r="D378" s="1597" t="e">
        <f>+SUMIF(#REF!,Final!A378,#REF!)</f>
        <v>#REF!</v>
      </c>
      <c r="E378" s="1643" t="e">
        <f>SUMIF(#REF!,Final!A378,#REF!)</f>
        <v>#REF!</v>
      </c>
      <c r="F378" s="1644" t="e">
        <f>SUMIF(#REF!,Final!A378,#REF!)</f>
        <v>#REF!</v>
      </c>
      <c r="G378" s="1597" t="e">
        <f t="shared" si="20"/>
        <v>#REF!</v>
      </c>
      <c r="H378" s="1644" t="e">
        <f t="shared" si="21"/>
        <v>#REF!</v>
      </c>
      <c r="I378" s="1597" t="e">
        <f t="shared" si="22"/>
        <v>#REF!</v>
      </c>
      <c r="J378" s="1644" t="e">
        <f t="shared" si="23"/>
        <v>#REF!</v>
      </c>
      <c r="M378" s="1545"/>
      <c r="N378" s="1545"/>
    </row>
    <row r="379" spans="1:93" ht="15.5">
      <c r="A379" s="1598" t="s">
        <v>2402</v>
      </c>
      <c r="B379" s="1599" t="s">
        <v>2208</v>
      </c>
      <c r="C379" s="1643" t="e">
        <f>+SUMIF(#REF!,Final!A379,#REF!)</f>
        <v>#REF!</v>
      </c>
      <c r="D379" s="1597" t="e">
        <f>+SUMIF(#REF!,Final!A379,#REF!)</f>
        <v>#REF!</v>
      </c>
      <c r="E379" s="1643" t="e">
        <f>SUMIF(#REF!,Final!A379,#REF!)</f>
        <v>#REF!</v>
      </c>
      <c r="F379" s="1644" t="e">
        <f>SUMIF(#REF!,Final!A379,#REF!)</f>
        <v>#REF!</v>
      </c>
      <c r="G379" s="1597" t="e">
        <f t="shared" si="20"/>
        <v>#REF!</v>
      </c>
      <c r="H379" s="1644" t="e">
        <f t="shared" si="21"/>
        <v>#REF!</v>
      </c>
      <c r="I379" s="1597" t="e">
        <f t="shared" si="22"/>
        <v>#REF!</v>
      </c>
      <c r="J379" s="1644" t="e">
        <f t="shared" si="23"/>
        <v>#REF!</v>
      </c>
      <c r="M379" s="1545"/>
      <c r="N379" s="1545"/>
    </row>
    <row r="380" spans="1:93" ht="15.5">
      <c r="A380" s="1598" t="s">
        <v>2403</v>
      </c>
      <c r="B380" s="1599" t="s">
        <v>2210</v>
      </c>
      <c r="C380" s="1643" t="e">
        <f>+SUMIF(#REF!,Final!A380,#REF!)</f>
        <v>#REF!</v>
      </c>
      <c r="D380" s="1597" t="e">
        <f>+SUMIF(#REF!,Final!A380,#REF!)</f>
        <v>#REF!</v>
      </c>
      <c r="E380" s="1643" t="e">
        <f>SUMIF(#REF!,Final!A380,#REF!)</f>
        <v>#REF!</v>
      </c>
      <c r="F380" s="1644" t="e">
        <f>SUMIF(#REF!,Final!A380,#REF!)</f>
        <v>#REF!</v>
      </c>
      <c r="G380" s="1597" t="e">
        <f t="shared" si="20"/>
        <v>#REF!</v>
      </c>
      <c r="H380" s="1644" t="e">
        <f t="shared" si="21"/>
        <v>#REF!</v>
      </c>
      <c r="I380" s="1597" t="e">
        <f t="shared" si="22"/>
        <v>#REF!</v>
      </c>
      <c r="J380" s="1644" t="e">
        <f t="shared" si="23"/>
        <v>#REF!</v>
      </c>
      <c r="M380" s="1545"/>
      <c r="N380" s="1545"/>
    </row>
    <row r="381" spans="1:93" ht="15.5">
      <c r="A381" s="1598" t="s">
        <v>2404</v>
      </c>
      <c r="B381" s="1599" t="s">
        <v>2212</v>
      </c>
      <c r="C381" s="1643" t="e">
        <f>+SUMIF(#REF!,Final!A381,#REF!)</f>
        <v>#REF!</v>
      </c>
      <c r="D381" s="1597" t="e">
        <f>+SUMIF(#REF!,Final!A381,#REF!)</f>
        <v>#REF!</v>
      </c>
      <c r="E381" s="1643" t="e">
        <f>SUMIF(#REF!,Final!A381,#REF!)</f>
        <v>#REF!</v>
      </c>
      <c r="F381" s="1644" t="e">
        <f>SUMIF(#REF!,Final!A381,#REF!)</f>
        <v>#REF!</v>
      </c>
      <c r="G381" s="1597" t="e">
        <f t="shared" si="20"/>
        <v>#REF!</v>
      </c>
      <c r="H381" s="1644" t="e">
        <f t="shared" si="21"/>
        <v>#REF!</v>
      </c>
      <c r="I381" s="1597" t="e">
        <f t="shared" si="22"/>
        <v>#REF!</v>
      </c>
      <c r="J381" s="1644" t="e">
        <f t="shared" si="23"/>
        <v>#REF!</v>
      </c>
      <c r="M381" s="1545"/>
      <c r="N381" s="1545"/>
    </row>
    <row r="382" spans="1:93" ht="15.5">
      <c r="A382" s="1598" t="s">
        <v>2405</v>
      </c>
      <c r="B382" s="1599" t="s">
        <v>2214</v>
      </c>
      <c r="C382" s="1643" t="e">
        <f>+SUMIF(#REF!,Final!A382,#REF!)</f>
        <v>#REF!</v>
      </c>
      <c r="D382" s="1597" t="e">
        <f>+SUMIF(#REF!,Final!A382,#REF!)</f>
        <v>#REF!</v>
      </c>
      <c r="E382" s="1643" t="e">
        <f>SUMIF(#REF!,Final!A382,#REF!)</f>
        <v>#REF!</v>
      </c>
      <c r="F382" s="1644" t="e">
        <f>SUMIF(#REF!,Final!A382,#REF!)</f>
        <v>#REF!</v>
      </c>
      <c r="G382" s="1597" t="e">
        <f t="shared" si="20"/>
        <v>#REF!</v>
      </c>
      <c r="H382" s="1644" t="e">
        <f t="shared" si="21"/>
        <v>#REF!</v>
      </c>
      <c r="I382" s="1597" t="e">
        <f t="shared" si="22"/>
        <v>#REF!</v>
      </c>
      <c r="J382" s="1644" t="e">
        <f t="shared" si="23"/>
        <v>#REF!</v>
      </c>
      <c r="M382" s="1545"/>
      <c r="N382" s="1545"/>
    </row>
    <row r="383" spans="1:93" ht="15.5">
      <c r="A383" s="1598" t="s">
        <v>2406</v>
      </c>
      <c r="B383" s="1599" t="s">
        <v>2152</v>
      </c>
      <c r="C383" s="1643" t="e">
        <f>+SUMIF(#REF!,Final!A383,#REF!)</f>
        <v>#REF!</v>
      </c>
      <c r="D383" s="1597" t="e">
        <f>+SUMIF(#REF!,Final!A383,#REF!)</f>
        <v>#REF!</v>
      </c>
      <c r="E383" s="1643" t="e">
        <f>SUMIF(#REF!,Final!A383,#REF!)</f>
        <v>#REF!</v>
      </c>
      <c r="F383" s="1644" t="e">
        <f>SUMIF(#REF!,Final!A383,#REF!)</f>
        <v>#REF!</v>
      </c>
      <c r="G383" s="1597" t="e">
        <f t="shared" si="20"/>
        <v>#REF!</v>
      </c>
      <c r="H383" s="1644" t="e">
        <f t="shared" si="21"/>
        <v>#REF!</v>
      </c>
      <c r="I383" s="1597" t="e">
        <f t="shared" si="22"/>
        <v>#REF!</v>
      </c>
      <c r="J383" s="1644" t="e">
        <f t="shared" si="23"/>
        <v>#REF!</v>
      </c>
      <c r="M383" s="1545"/>
      <c r="N383" s="1545"/>
    </row>
    <row r="384" spans="1:93" ht="15.5">
      <c r="A384" s="1598" t="s">
        <v>2407</v>
      </c>
      <c r="B384" s="1599" t="s">
        <v>2154</v>
      </c>
      <c r="C384" s="1643" t="e">
        <f>+SUMIF(#REF!,Final!A384,#REF!)</f>
        <v>#REF!</v>
      </c>
      <c r="D384" s="1597" t="e">
        <f>+SUMIF(#REF!,Final!A384,#REF!)</f>
        <v>#REF!</v>
      </c>
      <c r="E384" s="1643" t="e">
        <f>SUMIF(#REF!,Final!A384,#REF!)</f>
        <v>#REF!</v>
      </c>
      <c r="F384" s="1644" t="e">
        <f>SUMIF(#REF!,Final!A384,#REF!)</f>
        <v>#REF!</v>
      </c>
      <c r="G384" s="1597" t="e">
        <f t="shared" si="20"/>
        <v>#REF!</v>
      </c>
      <c r="H384" s="1644" t="e">
        <f t="shared" si="21"/>
        <v>#REF!</v>
      </c>
      <c r="I384" s="1597" t="e">
        <f t="shared" si="22"/>
        <v>#REF!</v>
      </c>
      <c r="J384" s="1644" t="e">
        <f t="shared" si="23"/>
        <v>#REF!</v>
      </c>
      <c r="M384" s="1545"/>
      <c r="N384" s="1545"/>
    </row>
    <row r="385" spans="1:93" ht="15.5">
      <c r="A385" s="1598" t="s">
        <v>2408</v>
      </c>
      <c r="B385" s="1599" t="s">
        <v>2156</v>
      </c>
      <c r="C385" s="1643" t="e">
        <f>+SUMIF(#REF!,Final!A385,#REF!)</f>
        <v>#REF!</v>
      </c>
      <c r="D385" s="1597" t="e">
        <f>+SUMIF(#REF!,Final!A385,#REF!)</f>
        <v>#REF!</v>
      </c>
      <c r="E385" s="1643" t="e">
        <f>SUMIF(#REF!,Final!A385,#REF!)</f>
        <v>#REF!</v>
      </c>
      <c r="F385" s="1644" t="e">
        <f>SUMIF(#REF!,Final!A385,#REF!)</f>
        <v>#REF!</v>
      </c>
      <c r="G385" s="1597" t="e">
        <f t="shared" si="20"/>
        <v>#REF!</v>
      </c>
      <c r="H385" s="1644" t="e">
        <f t="shared" si="21"/>
        <v>#REF!</v>
      </c>
      <c r="I385" s="1597" t="e">
        <f t="shared" si="22"/>
        <v>#REF!</v>
      </c>
      <c r="J385" s="1644" t="e">
        <f t="shared" si="23"/>
        <v>#REF!</v>
      </c>
      <c r="M385" s="1545"/>
      <c r="N385" s="1545"/>
    </row>
    <row r="386" spans="1:93" ht="15.5">
      <c r="A386" s="1598" t="s">
        <v>2409</v>
      </c>
      <c r="B386" s="1599" t="s">
        <v>2219</v>
      </c>
      <c r="C386" s="1643" t="e">
        <f>+SUMIF(#REF!,Final!A386,#REF!)</f>
        <v>#REF!</v>
      </c>
      <c r="D386" s="1597" t="e">
        <f>+SUMIF(#REF!,Final!A386,#REF!)</f>
        <v>#REF!</v>
      </c>
      <c r="E386" s="1643" t="e">
        <f>SUMIF(#REF!,Final!A386,#REF!)</f>
        <v>#REF!</v>
      </c>
      <c r="F386" s="1644" t="e">
        <f>SUMIF(#REF!,Final!A386,#REF!)</f>
        <v>#REF!</v>
      </c>
      <c r="G386" s="1597" t="e">
        <f t="shared" si="20"/>
        <v>#REF!</v>
      </c>
      <c r="H386" s="1644" t="e">
        <f t="shared" si="21"/>
        <v>#REF!</v>
      </c>
      <c r="I386" s="1597" t="e">
        <f t="shared" si="22"/>
        <v>#REF!</v>
      </c>
      <c r="J386" s="1644" t="e">
        <f t="shared" si="23"/>
        <v>#REF!</v>
      </c>
      <c r="M386" s="1545"/>
      <c r="N386" s="1545"/>
    </row>
    <row r="387" spans="1:93" ht="15.5">
      <c r="A387" s="1598" t="s">
        <v>2410</v>
      </c>
      <c r="B387" s="1599" t="s">
        <v>2221</v>
      </c>
      <c r="C387" s="1643" t="e">
        <f>+SUMIF(#REF!,Final!A387,#REF!)</f>
        <v>#REF!</v>
      </c>
      <c r="D387" s="1597" t="e">
        <f>+SUMIF(#REF!,Final!A387,#REF!)</f>
        <v>#REF!</v>
      </c>
      <c r="E387" s="1643" t="e">
        <f>SUMIF(#REF!,Final!A387,#REF!)</f>
        <v>#REF!</v>
      </c>
      <c r="F387" s="1644" t="e">
        <f>SUMIF(#REF!,Final!A387,#REF!)</f>
        <v>#REF!</v>
      </c>
      <c r="G387" s="1597" t="e">
        <f t="shared" si="20"/>
        <v>#REF!</v>
      </c>
      <c r="H387" s="1644" t="e">
        <f t="shared" si="21"/>
        <v>#REF!</v>
      </c>
      <c r="I387" s="1597" t="e">
        <f t="shared" si="22"/>
        <v>#REF!</v>
      </c>
      <c r="J387" s="1644" t="e">
        <f t="shared" si="23"/>
        <v>#REF!</v>
      </c>
      <c r="M387" s="1545"/>
      <c r="N387" s="1545"/>
    </row>
    <row r="388" spans="1:93" ht="15.5">
      <c r="A388" s="1598" t="s">
        <v>2411</v>
      </c>
      <c r="B388" s="1599" t="s">
        <v>2223</v>
      </c>
      <c r="C388" s="1643" t="e">
        <f>+SUMIF(#REF!,Final!A388,#REF!)</f>
        <v>#REF!</v>
      </c>
      <c r="D388" s="1597" t="e">
        <f>+SUMIF(#REF!,Final!A388,#REF!)</f>
        <v>#REF!</v>
      </c>
      <c r="E388" s="1643" t="e">
        <f>SUMIF(#REF!,Final!A388,#REF!)</f>
        <v>#REF!</v>
      </c>
      <c r="F388" s="1644" t="e">
        <f>SUMIF(#REF!,Final!A388,#REF!)</f>
        <v>#REF!</v>
      </c>
      <c r="G388" s="1597" t="e">
        <f t="shared" si="20"/>
        <v>#REF!</v>
      </c>
      <c r="H388" s="1644" t="e">
        <f t="shared" si="21"/>
        <v>#REF!</v>
      </c>
      <c r="I388" s="1597" t="e">
        <f t="shared" si="22"/>
        <v>#REF!</v>
      </c>
      <c r="J388" s="1644" t="e">
        <f t="shared" si="23"/>
        <v>#REF!</v>
      </c>
      <c r="M388" s="1545"/>
      <c r="N388" s="1545"/>
    </row>
    <row r="389" spans="1:93" s="1542" customFormat="1" ht="15.5">
      <c r="A389" s="1598" t="s">
        <v>2412</v>
      </c>
      <c r="B389" s="1599" t="s">
        <v>2168</v>
      </c>
      <c r="C389" s="1643" t="e">
        <f>+SUMIF(#REF!,Final!A389,#REF!)</f>
        <v>#REF!</v>
      </c>
      <c r="D389" s="1597" t="e">
        <f>+SUMIF(#REF!,Final!A389,#REF!)</f>
        <v>#REF!</v>
      </c>
      <c r="E389" s="1643" t="e">
        <f>SUMIF(#REF!,Final!A389,#REF!)</f>
        <v>#REF!</v>
      </c>
      <c r="F389" s="1644" t="e">
        <f>SUMIF(#REF!,Final!A389,#REF!)</f>
        <v>#REF!</v>
      </c>
      <c r="G389" s="1597" t="e">
        <f t="shared" si="20"/>
        <v>#REF!</v>
      </c>
      <c r="H389" s="1644" t="e">
        <f t="shared" si="21"/>
        <v>#REF!</v>
      </c>
      <c r="I389" s="1597" t="e">
        <f t="shared" si="22"/>
        <v>#REF!</v>
      </c>
      <c r="J389" s="1644" t="e">
        <f t="shared" si="23"/>
        <v>#REF!</v>
      </c>
      <c r="K389" s="1539"/>
      <c r="L389" s="1539"/>
      <c r="M389" s="1545"/>
      <c r="N389" s="1545"/>
      <c r="O389" s="1539"/>
      <c r="P389" s="1539"/>
      <c r="Q389" s="1539"/>
      <c r="R389" s="1539"/>
      <c r="S389" s="1539"/>
      <c r="T389" s="1539"/>
      <c r="U389" s="1539"/>
      <c r="V389" s="1539"/>
      <c r="W389" s="1539"/>
      <c r="X389" s="1539"/>
      <c r="Y389" s="1539"/>
      <c r="Z389" s="1539"/>
      <c r="AA389" s="1539"/>
      <c r="AB389" s="1539"/>
      <c r="AC389" s="1539"/>
      <c r="AD389" s="1539"/>
      <c r="AE389" s="1539"/>
      <c r="AF389" s="1539"/>
      <c r="AG389" s="1539"/>
      <c r="AH389" s="1539"/>
      <c r="AI389" s="1539"/>
      <c r="AJ389" s="1539"/>
      <c r="AK389" s="1539"/>
      <c r="AL389" s="1539"/>
      <c r="AM389" s="1539"/>
      <c r="AN389" s="1539"/>
      <c r="AO389" s="1539"/>
      <c r="AP389" s="1539"/>
      <c r="AQ389" s="1539"/>
      <c r="AR389" s="1539"/>
      <c r="AS389" s="1539"/>
      <c r="AT389" s="1539"/>
      <c r="AU389" s="1539"/>
      <c r="AV389" s="1539"/>
      <c r="AW389" s="1539"/>
      <c r="AX389" s="1539"/>
      <c r="AY389" s="1539"/>
      <c r="AZ389" s="1539"/>
      <c r="BA389" s="1539"/>
      <c r="BB389" s="1539"/>
      <c r="BC389" s="1539"/>
      <c r="BD389" s="1539"/>
      <c r="BE389" s="1539"/>
      <c r="BF389" s="1539"/>
      <c r="BG389" s="1539"/>
      <c r="BH389" s="1539"/>
      <c r="BI389" s="1539"/>
      <c r="BJ389" s="1539"/>
      <c r="BK389" s="1539"/>
      <c r="BL389" s="1539"/>
      <c r="BM389" s="1539"/>
      <c r="BN389" s="1539"/>
      <c r="BO389" s="1539"/>
      <c r="BP389" s="1539"/>
      <c r="BQ389" s="1539"/>
      <c r="BR389" s="1539"/>
      <c r="BS389" s="1539"/>
      <c r="BT389" s="1539"/>
      <c r="BU389" s="1539"/>
      <c r="BV389" s="1539"/>
      <c r="BW389" s="1539"/>
      <c r="BX389" s="1539"/>
      <c r="BY389" s="1539"/>
      <c r="BZ389" s="1539"/>
      <c r="CA389" s="1539"/>
      <c r="CB389" s="1539"/>
      <c r="CC389" s="1539"/>
      <c r="CD389" s="1539"/>
      <c r="CE389" s="1539"/>
      <c r="CF389" s="1539"/>
      <c r="CG389" s="1539"/>
      <c r="CH389" s="1539"/>
      <c r="CI389" s="1539"/>
      <c r="CJ389" s="1539"/>
      <c r="CK389" s="1539"/>
      <c r="CL389" s="1539"/>
      <c r="CM389" s="1539"/>
      <c r="CN389" s="1539"/>
      <c r="CO389" s="1539"/>
    </row>
    <row r="390" spans="1:93" s="1542" customFormat="1" ht="15.5">
      <c r="A390" s="1598" t="s">
        <v>2413</v>
      </c>
      <c r="B390" s="1599" t="s">
        <v>2170</v>
      </c>
      <c r="C390" s="1643" t="e">
        <f>+SUMIF(#REF!,Final!A390,#REF!)</f>
        <v>#REF!</v>
      </c>
      <c r="D390" s="1597" t="e">
        <f>+SUMIF(#REF!,Final!A390,#REF!)</f>
        <v>#REF!</v>
      </c>
      <c r="E390" s="1643" t="e">
        <f>SUMIF(#REF!,Final!A390,#REF!)</f>
        <v>#REF!</v>
      </c>
      <c r="F390" s="1644" t="e">
        <f>SUMIF(#REF!,Final!A390,#REF!)</f>
        <v>#REF!</v>
      </c>
      <c r="G390" s="1597" t="e">
        <f t="shared" si="20"/>
        <v>#REF!</v>
      </c>
      <c r="H390" s="1644" t="e">
        <f t="shared" si="21"/>
        <v>#REF!</v>
      </c>
      <c r="I390" s="1597" t="e">
        <f t="shared" si="22"/>
        <v>#REF!</v>
      </c>
      <c r="J390" s="1644" t="e">
        <f t="shared" si="23"/>
        <v>#REF!</v>
      </c>
      <c r="K390" s="1539"/>
      <c r="L390" s="1539"/>
      <c r="M390" s="1545"/>
      <c r="N390" s="1545"/>
      <c r="O390" s="1539"/>
      <c r="P390" s="1539"/>
      <c r="Q390" s="1539"/>
      <c r="R390" s="1539"/>
      <c r="S390" s="1539"/>
      <c r="T390" s="1539"/>
      <c r="U390" s="1539"/>
      <c r="V390" s="1539"/>
      <c r="W390" s="1539"/>
      <c r="X390" s="1539"/>
      <c r="Y390" s="1539"/>
      <c r="Z390" s="1539"/>
      <c r="AA390" s="1539"/>
      <c r="AB390" s="1539"/>
      <c r="AC390" s="1539"/>
      <c r="AD390" s="1539"/>
      <c r="AE390" s="1539"/>
      <c r="AF390" s="1539"/>
      <c r="AG390" s="1539"/>
      <c r="AH390" s="1539"/>
      <c r="AI390" s="1539"/>
      <c r="AJ390" s="1539"/>
      <c r="AK390" s="1539"/>
      <c r="AL390" s="1539"/>
      <c r="AM390" s="1539"/>
      <c r="AN390" s="1539"/>
      <c r="AO390" s="1539"/>
      <c r="AP390" s="1539"/>
      <c r="AQ390" s="1539"/>
      <c r="AR390" s="1539"/>
      <c r="AS390" s="1539"/>
      <c r="AT390" s="1539"/>
      <c r="AU390" s="1539"/>
      <c r="AV390" s="1539"/>
      <c r="AW390" s="1539"/>
      <c r="AX390" s="1539"/>
      <c r="AY390" s="1539"/>
      <c r="AZ390" s="1539"/>
      <c r="BA390" s="1539"/>
      <c r="BB390" s="1539"/>
      <c r="BC390" s="1539"/>
      <c r="BD390" s="1539"/>
      <c r="BE390" s="1539"/>
      <c r="BF390" s="1539"/>
      <c r="BG390" s="1539"/>
      <c r="BH390" s="1539"/>
      <c r="BI390" s="1539"/>
      <c r="BJ390" s="1539"/>
      <c r="BK390" s="1539"/>
      <c r="BL390" s="1539"/>
      <c r="BM390" s="1539"/>
      <c r="BN390" s="1539"/>
      <c r="BO390" s="1539"/>
      <c r="BP390" s="1539"/>
      <c r="BQ390" s="1539"/>
      <c r="BR390" s="1539"/>
      <c r="BS390" s="1539"/>
      <c r="BT390" s="1539"/>
      <c r="BU390" s="1539"/>
      <c r="BV390" s="1539"/>
      <c r="BW390" s="1539"/>
      <c r="BX390" s="1539"/>
      <c r="BY390" s="1539"/>
      <c r="BZ390" s="1539"/>
      <c r="CA390" s="1539"/>
      <c r="CB390" s="1539"/>
      <c r="CC390" s="1539"/>
      <c r="CD390" s="1539"/>
      <c r="CE390" s="1539"/>
      <c r="CF390" s="1539"/>
      <c r="CG390" s="1539"/>
      <c r="CH390" s="1539"/>
      <c r="CI390" s="1539"/>
      <c r="CJ390" s="1539"/>
      <c r="CK390" s="1539"/>
      <c r="CL390" s="1539"/>
      <c r="CM390" s="1539"/>
      <c r="CN390" s="1539"/>
      <c r="CO390" s="1539"/>
    </row>
    <row r="391" spans="1:93" ht="15.5">
      <c r="A391" s="1598" t="s">
        <v>2414</v>
      </c>
      <c r="B391" s="1599" t="s">
        <v>2172</v>
      </c>
      <c r="C391" s="1643" t="e">
        <f>+SUMIF(#REF!,Final!A391,#REF!)</f>
        <v>#REF!</v>
      </c>
      <c r="D391" s="1597" t="e">
        <f>+SUMIF(#REF!,Final!A391,#REF!)</f>
        <v>#REF!</v>
      </c>
      <c r="E391" s="1643" t="e">
        <f>SUMIF(#REF!,Final!A391,#REF!)</f>
        <v>#REF!</v>
      </c>
      <c r="F391" s="1644" t="e">
        <f>SUMIF(#REF!,Final!A391,#REF!)</f>
        <v>#REF!</v>
      </c>
      <c r="G391" s="1597" t="e">
        <f t="shared" si="20"/>
        <v>#REF!</v>
      </c>
      <c r="H391" s="1644" t="e">
        <f t="shared" si="21"/>
        <v>#REF!</v>
      </c>
      <c r="I391" s="1597" t="e">
        <f t="shared" si="22"/>
        <v>#REF!</v>
      </c>
      <c r="J391" s="1644" t="e">
        <f t="shared" si="23"/>
        <v>#REF!</v>
      </c>
      <c r="M391" s="1545"/>
      <c r="N391" s="1545"/>
    </row>
    <row r="392" spans="1:93" s="1542" customFormat="1" ht="15.5">
      <c r="A392" s="1598" t="s">
        <v>2415</v>
      </c>
      <c r="B392" s="1599" t="s">
        <v>2174</v>
      </c>
      <c r="C392" s="1643" t="e">
        <f>+SUMIF(#REF!,Final!A392,#REF!)</f>
        <v>#REF!</v>
      </c>
      <c r="D392" s="1597" t="e">
        <f>+SUMIF(#REF!,Final!A392,#REF!)</f>
        <v>#REF!</v>
      </c>
      <c r="E392" s="1643" t="e">
        <f>SUMIF(#REF!,Final!A392,#REF!)</f>
        <v>#REF!</v>
      </c>
      <c r="F392" s="1644" t="e">
        <f>SUMIF(#REF!,Final!A392,#REF!)</f>
        <v>#REF!</v>
      </c>
      <c r="G392" s="1597" t="e">
        <f t="shared" ref="G392:G455" si="24">C392+E392</f>
        <v>#REF!</v>
      </c>
      <c r="H392" s="1644" t="e">
        <f t="shared" ref="H392:H455" si="25">D392+F392</f>
        <v>#REF!</v>
      </c>
      <c r="I392" s="1597" t="e">
        <f t="shared" ref="I392:I455" si="26">IF(G392&gt;H392,G392-H392,0)</f>
        <v>#REF!</v>
      </c>
      <c r="J392" s="1644" t="e">
        <f t="shared" ref="J392:J455" si="27">IF(H392&gt;G392,H392-G392,0)</f>
        <v>#REF!</v>
      </c>
      <c r="K392" s="1539"/>
      <c r="L392" s="1539"/>
      <c r="M392" s="1545"/>
      <c r="N392" s="1545"/>
      <c r="O392" s="1539"/>
      <c r="P392" s="1539"/>
      <c r="Q392" s="1539"/>
      <c r="R392" s="1539"/>
      <c r="S392" s="1539"/>
      <c r="T392" s="1539"/>
      <c r="U392" s="1539"/>
      <c r="V392" s="1539"/>
      <c r="W392" s="1539"/>
      <c r="X392" s="1539"/>
      <c r="Y392" s="1539"/>
      <c r="Z392" s="1539"/>
      <c r="AA392" s="1539"/>
      <c r="AB392" s="1539"/>
      <c r="AC392" s="1539"/>
      <c r="AD392" s="1539"/>
      <c r="AE392" s="1539"/>
      <c r="AF392" s="1539"/>
      <c r="AG392" s="1539"/>
      <c r="AH392" s="1539"/>
      <c r="AI392" s="1539"/>
      <c r="AJ392" s="1539"/>
      <c r="AK392" s="1539"/>
      <c r="AL392" s="1539"/>
      <c r="AM392" s="1539"/>
      <c r="AN392" s="1539"/>
      <c r="AO392" s="1539"/>
      <c r="AP392" s="1539"/>
      <c r="AQ392" s="1539"/>
      <c r="AR392" s="1539"/>
      <c r="AS392" s="1539"/>
      <c r="AT392" s="1539"/>
      <c r="AU392" s="1539"/>
      <c r="AV392" s="1539"/>
      <c r="AW392" s="1539"/>
      <c r="AX392" s="1539"/>
      <c r="AY392" s="1539"/>
      <c r="AZ392" s="1539"/>
      <c r="BA392" s="1539"/>
      <c r="BB392" s="1539"/>
      <c r="BC392" s="1539"/>
      <c r="BD392" s="1539"/>
      <c r="BE392" s="1539"/>
      <c r="BF392" s="1539"/>
      <c r="BG392" s="1539"/>
      <c r="BH392" s="1539"/>
      <c r="BI392" s="1539"/>
      <c r="BJ392" s="1539"/>
      <c r="BK392" s="1539"/>
      <c r="BL392" s="1539"/>
      <c r="BM392" s="1539"/>
      <c r="BN392" s="1539"/>
      <c r="BO392" s="1539"/>
      <c r="BP392" s="1539"/>
      <c r="BQ392" s="1539"/>
      <c r="BR392" s="1539"/>
      <c r="BS392" s="1539"/>
      <c r="BT392" s="1539"/>
      <c r="BU392" s="1539"/>
      <c r="BV392" s="1539"/>
      <c r="BW392" s="1539"/>
      <c r="BX392" s="1539"/>
      <c r="BY392" s="1539"/>
      <c r="BZ392" s="1539"/>
      <c r="CA392" s="1539"/>
      <c r="CB392" s="1539"/>
      <c r="CC392" s="1539"/>
      <c r="CD392" s="1539"/>
      <c r="CE392" s="1539"/>
      <c r="CF392" s="1539"/>
      <c r="CG392" s="1539"/>
      <c r="CH392" s="1539"/>
      <c r="CI392" s="1539"/>
      <c r="CJ392" s="1539"/>
      <c r="CK392" s="1539"/>
      <c r="CL392" s="1539"/>
      <c r="CM392" s="1539"/>
      <c r="CN392" s="1539"/>
      <c r="CO392" s="1539"/>
    </row>
    <row r="393" spans="1:93" ht="15.5">
      <c r="A393" s="1598" t="s">
        <v>2416</v>
      </c>
      <c r="B393" s="1599" t="s">
        <v>2176</v>
      </c>
      <c r="C393" s="1643" t="e">
        <f>+SUMIF(#REF!,Final!A393,#REF!)</f>
        <v>#REF!</v>
      </c>
      <c r="D393" s="1597" t="e">
        <f>+SUMIF(#REF!,Final!A393,#REF!)</f>
        <v>#REF!</v>
      </c>
      <c r="E393" s="1643" t="e">
        <f>SUMIF(#REF!,Final!A393,#REF!)</f>
        <v>#REF!</v>
      </c>
      <c r="F393" s="1644" t="e">
        <f>SUMIF(#REF!,Final!A393,#REF!)</f>
        <v>#REF!</v>
      </c>
      <c r="G393" s="1597" t="e">
        <f t="shared" si="24"/>
        <v>#REF!</v>
      </c>
      <c r="H393" s="1644" t="e">
        <f t="shared" si="25"/>
        <v>#REF!</v>
      </c>
      <c r="I393" s="1597" t="e">
        <f t="shared" si="26"/>
        <v>#REF!</v>
      </c>
      <c r="J393" s="1644" t="e">
        <f t="shared" si="27"/>
        <v>#REF!</v>
      </c>
      <c r="M393" s="1545"/>
      <c r="N393" s="1545"/>
    </row>
    <row r="394" spans="1:93" ht="15.5">
      <c r="A394" s="1598" t="s">
        <v>2417</v>
      </c>
      <c r="B394" s="1599" t="s">
        <v>2178</v>
      </c>
      <c r="C394" s="1643" t="e">
        <f>+SUMIF(#REF!,Final!A394,#REF!)</f>
        <v>#REF!</v>
      </c>
      <c r="D394" s="1597" t="e">
        <f>+SUMIF(#REF!,Final!A394,#REF!)</f>
        <v>#REF!</v>
      </c>
      <c r="E394" s="1643" t="e">
        <f>SUMIF(#REF!,Final!A394,#REF!)</f>
        <v>#REF!</v>
      </c>
      <c r="F394" s="1644" t="e">
        <f>SUMIF(#REF!,Final!A394,#REF!)</f>
        <v>#REF!</v>
      </c>
      <c r="G394" s="1597" t="e">
        <f t="shared" si="24"/>
        <v>#REF!</v>
      </c>
      <c r="H394" s="1644" t="e">
        <f t="shared" si="25"/>
        <v>#REF!</v>
      </c>
      <c r="I394" s="1597" t="e">
        <f t="shared" si="26"/>
        <v>#REF!</v>
      </c>
      <c r="J394" s="1644" t="e">
        <f t="shared" si="27"/>
        <v>#REF!</v>
      </c>
      <c r="M394" s="1545"/>
      <c r="N394" s="1545"/>
    </row>
    <row r="395" spans="1:93" ht="15.5">
      <c r="A395" s="1598" t="s">
        <v>2418</v>
      </c>
      <c r="B395" s="1599" t="s">
        <v>2180</v>
      </c>
      <c r="C395" s="1643" t="e">
        <f>+SUMIF(#REF!,Final!A395,#REF!)</f>
        <v>#REF!</v>
      </c>
      <c r="D395" s="1597" t="e">
        <f>+SUMIF(#REF!,Final!A395,#REF!)</f>
        <v>#REF!</v>
      </c>
      <c r="E395" s="1643" t="e">
        <f>SUMIF(#REF!,Final!A395,#REF!)</f>
        <v>#REF!</v>
      </c>
      <c r="F395" s="1644" t="e">
        <f>SUMIF(#REF!,Final!A395,#REF!)</f>
        <v>#REF!</v>
      </c>
      <c r="G395" s="1597" t="e">
        <f t="shared" si="24"/>
        <v>#REF!</v>
      </c>
      <c r="H395" s="1644" t="e">
        <f t="shared" si="25"/>
        <v>#REF!</v>
      </c>
      <c r="I395" s="1597" t="e">
        <f t="shared" si="26"/>
        <v>#REF!</v>
      </c>
      <c r="J395" s="1644" t="e">
        <f t="shared" si="27"/>
        <v>#REF!</v>
      </c>
      <c r="M395" s="1545"/>
      <c r="N395" s="1545"/>
    </row>
    <row r="396" spans="1:93" ht="15.5">
      <c r="A396" s="1598" t="s">
        <v>2419</v>
      </c>
      <c r="B396" s="1599" t="s">
        <v>2182</v>
      </c>
      <c r="C396" s="1643" t="e">
        <f>+SUMIF(#REF!,Final!A396,#REF!)</f>
        <v>#REF!</v>
      </c>
      <c r="D396" s="1597" t="e">
        <f>+SUMIF(#REF!,Final!A396,#REF!)</f>
        <v>#REF!</v>
      </c>
      <c r="E396" s="1643" t="e">
        <f>SUMIF(#REF!,Final!A396,#REF!)</f>
        <v>#REF!</v>
      </c>
      <c r="F396" s="1644" t="e">
        <f>SUMIF(#REF!,Final!A396,#REF!)</f>
        <v>#REF!</v>
      </c>
      <c r="G396" s="1597" t="e">
        <f t="shared" si="24"/>
        <v>#REF!</v>
      </c>
      <c r="H396" s="1644" t="e">
        <f t="shared" si="25"/>
        <v>#REF!</v>
      </c>
      <c r="I396" s="1597" t="e">
        <f t="shared" si="26"/>
        <v>#REF!</v>
      </c>
      <c r="J396" s="1644" t="e">
        <f t="shared" si="27"/>
        <v>#REF!</v>
      </c>
      <c r="M396" s="1545"/>
      <c r="N396" s="1545"/>
    </row>
    <row r="397" spans="1:93" s="1542" customFormat="1" ht="15.5">
      <c r="A397" s="1598" t="s">
        <v>2420</v>
      </c>
      <c r="B397" s="1599" t="s">
        <v>2240</v>
      </c>
      <c r="C397" s="1643" t="e">
        <f>+SUMIF(#REF!,Final!A397,#REF!)</f>
        <v>#REF!</v>
      </c>
      <c r="D397" s="1597" t="e">
        <f>+SUMIF(#REF!,Final!A397,#REF!)</f>
        <v>#REF!</v>
      </c>
      <c r="E397" s="1643" t="e">
        <f>SUMIF(#REF!,Final!A397,#REF!)</f>
        <v>#REF!</v>
      </c>
      <c r="F397" s="1644" t="e">
        <f>SUMIF(#REF!,Final!A397,#REF!)</f>
        <v>#REF!</v>
      </c>
      <c r="G397" s="1597" t="e">
        <f t="shared" si="24"/>
        <v>#REF!</v>
      </c>
      <c r="H397" s="1644" t="e">
        <f t="shared" si="25"/>
        <v>#REF!</v>
      </c>
      <c r="I397" s="1597" t="e">
        <f t="shared" si="26"/>
        <v>#REF!</v>
      </c>
      <c r="J397" s="1644" t="e">
        <f t="shared" si="27"/>
        <v>#REF!</v>
      </c>
      <c r="K397" s="1539"/>
      <c r="L397" s="1539"/>
      <c r="M397" s="1545"/>
      <c r="N397" s="1545"/>
      <c r="O397" s="1539"/>
      <c r="P397" s="1539"/>
      <c r="Q397" s="1539"/>
      <c r="R397" s="1539"/>
      <c r="S397" s="1539"/>
      <c r="T397" s="1539"/>
      <c r="U397" s="1539"/>
      <c r="V397" s="1539"/>
      <c r="W397" s="1539"/>
      <c r="X397" s="1539"/>
      <c r="Y397" s="1539"/>
      <c r="Z397" s="1539"/>
      <c r="AA397" s="1539"/>
      <c r="AB397" s="1539"/>
      <c r="AC397" s="1539"/>
      <c r="AD397" s="1539"/>
      <c r="AE397" s="1539"/>
      <c r="AF397" s="1539"/>
      <c r="AG397" s="1539"/>
      <c r="AH397" s="1539"/>
      <c r="AI397" s="1539"/>
      <c r="AJ397" s="1539"/>
      <c r="AK397" s="1539"/>
      <c r="AL397" s="1539"/>
      <c r="AM397" s="1539"/>
      <c r="AN397" s="1539"/>
      <c r="AO397" s="1539"/>
      <c r="AP397" s="1539"/>
      <c r="AQ397" s="1539"/>
      <c r="AR397" s="1539"/>
      <c r="AS397" s="1539"/>
      <c r="AT397" s="1539"/>
      <c r="AU397" s="1539"/>
      <c r="AV397" s="1539"/>
      <c r="AW397" s="1539"/>
      <c r="AX397" s="1539"/>
      <c r="AY397" s="1539"/>
      <c r="AZ397" s="1539"/>
      <c r="BA397" s="1539"/>
      <c r="BB397" s="1539"/>
      <c r="BC397" s="1539"/>
      <c r="BD397" s="1539"/>
      <c r="BE397" s="1539"/>
      <c r="BF397" s="1539"/>
      <c r="BG397" s="1539"/>
      <c r="BH397" s="1539"/>
      <c r="BI397" s="1539"/>
      <c r="BJ397" s="1539"/>
      <c r="BK397" s="1539"/>
      <c r="BL397" s="1539"/>
      <c r="BM397" s="1539"/>
      <c r="BN397" s="1539"/>
      <c r="BO397" s="1539"/>
      <c r="BP397" s="1539"/>
      <c r="BQ397" s="1539"/>
      <c r="BR397" s="1539"/>
      <c r="BS397" s="1539"/>
      <c r="BT397" s="1539"/>
      <c r="BU397" s="1539"/>
      <c r="BV397" s="1539"/>
      <c r="BW397" s="1539"/>
      <c r="BX397" s="1539"/>
      <c r="BY397" s="1539"/>
      <c r="BZ397" s="1539"/>
      <c r="CA397" s="1539"/>
      <c r="CB397" s="1539"/>
      <c r="CC397" s="1539"/>
      <c r="CD397" s="1539"/>
      <c r="CE397" s="1539"/>
      <c r="CF397" s="1539"/>
      <c r="CG397" s="1539"/>
      <c r="CH397" s="1539"/>
      <c r="CI397" s="1539"/>
      <c r="CJ397" s="1539"/>
      <c r="CK397" s="1539"/>
      <c r="CL397" s="1539"/>
      <c r="CM397" s="1539"/>
      <c r="CN397" s="1539"/>
      <c r="CO397" s="1539"/>
    </row>
    <row r="398" spans="1:93" s="1542" customFormat="1" ht="15.5">
      <c r="A398" s="1598" t="s">
        <v>2421</v>
      </c>
      <c r="B398" s="1599" t="s">
        <v>2242</v>
      </c>
      <c r="C398" s="1643" t="e">
        <f>+SUMIF(#REF!,Final!A398,#REF!)</f>
        <v>#REF!</v>
      </c>
      <c r="D398" s="1597" t="e">
        <f>+SUMIF(#REF!,Final!A398,#REF!)</f>
        <v>#REF!</v>
      </c>
      <c r="E398" s="1643" t="e">
        <f>SUMIF(#REF!,Final!A398,#REF!)</f>
        <v>#REF!</v>
      </c>
      <c r="F398" s="1644" t="e">
        <f>SUMIF(#REF!,Final!A398,#REF!)</f>
        <v>#REF!</v>
      </c>
      <c r="G398" s="1597" t="e">
        <f t="shared" si="24"/>
        <v>#REF!</v>
      </c>
      <c r="H398" s="1644" t="e">
        <f t="shared" si="25"/>
        <v>#REF!</v>
      </c>
      <c r="I398" s="1597" t="e">
        <f t="shared" si="26"/>
        <v>#REF!</v>
      </c>
      <c r="J398" s="1644" t="e">
        <f t="shared" si="27"/>
        <v>#REF!</v>
      </c>
      <c r="K398" s="1539"/>
      <c r="L398" s="1539"/>
      <c r="M398" s="1545"/>
      <c r="N398" s="1545"/>
      <c r="O398" s="1539"/>
      <c r="P398" s="1539"/>
      <c r="Q398" s="1539"/>
      <c r="R398" s="1539"/>
      <c r="S398" s="1539"/>
      <c r="T398" s="1539"/>
      <c r="U398" s="1539"/>
      <c r="V398" s="1539"/>
      <c r="W398" s="1539"/>
      <c r="X398" s="1539"/>
      <c r="Y398" s="1539"/>
      <c r="Z398" s="1539"/>
      <c r="AA398" s="1539"/>
      <c r="AB398" s="1539"/>
      <c r="AC398" s="1539"/>
      <c r="AD398" s="1539"/>
      <c r="AE398" s="1539"/>
      <c r="AF398" s="1539"/>
      <c r="AG398" s="1539"/>
      <c r="AH398" s="1539"/>
      <c r="AI398" s="1539"/>
      <c r="AJ398" s="1539"/>
      <c r="AK398" s="1539"/>
      <c r="AL398" s="1539"/>
      <c r="AM398" s="1539"/>
      <c r="AN398" s="1539"/>
      <c r="AO398" s="1539"/>
      <c r="AP398" s="1539"/>
      <c r="AQ398" s="1539"/>
      <c r="AR398" s="1539"/>
      <c r="AS398" s="1539"/>
      <c r="AT398" s="1539"/>
      <c r="AU398" s="1539"/>
      <c r="AV398" s="1539"/>
      <c r="AW398" s="1539"/>
      <c r="AX398" s="1539"/>
      <c r="AY398" s="1539"/>
      <c r="AZ398" s="1539"/>
      <c r="BA398" s="1539"/>
      <c r="BB398" s="1539"/>
      <c r="BC398" s="1539"/>
      <c r="BD398" s="1539"/>
      <c r="BE398" s="1539"/>
      <c r="BF398" s="1539"/>
      <c r="BG398" s="1539"/>
      <c r="BH398" s="1539"/>
      <c r="BI398" s="1539"/>
      <c r="BJ398" s="1539"/>
      <c r="BK398" s="1539"/>
      <c r="BL398" s="1539"/>
      <c r="BM398" s="1539"/>
      <c r="BN398" s="1539"/>
      <c r="BO398" s="1539"/>
      <c r="BP398" s="1539"/>
      <c r="BQ398" s="1539"/>
      <c r="BR398" s="1539"/>
      <c r="BS398" s="1539"/>
      <c r="BT398" s="1539"/>
      <c r="BU398" s="1539"/>
      <c r="BV398" s="1539"/>
      <c r="BW398" s="1539"/>
      <c r="BX398" s="1539"/>
      <c r="BY398" s="1539"/>
      <c r="BZ398" s="1539"/>
      <c r="CA398" s="1539"/>
      <c r="CB398" s="1539"/>
      <c r="CC398" s="1539"/>
      <c r="CD398" s="1539"/>
      <c r="CE398" s="1539"/>
      <c r="CF398" s="1539"/>
      <c r="CG398" s="1539"/>
      <c r="CH398" s="1539"/>
      <c r="CI398" s="1539"/>
      <c r="CJ398" s="1539"/>
      <c r="CK398" s="1539"/>
      <c r="CL398" s="1539"/>
      <c r="CM398" s="1539"/>
      <c r="CN398" s="1539"/>
      <c r="CO398" s="1539"/>
    </row>
    <row r="399" spans="1:93" ht="15.5">
      <c r="A399" s="1598" t="s">
        <v>2422</v>
      </c>
      <c r="B399" s="1599" t="s">
        <v>2244</v>
      </c>
      <c r="C399" s="1643" t="e">
        <f>+SUMIF(#REF!,Final!A399,#REF!)</f>
        <v>#REF!</v>
      </c>
      <c r="D399" s="1597" t="e">
        <f>+SUMIF(#REF!,Final!A399,#REF!)</f>
        <v>#REF!</v>
      </c>
      <c r="E399" s="1643" t="e">
        <f>SUMIF(#REF!,Final!A399,#REF!)</f>
        <v>#REF!</v>
      </c>
      <c r="F399" s="1644" t="e">
        <f>SUMIF(#REF!,Final!A399,#REF!)</f>
        <v>#REF!</v>
      </c>
      <c r="G399" s="1597" t="e">
        <f t="shared" si="24"/>
        <v>#REF!</v>
      </c>
      <c r="H399" s="1644" t="e">
        <f t="shared" si="25"/>
        <v>#REF!</v>
      </c>
      <c r="I399" s="1597" t="e">
        <f t="shared" si="26"/>
        <v>#REF!</v>
      </c>
      <c r="J399" s="1644" t="e">
        <f t="shared" si="27"/>
        <v>#REF!</v>
      </c>
      <c r="M399" s="1545"/>
      <c r="N399" s="1545"/>
    </row>
    <row r="400" spans="1:93" ht="15.5">
      <c r="A400" s="1598" t="s">
        <v>2423</v>
      </c>
      <c r="B400" s="1599" t="s">
        <v>2246</v>
      </c>
      <c r="C400" s="1643" t="e">
        <f>+SUMIF(#REF!,Final!A400,#REF!)</f>
        <v>#REF!</v>
      </c>
      <c r="D400" s="1597" t="e">
        <f>+SUMIF(#REF!,Final!A400,#REF!)</f>
        <v>#REF!</v>
      </c>
      <c r="E400" s="1643" t="e">
        <f>SUMIF(#REF!,Final!A400,#REF!)</f>
        <v>#REF!</v>
      </c>
      <c r="F400" s="1644" t="e">
        <f>SUMIF(#REF!,Final!A400,#REF!)</f>
        <v>#REF!</v>
      </c>
      <c r="G400" s="1597" t="e">
        <f t="shared" si="24"/>
        <v>#REF!</v>
      </c>
      <c r="H400" s="1644" t="e">
        <f t="shared" si="25"/>
        <v>#REF!</v>
      </c>
      <c r="I400" s="1597" t="e">
        <f t="shared" si="26"/>
        <v>#REF!</v>
      </c>
      <c r="J400" s="1644" t="e">
        <f t="shared" si="27"/>
        <v>#REF!</v>
      </c>
      <c r="M400" s="1545"/>
      <c r="N400" s="1545"/>
    </row>
    <row r="401" spans="1:93" ht="15.5">
      <c r="A401" s="1598" t="s">
        <v>2424</v>
      </c>
      <c r="B401" s="1599" t="s">
        <v>2254</v>
      </c>
      <c r="C401" s="1643" t="e">
        <f>+SUMIF(#REF!,Final!A401,#REF!)</f>
        <v>#REF!</v>
      </c>
      <c r="D401" s="1597" t="e">
        <f>+SUMIF(#REF!,Final!A401,#REF!)</f>
        <v>#REF!</v>
      </c>
      <c r="E401" s="1643" t="e">
        <f>SUMIF(#REF!,Final!A401,#REF!)</f>
        <v>#REF!</v>
      </c>
      <c r="F401" s="1644" t="e">
        <f>SUMIF(#REF!,Final!A401,#REF!)</f>
        <v>#REF!</v>
      </c>
      <c r="G401" s="1597" t="e">
        <f t="shared" si="24"/>
        <v>#REF!</v>
      </c>
      <c r="H401" s="1644" t="e">
        <f t="shared" si="25"/>
        <v>#REF!</v>
      </c>
      <c r="I401" s="1597" t="e">
        <f t="shared" si="26"/>
        <v>#REF!</v>
      </c>
      <c r="J401" s="1644" t="e">
        <f t="shared" si="27"/>
        <v>#REF!</v>
      </c>
      <c r="M401" s="1545"/>
      <c r="N401" s="1545"/>
    </row>
    <row r="402" spans="1:93" ht="15.5">
      <c r="A402" s="1598" t="s">
        <v>2425</v>
      </c>
      <c r="B402" s="1599" t="s">
        <v>2256</v>
      </c>
      <c r="C402" s="1643" t="e">
        <f>+SUMIF(#REF!,Final!A402,#REF!)</f>
        <v>#REF!</v>
      </c>
      <c r="D402" s="1597" t="e">
        <f>+SUMIF(#REF!,Final!A402,#REF!)</f>
        <v>#REF!</v>
      </c>
      <c r="E402" s="1643" t="e">
        <f>SUMIF(#REF!,Final!A402,#REF!)</f>
        <v>#REF!</v>
      </c>
      <c r="F402" s="1644" t="e">
        <f>SUMIF(#REF!,Final!A402,#REF!)</f>
        <v>#REF!</v>
      </c>
      <c r="G402" s="1597" t="e">
        <f t="shared" si="24"/>
        <v>#REF!</v>
      </c>
      <c r="H402" s="1644" t="e">
        <f t="shared" si="25"/>
        <v>#REF!</v>
      </c>
      <c r="I402" s="1597" t="e">
        <f t="shared" si="26"/>
        <v>#REF!</v>
      </c>
      <c r="J402" s="1644" t="e">
        <f t="shared" si="27"/>
        <v>#REF!</v>
      </c>
      <c r="M402" s="1545"/>
      <c r="N402" s="1545"/>
    </row>
    <row r="403" spans="1:93" s="1552" customFormat="1" ht="15.5">
      <c r="A403" s="1598"/>
      <c r="B403" s="1599" t="s">
        <v>754</v>
      </c>
      <c r="C403" s="1643" t="e">
        <f>+SUMIF(#REF!,Final!A403,#REF!)</f>
        <v>#REF!</v>
      </c>
      <c r="D403" s="1597" t="e">
        <f>+SUMIF(#REF!,Final!A403,#REF!)</f>
        <v>#REF!</v>
      </c>
      <c r="E403" s="1643" t="e">
        <f>SUMIF(#REF!,Final!A403,#REF!)</f>
        <v>#REF!</v>
      </c>
      <c r="F403" s="1644" t="e">
        <f>SUMIF(#REF!,Final!A403,#REF!)</f>
        <v>#REF!</v>
      </c>
      <c r="G403" s="1597" t="e">
        <f t="shared" si="24"/>
        <v>#REF!</v>
      </c>
      <c r="H403" s="1644" t="e">
        <f t="shared" si="25"/>
        <v>#REF!</v>
      </c>
      <c r="I403" s="1597" t="e">
        <f t="shared" si="26"/>
        <v>#REF!</v>
      </c>
      <c r="J403" s="1644" t="e">
        <f t="shared" si="27"/>
        <v>#REF!</v>
      </c>
      <c r="K403" s="1539"/>
      <c r="L403" s="1539"/>
      <c r="M403" s="1545"/>
      <c r="N403" s="1545"/>
      <c r="O403" s="1539"/>
      <c r="P403" s="1539"/>
      <c r="Q403" s="1539"/>
      <c r="R403" s="1539"/>
      <c r="S403" s="1539"/>
      <c r="T403" s="1539"/>
      <c r="U403" s="1539"/>
      <c r="V403" s="1539"/>
      <c r="W403" s="1539"/>
      <c r="X403" s="1539"/>
      <c r="Y403" s="1539"/>
      <c r="Z403" s="1539"/>
      <c r="AA403" s="1539"/>
      <c r="AB403" s="1539"/>
      <c r="AC403" s="1539"/>
      <c r="AD403" s="1539"/>
      <c r="AE403" s="1539"/>
      <c r="AF403" s="1539"/>
      <c r="AG403" s="1539"/>
      <c r="AH403" s="1539"/>
      <c r="AI403" s="1539"/>
      <c r="AJ403" s="1539"/>
      <c r="AK403" s="1539"/>
      <c r="AL403" s="1539"/>
      <c r="AM403" s="1539"/>
      <c r="AN403" s="1539"/>
      <c r="AO403" s="1539"/>
      <c r="AP403" s="1539"/>
      <c r="AQ403" s="1539"/>
      <c r="AR403" s="1539"/>
      <c r="AS403" s="1539"/>
      <c r="AT403" s="1539"/>
      <c r="AU403" s="1539"/>
      <c r="AV403" s="1539"/>
      <c r="AW403" s="1539"/>
      <c r="AX403" s="1539"/>
      <c r="AY403" s="1539"/>
      <c r="AZ403" s="1539"/>
      <c r="BA403" s="1539"/>
      <c r="BB403" s="1539"/>
      <c r="BC403" s="1539"/>
      <c r="BD403" s="1539"/>
      <c r="BE403" s="1539"/>
      <c r="BF403" s="1539"/>
      <c r="BG403" s="1539"/>
      <c r="BH403" s="1539"/>
      <c r="BI403" s="1539"/>
      <c r="BJ403" s="1539"/>
      <c r="BK403" s="1539"/>
      <c r="BL403" s="1539"/>
      <c r="BM403" s="1539"/>
      <c r="BN403" s="1539"/>
      <c r="BO403" s="1539"/>
      <c r="BP403" s="1539"/>
      <c r="BQ403" s="1539"/>
      <c r="BR403" s="1539"/>
      <c r="BS403" s="1539"/>
      <c r="BT403" s="1539"/>
      <c r="BU403" s="1539"/>
      <c r="BV403" s="1539"/>
      <c r="BW403" s="1539"/>
      <c r="BX403" s="1539"/>
      <c r="BY403" s="1539"/>
      <c r="BZ403" s="1539"/>
      <c r="CA403" s="1539"/>
      <c r="CB403" s="1539"/>
      <c r="CC403" s="1539"/>
      <c r="CD403" s="1539"/>
      <c r="CE403" s="1539"/>
      <c r="CF403" s="1539"/>
      <c r="CG403" s="1539"/>
      <c r="CH403" s="1539"/>
      <c r="CI403" s="1539"/>
      <c r="CJ403" s="1539"/>
      <c r="CK403" s="1539"/>
      <c r="CL403" s="1539"/>
      <c r="CM403" s="1539"/>
      <c r="CN403" s="1539"/>
      <c r="CO403" s="1539"/>
    </row>
    <row r="404" spans="1:93" s="1552" customFormat="1" ht="15.5">
      <c r="A404" s="1598"/>
      <c r="B404" s="1599" t="s">
        <v>1760</v>
      </c>
      <c r="C404" s="1643" t="e">
        <f>+SUMIF(#REF!,Final!A404,#REF!)</f>
        <v>#REF!</v>
      </c>
      <c r="D404" s="1597" t="e">
        <f>+SUMIF(#REF!,Final!A404,#REF!)</f>
        <v>#REF!</v>
      </c>
      <c r="E404" s="1643" t="e">
        <f>SUMIF(#REF!,Final!A404,#REF!)</f>
        <v>#REF!</v>
      </c>
      <c r="F404" s="1644" t="e">
        <f>SUMIF(#REF!,Final!A404,#REF!)</f>
        <v>#REF!</v>
      </c>
      <c r="G404" s="1597" t="e">
        <f t="shared" si="24"/>
        <v>#REF!</v>
      </c>
      <c r="H404" s="1644" t="e">
        <f t="shared" si="25"/>
        <v>#REF!</v>
      </c>
      <c r="I404" s="1597" t="e">
        <f t="shared" si="26"/>
        <v>#REF!</v>
      </c>
      <c r="J404" s="1644" t="e">
        <f t="shared" si="27"/>
        <v>#REF!</v>
      </c>
      <c r="K404" s="1539"/>
      <c r="L404" s="1539"/>
      <c r="M404" s="1545"/>
      <c r="N404" s="1545"/>
      <c r="O404" s="1539"/>
      <c r="P404" s="1539"/>
      <c r="Q404" s="1539"/>
      <c r="R404" s="1539"/>
      <c r="S404" s="1539"/>
      <c r="T404" s="1539"/>
      <c r="U404" s="1539"/>
      <c r="V404" s="1539"/>
      <c r="W404" s="1539"/>
      <c r="X404" s="1539"/>
      <c r="Y404" s="1539"/>
      <c r="Z404" s="1539"/>
      <c r="AA404" s="1539"/>
      <c r="AB404" s="1539"/>
      <c r="AC404" s="1539"/>
      <c r="AD404" s="1539"/>
      <c r="AE404" s="1539"/>
      <c r="AF404" s="1539"/>
      <c r="AG404" s="1539"/>
      <c r="AH404" s="1539"/>
      <c r="AI404" s="1539"/>
      <c r="AJ404" s="1539"/>
      <c r="AK404" s="1539"/>
      <c r="AL404" s="1539"/>
      <c r="AM404" s="1539"/>
      <c r="AN404" s="1539"/>
      <c r="AO404" s="1539"/>
      <c r="AP404" s="1539"/>
      <c r="AQ404" s="1539"/>
      <c r="AR404" s="1539"/>
      <c r="AS404" s="1539"/>
      <c r="AT404" s="1539"/>
      <c r="AU404" s="1539"/>
      <c r="AV404" s="1539"/>
      <c r="AW404" s="1539"/>
      <c r="AX404" s="1539"/>
      <c r="AY404" s="1539"/>
      <c r="AZ404" s="1539"/>
      <c r="BA404" s="1539"/>
      <c r="BB404" s="1539"/>
      <c r="BC404" s="1539"/>
      <c r="BD404" s="1539"/>
      <c r="BE404" s="1539"/>
      <c r="BF404" s="1539"/>
      <c r="BG404" s="1539"/>
      <c r="BH404" s="1539"/>
      <c r="BI404" s="1539"/>
      <c r="BJ404" s="1539"/>
      <c r="BK404" s="1539"/>
      <c r="BL404" s="1539"/>
      <c r="BM404" s="1539"/>
      <c r="BN404" s="1539"/>
      <c r="BO404" s="1539"/>
      <c r="BP404" s="1539"/>
      <c r="BQ404" s="1539"/>
      <c r="BR404" s="1539"/>
      <c r="BS404" s="1539"/>
      <c r="BT404" s="1539"/>
      <c r="BU404" s="1539"/>
      <c r="BV404" s="1539"/>
      <c r="BW404" s="1539"/>
      <c r="BX404" s="1539"/>
      <c r="BY404" s="1539"/>
      <c r="BZ404" s="1539"/>
      <c r="CA404" s="1539"/>
      <c r="CB404" s="1539"/>
      <c r="CC404" s="1539"/>
      <c r="CD404" s="1539"/>
      <c r="CE404" s="1539"/>
      <c r="CF404" s="1539"/>
      <c r="CG404" s="1539"/>
      <c r="CH404" s="1539"/>
      <c r="CI404" s="1539"/>
      <c r="CJ404" s="1539"/>
      <c r="CK404" s="1539"/>
      <c r="CL404" s="1539"/>
      <c r="CM404" s="1539"/>
      <c r="CN404" s="1539"/>
      <c r="CO404" s="1539"/>
    </row>
    <row r="405" spans="1:93" s="1542" customFormat="1" ht="15.5">
      <c r="A405" s="1598" t="s">
        <v>1409</v>
      </c>
      <c r="B405" s="1599" t="s">
        <v>2426</v>
      </c>
      <c r="C405" s="1643" t="e">
        <f>+SUMIF(#REF!,Final!A405,#REF!)</f>
        <v>#REF!</v>
      </c>
      <c r="D405" s="1597" t="e">
        <f>+SUMIF(#REF!,Final!A405,#REF!)</f>
        <v>#REF!</v>
      </c>
      <c r="E405" s="1643" t="e">
        <f>SUMIF(#REF!,Final!A405,#REF!)</f>
        <v>#REF!</v>
      </c>
      <c r="F405" s="1644" t="e">
        <f>SUMIF(#REF!,Final!A405,#REF!)</f>
        <v>#REF!</v>
      </c>
      <c r="G405" s="1597" t="e">
        <f t="shared" si="24"/>
        <v>#REF!</v>
      </c>
      <c r="H405" s="1644" t="e">
        <f t="shared" si="25"/>
        <v>#REF!</v>
      </c>
      <c r="I405" s="1597" t="e">
        <f t="shared" si="26"/>
        <v>#REF!</v>
      </c>
      <c r="J405" s="1644" t="e">
        <f t="shared" si="27"/>
        <v>#REF!</v>
      </c>
      <c r="K405" s="1539"/>
      <c r="L405" s="1539"/>
      <c r="M405" s="1545"/>
      <c r="N405" s="1545"/>
      <c r="O405" s="1539"/>
      <c r="P405" s="1539"/>
      <c r="Q405" s="1539"/>
      <c r="R405" s="1539"/>
      <c r="S405" s="1539"/>
      <c r="T405" s="1539"/>
      <c r="U405" s="1539"/>
      <c r="V405" s="1539"/>
      <c r="W405" s="1539"/>
      <c r="X405" s="1539"/>
      <c r="Y405" s="1539"/>
      <c r="Z405" s="1539"/>
      <c r="AA405" s="1539"/>
      <c r="AB405" s="1539"/>
      <c r="AC405" s="1539"/>
      <c r="AD405" s="1539"/>
      <c r="AE405" s="1539"/>
      <c r="AF405" s="1539"/>
      <c r="AG405" s="1539"/>
      <c r="AH405" s="1539"/>
      <c r="AI405" s="1539"/>
      <c r="AJ405" s="1539"/>
      <c r="AK405" s="1539"/>
      <c r="AL405" s="1539"/>
      <c r="AM405" s="1539"/>
      <c r="AN405" s="1539"/>
      <c r="AO405" s="1539"/>
      <c r="AP405" s="1539"/>
      <c r="AQ405" s="1539"/>
      <c r="AR405" s="1539"/>
      <c r="AS405" s="1539"/>
      <c r="AT405" s="1539"/>
      <c r="AU405" s="1539"/>
      <c r="AV405" s="1539"/>
      <c r="AW405" s="1539"/>
      <c r="AX405" s="1539"/>
      <c r="AY405" s="1539"/>
      <c r="AZ405" s="1539"/>
      <c r="BA405" s="1539"/>
      <c r="BB405" s="1539"/>
      <c r="BC405" s="1539"/>
      <c r="BD405" s="1539"/>
      <c r="BE405" s="1539"/>
      <c r="BF405" s="1539"/>
      <c r="BG405" s="1539"/>
      <c r="BH405" s="1539"/>
      <c r="BI405" s="1539"/>
      <c r="BJ405" s="1539"/>
      <c r="BK405" s="1539"/>
      <c r="BL405" s="1539"/>
      <c r="BM405" s="1539"/>
      <c r="BN405" s="1539"/>
      <c r="BO405" s="1539"/>
      <c r="BP405" s="1539"/>
      <c r="BQ405" s="1539"/>
      <c r="BR405" s="1539"/>
      <c r="BS405" s="1539"/>
      <c r="BT405" s="1539"/>
      <c r="BU405" s="1539"/>
      <c r="BV405" s="1539"/>
      <c r="BW405" s="1539"/>
      <c r="BX405" s="1539"/>
      <c r="BY405" s="1539"/>
      <c r="BZ405" s="1539"/>
      <c r="CA405" s="1539"/>
      <c r="CB405" s="1539"/>
      <c r="CC405" s="1539"/>
      <c r="CD405" s="1539"/>
      <c r="CE405" s="1539"/>
      <c r="CF405" s="1539"/>
      <c r="CG405" s="1539"/>
      <c r="CH405" s="1539"/>
      <c r="CI405" s="1539"/>
      <c r="CJ405" s="1539"/>
      <c r="CK405" s="1539"/>
      <c r="CL405" s="1539"/>
      <c r="CM405" s="1539"/>
      <c r="CN405" s="1539"/>
      <c r="CO405" s="1539"/>
    </row>
    <row r="406" spans="1:93" ht="15.5">
      <c r="A406" s="1598" t="s">
        <v>2427</v>
      </c>
      <c r="B406" s="1599" t="s">
        <v>2136</v>
      </c>
      <c r="C406" s="1643" t="e">
        <f>+SUMIF(#REF!,Final!A406,#REF!)</f>
        <v>#REF!</v>
      </c>
      <c r="D406" s="1597" t="e">
        <f>+SUMIF(#REF!,Final!A406,#REF!)</f>
        <v>#REF!</v>
      </c>
      <c r="E406" s="1643" t="e">
        <f>SUMIF(#REF!,Final!A406,#REF!)</f>
        <v>#REF!</v>
      </c>
      <c r="F406" s="1644" t="e">
        <f>SUMIF(#REF!,Final!A406,#REF!)</f>
        <v>#REF!</v>
      </c>
      <c r="G406" s="1597" t="e">
        <f t="shared" si="24"/>
        <v>#REF!</v>
      </c>
      <c r="H406" s="1644" t="e">
        <f t="shared" si="25"/>
        <v>#REF!</v>
      </c>
      <c r="I406" s="1597" t="e">
        <f t="shared" si="26"/>
        <v>#REF!</v>
      </c>
      <c r="J406" s="1644" t="e">
        <f t="shared" si="27"/>
        <v>#REF!</v>
      </c>
      <c r="M406" s="1545"/>
      <c r="N406" s="1545"/>
    </row>
    <row r="407" spans="1:93" s="1542" customFormat="1" ht="15.5">
      <c r="A407" s="1598" t="s">
        <v>2428</v>
      </c>
      <c r="B407" s="1599" t="s">
        <v>2202</v>
      </c>
      <c r="C407" s="1643" t="e">
        <f>+SUMIF(#REF!,Final!A407,#REF!)</f>
        <v>#REF!</v>
      </c>
      <c r="D407" s="1597" t="e">
        <f>+SUMIF(#REF!,Final!A407,#REF!)</f>
        <v>#REF!</v>
      </c>
      <c r="E407" s="1643" t="e">
        <f>SUMIF(#REF!,Final!A407,#REF!)</f>
        <v>#REF!</v>
      </c>
      <c r="F407" s="1644" t="e">
        <f>SUMIF(#REF!,Final!A407,#REF!)</f>
        <v>#REF!</v>
      </c>
      <c r="G407" s="1597" t="e">
        <f t="shared" si="24"/>
        <v>#REF!</v>
      </c>
      <c r="H407" s="1644" t="e">
        <f t="shared" si="25"/>
        <v>#REF!</v>
      </c>
      <c r="I407" s="1597" t="e">
        <f t="shared" si="26"/>
        <v>#REF!</v>
      </c>
      <c r="J407" s="1644" t="e">
        <f t="shared" si="27"/>
        <v>#REF!</v>
      </c>
      <c r="K407" s="1539"/>
      <c r="L407" s="1539"/>
      <c r="M407" s="1545"/>
      <c r="N407" s="1545"/>
      <c r="O407" s="1539"/>
      <c r="P407" s="1539"/>
      <c r="Q407" s="1539"/>
      <c r="R407" s="1539"/>
      <c r="S407" s="1539"/>
      <c r="T407" s="1539"/>
      <c r="U407" s="1539"/>
      <c r="V407" s="1539"/>
      <c r="W407" s="1539"/>
      <c r="X407" s="1539"/>
      <c r="Y407" s="1539"/>
      <c r="Z407" s="1539"/>
      <c r="AA407" s="1539"/>
      <c r="AB407" s="1539"/>
      <c r="AC407" s="1539"/>
      <c r="AD407" s="1539"/>
      <c r="AE407" s="1539"/>
      <c r="AF407" s="1539"/>
      <c r="AG407" s="1539"/>
      <c r="AH407" s="1539"/>
      <c r="AI407" s="1539"/>
      <c r="AJ407" s="1539"/>
      <c r="AK407" s="1539"/>
      <c r="AL407" s="1539"/>
      <c r="AM407" s="1539"/>
      <c r="AN407" s="1539"/>
      <c r="AO407" s="1539"/>
      <c r="AP407" s="1539"/>
      <c r="AQ407" s="1539"/>
      <c r="AR407" s="1539"/>
      <c r="AS407" s="1539"/>
      <c r="AT407" s="1539"/>
      <c r="AU407" s="1539"/>
      <c r="AV407" s="1539"/>
      <c r="AW407" s="1539"/>
      <c r="AX407" s="1539"/>
      <c r="AY407" s="1539"/>
      <c r="AZ407" s="1539"/>
      <c r="BA407" s="1539"/>
      <c r="BB407" s="1539"/>
      <c r="BC407" s="1539"/>
      <c r="BD407" s="1539"/>
      <c r="BE407" s="1539"/>
      <c r="BF407" s="1539"/>
      <c r="BG407" s="1539"/>
      <c r="BH407" s="1539"/>
      <c r="BI407" s="1539"/>
      <c r="BJ407" s="1539"/>
      <c r="BK407" s="1539"/>
      <c r="BL407" s="1539"/>
      <c r="BM407" s="1539"/>
      <c r="BN407" s="1539"/>
      <c r="BO407" s="1539"/>
      <c r="BP407" s="1539"/>
      <c r="BQ407" s="1539"/>
      <c r="BR407" s="1539"/>
      <c r="BS407" s="1539"/>
      <c r="BT407" s="1539"/>
      <c r="BU407" s="1539"/>
      <c r="BV407" s="1539"/>
      <c r="BW407" s="1539"/>
      <c r="BX407" s="1539"/>
      <c r="BY407" s="1539"/>
      <c r="BZ407" s="1539"/>
      <c r="CA407" s="1539"/>
      <c r="CB407" s="1539"/>
      <c r="CC407" s="1539"/>
      <c r="CD407" s="1539"/>
      <c r="CE407" s="1539"/>
      <c r="CF407" s="1539"/>
      <c r="CG407" s="1539"/>
      <c r="CH407" s="1539"/>
      <c r="CI407" s="1539"/>
      <c r="CJ407" s="1539"/>
      <c r="CK407" s="1539"/>
      <c r="CL407" s="1539"/>
      <c r="CM407" s="1539"/>
      <c r="CN407" s="1539"/>
      <c r="CO407" s="1539"/>
    </row>
    <row r="408" spans="1:93" ht="15.5">
      <c r="A408" s="1598" t="s">
        <v>2429</v>
      </c>
      <c r="B408" s="1599" t="s">
        <v>2204</v>
      </c>
      <c r="C408" s="1643" t="e">
        <f>+SUMIF(#REF!,Final!A408,#REF!)</f>
        <v>#REF!</v>
      </c>
      <c r="D408" s="1597" t="e">
        <f>+SUMIF(#REF!,Final!A408,#REF!)</f>
        <v>#REF!</v>
      </c>
      <c r="E408" s="1643" t="e">
        <f>SUMIF(#REF!,Final!A408,#REF!)</f>
        <v>#REF!</v>
      </c>
      <c r="F408" s="1644" t="e">
        <f>SUMIF(#REF!,Final!A408,#REF!)</f>
        <v>#REF!</v>
      </c>
      <c r="G408" s="1597" t="e">
        <f t="shared" si="24"/>
        <v>#REF!</v>
      </c>
      <c r="H408" s="1644" t="e">
        <f t="shared" si="25"/>
        <v>#REF!</v>
      </c>
      <c r="I408" s="1597" t="e">
        <f t="shared" si="26"/>
        <v>#REF!</v>
      </c>
      <c r="J408" s="1644" t="e">
        <f t="shared" si="27"/>
        <v>#REF!</v>
      </c>
      <c r="M408" s="1545"/>
      <c r="N408" s="1545"/>
    </row>
    <row r="409" spans="1:93" s="1542" customFormat="1" ht="15.5">
      <c r="A409" s="1598" t="s">
        <v>2430</v>
      </c>
      <c r="B409" s="1599" t="s">
        <v>2206</v>
      </c>
      <c r="C409" s="1643" t="e">
        <f>+SUMIF(#REF!,Final!A409,#REF!)</f>
        <v>#REF!</v>
      </c>
      <c r="D409" s="1597" t="e">
        <f>+SUMIF(#REF!,Final!A409,#REF!)</f>
        <v>#REF!</v>
      </c>
      <c r="E409" s="1643" t="e">
        <f>SUMIF(#REF!,Final!A409,#REF!)</f>
        <v>#REF!</v>
      </c>
      <c r="F409" s="1644" t="e">
        <f>SUMIF(#REF!,Final!A409,#REF!)</f>
        <v>#REF!</v>
      </c>
      <c r="G409" s="1597" t="e">
        <f t="shared" si="24"/>
        <v>#REF!</v>
      </c>
      <c r="H409" s="1644" t="e">
        <f t="shared" si="25"/>
        <v>#REF!</v>
      </c>
      <c r="I409" s="1597" t="e">
        <f t="shared" si="26"/>
        <v>#REF!</v>
      </c>
      <c r="J409" s="1644" t="e">
        <f t="shared" si="27"/>
        <v>#REF!</v>
      </c>
      <c r="K409" s="1539"/>
      <c r="L409" s="1539"/>
      <c r="M409" s="1545"/>
      <c r="N409" s="1545"/>
      <c r="O409" s="1539"/>
      <c r="P409" s="1539"/>
      <c r="Q409" s="1539"/>
      <c r="R409" s="1539"/>
      <c r="S409" s="1539"/>
      <c r="T409" s="1539"/>
      <c r="U409" s="1539"/>
      <c r="V409" s="1539"/>
      <c r="W409" s="1539"/>
      <c r="X409" s="1539"/>
      <c r="Y409" s="1539"/>
      <c r="Z409" s="1539"/>
      <c r="AA409" s="1539"/>
      <c r="AB409" s="1539"/>
      <c r="AC409" s="1539"/>
      <c r="AD409" s="1539"/>
      <c r="AE409" s="1539"/>
      <c r="AF409" s="1539"/>
      <c r="AG409" s="1539"/>
      <c r="AH409" s="1539"/>
      <c r="AI409" s="1539"/>
      <c r="AJ409" s="1539"/>
      <c r="AK409" s="1539"/>
      <c r="AL409" s="1539"/>
      <c r="AM409" s="1539"/>
      <c r="AN409" s="1539"/>
      <c r="AO409" s="1539"/>
      <c r="AP409" s="1539"/>
      <c r="AQ409" s="1539"/>
      <c r="AR409" s="1539"/>
      <c r="AS409" s="1539"/>
      <c r="AT409" s="1539"/>
      <c r="AU409" s="1539"/>
      <c r="AV409" s="1539"/>
      <c r="AW409" s="1539"/>
      <c r="AX409" s="1539"/>
      <c r="AY409" s="1539"/>
      <c r="AZ409" s="1539"/>
      <c r="BA409" s="1539"/>
      <c r="BB409" s="1539"/>
      <c r="BC409" s="1539"/>
      <c r="BD409" s="1539"/>
      <c r="BE409" s="1539"/>
      <c r="BF409" s="1539"/>
      <c r="BG409" s="1539"/>
      <c r="BH409" s="1539"/>
      <c r="BI409" s="1539"/>
      <c r="BJ409" s="1539"/>
      <c r="BK409" s="1539"/>
      <c r="BL409" s="1539"/>
      <c r="BM409" s="1539"/>
      <c r="BN409" s="1539"/>
      <c r="BO409" s="1539"/>
      <c r="BP409" s="1539"/>
      <c r="BQ409" s="1539"/>
      <c r="BR409" s="1539"/>
      <c r="BS409" s="1539"/>
      <c r="BT409" s="1539"/>
      <c r="BU409" s="1539"/>
      <c r="BV409" s="1539"/>
      <c r="BW409" s="1539"/>
      <c r="BX409" s="1539"/>
      <c r="BY409" s="1539"/>
      <c r="BZ409" s="1539"/>
      <c r="CA409" s="1539"/>
      <c r="CB409" s="1539"/>
      <c r="CC409" s="1539"/>
      <c r="CD409" s="1539"/>
      <c r="CE409" s="1539"/>
      <c r="CF409" s="1539"/>
      <c r="CG409" s="1539"/>
      <c r="CH409" s="1539"/>
      <c r="CI409" s="1539"/>
      <c r="CJ409" s="1539"/>
      <c r="CK409" s="1539"/>
      <c r="CL409" s="1539"/>
      <c r="CM409" s="1539"/>
      <c r="CN409" s="1539"/>
      <c r="CO409" s="1539"/>
    </row>
    <row r="410" spans="1:93" ht="15.5">
      <c r="A410" s="1598" t="s">
        <v>2431</v>
      </c>
      <c r="B410" s="1599" t="s">
        <v>2208</v>
      </c>
      <c r="C410" s="1643" t="e">
        <f>+SUMIF(#REF!,Final!A410,#REF!)</f>
        <v>#REF!</v>
      </c>
      <c r="D410" s="1597" t="e">
        <f>+SUMIF(#REF!,Final!A410,#REF!)</f>
        <v>#REF!</v>
      </c>
      <c r="E410" s="1643" t="e">
        <f>SUMIF(#REF!,Final!A410,#REF!)</f>
        <v>#REF!</v>
      </c>
      <c r="F410" s="1644" t="e">
        <f>SUMIF(#REF!,Final!A410,#REF!)</f>
        <v>#REF!</v>
      </c>
      <c r="G410" s="1597" t="e">
        <f t="shared" si="24"/>
        <v>#REF!</v>
      </c>
      <c r="H410" s="1644" t="e">
        <f t="shared" si="25"/>
        <v>#REF!</v>
      </c>
      <c r="I410" s="1597" t="e">
        <f t="shared" si="26"/>
        <v>#REF!</v>
      </c>
      <c r="J410" s="1644" t="e">
        <f t="shared" si="27"/>
        <v>#REF!</v>
      </c>
      <c r="M410" s="1545"/>
      <c r="N410" s="1545"/>
    </row>
    <row r="411" spans="1:93" ht="15.5">
      <c r="A411" s="1598" t="s">
        <v>2432</v>
      </c>
      <c r="B411" s="1599" t="s">
        <v>2210</v>
      </c>
      <c r="C411" s="1643" t="e">
        <f>+SUMIF(#REF!,Final!A411,#REF!)</f>
        <v>#REF!</v>
      </c>
      <c r="D411" s="1597" t="e">
        <f>+SUMIF(#REF!,Final!A411,#REF!)</f>
        <v>#REF!</v>
      </c>
      <c r="E411" s="1643" t="e">
        <f>SUMIF(#REF!,Final!A411,#REF!)</f>
        <v>#REF!</v>
      </c>
      <c r="F411" s="1644" t="e">
        <f>SUMIF(#REF!,Final!A411,#REF!)</f>
        <v>#REF!</v>
      </c>
      <c r="G411" s="1597" t="e">
        <f t="shared" si="24"/>
        <v>#REF!</v>
      </c>
      <c r="H411" s="1644" t="e">
        <f t="shared" si="25"/>
        <v>#REF!</v>
      </c>
      <c r="I411" s="1597" t="e">
        <f t="shared" si="26"/>
        <v>#REF!</v>
      </c>
      <c r="J411" s="1644" t="e">
        <f t="shared" si="27"/>
        <v>#REF!</v>
      </c>
      <c r="M411" s="1545"/>
      <c r="N411" s="1545"/>
    </row>
    <row r="412" spans="1:93" ht="15.5">
      <c r="A412" s="1598" t="s">
        <v>2433</v>
      </c>
      <c r="B412" s="1599" t="s">
        <v>2212</v>
      </c>
      <c r="C412" s="1643" t="e">
        <f>+SUMIF(#REF!,Final!A412,#REF!)</f>
        <v>#REF!</v>
      </c>
      <c r="D412" s="1597" t="e">
        <f>+SUMIF(#REF!,Final!A412,#REF!)</f>
        <v>#REF!</v>
      </c>
      <c r="E412" s="1643" t="e">
        <f>SUMIF(#REF!,Final!A412,#REF!)</f>
        <v>#REF!</v>
      </c>
      <c r="F412" s="1644" t="e">
        <f>SUMIF(#REF!,Final!A412,#REF!)</f>
        <v>#REF!</v>
      </c>
      <c r="G412" s="1597" t="e">
        <f t="shared" si="24"/>
        <v>#REF!</v>
      </c>
      <c r="H412" s="1644" t="e">
        <f t="shared" si="25"/>
        <v>#REF!</v>
      </c>
      <c r="I412" s="1597" t="e">
        <f t="shared" si="26"/>
        <v>#REF!</v>
      </c>
      <c r="J412" s="1644" t="e">
        <f t="shared" si="27"/>
        <v>#REF!</v>
      </c>
      <c r="M412" s="1545"/>
      <c r="N412" s="1545"/>
    </row>
    <row r="413" spans="1:93" s="1542" customFormat="1" ht="15.5">
      <c r="A413" s="1598" t="s">
        <v>2434</v>
      </c>
      <c r="B413" s="1599" t="s">
        <v>2214</v>
      </c>
      <c r="C413" s="1643" t="e">
        <f>+SUMIF(#REF!,Final!A413,#REF!)</f>
        <v>#REF!</v>
      </c>
      <c r="D413" s="1597" t="e">
        <f>+SUMIF(#REF!,Final!A413,#REF!)</f>
        <v>#REF!</v>
      </c>
      <c r="E413" s="1643" t="e">
        <f>SUMIF(#REF!,Final!A413,#REF!)</f>
        <v>#REF!</v>
      </c>
      <c r="F413" s="1644" t="e">
        <f>SUMIF(#REF!,Final!A413,#REF!)</f>
        <v>#REF!</v>
      </c>
      <c r="G413" s="1597" t="e">
        <f t="shared" si="24"/>
        <v>#REF!</v>
      </c>
      <c r="H413" s="1644" t="e">
        <f t="shared" si="25"/>
        <v>#REF!</v>
      </c>
      <c r="I413" s="1597" t="e">
        <f t="shared" si="26"/>
        <v>#REF!</v>
      </c>
      <c r="J413" s="1644" t="e">
        <f t="shared" si="27"/>
        <v>#REF!</v>
      </c>
      <c r="K413" s="1539"/>
      <c r="L413" s="1539"/>
      <c r="M413" s="1545"/>
      <c r="N413" s="1545"/>
      <c r="O413" s="1539"/>
      <c r="P413" s="1539"/>
      <c r="Q413" s="1539"/>
      <c r="R413" s="1539"/>
      <c r="S413" s="1539"/>
      <c r="T413" s="1539"/>
      <c r="U413" s="1539"/>
      <c r="V413" s="1539"/>
      <c r="W413" s="1539"/>
      <c r="X413" s="1539"/>
      <c r="Y413" s="1539"/>
      <c r="Z413" s="1539"/>
      <c r="AA413" s="1539"/>
      <c r="AB413" s="1539"/>
      <c r="AC413" s="1539"/>
      <c r="AD413" s="1539"/>
      <c r="AE413" s="1539"/>
      <c r="AF413" s="1539"/>
      <c r="AG413" s="1539"/>
      <c r="AH413" s="1539"/>
      <c r="AI413" s="1539"/>
      <c r="AJ413" s="1539"/>
      <c r="AK413" s="1539"/>
      <c r="AL413" s="1539"/>
      <c r="AM413" s="1539"/>
      <c r="AN413" s="1539"/>
      <c r="AO413" s="1539"/>
      <c r="AP413" s="1539"/>
      <c r="AQ413" s="1539"/>
      <c r="AR413" s="1539"/>
      <c r="AS413" s="1539"/>
      <c r="AT413" s="1539"/>
      <c r="AU413" s="1539"/>
      <c r="AV413" s="1539"/>
      <c r="AW413" s="1539"/>
      <c r="AX413" s="1539"/>
      <c r="AY413" s="1539"/>
      <c r="AZ413" s="1539"/>
      <c r="BA413" s="1539"/>
      <c r="BB413" s="1539"/>
      <c r="BC413" s="1539"/>
      <c r="BD413" s="1539"/>
      <c r="BE413" s="1539"/>
      <c r="BF413" s="1539"/>
      <c r="BG413" s="1539"/>
      <c r="BH413" s="1539"/>
      <c r="BI413" s="1539"/>
      <c r="BJ413" s="1539"/>
      <c r="BK413" s="1539"/>
      <c r="BL413" s="1539"/>
      <c r="BM413" s="1539"/>
      <c r="BN413" s="1539"/>
      <c r="BO413" s="1539"/>
      <c r="BP413" s="1539"/>
      <c r="BQ413" s="1539"/>
      <c r="BR413" s="1539"/>
      <c r="BS413" s="1539"/>
      <c r="BT413" s="1539"/>
      <c r="BU413" s="1539"/>
      <c r="BV413" s="1539"/>
      <c r="BW413" s="1539"/>
      <c r="BX413" s="1539"/>
      <c r="BY413" s="1539"/>
      <c r="BZ413" s="1539"/>
      <c r="CA413" s="1539"/>
      <c r="CB413" s="1539"/>
      <c r="CC413" s="1539"/>
      <c r="CD413" s="1539"/>
      <c r="CE413" s="1539"/>
      <c r="CF413" s="1539"/>
      <c r="CG413" s="1539"/>
      <c r="CH413" s="1539"/>
      <c r="CI413" s="1539"/>
      <c r="CJ413" s="1539"/>
      <c r="CK413" s="1539"/>
      <c r="CL413" s="1539"/>
      <c r="CM413" s="1539"/>
      <c r="CN413" s="1539"/>
      <c r="CO413" s="1539"/>
    </row>
    <row r="414" spans="1:93" ht="15.5">
      <c r="A414" s="1598" t="s">
        <v>2435</v>
      </c>
      <c r="B414" s="1599" t="s">
        <v>2152</v>
      </c>
      <c r="C414" s="1643" t="e">
        <f>+SUMIF(#REF!,Final!A414,#REF!)</f>
        <v>#REF!</v>
      </c>
      <c r="D414" s="1597" t="e">
        <f>+SUMIF(#REF!,Final!A414,#REF!)</f>
        <v>#REF!</v>
      </c>
      <c r="E414" s="1643" t="e">
        <f>SUMIF(#REF!,Final!A414,#REF!)</f>
        <v>#REF!</v>
      </c>
      <c r="F414" s="1644" t="e">
        <f>SUMIF(#REF!,Final!A414,#REF!)</f>
        <v>#REF!</v>
      </c>
      <c r="G414" s="1597" t="e">
        <f t="shared" si="24"/>
        <v>#REF!</v>
      </c>
      <c r="H414" s="1644" t="e">
        <f t="shared" si="25"/>
        <v>#REF!</v>
      </c>
      <c r="I414" s="1597" t="e">
        <f t="shared" si="26"/>
        <v>#REF!</v>
      </c>
      <c r="J414" s="1644" t="e">
        <f t="shared" si="27"/>
        <v>#REF!</v>
      </c>
      <c r="M414" s="1545"/>
      <c r="N414" s="1545"/>
    </row>
    <row r="415" spans="1:93" ht="15.5">
      <c r="A415" s="1598" t="s">
        <v>2436</v>
      </c>
      <c r="B415" s="1599" t="s">
        <v>2154</v>
      </c>
      <c r="C415" s="1643" t="e">
        <f>+SUMIF(#REF!,Final!A415,#REF!)</f>
        <v>#REF!</v>
      </c>
      <c r="D415" s="1597" t="e">
        <f>+SUMIF(#REF!,Final!A415,#REF!)</f>
        <v>#REF!</v>
      </c>
      <c r="E415" s="1643" t="e">
        <f>SUMIF(#REF!,Final!A415,#REF!)</f>
        <v>#REF!</v>
      </c>
      <c r="F415" s="1644" t="e">
        <f>SUMIF(#REF!,Final!A415,#REF!)</f>
        <v>#REF!</v>
      </c>
      <c r="G415" s="1597" t="e">
        <f t="shared" si="24"/>
        <v>#REF!</v>
      </c>
      <c r="H415" s="1644" t="e">
        <f t="shared" si="25"/>
        <v>#REF!</v>
      </c>
      <c r="I415" s="1597" t="e">
        <f t="shared" si="26"/>
        <v>#REF!</v>
      </c>
      <c r="J415" s="1644" t="e">
        <f t="shared" si="27"/>
        <v>#REF!</v>
      </c>
      <c r="M415" s="1545"/>
      <c r="N415" s="1545"/>
    </row>
    <row r="416" spans="1:93" ht="15.5">
      <c r="A416" s="1598" t="s">
        <v>2437</v>
      </c>
      <c r="B416" s="1599" t="s">
        <v>2156</v>
      </c>
      <c r="C416" s="1643" t="e">
        <f>+SUMIF(#REF!,Final!A416,#REF!)</f>
        <v>#REF!</v>
      </c>
      <c r="D416" s="1597" t="e">
        <f>+SUMIF(#REF!,Final!A416,#REF!)</f>
        <v>#REF!</v>
      </c>
      <c r="E416" s="1643" t="e">
        <f>SUMIF(#REF!,Final!A416,#REF!)</f>
        <v>#REF!</v>
      </c>
      <c r="F416" s="1644" t="e">
        <f>SUMIF(#REF!,Final!A416,#REF!)</f>
        <v>#REF!</v>
      </c>
      <c r="G416" s="1597" t="e">
        <f t="shared" si="24"/>
        <v>#REF!</v>
      </c>
      <c r="H416" s="1644" t="e">
        <f t="shared" si="25"/>
        <v>#REF!</v>
      </c>
      <c r="I416" s="1597" t="e">
        <f t="shared" si="26"/>
        <v>#REF!</v>
      </c>
      <c r="J416" s="1644" t="e">
        <f t="shared" si="27"/>
        <v>#REF!</v>
      </c>
      <c r="M416" s="1545"/>
      <c r="N416" s="1545"/>
    </row>
    <row r="417" spans="1:93" ht="15.5">
      <c r="A417" s="1598" t="s">
        <v>2438</v>
      </c>
      <c r="B417" s="1599" t="s">
        <v>2219</v>
      </c>
      <c r="C417" s="1643" t="e">
        <f>+SUMIF(#REF!,Final!A417,#REF!)</f>
        <v>#REF!</v>
      </c>
      <c r="D417" s="1597" t="e">
        <f>+SUMIF(#REF!,Final!A417,#REF!)</f>
        <v>#REF!</v>
      </c>
      <c r="E417" s="1643" t="e">
        <f>SUMIF(#REF!,Final!A417,#REF!)</f>
        <v>#REF!</v>
      </c>
      <c r="F417" s="1644" t="e">
        <f>SUMIF(#REF!,Final!A417,#REF!)</f>
        <v>#REF!</v>
      </c>
      <c r="G417" s="1597" t="e">
        <f t="shared" si="24"/>
        <v>#REF!</v>
      </c>
      <c r="H417" s="1644" t="e">
        <f t="shared" si="25"/>
        <v>#REF!</v>
      </c>
      <c r="I417" s="1597" t="e">
        <f t="shared" si="26"/>
        <v>#REF!</v>
      </c>
      <c r="J417" s="1644" t="e">
        <f t="shared" si="27"/>
        <v>#REF!</v>
      </c>
      <c r="M417" s="1545"/>
      <c r="N417" s="1545"/>
    </row>
    <row r="418" spans="1:93" ht="15.5">
      <c r="A418" s="1598" t="s">
        <v>2439</v>
      </c>
      <c r="B418" s="1599" t="s">
        <v>2221</v>
      </c>
      <c r="C418" s="1643" t="e">
        <f>+SUMIF(#REF!,Final!A418,#REF!)</f>
        <v>#REF!</v>
      </c>
      <c r="D418" s="1597" t="e">
        <f>+SUMIF(#REF!,Final!A418,#REF!)</f>
        <v>#REF!</v>
      </c>
      <c r="E418" s="1643" t="e">
        <f>SUMIF(#REF!,Final!A418,#REF!)</f>
        <v>#REF!</v>
      </c>
      <c r="F418" s="1644" t="e">
        <f>SUMIF(#REF!,Final!A418,#REF!)</f>
        <v>#REF!</v>
      </c>
      <c r="G418" s="1597" t="e">
        <f t="shared" si="24"/>
        <v>#REF!</v>
      </c>
      <c r="H418" s="1644" t="e">
        <f t="shared" si="25"/>
        <v>#REF!</v>
      </c>
      <c r="I418" s="1597" t="e">
        <f t="shared" si="26"/>
        <v>#REF!</v>
      </c>
      <c r="J418" s="1644" t="e">
        <f t="shared" si="27"/>
        <v>#REF!</v>
      </c>
      <c r="M418" s="1545"/>
      <c r="N418" s="1545"/>
    </row>
    <row r="419" spans="1:93" ht="15.5">
      <c r="A419" s="1598" t="s">
        <v>2440</v>
      </c>
      <c r="B419" s="1599" t="s">
        <v>2223</v>
      </c>
      <c r="C419" s="1643" t="e">
        <f>+SUMIF(#REF!,Final!A419,#REF!)</f>
        <v>#REF!</v>
      </c>
      <c r="D419" s="1597" t="e">
        <f>+SUMIF(#REF!,Final!A419,#REF!)</f>
        <v>#REF!</v>
      </c>
      <c r="E419" s="1643" t="e">
        <f>SUMIF(#REF!,Final!A419,#REF!)</f>
        <v>#REF!</v>
      </c>
      <c r="F419" s="1644" t="e">
        <f>SUMIF(#REF!,Final!A419,#REF!)</f>
        <v>#REF!</v>
      </c>
      <c r="G419" s="1597" t="e">
        <f t="shared" si="24"/>
        <v>#REF!</v>
      </c>
      <c r="H419" s="1644" t="e">
        <f t="shared" si="25"/>
        <v>#REF!</v>
      </c>
      <c r="I419" s="1597" t="e">
        <f t="shared" si="26"/>
        <v>#REF!</v>
      </c>
      <c r="J419" s="1644" t="e">
        <f t="shared" si="27"/>
        <v>#REF!</v>
      </c>
      <c r="M419" s="1545"/>
      <c r="N419" s="1545"/>
    </row>
    <row r="420" spans="1:93" ht="15.5">
      <c r="A420" s="1598" t="s">
        <v>2441</v>
      </c>
      <c r="B420" s="1599" t="s">
        <v>2168</v>
      </c>
      <c r="C420" s="1643" t="e">
        <f>+SUMIF(#REF!,Final!A420,#REF!)</f>
        <v>#REF!</v>
      </c>
      <c r="D420" s="1597" t="e">
        <f>+SUMIF(#REF!,Final!A420,#REF!)</f>
        <v>#REF!</v>
      </c>
      <c r="E420" s="1643" t="e">
        <f>SUMIF(#REF!,Final!A420,#REF!)</f>
        <v>#REF!</v>
      </c>
      <c r="F420" s="1644" t="e">
        <f>SUMIF(#REF!,Final!A420,#REF!)</f>
        <v>#REF!</v>
      </c>
      <c r="G420" s="1597" t="e">
        <f t="shared" si="24"/>
        <v>#REF!</v>
      </c>
      <c r="H420" s="1644" t="e">
        <f t="shared" si="25"/>
        <v>#REF!</v>
      </c>
      <c r="I420" s="1597" t="e">
        <f t="shared" si="26"/>
        <v>#REF!</v>
      </c>
      <c r="J420" s="1644" t="e">
        <f t="shared" si="27"/>
        <v>#REF!</v>
      </c>
      <c r="M420" s="1545"/>
      <c r="N420" s="1545"/>
    </row>
    <row r="421" spans="1:93" ht="15.5">
      <c r="A421" s="1598" t="s">
        <v>2442</v>
      </c>
      <c r="B421" s="1599" t="s">
        <v>2170</v>
      </c>
      <c r="C421" s="1643" t="e">
        <f>+SUMIF(#REF!,Final!A421,#REF!)</f>
        <v>#REF!</v>
      </c>
      <c r="D421" s="1597" t="e">
        <f>+SUMIF(#REF!,Final!A421,#REF!)</f>
        <v>#REF!</v>
      </c>
      <c r="E421" s="1643" t="e">
        <f>SUMIF(#REF!,Final!A421,#REF!)</f>
        <v>#REF!</v>
      </c>
      <c r="F421" s="1644" t="e">
        <f>SUMIF(#REF!,Final!A421,#REF!)</f>
        <v>#REF!</v>
      </c>
      <c r="G421" s="1597" t="e">
        <f t="shared" si="24"/>
        <v>#REF!</v>
      </c>
      <c r="H421" s="1644" t="e">
        <f t="shared" si="25"/>
        <v>#REF!</v>
      </c>
      <c r="I421" s="1597" t="e">
        <f t="shared" si="26"/>
        <v>#REF!</v>
      </c>
      <c r="J421" s="1644" t="e">
        <f t="shared" si="27"/>
        <v>#REF!</v>
      </c>
      <c r="M421" s="1545"/>
      <c r="N421" s="1545"/>
    </row>
    <row r="422" spans="1:93" ht="15.5">
      <c r="A422" s="1598" t="s">
        <v>2443</v>
      </c>
      <c r="B422" s="1599" t="s">
        <v>2172</v>
      </c>
      <c r="C422" s="1643" t="e">
        <f>+SUMIF(#REF!,Final!A422,#REF!)</f>
        <v>#REF!</v>
      </c>
      <c r="D422" s="1597" t="e">
        <f>+SUMIF(#REF!,Final!A422,#REF!)</f>
        <v>#REF!</v>
      </c>
      <c r="E422" s="1643" t="e">
        <f>SUMIF(#REF!,Final!A422,#REF!)</f>
        <v>#REF!</v>
      </c>
      <c r="F422" s="1644" t="e">
        <f>SUMIF(#REF!,Final!A422,#REF!)</f>
        <v>#REF!</v>
      </c>
      <c r="G422" s="1597" t="e">
        <f t="shared" si="24"/>
        <v>#REF!</v>
      </c>
      <c r="H422" s="1644" t="e">
        <f t="shared" si="25"/>
        <v>#REF!</v>
      </c>
      <c r="I422" s="1597" t="e">
        <f t="shared" si="26"/>
        <v>#REF!</v>
      </c>
      <c r="J422" s="1644" t="e">
        <f t="shared" si="27"/>
        <v>#REF!</v>
      </c>
      <c r="M422" s="1545"/>
      <c r="N422" s="1545"/>
    </row>
    <row r="423" spans="1:93" ht="15.5">
      <c r="A423" s="1598" t="s">
        <v>2444</v>
      </c>
      <c r="B423" s="1599" t="s">
        <v>2174</v>
      </c>
      <c r="C423" s="1643" t="e">
        <f>+SUMIF(#REF!,Final!A423,#REF!)</f>
        <v>#REF!</v>
      </c>
      <c r="D423" s="1597" t="e">
        <f>+SUMIF(#REF!,Final!A423,#REF!)</f>
        <v>#REF!</v>
      </c>
      <c r="E423" s="1643" t="e">
        <f>SUMIF(#REF!,Final!A423,#REF!)</f>
        <v>#REF!</v>
      </c>
      <c r="F423" s="1644" t="e">
        <f>SUMIF(#REF!,Final!A423,#REF!)</f>
        <v>#REF!</v>
      </c>
      <c r="G423" s="1597" t="e">
        <f t="shared" si="24"/>
        <v>#REF!</v>
      </c>
      <c r="H423" s="1644" t="e">
        <f t="shared" si="25"/>
        <v>#REF!</v>
      </c>
      <c r="I423" s="1597" t="e">
        <f t="shared" si="26"/>
        <v>#REF!</v>
      </c>
      <c r="J423" s="1644" t="e">
        <f t="shared" si="27"/>
        <v>#REF!</v>
      </c>
      <c r="M423" s="1545"/>
      <c r="N423" s="1545"/>
    </row>
    <row r="424" spans="1:93" ht="15.5">
      <c r="A424" s="1598" t="s">
        <v>2445</v>
      </c>
      <c r="B424" s="1599" t="s">
        <v>2176</v>
      </c>
      <c r="C424" s="1643" t="e">
        <f>+SUMIF(#REF!,Final!A424,#REF!)</f>
        <v>#REF!</v>
      </c>
      <c r="D424" s="1597" t="e">
        <f>+SUMIF(#REF!,Final!A424,#REF!)</f>
        <v>#REF!</v>
      </c>
      <c r="E424" s="1643" t="e">
        <f>SUMIF(#REF!,Final!A424,#REF!)</f>
        <v>#REF!</v>
      </c>
      <c r="F424" s="1644" t="e">
        <f>SUMIF(#REF!,Final!A424,#REF!)</f>
        <v>#REF!</v>
      </c>
      <c r="G424" s="1597" t="e">
        <f t="shared" si="24"/>
        <v>#REF!</v>
      </c>
      <c r="H424" s="1644" t="e">
        <f t="shared" si="25"/>
        <v>#REF!</v>
      </c>
      <c r="I424" s="1597" t="e">
        <f t="shared" si="26"/>
        <v>#REF!</v>
      </c>
      <c r="J424" s="1644" t="e">
        <f t="shared" si="27"/>
        <v>#REF!</v>
      </c>
      <c r="M424" s="1545"/>
      <c r="N424" s="1545"/>
    </row>
    <row r="425" spans="1:93" ht="15.5">
      <c r="A425" s="1598" t="s">
        <v>2446</v>
      </c>
      <c r="B425" s="1599" t="s">
        <v>2178</v>
      </c>
      <c r="C425" s="1643" t="e">
        <f>+SUMIF(#REF!,Final!A425,#REF!)</f>
        <v>#REF!</v>
      </c>
      <c r="D425" s="1597" t="e">
        <f>+SUMIF(#REF!,Final!A425,#REF!)</f>
        <v>#REF!</v>
      </c>
      <c r="E425" s="1643" t="e">
        <f>SUMIF(#REF!,Final!A425,#REF!)</f>
        <v>#REF!</v>
      </c>
      <c r="F425" s="1644" t="e">
        <f>SUMIF(#REF!,Final!A425,#REF!)</f>
        <v>#REF!</v>
      </c>
      <c r="G425" s="1597" t="e">
        <f t="shared" si="24"/>
        <v>#REF!</v>
      </c>
      <c r="H425" s="1644" t="e">
        <f t="shared" si="25"/>
        <v>#REF!</v>
      </c>
      <c r="I425" s="1597" t="e">
        <f t="shared" si="26"/>
        <v>#REF!</v>
      </c>
      <c r="J425" s="1644" t="e">
        <f t="shared" si="27"/>
        <v>#REF!</v>
      </c>
      <c r="M425" s="1545"/>
      <c r="N425" s="1545"/>
    </row>
    <row r="426" spans="1:93" ht="15.5">
      <c r="A426" s="1598" t="s">
        <v>2447</v>
      </c>
      <c r="B426" s="1599" t="s">
        <v>2180</v>
      </c>
      <c r="C426" s="1643" t="e">
        <f>+SUMIF(#REF!,Final!A426,#REF!)</f>
        <v>#REF!</v>
      </c>
      <c r="D426" s="1597" t="e">
        <f>+SUMIF(#REF!,Final!A426,#REF!)</f>
        <v>#REF!</v>
      </c>
      <c r="E426" s="1643" t="e">
        <f>SUMIF(#REF!,Final!A426,#REF!)</f>
        <v>#REF!</v>
      </c>
      <c r="F426" s="1644" t="e">
        <f>SUMIF(#REF!,Final!A426,#REF!)</f>
        <v>#REF!</v>
      </c>
      <c r="G426" s="1597" t="e">
        <f t="shared" si="24"/>
        <v>#REF!</v>
      </c>
      <c r="H426" s="1644" t="e">
        <f t="shared" si="25"/>
        <v>#REF!</v>
      </c>
      <c r="I426" s="1597" t="e">
        <f t="shared" si="26"/>
        <v>#REF!</v>
      </c>
      <c r="J426" s="1644" t="e">
        <f t="shared" si="27"/>
        <v>#REF!</v>
      </c>
      <c r="M426" s="1545"/>
      <c r="N426" s="1545"/>
    </row>
    <row r="427" spans="1:93" ht="15.5">
      <c r="A427" s="1598" t="s">
        <v>2448</v>
      </c>
      <c r="B427" s="1599" t="s">
        <v>2182</v>
      </c>
      <c r="C427" s="1643" t="e">
        <f>+SUMIF(#REF!,Final!A427,#REF!)</f>
        <v>#REF!</v>
      </c>
      <c r="D427" s="1597" t="e">
        <f>+SUMIF(#REF!,Final!A427,#REF!)</f>
        <v>#REF!</v>
      </c>
      <c r="E427" s="1643" t="e">
        <f>SUMIF(#REF!,Final!A427,#REF!)</f>
        <v>#REF!</v>
      </c>
      <c r="F427" s="1644" t="e">
        <f>SUMIF(#REF!,Final!A427,#REF!)</f>
        <v>#REF!</v>
      </c>
      <c r="G427" s="1597" t="e">
        <f t="shared" si="24"/>
        <v>#REF!</v>
      </c>
      <c r="H427" s="1644" t="e">
        <f t="shared" si="25"/>
        <v>#REF!</v>
      </c>
      <c r="I427" s="1597" t="e">
        <f t="shared" si="26"/>
        <v>#REF!</v>
      </c>
      <c r="J427" s="1644" t="e">
        <f t="shared" si="27"/>
        <v>#REF!</v>
      </c>
      <c r="M427" s="1545"/>
      <c r="N427" s="1545"/>
    </row>
    <row r="428" spans="1:93" ht="15.5">
      <c r="A428" s="1598" t="s">
        <v>2449</v>
      </c>
      <c r="B428" s="1599" t="s">
        <v>2240</v>
      </c>
      <c r="C428" s="1643" t="e">
        <f>+SUMIF(#REF!,Final!A428,#REF!)</f>
        <v>#REF!</v>
      </c>
      <c r="D428" s="1597" t="e">
        <f>+SUMIF(#REF!,Final!A428,#REF!)</f>
        <v>#REF!</v>
      </c>
      <c r="E428" s="1643" t="e">
        <f>SUMIF(#REF!,Final!A428,#REF!)</f>
        <v>#REF!</v>
      </c>
      <c r="F428" s="1644" t="e">
        <f>SUMIF(#REF!,Final!A428,#REF!)</f>
        <v>#REF!</v>
      </c>
      <c r="G428" s="1597" t="e">
        <f t="shared" si="24"/>
        <v>#REF!</v>
      </c>
      <c r="H428" s="1644" t="e">
        <f t="shared" si="25"/>
        <v>#REF!</v>
      </c>
      <c r="I428" s="1597" t="e">
        <f t="shared" si="26"/>
        <v>#REF!</v>
      </c>
      <c r="J428" s="1644" t="e">
        <f t="shared" si="27"/>
        <v>#REF!</v>
      </c>
      <c r="M428" s="1545"/>
      <c r="N428" s="1545"/>
    </row>
    <row r="429" spans="1:93" ht="15.5">
      <c r="A429" s="1598" t="s">
        <v>2450</v>
      </c>
      <c r="B429" s="1599" t="s">
        <v>2242</v>
      </c>
      <c r="C429" s="1643" t="e">
        <f>+SUMIF(#REF!,Final!A429,#REF!)</f>
        <v>#REF!</v>
      </c>
      <c r="D429" s="1597" t="e">
        <f>+SUMIF(#REF!,Final!A429,#REF!)</f>
        <v>#REF!</v>
      </c>
      <c r="E429" s="1643" t="e">
        <f>SUMIF(#REF!,Final!A429,#REF!)</f>
        <v>#REF!</v>
      </c>
      <c r="F429" s="1644" t="e">
        <f>SUMIF(#REF!,Final!A429,#REF!)</f>
        <v>#REF!</v>
      </c>
      <c r="G429" s="1597" t="e">
        <f t="shared" si="24"/>
        <v>#REF!</v>
      </c>
      <c r="H429" s="1644" t="e">
        <f t="shared" si="25"/>
        <v>#REF!</v>
      </c>
      <c r="I429" s="1597" t="e">
        <f t="shared" si="26"/>
        <v>#REF!</v>
      </c>
      <c r="J429" s="1644" t="e">
        <f t="shared" si="27"/>
        <v>#REF!</v>
      </c>
      <c r="M429" s="1545"/>
      <c r="N429" s="1545"/>
    </row>
    <row r="430" spans="1:93" ht="15.5">
      <c r="A430" s="1598" t="s">
        <v>2451</v>
      </c>
      <c r="B430" s="1599" t="s">
        <v>2246</v>
      </c>
      <c r="C430" s="1643" t="e">
        <f>+SUMIF(#REF!,Final!A430,#REF!)</f>
        <v>#REF!</v>
      </c>
      <c r="D430" s="1597" t="e">
        <f>+SUMIF(#REF!,Final!A430,#REF!)</f>
        <v>#REF!</v>
      </c>
      <c r="E430" s="1643" t="e">
        <f>SUMIF(#REF!,Final!A430,#REF!)</f>
        <v>#REF!</v>
      </c>
      <c r="F430" s="1644" t="e">
        <f>SUMIF(#REF!,Final!A430,#REF!)</f>
        <v>#REF!</v>
      </c>
      <c r="G430" s="1597" t="e">
        <f t="shared" si="24"/>
        <v>#REF!</v>
      </c>
      <c r="H430" s="1644" t="e">
        <f t="shared" si="25"/>
        <v>#REF!</v>
      </c>
      <c r="I430" s="1597" t="e">
        <f t="shared" si="26"/>
        <v>#REF!</v>
      </c>
      <c r="J430" s="1644" t="e">
        <f t="shared" si="27"/>
        <v>#REF!</v>
      </c>
      <c r="M430" s="1545"/>
      <c r="N430" s="1545"/>
    </row>
    <row r="431" spans="1:93" s="1542" customFormat="1" ht="15.5">
      <c r="A431" s="1598" t="s">
        <v>2452</v>
      </c>
      <c r="B431" s="1599" t="s">
        <v>2244</v>
      </c>
      <c r="C431" s="1643" t="e">
        <f>+SUMIF(#REF!,Final!A431,#REF!)</f>
        <v>#REF!</v>
      </c>
      <c r="D431" s="1597" t="e">
        <f>+SUMIF(#REF!,Final!A431,#REF!)</f>
        <v>#REF!</v>
      </c>
      <c r="E431" s="1643" t="e">
        <f>SUMIF(#REF!,Final!A431,#REF!)</f>
        <v>#REF!</v>
      </c>
      <c r="F431" s="1644" t="e">
        <f>SUMIF(#REF!,Final!A431,#REF!)</f>
        <v>#REF!</v>
      </c>
      <c r="G431" s="1597" t="e">
        <f t="shared" si="24"/>
        <v>#REF!</v>
      </c>
      <c r="H431" s="1644" t="e">
        <f t="shared" si="25"/>
        <v>#REF!</v>
      </c>
      <c r="I431" s="1597" t="e">
        <f t="shared" si="26"/>
        <v>#REF!</v>
      </c>
      <c r="J431" s="1644" t="e">
        <f t="shared" si="27"/>
        <v>#REF!</v>
      </c>
      <c r="K431" s="1539"/>
      <c r="L431" s="1539"/>
      <c r="M431" s="1545"/>
      <c r="N431" s="1545"/>
      <c r="O431" s="1539"/>
      <c r="P431" s="1539"/>
      <c r="Q431" s="1539"/>
      <c r="R431" s="1539"/>
      <c r="S431" s="1539"/>
      <c r="T431" s="1539"/>
      <c r="U431" s="1539"/>
      <c r="V431" s="1539"/>
      <c r="W431" s="1539"/>
      <c r="X431" s="1539"/>
      <c r="Y431" s="1539"/>
      <c r="Z431" s="1539"/>
      <c r="AA431" s="1539"/>
      <c r="AB431" s="1539"/>
      <c r="AC431" s="1539"/>
      <c r="AD431" s="1539"/>
      <c r="AE431" s="1539"/>
      <c r="AF431" s="1539"/>
      <c r="AG431" s="1539"/>
      <c r="AH431" s="1539"/>
      <c r="AI431" s="1539"/>
      <c r="AJ431" s="1539"/>
      <c r="AK431" s="1539"/>
      <c r="AL431" s="1539"/>
      <c r="AM431" s="1539"/>
      <c r="AN431" s="1539"/>
      <c r="AO431" s="1539"/>
      <c r="AP431" s="1539"/>
      <c r="AQ431" s="1539"/>
      <c r="AR431" s="1539"/>
      <c r="AS431" s="1539"/>
      <c r="AT431" s="1539"/>
      <c r="AU431" s="1539"/>
      <c r="AV431" s="1539"/>
      <c r="AW431" s="1539"/>
      <c r="AX431" s="1539"/>
      <c r="AY431" s="1539"/>
      <c r="AZ431" s="1539"/>
      <c r="BA431" s="1539"/>
      <c r="BB431" s="1539"/>
      <c r="BC431" s="1539"/>
      <c r="BD431" s="1539"/>
      <c r="BE431" s="1539"/>
      <c r="BF431" s="1539"/>
      <c r="BG431" s="1539"/>
      <c r="BH431" s="1539"/>
      <c r="BI431" s="1539"/>
      <c r="BJ431" s="1539"/>
      <c r="BK431" s="1539"/>
      <c r="BL431" s="1539"/>
      <c r="BM431" s="1539"/>
      <c r="BN431" s="1539"/>
      <c r="BO431" s="1539"/>
      <c r="BP431" s="1539"/>
      <c r="BQ431" s="1539"/>
      <c r="BR431" s="1539"/>
      <c r="BS431" s="1539"/>
      <c r="BT431" s="1539"/>
      <c r="BU431" s="1539"/>
      <c r="BV431" s="1539"/>
      <c r="BW431" s="1539"/>
      <c r="BX431" s="1539"/>
      <c r="BY431" s="1539"/>
      <c r="BZ431" s="1539"/>
      <c r="CA431" s="1539"/>
      <c r="CB431" s="1539"/>
      <c r="CC431" s="1539"/>
      <c r="CD431" s="1539"/>
      <c r="CE431" s="1539"/>
      <c r="CF431" s="1539"/>
      <c r="CG431" s="1539"/>
      <c r="CH431" s="1539"/>
      <c r="CI431" s="1539"/>
      <c r="CJ431" s="1539"/>
      <c r="CK431" s="1539"/>
      <c r="CL431" s="1539"/>
      <c r="CM431" s="1539"/>
      <c r="CN431" s="1539"/>
      <c r="CO431" s="1539"/>
    </row>
    <row r="432" spans="1:93" s="1542" customFormat="1" ht="15.5">
      <c r="A432" s="1598" t="s">
        <v>2453</v>
      </c>
      <c r="B432" s="1599" t="s">
        <v>2254</v>
      </c>
      <c r="C432" s="1643" t="e">
        <f>+SUMIF(#REF!,Final!A432,#REF!)</f>
        <v>#REF!</v>
      </c>
      <c r="D432" s="1597" t="e">
        <f>+SUMIF(#REF!,Final!A432,#REF!)</f>
        <v>#REF!</v>
      </c>
      <c r="E432" s="1643" t="e">
        <f>SUMIF(#REF!,Final!A432,#REF!)</f>
        <v>#REF!</v>
      </c>
      <c r="F432" s="1644" t="e">
        <f>SUMIF(#REF!,Final!A432,#REF!)</f>
        <v>#REF!</v>
      </c>
      <c r="G432" s="1597" t="e">
        <f t="shared" si="24"/>
        <v>#REF!</v>
      </c>
      <c r="H432" s="1644" t="e">
        <f t="shared" si="25"/>
        <v>#REF!</v>
      </c>
      <c r="I432" s="1597" t="e">
        <f t="shared" si="26"/>
        <v>#REF!</v>
      </c>
      <c r="J432" s="1644" t="e">
        <f t="shared" si="27"/>
        <v>#REF!</v>
      </c>
      <c r="K432" s="1539"/>
      <c r="L432" s="1539"/>
      <c r="M432" s="1545"/>
      <c r="N432" s="1545"/>
      <c r="O432" s="1539"/>
      <c r="P432" s="1539"/>
      <c r="Q432" s="1539"/>
      <c r="R432" s="1539"/>
      <c r="S432" s="1539"/>
      <c r="T432" s="1539"/>
      <c r="U432" s="1539"/>
      <c r="V432" s="1539"/>
      <c r="W432" s="1539"/>
      <c r="X432" s="1539"/>
      <c r="Y432" s="1539"/>
      <c r="Z432" s="1539"/>
      <c r="AA432" s="1539"/>
      <c r="AB432" s="1539"/>
      <c r="AC432" s="1539"/>
      <c r="AD432" s="1539"/>
      <c r="AE432" s="1539"/>
      <c r="AF432" s="1539"/>
      <c r="AG432" s="1539"/>
      <c r="AH432" s="1539"/>
      <c r="AI432" s="1539"/>
      <c r="AJ432" s="1539"/>
      <c r="AK432" s="1539"/>
      <c r="AL432" s="1539"/>
      <c r="AM432" s="1539"/>
      <c r="AN432" s="1539"/>
      <c r="AO432" s="1539"/>
      <c r="AP432" s="1539"/>
      <c r="AQ432" s="1539"/>
      <c r="AR432" s="1539"/>
      <c r="AS432" s="1539"/>
      <c r="AT432" s="1539"/>
      <c r="AU432" s="1539"/>
      <c r="AV432" s="1539"/>
      <c r="AW432" s="1539"/>
      <c r="AX432" s="1539"/>
      <c r="AY432" s="1539"/>
      <c r="AZ432" s="1539"/>
      <c r="BA432" s="1539"/>
      <c r="BB432" s="1539"/>
      <c r="BC432" s="1539"/>
      <c r="BD432" s="1539"/>
      <c r="BE432" s="1539"/>
      <c r="BF432" s="1539"/>
      <c r="BG432" s="1539"/>
      <c r="BH432" s="1539"/>
      <c r="BI432" s="1539"/>
      <c r="BJ432" s="1539"/>
      <c r="BK432" s="1539"/>
      <c r="BL432" s="1539"/>
      <c r="BM432" s="1539"/>
      <c r="BN432" s="1539"/>
      <c r="BO432" s="1539"/>
      <c r="BP432" s="1539"/>
      <c r="BQ432" s="1539"/>
      <c r="BR432" s="1539"/>
      <c r="BS432" s="1539"/>
      <c r="BT432" s="1539"/>
      <c r="BU432" s="1539"/>
      <c r="BV432" s="1539"/>
      <c r="BW432" s="1539"/>
      <c r="BX432" s="1539"/>
      <c r="BY432" s="1539"/>
      <c r="BZ432" s="1539"/>
      <c r="CA432" s="1539"/>
      <c r="CB432" s="1539"/>
      <c r="CC432" s="1539"/>
      <c r="CD432" s="1539"/>
      <c r="CE432" s="1539"/>
      <c r="CF432" s="1539"/>
      <c r="CG432" s="1539"/>
      <c r="CH432" s="1539"/>
      <c r="CI432" s="1539"/>
      <c r="CJ432" s="1539"/>
      <c r="CK432" s="1539"/>
      <c r="CL432" s="1539"/>
      <c r="CM432" s="1539"/>
      <c r="CN432" s="1539"/>
      <c r="CO432" s="1539"/>
    </row>
    <row r="433" spans="1:14" ht="15.5">
      <c r="A433" s="1598" t="s">
        <v>2454</v>
      </c>
      <c r="B433" s="1599" t="s">
        <v>2256</v>
      </c>
      <c r="C433" s="1643" t="e">
        <f>+SUMIF(#REF!,Final!A433,#REF!)</f>
        <v>#REF!</v>
      </c>
      <c r="D433" s="1597" t="e">
        <f>+SUMIF(#REF!,Final!A433,#REF!)</f>
        <v>#REF!</v>
      </c>
      <c r="E433" s="1643" t="e">
        <f>SUMIF(#REF!,Final!A433,#REF!)</f>
        <v>#REF!</v>
      </c>
      <c r="F433" s="1644" t="e">
        <f>SUMIF(#REF!,Final!A433,#REF!)</f>
        <v>#REF!</v>
      </c>
      <c r="G433" s="1597" t="e">
        <f t="shared" si="24"/>
        <v>#REF!</v>
      </c>
      <c r="H433" s="1644" t="e">
        <f t="shared" si="25"/>
        <v>#REF!</v>
      </c>
      <c r="I433" s="1597" t="e">
        <f t="shared" si="26"/>
        <v>#REF!</v>
      </c>
      <c r="J433" s="1644" t="e">
        <f t="shared" si="27"/>
        <v>#REF!</v>
      </c>
      <c r="M433" s="1545"/>
      <c r="N433" s="1545"/>
    </row>
    <row r="434" spans="1:14" ht="15.5">
      <c r="A434" s="1603" t="s">
        <v>1410</v>
      </c>
      <c r="B434" s="1696" t="s">
        <v>4775</v>
      </c>
      <c r="C434" s="1643" t="e">
        <f>+SUMIF(#REF!,Final!A434,#REF!)</f>
        <v>#REF!</v>
      </c>
      <c r="D434" s="1597" t="e">
        <f>+SUMIF(#REF!,Final!A434,#REF!)</f>
        <v>#REF!</v>
      </c>
      <c r="E434" s="1643" t="e">
        <f>SUMIF(#REF!,Final!A434,#REF!)</f>
        <v>#REF!</v>
      </c>
      <c r="F434" s="1644" t="e">
        <f>SUMIF(#REF!,Final!A434,#REF!)</f>
        <v>#REF!</v>
      </c>
      <c r="G434" s="1597" t="e">
        <f t="shared" si="24"/>
        <v>#REF!</v>
      </c>
      <c r="H434" s="1644" t="e">
        <f t="shared" si="25"/>
        <v>#REF!</v>
      </c>
      <c r="I434" s="1597" t="e">
        <f t="shared" si="26"/>
        <v>#REF!</v>
      </c>
      <c r="J434" s="1644" t="e">
        <f t="shared" si="27"/>
        <v>#REF!</v>
      </c>
      <c r="M434" s="1545"/>
      <c r="N434" s="1545"/>
    </row>
    <row r="435" spans="1:14" ht="15.5">
      <c r="A435" s="1678" t="s">
        <v>4804</v>
      </c>
      <c r="B435" s="1697" t="s">
        <v>4805</v>
      </c>
      <c r="C435" s="1643" t="e">
        <f>+SUMIF(#REF!,Final!A435,#REF!)</f>
        <v>#REF!</v>
      </c>
      <c r="D435" s="1597" t="e">
        <f>+SUMIF(#REF!,Final!A435,#REF!)</f>
        <v>#REF!</v>
      </c>
      <c r="E435" s="1643" t="e">
        <f>SUMIF(#REF!,Final!A435,#REF!)</f>
        <v>#REF!</v>
      </c>
      <c r="F435" s="1644" t="e">
        <f>SUMIF(#REF!,Final!A435,#REF!)</f>
        <v>#REF!</v>
      </c>
      <c r="G435" s="1597" t="e">
        <f t="shared" si="24"/>
        <v>#REF!</v>
      </c>
      <c r="H435" s="1644" t="e">
        <f t="shared" si="25"/>
        <v>#REF!</v>
      </c>
      <c r="I435" s="1597" t="e">
        <f t="shared" si="26"/>
        <v>#REF!</v>
      </c>
      <c r="J435" s="1644" t="e">
        <f t="shared" si="27"/>
        <v>#REF!</v>
      </c>
      <c r="M435" s="1545"/>
      <c r="N435" s="1545"/>
    </row>
    <row r="436" spans="1:14" ht="15.5">
      <c r="A436" s="1678" t="s">
        <v>4806</v>
      </c>
      <c r="B436" s="1697" t="s">
        <v>4807</v>
      </c>
      <c r="C436" s="1643" t="e">
        <f>+SUMIF(#REF!,Final!A436,#REF!)</f>
        <v>#REF!</v>
      </c>
      <c r="D436" s="1597" t="e">
        <f>+SUMIF(#REF!,Final!A436,#REF!)</f>
        <v>#REF!</v>
      </c>
      <c r="E436" s="1643" t="e">
        <f>SUMIF(#REF!,Final!A436,#REF!)</f>
        <v>#REF!</v>
      </c>
      <c r="F436" s="1644" t="e">
        <f>SUMIF(#REF!,Final!A436,#REF!)</f>
        <v>#REF!</v>
      </c>
      <c r="G436" s="1597" t="e">
        <f t="shared" si="24"/>
        <v>#REF!</v>
      </c>
      <c r="H436" s="1644" t="e">
        <f t="shared" si="25"/>
        <v>#REF!</v>
      </c>
      <c r="I436" s="1597" t="e">
        <f t="shared" si="26"/>
        <v>#REF!</v>
      </c>
      <c r="J436" s="1644" t="e">
        <f t="shared" si="27"/>
        <v>#REF!</v>
      </c>
      <c r="M436" s="1545"/>
      <c r="N436" s="1545"/>
    </row>
    <row r="437" spans="1:14" ht="15.5">
      <c r="A437" s="1678" t="s">
        <v>4808</v>
      </c>
      <c r="B437" s="1697" t="s">
        <v>4809</v>
      </c>
      <c r="C437" s="1643" t="e">
        <f>+SUMIF(#REF!,Final!A437,#REF!)</f>
        <v>#REF!</v>
      </c>
      <c r="D437" s="1597" t="e">
        <f>+SUMIF(#REF!,Final!A437,#REF!)</f>
        <v>#REF!</v>
      </c>
      <c r="E437" s="1643" t="e">
        <f>SUMIF(#REF!,Final!A437,#REF!)</f>
        <v>#REF!</v>
      </c>
      <c r="F437" s="1644" t="e">
        <f>SUMIF(#REF!,Final!A437,#REF!)</f>
        <v>#REF!</v>
      </c>
      <c r="G437" s="1597" t="e">
        <f t="shared" si="24"/>
        <v>#REF!</v>
      </c>
      <c r="H437" s="1644" t="e">
        <f t="shared" si="25"/>
        <v>#REF!</v>
      </c>
      <c r="I437" s="1597" t="e">
        <f t="shared" si="26"/>
        <v>#REF!</v>
      </c>
      <c r="J437" s="1644" t="e">
        <f t="shared" si="27"/>
        <v>#REF!</v>
      </c>
      <c r="M437" s="1545"/>
      <c r="N437" s="1545"/>
    </row>
    <row r="438" spans="1:14" ht="15.5">
      <c r="A438" s="1678" t="s">
        <v>4810</v>
      </c>
      <c r="B438" s="1697" t="s">
        <v>4811</v>
      </c>
      <c r="C438" s="1643" t="e">
        <f>+SUMIF(#REF!,Final!A438,#REF!)</f>
        <v>#REF!</v>
      </c>
      <c r="D438" s="1597" t="e">
        <f>+SUMIF(#REF!,Final!A438,#REF!)</f>
        <v>#REF!</v>
      </c>
      <c r="E438" s="1643" t="e">
        <f>SUMIF(#REF!,Final!A438,#REF!)</f>
        <v>#REF!</v>
      </c>
      <c r="F438" s="1644" t="e">
        <f>SUMIF(#REF!,Final!A438,#REF!)</f>
        <v>#REF!</v>
      </c>
      <c r="G438" s="1597" t="e">
        <f t="shared" si="24"/>
        <v>#REF!</v>
      </c>
      <c r="H438" s="1644" t="e">
        <f t="shared" si="25"/>
        <v>#REF!</v>
      </c>
      <c r="I438" s="1597" t="e">
        <f t="shared" si="26"/>
        <v>#REF!</v>
      </c>
      <c r="J438" s="1644" t="e">
        <f t="shared" si="27"/>
        <v>#REF!</v>
      </c>
      <c r="M438" s="1545"/>
      <c r="N438" s="1545"/>
    </row>
    <row r="439" spans="1:14" ht="15.5">
      <c r="A439" s="1678" t="s">
        <v>4812</v>
      </c>
      <c r="B439" s="1697" t="s">
        <v>4813</v>
      </c>
      <c r="C439" s="1643" t="e">
        <f>+SUMIF(#REF!,Final!A439,#REF!)</f>
        <v>#REF!</v>
      </c>
      <c r="D439" s="1597" t="e">
        <f>+SUMIF(#REF!,Final!A439,#REF!)</f>
        <v>#REF!</v>
      </c>
      <c r="E439" s="1643" t="e">
        <f>SUMIF(#REF!,Final!A439,#REF!)</f>
        <v>#REF!</v>
      </c>
      <c r="F439" s="1644" t="e">
        <f>SUMIF(#REF!,Final!A439,#REF!)</f>
        <v>#REF!</v>
      </c>
      <c r="G439" s="1597" t="e">
        <f t="shared" si="24"/>
        <v>#REF!</v>
      </c>
      <c r="H439" s="1644" t="e">
        <f t="shared" si="25"/>
        <v>#REF!</v>
      </c>
      <c r="I439" s="1597" t="e">
        <f t="shared" si="26"/>
        <v>#REF!</v>
      </c>
      <c r="J439" s="1644" t="e">
        <f t="shared" si="27"/>
        <v>#REF!</v>
      </c>
      <c r="M439" s="1545"/>
      <c r="N439" s="1545"/>
    </row>
    <row r="440" spans="1:14" ht="15.5">
      <c r="A440" s="1678" t="s">
        <v>4814</v>
      </c>
      <c r="B440" s="1697" t="s">
        <v>4815</v>
      </c>
      <c r="C440" s="1643" t="e">
        <f>+SUMIF(#REF!,Final!A440,#REF!)</f>
        <v>#REF!</v>
      </c>
      <c r="D440" s="1597" t="e">
        <f>+SUMIF(#REF!,Final!A440,#REF!)</f>
        <v>#REF!</v>
      </c>
      <c r="E440" s="1643" t="e">
        <f>SUMIF(#REF!,Final!A440,#REF!)</f>
        <v>#REF!</v>
      </c>
      <c r="F440" s="1644" t="e">
        <f>SUMIF(#REF!,Final!A440,#REF!)</f>
        <v>#REF!</v>
      </c>
      <c r="G440" s="1597" t="e">
        <f t="shared" si="24"/>
        <v>#REF!</v>
      </c>
      <c r="H440" s="1644" t="e">
        <f t="shared" si="25"/>
        <v>#REF!</v>
      </c>
      <c r="I440" s="1597" t="e">
        <f t="shared" si="26"/>
        <v>#REF!</v>
      </c>
      <c r="J440" s="1644" t="e">
        <f t="shared" si="27"/>
        <v>#REF!</v>
      </c>
      <c r="M440" s="1545"/>
      <c r="N440" s="1545"/>
    </row>
    <row r="441" spans="1:14" ht="15.5">
      <c r="A441" s="1678" t="s">
        <v>4816</v>
      </c>
      <c r="B441" s="1697" t="s">
        <v>4817</v>
      </c>
      <c r="C441" s="1643" t="e">
        <f>+SUMIF(#REF!,Final!A441,#REF!)</f>
        <v>#REF!</v>
      </c>
      <c r="D441" s="1597" t="e">
        <f>+SUMIF(#REF!,Final!A441,#REF!)</f>
        <v>#REF!</v>
      </c>
      <c r="E441" s="1643" t="e">
        <f>SUMIF(#REF!,Final!A441,#REF!)</f>
        <v>#REF!</v>
      </c>
      <c r="F441" s="1644" t="e">
        <f>SUMIF(#REF!,Final!A441,#REF!)</f>
        <v>#REF!</v>
      </c>
      <c r="G441" s="1597" t="e">
        <f t="shared" si="24"/>
        <v>#REF!</v>
      </c>
      <c r="H441" s="1644" t="e">
        <f t="shared" si="25"/>
        <v>#REF!</v>
      </c>
      <c r="I441" s="1597" t="e">
        <f t="shared" si="26"/>
        <v>#REF!</v>
      </c>
      <c r="J441" s="1644" t="e">
        <f t="shared" si="27"/>
        <v>#REF!</v>
      </c>
      <c r="M441" s="1545"/>
      <c r="N441" s="1545"/>
    </row>
    <row r="442" spans="1:14" ht="15.5">
      <c r="A442" s="1678" t="s">
        <v>4818</v>
      </c>
      <c r="B442" s="1697" t="s">
        <v>4819</v>
      </c>
      <c r="C442" s="1643" t="e">
        <f>+SUMIF(#REF!,Final!A442,#REF!)</f>
        <v>#REF!</v>
      </c>
      <c r="D442" s="1597" t="e">
        <f>+SUMIF(#REF!,Final!A442,#REF!)</f>
        <v>#REF!</v>
      </c>
      <c r="E442" s="1643" t="e">
        <f>SUMIF(#REF!,Final!A442,#REF!)</f>
        <v>#REF!</v>
      </c>
      <c r="F442" s="1644" t="e">
        <f>SUMIF(#REF!,Final!A442,#REF!)</f>
        <v>#REF!</v>
      </c>
      <c r="G442" s="1597" t="e">
        <f t="shared" si="24"/>
        <v>#REF!</v>
      </c>
      <c r="H442" s="1644" t="e">
        <f t="shared" si="25"/>
        <v>#REF!</v>
      </c>
      <c r="I442" s="1597" t="e">
        <f t="shared" si="26"/>
        <v>#REF!</v>
      </c>
      <c r="J442" s="1644" t="e">
        <f t="shared" si="27"/>
        <v>#REF!</v>
      </c>
      <c r="M442" s="1545"/>
      <c r="N442" s="1545"/>
    </row>
    <row r="443" spans="1:14" ht="15.5">
      <c r="A443" s="1678" t="s">
        <v>4820</v>
      </c>
      <c r="B443" s="1697" t="s">
        <v>4821</v>
      </c>
      <c r="C443" s="1643" t="e">
        <f>+SUMIF(#REF!,Final!A443,#REF!)</f>
        <v>#REF!</v>
      </c>
      <c r="D443" s="1597" t="e">
        <f>+SUMIF(#REF!,Final!A443,#REF!)</f>
        <v>#REF!</v>
      </c>
      <c r="E443" s="1643" t="e">
        <f>SUMIF(#REF!,Final!A443,#REF!)</f>
        <v>#REF!</v>
      </c>
      <c r="F443" s="1644" t="e">
        <f>SUMIF(#REF!,Final!A443,#REF!)</f>
        <v>#REF!</v>
      </c>
      <c r="G443" s="1597" t="e">
        <f t="shared" si="24"/>
        <v>#REF!</v>
      </c>
      <c r="H443" s="1644" t="e">
        <f t="shared" si="25"/>
        <v>#REF!</v>
      </c>
      <c r="I443" s="1597" t="e">
        <f t="shared" si="26"/>
        <v>#REF!</v>
      </c>
      <c r="J443" s="1644" t="e">
        <f t="shared" si="27"/>
        <v>#REF!</v>
      </c>
      <c r="M443" s="1545"/>
      <c r="N443" s="1545"/>
    </row>
    <row r="444" spans="1:14" ht="15.5">
      <c r="A444" s="1678" t="s">
        <v>4822</v>
      </c>
      <c r="B444" s="1697" t="s">
        <v>4823</v>
      </c>
      <c r="C444" s="1643" t="e">
        <f>+SUMIF(#REF!,Final!A444,#REF!)</f>
        <v>#REF!</v>
      </c>
      <c r="D444" s="1597" t="e">
        <f>+SUMIF(#REF!,Final!A444,#REF!)</f>
        <v>#REF!</v>
      </c>
      <c r="E444" s="1643" t="e">
        <f>SUMIF(#REF!,Final!A444,#REF!)</f>
        <v>#REF!</v>
      </c>
      <c r="F444" s="1644" t="e">
        <f>SUMIF(#REF!,Final!A444,#REF!)</f>
        <v>#REF!</v>
      </c>
      <c r="G444" s="1597" t="e">
        <f t="shared" si="24"/>
        <v>#REF!</v>
      </c>
      <c r="H444" s="1644" t="e">
        <f t="shared" si="25"/>
        <v>#REF!</v>
      </c>
      <c r="I444" s="1597" t="e">
        <f t="shared" si="26"/>
        <v>#REF!</v>
      </c>
      <c r="J444" s="1644" t="e">
        <f t="shared" si="27"/>
        <v>#REF!</v>
      </c>
      <c r="M444" s="1545"/>
      <c r="N444" s="1545"/>
    </row>
    <row r="445" spans="1:14" ht="15.5">
      <c r="A445" s="1678" t="s">
        <v>4824</v>
      </c>
      <c r="B445" s="1697" t="s">
        <v>4825</v>
      </c>
      <c r="C445" s="1643" t="e">
        <f>+SUMIF(#REF!,Final!A445,#REF!)</f>
        <v>#REF!</v>
      </c>
      <c r="D445" s="1597" t="e">
        <f>+SUMIF(#REF!,Final!A445,#REF!)</f>
        <v>#REF!</v>
      </c>
      <c r="E445" s="1643" t="e">
        <f>SUMIF(#REF!,Final!A445,#REF!)</f>
        <v>#REF!</v>
      </c>
      <c r="F445" s="1644" t="e">
        <f>SUMIF(#REF!,Final!A445,#REF!)</f>
        <v>#REF!</v>
      </c>
      <c r="G445" s="1597" t="e">
        <f t="shared" si="24"/>
        <v>#REF!</v>
      </c>
      <c r="H445" s="1644" t="e">
        <f t="shared" si="25"/>
        <v>#REF!</v>
      </c>
      <c r="I445" s="1597" t="e">
        <f t="shared" si="26"/>
        <v>#REF!</v>
      </c>
      <c r="J445" s="1644" t="e">
        <f t="shared" si="27"/>
        <v>#REF!</v>
      </c>
      <c r="M445" s="1545"/>
      <c r="N445" s="1545"/>
    </row>
    <row r="446" spans="1:14" ht="15.5">
      <c r="A446" s="1678" t="s">
        <v>4826</v>
      </c>
      <c r="B446" s="1697" t="s">
        <v>4827</v>
      </c>
      <c r="C446" s="1643" t="e">
        <f>+SUMIF(#REF!,Final!A446,#REF!)</f>
        <v>#REF!</v>
      </c>
      <c r="D446" s="1597" t="e">
        <f>+SUMIF(#REF!,Final!A446,#REF!)</f>
        <v>#REF!</v>
      </c>
      <c r="E446" s="1643" t="e">
        <f>SUMIF(#REF!,Final!A446,#REF!)</f>
        <v>#REF!</v>
      </c>
      <c r="F446" s="1644" t="e">
        <f>SUMIF(#REF!,Final!A446,#REF!)</f>
        <v>#REF!</v>
      </c>
      <c r="G446" s="1597" t="e">
        <f t="shared" si="24"/>
        <v>#REF!</v>
      </c>
      <c r="H446" s="1644" t="e">
        <f t="shared" si="25"/>
        <v>#REF!</v>
      </c>
      <c r="I446" s="1597" t="e">
        <f t="shared" si="26"/>
        <v>#REF!</v>
      </c>
      <c r="J446" s="1644" t="e">
        <f t="shared" si="27"/>
        <v>#REF!</v>
      </c>
      <c r="M446" s="1545"/>
      <c r="N446" s="1545"/>
    </row>
    <row r="447" spans="1:14" ht="15.5">
      <c r="A447" s="1678" t="s">
        <v>4828</v>
      </c>
      <c r="B447" s="1697" t="s">
        <v>4829</v>
      </c>
      <c r="C447" s="1643" t="e">
        <f>+SUMIF(#REF!,Final!A447,#REF!)</f>
        <v>#REF!</v>
      </c>
      <c r="D447" s="1597" t="e">
        <f>+SUMIF(#REF!,Final!A447,#REF!)</f>
        <v>#REF!</v>
      </c>
      <c r="E447" s="1643" t="e">
        <f>SUMIF(#REF!,Final!A447,#REF!)</f>
        <v>#REF!</v>
      </c>
      <c r="F447" s="1644" t="e">
        <f>SUMIF(#REF!,Final!A447,#REF!)</f>
        <v>#REF!</v>
      </c>
      <c r="G447" s="1597" t="e">
        <f t="shared" si="24"/>
        <v>#REF!</v>
      </c>
      <c r="H447" s="1644" t="e">
        <f t="shared" si="25"/>
        <v>#REF!</v>
      </c>
      <c r="I447" s="1597" t="e">
        <f t="shared" si="26"/>
        <v>#REF!</v>
      </c>
      <c r="J447" s="1644" t="e">
        <f t="shared" si="27"/>
        <v>#REF!</v>
      </c>
      <c r="M447" s="1545"/>
      <c r="N447" s="1545"/>
    </row>
    <row r="448" spans="1:14" ht="15.5">
      <c r="A448" s="1678" t="s">
        <v>4830</v>
      </c>
      <c r="B448" s="1697" t="s">
        <v>4831</v>
      </c>
      <c r="C448" s="1643" t="e">
        <f>+SUMIF(#REF!,Final!A448,#REF!)</f>
        <v>#REF!</v>
      </c>
      <c r="D448" s="1597" t="e">
        <f>+SUMIF(#REF!,Final!A448,#REF!)</f>
        <v>#REF!</v>
      </c>
      <c r="E448" s="1643" t="e">
        <f>SUMIF(#REF!,Final!A448,#REF!)</f>
        <v>#REF!</v>
      </c>
      <c r="F448" s="1644" t="e">
        <f>SUMIF(#REF!,Final!A448,#REF!)</f>
        <v>#REF!</v>
      </c>
      <c r="G448" s="1597" t="e">
        <f t="shared" si="24"/>
        <v>#REF!</v>
      </c>
      <c r="H448" s="1644" t="e">
        <f t="shared" si="25"/>
        <v>#REF!</v>
      </c>
      <c r="I448" s="1597" t="e">
        <f t="shared" si="26"/>
        <v>#REF!</v>
      </c>
      <c r="J448" s="1644" t="e">
        <f t="shared" si="27"/>
        <v>#REF!</v>
      </c>
      <c r="M448" s="1545"/>
      <c r="N448" s="1545"/>
    </row>
    <row r="449" spans="1:14" ht="15.5">
      <c r="A449" s="1678" t="s">
        <v>4832</v>
      </c>
      <c r="B449" s="1697" t="s">
        <v>4833</v>
      </c>
      <c r="C449" s="1643" t="e">
        <f>+SUMIF(#REF!,Final!A449,#REF!)</f>
        <v>#REF!</v>
      </c>
      <c r="D449" s="1597" t="e">
        <f>+SUMIF(#REF!,Final!A449,#REF!)</f>
        <v>#REF!</v>
      </c>
      <c r="E449" s="1643" t="e">
        <f>SUMIF(#REF!,Final!A449,#REF!)</f>
        <v>#REF!</v>
      </c>
      <c r="F449" s="1644" t="e">
        <f>SUMIF(#REF!,Final!A449,#REF!)</f>
        <v>#REF!</v>
      </c>
      <c r="G449" s="1597" t="e">
        <f t="shared" si="24"/>
        <v>#REF!</v>
      </c>
      <c r="H449" s="1644" t="e">
        <f t="shared" si="25"/>
        <v>#REF!</v>
      </c>
      <c r="I449" s="1597" t="e">
        <f t="shared" si="26"/>
        <v>#REF!</v>
      </c>
      <c r="J449" s="1644" t="e">
        <f t="shared" si="27"/>
        <v>#REF!</v>
      </c>
      <c r="M449" s="1545"/>
      <c r="N449" s="1545"/>
    </row>
    <row r="450" spans="1:14" ht="17.5">
      <c r="A450" s="1678" t="s">
        <v>4834</v>
      </c>
      <c r="B450" s="1698" t="s">
        <v>4835</v>
      </c>
      <c r="C450" s="1643" t="e">
        <f>+SUMIF(#REF!,Final!A450,#REF!)</f>
        <v>#REF!</v>
      </c>
      <c r="D450" s="1597" t="e">
        <f>+SUMIF(#REF!,Final!A450,#REF!)</f>
        <v>#REF!</v>
      </c>
      <c r="E450" s="1643" t="e">
        <f>SUMIF(#REF!,Final!A450,#REF!)</f>
        <v>#REF!</v>
      </c>
      <c r="F450" s="1644" t="e">
        <f>SUMIF(#REF!,Final!A450,#REF!)</f>
        <v>#REF!</v>
      </c>
      <c r="G450" s="1597" t="e">
        <f t="shared" si="24"/>
        <v>#REF!</v>
      </c>
      <c r="H450" s="1644" t="e">
        <f t="shared" si="25"/>
        <v>#REF!</v>
      </c>
      <c r="I450" s="1597" t="e">
        <f t="shared" si="26"/>
        <v>#REF!</v>
      </c>
      <c r="J450" s="1644" t="e">
        <f t="shared" si="27"/>
        <v>#REF!</v>
      </c>
      <c r="M450" s="1545"/>
      <c r="N450" s="1545"/>
    </row>
    <row r="451" spans="1:14" ht="15.5">
      <c r="A451" s="1678" t="s">
        <v>4836</v>
      </c>
      <c r="B451" s="1697" t="s">
        <v>4837</v>
      </c>
      <c r="C451" s="1643" t="e">
        <f>+SUMIF(#REF!,Final!A451,#REF!)</f>
        <v>#REF!</v>
      </c>
      <c r="D451" s="1597" t="e">
        <f>+SUMIF(#REF!,Final!A451,#REF!)</f>
        <v>#REF!</v>
      </c>
      <c r="E451" s="1643" t="e">
        <f>SUMIF(#REF!,Final!A451,#REF!)</f>
        <v>#REF!</v>
      </c>
      <c r="F451" s="1644" t="e">
        <f>SUMIF(#REF!,Final!A451,#REF!)</f>
        <v>#REF!</v>
      </c>
      <c r="G451" s="1597" t="e">
        <f t="shared" si="24"/>
        <v>#REF!</v>
      </c>
      <c r="H451" s="1644" t="e">
        <f t="shared" si="25"/>
        <v>#REF!</v>
      </c>
      <c r="I451" s="1597" t="e">
        <f t="shared" si="26"/>
        <v>#REF!</v>
      </c>
      <c r="J451" s="1644" t="e">
        <f t="shared" si="27"/>
        <v>#REF!</v>
      </c>
      <c r="M451" s="1545"/>
      <c r="N451" s="1545"/>
    </row>
    <row r="452" spans="1:14" ht="15.5">
      <c r="A452" s="1678" t="s">
        <v>4838</v>
      </c>
      <c r="B452" s="1697" t="s">
        <v>4839</v>
      </c>
      <c r="C452" s="1643" t="e">
        <f>+SUMIF(#REF!,Final!A452,#REF!)</f>
        <v>#REF!</v>
      </c>
      <c r="D452" s="1597" t="e">
        <f>+SUMIF(#REF!,Final!A452,#REF!)</f>
        <v>#REF!</v>
      </c>
      <c r="E452" s="1643" t="e">
        <f>SUMIF(#REF!,Final!A452,#REF!)</f>
        <v>#REF!</v>
      </c>
      <c r="F452" s="1644" t="e">
        <f>SUMIF(#REF!,Final!A452,#REF!)</f>
        <v>#REF!</v>
      </c>
      <c r="G452" s="1597" t="e">
        <f t="shared" si="24"/>
        <v>#REF!</v>
      </c>
      <c r="H452" s="1644" t="e">
        <f t="shared" si="25"/>
        <v>#REF!</v>
      </c>
      <c r="I452" s="1597" t="e">
        <f t="shared" si="26"/>
        <v>#REF!</v>
      </c>
      <c r="J452" s="1644" t="e">
        <f t="shared" si="27"/>
        <v>#REF!</v>
      </c>
      <c r="M452" s="1545"/>
      <c r="N452" s="1545"/>
    </row>
    <row r="453" spans="1:14" ht="15.5">
      <c r="A453" s="1678" t="s">
        <v>4840</v>
      </c>
      <c r="B453" s="1697" t="s">
        <v>4841</v>
      </c>
      <c r="C453" s="1643" t="e">
        <f>+SUMIF(#REF!,Final!A453,#REF!)</f>
        <v>#REF!</v>
      </c>
      <c r="D453" s="1597" t="e">
        <f>+SUMIF(#REF!,Final!A453,#REF!)</f>
        <v>#REF!</v>
      </c>
      <c r="E453" s="1643" t="e">
        <f>SUMIF(#REF!,Final!A453,#REF!)</f>
        <v>#REF!</v>
      </c>
      <c r="F453" s="1644" t="e">
        <f>SUMIF(#REF!,Final!A453,#REF!)</f>
        <v>#REF!</v>
      </c>
      <c r="G453" s="1597" t="e">
        <f t="shared" si="24"/>
        <v>#REF!</v>
      </c>
      <c r="H453" s="1644" t="e">
        <f t="shared" si="25"/>
        <v>#REF!</v>
      </c>
      <c r="I453" s="1597" t="e">
        <f t="shared" si="26"/>
        <v>#REF!</v>
      </c>
      <c r="J453" s="1644" t="e">
        <f t="shared" si="27"/>
        <v>#REF!</v>
      </c>
      <c r="M453" s="1545"/>
      <c r="N453" s="1545"/>
    </row>
    <row r="454" spans="1:14" ht="15.5">
      <c r="A454" s="1678" t="s">
        <v>4842</v>
      </c>
      <c r="B454" s="1697" t="s">
        <v>4843</v>
      </c>
      <c r="C454" s="1643" t="e">
        <f>+SUMIF(#REF!,Final!A454,#REF!)</f>
        <v>#REF!</v>
      </c>
      <c r="D454" s="1597" t="e">
        <f>+SUMIF(#REF!,Final!A454,#REF!)</f>
        <v>#REF!</v>
      </c>
      <c r="E454" s="1643" t="e">
        <f>SUMIF(#REF!,Final!A454,#REF!)</f>
        <v>#REF!</v>
      </c>
      <c r="F454" s="1644" t="e">
        <f>SUMIF(#REF!,Final!A454,#REF!)</f>
        <v>#REF!</v>
      </c>
      <c r="G454" s="1597" t="e">
        <f t="shared" si="24"/>
        <v>#REF!</v>
      </c>
      <c r="H454" s="1644" t="e">
        <f t="shared" si="25"/>
        <v>#REF!</v>
      </c>
      <c r="I454" s="1597" t="e">
        <f t="shared" si="26"/>
        <v>#REF!</v>
      </c>
      <c r="J454" s="1644" t="e">
        <f t="shared" si="27"/>
        <v>#REF!</v>
      </c>
      <c r="M454" s="1545"/>
      <c r="N454" s="1545"/>
    </row>
    <row r="455" spans="1:14" ht="15.5">
      <c r="A455" s="1678" t="s">
        <v>4844</v>
      </c>
      <c r="B455" s="1699" t="s">
        <v>4845</v>
      </c>
      <c r="C455" s="1643" t="e">
        <f>+SUMIF(#REF!,Final!A455,#REF!)</f>
        <v>#REF!</v>
      </c>
      <c r="D455" s="1597" t="e">
        <f>+SUMIF(#REF!,Final!A455,#REF!)</f>
        <v>#REF!</v>
      </c>
      <c r="E455" s="1643" t="e">
        <f>SUMIF(#REF!,Final!A455,#REF!)</f>
        <v>#REF!</v>
      </c>
      <c r="F455" s="1644" t="e">
        <f>SUMIF(#REF!,Final!A455,#REF!)</f>
        <v>#REF!</v>
      </c>
      <c r="G455" s="1597" t="e">
        <f t="shared" si="24"/>
        <v>#REF!</v>
      </c>
      <c r="H455" s="1644" t="e">
        <f t="shared" si="25"/>
        <v>#REF!</v>
      </c>
      <c r="I455" s="1597" t="e">
        <f t="shared" si="26"/>
        <v>#REF!</v>
      </c>
      <c r="J455" s="1644" t="e">
        <f t="shared" si="27"/>
        <v>#REF!</v>
      </c>
      <c r="M455" s="1545"/>
      <c r="N455" s="1545"/>
    </row>
    <row r="456" spans="1:14" ht="15.5">
      <c r="A456" s="1678" t="s">
        <v>4846</v>
      </c>
      <c r="B456" s="1699" t="s">
        <v>4847</v>
      </c>
      <c r="C456" s="1643" t="e">
        <f>+SUMIF(#REF!,Final!A456,#REF!)</f>
        <v>#REF!</v>
      </c>
      <c r="D456" s="1597" t="e">
        <f>+SUMIF(#REF!,Final!A456,#REF!)</f>
        <v>#REF!</v>
      </c>
      <c r="E456" s="1643" t="e">
        <f>SUMIF(#REF!,Final!A456,#REF!)</f>
        <v>#REF!</v>
      </c>
      <c r="F456" s="1644" t="e">
        <f>SUMIF(#REF!,Final!A456,#REF!)</f>
        <v>#REF!</v>
      </c>
      <c r="G456" s="1597" t="e">
        <f t="shared" ref="G456:G519" si="28">C456+E456</f>
        <v>#REF!</v>
      </c>
      <c r="H456" s="1644" t="e">
        <f t="shared" ref="H456:H519" si="29">D456+F456</f>
        <v>#REF!</v>
      </c>
      <c r="I456" s="1597" t="e">
        <f t="shared" ref="I456:I519" si="30">IF(G456&gt;H456,G456-H456,0)</f>
        <v>#REF!</v>
      </c>
      <c r="J456" s="1644" t="e">
        <f t="shared" ref="J456:J519" si="31">IF(H456&gt;G456,H456-G456,0)</f>
        <v>#REF!</v>
      </c>
      <c r="M456" s="1545"/>
      <c r="N456" s="1545"/>
    </row>
    <row r="457" spans="1:14" ht="15.5">
      <c r="A457" s="1678" t="s">
        <v>4848</v>
      </c>
      <c r="B457" s="1699" t="s">
        <v>4849</v>
      </c>
      <c r="C457" s="1643" t="e">
        <f>+SUMIF(#REF!,Final!A457,#REF!)</f>
        <v>#REF!</v>
      </c>
      <c r="D457" s="1597" t="e">
        <f>+SUMIF(#REF!,Final!A457,#REF!)</f>
        <v>#REF!</v>
      </c>
      <c r="E457" s="1643" t="e">
        <f>SUMIF(#REF!,Final!A457,#REF!)</f>
        <v>#REF!</v>
      </c>
      <c r="F457" s="1644" t="e">
        <f>SUMIF(#REF!,Final!A457,#REF!)</f>
        <v>#REF!</v>
      </c>
      <c r="G457" s="1597" t="e">
        <f t="shared" si="28"/>
        <v>#REF!</v>
      </c>
      <c r="H457" s="1644" t="e">
        <f t="shared" si="29"/>
        <v>#REF!</v>
      </c>
      <c r="I457" s="1597" t="e">
        <f t="shared" si="30"/>
        <v>#REF!</v>
      </c>
      <c r="J457" s="1644" t="e">
        <f t="shared" si="31"/>
        <v>#REF!</v>
      </c>
      <c r="M457" s="1545"/>
      <c r="N457" s="1545"/>
    </row>
    <row r="458" spans="1:14" ht="15.5">
      <c r="A458" s="1678" t="s">
        <v>4850</v>
      </c>
      <c r="B458" s="1699" t="s">
        <v>4851</v>
      </c>
      <c r="C458" s="1643" t="e">
        <f>+SUMIF(#REF!,Final!A458,#REF!)</f>
        <v>#REF!</v>
      </c>
      <c r="D458" s="1597" t="e">
        <f>+SUMIF(#REF!,Final!A458,#REF!)</f>
        <v>#REF!</v>
      </c>
      <c r="E458" s="1643" t="e">
        <f>SUMIF(#REF!,Final!A458,#REF!)</f>
        <v>#REF!</v>
      </c>
      <c r="F458" s="1644" t="e">
        <f>SUMIF(#REF!,Final!A458,#REF!)</f>
        <v>#REF!</v>
      </c>
      <c r="G458" s="1597" t="e">
        <f t="shared" si="28"/>
        <v>#REF!</v>
      </c>
      <c r="H458" s="1644" t="e">
        <f t="shared" si="29"/>
        <v>#REF!</v>
      </c>
      <c r="I458" s="1597" t="e">
        <f t="shared" si="30"/>
        <v>#REF!</v>
      </c>
      <c r="J458" s="1644" t="e">
        <f t="shared" si="31"/>
        <v>#REF!</v>
      </c>
      <c r="M458" s="1545"/>
      <c r="N458" s="1545"/>
    </row>
    <row r="459" spans="1:14" ht="15.5">
      <c r="A459" s="1678" t="s">
        <v>4852</v>
      </c>
      <c r="B459" s="1697" t="s">
        <v>4853</v>
      </c>
      <c r="C459" s="1643" t="e">
        <f>+SUMIF(#REF!,Final!A459,#REF!)</f>
        <v>#REF!</v>
      </c>
      <c r="D459" s="1597" t="e">
        <f>+SUMIF(#REF!,Final!A459,#REF!)</f>
        <v>#REF!</v>
      </c>
      <c r="E459" s="1643" t="e">
        <f>SUMIF(#REF!,Final!A459,#REF!)</f>
        <v>#REF!</v>
      </c>
      <c r="F459" s="1644" t="e">
        <f>SUMIF(#REF!,Final!A459,#REF!)</f>
        <v>#REF!</v>
      </c>
      <c r="G459" s="1597" t="e">
        <f t="shared" si="28"/>
        <v>#REF!</v>
      </c>
      <c r="H459" s="1644" t="e">
        <f t="shared" si="29"/>
        <v>#REF!</v>
      </c>
      <c r="I459" s="1597" t="e">
        <f t="shared" si="30"/>
        <v>#REF!</v>
      </c>
      <c r="J459" s="1644" t="e">
        <f t="shared" si="31"/>
        <v>#REF!</v>
      </c>
      <c r="M459" s="1545"/>
      <c r="N459" s="1545"/>
    </row>
    <row r="460" spans="1:14" ht="15.5">
      <c r="A460" s="1678" t="s">
        <v>4854</v>
      </c>
      <c r="B460" s="1697" t="s">
        <v>4855</v>
      </c>
      <c r="C460" s="1643" t="e">
        <f>+SUMIF(#REF!,Final!A460,#REF!)</f>
        <v>#REF!</v>
      </c>
      <c r="D460" s="1597" t="e">
        <f>+SUMIF(#REF!,Final!A460,#REF!)</f>
        <v>#REF!</v>
      </c>
      <c r="E460" s="1643" t="e">
        <f>SUMIF(#REF!,Final!A460,#REF!)</f>
        <v>#REF!</v>
      </c>
      <c r="F460" s="1644" t="e">
        <f>SUMIF(#REF!,Final!A460,#REF!)</f>
        <v>#REF!</v>
      </c>
      <c r="G460" s="1597" t="e">
        <f t="shared" si="28"/>
        <v>#REF!</v>
      </c>
      <c r="H460" s="1644" t="e">
        <f t="shared" si="29"/>
        <v>#REF!</v>
      </c>
      <c r="I460" s="1597" t="e">
        <f t="shared" si="30"/>
        <v>#REF!</v>
      </c>
      <c r="J460" s="1644" t="e">
        <f t="shared" si="31"/>
        <v>#REF!</v>
      </c>
      <c r="M460" s="1545"/>
      <c r="N460" s="1545"/>
    </row>
    <row r="461" spans="1:14" ht="15.5">
      <c r="A461" s="1678" t="s">
        <v>4856</v>
      </c>
      <c r="B461" s="1697" t="s">
        <v>4857</v>
      </c>
      <c r="C461" s="1643" t="e">
        <f>+SUMIF(#REF!,Final!A461,#REF!)</f>
        <v>#REF!</v>
      </c>
      <c r="D461" s="1597" t="e">
        <f>+SUMIF(#REF!,Final!A461,#REF!)</f>
        <v>#REF!</v>
      </c>
      <c r="E461" s="1643" t="e">
        <f>SUMIF(#REF!,Final!A461,#REF!)</f>
        <v>#REF!</v>
      </c>
      <c r="F461" s="1644" t="e">
        <f>SUMIF(#REF!,Final!A461,#REF!)</f>
        <v>#REF!</v>
      </c>
      <c r="G461" s="1597" t="e">
        <f t="shared" si="28"/>
        <v>#REF!</v>
      </c>
      <c r="H461" s="1644" t="e">
        <f t="shared" si="29"/>
        <v>#REF!</v>
      </c>
      <c r="I461" s="1597" t="e">
        <f t="shared" si="30"/>
        <v>#REF!</v>
      </c>
      <c r="J461" s="1644" t="e">
        <f t="shared" si="31"/>
        <v>#REF!</v>
      </c>
      <c r="M461" s="1545"/>
      <c r="N461" s="1545"/>
    </row>
    <row r="462" spans="1:14" ht="15.5">
      <c r="A462" s="1678" t="s">
        <v>4858</v>
      </c>
      <c r="B462" s="1697" t="s">
        <v>4859</v>
      </c>
      <c r="C462" s="1643" t="e">
        <f>+SUMIF(#REF!,Final!A462,#REF!)</f>
        <v>#REF!</v>
      </c>
      <c r="D462" s="1597" t="e">
        <f>+SUMIF(#REF!,Final!A462,#REF!)</f>
        <v>#REF!</v>
      </c>
      <c r="E462" s="1643" t="e">
        <f>SUMIF(#REF!,Final!A462,#REF!)</f>
        <v>#REF!</v>
      </c>
      <c r="F462" s="1644" t="e">
        <f>SUMIF(#REF!,Final!A462,#REF!)</f>
        <v>#REF!</v>
      </c>
      <c r="G462" s="1597" t="e">
        <f t="shared" si="28"/>
        <v>#REF!</v>
      </c>
      <c r="H462" s="1644" t="e">
        <f t="shared" si="29"/>
        <v>#REF!</v>
      </c>
      <c r="I462" s="1597" t="e">
        <f t="shared" si="30"/>
        <v>#REF!</v>
      </c>
      <c r="J462" s="1644" t="e">
        <f t="shared" si="31"/>
        <v>#REF!</v>
      </c>
      <c r="M462" s="1545"/>
      <c r="N462" s="1545"/>
    </row>
    <row r="463" spans="1:14" ht="15.5">
      <c r="A463" s="1678" t="s">
        <v>4860</v>
      </c>
      <c r="B463" s="1697" t="s">
        <v>4861</v>
      </c>
      <c r="C463" s="1643" t="e">
        <f>+SUMIF(#REF!,Final!A463,#REF!)</f>
        <v>#REF!</v>
      </c>
      <c r="D463" s="1597" t="e">
        <f>+SUMIF(#REF!,Final!A463,#REF!)</f>
        <v>#REF!</v>
      </c>
      <c r="E463" s="1643" t="e">
        <f>SUMIF(#REF!,Final!A463,#REF!)</f>
        <v>#REF!</v>
      </c>
      <c r="F463" s="1644" t="e">
        <f>SUMIF(#REF!,Final!A463,#REF!)</f>
        <v>#REF!</v>
      </c>
      <c r="G463" s="1597" t="e">
        <f t="shared" si="28"/>
        <v>#REF!</v>
      </c>
      <c r="H463" s="1644" t="e">
        <f t="shared" si="29"/>
        <v>#REF!</v>
      </c>
      <c r="I463" s="1597" t="e">
        <f t="shared" si="30"/>
        <v>#REF!</v>
      </c>
      <c r="J463" s="1644" t="e">
        <f t="shared" si="31"/>
        <v>#REF!</v>
      </c>
      <c r="M463" s="1545"/>
      <c r="N463" s="1545"/>
    </row>
    <row r="464" spans="1:14" ht="15.5">
      <c r="A464" s="1678" t="s">
        <v>4776</v>
      </c>
      <c r="B464" s="1697" t="s">
        <v>4862</v>
      </c>
      <c r="C464" s="1643" t="e">
        <f>+SUMIF(#REF!,Final!A464,#REF!)</f>
        <v>#REF!</v>
      </c>
      <c r="D464" s="1597" t="e">
        <f>+SUMIF(#REF!,Final!A464,#REF!)</f>
        <v>#REF!</v>
      </c>
      <c r="E464" s="1643" t="e">
        <f>SUMIF(#REF!,Final!A464,#REF!)</f>
        <v>#REF!</v>
      </c>
      <c r="F464" s="1644" t="e">
        <f>SUMIF(#REF!,Final!A464,#REF!)</f>
        <v>#REF!</v>
      </c>
      <c r="G464" s="1597" t="e">
        <f t="shared" si="28"/>
        <v>#REF!</v>
      </c>
      <c r="H464" s="1644" t="e">
        <f t="shared" si="29"/>
        <v>#REF!</v>
      </c>
      <c r="I464" s="1597" t="e">
        <f t="shared" si="30"/>
        <v>#REF!</v>
      </c>
      <c r="J464" s="1644" t="e">
        <f t="shared" si="31"/>
        <v>#REF!</v>
      </c>
      <c r="M464" s="1545"/>
      <c r="N464" s="1545"/>
    </row>
    <row r="465" spans="1:93" ht="15.5">
      <c r="A465" s="1678" t="s">
        <v>4863</v>
      </c>
      <c r="B465" s="1697" t="s">
        <v>4864</v>
      </c>
      <c r="C465" s="1643" t="e">
        <f>+SUMIF(#REF!,Final!A465,#REF!)</f>
        <v>#REF!</v>
      </c>
      <c r="D465" s="1597" t="e">
        <f>+SUMIF(#REF!,Final!A465,#REF!)</f>
        <v>#REF!</v>
      </c>
      <c r="E465" s="1643" t="e">
        <f>SUMIF(#REF!,Final!A465,#REF!)</f>
        <v>#REF!</v>
      </c>
      <c r="F465" s="1644" t="e">
        <f>SUMIF(#REF!,Final!A465,#REF!)</f>
        <v>#REF!</v>
      </c>
      <c r="G465" s="1597" t="e">
        <f t="shared" si="28"/>
        <v>#REF!</v>
      </c>
      <c r="H465" s="1644" t="e">
        <f t="shared" si="29"/>
        <v>#REF!</v>
      </c>
      <c r="I465" s="1597" t="e">
        <f t="shared" si="30"/>
        <v>#REF!</v>
      </c>
      <c r="J465" s="1644" t="e">
        <f t="shared" si="31"/>
        <v>#REF!</v>
      </c>
      <c r="M465" s="1545"/>
      <c r="N465" s="1545"/>
    </row>
    <row r="466" spans="1:93" ht="15.5">
      <c r="A466" s="1678" t="s">
        <v>4865</v>
      </c>
      <c r="B466" s="1697" t="s">
        <v>4866</v>
      </c>
      <c r="C466" s="1643" t="e">
        <f>+SUMIF(#REF!,Final!A466,#REF!)</f>
        <v>#REF!</v>
      </c>
      <c r="D466" s="1597" t="e">
        <f>+SUMIF(#REF!,Final!A466,#REF!)</f>
        <v>#REF!</v>
      </c>
      <c r="E466" s="1643" t="e">
        <f>SUMIF(#REF!,Final!A466,#REF!)</f>
        <v>#REF!</v>
      </c>
      <c r="F466" s="1644" t="e">
        <f>SUMIF(#REF!,Final!A466,#REF!)</f>
        <v>#REF!</v>
      </c>
      <c r="G466" s="1597" t="e">
        <f t="shared" si="28"/>
        <v>#REF!</v>
      </c>
      <c r="H466" s="1644" t="e">
        <f t="shared" si="29"/>
        <v>#REF!</v>
      </c>
      <c r="I466" s="1597" t="e">
        <f t="shared" si="30"/>
        <v>#REF!</v>
      </c>
      <c r="J466" s="1644" t="e">
        <f t="shared" si="31"/>
        <v>#REF!</v>
      </c>
      <c r="M466" s="1545"/>
      <c r="N466" s="1545"/>
    </row>
    <row r="467" spans="1:93" ht="15.5">
      <c r="A467" s="1678" t="s">
        <v>4867</v>
      </c>
      <c r="B467" s="1697" t="s">
        <v>4868</v>
      </c>
      <c r="C467" s="1643" t="e">
        <f>+SUMIF(#REF!,Final!A467,#REF!)</f>
        <v>#REF!</v>
      </c>
      <c r="D467" s="1597" t="e">
        <f>+SUMIF(#REF!,Final!A467,#REF!)</f>
        <v>#REF!</v>
      </c>
      <c r="E467" s="1643" t="e">
        <f>SUMIF(#REF!,Final!A467,#REF!)</f>
        <v>#REF!</v>
      </c>
      <c r="F467" s="1644" t="e">
        <f>SUMIF(#REF!,Final!A467,#REF!)</f>
        <v>#REF!</v>
      </c>
      <c r="G467" s="1597" t="e">
        <f t="shared" si="28"/>
        <v>#REF!</v>
      </c>
      <c r="H467" s="1644" t="e">
        <f t="shared" si="29"/>
        <v>#REF!</v>
      </c>
      <c r="I467" s="1597" t="e">
        <f t="shared" si="30"/>
        <v>#REF!</v>
      </c>
      <c r="J467" s="1644" t="e">
        <f t="shared" si="31"/>
        <v>#REF!</v>
      </c>
      <c r="M467" s="1545"/>
      <c r="N467" s="1545"/>
    </row>
    <row r="468" spans="1:93" ht="15.5">
      <c r="A468" s="1678" t="s">
        <v>4869</v>
      </c>
      <c r="B468" s="1697" t="s">
        <v>4870</v>
      </c>
      <c r="C468" s="1643" t="e">
        <f>+SUMIF(#REF!,Final!A468,#REF!)</f>
        <v>#REF!</v>
      </c>
      <c r="D468" s="1597" t="e">
        <f>+SUMIF(#REF!,Final!A468,#REF!)</f>
        <v>#REF!</v>
      </c>
      <c r="E468" s="1643" t="e">
        <f>SUMIF(#REF!,Final!A468,#REF!)</f>
        <v>#REF!</v>
      </c>
      <c r="F468" s="1644" t="e">
        <f>SUMIF(#REF!,Final!A468,#REF!)</f>
        <v>#REF!</v>
      </c>
      <c r="G468" s="1597" t="e">
        <f t="shared" si="28"/>
        <v>#REF!</v>
      </c>
      <c r="H468" s="1644" t="e">
        <f t="shared" si="29"/>
        <v>#REF!</v>
      </c>
      <c r="I468" s="1597" t="e">
        <f t="shared" si="30"/>
        <v>#REF!</v>
      </c>
      <c r="J468" s="1644" t="e">
        <f t="shared" si="31"/>
        <v>#REF!</v>
      </c>
      <c r="M468" s="1545"/>
      <c r="N468" s="1545"/>
    </row>
    <row r="469" spans="1:93" s="1542" customFormat="1" ht="15.5">
      <c r="A469" s="1598" t="s">
        <v>1410</v>
      </c>
      <c r="B469" s="1599" t="s">
        <v>2455</v>
      </c>
      <c r="C469" s="1643" t="e">
        <f>+SUMIF(#REF!,Final!A469,#REF!)</f>
        <v>#REF!</v>
      </c>
      <c r="D469" s="1597" t="e">
        <f>+SUMIF(#REF!,Final!A469,#REF!)</f>
        <v>#REF!</v>
      </c>
      <c r="E469" s="1643" t="e">
        <f>SUMIF(#REF!,Final!A469,#REF!)</f>
        <v>#REF!</v>
      </c>
      <c r="F469" s="1644" t="e">
        <f>SUMIF(#REF!,Final!A469,#REF!)</f>
        <v>#REF!</v>
      </c>
      <c r="G469" s="1597" t="e">
        <f t="shared" si="28"/>
        <v>#REF!</v>
      </c>
      <c r="H469" s="1644" t="e">
        <f t="shared" si="29"/>
        <v>#REF!</v>
      </c>
      <c r="I469" s="1597" t="e">
        <f t="shared" si="30"/>
        <v>#REF!</v>
      </c>
      <c r="J469" s="1644" t="e">
        <f t="shared" si="31"/>
        <v>#REF!</v>
      </c>
      <c r="K469" s="1539"/>
      <c r="L469" s="1539"/>
      <c r="M469" s="1545"/>
      <c r="N469" s="1545"/>
      <c r="O469" s="1539"/>
      <c r="P469" s="1539"/>
      <c r="Q469" s="1539"/>
      <c r="R469" s="1539"/>
      <c r="S469" s="1539"/>
      <c r="T469" s="1539"/>
      <c r="U469" s="1539"/>
      <c r="V469" s="1539"/>
      <c r="W469" s="1539"/>
      <c r="X469" s="1539"/>
      <c r="Y469" s="1539"/>
      <c r="Z469" s="1539"/>
      <c r="AA469" s="1539"/>
      <c r="AB469" s="1539"/>
      <c r="AC469" s="1539"/>
      <c r="AD469" s="1539"/>
      <c r="AE469" s="1539"/>
      <c r="AF469" s="1539"/>
      <c r="AG469" s="1539"/>
      <c r="AH469" s="1539"/>
      <c r="AI469" s="1539"/>
      <c r="AJ469" s="1539"/>
      <c r="AK469" s="1539"/>
      <c r="AL469" s="1539"/>
      <c r="AM469" s="1539"/>
      <c r="AN469" s="1539"/>
      <c r="AO469" s="1539"/>
      <c r="AP469" s="1539"/>
      <c r="AQ469" s="1539"/>
      <c r="AR469" s="1539"/>
      <c r="AS469" s="1539"/>
      <c r="AT469" s="1539"/>
      <c r="AU469" s="1539"/>
      <c r="AV469" s="1539"/>
      <c r="AW469" s="1539"/>
      <c r="AX469" s="1539"/>
      <c r="AY469" s="1539"/>
      <c r="AZ469" s="1539"/>
      <c r="BA469" s="1539"/>
      <c r="BB469" s="1539"/>
      <c r="BC469" s="1539"/>
      <c r="BD469" s="1539"/>
      <c r="BE469" s="1539"/>
      <c r="BF469" s="1539"/>
      <c r="BG469" s="1539"/>
      <c r="BH469" s="1539"/>
      <c r="BI469" s="1539"/>
      <c r="BJ469" s="1539"/>
      <c r="BK469" s="1539"/>
      <c r="BL469" s="1539"/>
      <c r="BM469" s="1539"/>
      <c r="BN469" s="1539"/>
      <c r="BO469" s="1539"/>
      <c r="BP469" s="1539"/>
      <c r="BQ469" s="1539"/>
      <c r="BR469" s="1539"/>
      <c r="BS469" s="1539"/>
      <c r="BT469" s="1539"/>
      <c r="BU469" s="1539"/>
      <c r="BV469" s="1539"/>
      <c r="BW469" s="1539"/>
      <c r="BX469" s="1539"/>
      <c r="BY469" s="1539"/>
      <c r="BZ469" s="1539"/>
      <c r="CA469" s="1539"/>
      <c r="CB469" s="1539"/>
      <c r="CC469" s="1539"/>
      <c r="CD469" s="1539"/>
      <c r="CE469" s="1539"/>
      <c r="CF469" s="1539"/>
      <c r="CG469" s="1539"/>
      <c r="CH469" s="1539"/>
      <c r="CI469" s="1539"/>
      <c r="CJ469" s="1539"/>
      <c r="CK469" s="1539"/>
      <c r="CL469" s="1539"/>
      <c r="CM469" s="1539"/>
      <c r="CN469" s="1539"/>
      <c r="CO469" s="1539"/>
    </row>
    <row r="470" spans="1:93" s="1542" customFormat="1" ht="15.5">
      <c r="A470" s="1598" t="s">
        <v>2456</v>
      </c>
      <c r="B470" s="1599" t="s">
        <v>2152</v>
      </c>
      <c r="C470" s="1643" t="e">
        <f>+SUMIF(#REF!,Final!A470,#REF!)</f>
        <v>#REF!</v>
      </c>
      <c r="D470" s="1597" t="e">
        <f>+SUMIF(#REF!,Final!A470,#REF!)</f>
        <v>#REF!</v>
      </c>
      <c r="E470" s="1643" t="e">
        <f>SUMIF(#REF!,Final!A470,#REF!)</f>
        <v>#REF!</v>
      </c>
      <c r="F470" s="1644" t="e">
        <f>SUMIF(#REF!,Final!A470,#REF!)</f>
        <v>#REF!</v>
      </c>
      <c r="G470" s="1597" t="e">
        <f t="shared" si="28"/>
        <v>#REF!</v>
      </c>
      <c r="H470" s="1644" t="e">
        <f t="shared" si="29"/>
        <v>#REF!</v>
      </c>
      <c r="I470" s="1597" t="e">
        <f t="shared" si="30"/>
        <v>#REF!</v>
      </c>
      <c r="J470" s="1644" t="e">
        <f t="shared" si="31"/>
        <v>#REF!</v>
      </c>
      <c r="K470" s="1539"/>
      <c r="L470" s="1539"/>
      <c r="M470" s="1545"/>
      <c r="N470" s="1545"/>
      <c r="O470" s="1539"/>
      <c r="P470" s="1539"/>
      <c r="Q470" s="1539"/>
      <c r="R470" s="1539"/>
      <c r="S470" s="1539"/>
      <c r="T470" s="1539"/>
      <c r="U470" s="1539"/>
      <c r="V470" s="1539"/>
      <c r="W470" s="1539"/>
      <c r="X470" s="1539"/>
      <c r="Y470" s="1539"/>
      <c r="Z470" s="1539"/>
      <c r="AA470" s="1539"/>
      <c r="AB470" s="1539"/>
      <c r="AC470" s="1539"/>
      <c r="AD470" s="1539"/>
      <c r="AE470" s="1539"/>
      <c r="AF470" s="1539"/>
      <c r="AG470" s="1539"/>
      <c r="AH470" s="1539"/>
      <c r="AI470" s="1539"/>
      <c r="AJ470" s="1539"/>
      <c r="AK470" s="1539"/>
      <c r="AL470" s="1539"/>
      <c r="AM470" s="1539"/>
      <c r="AN470" s="1539"/>
      <c r="AO470" s="1539"/>
      <c r="AP470" s="1539"/>
      <c r="AQ470" s="1539"/>
      <c r="AR470" s="1539"/>
      <c r="AS470" s="1539"/>
      <c r="AT470" s="1539"/>
      <c r="AU470" s="1539"/>
      <c r="AV470" s="1539"/>
      <c r="AW470" s="1539"/>
      <c r="AX470" s="1539"/>
      <c r="AY470" s="1539"/>
      <c r="AZ470" s="1539"/>
      <c r="BA470" s="1539"/>
      <c r="BB470" s="1539"/>
      <c r="BC470" s="1539"/>
      <c r="BD470" s="1539"/>
      <c r="BE470" s="1539"/>
      <c r="BF470" s="1539"/>
      <c r="BG470" s="1539"/>
      <c r="BH470" s="1539"/>
      <c r="BI470" s="1539"/>
      <c r="BJ470" s="1539"/>
      <c r="BK470" s="1539"/>
      <c r="BL470" s="1539"/>
      <c r="BM470" s="1539"/>
      <c r="BN470" s="1539"/>
      <c r="BO470" s="1539"/>
      <c r="BP470" s="1539"/>
      <c r="BQ470" s="1539"/>
      <c r="BR470" s="1539"/>
      <c r="BS470" s="1539"/>
      <c r="BT470" s="1539"/>
      <c r="BU470" s="1539"/>
      <c r="BV470" s="1539"/>
      <c r="BW470" s="1539"/>
      <c r="BX470" s="1539"/>
      <c r="BY470" s="1539"/>
      <c r="BZ470" s="1539"/>
      <c r="CA470" s="1539"/>
      <c r="CB470" s="1539"/>
      <c r="CC470" s="1539"/>
      <c r="CD470" s="1539"/>
      <c r="CE470" s="1539"/>
      <c r="CF470" s="1539"/>
      <c r="CG470" s="1539"/>
      <c r="CH470" s="1539"/>
      <c r="CI470" s="1539"/>
      <c r="CJ470" s="1539"/>
      <c r="CK470" s="1539"/>
      <c r="CL470" s="1539"/>
      <c r="CM470" s="1539"/>
      <c r="CN470" s="1539"/>
      <c r="CO470" s="1539"/>
    </row>
    <row r="471" spans="1:93" ht="15.5">
      <c r="A471" s="1598" t="s">
        <v>2457</v>
      </c>
      <c r="B471" s="1599" t="s">
        <v>2154</v>
      </c>
      <c r="C471" s="1643" t="e">
        <f>+SUMIF(#REF!,Final!A471,#REF!)</f>
        <v>#REF!</v>
      </c>
      <c r="D471" s="1597" t="e">
        <f>+SUMIF(#REF!,Final!A471,#REF!)</f>
        <v>#REF!</v>
      </c>
      <c r="E471" s="1643" t="e">
        <f>SUMIF(#REF!,Final!A471,#REF!)</f>
        <v>#REF!</v>
      </c>
      <c r="F471" s="1644" t="e">
        <f>SUMIF(#REF!,Final!A471,#REF!)</f>
        <v>#REF!</v>
      </c>
      <c r="G471" s="1597" t="e">
        <f t="shared" si="28"/>
        <v>#REF!</v>
      </c>
      <c r="H471" s="1644" t="e">
        <f t="shared" si="29"/>
        <v>#REF!</v>
      </c>
      <c r="I471" s="1597" t="e">
        <f t="shared" si="30"/>
        <v>#REF!</v>
      </c>
      <c r="J471" s="1644" t="e">
        <f t="shared" si="31"/>
        <v>#REF!</v>
      </c>
      <c r="M471" s="1545"/>
      <c r="N471" s="1545"/>
    </row>
    <row r="472" spans="1:93" s="1542" customFormat="1" ht="15.5">
      <c r="A472" s="1598" t="s">
        <v>2458</v>
      </c>
      <c r="B472" s="1599" t="s">
        <v>2156</v>
      </c>
      <c r="C472" s="1643" t="e">
        <f>+SUMIF(#REF!,Final!A472,#REF!)</f>
        <v>#REF!</v>
      </c>
      <c r="D472" s="1597" t="e">
        <f>+SUMIF(#REF!,Final!A472,#REF!)</f>
        <v>#REF!</v>
      </c>
      <c r="E472" s="1643" t="e">
        <f>SUMIF(#REF!,Final!A472,#REF!)</f>
        <v>#REF!</v>
      </c>
      <c r="F472" s="1644" t="e">
        <f>SUMIF(#REF!,Final!A472,#REF!)</f>
        <v>#REF!</v>
      </c>
      <c r="G472" s="1597" t="e">
        <f t="shared" si="28"/>
        <v>#REF!</v>
      </c>
      <c r="H472" s="1644" t="e">
        <f t="shared" si="29"/>
        <v>#REF!</v>
      </c>
      <c r="I472" s="1597" t="e">
        <f t="shared" si="30"/>
        <v>#REF!</v>
      </c>
      <c r="J472" s="1644" t="e">
        <f t="shared" si="31"/>
        <v>#REF!</v>
      </c>
      <c r="K472" s="1539"/>
      <c r="L472" s="1539"/>
      <c r="M472" s="1545"/>
      <c r="N472" s="1545"/>
      <c r="O472" s="1539"/>
      <c r="P472" s="1539"/>
      <c r="Q472" s="1539"/>
      <c r="R472" s="1539"/>
      <c r="S472" s="1539"/>
      <c r="T472" s="1539"/>
      <c r="U472" s="1539"/>
      <c r="V472" s="1539"/>
      <c r="W472" s="1539"/>
      <c r="X472" s="1539"/>
      <c r="Y472" s="1539"/>
      <c r="Z472" s="1539"/>
      <c r="AA472" s="1539"/>
      <c r="AB472" s="1539"/>
      <c r="AC472" s="1539"/>
      <c r="AD472" s="1539"/>
      <c r="AE472" s="1539"/>
      <c r="AF472" s="1539"/>
      <c r="AG472" s="1539"/>
      <c r="AH472" s="1539"/>
      <c r="AI472" s="1539"/>
      <c r="AJ472" s="1539"/>
      <c r="AK472" s="1539"/>
      <c r="AL472" s="1539"/>
      <c r="AM472" s="1539"/>
      <c r="AN472" s="1539"/>
      <c r="AO472" s="1539"/>
      <c r="AP472" s="1539"/>
      <c r="AQ472" s="1539"/>
      <c r="AR472" s="1539"/>
      <c r="AS472" s="1539"/>
      <c r="AT472" s="1539"/>
      <c r="AU472" s="1539"/>
      <c r="AV472" s="1539"/>
      <c r="AW472" s="1539"/>
      <c r="AX472" s="1539"/>
      <c r="AY472" s="1539"/>
      <c r="AZ472" s="1539"/>
      <c r="BA472" s="1539"/>
      <c r="BB472" s="1539"/>
      <c r="BC472" s="1539"/>
      <c r="BD472" s="1539"/>
      <c r="BE472" s="1539"/>
      <c r="BF472" s="1539"/>
      <c r="BG472" s="1539"/>
      <c r="BH472" s="1539"/>
      <c r="BI472" s="1539"/>
      <c r="BJ472" s="1539"/>
      <c r="BK472" s="1539"/>
      <c r="BL472" s="1539"/>
      <c r="BM472" s="1539"/>
      <c r="BN472" s="1539"/>
      <c r="BO472" s="1539"/>
      <c r="BP472" s="1539"/>
      <c r="BQ472" s="1539"/>
      <c r="BR472" s="1539"/>
      <c r="BS472" s="1539"/>
      <c r="BT472" s="1539"/>
      <c r="BU472" s="1539"/>
      <c r="BV472" s="1539"/>
      <c r="BW472" s="1539"/>
      <c r="BX472" s="1539"/>
      <c r="BY472" s="1539"/>
      <c r="BZ472" s="1539"/>
      <c r="CA472" s="1539"/>
      <c r="CB472" s="1539"/>
      <c r="CC472" s="1539"/>
      <c r="CD472" s="1539"/>
      <c r="CE472" s="1539"/>
      <c r="CF472" s="1539"/>
      <c r="CG472" s="1539"/>
      <c r="CH472" s="1539"/>
      <c r="CI472" s="1539"/>
      <c r="CJ472" s="1539"/>
      <c r="CK472" s="1539"/>
      <c r="CL472" s="1539"/>
      <c r="CM472" s="1539"/>
      <c r="CN472" s="1539"/>
      <c r="CO472" s="1539"/>
    </row>
    <row r="473" spans="1:93" s="1542" customFormat="1" ht="15.5">
      <c r="A473" s="1598" t="s">
        <v>2459</v>
      </c>
      <c r="B473" s="1599" t="s">
        <v>2219</v>
      </c>
      <c r="C473" s="1643" t="e">
        <f>+SUMIF(#REF!,Final!A473,#REF!)</f>
        <v>#REF!</v>
      </c>
      <c r="D473" s="1597" t="e">
        <f>+SUMIF(#REF!,Final!A473,#REF!)</f>
        <v>#REF!</v>
      </c>
      <c r="E473" s="1643" t="e">
        <f>SUMIF(#REF!,Final!A473,#REF!)</f>
        <v>#REF!</v>
      </c>
      <c r="F473" s="1644" t="e">
        <f>SUMIF(#REF!,Final!A473,#REF!)</f>
        <v>#REF!</v>
      </c>
      <c r="G473" s="1597" t="e">
        <f t="shared" si="28"/>
        <v>#REF!</v>
      </c>
      <c r="H473" s="1644" t="e">
        <f t="shared" si="29"/>
        <v>#REF!</v>
      </c>
      <c r="I473" s="1597" t="e">
        <f t="shared" si="30"/>
        <v>#REF!</v>
      </c>
      <c r="J473" s="1644" t="e">
        <f t="shared" si="31"/>
        <v>#REF!</v>
      </c>
      <c r="K473" s="1539"/>
      <c r="L473" s="1539"/>
      <c r="M473" s="1545"/>
      <c r="N473" s="1545"/>
      <c r="O473" s="1539"/>
      <c r="P473" s="1539"/>
      <c r="Q473" s="1539"/>
      <c r="R473" s="1539"/>
      <c r="S473" s="1539"/>
      <c r="T473" s="1539"/>
      <c r="U473" s="1539"/>
      <c r="V473" s="1539"/>
      <c r="W473" s="1539"/>
      <c r="X473" s="1539"/>
      <c r="Y473" s="1539"/>
      <c r="Z473" s="1539"/>
      <c r="AA473" s="1539"/>
      <c r="AB473" s="1539"/>
      <c r="AC473" s="1539"/>
      <c r="AD473" s="1539"/>
      <c r="AE473" s="1539"/>
      <c r="AF473" s="1539"/>
      <c r="AG473" s="1539"/>
      <c r="AH473" s="1539"/>
      <c r="AI473" s="1539"/>
      <c r="AJ473" s="1539"/>
      <c r="AK473" s="1539"/>
      <c r="AL473" s="1539"/>
      <c r="AM473" s="1539"/>
      <c r="AN473" s="1539"/>
      <c r="AO473" s="1539"/>
      <c r="AP473" s="1539"/>
      <c r="AQ473" s="1539"/>
      <c r="AR473" s="1539"/>
      <c r="AS473" s="1539"/>
      <c r="AT473" s="1539"/>
      <c r="AU473" s="1539"/>
      <c r="AV473" s="1539"/>
      <c r="AW473" s="1539"/>
      <c r="AX473" s="1539"/>
      <c r="AY473" s="1539"/>
      <c r="AZ473" s="1539"/>
      <c r="BA473" s="1539"/>
      <c r="BB473" s="1539"/>
      <c r="BC473" s="1539"/>
      <c r="BD473" s="1539"/>
      <c r="BE473" s="1539"/>
      <c r="BF473" s="1539"/>
      <c r="BG473" s="1539"/>
      <c r="BH473" s="1539"/>
      <c r="BI473" s="1539"/>
      <c r="BJ473" s="1539"/>
      <c r="BK473" s="1539"/>
      <c r="BL473" s="1539"/>
      <c r="BM473" s="1539"/>
      <c r="BN473" s="1539"/>
      <c r="BO473" s="1539"/>
      <c r="BP473" s="1539"/>
      <c r="BQ473" s="1539"/>
      <c r="BR473" s="1539"/>
      <c r="BS473" s="1539"/>
      <c r="BT473" s="1539"/>
      <c r="BU473" s="1539"/>
      <c r="BV473" s="1539"/>
      <c r="BW473" s="1539"/>
      <c r="BX473" s="1539"/>
      <c r="BY473" s="1539"/>
      <c r="BZ473" s="1539"/>
      <c r="CA473" s="1539"/>
      <c r="CB473" s="1539"/>
      <c r="CC473" s="1539"/>
      <c r="CD473" s="1539"/>
      <c r="CE473" s="1539"/>
      <c r="CF473" s="1539"/>
      <c r="CG473" s="1539"/>
      <c r="CH473" s="1539"/>
      <c r="CI473" s="1539"/>
      <c r="CJ473" s="1539"/>
      <c r="CK473" s="1539"/>
      <c r="CL473" s="1539"/>
      <c r="CM473" s="1539"/>
      <c r="CN473" s="1539"/>
      <c r="CO473" s="1539"/>
    </row>
    <row r="474" spans="1:93" ht="15.5">
      <c r="A474" s="1598" t="s">
        <v>2460</v>
      </c>
      <c r="B474" s="1599" t="s">
        <v>2168</v>
      </c>
      <c r="C474" s="1643" t="e">
        <f>+SUMIF(#REF!,Final!A474,#REF!)</f>
        <v>#REF!</v>
      </c>
      <c r="D474" s="1597" t="e">
        <f>+SUMIF(#REF!,Final!A474,#REF!)</f>
        <v>#REF!</v>
      </c>
      <c r="E474" s="1643" t="e">
        <f>SUMIF(#REF!,Final!A474,#REF!)</f>
        <v>#REF!</v>
      </c>
      <c r="F474" s="1644" t="e">
        <f>SUMIF(#REF!,Final!A474,#REF!)</f>
        <v>#REF!</v>
      </c>
      <c r="G474" s="1597" t="e">
        <f t="shared" si="28"/>
        <v>#REF!</v>
      </c>
      <c r="H474" s="1644" t="e">
        <f t="shared" si="29"/>
        <v>#REF!</v>
      </c>
      <c r="I474" s="1597" t="e">
        <f t="shared" si="30"/>
        <v>#REF!</v>
      </c>
      <c r="J474" s="1644" t="e">
        <f t="shared" si="31"/>
        <v>#REF!</v>
      </c>
      <c r="M474" s="1545"/>
      <c r="N474" s="1545"/>
    </row>
    <row r="475" spans="1:93" ht="15.5">
      <c r="A475" s="1598" t="s">
        <v>2461</v>
      </c>
      <c r="B475" s="1599" t="s">
        <v>2170</v>
      </c>
      <c r="C475" s="1643" t="e">
        <f>+SUMIF(#REF!,Final!A475,#REF!)</f>
        <v>#REF!</v>
      </c>
      <c r="D475" s="1597" t="e">
        <f>+SUMIF(#REF!,Final!A475,#REF!)</f>
        <v>#REF!</v>
      </c>
      <c r="E475" s="1643" t="e">
        <f>SUMIF(#REF!,Final!A475,#REF!)</f>
        <v>#REF!</v>
      </c>
      <c r="F475" s="1644" t="e">
        <f>SUMIF(#REF!,Final!A475,#REF!)</f>
        <v>#REF!</v>
      </c>
      <c r="G475" s="1597" t="e">
        <f t="shared" si="28"/>
        <v>#REF!</v>
      </c>
      <c r="H475" s="1644" t="e">
        <f t="shared" si="29"/>
        <v>#REF!</v>
      </c>
      <c r="I475" s="1597" t="e">
        <f t="shared" si="30"/>
        <v>#REF!</v>
      </c>
      <c r="J475" s="1644" t="e">
        <f t="shared" si="31"/>
        <v>#REF!</v>
      </c>
      <c r="M475" s="1545"/>
      <c r="N475" s="1545"/>
    </row>
    <row r="476" spans="1:93" ht="15.5">
      <c r="A476" s="1598" t="s">
        <v>2462</v>
      </c>
      <c r="B476" s="1599" t="s">
        <v>2172</v>
      </c>
      <c r="C476" s="1643" t="e">
        <f>+SUMIF(#REF!,Final!A476,#REF!)</f>
        <v>#REF!</v>
      </c>
      <c r="D476" s="1597" t="e">
        <f>+SUMIF(#REF!,Final!A476,#REF!)</f>
        <v>#REF!</v>
      </c>
      <c r="E476" s="1643" t="e">
        <f>SUMIF(#REF!,Final!A476,#REF!)</f>
        <v>#REF!</v>
      </c>
      <c r="F476" s="1644" t="e">
        <f>SUMIF(#REF!,Final!A476,#REF!)</f>
        <v>#REF!</v>
      </c>
      <c r="G476" s="1597" t="e">
        <f t="shared" si="28"/>
        <v>#REF!</v>
      </c>
      <c r="H476" s="1644" t="e">
        <f t="shared" si="29"/>
        <v>#REF!</v>
      </c>
      <c r="I476" s="1597" t="e">
        <f t="shared" si="30"/>
        <v>#REF!</v>
      </c>
      <c r="J476" s="1644" t="e">
        <f t="shared" si="31"/>
        <v>#REF!</v>
      </c>
      <c r="M476" s="1545"/>
      <c r="N476" s="1545"/>
    </row>
    <row r="477" spans="1:93" ht="15.5">
      <c r="A477" s="1598" t="s">
        <v>2463</v>
      </c>
      <c r="B477" s="1599" t="s">
        <v>2174</v>
      </c>
      <c r="C477" s="1643" t="e">
        <f>+SUMIF(#REF!,Final!A477,#REF!)</f>
        <v>#REF!</v>
      </c>
      <c r="D477" s="1597" t="e">
        <f>+SUMIF(#REF!,Final!A477,#REF!)</f>
        <v>#REF!</v>
      </c>
      <c r="E477" s="1643" t="e">
        <f>SUMIF(#REF!,Final!A477,#REF!)</f>
        <v>#REF!</v>
      </c>
      <c r="F477" s="1644" t="e">
        <f>SUMIF(#REF!,Final!A477,#REF!)</f>
        <v>#REF!</v>
      </c>
      <c r="G477" s="1597" t="e">
        <f t="shared" si="28"/>
        <v>#REF!</v>
      </c>
      <c r="H477" s="1644" t="e">
        <f t="shared" si="29"/>
        <v>#REF!</v>
      </c>
      <c r="I477" s="1597" t="e">
        <f t="shared" si="30"/>
        <v>#REF!</v>
      </c>
      <c r="J477" s="1644" t="e">
        <f t="shared" si="31"/>
        <v>#REF!</v>
      </c>
      <c r="M477" s="1545"/>
      <c r="N477" s="1545"/>
    </row>
    <row r="478" spans="1:93" ht="15.5">
      <c r="A478" s="1598" t="s">
        <v>2464</v>
      </c>
      <c r="B478" s="1599" t="s">
        <v>2176</v>
      </c>
      <c r="C478" s="1643" t="e">
        <f>+SUMIF(#REF!,Final!A478,#REF!)</f>
        <v>#REF!</v>
      </c>
      <c r="D478" s="1597" t="e">
        <f>+SUMIF(#REF!,Final!A478,#REF!)</f>
        <v>#REF!</v>
      </c>
      <c r="E478" s="1643" t="e">
        <f>SUMIF(#REF!,Final!A478,#REF!)</f>
        <v>#REF!</v>
      </c>
      <c r="F478" s="1644" t="e">
        <f>SUMIF(#REF!,Final!A478,#REF!)</f>
        <v>#REF!</v>
      </c>
      <c r="G478" s="1597" t="e">
        <f t="shared" si="28"/>
        <v>#REF!</v>
      </c>
      <c r="H478" s="1644" t="e">
        <f t="shared" si="29"/>
        <v>#REF!</v>
      </c>
      <c r="I478" s="1597" t="e">
        <f t="shared" si="30"/>
        <v>#REF!</v>
      </c>
      <c r="J478" s="1644" t="e">
        <f t="shared" si="31"/>
        <v>#REF!</v>
      </c>
      <c r="M478" s="1545"/>
      <c r="N478" s="1545"/>
    </row>
    <row r="479" spans="1:93" ht="15.5">
      <c r="A479" s="1598" t="s">
        <v>2465</v>
      </c>
      <c r="B479" s="1599" t="s">
        <v>2178</v>
      </c>
      <c r="C479" s="1643" t="e">
        <f>+SUMIF(#REF!,Final!A479,#REF!)</f>
        <v>#REF!</v>
      </c>
      <c r="D479" s="1597" t="e">
        <f>+SUMIF(#REF!,Final!A479,#REF!)</f>
        <v>#REF!</v>
      </c>
      <c r="E479" s="1643" t="e">
        <f>SUMIF(#REF!,Final!A479,#REF!)</f>
        <v>#REF!</v>
      </c>
      <c r="F479" s="1644" t="e">
        <f>SUMIF(#REF!,Final!A479,#REF!)</f>
        <v>#REF!</v>
      </c>
      <c r="G479" s="1597" t="e">
        <f t="shared" si="28"/>
        <v>#REF!</v>
      </c>
      <c r="H479" s="1644" t="e">
        <f t="shared" si="29"/>
        <v>#REF!</v>
      </c>
      <c r="I479" s="1597" t="e">
        <f t="shared" si="30"/>
        <v>#REF!</v>
      </c>
      <c r="J479" s="1644" t="e">
        <f t="shared" si="31"/>
        <v>#REF!</v>
      </c>
      <c r="M479" s="1545"/>
      <c r="N479" s="1545"/>
    </row>
    <row r="480" spans="1:93" ht="15.5">
      <c r="A480" s="1598" t="s">
        <v>2466</v>
      </c>
      <c r="B480" s="1599" t="s">
        <v>2180</v>
      </c>
      <c r="C480" s="1643" t="e">
        <f>+SUMIF(#REF!,Final!A480,#REF!)</f>
        <v>#REF!</v>
      </c>
      <c r="D480" s="1597" t="e">
        <f>+SUMIF(#REF!,Final!A480,#REF!)</f>
        <v>#REF!</v>
      </c>
      <c r="E480" s="1643" t="e">
        <f>SUMIF(#REF!,Final!A480,#REF!)</f>
        <v>#REF!</v>
      </c>
      <c r="F480" s="1644" t="e">
        <f>SUMIF(#REF!,Final!A480,#REF!)</f>
        <v>#REF!</v>
      </c>
      <c r="G480" s="1597" t="e">
        <f t="shared" si="28"/>
        <v>#REF!</v>
      </c>
      <c r="H480" s="1644" t="e">
        <f t="shared" si="29"/>
        <v>#REF!</v>
      </c>
      <c r="I480" s="1597" t="e">
        <f t="shared" si="30"/>
        <v>#REF!</v>
      </c>
      <c r="J480" s="1644" t="e">
        <f t="shared" si="31"/>
        <v>#REF!</v>
      </c>
      <c r="M480" s="1545"/>
      <c r="N480" s="1545"/>
    </row>
    <row r="481" spans="1:93" ht="15.5">
      <c r="A481" s="1598" t="s">
        <v>2467</v>
      </c>
      <c r="B481" s="1599" t="s">
        <v>2182</v>
      </c>
      <c r="C481" s="1643" t="e">
        <f>+SUMIF(#REF!,Final!A481,#REF!)</f>
        <v>#REF!</v>
      </c>
      <c r="D481" s="1597" t="e">
        <f>+SUMIF(#REF!,Final!A481,#REF!)</f>
        <v>#REF!</v>
      </c>
      <c r="E481" s="1643" t="e">
        <f>SUMIF(#REF!,Final!A481,#REF!)</f>
        <v>#REF!</v>
      </c>
      <c r="F481" s="1644" t="e">
        <f>SUMIF(#REF!,Final!A481,#REF!)</f>
        <v>#REF!</v>
      </c>
      <c r="G481" s="1597" t="e">
        <f t="shared" si="28"/>
        <v>#REF!</v>
      </c>
      <c r="H481" s="1644" t="e">
        <f t="shared" si="29"/>
        <v>#REF!</v>
      </c>
      <c r="I481" s="1597" t="e">
        <f t="shared" si="30"/>
        <v>#REF!</v>
      </c>
      <c r="J481" s="1644" t="e">
        <f t="shared" si="31"/>
        <v>#REF!</v>
      </c>
      <c r="M481" s="1545"/>
      <c r="N481" s="1545"/>
    </row>
    <row r="482" spans="1:93" ht="15.5">
      <c r="A482" s="1598" t="s">
        <v>2468</v>
      </c>
      <c r="B482" s="1599" t="s">
        <v>2301</v>
      </c>
      <c r="C482" s="1643" t="e">
        <f>+SUMIF(#REF!,Final!A482,#REF!)</f>
        <v>#REF!</v>
      </c>
      <c r="D482" s="1597" t="e">
        <f>+SUMIF(#REF!,Final!A482,#REF!)</f>
        <v>#REF!</v>
      </c>
      <c r="E482" s="1643" t="e">
        <f>SUMIF(#REF!,Final!A482,#REF!)</f>
        <v>#REF!</v>
      </c>
      <c r="F482" s="1644" t="e">
        <f>SUMIF(#REF!,Final!A482,#REF!)</f>
        <v>#REF!</v>
      </c>
      <c r="G482" s="1597" t="e">
        <f t="shared" si="28"/>
        <v>#REF!</v>
      </c>
      <c r="H482" s="1644" t="e">
        <f t="shared" si="29"/>
        <v>#REF!</v>
      </c>
      <c r="I482" s="1597" t="e">
        <f t="shared" si="30"/>
        <v>#REF!</v>
      </c>
      <c r="J482" s="1644" t="e">
        <f t="shared" si="31"/>
        <v>#REF!</v>
      </c>
      <c r="M482" s="1545"/>
      <c r="N482" s="1545"/>
    </row>
    <row r="483" spans="1:93" s="1542" customFormat="1" ht="15.5">
      <c r="A483" s="1598" t="s">
        <v>2469</v>
      </c>
      <c r="B483" s="1599" t="s">
        <v>2303</v>
      </c>
      <c r="C483" s="1643" t="e">
        <f>+SUMIF(#REF!,Final!A483,#REF!)</f>
        <v>#REF!</v>
      </c>
      <c r="D483" s="1597" t="e">
        <f>+SUMIF(#REF!,Final!A483,#REF!)</f>
        <v>#REF!</v>
      </c>
      <c r="E483" s="1643" t="e">
        <f>SUMIF(#REF!,Final!A483,#REF!)</f>
        <v>#REF!</v>
      </c>
      <c r="F483" s="1644" t="e">
        <f>SUMIF(#REF!,Final!A483,#REF!)</f>
        <v>#REF!</v>
      </c>
      <c r="G483" s="1597" t="e">
        <f t="shared" si="28"/>
        <v>#REF!</v>
      </c>
      <c r="H483" s="1644" t="e">
        <f t="shared" si="29"/>
        <v>#REF!</v>
      </c>
      <c r="I483" s="1597" t="e">
        <f t="shared" si="30"/>
        <v>#REF!</v>
      </c>
      <c r="J483" s="1644" t="e">
        <f t="shared" si="31"/>
        <v>#REF!</v>
      </c>
      <c r="K483" s="1539"/>
      <c r="L483" s="1539"/>
      <c r="M483" s="1545"/>
      <c r="N483" s="1545"/>
      <c r="O483" s="1539"/>
      <c r="P483" s="1539"/>
      <c r="Q483" s="1539"/>
      <c r="R483" s="1539"/>
      <c r="S483" s="1539"/>
      <c r="T483" s="1539"/>
      <c r="U483" s="1539"/>
      <c r="V483" s="1539"/>
      <c r="W483" s="1539"/>
      <c r="X483" s="1539"/>
      <c r="Y483" s="1539"/>
      <c r="Z483" s="1539"/>
      <c r="AA483" s="1539"/>
      <c r="AB483" s="1539"/>
      <c r="AC483" s="1539"/>
      <c r="AD483" s="1539"/>
      <c r="AE483" s="1539"/>
      <c r="AF483" s="1539"/>
      <c r="AG483" s="1539"/>
      <c r="AH483" s="1539"/>
      <c r="AI483" s="1539"/>
      <c r="AJ483" s="1539"/>
      <c r="AK483" s="1539"/>
      <c r="AL483" s="1539"/>
      <c r="AM483" s="1539"/>
      <c r="AN483" s="1539"/>
      <c r="AO483" s="1539"/>
      <c r="AP483" s="1539"/>
      <c r="AQ483" s="1539"/>
      <c r="AR483" s="1539"/>
      <c r="AS483" s="1539"/>
      <c r="AT483" s="1539"/>
      <c r="AU483" s="1539"/>
      <c r="AV483" s="1539"/>
      <c r="AW483" s="1539"/>
      <c r="AX483" s="1539"/>
      <c r="AY483" s="1539"/>
      <c r="AZ483" s="1539"/>
      <c r="BA483" s="1539"/>
      <c r="BB483" s="1539"/>
      <c r="BC483" s="1539"/>
      <c r="BD483" s="1539"/>
      <c r="BE483" s="1539"/>
      <c r="BF483" s="1539"/>
      <c r="BG483" s="1539"/>
      <c r="BH483" s="1539"/>
      <c r="BI483" s="1539"/>
      <c r="BJ483" s="1539"/>
      <c r="BK483" s="1539"/>
      <c r="BL483" s="1539"/>
      <c r="BM483" s="1539"/>
      <c r="BN483" s="1539"/>
      <c r="BO483" s="1539"/>
      <c r="BP483" s="1539"/>
      <c r="BQ483" s="1539"/>
      <c r="BR483" s="1539"/>
      <c r="BS483" s="1539"/>
      <c r="BT483" s="1539"/>
      <c r="BU483" s="1539"/>
      <c r="BV483" s="1539"/>
      <c r="BW483" s="1539"/>
      <c r="BX483" s="1539"/>
      <c r="BY483" s="1539"/>
      <c r="BZ483" s="1539"/>
      <c r="CA483" s="1539"/>
      <c r="CB483" s="1539"/>
      <c r="CC483" s="1539"/>
      <c r="CD483" s="1539"/>
      <c r="CE483" s="1539"/>
      <c r="CF483" s="1539"/>
      <c r="CG483" s="1539"/>
      <c r="CH483" s="1539"/>
      <c r="CI483" s="1539"/>
      <c r="CJ483" s="1539"/>
      <c r="CK483" s="1539"/>
      <c r="CL483" s="1539"/>
      <c r="CM483" s="1539"/>
      <c r="CN483" s="1539"/>
      <c r="CO483" s="1539"/>
    </row>
    <row r="484" spans="1:93" s="1552" customFormat="1" ht="15.5">
      <c r="A484" s="1598"/>
      <c r="B484" s="1599" t="s">
        <v>754</v>
      </c>
      <c r="C484" s="1643" t="e">
        <f>+SUMIF(#REF!,Final!A484,#REF!)</f>
        <v>#REF!</v>
      </c>
      <c r="D484" s="1597" t="e">
        <f>+SUMIF(#REF!,Final!A484,#REF!)</f>
        <v>#REF!</v>
      </c>
      <c r="E484" s="1643" t="e">
        <f>SUMIF(#REF!,Final!A484,#REF!)</f>
        <v>#REF!</v>
      </c>
      <c r="F484" s="1644" t="e">
        <f>SUMIF(#REF!,Final!A484,#REF!)</f>
        <v>#REF!</v>
      </c>
      <c r="G484" s="1597" t="e">
        <f t="shared" si="28"/>
        <v>#REF!</v>
      </c>
      <c r="H484" s="1644" t="e">
        <f t="shared" si="29"/>
        <v>#REF!</v>
      </c>
      <c r="I484" s="1597" t="e">
        <f t="shared" si="30"/>
        <v>#REF!</v>
      </c>
      <c r="J484" s="1644" t="e">
        <f t="shared" si="31"/>
        <v>#REF!</v>
      </c>
      <c r="K484" s="1539"/>
      <c r="L484" s="1539"/>
      <c r="M484" s="1545"/>
      <c r="N484" s="1545"/>
      <c r="O484" s="1539"/>
      <c r="P484" s="1539"/>
      <c r="Q484" s="1539"/>
      <c r="R484" s="1539"/>
      <c r="S484" s="1539"/>
      <c r="T484" s="1539"/>
      <c r="U484" s="1539"/>
      <c r="V484" s="1539"/>
      <c r="W484" s="1539"/>
      <c r="X484" s="1539"/>
      <c r="Y484" s="1539"/>
      <c r="Z484" s="1539"/>
      <c r="AA484" s="1539"/>
      <c r="AB484" s="1539"/>
      <c r="AC484" s="1539"/>
      <c r="AD484" s="1539"/>
      <c r="AE484" s="1539"/>
      <c r="AF484" s="1539"/>
      <c r="AG484" s="1539"/>
      <c r="AH484" s="1539"/>
      <c r="AI484" s="1539"/>
      <c r="AJ484" s="1539"/>
      <c r="AK484" s="1539"/>
      <c r="AL484" s="1539"/>
      <c r="AM484" s="1539"/>
      <c r="AN484" s="1539"/>
      <c r="AO484" s="1539"/>
      <c r="AP484" s="1539"/>
      <c r="AQ484" s="1539"/>
      <c r="AR484" s="1539"/>
      <c r="AS484" s="1539"/>
      <c r="AT484" s="1539"/>
      <c r="AU484" s="1539"/>
      <c r="AV484" s="1539"/>
      <c r="AW484" s="1539"/>
      <c r="AX484" s="1539"/>
      <c r="AY484" s="1539"/>
      <c r="AZ484" s="1539"/>
      <c r="BA484" s="1539"/>
      <c r="BB484" s="1539"/>
      <c r="BC484" s="1539"/>
      <c r="BD484" s="1539"/>
      <c r="BE484" s="1539"/>
      <c r="BF484" s="1539"/>
      <c r="BG484" s="1539"/>
      <c r="BH484" s="1539"/>
      <c r="BI484" s="1539"/>
      <c r="BJ484" s="1539"/>
      <c r="BK484" s="1539"/>
      <c r="BL484" s="1539"/>
      <c r="BM484" s="1539"/>
      <c r="BN484" s="1539"/>
      <c r="BO484" s="1539"/>
      <c r="BP484" s="1539"/>
      <c r="BQ484" s="1539"/>
      <c r="BR484" s="1539"/>
      <c r="BS484" s="1539"/>
      <c r="BT484" s="1539"/>
      <c r="BU484" s="1539"/>
      <c r="BV484" s="1539"/>
      <c r="BW484" s="1539"/>
      <c r="BX484" s="1539"/>
      <c r="BY484" s="1539"/>
      <c r="BZ484" s="1539"/>
      <c r="CA484" s="1539"/>
      <c r="CB484" s="1539"/>
      <c r="CC484" s="1539"/>
      <c r="CD484" s="1539"/>
      <c r="CE484" s="1539"/>
      <c r="CF484" s="1539"/>
      <c r="CG484" s="1539"/>
      <c r="CH484" s="1539"/>
      <c r="CI484" s="1539"/>
      <c r="CJ484" s="1539"/>
      <c r="CK484" s="1539"/>
      <c r="CL484" s="1539"/>
      <c r="CM484" s="1539"/>
      <c r="CN484" s="1539"/>
      <c r="CO484" s="1539"/>
    </row>
    <row r="485" spans="1:93" s="1552" customFormat="1" ht="15.5">
      <c r="A485" s="1598"/>
      <c r="B485" s="1599" t="s">
        <v>1760</v>
      </c>
      <c r="C485" s="1643" t="e">
        <f>+SUMIF(#REF!,Final!A485,#REF!)</f>
        <v>#REF!</v>
      </c>
      <c r="D485" s="1597" t="e">
        <f>+SUMIF(#REF!,Final!A485,#REF!)</f>
        <v>#REF!</v>
      </c>
      <c r="E485" s="1643" t="e">
        <f>SUMIF(#REF!,Final!A485,#REF!)</f>
        <v>#REF!</v>
      </c>
      <c r="F485" s="1644" t="e">
        <f>SUMIF(#REF!,Final!A485,#REF!)</f>
        <v>#REF!</v>
      </c>
      <c r="G485" s="1597" t="e">
        <f t="shared" si="28"/>
        <v>#REF!</v>
      </c>
      <c r="H485" s="1644" t="e">
        <f t="shared" si="29"/>
        <v>#REF!</v>
      </c>
      <c r="I485" s="1597" t="e">
        <f t="shared" si="30"/>
        <v>#REF!</v>
      </c>
      <c r="J485" s="1644" t="e">
        <f t="shared" si="31"/>
        <v>#REF!</v>
      </c>
      <c r="K485" s="1539"/>
      <c r="L485" s="1539"/>
      <c r="M485" s="1545"/>
      <c r="N485" s="1545"/>
      <c r="O485" s="1539"/>
      <c r="P485" s="1539"/>
      <c r="Q485" s="1539"/>
      <c r="R485" s="1539"/>
      <c r="S485" s="1539"/>
      <c r="T485" s="1539"/>
      <c r="U485" s="1539"/>
      <c r="V485" s="1539"/>
      <c r="W485" s="1539"/>
      <c r="X485" s="1539"/>
      <c r="Y485" s="1539"/>
      <c r="Z485" s="1539"/>
      <c r="AA485" s="1539"/>
      <c r="AB485" s="1539"/>
      <c r="AC485" s="1539"/>
      <c r="AD485" s="1539"/>
      <c r="AE485" s="1539"/>
      <c r="AF485" s="1539"/>
      <c r="AG485" s="1539"/>
      <c r="AH485" s="1539"/>
      <c r="AI485" s="1539"/>
      <c r="AJ485" s="1539"/>
      <c r="AK485" s="1539"/>
      <c r="AL485" s="1539"/>
      <c r="AM485" s="1539"/>
      <c r="AN485" s="1539"/>
      <c r="AO485" s="1539"/>
      <c r="AP485" s="1539"/>
      <c r="AQ485" s="1539"/>
      <c r="AR485" s="1539"/>
      <c r="AS485" s="1539"/>
      <c r="AT485" s="1539"/>
      <c r="AU485" s="1539"/>
      <c r="AV485" s="1539"/>
      <c r="AW485" s="1539"/>
      <c r="AX485" s="1539"/>
      <c r="AY485" s="1539"/>
      <c r="AZ485" s="1539"/>
      <c r="BA485" s="1539"/>
      <c r="BB485" s="1539"/>
      <c r="BC485" s="1539"/>
      <c r="BD485" s="1539"/>
      <c r="BE485" s="1539"/>
      <c r="BF485" s="1539"/>
      <c r="BG485" s="1539"/>
      <c r="BH485" s="1539"/>
      <c r="BI485" s="1539"/>
      <c r="BJ485" s="1539"/>
      <c r="BK485" s="1539"/>
      <c r="BL485" s="1539"/>
      <c r="BM485" s="1539"/>
      <c r="BN485" s="1539"/>
      <c r="BO485" s="1539"/>
      <c r="BP485" s="1539"/>
      <c r="BQ485" s="1539"/>
      <c r="BR485" s="1539"/>
      <c r="BS485" s="1539"/>
      <c r="BT485" s="1539"/>
      <c r="BU485" s="1539"/>
      <c r="BV485" s="1539"/>
      <c r="BW485" s="1539"/>
      <c r="BX485" s="1539"/>
      <c r="BY485" s="1539"/>
      <c r="BZ485" s="1539"/>
      <c r="CA485" s="1539"/>
      <c r="CB485" s="1539"/>
      <c r="CC485" s="1539"/>
      <c r="CD485" s="1539"/>
      <c r="CE485" s="1539"/>
      <c r="CF485" s="1539"/>
      <c r="CG485" s="1539"/>
      <c r="CH485" s="1539"/>
      <c r="CI485" s="1539"/>
      <c r="CJ485" s="1539"/>
      <c r="CK485" s="1539"/>
      <c r="CL485" s="1539"/>
      <c r="CM485" s="1539"/>
      <c r="CN485" s="1539"/>
      <c r="CO485" s="1539"/>
    </row>
    <row r="486" spans="1:93" s="1542" customFormat="1" ht="15.5">
      <c r="A486" s="1598" t="s">
        <v>1411</v>
      </c>
      <c r="B486" s="1599" t="s">
        <v>2470</v>
      </c>
      <c r="C486" s="1643" t="e">
        <f>+SUMIF(#REF!,Final!A486,#REF!)</f>
        <v>#REF!</v>
      </c>
      <c r="D486" s="1597" t="e">
        <f>+SUMIF(#REF!,Final!A486,#REF!)</f>
        <v>#REF!</v>
      </c>
      <c r="E486" s="1643" t="e">
        <f>SUMIF(#REF!,Final!A486,#REF!)</f>
        <v>#REF!</v>
      </c>
      <c r="F486" s="1644" t="e">
        <f>SUMIF(#REF!,Final!A486,#REF!)</f>
        <v>#REF!</v>
      </c>
      <c r="G486" s="1597" t="e">
        <f t="shared" si="28"/>
        <v>#REF!</v>
      </c>
      <c r="H486" s="1644" t="e">
        <f t="shared" si="29"/>
        <v>#REF!</v>
      </c>
      <c r="I486" s="1597" t="e">
        <f t="shared" si="30"/>
        <v>#REF!</v>
      </c>
      <c r="J486" s="1644" t="e">
        <f t="shared" si="31"/>
        <v>#REF!</v>
      </c>
      <c r="K486" s="1539"/>
      <c r="L486" s="1539"/>
      <c r="M486" s="1545"/>
      <c r="N486" s="1545"/>
      <c r="O486" s="1539"/>
      <c r="P486" s="1539"/>
      <c r="Q486" s="1539"/>
      <c r="R486" s="1539"/>
      <c r="S486" s="1539"/>
      <c r="T486" s="1539"/>
      <c r="U486" s="1539"/>
      <c r="V486" s="1539"/>
      <c r="W486" s="1539"/>
      <c r="X486" s="1539"/>
      <c r="Y486" s="1539"/>
      <c r="Z486" s="1539"/>
      <c r="AA486" s="1539"/>
      <c r="AB486" s="1539"/>
      <c r="AC486" s="1539"/>
      <c r="AD486" s="1539"/>
      <c r="AE486" s="1539"/>
      <c r="AF486" s="1539"/>
      <c r="AG486" s="1539"/>
      <c r="AH486" s="1539"/>
      <c r="AI486" s="1539"/>
      <c r="AJ486" s="1539"/>
      <c r="AK486" s="1539"/>
      <c r="AL486" s="1539"/>
      <c r="AM486" s="1539"/>
      <c r="AN486" s="1539"/>
      <c r="AO486" s="1539"/>
      <c r="AP486" s="1539"/>
      <c r="AQ486" s="1539"/>
      <c r="AR486" s="1539"/>
      <c r="AS486" s="1539"/>
      <c r="AT486" s="1539"/>
      <c r="AU486" s="1539"/>
      <c r="AV486" s="1539"/>
      <c r="AW486" s="1539"/>
      <c r="AX486" s="1539"/>
      <c r="AY486" s="1539"/>
      <c r="AZ486" s="1539"/>
      <c r="BA486" s="1539"/>
      <c r="BB486" s="1539"/>
      <c r="BC486" s="1539"/>
      <c r="BD486" s="1539"/>
      <c r="BE486" s="1539"/>
      <c r="BF486" s="1539"/>
      <c r="BG486" s="1539"/>
      <c r="BH486" s="1539"/>
      <c r="BI486" s="1539"/>
      <c r="BJ486" s="1539"/>
      <c r="BK486" s="1539"/>
      <c r="BL486" s="1539"/>
      <c r="BM486" s="1539"/>
      <c r="BN486" s="1539"/>
      <c r="BO486" s="1539"/>
      <c r="BP486" s="1539"/>
      <c r="BQ486" s="1539"/>
      <c r="BR486" s="1539"/>
      <c r="BS486" s="1539"/>
      <c r="BT486" s="1539"/>
      <c r="BU486" s="1539"/>
      <c r="BV486" s="1539"/>
      <c r="BW486" s="1539"/>
      <c r="BX486" s="1539"/>
      <c r="BY486" s="1539"/>
      <c r="BZ486" s="1539"/>
      <c r="CA486" s="1539"/>
      <c r="CB486" s="1539"/>
      <c r="CC486" s="1539"/>
      <c r="CD486" s="1539"/>
      <c r="CE486" s="1539"/>
      <c r="CF486" s="1539"/>
      <c r="CG486" s="1539"/>
      <c r="CH486" s="1539"/>
      <c r="CI486" s="1539"/>
      <c r="CJ486" s="1539"/>
      <c r="CK486" s="1539"/>
      <c r="CL486" s="1539"/>
      <c r="CM486" s="1539"/>
      <c r="CN486" s="1539"/>
      <c r="CO486" s="1539"/>
    </row>
    <row r="487" spans="1:93" s="1542" customFormat="1" ht="15.5">
      <c r="A487" s="1598" t="s">
        <v>2471</v>
      </c>
      <c r="B487" s="1599" t="s">
        <v>2136</v>
      </c>
      <c r="C487" s="1643" t="e">
        <f>+SUMIF(#REF!,Final!A487,#REF!)</f>
        <v>#REF!</v>
      </c>
      <c r="D487" s="1597" t="e">
        <f>+SUMIF(#REF!,Final!A487,#REF!)</f>
        <v>#REF!</v>
      </c>
      <c r="E487" s="1643" t="e">
        <f>SUMIF(#REF!,Final!A487,#REF!)</f>
        <v>#REF!</v>
      </c>
      <c r="F487" s="1644" t="e">
        <f>SUMIF(#REF!,Final!A487,#REF!)</f>
        <v>#REF!</v>
      </c>
      <c r="G487" s="1597" t="e">
        <f t="shared" si="28"/>
        <v>#REF!</v>
      </c>
      <c r="H487" s="1644" t="e">
        <f t="shared" si="29"/>
        <v>#REF!</v>
      </c>
      <c r="I487" s="1597" t="e">
        <f t="shared" si="30"/>
        <v>#REF!</v>
      </c>
      <c r="J487" s="1644" t="e">
        <f t="shared" si="31"/>
        <v>#REF!</v>
      </c>
      <c r="K487" s="1539"/>
      <c r="L487" s="1539"/>
      <c r="M487" s="1545"/>
      <c r="N487" s="1545"/>
      <c r="O487" s="1539"/>
      <c r="P487" s="1539"/>
      <c r="Q487" s="1539"/>
      <c r="R487" s="1539"/>
      <c r="S487" s="1539"/>
      <c r="T487" s="1539"/>
      <c r="U487" s="1539"/>
      <c r="V487" s="1539"/>
      <c r="W487" s="1539"/>
      <c r="X487" s="1539"/>
      <c r="Y487" s="1539"/>
      <c r="Z487" s="1539"/>
      <c r="AA487" s="1539"/>
      <c r="AB487" s="1539"/>
      <c r="AC487" s="1539"/>
      <c r="AD487" s="1539"/>
      <c r="AE487" s="1539"/>
      <c r="AF487" s="1539"/>
      <c r="AG487" s="1539"/>
      <c r="AH487" s="1539"/>
      <c r="AI487" s="1539"/>
      <c r="AJ487" s="1539"/>
      <c r="AK487" s="1539"/>
      <c r="AL487" s="1539"/>
      <c r="AM487" s="1539"/>
      <c r="AN487" s="1539"/>
      <c r="AO487" s="1539"/>
      <c r="AP487" s="1539"/>
      <c r="AQ487" s="1539"/>
      <c r="AR487" s="1539"/>
      <c r="AS487" s="1539"/>
      <c r="AT487" s="1539"/>
      <c r="AU487" s="1539"/>
      <c r="AV487" s="1539"/>
      <c r="AW487" s="1539"/>
      <c r="AX487" s="1539"/>
      <c r="AY487" s="1539"/>
      <c r="AZ487" s="1539"/>
      <c r="BA487" s="1539"/>
      <c r="BB487" s="1539"/>
      <c r="BC487" s="1539"/>
      <c r="BD487" s="1539"/>
      <c r="BE487" s="1539"/>
      <c r="BF487" s="1539"/>
      <c r="BG487" s="1539"/>
      <c r="BH487" s="1539"/>
      <c r="BI487" s="1539"/>
      <c r="BJ487" s="1539"/>
      <c r="BK487" s="1539"/>
      <c r="BL487" s="1539"/>
      <c r="BM487" s="1539"/>
      <c r="BN487" s="1539"/>
      <c r="BO487" s="1539"/>
      <c r="BP487" s="1539"/>
      <c r="BQ487" s="1539"/>
      <c r="BR487" s="1539"/>
      <c r="BS487" s="1539"/>
      <c r="BT487" s="1539"/>
      <c r="BU487" s="1539"/>
      <c r="BV487" s="1539"/>
      <c r="BW487" s="1539"/>
      <c r="BX487" s="1539"/>
      <c r="BY487" s="1539"/>
      <c r="BZ487" s="1539"/>
      <c r="CA487" s="1539"/>
      <c r="CB487" s="1539"/>
      <c r="CC487" s="1539"/>
      <c r="CD487" s="1539"/>
      <c r="CE487" s="1539"/>
      <c r="CF487" s="1539"/>
      <c r="CG487" s="1539"/>
      <c r="CH487" s="1539"/>
      <c r="CI487" s="1539"/>
      <c r="CJ487" s="1539"/>
      <c r="CK487" s="1539"/>
      <c r="CL487" s="1539"/>
      <c r="CM487" s="1539"/>
      <c r="CN487" s="1539"/>
      <c r="CO487" s="1539"/>
    </row>
    <row r="488" spans="1:93" ht="15.5">
      <c r="A488" s="1598" t="s">
        <v>2472</v>
      </c>
      <c r="B488" s="1599" t="s">
        <v>2202</v>
      </c>
      <c r="C488" s="1643" t="e">
        <f>+SUMIF(#REF!,Final!A488,#REF!)</f>
        <v>#REF!</v>
      </c>
      <c r="D488" s="1597" t="e">
        <f>+SUMIF(#REF!,Final!A488,#REF!)</f>
        <v>#REF!</v>
      </c>
      <c r="E488" s="1643" t="e">
        <f>SUMIF(#REF!,Final!A488,#REF!)</f>
        <v>#REF!</v>
      </c>
      <c r="F488" s="1644" t="e">
        <f>SUMIF(#REF!,Final!A488,#REF!)</f>
        <v>#REF!</v>
      </c>
      <c r="G488" s="1597" t="e">
        <f t="shared" si="28"/>
        <v>#REF!</v>
      </c>
      <c r="H488" s="1644" t="e">
        <f t="shared" si="29"/>
        <v>#REF!</v>
      </c>
      <c r="I488" s="1597" t="e">
        <f t="shared" si="30"/>
        <v>#REF!</v>
      </c>
      <c r="J488" s="1644" t="e">
        <f t="shared" si="31"/>
        <v>#REF!</v>
      </c>
      <c r="M488" s="1545"/>
      <c r="N488" s="1545"/>
    </row>
    <row r="489" spans="1:93" ht="15.5">
      <c r="A489" s="1598" t="s">
        <v>2473</v>
      </c>
      <c r="B489" s="1599" t="s">
        <v>2204</v>
      </c>
      <c r="C489" s="1643" t="e">
        <f>+SUMIF(#REF!,Final!A489,#REF!)</f>
        <v>#REF!</v>
      </c>
      <c r="D489" s="1597" t="e">
        <f>+SUMIF(#REF!,Final!A489,#REF!)</f>
        <v>#REF!</v>
      </c>
      <c r="E489" s="1643" t="e">
        <f>SUMIF(#REF!,Final!A489,#REF!)</f>
        <v>#REF!</v>
      </c>
      <c r="F489" s="1644" t="e">
        <f>SUMIF(#REF!,Final!A489,#REF!)</f>
        <v>#REF!</v>
      </c>
      <c r="G489" s="1597" t="e">
        <f t="shared" si="28"/>
        <v>#REF!</v>
      </c>
      <c r="H489" s="1644" t="e">
        <f t="shared" si="29"/>
        <v>#REF!</v>
      </c>
      <c r="I489" s="1597" t="e">
        <f t="shared" si="30"/>
        <v>#REF!</v>
      </c>
      <c r="J489" s="1644" t="e">
        <f t="shared" si="31"/>
        <v>#REF!</v>
      </c>
      <c r="M489" s="1545"/>
      <c r="N489" s="1545"/>
    </row>
    <row r="490" spans="1:93" ht="15.5">
      <c r="A490" s="1598" t="s">
        <v>2474</v>
      </c>
      <c r="B490" s="1599" t="s">
        <v>2206</v>
      </c>
      <c r="C490" s="1643" t="e">
        <f>+SUMIF(#REF!,Final!A490,#REF!)</f>
        <v>#REF!</v>
      </c>
      <c r="D490" s="1597" t="e">
        <f>+SUMIF(#REF!,Final!A490,#REF!)</f>
        <v>#REF!</v>
      </c>
      <c r="E490" s="1643" t="e">
        <f>SUMIF(#REF!,Final!A490,#REF!)</f>
        <v>#REF!</v>
      </c>
      <c r="F490" s="1644" t="e">
        <f>SUMIF(#REF!,Final!A490,#REF!)</f>
        <v>#REF!</v>
      </c>
      <c r="G490" s="1597" t="e">
        <f t="shared" si="28"/>
        <v>#REF!</v>
      </c>
      <c r="H490" s="1644" t="e">
        <f t="shared" si="29"/>
        <v>#REF!</v>
      </c>
      <c r="I490" s="1597" t="e">
        <f t="shared" si="30"/>
        <v>#REF!</v>
      </c>
      <c r="J490" s="1644" t="e">
        <f t="shared" si="31"/>
        <v>#REF!</v>
      </c>
      <c r="M490" s="1545"/>
      <c r="N490" s="1545"/>
    </row>
    <row r="491" spans="1:93" ht="15.5">
      <c r="A491" s="1598" t="s">
        <v>2475</v>
      </c>
      <c r="B491" s="1599" t="s">
        <v>2208</v>
      </c>
      <c r="C491" s="1643" t="e">
        <f>+SUMIF(#REF!,Final!A491,#REF!)</f>
        <v>#REF!</v>
      </c>
      <c r="D491" s="1597" t="e">
        <f>+SUMIF(#REF!,Final!A491,#REF!)</f>
        <v>#REF!</v>
      </c>
      <c r="E491" s="1643" t="e">
        <f>SUMIF(#REF!,Final!A491,#REF!)</f>
        <v>#REF!</v>
      </c>
      <c r="F491" s="1644" t="e">
        <f>SUMIF(#REF!,Final!A491,#REF!)</f>
        <v>#REF!</v>
      </c>
      <c r="G491" s="1597" t="e">
        <f t="shared" si="28"/>
        <v>#REF!</v>
      </c>
      <c r="H491" s="1644" t="e">
        <f t="shared" si="29"/>
        <v>#REF!</v>
      </c>
      <c r="I491" s="1597" t="e">
        <f t="shared" si="30"/>
        <v>#REF!</v>
      </c>
      <c r="J491" s="1644" t="e">
        <f t="shared" si="31"/>
        <v>#REF!</v>
      </c>
      <c r="M491" s="1545"/>
      <c r="N491" s="1545"/>
    </row>
    <row r="492" spans="1:93" ht="15.5">
      <c r="A492" s="1598" t="s">
        <v>2476</v>
      </c>
      <c r="B492" s="1599" t="s">
        <v>2210</v>
      </c>
      <c r="C492" s="1643" t="e">
        <f>+SUMIF(#REF!,Final!A492,#REF!)</f>
        <v>#REF!</v>
      </c>
      <c r="D492" s="1597" t="e">
        <f>+SUMIF(#REF!,Final!A492,#REF!)</f>
        <v>#REF!</v>
      </c>
      <c r="E492" s="1643" t="e">
        <f>SUMIF(#REF!,Final!A492,#REF!)</f>
        <v>#REF!</v>
      </c>
      <c r="F492" s="1644" t="e">
        <f>SUMIF(#REF!,Final!A492,#REF!)</f>
        <v>#REF!</v>
      </c>
      <c r="G492" s="1597" t="e">
        <f t="shared" si="28"/>
        <v>#REF!</v>
      </c>
      <c r="H492" s="1644" t="e">
        <f t="shared" si="29"/>
        <v>#REF!</v>
      </c>
      <c r="I492" s="1597" t="e">
        <f t="shared" si="30"/>
        <v>#REF!</v>
      </c>
      <c r="J492" s="1644" t="e">
        <f t="shared" si="31"/>
        <v>#REF!</v>
      </c>
      <c r="M492" s="1545"/>
      <c r="N492" s="1545"/>
    </row>
    <row r="493" spans="1:93" ht="15.5">
      <c r="A493" s="1598" t="s">
        <v>2477</v>
      </c>
      <c r="B493" s="1599" t="s">
        <v>2212</v>
      </c>
      <c r="C493" s="1643" t="e">
        <f>+SUMIF(#REF!,Final!A493,#REF!)</f>
        <v>#REF!</v>
      </c>
      <c r="D493" s="1597" t="e">
        <f>+SUMIF(#REF!,Final!A493,#REF!)</f>
        <v>#REF!</v>
      </c>
      <c r="E493" s="1643" t="e">
        <f>SUMIF(#REF!,Final!A493,#REF!)</f>
        <v>#REF!</v>
      </c>
      <c r="F493" s="1644" t="e">
        <f>SUMIF(#REF!,Final!A493,#REF!)</f>
        <v>#REF!</v>
      </c>
      <c r="G493" s="1597" t="e">
        <f t="shared" si="28"/>
        <v>#REF!</v>
      </c>
      <c r="H493" s="1644" t="e">
        <f t="shared" si="29"/>
        <v>#REF!</v>
      </c>
      <c r="I493" s="1597" t="e">
        <f t="shared" si="30"/>
        <v>#REF!</v>
      </c>
      <c r="J493" s="1644" t="e">
        <f t="shared" si="31"/>
        <v>#REF!</v>
      </c>
      <c r="M493" s="1545"/>
      <c r="N493" s="1545"/>
    </row>
    <row r="494" spans="1:93" ht="15.5">
      <c r="A494" s="1598" t="s">
        <v>2478</v>
      </c>
      <c r="B494" s="1599" t="s">
        <v>2214</v>
      </c>
      <c r="C494" s="1643" t="e">
        <f>+SUMIF(#REF!,Final!A494,#REF!)</f>
        <v>#REF!</v>
      </c>
      <c r="D494" s="1597" t="e">
        <f>+SUMIF(#REF!,Final!A494,#REF!)</f>
        <v>#REF!</v>
      </c>
      <c r="E494" s="1643" t="e">
        <f>SUMIF(#REF!,Final!A494,#REF!)</f>
        <v>#REF!</v>
      </c>
      <c r="F494" s="1644" t="e">
        <f>SUMIF(#REF!,Final!A494,#REF!)</f>
        <v>#REF!</v>
      </c>
      <c r="G494" s="1597" t="e">
        <f t="shared" si="28"/>
        <v>#REF!</v>
      </c>
      <c r="H494" s="1644" t="e">
        <f t="shared" si="29"/>
        <v>#REF!</v>
      </c>
      <c r="I494" s="1597" t="e">
        <f t="shared" si="30"/>
        <v>#REF!</v>
      </c>
      <c r="J494" s="1644" t="e">
        <f t="shared" si="31"/>
        <v>#REF!</v>
      </c>
      <c r="M494" s="1545"/>
      <c r="N494" s="1545"/>
    </row>
    <row r="495" spans="1:93" ht="15.5">
      <c r="A495" s="1598" t="s">
        <v>2479</v>
      </c>
      <c r="B495" s="1599" t="s">
        <v>2152</v>
      </c>
      <c r="C495" s="1643" t="e">
        <f>+SUMIF(#REF!,Final!A495,#REF!)</f>
        <v>#REF!</v>
      </c>
      <c r="D495" s="1597" t="e">
        <f>+SUMIF(#REF!,Final!A495,#REF!)</f>
        <v>#REF!</v>
      </c>
      <c r="E495" s="1643" t="e">
        <f>SUMIF(#REF!,Final!A495,#REF!)</f>
        <v>#REF!</v>
      </c>
      <c r="F495" s="1644" t="e">
        <f>SUMIF(#REF!,Final!A495,#REF!)</f>
        <v>#REF!</v>
      </c>
      <c r="G495" s="1597" t="e">
        <f t="shared" si="28"/>
        <v>#REF!</v>
      </c>
      <c r="H495" s="1644" t="e">
        <f t="shared" si="29"/>
        <v>#REF!</v>
      </c>
      <c r="I495" s="1597" t="e">
        <f t="shared" si="30"/>
        <v>#REF!</v>
      </c>
      <c r="J495" s="1644" t="e">
        <f t="shared" si="31"/>
        <v>#REF!</v>
      </c>
      <c r="M495" s="1545"/>
      <c r="N495" s="1545"/>
    </row>
    <row r="496" spans="1:93" ht="15.5">
      <c r="A496" s="1598" t="s">
        <v>2480</v>
      </c>
      <c r="B496" s="1599" t="s">
        <v>2154</v>
      </c>
      <c r="C496" s="1643" t="e">
        <f>+SUMIF(#REF!,Final!A496,#REF!)</f>
        <v>#REF!</v>
      </c>
      <c r="D496" s="1597" t="e">
        <f>+SUMIF(#REF!,Final!A496,#REF!)</f>
        <v>#REF!</v>
      </c>
      <c r="E496" s="1643" t="e">
        <f>SUMIF(#REF!,Final!A496,#REF!)</f>
        <v>#REF!</v>
      </c>
      <c r="F496" s="1644" t="e">
        <f>SUMIF(#REF!,Final!A496,#REF!)</f>
        <v>#REF!</v>
      </c>
      <c r="G496" s="1597" t="e">
        <f t="shared" si="28"/>
        <v>#REF!</v>
      </c>
      <c r="H496" s="1644" t="e">
        <f t="shared" si="29"/>
        <v>#REF!</v>
      </c>
      <c r="I496" s="1597" t="e">
        <f t="shared" si="30"/>
        <v>#REF!</v>
      </c>
      <c r="J496" s="1644" t="e">
        <f t="shared" si="31"/>
        <v>#REF!</v>
      </c>
      <c r="M496" s="1545"/>
      <c r="N496" s="1545"/>
    </row>
    <row r="497" spans="1:93" ht="15.5">
      <c r="A497" s="1598" t="s">
        <v>2481</v>
      </c>
      <c r="B497" s="1599" t="s">
        <v>2156</v>
      </c>
      <c r="C497" s="1643" t="e">
        <f>+SUMIF(#REF!,Final!A497,#REF!)</f>
        <v>#REF!</v>
      </c>
      <c r="D497" s="1597" t="e">
        <f>+SUMIF(#REF!,Final!A497,#REF!)</f>
        <v>#REF!</v>
      </c>
      <c r="E497" s="1643" t="e">
        <f>SUMIF(#REF!,Final!A497,#REF!)</f>
        <v>#REF!</v>
      </c>
      <c r="F497" s="1644" t="e">
        <f>SUMIF(#REF!,Final!A497,#REF!)</f>
        <v>#REF!</v>
      </c>
      <c r="G497" s="1597" t="e">
        <f t="shared" si="28"/>
        <v>#REF!</v>
      </c>
      <c r="H497" s="1644" t="e">
        <f t="shared" si="29"/>
        <v>#REF!</v>
      </c>
      <c r="I497" s="1597" t="e">
        <f t="shared" si="30"/>
        <v>#REF!</v>
      </c>
      <c r="J497" s="1644" t="e">
        <f t="shared" si="31"/>
        <v>#REF!</v>
      </c>
      <c r="M497" s="1545"/>
      <c r="N497" s="1545"/>
    </row>
    <row r="498" spans="1:93" ht="15.5">
      <c r="A498" s="1598" t="s">
        <v>2482</v>
      </c>
      <c r="B498" s="1599" t="s">
        <v>2219</v>
      </c>
      <c r="C498" s="1643" t="e">
        <f>+SUMIF(#REF!,Final!A498,#REF!)</f>
        <v>#REF!</v>
      </c>
      <c r="D498" s="1597" t="e">
        <f>+SUMIF(#REF!,Final!A498,#REF!)</f>
        <v>#REF!</v>
      </c>
      <c r="E498" s="1643" t="e">
        <f>SUMIF(#REF!,Final!A498,#REF!)</f>
        <v>#REF!</v>
      </c>
      <c r="F498" s="1644" t="e">
        <f>SUMIF(#REF!,Final!A498,#REF!)</f>
        <v>#REF!</v>
      </c>
      <c r="G498" s="1597" t="e">
        <f t="shared" si="28"/>
        <v>#REF!</v>
      </c>
      <c r="H498" s="1644" t="e">
        <f t="shared" si="29"/>
        <v>#REF!</v>
      </c>
      <c r="I498" s="1597" t="e">
        <f t="shared" si="30"/>
        <v>#REF!</v>
      </c>
      <c r="J498" s="1644" t="e">
        <f t="shared" si="31"/>
        <v>#REF!</v>
      </c>
      <c r="M498" s="1545"/>
      <c r="N498" s="1545"/>
    </row>
    <row r="499" spans="1:93" ht="15.5">
      <c r="A499" s="1598" t="s">
        <v>2483</v>
      </c>
      <c r="B499" s="1599" t="s">
        <v>2168</v>
      </c>
      <c r="C499" s="1643" t="e">
        <f>+SUMIF(#REF!,Final!A499,#REF!)</f>
        <v>#REF!</v>
      </c>
      <c r="D499" s="1597" t="e">
        <f>+SUMIF(#REF!,Final!A499,#REF!)</f>
        <v>#REF!</v>
      </c>
      <c r="E499" s="1643" t="e">
        <f>SUMIF(#REF!,Final!A499,#REF!)</f>
        <v>#REF!</v>
      </c>
      <c r="F499" s="1644" t="e">
        <f>SUMIF(#REF!,Final!A499,#REF!)</f>
        <v>#REF!</v>
      </c>
      <c r="G499" s="1597" t="e">
        <f t="shared" si="28"/>
        <v>#REF!</v>
      </c>
      <c r="H499" s="1644" t="e">
        <f t="shared" si="29"/>
        <v>#REF!</v>
      </c>
      <c r="I499" s="1597" t="e">
        <f t="shared" si="30"/>
        <v>#REF!</v>
      </c>
      <c r="J499" s="1644" t="e">
        <f t="shared" si="31"/>
        <v>#REF!</v>
      </c>
      <c r="M499" s="1545"/>
      <c r="N499" s="1545"/>
    </row>
    <row r="500" spans="1:93" ht="15.5">
      <c r="A500" s="1598" t="s">
        <v>2484</v>
      </c>
      <c r="B500" s="1599" t="s">
        <v>2170</v>
      </c>
      <c r="C500" s="1643" t="e">
        <f>+SUMIF(#REF!,Final!A500,#REF!)</f>
        <v>#REF!</v>
      </c>
      <c r="D500" s="1597" t="e">
        <f>+SUMIF(#REF!,Final!A500,#REF!)</f>
        <v>#REF!</v>
      </c>
      <c r="E500" s="1643" t="e">
        <f>SUMIF(#REF!,Final!A500,#REF!)</f>
        <v>#REF!</v>
      </c>
      <c r="F500" s="1644" t="e">
        <f>SUMIF(#REF!,Final!A500,#REF!)</f>
        <v>#REF!</v>
      </c>
      <c r="G500" s="1597" t="e">
        <f t="shared" si="28"/>
        <v>#REF!</v>
      </c>
      <c r="H500" s="1644" t="e">
        <f t="shared" si="29"/>
        <v>#REF!</v>
      </c>
      <c r="I500" s="1597" t="e">
        <f t="shared" si="30"/>
        <v>#REF!</v>
      </c>
      <c r="J500" s="1644" t="e">
        <f t="shared" si="31"/>
        <v>#REF!</v>
      </c>
      <c r="M500" s="1545"/>
      <c r="N500" s="1545"/>
    </row>
    <row r="501" spans="1:93" ht="15.5">
      <c r="A501" s="1598" t="s">
        <v>2485</v>
      </c>
      <c r="B501" s="1599" t="s">
        <v>2172</v>
      </c>
      <c r="C501" s="1643" t="e">
        <f>+SUMIF(#REF!,Final!A501,#REF!)</f>
        <v>#REF!</v>
      </c>
      <c r="D501" s="1597" t="e">
        <f>+SUMIF(#REF!,Final!A501,#REF!)</f>
        <v>#REF!</v>
      </c>
      <c r="E501" s="1643" t="e">
        <f>SUMIF(#REF!,Final!A501,#REF!)</f>
        <v>#REF!</v>
      </c>
      <c r="F501" s="1644" t="e">
        <f>SUMIF(#REF!,Final!A501,#REF!)</f>
        <v>#REF!</v>
      </c>
      <c r="G501" s="1597" t="e">
        <f t="shared" si="28"/>
        <v>#REF!</v>
      </c>
      <c r="H501" s="1644" t="e">
        <f t="shared" si="29"/>
        <v>#REF!</v>
      </c>
      <c r="I501" s="1597" t="e">
        <f t="shared" si="30"/>
        <v>#REF!</v>
      </c>
      <c r="J501" s="1644" t="e">
        <f t="shared" si="31"/>
        <v>#REF!</v>
      </c>
      <c r="M501" s="1545"/>
      <c r="N501" s="1545"/>
    </row>
    <row r="502" spans="1:93" ht="15.5">
      <c r="A502" s="1598" t="s">
        <v>2486</v>
      </c>
      <c r="B502" s="1599" t="s">
        <v>2174</v>
      </c>
      <c r="C502" s="1643" t="e">
        <f>+SUMIF(#REF!,Final!A502,#REF!)</f>
        <v>#REF!</v>
      </c>
      <c r="D502" s="1597" t="e">
        <f>+SUMIF(#REF!,Final!A502,#REF!)</f>
        <v>#REF!</v>
      </c>
      <c r="E502" s="1643" t="e">
        <f>SUMIF(#REF!,Final!A502,#REF!)</f>
        <v>#REF!</v>
      </c>
      <c r="F502" s="1644" t="e">
        <f>SUMIF(#REF!,Final!A502,#REF!)</f>
        <v>#REF!</v>
      </c>
      <c r="G502" s="1597" t="e">
        <f t="shared" si="28"/>
        <v>#REF!</v>
      </c>
      <c r="H502" s="1644" t="e">
        <f t="shared" si="29"/>
        <v>#REF!</v>
      </c>
      <c r="I502" s="1597" t="e">
        <f t="shared" si="30"/>
        <v>#REF!</v>
      </c>
      <c r="J502" s="1644" t="e">
        <f t="shared" si="31"/>
        <v>#REF!</v>
      </c>
      <c r="M502" s="1545"/>
      <c r="N502" s="1545"/>
    </row>
    <row r="503" spans="1:93" ht="15.5">
      <c r="A503" s="1598" t="s">
        <v>2487</v>
      </c>
      <c r="B503" s="1599" t="s">
        <v>2176</v>
      </c>
      <c r="C503" s="1643" t="e">
        <f>+SUMIF(#REF!,Final!A503,#REF!)</f>
        <v>#REF!</v>
      </c>
      <c r="D503" s="1597" t="e">
        <f>+SUMIF(#REF!,Final!A503,#REF!)</f>
        <v>#REF!</v>
      </c>
      <c r="E503" s="1643" t="e">
        <f>SUMIF(#REF!,Final!A503,#REF!)</f>
        <v>#REF!</v>
      </c>
      <c r="F503" s="1644" t="e">
        <f>SUMIF(#REF!,Final!A503,#REF!)</f>
        <v>#REF!</v>
      </c>
      <c r="G503" s="1597" t="e">
        <f t="shared" si="28"/>
        <v>#REF!</v>
      </c>
      <c r="H503" s="1644" t="e">
        <f t="shared" si="29"/>
        <v>#REF!</v>
      </c>
      <c r="I503" s="1597" t="e">
        <f t="shared" si="30"/>
        <v>#REF!</v>
      </c>
      <c r="J503" s="1644" t="e">
        <f t="shared" si="31"/>
        <v>#REF!</v>
      </c>
      <c r="M503" s="1545"/>
      <c r="N503" s="1545"/>
    </row>
    <row r="504" spans="1:93" ht="15.5">
      <c r="A504" s="1598" t="s">
        <v>2488</v>
      </c>
      <c r="B504" s="1599" t="s">
        <v>2178</v>
      </c>
      <c r="C504" s="1643" t="e">
        <f>+SUMIF(#REF!,Final!A504,#REF!)</f>
        <v>#REF!</v>
      </c>
      <c r="D504" s="1597" t="e">
        <f>+SUMIF(#REF!,Final!A504,#REF!)</f>
        <v>#REF!</v>
      </c>
      <c r="E504" s="1643" t="e">
        <f>SUMIF(#REF!,Final!A504,#REF!)</f>
        <v>#REF!</v>
      </c>
      <c r="F504" s="1644" t="e">
        <f>SUMIF(#REF!,Final!A504,#REF!)</f>
        <v>#REF!</v>
      </c>
      <c r="G504" s="1597" t="e">
        <f t="shared" si="28"/>
        <v>#REF!</v>
      </c>
      <c r="H504" s="1644" t="e">
        <f t="shared" si="29"/>
        <v>#REF!</v>
      </c>
      <c r="I504" s="1597" t="e">
        <f t="shared" si="30"/>
        <v>#REF!</v>
      </c>
      <c r="J504" s="1644" t="e">
        <f t="shared" si="31"/>
        <v>#REF!</v>
      </c>
      <c r="M504" s="1545"/>
      <c r="N504" s="1545"/>
    </row>
    <row r="505" spans="1:93" s="1542" customFormat="1" ht="15.5">
      <c r="A505" s="1598" t="s">
        <v>2489</v>
      </c>
      <c r="B505" s="1599" t="s">
        <v>2180</v>
      </c>
      <c r="C505" s="1643" t="e">
        <f>+SUMIF(#REF!,Final!A505,#REF!)</f>
        <v>#REF!</v>
      </c>
      <c r="D505" s="1597" t="e">
        <f>+SUMIF(#REF!,Final!A505,#REF!)</f>
        <v>#REF!</v>
      </c>
      <c r="E505" s="1643" t="e">
        <f>SUMIF(#REF!,Final!A505,#REF!)</f>
        <v>#REF!</v>
      </c>
      <c r="F505" s="1644" t="e">
        <f>SUMIF(#REF!,Final!A505,#REF!)</f>
        <v>#REF!</v>
      </c>
      <c r="G505" s="1597" t="e">
        <f t="shared" si="28"/>
        <v>#REF!</v>
      </c>
      <c r="H505" s="1644" t="e">
        <f t="shared" si="29"/>
        <v>#REF!</v>
      </c>
      <c r="I505" s="1597" t="e">
        <f t="shared" si="30"/>
        <v>#REF!</v>
      </c>
      <c r="J505" s="1644" t="e">
        <f t="shared" si="31"/>
        <v>#REF!</v>
      </c>
      <c r="K505" s="1539"/>
      <c r="L505" s="1539"/>
      <c r="M505" s="1545"/>
      <c r="N505" s="1545"/>
      <c r="O505" s="1539"/>
      <c r="P505" s="1539"/>
      <c r="Q505" s="1539"/>
      <c r="R505" s="1539"/>
      <c r="S505" s="1539"/>
      <c r="T505" s="1539"/>
      <c r="U505" s="1539"/>
      <c r="V505" s="1539"/>
      <c r="W505" s="1539"/>
      <c r="X505" s="1539"/>
      <c r="Y505" s="1539"/>
      <c r="Z505" s="1539"/>
      <c r="AA505" s="1539"/>
      <c r="AB505" s="1539"/>
      <c r="AC505" s="1539"/>
      <c r="AD505" s="1539"/>
      <c r="AE505" s="1539"/>
      <c r="AF505" s="1539"/>
      <c r="AG505" s="1539"/>
      <c r="AH505" s="1539"/>
      <c r="AI505" s="1539"/>
      <c r="AJ505" s="1539"/>
      <c r="AK505" s="1539"/>
      <c r="AL505" s="1539"/>
      <c r="AM505" s="1539"/>
      <c r="AN505" s="1539"/>
      <c r="AO505" s="1539"/>
      <c r="AP505" s="1539"/>
      <c r="AQ505" s="1539"/>
      <c r="AR505" s="1539"/>
      <c r="AS505" s="1539"/>
      <c r="AT505" s="1539"/>
      <c r="AU505" s="1539"/>
      <c r="AV505" s="1539"/>
      <c r="AW505" s="1539"/>
      <c r="AX505" s="1539"/>
      <c r="AY505" s="1539"/>
      <c r="AZ505" s="1539"/>
      <c r="BA505" s="1539"/>
      <c r="BB505" s="1539"/>
      <c r="BC505" s="1539"/>
      <c r="BD505" s="1539"/>
      <c r="BE505" s="1539"/>
      <c r="BF505" s="1539"/>
      <c r="BG505" s="1539"/>
      <c r="BH505" s="1539"/>
      <c r="BI505" s="1539"/>
      <c r="BJ505" s="1539"/>
      <c r="BK505" s="1539"/>
      <c r="BL505" s="1539"/>
      <c r="BM505" s="1539"/>
      <c r="BN505" s="1539"/>
      <c r="BO505" s="1539"/>
      <c r="BP505" s="1539"/>
      <c r="BQ505" s="1539"/>
      <c r="BR505" s="1539"/>
      <c r="BS505" s="1539"/>
      <c r="BT505" s="1539"/>
      <c r="BU505" s="1539"/>
      <c r="BV505" s="1539"/>
      <c r="BW505" s="1539"/>
      <c r="BX505" s="1539"/>
      <c r="BY505" s="1539"/>
      <c r="BZ505" s="1539"/>
      <c r="CA505" s="1539"/>
      <c r="CB505" s="1539"/>
      <c r="CC505" s="1539"/>
      <c r="CD505" s="1539"/>
      <c r="CE505" s="1539"/>
      <c r="CF505" s="1539"/>
      <c r="CG505" s="1539"/>
      <c r="CH505" s="1539"/>
      <c r="CI505" s="1539"/>
      <c r="CJ505" s="1539"/>
      <c r="CK505" s="1539"/>
      <c r="CL505" s="1539"/>
      <c r="CM505" s="1539"/>
      <c r="CN505" s="1539"/>
      <c r="CO505" s="1539"/>
    </row>
    <row r="506" spans="1:93" ht="15.5">
      <c r="A506" s="1598" t="s">
        <v>2490</v>
      </c>
      <c r="B506" s="1599" t="s">
        <v>2182</v>
      </c>
      <c r="C506" s="1643" t="e">
        <f>+SUMIF(#REF!,Final!A506,#REF!)</f>
        <v>#REF!</v>
      </c>
      <c r="D506" s="1597" t="e">
        <f>+SUMIF(#REF!,Final!A506,#REF!)</f>
        <v>#REF!</v>
      </c>
      <c r="E506" s="1643" t="e">
        <f>SUMIF(#REF!,Final!A506,#REF!)</f>
        <v>#REF!</v>
      </c>
      <c r="F506" s="1644" t="e">
        <f>SUMIF(#REF!,Final!A506,#REF!)</f>
        <v>#REF!</v>
      </c>
      <c r="G506" s="1597" t="e">
        <f t="shared" si="28"/>
        <v>#REF!</v>
      </c>
      <c r="H506" s="1644" t="e">
        <f t="shared" si="29"/>
        <v>#REF!</v>
      </c>
      <c r="I506" s="1597" t="e">
        <f t="shared" si="30"/>
        <v>#REF!</v>
      </c>
      <c r="J506" s="1644" t="e">
        <f t="shared" si="31"/>
        <v>#REF!</v>
      </c>
      <c r="M506" s="1545"/>
      <c r="N506" s="1545"/>
    </row>
    <row r="507" spans="1:93" ht="15.5">
      <c r="A507" s="1598" t="s">
        <v>2491</v>
      </c>
      <c r="B507" s="1599" t="s">
        <v>2240</v>
      </c>
      <c r="C507" s="1643" t="e">
        <f>+SUMIF(#REF!,Final!A507,#REF!)</f>
        <v>#REF!</v>
      </c>
      <c r="D507" s="1597" t="e">
        <f>+SUMIF(#REF!,Final!A507,#REF!)</f>
        <v>#REF!</v>
      </c>
      <c r="E507" s="1643" t="e">
        <f>SUMIF(#REF!,Final!A507,#REF!)</f>
        <v>#REF!</v>
      </c>
      <c r="F507" s="1644" t="e">
        <f>SUMIF(#REF!,Final!A507,#REF!)</f>
        <v>#REF!</v>
      </c>
      <c r="G507" s="1597" t="e">
        <f t="shared" si="28"/>
        <v>#REF!</v>
      </c>
      <c r="H507" s="1644" t="e">
        <f t="shared" si="29"/>
        <v>#REF!</v>
      </c>
      <c r="I507" s="1597" t="e">
        <f t="shared" si="30"/>
        <v>#REF!</v>
      </c>
      <c r="J507" s="1644" t="e">
        <f t="shared" si="31"/>
        <v>#REF!</v>
      </c>
      <c r="M507" s="1545"/>
      <c r="N507" s="1545"/>
    </row>
    <row r="508" spans="1:93" ht="15.5">
      <c r="A508" s="1598" t="s">
        <v>2492</v>
      </c>
      <c r="B508" s="1599" t="s">
        <v>2242</v>
      </c>
      <c r="C508" s="1643" t="e">
        <f>+SUMIF(#REF!,Final!A508,#REF!)</f>
        <v>#REF!</v>
      </c>
      <c r="D508" s="1597" t="e">
        <f>+SUMIF(#REF!,Final!A508,#REF!)</f>
        <v>#REF!</v>
      </c>
      <c r="E508" s="1643" t="e">
        <f>SUMIF(#REF!,Final!A508,#REF!)</f>
        <v>#REF!</v>
      </c>
      <c r="F508" s="1644" t="e">
        <f>SUMIF(#REF!,Final!A508,#REF!)</f>
        <v>#REF!</v>
      </c>
      <c r="G508" s="1597" t="e">
        <f t="shared" si="28"/>
        <v>#REF!</v>
      </c>
      <c r="H508" s="1644" t="e">
        <f t="shared" si="29"/>
        <v>#REF!</v>
      </c>
      <c r="I508" s="1597" t="e">
        <f t="shared" si="30"/>
        <v>#REF!</v>
      </c>
      <c r="J508" s="1644" t="e">
        <f t="shared" si="31"/>
        <v>#REF!</v>
      </c>
      <c r="M508" s="1545"/>
      <c r="N508" s="1545"/>
    </row>
    <row r="509" spans="1:93" ht="15.5">
      <c r="A509" s="1598" t="s">
        <v>2493</v>
      </c>
      <c r="B509" s="1599" t="s">
        <v>2246</v>
      </c>
      <c r="C509" s="1643" t="e">
        <f>+SUMIF(#REF!,Final!A509,#REF!)</f>
        <v>#REF!</v>
      </c>
      <c r="D509" s="1597" t="e">
        <f>+SUMIF(#REF!,Final!A509,#REF!)</f>
        <v>#REF!</v>
      </c>
      <c r="E509" s="1643" t="e">
        <f>SUMIF(#REF!,Final!A509,#REF!)</f>
        <v>#REF!</v>
      </c>
      <c r="F509" s="1644" t="e">
        <f>SUMIF(#REF!,Final!A509,#REF!)</f>
        <v>#REF!</v>
      </c>
      <c r="G509" s="1597" t="e">
        <f t="shared" si="28"/>
        <v>#REF!</v>
      </c>
      <c r="H509" s="1644" t="e">
        <f t="shared" si="29"/>
        <v>#REF!</v>
      </c>
      <c r="I509" s="1597" t="e">
        <f t="shared" si="30"/>
        <v>#REF!</v>
      </c>
      <c r="J509" s="1644" t="e">
        <f t="shared" si="31"/>
        <v>#REF!</v>
      </c>
      <c r="M509" s="1545"/>
      <c r="N509" s="1545"/>
    </row>
    <row r="510" spans="1:93" ht="15.5">
      <c r="A510" s="1598" t="s">
        <v>2494</v>
      </c>
      <c r="B510" s="1599" t="s">
        <v>2244</v>
      </c>
      <c r="C510" s="1643" t="e">
        <f>+SUMIF(#REF!,Final!A510,#REF!)</f>
        <v>#REF!</v>
      </c>
      <c r="D510" s="1597" t="e">
        <f>+SUMIF(#REF!,Final!A510,#REF!)</f>
        <v>#REF!</v>
      </c>
      <c r="E510" s="1643" t="e">
        <f>SUMIF(#REF!,Final!A510,#REF!)</f>
        <v>#REF!</v>
      </c>
      <c r="F510" s="1644" t="e">
        <f>SUMIF(#REF!,Final!A510,#REF!)</f>
        <v>#REF!</v>
      </c>
      <c r="G510" s="1597" t="e">
        <f t="shared" si="28"/>
        <v>#REF!</v>
      </c>
      <c r="H510" s="1644" t="e">
        <f t="shared" si="29"/>
        <v>#REF!</v>
      </c>
      <c r="I510" s="1597" t="e">
        <f t="shared" si="30"/>
        <v>#REF!</v>
      </c>
      <c r="J510" s="1644" t="e">
        <f t="shared" si="31"/>
        <v>#REF!</v>
      </c>
      <c r="M510" s="1545"/>
      <c r="N510" s="1545"/>
    </row>
    <row r="511" spans="1:93" ht="15.5">
      <c r="A511" s="1598" t="s">
        <v>2495</v>
      </c>
      <c r="B511" s="1599" t="s">
        <v>2221</v>
      </c>
      <c r="C511" s="1643" t="e">
        <f>+SUMIF(#REF!,Final!A511,#REF!)</f>
        <v>#REF!</v>
      </c>
      <c r="D511" s="1597" t="e">
        <f>+SUMIF(#REF!,Final!A511,#REF!)</f>
        <v>#REF!</v>
      </c>
      <c r="E511" s="1643" t="e">
        <f>SUMIF(#REF!,Final!A511,#REF!)</f>
        <v>#REF!</v>
      </c>
      <c r="F511" s="1644" t="e">
        <f>SUMIF(#REF!,Final!A511,#REF!)</f>
        <v>#REF!</v>
      </c>
      <c r="G511" s="1597" t="e">
        <f t="shared" si="28"/>
        <v>#REF!</v>
      </c>
      <c r="H511" s="1644" t="e">
        <f t="shared" si="29"/>
        <v>#REF!</v>
      </c>
      <c r="I511" s="1597" t="e">
        <f t="shared" si="30"/>
        <v>#REF!</v>
      </c>
      <c r="J511" s="1644" t="e">
        <f t="shared" si="31"/>
        <v>#REF!</v>
      </c>
      <c r="M511" s="1545"/>
      <c r="N511" s="1545"/>
    </row>
    <row r="512" spans="1:93" ht="15.5">
      <c r="A512" s="1598" t="s">
        <v>2496</v>
      </c>
      <c r="B512" s="1599" t="s">
        <v>2223</v>
      </c>
      <c r="C512" s="1643" t="e">
        <f>+SUMIF(#REF!,Final!A512,#REF!)</f>
        <v>#REF!</v>
      </c>
      <c r="D512" s="1597" t="e">
        <f>+SUMIF(#REF!,Final!A512,#REF!)</f>
        <v>#REF!</v>
      </c>
      <c r="E512" s="1643" t="e">
        <f>SUMIF(#REF!,Final!A512,#REF!)</f>
        <v>#REF!</v>
      </c>
      <c r="F512" s="1644" t="e">
        <f>SUMIF(#REF!,Final!A512,#REF!)</f>
        <v>#REF!</v>
      </c>
      <c r="G512" s="1597" t="e">
        <f t="shared" si="28"/>
        <v>#REF!</v>
      </c>
      <c r="H512" s="1644" t="e">
        <f t="shared" si="29"/>
        <v>#REF!</v>
      </c>
      <c r="I512" s="1597" t="e">
        <f t="shared" si="30"/>
        <v>#REF!</v>
      </c>
      <c r="J512" s="1644" t="e">
        <f t="shared" si="31"/>
        <v>#REF!</v>
      </c>
      <c r="M512" s="1545"/>
      <c r="N512" s="1545"/>
    </row>
    <row r="513" spans="1:93" s="1552" customFormat="1" ht="15.5">
      <c r="A513" s="1598"/>
      <c r="B513" s="1599" t="s">
        <v>754</v>
      </c>
      <c r="C513" s="1643" t="e">
        <f>+SUMIF(#REF!,Final!A513,#REF!)</f>
        <v>#REF!</v>
      </c>
      <c r="D513" s="1597" t="e">
        <f>+SUMIF(#REF!,Final!A513,#REF!)</f>
        <v>#REF!</v>
      </c>
      <c r="E513" s="1643" t="e">
        <f>SUMIF(#REF!,Final!A513,#REF!)</f>
        <v>#REF!</v>
      </c>
      <c r="F513" s="1644" t="e">
        <f>SUMIF(#REF!,Final!A513,#REF!)</f>
        <v>#REF!</v>
      </c>
      <c r="G513" s="1597" t="e">
        <f t="shared" si="28"/>
        <v>#REF!</v>
      </c>
      <c r="H513" s="1644" t="e">
        <f t="shared" si="29"/>
        <v>#REF!</v>
      </c>
      <c r="I513" s="1597" t="e">
        <f t="shared" si="30"/>
        <v>#REF!</v>
      </c>
      <c r="J513" s="1644" t="e">
        <f t="shared" si="31"/>
        <v>#REF!</v>
      </c>
      <c r="K513" s="1539"/>
      <c r="L513" s="1539"/>
      <c r="M513" s="1545"/>
      <c r="N513" s="1545"/>
      <c r="O513" s="1539"/>
      <c r="P513" s="1539"/>
      <c r="Q513" s="1539"/>
      <c r="R513" s="1539"/>
      <c r="S513" s="1539"/>
      <c r="T513" s="1539"/>
      <c r="U513" s="1539"/>
      <c r="V513" s="1539"/>
      <c r="W513" s="1539"/>
      <c r="X513" s="1539"/>
      <c r="Y513" s="1539"/>
      <c r="Z513" s="1539"/>
      <c r="AA513" s="1539"/>
      <c r="AB513" s="1539"/>
      <c r="AC513" s="1539"/>
      <c r="AD513" s="1539"/>
      <c r="AE513" s="1539"/>
      <c r="AF513" s="1539"/>
      <c r="AG513" s="1539"/>
      <c r="AH513" s="1539"/>
      <c r="AI513" s="1539"/>
      <c r="AJ513" s="1539"/>
      <c r="AK513" s="1539"/>
      <c r="AL513" s="1539"/>
      <c r="AM513" s="1539"/>
      <c r="AN513" s="1539"/>
      <c r="AO513" s="1539"/>
      <c r="AP513" s="1539"/>
      <c r="AQ513" s="1539"/>
      <c r="AR513" s="1539"/>
      <c r="AS513" s="1539"/>
      <c r="AT513" s="1539"/>
      <c r="AU513" s="1539"/>
      <c r="AV513" s="1539"/>
      <c r="AW513" s="1539"/>
      <c r="AX513" s="1539"/>
      <c r="AY513" s="1539"/>
      <c r="AZ513" s="1539"/>
      <c r="BA513" s="1539"/>
      <c r="BB513" s="1539"/>
      <c r="BC513" s="1539"/>
      <c r="BD513" s="1539"/>
      <c r="BE513" s="1539"/>
      <c r="BF513" s="1539"/>
      <c r="BG513" s="1539"/>
      <c r="BH513" s="1539"/>
      <c r="BI513" s="1539"/>
      <c r="BJ513" s="1539"/>
      <c r="BK513" s="1539"/>
      <c r="BL513" s="1539"/>
      <c r="BM513" s="1539"/>
      <c r="BN513" s="1539"/>
      <c r="BO513" s="1539"/>
      <c r="BP513" s="1539"/>
      <c r="BQ513" s="1539"/>
      <c r="BR513" s="1539"/>
      <c r="BS513" s="1539"/>
      <c r="BT513" s="1539"/>
      <c r="BU513" s="1539"/>
      <c r="BV513" s="1539"/>
      <c r="BW513" s="1539"/>
      <c r="BX513" s="1539"/>
      <c r="BY513" s="1539"/>
      <c r="BZ513" s="1539"/>
      <c r="CA513" s="1539"/>
      <c r="CB513" s="1539"/>
      <c r="CC513" s="1539"/>
      <c r="CD513" s="1539"/>
      <c r="CE513" s="1539"/>
      <c r="CF513" s="1539"/>
      <c r="CG513" s="1539"/>
      <c r="CH513" s="1539"/>
      <c r="CI513" s="1539"/>
      <c r="CJ513" s="1539"/>
      <c r="CK513" s="1539"/>
      <c r="CL513" s="1539"/>
      <c r="CM513" s="1539"/>
      <c r="CN513" s="1539"/>
      <c r="CO513" s="1539"/>
    </row>
    <row r="514" spans="1:93" s="1552" customFormat="1" ht="15.5">
      <c r="A514" s="1598"/>
      <c r="B514" s="1599" t="s">
        <v>1760</v>
      </c>
      <c r="C514" s="1643" t="e">
        <f>+SUMIF(#REF!,Final!A514,#REF!)</f>
        <v>#REF!</v>
      </c>
      <c r="D514" s="1597" t="e">
        <f>+SUMIF(#REF!,Final!A514,#REF!)</f>
        <v>#REF!</v>
      </c>
      <c r="E514" s="1643" t="e">
        <f>SUMIF(#REF!,Final!A514,#REF!)</f>
        <v>#REF!</v>
      </c>
      <c r="F514" s="1644" t="e">
        <f>SUMIF(#REF!,Final!A514,#REF!)</f>
        <v>#REF!</v>
      </c>
      <c r="G514" s="1597" t="e">
        <f t="shared" si="28"/>
        <v>#REF!</v>
      </c>
      <c r="H514" s="1644" t="e">
        <f t="shared" si="29"/>
        <v>#REF!</v>
      </c>
      <c r="I514" s="1597" t="e">
        <f t="shared" si="30"/>
        <v>#REF!</v>
      </c>
      <c r="J514" s="1644" t="e">
        <f t="shared" si="31"/>
        <v>#REF!</v>
      </c>
      <c r="K514" s="1539"/>
      <c r="L514" s="1539"/>
      <c r="M514" s="1545"/>
      <c r="N514" s="1545"/>
      <c r="O514" s="1539"/>
      <c r="P514" s="1539"/>
      <c r="Q514" s="1539"/>
      <c r="R514" s="1539"/>
      <c r="S514" s="1539"/>
      <c r="T514" s="1539"/>
      <c r="U514" s="1539"/>
      <c r="V514" s="1539"/>
      <c r="W514" s="1539"/>
      <c r="X514" s="1539"/>
      <c r="Y514" s="1539"/>
      <c r="Z514" s="1539"/>
      <c r="AA514" s="1539"/>
      <c r="AB514" s="1539"/>
      <c r="AC514" s="1539"/>
      <c r="AD514" s="1539"/>
      <c r="AE514" s="1539"/>
      <c r="AF514" s="1539"/>
      <c r="AG514" s="1539"/>
      <c r="AH514" s="1539"/>
      <c r="AI514" s="1539"/>
      <c r="AJ514" s="1539"/>
      <c r="AK514" s="1539"/>
      <c r="AL514" s="1539"/>
      <c r="AM514" s="1539"/>
      <c r="AN514" s="1539"/>
      <c r="AO514" s="1539"/>
      <c r="AP514" s="1539"/>
      <c r="AQ514" s="1539"/>
      <c r="AR514" s="1539"/>
      <c r="AS514" s="1539"/>
      <c r="AT514" s="1539"/>
      <c r="AU514" s="1539"/>
      <c r="AV514" s="1539"/>
      <c r="AW514" s="1539"/>
      <c r="AX514" s="1539"/>
      <c r="AY514" s="1539"/>
      <c r="AZ514" s="1539"/>
      <c r="BA514" s="1539"/>
      <c r="BB514" s="1539"/>
      <c r="BC514" s="1539"/>
      <c r="BD514" s="1539"/>
      <c r="BE514" s="1539"/>
      <c r="BF514" s="1539"/>
      <c r="BG514" s="1539"/>
      <c r="BH514" s="1539"/>
      <c r="BI514" s="1539"/>
      <c r="BJ514" s="1539"/>
      <c r="BK514" s="1539"/>
      <c r="BL514" s="1539"/>
      <c r="BM514" s="1539"/>
      <c r="BN514" s="1539"/>
      <c r="BO514" s="1539"/>
      <c r="BP514" s="1539"/>
      <c r="BQ514" s="1539"/>
      <c r="BR514" s="1539"/>
      <c r="BS514" s="1539"/>
      <c r="BT514" s="1539"/>
      <c r="BU514" s="1539"/>
      <c r="BV514" s="1539"/>
      <c r="BW514" s="1539"/>
      <c r="BX514" s="1539"/>
      <c r="BY514" s="1539"/>
      <c r="BZ514" s="1539"/>
      <c r="CA514" s="1539"/>
      <c r="CB514" s="1539"/>
      <c r="CC514" s="1539"/>
      <c r="CD514" s="1539"/>
      <c r="CE514" s="1539"/>
      <c r="CF514" s="1539"/>
      <c r="CG514" s="1539"/>
      <c r="CH514" s="1539"/>
      <c r="CI514" s="1539"/>
      <c r="CJ514" s="1539"/>
      <c r="CK514" s="1539"/>
      <c r="CL514" s="1539"/>
      <c r="CM514" s="1539"/>
      <c r="CN514" s="1539"/>
      <c r="CO514" s="1539"/>
    </row>
    <row r="515" spans="1:93" s="1542" customFormat="1" ht="15.5">
      <c r="A515" s="1598" t="s">
        <v>1412</v>
      </c>
      <c r="B515" s="1599" t="s">
        <v>2497</v>
      </c>
      <c r="C515" s="1643" t="e">
        <f>+SUMIF(#REF!,Final!A515,#REF!)</f>
        <v>#REF!</v>
      </c>
      <c r="D515" s="1597" t="e">
        <f>+SUMIF(#REF!,Final!A515,#REF!)</f>
        <v>#REF!</v>
      </c>
      <c r="E515" s="1643" t="e">
        <f>SUMIF(#REF!,Final!A515,#REF!)</f>
        <v>#REF!</v>
      </c>
      <c r="F515" s="1644" t="e">
        <f>SUMIF(#REF!,Final!A515,#REF!)</f>
        <v>#REF!</v>
      </c>
      <c r="G515" s="1597" t="e">
        <f t="shared" si="28"/>
        <v>#REF!</v>
      </c>
      <c r="H515" s="1644" t="e">
        <f t="shared" si="29"/>
        <v>#REF!</v>
      </c>
      <c r="I515" s="1597" t="e">
        <f t="shared" si="30"/>
        <v>#REF!</v>
      </c>
      <c r="J515" s="1644" t="e">
        <f t="shared" si="31"/>
        <v>#REF!</v>
      </c>
      <c r="K515" s="1539"/>
      <c r="L515" s="1539"/>
      <c r="M515" s="1545"/>
      <c r="N515" s="1545"/>
      <c r="O515" s="1539"/>
      <c r="P515" s="1539"/>
      <c r="Q515" s="1539"/>
      <c r="R515" s="1539"/>
      <c r="S515" s="1539"/>
      <c r="T515" s="1539"/>
      <c r="U515" s="1539"/>
      <c r="V515" s="1539"/>
      <c r="W515" s="1539"/>
      <c r="X515" s="1539"/>
      <c r="Y515" s="1539"/>
      <c r="Z515" s="1539"/>
      <c r="AA515" s="1539"/>
      <c r="AB515" s="1539"/>
      <c r="AC515" s="1539"/>
      <c r="AD515" s="1539"/>
      <c r="AE515" s="1539"/>
      <c r="AF515" s="1539"/>
      <c r="AG515" s="1539"/>
      <c r="AH515" s="1539"/>
      <c r="AI515" s="1539"/>
      <c r="AJ515" s="1539"/>
      <c r="AK515" s="1539"/>
      <c r="AL515" s="1539"/>
      <c r="AM515" s="1539"/>
      <c r="AN515" s="1539"/>
      <c r="AO515" s="1539"/>
      <c r="AP515" s="1539"/>
      <c r="AQ515" s="1539"/>
      <c r="AR515" s="1539"/>
      <c r="AS515" s="1539"/>
      <c r="AT515" s="1539"/>
      <c r="AU515" s="1539"/>
      <c r="AV515" s="1539"/>
      <c r="AW515" s="1539"/>
      <c r="AX515" s="1539"/>
      <c r="AY515" s="1539"/>
      <c r="AZ515" s="1539"/>
      <c r="BA515" s="1539"/>
      <c r="BB515" s="1539"/>
      <c r="BC515" s="1539"/>
      <c r="BD515" s="1539"/>
      <c r="BE515" s="1539"/>
      <c r="BF515" s="1539"/>
      <c r="BG515" s="1539"/>
      <c r="BH515" s="1539"/>
      <c r="BI515" s="1539"/>
      <c r="BJ515" s="1539"/>
      <c r="BK515" s="1539"/>
      <c r="BL515" s="1539"/>
      <c r="BM515" s="1539"/>
      <c r="BN515" s="1539"/>
      <c r="BO515" s="1539"/>
      <c r="BP515" s="1539"/>
      <c r="BQ515" s="1539"/>
      <c r="BR515" s="1539"/>
      <c r="BS515" s="1539"/>
      <c r="BT515" s="1539"/>
      <c r="BU515" s="1539"/>
      <c r="BV515" s="1539"/>
      <c r="BW515" s="1539"/>
      <c r="BX515" s="1539"/>
      <c r="BY515" s="1539"/>
      <c r="BZ515" s="1539"/>
      <c r="CA515" s="1539"/>
      <c r="CB515" s="1539"/>
      <c r="CC515" s="1539"/>
      <c r="CD515" s="1539"/>
      <c r="CE515" s="1539"/>
      <c r="CF515" s="1539"/>
      <c r="CG515" s="1539"/>
      <c r="CH515" s="1539"/>
      <c r="CI515" s="1539"/>
      <c r="CJ515" s="1539"/>
      <c r="CK515" s="1539"/>
      <c r="CL515" s="1539"/>
      <c r="CM515" s="1539"/>
      <c r="CN515" s="1539"/>
      <c r="CO515" s="1539"/>
    </row>
    <row r="516" spans="1:93" ht="15.5">
      <c r="A516" s="1598" t="s">
        <v>2498</v>
      </c>
      <c r="B516" s="1599" t="s">
        <v>2499</v>
      </c>
      <c r="C516" s="1643" t="e">
        <f>+SUMIF(#REF!,Final!A516,#REF!)</f>
        <v>#REF!</v>
      </c>
      <c r="D516" s="1597" t="e">
        <f>+SUMIF(#REF!,Final!A516,#REF!)</f>
        <v>#REF!</v>
      </c>
      <c r="E516" s="1643" t="e">
        <f>SUMIF(#REF!,Final!A516,#REF!)</f>
        <v>#REF!</v>
      </c>
      <c r="F516" s="1644" t="e">
        <f>SUMIF(#REF!,Final!A516,#REF!)</f>
        <v>#REF!</v>
      </c>
      <c r="G516" s="1597" t="e">
        <f t="shared" si="28"/>
        <v>#REF!</v>
      </c>
      <c r="H516" s="1644" t="e">
        <f t="shared" si="29"/>
        <v>#REF!</v>
      </c>
      <c r="I516" s="1597" t="e">
        <f t="shared" si="30"/>
        <v>#REF!</v>
      </c>
      <c r="J516" s="1644" t="e">
        <f t="shared" si="31"/>
        <v>#REF!</v>
      </c>
      <c r="M516" s="1545"/>
      <c r="N516" s="1545"/>
    </row>
    <row r="517" spans="1:93" ht="15.5">
      <c r="A517" s="1598" t="s">
        <v>2500</v>
      </c>
      <c r="B517" s="1599" t="s">
        <v>2501</v>
      </c>
      <c r="C517" s="1643" t="e">
        <f>+SUMIF(#REF!,Final!A517,#REF!)</f>
        <v>#REF!</v>
      </c>
      <c r="D517" s="1597" t="e">
        <f>+SUMIF(#REF!,Final!A517,#REF!)</f>
        <v>#REF!</v>
      </c>
      <c r="E517" s="1643" t="e">
        <f>SUMIF(#REF!,Final!A517,#REF!)</f>
        <v>#REF!</v>
      </c>
      <c r="F517" s="1644" t="e">
        <f>SUMIF(#REF!,Final!A517,#REF!)</f>
        <v>#REF!</v>
      </c>
      <c r="G517" s="1597" t="e">
        <f t="shared" si="28"/>
        <v>#REF!</v>
      </c>
      <c r="H517" s="1644" t="e">
        <f t="shared" si="29"/>
        <v>#REF!</v>
      </c>
      <c r="I517" s="1597" t="e">
        <f t="shared" si="30"/>
        <v>#REF!</v>
      </c>
      <c r="J517" s="1644" t="e">
        <f t="shared" si="31"/>
        <v>#REF!</v>
      </c>
      <c r="M517" s="1545"/>
      <c r="N517" s="1545"/>
    </row>
    <row r="518" spans="1:93" ht="15.5">
      <c r="A518" s="1598" t="s">
        <v>3907</v>
      </c>
      <c r="B518" s="1599" t="s">
        <v>3908</v>
      </c>
      <c r="C518" s="1643" t="e">
        <f>+SUMIF(#REF!,Final!A518,#REF!)</f>
        <v>#REF!</v>
      </c>
      <c r="D518" s="1597" t="e">
        <f>+SUMIF(#REF!,Final!A518,#REF!)</f>
        <v>#REF!</v>
      </c>
      <c r="E518" s="1643" t="e">
        <f>SUMIF(#REF!,Final!A518,#REF!)</f>
        <v>#REF!</v>
      </c>
      <c r="F518" s="1644" t="e">
        <f>SUMIF(#REF!,Final!A518,#REF!)</f>
        <v>#REF!</v>
      </c>
      <c r="G518" s="1597" t="e">
        <f t="shared" si="28"/>
        <v>#REF!</v>
      </c>
      <c r="H518" s="1644" t="e">
        <f t="shared" si="29"/>
        <v>#REF!</v>
      </c>
      <c r="I518" s="1597" t="e">
        <f t="shared" si="30"/>
        <v>#REF!</v>
      </c>
      <c r="J518" s="1644" t="e">
        <f t="shared" si="31"/>
        <v>#REF!</v>
      </c>
      <c r="M518" s="1545"/>
      <c r="N518" s="1545"/>
    </row>
    <row r="519" spans="1:93" ht="15.5">
      <c r="A519" s="1598" t="s">
        <v>2502</v>
      </c>
      <c r="B519" s="1599" t="s">
        <v>2503</v>
      </c>
      <c r="C519" s="1643" t="e">
        <f>+SUMIF(#REF!,Final!A519,#REF!)</f>
        <v>#REF!</v>
      </c>
      <c r="D519" s="1597" t="e">
        <f>+SUMIF(#REF!,Final!A519,#REF!)</f>
        <v>#REF!</v>
      </c>
      <c r="E519" s="1643" t="e">
        <f>SUMIF(#REF!,Final!A519,#REF!)</f>
        <v>#REF!</v>
      </c>
      <c r="F519" s="1644" t="e">
        <f>SUMIF(#REF!,Final!A519,#REF!)</f>
        <v>#REF!</v>
      </c>
      <c r="G519" s="1597" t="e">
        <f t="shared" si="28"/>
        <v>#REF!</v>
      </c>
      <c r="H519" s="1644" t="e">
        <f t="shared" si="29"/>
        <v>#REF!</v>
      </c>
      <c r="I519" s="1597" t="e">
        <f t="shared" si="30"/>
        <v>#REF!</v>
      </c>
      <c r="J519" s="1644" t="e">
        <f t="shared" si="31"/>
        <v>#REF!</v>
      </c>
      <c r="M519" s="1545"/>
      <c r="N519" s="1545"/>
    </row>
    <row r="520" spans="1:93" ht="15.5">
      <c r="A520" s="1598" t="s">
        <v>2504</v>
      </c>
      <c r="B520" s="1599" t="s">
        <v>2505</v>
      </c>
      <c r="C520" s="1643" t="e">
        <f>+SUMIF(#REF!,Final!A520,#REF!)</f>
        <v>#REF!</v>
      </c>
      <c r="D520" s="1597" t="e">
        <f>+SUMIF(#REF!,Final!A520,#REF!)</f>
        <v>#REF!</v>
      </c>
      <c r="E520" s="1643" t="e">
        <f>SUMIF(#REF!,Final!A520,#REF!)</f>
        <v>#REF!</v>
      </c>
      <c r="F520" s="1644" t="e">
        <f>SUMIF(#REF!,Final!A520,#REF!)</f>
        <v>#REF!</v>
      </c>
      <c r="G520" s="1597" t="e">
        <f t="shared" ref="G520:G583" si="32">C520+E520</f>
        <v>#REF!</v>
      </c>
      <c r="H520" s="1644" t="e">
        <f t="shared" ref="H520:H583" si="33">D520+F520</f>
        <v>#REF!</v>
      </c>
      <c r="I520" s="1597" t="e">
        <f t="shared" ref="I520:I583" si="34">IF(G520&gt;H520,G520-H520,0)</f>
        <v>#REF!</v>
      </c>
      <c r="J520" s="1644" t="e">
        <f t="shared" ref="J520:J583" si="35">IF(H520&gt;G520,H520-G520,0)</f>
        <v>#REF!</v>
      </c>
      <c r="M520" s="1545"/>
      <c r="N520" s="1545"/>
    </row>
    <row r="521" spans="1:93" ht="15.5">
      <c r="A521" s="1598" t="s">
        <v>2506</v>
      </c>
      <c r="B521" s="1599" t="s">
        <v>2507</v>
      </c>
      <c r="C521" s="1643" t="e">
        <f>+SUMIF(#REF!,Final!A521,#REF!)</f>
        <v>#REF!</v>
      </c>
      <c r="D521" s="1597" t="e">
        <f>+SUMIF(#REF!,Final!A521,#REF!)</f>
        <v>#REF!</v>
      </c>
      <c r="E521" s="1643" t="e">
        <f>SUMIF(#REF!,Final!A521,#REF!)</f>
        <v>#REF!</v>
      </c>
      <c r="F521" s="1644" t="e">
        <f>SUMIF(#REF!,Final!A521,#REF!)</f>
        <v>#REF!</v>
      </c>
      <c r="G521" s="1597" t="e">
        <f t="shared" si="32"/>
        <v>#REF!</v>
      </c>
      <c r="H521" s="1644" t="e">
        <f t="shared" si="33"/>
        <v>#REF!</v>
      </c>
      <c r="I521" s="1597" t="e">
        <f t="shared" si="34"/>
        <v>#REF!</v>
      </c>
      <c r="J521" s="1644" t="e">
        <f t="shared" si="35"/>
        <v>#REF!</v>
      </c>
      <c r="M521" s="1545"/>
      <c r="N521" s="1545"/>
    </row>
    <row r="522" spans="1:93" ht="15.5">
      <c r="A522" s="1598" t="s">
        <v>2508</v>
      </c>
      <c r="B522" s="1599" t="s">
        <v>2509</v>
      </c>
      <c r="C522" s="1643" t="e">
        <f>+SUMIF(#REF!,Final!A522,#REF!)</f>
        <v>#REF!</v>
      </c>
      <c r="D522" s="1597" t="e">
        <f>+SUMIF(#REF!,Final!A522,#REF!)</f>
        <v>#REF!</v>
      </c>
      <c r="E522" s="1643" t="e">
        <f>SUMIF(#REF!,Final!A522,#REF!)</f>
        <v>#REF!</v>
      </c>
      <c r="F522" s="1644" t="e">
        <f>SUMIF(#REF!,Final!A522,#REF!)</f>
        <v>#REF!</v>
      </c>
      <c r="G522" s="1597" t="e">
        <f t="shared" si="32"/>
        <v>#REF!</v>
      </c>
      <c r="H522" s="1644" t="e">
        <f t="shared" si="33"/>
        <v>#REF!</v>
      </c>
      <c r="I522" s="1597" t="e">
        <f t="shared" si="34"/>
        <v>#REF!</v>
      </c>
      <c r="J522" s="1644" t="e">
        <f t="shared" si="35"/>
        <v>#REF!</v>
      </c>
      <c r="M522" s="1545"/>
      <c r="N522" s="1545"/>
    </row>
    <row r="523" spans="1:93" ht="15.5">
      <c r="A523" s="1598" t="s">
        <v>2510</v>
      </c>
      <c r="B523" s="1599" t="s">
        <v>2511</v>
      </c>
      <c r="C523" s="1643" t="e">
        <f>+SUMIF(#REF!,Final!A523,#REF!)</f>
        <v>#REF!</v>
      </c>
      <c r="D523" s="1597" t="e">
        <f>+SUMIF(#REF!,Final!A523,#REF!)</f>
        <v>#REF!</v>
      </c>
      <c r="E523" s="1643" t="e">
        <f>SUMIF(#REF!,Final!A523,#REF!)</f>
        <v>#REF!</v>
      </c>
      <c r="F523" s="1644" t="e">
        <f>SUMIF(#REF!,Final!A523,#REF!)</f>
        <v>#REF!</v>
      </c>
      <c r="G523" s="1597" t="e">
        <f t="shared" si="32"/>
        <v>#REF!</v>
      </c>
      <c r="H523" s="1644" t="e">
        <f t="shared" si="33"/>
        <v>#REF!</v>
      </c>
      <c r="I523" s="1597" t="e">
        <f t="shared" si="34"/>
        <v>#REF!</v>
      </c>
      <c r="J523" s="1644" t="e">
        <f t="shared" si="35"/>
        <v>#REF!</v>
      </c>
      <c r="M523" s="1545"/>
      <c r="N523" s="1545"/>
    </row>
    <row r="524" spans="1:93" ht="15.5">
      <c r="A524" s="1598" t="s">
        <v>2512</v>
      </c>
      <c r="B524" s="1599" t="s">
        <v>2513</v>
      </c>
      <c r="C524" s="1643" t="e">
        <f>+SUMIF(#REF!,Final!A524,#REF!)</f>
        <v>#REF!</v>
      </c>
      <c r="D524" s="1597" t="e">
        <f>+SUMIF(#REF!,Final!A524,#REF!)</f>
        <v>#REF!</v>
      </c>
      <c r="E524" s="1643" t="e">
        <f>SUMIF(#REF!,Final!A524,#REF!)</f>
        <v>#REF!</v>
      </c>
      <c r="F524" s="1644" t="e">
        <f>SUMIF(#REF!,Final!A524,#REF!)</f>
        <v>#REF!</v>
      </c>
      <c r="G524" s="1597" t="e">
        <f t="shared" si="32"/>
        <v>#REF!</v>
      </c>
      <c r="H524" s="1644" t="e">
        <f t="shared" si="33"/>
        <v>#REF!</v>
      </c>
      <c r="I524" s="1597" t="e">
        <f t="shared" si="34"/>
        <v>#REF!</v>
      </c>
      <c r="J524" s="1644" t="e">
        <f t="shared" si="35"/>
        <v>#REF!</v>
      </c>
      <c r="M524" s="1545"/>
      <c r="N524" s="1545"/>
    </row>
    <row r="525" spans="1:93" ht="15.5">
      <c r="A525" s="1598" t="s">
        <v>2514</v>
      </c>
      <c r="B525" s="1599" t="s">
        <v>2515</v>
      </c>
      <c r="C525" s="1643" t="e">
        <f>+SUMIF(#REF!,Final!A525,#REF!)</f>
        <v>#REF!</v>
      </c>
      <c r="D525" s="1597" t="e">
        <f>+SUMIF(#REF!,Final!A525,#REF!)</f>
        <v>#REF!</v>
      </c>
      <c r="E525" s="1643" t="e">
        <f>SUMIF(#REF!,Final!A525,#REF!)</f>
        <v>#REF!</v>
      </c>
      <c r="F525" s="1644" t="e">
        <f>SUMIF(#REF!,Final!A525,#REF!)</f>
        <v>#REF!</v>
      </c>
      <c r="G525" s="1597" t="e">
        <f t="shared" si="32"/>
        <v>#REF!</v>
      </c>
      <c r="H525" s="1644" t="e">
        <f t="shared" si="33"/>
        <v>#REF!</v>
      </c>
      <c r="I525" s="1597" t="e">
        <f t="shared" si="34"/>
        <v>#REF!</v>
      </c>
      <c r="J525" s="1644" t="e">
        <f t="shared" si="35"/>
        <v>#REF!</v>
      </c>
      <c r="M525" s="1545"/>
      <c r="N525" s="1545"/>
    </row>
    <row r="526" spans="1:93" ht="15.5">
      <c r="A526" s="1598" t="s">
        <v>2516</v>
      </c>
      <c r="B526" s="1599" t="s">
        <v>2517</v>
      </c>
      <c r="C526" s="1643" t="e">
        <f>+SUMIF(#REF!,Final!A526,#REF!)</f>
        <v>#REF!</v>
      </c>
      <c r="D526" s="1597" t="e">
        <f>+SUMIF(#REF!,Final!A526,#REF!)</f>
        <v>#REF!</v>
      </c>
      <c r="E526" s="1643" t="e">
        <f>SUMIF(#REF!,Final!A526,#REF!)</f>
        <v>#REF!</v>
      </c>
      <c r="F526" s="1644" t="e">
        <f>SUMIF(#REF!,Final!A526,#REF!)</f>
        <v>#REF!</v>
      </c>
      <c r="G526" s="1597" t="e">
        <f t="shared" si="32"/>
        <v>#REF!</v>
      </c>
      <c r="H526" s="1644" t="e">
        <f t="shared" si="33"/>
        <v>#REF!</v>
      </c>
      <c r="I526" s="1597" t="e">
        <f t="shared" si="34"/>
        <v>#REF!</v>
      </c>
      <c r="J526" s="1644" t="e">
        <f t="shared" si="35"/>
        <v>#REF!</v>
      </c>
      <c r="M526" s="1545"/>
      <c r="N526" s="1545"/>
    </row>
    <row r="527" spans="1:93" ht="15.5">
      <c r="A527" s="1598" t="s">
        <v>2518</v>
      </c>
      <c r="B527" s="1599" t="s">
        <v>2519</v>
      </c>
      <c r="C527" s="1643" t="e">
        <f>+SUMIF(#REF!,Final!A527,#REF!)</f>
        <v>#REF!</v>
      </c>
      <c r="D527" s="1597" t="e">
        <f>+SUMIF(#REF!,Final!A527,#REF!)</f>
        <v>#REF!</v>
      </c>
      <c r="E527" s="1643" t="e">
        <f>SUMIF(#REF!,Final!A527,#REF!)</f>
        <v>#REF!</v>
      </c>
      <c r="F527" s="1644" t="e">
        <f>SUMIF(#REF!,Final!A527,#REF!)</f>
        <v>#REF!</v>
      </c>
      <c r="G527" s="1597" t="e">
        <f t="shared" si="32"/>
        <v>#REF!</v>
      </c>
      <c r="H527" s="1644" t="e">
        <f t="shared" si="33"/>
        <v>#REF!</v>
      </c>
      <c r="I527" s="1597" t="e">
        <f t="shared" si="34"/>
        <v>#REF!</v>
      </c>
      <c r="J527" s="1644" t="e">
        <f t="shared" si="35"/>
        <v>#REF!</v>
      </c>
      <c r="M527" s="1545"/>
      <c r="N527" s="1545"/>
    </row>
    <row r="528" spans="1:93" ht="15.5">
      <c r="A528" s="1598" t="s">
        <v>2520</v>
      </c>
      <c r="B528" s="1599" t="s">
        <v>2521</v>
      </c>
      <c r="C528" s="1643" t="e">
        <f>+SUMIF(#REF!,Final!A528,#REF!)</f>
        <v>#REF!</v>
      </c>
      <c r="D528" s="1597" t="e">
        <f>+SUMIF(#REF!,Final!A528,#REF!)</f>
        <v>#REF!</v>
      </c>
      <c r="E528" s="1643" t="e">
        <f>SUMIF(#REF!,Final!A528,#REF!)</f>
        <v>#REF!</v>
      </c>
      <c r="F528" s="1644" t="e">
        <f>SUMIF(#REF!,Final!A528,#REF!)</f>
        <v>#REF!</v>
      </c>
      <c r="G528" s="1597" t="e">
        <f t="shared" si="32"/>
        <v>#REF!</v>
      </c>
      <c r="H528" s="1644" t="e">
        <f t="shared" si="33"/>
        <v>#REF!</v>
      </c>
      <c r="I528" s="1597" t="e">
        <f t="shared" si="34"/>
        <v>#REF!</v>
      </c>
      <c r="J528" s="1644" t="e">
        <f t="shared" si="35"/>
        <v>#REF!</v>
      </c>
      <c r="M528" s="1545"/>
      <c r="N528" s="1545"/>
    </row>
    <row r="529" spans="1:93" ht="15.5">
      <c r="A529" s="1598" t="s">
        <v>2522</v>
      </c>
      <c r="B529" s="1599" t="s">
        <v>2523</v>
      </c>
      <c r="C529" s="1643" t="e">
        <f>+SUMIF(#REF!,Final!A529,#REF!)</f>
        <v>#REF!</v>
      </c>
      <c r="D529" s="1597" t="e">
        <f>+SUMIF(#REF!,Final!A529,#REF!)</f>
        <v>#REF!</v>
      </c>
      <c r="E529" s="1643" t="e">
        <f>SUMIF(#REF!,Final!A529,#REF!)</f>
        <v>#REF!</v>
      </c>
      <c r="F529" s="1644" t="e">
        <f>SUMIF(#REF!,Final!A529,#REF!)</f>
        <v>#REF!</v>
      </c>
      <c r="G529" s="1597" t="e">
        <f t="shared" si="32"/>
        <v>#REF!</v>
      </c>
      <c r="H529" s="1644" t="e">
        <f t="shared" si="33"/>
        <v>#REF!</v>
      </c>
      <c r="I529" s="1597" t="e">
        <f t="shared" si="34"/>
        <v>#REF!</v>
      </c>
      <c r="J529" s="1644" t="e">
        <f t="shared" si="35"/>
        <v>#REF!</v>
      </c>
      <c r="M529" s="1545"/>
      <c r="N529" s="1545"/>
    </row>
    <row r="530" spans="1:93" ht="15.5">
      <c r="A530" s="1598" t="s">
        <v>2524</v>
      </c>
      <c r="B530" s="1599" t="s">
        <v>2525</v>
      </c>
      <c r="C530" s="1643" t="e">
        <f>+SUMIF(#REF!,Final!A530,#REF!)</f>
        <v>#REF!</v>
      </c>
      <c r="D530" s="1597" t="e">
        <f>+SUMIF(#REF!,Final!A530,#REF!)</f>
        <v>#REF!</v>
      </c>
      <c r="E530" s="1643" t="e">
        <f>SUMIF(#REF!,Final!A530,#REF!)</f>
        <v>#REF!</v>
      </c>
      <c r="F530" s="1644" t="e">
        <f>SUMIF(#REF!,Final!A530,#REF!)</f>
        <v>#REF!</v>
      </c>
      <c r="G530" s="1597" t="e">
        <f t="shared" si="32"/>
        <v>#REF!</v>
      </c>
      <c r="H530" s="1644" t="e">
        <f t="shared" si="33"/>
        <v>#REF!</v>
      </c>
      <c r="I530" s="1597" t="e">
        <f t="shared" si="34"/>
        <v>#REF!</v>
      </c>
      <c r="J530" s="1644" t="e">
        <f t="shared" si="35"/>
        <v>#REF!</v>
      </c>
      <c r="M530" s="1545"/>
      <c r="N530" s="1545"/>
    </row>
    <row r="531" spans="1:93" ht="15.5">
      <c r="A531" s="1598" t="s">
        <v>2526</v>
      </c>
      <c r="B531" s="1599" t="s">
        <v>2527</v>
      </c>
      <c r="C531" s="1643" t="e">
        <f>+SUMIF(#REF!,Final!A531,#REF!)</f>
        <v>#REF!</v>
      </c>
      <c r="D531" s="1597" t="e">
        <f>+SUMIF(#REF!,Final!A531,#REF!)</f>
        <v>#REF!</v>
      </c>
      <c r="E531" s="1643" t="e">
        <f>SUMIF(#REF!,Final!A531,#REF!)</f>
        <v>#REF!</v>
      </c>
      <c r="F531" s="1644" t="e">
        <f>SUMIF(#REF!,Final!A531,#REF!)</f>
        <v>#REF!</v>
      </c>
      <c r="G531" s="1597" t="e">
        <f t="shared" si="32"/>
        <v>#REF!</v>
      </c>
      <c r="H531" s="1644" t="e">
        <f t="shared" si="33"/>
        <v>#REF!</v>
      </c>
      <c r="I531" s="1597" t="e">
        <f t="shared" si="34"/>
        <v>#REF!</v>
      </c>
      <c r="J531" s="1644" t="e">
        <f t="shared" si="35"/>
        <v>#REF!</v>
      </c>
      <c r="M531" s="1545"/>
      <c r="N531" s="1545"/>
    </row>
    <row r="532" spans="1:93" ht="15.5">
      <c r="A532" s="1598" t="s">
        <v>2528</v>
      </c>
      <c r="B532" s="1599" t="s">
        <v>2529</v>
      </c>
      <c r="C532" s="1643" t="e">
        <f>+SUMIF(#REF!,Final!A532,#REF!)</f>
        <v>#REF!</v>
      </c>
      <c r="D532" s="1597" t="e">
        <f>+SUMIF(#REF!,Final!A532,#REF!)</f>
        <v>#REF!</v>
      </c>
      <c r="E532" s="1643" t="e">
        <f>SUMIF(#REF!,Final!A532,#REF!)</f>
        <v>#REF!</v>
      </c>
      <c r="F532" s="1644" t="e">
        <f>SUMIF(#REF!,Final!A532,#REF!)</f>
        <v>#REF!</v>
      </c>
      <c r="G532" s="1597" t="e">
        <f t="shared" si="32"/>
        <v>#REF!</v>
      </c>
      <c r="H532" s="1644" t="e">
        <f t="shared" si="33"/>
        <v>#REF!</v>
      </c>
      <c r="I532" s="1597" t="e">
        <f t="shared" si="34"/>
        <v>#REF!</v>
      </c>
      <c r="J532" s="1644" t="e">
        <f t="shared" si="35"/>
        <v>#REF!</v>
      </c>
      <c r="M532" s="1545"/>
      <c r="N532" s="1545"/>
    </row>
    <row r="533" spans="1:93" s="1542" customFormat="1" ht="15.5">
      <c r="A533" s="1598" t="s">
        <v>2530</v>
      </c>
      <c r="B533" s="1599" t="s">
        <v>2531</v>
      </c>
      <c r="C533" s="1643" t="e">
        <f>+SUMIF(#REF!,Final!A533,#REF!)</f>
        <v>#REF!</v>
      </c>
      <c r="D533" s="1597" t="e">
        <f>+SUMIF(#REF!,Final!A533,#REF!)</f>
        <v>#REF!</v>
      </c>
      <c r="E533" s="1643" t="e">
        <f>SUMIF(#REF!,Final!A533,#REF!)</f>
        <v>#REF!</v>
      </c>
      <c r="F533" s="1644" t="e">
        <f>SUMIF(#REF!,Final!A533,#REF!)</f>
        <v>#REF!</v>
      </c>
      <c r="G533" s="1597" t="e">
        <f t="shared" si="32"/>
        <v>#REF!</v>
      </c>
      <c r="H533" s="1644" t="e">
        <f t="shared" si="33"/>
        <v>#REF!</v>
      </c>
      <c r="I533" s="1597" t="e">
        <f t="shared" si="34"/>
        <v>#REF!</v>
      </c>
      <c r="J533" s="1644" t="e">
        <f t="shared" si="35"/>
        <v>#REF!</v>
      </c>
      <c r="K533" s="1539"/>
      <c r="L533" s="1539"/>
      <c r="M533" s="1545"/>
      <c r="N533" s="1545"/>
      <c r="O533" s="1539"/>
      <c r="P533" s="1539"/>
      <c r="Q533" s="1539"/>
      <c r="R533" s="1539"/>
      <c r="S533" s="1539"/>
      <c r="T533" s="1539"/>
      <c r="U533" s="1539"/>
      <c r="V533" s="1539"/>
      <c r="W533" s="1539"/>
      <c r="X533" s="1539"/>
      <c r="Y533" s="1539"/>
      <c r="Z533" s="1539"/>
      <c r="AA533" s="1539"/>
      <c r="AB533" s="1539"/>
      <c r="AC533" s="1539"/>
      <c r="AD533" s="1539"/>
      <c r="AE533" s="1539"/>
      <c r="AF533" s="1539"/>
      <c r="AG533" s="1539"/>
      <c r="AH533" s="1539"/>
      <c r="AI533" s="1539"/>
      <c r="AJ533" s="1539"/>
      <c r="AK533" s="1539"/>
      <c r="AL533" s="1539"/>
      <c r="AM533" s="1539"/>
      <c r="AN533" s="1539"/>
      <c r="AO533" s="1539"/>
      <c r="AP533" s="1539"/>
      <c r="AQ533" s="1539"/>
      <c r="AR533" s="1539"/>
      <c r="AS533" s="1539"/>
      <c r="AT533" s="1539"/>
      <c r="AU533" s="1539"/>
      <c r="AV533" s="1539"/>
      <c r="AW533" s="1539"/>
      <c r="AX533" s="1539"/>
      <c r="AY533" s="1539"/>
      <c r="AZ533" s="1539"/>
      <c r="BA533" s="1539"/>
      <c r="BB533" s="1539"/>
      <c r="BC533" s="1539"/>
      <c r="BD533" s="1539"/>
      <c r="BE533" s="1539"/>
      <c r="BF533" s="1539"/>
      <c r="BG533" s="1539"/>
      <c r="BH533" s="1539"/>
      <c r="BI533" s="1539"/>
      <c r="BJ533" s="1539"/>
      <c r="BK533" s="1539"/>
      <c r="BL533" s="1539"/>
      <c r="BM533" s="1539"/>
      <c r="BN533" s="1539"/>
      <c r="BO533" s="1539"/>
      <c r="BP533" s="1539"/>
      <c r="BQ533" s="1539"/>
      <c r="BR533" s="1539"/>
      <c r="BS533" s="1539"/>
      <c r="BT533" s="1539"/>
      <c r="BU533" s="1539"/>
      <c r="BV533" s="1539"/>
      <c r="BW533" s="1539"/>
      <c r="BX533" s="1539"/>
      <c r="BY533" s="1539"/>
      <c r="BZ533" s="1539"/>
      <c r="CA533" s="1539"/>
      <c r="CB533" s="1539"/>
      <c r="CC533" s="1539"/>
      <c r="CD533" s="1539"/>
      <c r="CE533" s="1539"/>
      <c r="CF533" s="1539"/>
      <c r="CG533" s="1539"/>
      <c r="CH533" s="1539"/>
      <c r="CI533" s="1539"/>
      <c r="CJ533" s="1539"/>
      <c r="CK533" s="1539"/>
      <c r="CL533" s="1539"/>
      <c r="CM533" s="1539"/>
      <c r="CN533" s="1539"/>
      <c r="CO533" s="1539"/>
    </row>
    <row r="534" spans="1:93" s="1542" customFormat="1" ht="15.5">
      <c r="A534" s="1598" t="s">
        <v>2532</v>
      </c>
      <c r="B534" s="1599" t="s">
        <v>2533</v>
      </c>
      <c r="C534" s="1643" t="e">
        <f>+SUMIF(#REF!,Final!A534,#REF!)</f>
        <v>#REF!</v>
      </c>
      <c r="D534" s="1597" t="e">
        <f>+SUMIF(#REF!,Final!A534,#REF!)</f>
        <v>#REF!</v>
      </c>
      <c r="E534" s="1643" t="e">
        <f>SUMIF(#REF!,Final!A534,#REF!)</f>
        <v>#REF!</v>
      </c>
      <c r="F534" s="1644" t="e">
        <f>SUMIF(#REF!,Final!A534,#REF!)</f>
        <v>#REF!</v>
      </c>
      <c r="G534" s="1597" t="e">
        <f t="shared" si="32"/>
        <v>#REF!</v>
      </c>
      <c r="H534" s="1644" t="e">
        <f t="shared" si="33"/>
        <v>#REF!</v>
      </c>
      <c r="I534" s="1597" t="e">
        <f t="shared" si="34"/>
        <v>#REF!</v>
      </c>
      <c r="J534" s="1644" t="e">
        <f t="shared" si="35"/>
        <v>#REF!</v>
      </c>
      <c r="K534" s="1539"/>
      <c r="L534" s="1539"/>
      <c r="M534" s="1545"/>
      <c r="N534" s="1545"/>
      <c r="O534" s="1539"/>
      <c r="P534" s="1539"/>
      <c r="Q534" s="1539"/>
      <c r="R534" s="1539"/>
      <c r="S534" s="1539"/>
      <c r="T534" s="1539"/>
      <c r="U534" s="1539"/>
      <c r="V534" s="1539"/>
      <c r="W534" s="1539"/>
      <c r="X534" s="1539"/>
      <c r="Y534" s="1539"/>
      <c r="Z534" s="1539"/>
      <c r="AA534" s="1539"/>
      <c r="AB534" s="1539"/>
      <c r="AC534" s="1539"/>
      <c r="AD534" s="1539"/>
      <c r="AE534" s="1539"/>
      <c r="AF534" s="1539"/>
      <c r="AG534" s="1539"/>
      <c r="AH534" s="1539"/>
      <c r="AI534" s="1539"/>
      <c r="AJ534" s="1539"/>
      <c r="AK534" s="1539"/>
      <c r="AL534" s="1539"/>
      <c r="AM534" s="1539"/>
      <c r="AN534" s="1539"/>
      <c r="AO534" s="1539"/>
      <c r="AP534" s="1539"/>
      <c r="AQ534" s="1539"/>
      <c r="AR534" s="1539"/>
      <c r="AS534" s="1539"/>
      <c r="AT534" s="1539"/>
      <c r="AU534" s="1539"/>
      <c r="AV534" s="1539"/>
      <c r="AW534" s="1539"/>
      <c r="AX534" s="1539"/>
      <c r="AY534" s="1539"/>
      <c r="AZ534" s="1539"/>
      <c r="BA534" s="1539"/>
      <c r="BB534" s="1539"/>
      <c r="BC534" s="1539"/>
      <c r="BD534" s="1539"/>
      <c r="BE534" s="1539"/>
      <c r="BF534" s="1539"/>
      <c r="BG534" s="1539"/>
      <c r="BH534" s="1539"/>
      <c r="BI534" s="1539"/>
      <c r="BJ534" s="1539"/>
      <c r="BK534" s="1539"/>
      <c r="BL534" s="1539"/>
      <c r="BM534" s="1539"/>
      <c r="BN534" s="1539"/>
      <c r="BO534" s="1539"/>
      <c r="BP534" s="1539"/>
      <c r="BQ534" s="1539"/>
      <c r="BR534" s="1539"/>
      <c r="BS534" s="1539"/>
      <c r="BT534" s="1539"/>
      <c r="BU534" s="1539"/>
      <c r="BV534" s="1539"/>
      <c r="BW534" s="1539"/>
      <c r="BX534" s="1539"/>
      <c r="BY534" s="1539"/>
      <c r="BZ534" s="1539"/>
      <c r="CA534" s="1539"/>
      <c r="CB534" s="1539"/>
      <c r="CC534" s="1539"/>
      <c r="CD534" s="1539"/>
      <c r="CE534" s="1539"/>
      <c r="CF534" s="1539"/>
      <c r="CG534" s="1539"/>
      <c r="CH534" s="1539"/>
      <c r="CI534" s="1539"/>
      <c r="CJ534" s="1539"/>
      <c r="CK534" s="1539"/>
      <c r="CL534" s="1539"/>
      <c r="CM534" s="1539"/>
      <c r="CN534" s="1539"/>
      <c r="CO534" s="1539"/>
    </row>
    <row r="535" spans="1:93" ht="15.5">
      <c r="A535" s="1598" t="s">
        <v>2534</v>
      </c>
      <c r="B535" s="1599" t="s">
        <v>2535</v>
      </c>
      <c r="C535" s="1643" t="e">
        <f>+SUMIF(#REF!,Final!A535,#REF!)</f>
        <v>#REF!</v>
      </c>
      <c r="D535" s="1597" t="e">
        <f>+SUMIF(#REF!,Final!A535,#REF!)</f>
        <v>#REF!</v>
      </c>
      <c r="E535" s="1643" t="e">
        <f>SUMIF(#REF!,Final!A535,#REF!)</f>
        <v>#REF!</v>
      </c>
      <c r="F535" s="1644" t="e">
        <f>SUMIF(#REF!,Final!A535,#REF!)</f>
        <v>#REF!</v>
      </c>
      <c r="G535" s="1597" t="e">
        <f t="shared" si="32"/>
        <v>#REF!</v>
      </c>
      <c r="H535" s="1644" t="e">
        <f t="shared" si="33"/>
        <v>#REF!</v>
      </c>
      <c r="I535" s="1597" t="e">
        <f t="shared" si="34"/>
        <v>#REF!</v>
      </c>
      <c r="J535" s="1644" t="e">
        <f t="shared" si="35"/>
        <v>#REF!</v>
      </c>
      <c r="M535" s="1545"/>
      <c r="N535" s="1545"/>
    </row>
    <row r="536" spans="1:93" ht="15.5">
      <c r="A536" s="1598" t="s">
        <v>2536</v>
      </c>
      <c r="B536" s="1599" t="s">
        <v>2537</v>
      </c>
      <c r="C536" s="1643" t="e">
        <f>+SUMIF(#REF!,Final!A536,#REF!)</f>
        <v>#REF!</v>
      </c>
      <c r="D536" s="1597" t="e">
        <f>+SUMIF(#REF!,Final!A536,#REF!)</f>
        <v>#REF!</v>
      </c>
      <c r="E536" s="1643" t="e">
        <f>SUMIF(#REF!,Final!A536,#REF!)</f>
        <v>#REF!</v>
      </c>
      <c r="F536" s="1644" t="e">
        <f>SUMIF(#REF!,Final!A536,#REF!)</f>
        <v>#REF!</v>
      </c>
      <c r="G536" s="1597" t="e">
        <f t="shared" si="32"/>
        <v>#REF!</v>
      </c>
      <c r="H536" s="1644" t="e">
        <f t="shared" si="33"/>
        <v>#REF!</v>
      </c>
      <c r="I536" s="1597" t="e">
        <f t="shared" si="34"/>
        <v>#REF!</v>
      </c>
      <c r="J536" s="1644" t="e">
        <f t="shared" si="35"/>
        <v>#REF!</v>
      </c>
      <c r="M536" s="1545"/>
      <c r="N536" s="1545"/>
    </row>
    <row r="537" spans="1:93" ht="15.5">
      <c r="A537" s="1598" t="s">
        <v>2538</v>
      </c>
      <c r="B537" s="1599" t="s">
        <v>2539</v>
      </c>
      <c r="C537" s="1643" t="e">
        <f>+SUMIF(#REF!,Final!A537,#REF!)</f>
        <v>#REF!</v>
      </c>
      <c r="D537" s="1597" t="e">
        <f>+SUMIF(#REF!,Final!A537,#REF!)</f>
        <v>#REF!</v>
      </c>
      <c r="E537" s="1643" t="e">
        <f>SUMIF(#REF!,Final!A537,#REF!)</f>
        <v>#REF!</v>
      </c>
      <c r="F537" s="1644" t="e">
        <f>SUMIF(#REF!,Final!A537,#REF!)</f>
        <v>#REF!</v>
      </c>
      <c r="G537" s="1597" t="e">
        <f t="shared" si="32"/>
        <v>#REF!</v>
      </c>
      <c r="H537" s="1644" t="e">
        <f t="shared" si="33"/>
        <v>#REF!</v>
      </c>
      <c r="I537" s="1597" t="e">
        <f t="shared" si="34"/>
        <v>#REF!</v>
      </c>
      <c r="J537" s="1644" t="e">
        <f t="shared" si="35"/>
        <v>#REF!</v>
      </c>
      <c r="M537" s="1545"/>
      <c r="N537" s="1545"/>
    </row>
    <row r="538" spans="1:93" ht="15.5">
      <c r="A538" s="1598" t="s">
        <v>2540</v>
      </c>
      <c r="B538" s="1599" t="s">
        <v>2541</v>
      </c>
      <c r="C538" s="1643" t="e">
        <f>+SUMIF(#REF!,Final!A538,#REF!)</f>
        <v>#REF!</v>
      </c>
      <c r="D538" s="1597" t="e">
        <f>+SUMIF(#REF!,Final!A538,#REF!)</f>
        <v>#REF!</v>
      </c>
      <c r="E538" s="1643" t="e">
        <f>SUMIF(#REF!,Final!A538,#REF!)</f>
        <v>#REF!</v>
      </c>
      <c r="F538" s="1644" t="e">
        <f>SUMIF(#REF!,Final!A538,#REF!)</f>
        <v>#REF!</v>
      </c>
      <c r="G538" s="1597" t="e">
        <f t="shared" si="32"/>
        <v>#REF!</v>
      </c>
      <c r="H538" s="1644" t="e">
        <f t="shared" si="33"/>
        <v>#REF!</v>
      </c>
      <c r="I538" s="1597" t="e">
        <f t="shared" si="34"/>
        <v>#REF!</v>
      </c>
      <c r="J538" s="1644" t="e">
        <f t="shared" si="35"/>
        <v>#REF!</v>
      </c>
      <c r="M538" s="1545"/>
      <c r="N538" s="1545"/>
    </row>
    <row r="539" spans="1:93" ht="15.5">
      <c r="A539" s="1598" t="s">
        <v>2542</v>
      </c>
      <c r="B539" s="1599" t="s">
        <v>2543</v>
      </c>
      <c r="C539" s="1643" t="e">
        <f>+SUMIF(#REF!,Final!A539,#REF!)</f>
        <v>#REF!</v>
      </c>
      <c r="D539" s="1597" t="e">
        <f>+SUMIF(#REF!,Final!A539,#REF!)</f>
        <v>#REF!</v>
      </c>
      <c r="E539" s="1643" t="e">
        <f>SUMIF(#REF!,Final!A539,#REF!)</f>
        <v>#REF!</v>
      </c>
      <c r="F539" s="1644" t="e">
        <f>SUMIF(#REF!,Final!A539,#REF!)</f>
        <v>#REF!</v>
      </c>
      <c r="G539" s="1597" t="e">
        <f t="shared" si="32"/>
        <v>#REF!</v>
      </c>
      <c r="H539" s="1644" t="e">
        <f t="shared" si="33"/>
        <v>#REF!</v>
      </c>
      <c r="I539" s="1597" t="e">
        <f t="shared" si="34"/>
        <v>#REF!</v>
      </c>
      <c r="J539" s="1644" t="e">
        <f t="shared" si="35"/>
        <v>#REF!</v>
      </c>
      <c r="M539" s="1545"/>
      <c r="N539" s="1545"/>
    </row>
    <row r="540" spans="1:93" ht="15.5">
      <c r="A540" s="1598" t="s">
        <v>2544</v>
      </c>
      <c r="B540" s="1599" t="s">
        <v>2545</v>
      </c>
      <c r="C540" s="1643" t="e">
        <f>+SUMIF(#REF!,Final!A540,#REF!)</f>
        <v>#REF!</v>
      </c>
      <c r="D540" s="1597" t="e">
        <f>+SUMIF(#REF!,Final!A540,#REF!)</f>
        <v>#REF!</v>
      </c>
      <c r="E540" s="1643" t="e">
        <f>SUMIF(#REF!,Final!A540,#REF!)</f>
        <v>#REF!</v>
      </c>
      <c r="F540" s="1644" t="e">
        <f>SUMIF(#REF!,Final!A540,#REF!)</f>
        <v>#REF!</v>
      </c>
      <c r="G540" s="1597" t="e">
        <f t="shared" si="32"/>
        <v>#REF!</v>
      </c>
      <c r="H540" s="1644" t="e">
        <f t="shared" si="33"/>
        <v>#REF!</v>
      </c>
      <c r="I540" s="1597" t="e">
        <f t="shared" si="34"/>
        <v>#REF!</v>
      </c>
      <c r="J540" s="1644" t="e">
        <f t="shared" si="35"/>
        <v>#REF!</v>
      </c>
      <c r="M540" s="1545"/>
      <c r="N540" s="1545"/>
    </row>
    <row r="541" spans="1:93" s="1542" customFormat="1" ht="15.5">
      <c r="A541" s="1598" t="s">
        <v>2546</v>
      </c>
      <c r="B541" s="1599" t="s">
        <v>2547</v>
      </c>
      <c r="C541" s="1643" t="e">
        <f>+SUMIF(#REF!,Final!A541,#REF!)</f>
        <v>#REF!</v>
      </c>
      <c r="D541" s="1597" t="e">
        <f>+SUMIF(#REF!,Final!A541,#REF!)</f>
        <v>#REF!</v>
      </c>
      <c r="E541" s="1643" t="e">
        <f>SUMIF(#REF!,Final!A541,#REF!)</f>
        <v>#REF!</v>
      </c>
      <c r="F541" s="1644" t="e">
        <f>SUMIF(#REF!,Final!A541,#REF!)</f>
        <v>#REF!</v>
      </c>
      <c r="G541" s="1597" t="e">
        <f t="shared" si="32"/>
        <v>#REF!</v>
      </c>
      <c r="H541" s="1644" t="e">
        <f t="shared" si="33"/>
        <v>#REF!</v>
      </c>
      <c r="I541" s="1597" t="e">
        <f t="shared" si="34"/>
        <v>#REF!</v>
      </c>
      <c r="J541" s="1644" t="e">
        <f t="shared" si="35"/>
        <v>#REF!</v>
      </c>
      <c r="K541" s="1539"/>
      <c r="L541" s="1539"/>
      <c r="M541" s="1545"/>
      <c r="N541" s="1545"/>
      <c r="O541" s="1539"/>
      <c r="P541" s="1539"/>
      <c r="Q541" s="1539"/>
      <c r="R541" s="1539"/>
      <c r="S541" s="1539"/>
      <c r="T541" s="1539"/>
      <c r="U541" s="1539"/>
      <c r="V541" s="1539"/>
      <c r="W541" s="1539"/>
      <c r="X541" s="1539"/>
      <c r="Y541" s="1539"/>
      <c r="Z541" s="1539"/>
      <c r="AA541" s="1539"/>
      <c r="AB541" s="1539"/>
      <c r="AC541" s="1539"/>
      <c r="AD541" s="1539"/>
      <c r="AE541" s="1539"/>
      <c r="AF541" s="1539"/>
      <c r="AG541" s="1539"/>
      <c r="AH541" s="1539"/>
      <c r="AI541" s="1539"/>
      <c r="AJ541" s="1539"/>
      <c r="AK541" s="1539"/>
      <c r="AL541" s="1539"/>
      <c r="AM541" s="1539"/>
      <c r="AN541" s="1539"/>
      <c r="AO541" s="1539"/>
      <c r="AP541" s="1539"/>
      <c r="AQ541" s="1539"/>
      <c r="AR541" s="1539"/>
      <c r="AS541" s="1539"/>
      <c r="AT541" s="1539"/>
      <c r="AU541" s="1539"/>
      <c r="AV541" s="1539"/>
      <c r="AW541" s="1539"/>
      <c r="AX541" s="1539"/>
      <c r="AY541" s="1539"/>
      <c r="AZ541" s="1539"/>
      <c r="BA541" s="1539"/>
      <c r="BB541" s="1539"/>
      <c r="BC541" s="1539"/>
      <c r="BD541" s="1539"/>
      <c r="BE541" s="1539"/>
      <c r="BF541" s="1539"/>
      <c r="BG541" s="1539"/>
      <c r="BH541" s="1539"/>
      <c r="BI541" s="1539"/>
      <c r="BJ541" s="1539"/>
      <c r="BK541" s="1539"/>
      <c r="BL541" s="1539"/>
      <c r="BM541" s="1539"/>
      <c r="BN541" s="1539"/>
      <c r="BO541" s="1539"/>
      <c r="BP541" s="1539"/>
      <c r="BQ541" s="1539"/>
      <c r="BR541" s="1539"/>
      <c r="BS541" s="1539"/>
      <c r="BT541" s="1539"/>
      <c r="BU541" s="1539"/>
      <c r="BV541" s="1539"/>
      <c r="BW541" s="1539"/>
      <c r="BX541" s="1539"/>
      <c r="BY541" s="1539"/>
      <c r="BZ541" s="1539"/>
      <c r="CA541" s="1539"/>
      <c r="CB541" s="1539"/>
      <c r="CC541" s="1539"/>
      <c r="CD541" s="1539"/>
      <c r="CE541" s="1539"/>
      <c r="CF541" s="1539"/>
      <c r="CG541" s="1539"/>
      <c r="CH541" s="1539"/>
      <c r="CI541" s="1539"/>
      <c r="CJ541" s="1539"/>
      <c r="CK541" s="1539"/>
      <c r="CL541" s="1539"/>
      <c r="CM541" s="1539"/>
      <c r="CN541" s="1539"/>
      <c r="CO541" s="1539"/>
    </row>
    <row r="542" spans="1:93" ht="15.5">
      <c r="A542" s="1598" t="s">
        <v>2548</v>
      </c>
      <c r="B542" s="1599" t="s">
        <v>2549</v>
      </c>
      <c r="C542" s="1643" t="e">
        <f>+SUMIF(#REF!,Final!A542,#REF!)</f>
        <v>#REF!</v>
      </c>
      <c r="D542" s="1597" t="e">
        <f>+SUMIF(#REF!,Final!A542,#REF!)</f>
        <v>#REF!</v>
      </c>
      <c r="E542" s="1643" t="e">
        <f>SUMIF(#REF!,Final!A542,#REF!)</f>
        <v>#REF!</v>
      </c>
      <c r="F542" s="1644" t="e">
        <f>SUMIF(#REF!,Final!A542,#REF!)</f>
        <v>#REF!</v>
      </c>
      <c r="G542" s="1597" t="e">
        <f t="shared" si="32"/>
        <v>#REF!</v>
      </c>
      <c r="H542" s="1644" t="e">
        <f t="shared" si="33"/>
        <v>#REF!</v>
      </c>
      <c r="I542" s="1597" t="e">
        <f t="shared" si="34"/>
        <v>#REF!</v>
      </c>
      <c r="J542" s="1644" t="e">
        <f t="shared" si="35"/>
        <v>#REF!</v>
      </c>
      <c r="M542" s="1545"/>
      <c r="N542" s="1545"/>
    </row>
    <row r="543" spans="1:93" ht="15.5">
      <c r="A543" s="1598" t="s">
        <v>2550</v>
      </c>
      <c r="B543" s="1599" t="s">
        <v>2551</v>
      </c>
      <c r="C543" s="1643" t="e">
        <f>+SUMIF(#REF!,Final!A543,#REF!)</f>
        <v>#REF!</v>
      </c>
      <c r="D543" s="1597" t="e">
        <f>+SUMIF(#REF!,Final!A543,#REF!)</f>
        <v>#REF!</v>
      </c>
      <c r="E543" s="1643" t="e">
        <f>SUMIF(#REF!,Final!A543,#REF!)</f>
        <v>#REF!</v>
      </c>
      <c r="F543" s="1644" t="e">
        <f>SUMIF(#REF!,Final!A543,#REF!)</f>
        <v>#REF!</v>
      </c>
      <c r="G543" s="1597" t="e">
        <f t="shared" si="32"/>
        <v>#REF!</v>
      </c>
      <c r="H543" s="1644" t="e">
        <f t="shared" si="33"/>
        <v>#REF!</v>
      </c>
      <c r="I543" s="1597" t="e">
        <f t="shared" si="34"/>
        <v>#REF!</v>
      </c>
      <c r="J543" s="1644" t="e">
        <f t="shared" si="35"/>
        <v>#REF!</v>
      </c>
      <c r="M543" s="1545"/>
      <c r="N543" s="1545"/>
    </row>
    <row r="544" spans="1:93" ht="15.5">
      <c r="A544" s="1598" t="s">
        <v>2552</v>
      </c>
      <c r="B544" s="1599" t="s">
        <v>2553</v>
      </c>
      <c r="C544" s="1643" t="e">
        <f>+SUMIF(#REF!,Final!A544,#REF!)</f>
        <v>#REF!</v>
      </c>
      <c r="D544" s="1597" t="e">
        <f>+SUMIF(#REF!,Final!A544,#REF!)</f>
        <v>#REF!</v>
      </c>
      <c r="E544" s="1643" t="e">
        <f>SUMIF(#REF!,Final!A544,#REF!)</f>
        <v>#REF!</v>
      </c>
      <c r="F544" s="1644" t="e">
        <f>SUMIF(#REF!,Final!A544,#REF!)</f>
        <v>#REF!</v>
      </c>
      <c r="G544" s="1597" t="e">
        <f t="shared" si="32"/>
        <v>#REF!</v>
      </c>
      <c r="H544" s="1644" t="e">
        <f t="shared" si="33"/>
        <v>#REF!</v>
      </c>
      <c r="I544" s="1597" t="e">
        <f t="shared" si="34"/>
        <v>#REF!</v>
      </c>
      <c r="J544" s="1644" t="e">
        <f t="shared" si="35"/>
        <v>#REF!</v>
      </c>
      <c r="M544" s="1545"/>
      <c r="N544" s="1545"/>
    </row>
    <row r="545" spans="1:93" ht="15.5">
      <c r="A545" s="1598" t="s">
        <v>2554</v>
      </c>
      <c r="B545" s="1599" t="s">
        <v>2555</v>
      </c>
      <c r="C545" s="1643" t="e">
        <f>+SUMIF(#REF!,Final!A545,#REF!)</f>
        <v>#REF!</v>
      </c>
      <c r="D545" s="1597" t="e">
        <f>+SUMIF(#REF!,Final!A545,#REF!)</f>
        <v>#REF!</v>
      </c>
      <c r="E545" s="1643" t="e">
        <f>SUMIF(#REF!,Final!A545,#REF!)</f>
        <v>#REF!</v>
      </c>
      <c r="F545" s="1644" t="e">
        <f>SUMIF(#REF!,Final!A545,#REF!)</f>
        <v>#REF!</v>
      </c>
      <c r="G545" s="1597" t="e">
        <f t="shared" si="32"/>
        <v>#REF!</v>
      </c>
      <c r="H545" s="1644" t="e">
        <f t="shared" si="33"/>
        <v>#REF!</v>
      </c>
      <c r="I545" s="1597" t="e">
        <f t="shared" si="34"/>
        <v>#REF!</v>
      </c>
      <c r="J545" s="1644" t="e">
        <f t="shared" si="35"/>
        <v>#REF!</v>
      </c>
      <c r="M545" s="1545"/>
      <c r="N545" s="1545"/>
    </row>
    <row r="546" spans="1:93" ht="15.5">
      <c r="A546" s="1598" t="s">
        <v>2556</v>
      </c>
      <c r="B546" s="1599" t="s">
        <v>2557</v>
      </c>
      <c r="C546" s="1643" t="e">
        <f>+SUMIF(#REF!,Final!A546,#REF!)</f>
        <v>#REF!</v>
      </c>
      <c r="D546" s="1597" t="e">
        <f>+SUMIF(#REF!,Final!A546,#REF!)</f>
        <v>#REF!</v>
      </c>
      <c r="E546" s="1643" t="e">
        <f>SUMIF(#REF!,Final!A546,#REF!)</f>
        <v>#REF!</v>
      </c>
      <c r="F546" s="1644" t="e">
        <f>SUMIF(#REF!,Final!A546,#REF!)</f>
        <v>#REF!</v>
      </c>
      <c r="G546" s="1597" t="e">
        <f t="shared" si="32"/>
        <v>#REF!</v>
      </c>
      <c r="H546" s="1644" t="e">
        <f t="shared" si="33"/>
        <v>#REF!</v>
      </c>
      <c r="I546" s="1597" t="e">
        <f t="shared" si="34"/>
        <v>#REF!</v>
      </c>
      <c r="J546" s="1644" t="e">
        <f t="shared" si="35"/>
        <v>#REF!</v>
      </c>
      <c r="M546" s="1545"/>
      <c r="N546" s="1545"/>
    </row>
    <row r="547" spans="1:93" ht="15.5">
      <c r="A547" s="1598" t="s">
        <v>2558</v>
      </c>
      <c r="B547" s="1599" t="s">
        <v>2559</v>
      </c>
      <c r="C547" s="1643" t="e">
        <f>+SUMIF(#REF!,Final!A547,#REF!)</f>
        <v>#REF!</v>
      </c>
      <c r="D547" s="1597" t="e">
        <f>+SUMIF(#REF!,Final!A547,#REF!)</f>
        <v>#REF!</v>
      </c>
      <c r="E547" s="1643" t="e">
        <f>SUMIF(#REF!,Final!A547,#REF!)</f>
        <v>#REF!</v>
      </c>
      <c r="F547" s="1644" t="e">
        <f>SUMIF(#REF!,Final!A547,#REF!)</f>
        <v>#REF!</v>
      </c>
      <c r="G547" s="1597" t="e">
        <f t="shared" si="32"/>
        <v>#REF!</v>
      </c>
      <c r="H547" s="1644" t="e">
        <f t="shared" si="33"/>
        <v>#REF!</v>
      </c>
      <c r="I547" s="1597" t="e">
        <f t="shared" si="34"/>
        <v>#REF!</v>
      </c>
      <c r="J547" s="1644" t="e">
        <f t="shared" si="35"/>
        <v>#REF!</v>
      </c>
      <c r="M547" s="1545"/>
      <c r="N547" s="1545"/>
    </row>
    <row r="548" spans="1:93" ht="15.5">
      <c r="A548" s="1598" t="s">
        <v>3909</v>
      </c>
      <c r="B548" s="1599" t="s">
        <v>3910</v>
      </c>
      <c r="C548" s="1643" t="e">
        <f>+SUMIF(#REF!,Final!A548,#REF!)</f>
        <v>#REF!</v>
      </c>
      <c r="D548" s="1597" t="e">
        <f>+SUMIF(#REF!,Final!A548,#REF!)</f>
        <v>#REF!</v>
      </c>
      <c r="E548" s="1643" t="e">
        <f>SUMIF(#REF!,Final!A548,#REF!)</f>
        <v>#REF!</v>
      </c>
      <c r="F548" s="1644" t="e">
        <f>SUMIF(#REF!,Final!A548,#REF!)</f>
        <v>#REF!</v>
      </c>
      <c r="G548" s="1597" t="e">
        <f t="shared" si="32"/>
        <v>#REF!</v>
      </c>
      <c r="H548" s="1644" t="e">
        <f t="shared" si="33"/>
        <v>#REF!</v>
      </c>
      <c r="I548" s="1597" t="e">
        <f t="shared" si="34"/>
        <v>#REF!</v>
      </c>
      <c r="J548" s="1644" t="e">
        <f t="shared" si="35"/>
        <v>#REF!</v>
      </c>
      <c r="M548" s="1545"/>
      <c r="N548" s="1545"/>
    </row>
    <row r="549" spans="1:93" ht="15.5">
      <c r="A549" s="1598" t="s">
        <v>2560</v>
      </c>
      <c r="B549" s="1599" t="s">
        <v>2561</v>
      </c>
      <c r="C549" s="1643" t="e">
        <f>+SUMIF(#REF!,Final!A549,#REF!)</f>
        <v>#REF!</v>
      </c>
      <c r="D549" s="1597" t="e">
        <f>+SUMIF(#REF!,Final!A549,#REF!)</f>
        <v>#REF!</v>
      </c>
      <c r="E549" s="1643" t="e">
        <f>SUMIF(#REF!,Final!A549,#REF!)</f>
        <v>#REF!</v>
      </c>
      <c r="F549" s="1644" t="e">
        <f>SUMIF(#REF!,Final!A549,#REF!)</f>
        <v>#REF!</v>
      </c>
      <c r="G549" s="1597" t="e">
        <f t="shared" si="32"/>
        <v>#REF!</v>
      </c>
      <c r="H549" s="1644" t="e">
        <f t="shared" si="33"/>
        <v>#REF!</v>
      </c>
      <c r="I549" s="1597" t="e">
        <f t="shared" si="34"/>
        <v>#REF!</v>
      </c>
      <c r="J549" s="1644" t="e">
        <f t="shared" si="35"/>
        <v>#REF!</v>
      </c>
      <c r="M549" s="1545"/>
      <c r="N549" s="1545"/>
    </row>
    <row r="550" spans="1:93" ht="15.5">
      <c r="A550" s="1598" t="s">
        <v>2562</v>
      </c>
      <c r="B550" s="1599" t="s">
        <v>2563</v>
      </c>
      <c r="C550" s="1643" t="e">
        <f>+SUMIF(#REF!,Final!A550,#REF!)</f>
        <v>#REF!</v>
      </c>
      <c r="D550" s="1597" t="e">
        <f>+SUMIF(#REF!,Final!A550,#REF!)</f>
        <v>#REF!</v>
      </c>
      <c r="E550" s="1643" t="e">
        <f>SUMIF(#REF!,Final!A550,#REF!)</f>
        <v>#REF!</v>
      </c>
      <c r="F550" s="1644" t="e">
        <f>SUMIF(#REF!,Final!A550,#REF!)</f>
        <v>#REF!</v>
      </c>
      <c r="G550" s="1597" t="e">
        <f t="shared" si="32"/>
        <v>#REF!</v>
      </c>
      <c r="H550" s="1644" t="e">
        <f t="shared" si="33"/>
        <v>#REF!</v>
      </c>
      <c r="I550" s="1597" t="e">
        <f t="shared" si="34"/>
        <v>#REF!</v>
      </c>
      <c r="J550" s="1644" t="e">
        <f t="shared" si="35"/>
        <v>#REF!</v>
      </c>
      <c r="M550" s="1545"/>
      <c r="N550" s="1545"/>
    </row>
    <row r="551" spans="1:93" ht="15.5">
      <c r="A551" s="1598" t="s">
        <v>2564</v>
      </c>
      <c r="B551" s="1599" t="s">
        <v>2565</v>
      </c>
      <c r="C551" s="1643" t="e">
        <f>+SUMIF(#REF!,Final!A551,#REF!)</f>
        <v>#REF!</v>
      </c>
      <c r="D551" s="1597" t="e">
        <f>+SUMIF(#REF!,Final!A551,#REF!)</f>
        <v>#REF!</v>
      </c>
      <c r="E551" s="1643" t="e">
        <f>SUMIF(#REF!,Final!A551,#REF!)</f>
        <v>#REF!</v>
      </c>
      <c r="F551" s="1644" t="e">
        <f>SUMIF(#REF!,Final!A551,#REF!)</f>
        <v>#REF!</v>
      </c>
      <c r="G551" s="1597" t="e">
        <f t="shared" si="32"/>
        <v>#REF!</v>
      </c>
      <c r="H551" s="1644" t="e">
        <f t="shared" si="33"/>
        <v>#REF!</v>
      </c>
      <c r="I551" s="1597" t="e">
        <f t="shared" si="34"/>
        <v>#REF!</v>
      </c>
      <c r="J551" s="1644" t="e">
        <f t="shared" si="35"/>
        <v>#REF!</v>
      </c>
      <c r="M551" s="1545"/>
      <c r="N551" s="1545"/>
    </row>
    <row r="552" spans="1:93" ht="15.5">
      <c r="A552" s="1598" t="s">
        <v>2566</v>
      </c>
      <c r="B552" s="1599" t="s">
        <v>2567</v>
      </c>
      <c r="C552" s="1643" t="e">
        <f>+SUMIF(#REF!,Final!A552,#REF!)</f>
        <v>#REF!</v>
      </c>
      <c r="D552" s="1597" t="e">
        <f>+SUMIF(#REF!,Final!A552,#REF!)</f>
        <v>#REF!</v>
      </c>
      <c r="E552" s="1643" t="e">
        <f>SUMIF(#REF!,Final!A552,#REF!)</f>
        <v>#REF!</v>
      </c>
      <c r="F552" s="1644" t="e">
        <f>SUMIF(#REF!,Final!A552,#REF!)</f>
        <v>#REF!</v>
      </c>
      <c r="G552" s="1597" t="e">
        <f t="shared" si="32"/>
        <v>#REF!</v>
      </c>
      <c r="H552" s="1644" t="e">
        <f t="shared" si="33"/>
        <v>#REF!</v>
      </c>
      <c r="I552" s="1597" t="e">
        <f t="shared" si="34"/>
        <v>#REF!</v>
      </c>
      <c r="J552" s="1644" t="e">
        <f t="shared" si="35"/>
        <v>#REF!</v>
      </c>
      <c r="M552" s="1545"/>
      <c r="N552" s="1545"/>
    </row>
    <row r="553" spans="1:93" ht="15.5">
      <c r="A553" s="1598" t="s">
        <v>2568</v>
      </c>
      <c r="B553" s="1599" t="s">
        <v>2569</v>
      </c>
      <c r="C553" s="1643" t="e">
        <f>+SUMIF(#REF!,Final!A553,#REF!)</f>
        <v>#REF!</v>
      </c>
      <c r="D553" s="1597" t="e">
        <f>+SUMIF(#REF!,Final!A553,#REF!)</f>
        <v>#REF!</v>
      </c>
      <c r="E553" s="1643" t="e">
        <f>SUMIF(#REF!,Final!A553,#REF!)</f>
        <v>#REF!</v>
      </c>
      <c r="F553" s="1644" t="e">
        <f>SUMIF(#REF!,Final!A553,#REF!)</f>
        <v>#REF!</v>
      </c>
      <c r="G553" s="1597" t="e">
        <f t="shared" si="32"/>
        <v>#REF!</v>
      </c>
      <c r="H553" s="1644" t="e">
        <f t="shared" si="33"/>
        <v>#REF!</v>
      </c>
      <c r="I553" s="1597" t="e">
        <f t="shared" si="34"/>
        <v>#REF!</v>
      </c>
      <c r="J553" s="1644" t="e">
        <f t="shared" si="35"/>
        <v>#REF!</v>
      </c>
      <c r="M553" s="1545"/>
      <c r="N553" s="1545"/>
    </row>
    <row r="554" spans="1:93" ht="15.5">
      <c r="A554" s="1598" t="s">
        <v>2570</v>
      </c>
      <c r="B554" s="1599" t="s">
        <v>2571</v>
      </c>
      <c r="C554" s="1643" t="e">
        <f>+SUMIF(#REF!,Final!A554,#REF!)</f>
        <v>#REF!</v>
      </c>
      <c r="D554" s="1597" t="e">
        <f>+SUMIF(#REF!,Final!A554,#REF!)</f>
        <v>#REF!</v>
      </c>
      <c r="E554" s="1643" t="e">
        <f>SUMIF(#REF!,Final!A554,#REF!)</f>
        <v>#REF!</v>
      </c>
      <c r="F554" s="1644" t="e">
        <f>SUMIF(#REF!,Final!A554,#REF!)</f>
        <v>#REF!</v>
      </c>
      <c r="G554" s="1597" t="e">
        <f t="shared" si="32"/>
        <v>#REF!</v>
      </c>
      <c r="H554" s="1644" t="e">
        <f t="shared" si="33"/>
        <v>#REF!</v>
      </c>
      <c r="I554" s="1597" t="e">
        <f t="shared" si="34"/>
        <v>#REF!</v>
      </c>
      <c r="J554" s="1644" t="e">
        <f t="shared" si="35"/>
        <v>#REF!</v>
      </c>
      <c r="M554" s="1545"/>
      <c r="N554" s="1545"/>
    </row>
    <row r="555" spans="1:93" ht="15.5">
      <c r="A555" s="1598" t="s">
        <v>2572</v>
      </c>
      <c r="B555" s="1599" t="s">
        <v>2573</v>
      </c>
      <c r="C555" s="1643" t="e">
        <f>+SUMIF(#REF!,Final!A555,#REF!)</f>
        <v>#REF!</v>
      </c>
      <c r="D555" s="1597" t="e">
        <f>+SUMIF(#REF!,Final!A555,#REF!)</f>
        <v>#REF!</v>
      </c>
      <c r="E555" s="1643" t="e">
        <f>SUMIF(#REF!,Final!A555,#REF!)</f>
        <v>#REF!</v>
      </c>
      <c r="F555" s="1644" t="e">
        <f>SUMIF(#REF!,Final!A555,#REF!)</f>
        <v>#REF!</v>
      </c>
      <c r="G555" s="1597" t="e">
        <f t="shared" si="32"/>
        <v>#REF!</v>
      </c>
      <c r="H555" s="1644" t="e">
        <f t="shared" si="33"/>
        <v>#REF!</v>
      </c>
      <c r="I555" s="1597" t="e">
        <f t="shared" si="34"/>
        <v>#REF!</v>
      </c>
      <c r="J555" s="1644" t="e">
        <f t="shared" si="35"/>
        <v>#REF!</v>
      </c>
      <c r="M555" s="1545"/>
      <c r="N555" s="1545"/>
    </row>
    <row r="556" spans="1:93" s="1544" customFormat="1" ht="15.5">
      <c r="A556" s="1598" t="s">
        <v>3911</v>
      </c>
      <c r="B556" s="1599"/>
      <c r="C556" s="1643" t="e">
        <f>+SUMIF(#REF!,Final!A556,#REF!)</f>
        <v>#REF!</v>
      </c>
      <c r="D556" s="1597" t="e">
        <f>+SUMIF(#REF!,Final!A556,#REF!)</f>
        <v>#REF!</v>
      </c>
      <c r="E556" s="1643" t="e">
        <f>SUMIF(#REF!,Final!A556,#REF!)</f>
        <v>#REF!</v>
      </c>
      <c r="F556" s="1644" t="e">
        <f>SUMIF(#REF!,Final!A556,#REF!)</f>
        <v>#REF!</v>
      </c>
      <c r="G556" s="1597" t="e">
        <f t="shared" si="32"/>
        <v>#REF!</v>
      </c>
      <c r="H556" s="1644" t="e">
        <f t="shared" si="33"/>
        <v>#REF!</v>
      </c>
      <c r="I556" s="1597" t="e">
        <f t="shared" si="34"/>
        <v>#REF!</v>
      </c>
      <c r="J556" s="1644" t="e">
        <f t="shared" si="35"/>
        <v>#REF!</v>
      </c>
      <c r="K556" s="1539"/>
      <c r="L556" s="1539"/>
      <c r="M556" s="1545"/>
      <c r="N556" s="1545"/>
      <c r="O556" s="1539"/>
      <c r="P556" s="1539"/>
      <c r="Q556" s="1539"/>
      <c r="R556" s="1539"/>
      <c r="S556" s="1539"/>
      <c r="T556" s="1539"/>
      <c r="U556" s="1539"/>
      <c r="V556" s="1539"/>
      <c r="W556" s="1539"/>
      <c r="X556" s="1539"/>
      <c r="Y556" s="1539"/>
      <c r="Z556" s="1539"/>
      <c r="AA556" s="1539"/>
      <c r="AB556" s="1539"/>
      <c r="AC556" s="1539"/>
      <c r="AD556" s="1539"/>
      <c r="AE556" s="1539"/>
      <c r="AF556" s="1539"/>
      <c r="AG556" s="1539"/>
      <c r="AH556" s="1539"/>
      <c r="AI556" s="1539"/>
      <c r="AJ556" s="1539"/>
      <c r="AK556" s="1539"/>
      <c r="AL556" s="1539"/>
      <c r="AM556" s="1539"/>
      <c r="AN556" s="1539"/>
      <c r="AO556" s="1539"/>
      <c r="AP556" s="1539"/>
      <c r="AQ556" s="1539"/>
      <c r="AR556" s="1539"/>
      <c r="AS556" s="1539"/>
      <c r="AT556" s="1539"/>
      <c r="AU556" s="1539"/>
      <c r="AV556" s="1539"/>
      <c r="AW556" s="1539"/>
      <c r="AX556" s="1539"/>
      <c r="AY556" s="1539"/>
      <c r="AZ556" s="1539"/>
      <c r="BA556" s="1539"/>
      <c r="BB556" s="1539"/>
      <c r="BC556" s="1539"/>
      <c r="BD556" s="1539"/>
      <c r="BE556" s="1539"/>
      <c r="BF556" s="1539"/>
      <c r="BG556" s="1539"/>
      <c r="BH556" s="1539"/>
      <c r="BI556" s="1539"/>
      <c r="BJ556" s="1539"/>
      <c r="BK556" s="1539"/>
      <c r="BL556" s="1539"/>
      <c r="BM556" s="1539"/>
      <c r="BN556" s="1539"/>
      <c r="BO556" s="1539"/>
      <c r="BP556" s="1539"/>
      <c r="BQ556" s="1539"/>
      <c r="BR556" s="1539"/>
      <c r="BS556" s="1539"/>
      <c r="BT556" s="1539"/>
      <c r="BU556" s="1539"/>
      <c r="BV556" s="1539"/>
      <c r="BW556" s="1539"/>
      <c r="BX556" s="1539"/>
      <c r="BY556" s="1539"/>
      <c r="BZ556" s="1539"/>
      <c r="CA556" s="1539"/>
      <c r="CB556" s="1539"/>
      <c r="CC556" s="1539"/>
      <c r="CD556" s="1539"/>
      <c r="CE556" s="1539"/>
      <c r="CF556" s="1539"/>
      <c r="CG556" s="1539"/>
      <c r="CH556" s="1539"/>
      <c r="CI556" s="1539"/>
      <c r="CJ556" s="1539"/>
      <c r="CK556" s="1539"/>
      <c r="CL556" s="1539"/>
      <c r="CM556" s="1539"/>
      <c r="CN556" s="1539"/>
      <c r="CO556" s="1539"/>
    </row>
    <row r="557" spans="1:93" s="1544" customFormat="1" ht="15.5">
      <c r="A557" s="1598" t="s">
        <v>4518</v>
      </c>
      <c r="B557" s="1599"/>
      <c r="C557" s="1643" t="e">
        <f>+SUMIF(#REF!,Final!A557,#REF!)</f>
        <v>#REF!</v>
      </c>
      <c r="D557" s="1597" t="e">
        <f>+SUMIF(#REF!,Final!A557,#REF!)</f>
        <v>#REF!</v>
      </c>
      <c r="E557" s="1643" t="e">
        <f>SUMIF(#REF!,Final!A557,#REF!)</f>
        <v>#REF!</v>
      </c>
      <c r="F557" s="1644" t="e">
        <f>SUMIF(#REF!,Final!A557,#REF!)</f>
        <v>#REF!</v>
      </c>
      <c r="G557" s="1597" t="e">
        <f t="shared" si="32"/>
        <v>#REF!</v>
      </c>
      <c r="H557" s="1644" t="e">
        <f t="shared" si="33"/>
        <v>#REF!</v>
      </c>
      <c r="I557" s="1597" t="e">
        <f t="shared" si="34"/>
        <v>#REF!</v>
      </c>
      <c r="J557" s="1644" t="e">
        <f t="shared" si="35"/>
        <v>#REF!</v>
      </c>
      <c r="K557" s="1539"/>
      <c r="L557" s="1539"/>
      <c r="M557" s="1545"/>
      <c r="N557" s="1545"/>
      <c r="O557" s="1539"/>
      <c r="P557" s="1539"/>
      <c r="Q557" s="1539"/>
      <c r="R557" s="1539"/>
      <c r="S557" s="1539"/>
      <c r="T557" s="1539"/>
      <c r="U557" s="1539"/>
      <c r="V557" s="1539"/>
      <c r="W557" s="1539"/>
      <c r="X557" s="1539"/>
      <c r="Y557" s="1539"/>
      <c r="Z557" s="1539"/>
      <c r="AA557" s="1539"/>
      <c r="AB557" s="1539"/>
      <c r="AC557" s="1539"/>
      <c r="AD557" s="1539"/>
      <c r="AE557" s="1539"/>
      <c r="AF557" s="1539"/>
      <c r="AG557" s="1539"/>
      <c r="AH557" s="1539"/>
      <c r="AI557" s="1539"/>
      <c r="AJ557" s="1539"/>
      <c r="AK557" s="1539"/>
      <c r="AL557" s="1539"/>
      <c r="AM557" s="1539"/>
      <c r="AN557" s="1539"/>
      <c r="AO557" s="1539"/>
      <c r="AP557" s="1539"/>
      <c r="AQ557" s="1539"/>
      <c r="AR557" s="1539"/>
      <c r="AS557" s="1539"/>
      <c r="AT557" s="1539"/>
      <c r="AU557" s="1539"/>
      <c r="AV557" s="1539"/>
      <c r="AW557" s="1539"/>
      <c r="AX557" s="1539"/>
      <c r="AY557" s="1539"/>
      <c r="AZ557" s="1539"/>
      <c r="BA557" s="1539"/>
      <c r="BB557" s="1539"/>
      <c r="BC557" s="1539"/>
      <c r="BD557" s="1539"/>
      <c r="BE557" s="1539"/>
      <c r="BF557" s="1539"/>
      <c r="BG557" s="1539"/>
      <c r="BH557" s="1539"/>
      <c r="BI557" s="1539"/>
      <c r="BJ557" s="1539"/>
      <c r="BK557" s="1539"/>
      <c r="BL557" s="1539"/>
      <c r="BM557" s="1539"/>
      <c r="BN557" s="1539"/>
      <c r="BO557" s="1539"/>
      <c r="BP557" s="1539"/>
      <c r="BQ557" s="1539"/>
      <c r="BR557" s="1539"/>
      <c r="BS557" s="1539"/>
      <c r="BT557" s="1539"/>
      <c r="BU557" s="1539"/>
      <c r="BV557" s="1539"/>
      <c r="BW557" s="1539"/>
      <c r="BX557" s="1539"/>
      <c r="BY557" s="1539"/>
      <c r="BZ557" s="1539"/>
      <c r="CA557" s="1539"/>
      <c r="CB557" s="1539"/>
      <c r="CC557" s="1539"/>
      <c r="CD557" s="1539"/>
      <c r="CE557" s="1539"/>
      <c r="CF557" s="1539"/>
      <c r="CG557" s="1539"/>
      <c r="CH557" s="1539"/>
      <c r="CI557" s="1539"/>
      <c r="CJ557" s="1539"/>
      <c r="CK557" s="1539"/>
      <c r="CL557" s="1539"/>
      <c r="CM557" s="1539"/>
      <c r="CN557" s="1539"/>
      <c r="CO557" s="1539"/>
    </row>
    <row r="558" spans="1:93" s="1544" customFormat="1" ht="15.5">
      <c r="A558" s="1598" t="s">
        <v>4519</v>
      </c>
      <c r="B558" s="1599"/>
      <c r="C558" s="1643" t="e">
        <f>+SUMIF(#REF!,Final!A558,#REF!)</f>
        <v>#REF!</v>
      </c>
      <c r="D558" s="1597" t="e">
        <f>+SUMIF(#REF!,Final!A558,#REF!)</f>
        <v>#REF!</v>
      </c>
      <c r="E558" s="1643" t="e">
        <f>SUMIF(#REF!,Final!A558,#REF!)</f>
        <v>#REF!</v>
      </c>
      <c r="F558" s="1644" t="e">
        <f>SUMIF(#REF!,Final!A558,#REF!)</f>
        <v>#REF!</v>
      </c>
      <c r="G558" s="1597" t="e">
        <f t="shared" si="32"/>
        <v>#REF!</v>
      </c>
      <c r="H558" s="1644" t="e">
        <f t="shared" si="33"/>
        <v>#REF!</v>
      </c>
      <c r="I558" s="1597" t="e">
        <f t="shared" si="34"/>
        <v>#REF!</v>
      </c>
      <c r="J558" s="1644" t="e">
        <f t="shared" si="35"/>
        <v>#REF!</v>
      </c>
      <c r="K558" s="1539"/>
      <c r="L558" s="1539"/>
      <c r="M558" s="1545"/>
      <c r="N558" s="1545"/>
      <c r="O558" s="1539"/>
      <c r="P558" s="1539"/>
      <c r="Q558" s="1539"/>
      <c r="R558" s="1539"/>
      <c r="S558" s="1539"/>
      <c r="T558" s="1539"/>
      <c r="U558" s="1539"/>
      <c r="V558" s="1539"/>
      <c r="W558" s="1539"/>
      <c r="X558" s="1539"/>
      <c r="Y558" s="1539"/>
      <c r="Z558" s="1539"/>
      <c r="AA558" s="1539"/>
      <c r="AB558" s="1539"/>
      <c r="AC558" s="1539"/>
      <c r="AD558" s="1539"/>
      <c r="AE558" s="1539"/>
      <c r="AF558" s="1539"/>
      <c r="AG558" s="1539"/>
      <c r="AH558" s="1539"/>
      <c r="AI558" s="1539"/>
      <c r="AJ558" s="1539"/>
      <c r="AK558" s="1539"/>
      <c r="AL558" s="1539"/>
      <c r="AM558" s="1539"/>
      <c r="AN558" s="1539"/>
      <c r="AO558" s="1539"/>
      <c r="AP558" s="1539"/>
      <c r="AQ558" s="1539"/>
      <c r="AR558" s="1539"/>
      <c r="AS558" s="1539"/>
      <c r="AT558" s="1539"/>
      <c r="AU558" s="1539"/>
      <c r="AV558" s="1539"/>
      <c r="AW558" s="1539"/>
      <c r="AX558" s="1539"/>
      <c r="AY558" s="1539"/>
      <c r="AZ558" s="1539"/>
      <c r="BA558" s="1539"/>
      <c r="BB558" s="1539"/>
      <c r="BC558" s="1539"/>
      <c r="BD558" s="1539"/>
      <c r="BE558" s="1539"/>
      <c r="BF558" s="1539"/>
      <c r="BG558" s="1539"/>
      <c r="BH558" s="1539"/>
      <c r="BI558" s="1539"/>
      <c r="BJ558" s="1539"/>
      <c r="BK558" s="1539"/>
      <c r="BL558" s="1539"/>
      <c r="BM558" s="1539"/>
      <c r="BN558" s="1539"/>
      <c r="BO558" s="1539"/>
      <c r="BP558" s="1539"/>
      <c r="BQ558" s="1539"/>
      <c r="BR558" s="1539"/>
      <c r="BS558" s="1539"/>
      <c r="BT558" s="1539"/>
      <c r="BU558" s="1539"/>
      <c r="BV558" s="1539"/>
      <c r="BW558" s="1539"/>
      <c r="BX558" s="1539"/>
      <c r="BY558" s="1539"/>
      <c r="BZ558" s="1539"/>
      <c r="CA558" s="1539"/>
      <c r="CB558" s="1539"/>
      <c r="CC558" s="1539"/>
      <c r="CD558" s="1539"/>
      <c r="CE558" s="1539"/>
      <c r="CF558" s="1539"/>
      <c r="CG558" s="1539"/>
      <c r="CH558" s="1539"/>
      <c r="CI558" s="1539"/>
      <c r="CJ558" s="1539"/>
      <c r="CK558" s="1539"/>
      <c r="CL558" s="1539"/>
      <c r="CM558" s="1539"/>
      <c r="CN558" s="1539"/>
      <c r="CO558" s="1539"/>
    </row>
    <row r="559" spans="1:93" s="1544" customFormat="1" ht="15.5">
      <c r="A559" s="1598" t="s">
        <v>4664</v>
      </c>
      <c r="B559" s="1599" t="s">
        <v>4665</v>
      </c>
      <c r="C559" s="1643" t="e">
        <f>+SUMIF(#REF!,Final!A559,#REF!)</f>
        <v>#REF!</v>
      </c>
      <c r="D559" s="1597" t="e">
        <f>+SUMIF(#REF!,Final!A559,#REF!)</f>
        <v>#REF!</v>
      </c>
      <c r="E559" s="1643" t="e">
        <f>SUMIF(#REF!,Final!A559,#REF!)</f>
        <v>#REF!</v>
      </c>
      <c r="F559" s="1644" t="e">
        <f>SUMIF(#REF!,Final!A559,#REF!)</f>
        <v>#REF!</v>
      </c>
      <c r="G559" s="1597" t="e">
        <f t="shared" si="32"/>
        <v>#REF!</v>
      </c>
      <c r="H559" s="1644" t="e">
        <f t="shared" si="33"/>
        <v>#REF!</v>
      </c>
      <c r="I559" s="1597" t="e">
        <f t="shared" si="34"/>
        <v>#REF!</v>
      </c>
      <c r="J559" s="1644" t="e">
        <f t="shared" si="35"/>
        <v>#REF!</v>
      </c>
      <c r="K559" s="1539"/>
      <c r="L559" s="1539"/>
      <c r="M559" s="1545"/>
      <c r="N559" s="1545"/>
      <c r="O559" s="1539"/>
      <c r="P559" s="1539"/>
      <c r="Q559" s="1539"/>
      <c r="R559" s="1539"/>
      <c r="S559" s="1539"/>
      <c r="T559" s="1539"/>
      <c r="U559" s="1539"/>
      <c r="V559" s="1539"/>
      <c r="W559" s="1539"/>
      <c r="X559" s="1539"/>
      <c r="Y559" s="1539"/>
      <c r="Z559" s="1539"/>
      <c r="AA559" s="1539"/>
      <c r="AB559" s="1539"/>
      <c r="AC559" s="1539"/>
      <c r="AD559" s="1539"/>
      <c r="AE559" s="1539"/>
      <c r="AF559" s="1539"/>
      <c r="AG559" s="1539"/>
      <c r="AH559" s="1539"/>
      <c r="AI559" s="1539"/>
      <c r="AJ559" s="1539"/>
      <c r="AK559" s="1539"/>
      <c r="AL559" s="1539"/>
      <c r="AM559" s="1539"/>
      <c r="AN559" s="1539"/>
      <c r="AO559" s="1539"/>
      <c r="AP559" s="1539"/>
      <c r="AQ559" s="1539"/>
      <c r="AR559" s="1539"/>
      <c r="AS559" s="1539"/>
      <c r="AT559" s="1539"/>
      <c r="AU559" s="1539"/>
      <c r="AV559" s="1539"/>
      <c r="AW559" s="1539"/>
      <c r="AX559" s="1539"/>
      <c r="AY559" s="1539"/>
      <c r="AZ559" s="1539"/>
      <c r="BA559" s="1539"/>
      <c r="BB559" s="1539"/>
      <c r="BC559" s="1539"/>
      <c r="BD559" s="1539"/>
      <c r="BE559" s="1539"/>
      <c r="BF559" s="1539"/>
      <c r="BG559" s="1539"/>
      <c r="BH559" s="1539"/>
      <c r="BI559" s="1539"/>
      <c r="BJ559" s="1539"/>
      <c r="BK559" s="1539"/>
      <c r="BL559" s="1539"/>
      <c r="BM559" s="1539"/>
      <c r="BN559" s="1539"/>
      <c r="BO559" s="1539"/>
      <c r="BP559" s="1539"/>
      <c r="BQ559" s="1539"/>
      <c r="BR559" s="1539"/>
      <c r="BS559" s="1539"/>
      <c r="BT559" s="1539"/>
      <c r="BU559" s="1539"/>
      <c r="BV559" s="1539"/>
      <c r="BW559" s="1539"/>
      <c r="BX559" s="1539"/>
      <c r="BY559" s="1539"/>
      <c r="BZ559" s="1539"/>
      <c r="CA559" s="1539"/>
      <c r="CB559" s="1539"/>
      <c r="CC559" s="1539"/>
      <c r="CD559" s="1539"/>
      <c r="CE559" s="1539"/>
      <c r="CF559" s="1539"/>
      <c r="CG559" s="1539"/>
      <c r="CH559" s="1539"/>
      <c r="CI559" s="1539"/>
      <c r="CJ559" s="1539"/>
      <c r="CK559" s="1539"/>
      <c r="CL559" s="1539"/>
      <c r="CM559" s="1539"/>
      <c r="CN559" s="1539"/>
      <c r="CO559" s="1539"/>
    </row>
    <row r="560" spans="1:93" ht="15.5">
      <c r="A560" s="1598" t="s">
        <v>3912</v>
      </c>
      <c r="B560" s="1599" t="s">
        <v>3913</v>
      </c>
      <c r="C560" s="1643" t="e">
        <f>+SUMIF(#REF!,Final!A560,#REF!)</f>
        <v>#REF!</v>
      </c>
      <c r="D560" s="1597" t="e">
        <f>+SUMIF(#REF!,Final!A560,#REF!)</f>
        <v>#REF!</v>
      </c>
      <c r="E560" s="1643" t="e">
        <f>SUMIF(#REF!,Final!A560,#REF!)</f>
        <v>#REF!</v>
      </c>
      <c r="F560" s="1644" t="e">
        <f>SUMIF(#REF!,Final!A560,#REF!)</f>
        <v>#REF!</v>
      </c>
      <c r="G560" s="1597" t="e">
        <f t="shared" si="32"/>
        <v>#REF!</v>
      </c>
      <c r="H560" s="1644" t="e">
        <f t="shared" si="33"/>
        <v>#REF!</v>
      </c>
      <c r="I560" s="1597" t="e">
        <f t="shared" si="34"/>
        <v>#REF!</v>
      </c>
      <c r="J560" s="1644" t="e">
        <f t="shared" si="35"/>
        <v>#REF!</v>
      </c>
      <c r="M560" s="1545"/>
      <c r="N560" s="1545"/>
    </row>
    <row r="561" spans="1:93" ht="15.5">
      <c r="A561" s="1598" t="s">
        <v>3914</v>
      </c>
      <c r="B561" s="1599" t="s">
        <v>1246</v>
      </c>
      <c r="C561" s="1643" t="e">
        <f>+SUMIF(#REF!,Final!A561,#REF!)</f>
        <v>#REF!</v>
      </c>
      <c r="D561" s="1597" t="e">
        <f>+SUMIF(#REF!,Final!A561,#REF!)</f>
        <v>#REF!</v>
      </c>
      <c r="E561" s="1643" t="e">
        <f>SUMIF(#REF!,Final!A561,#REF!)</f>
        <v>#REF!</v>
      </c>
      <c r="F561" s="1644" t="e">
        <f>SUMIF(#REF!,Final!A561,#REF!)</f>
        <v>#REF!</v>
      </c>
      <c r="G561" s="1597" t="e">
        <f t="shared" si="32"/>
        <v>#REF!</v>
      </c>
      <c r="H561" s="1644" t="e">
        <f t="shared" si="33"/>
        <v>#REF!</v>
      </c>
      <c r="I561" s="1597" t="e">
        <f t="shared" si="34"/>
        <v>#REF!</v>
      </c>
      <c r="J561" s="1644" t="e">
        <f t="shared" si="35"/>
        <v>#REF!</v>
      </c>
      <c r="M561" s="1545"/>
      <c r="N561" s="1545"/>
    </row>
    <row r="562" spans="1:93" ht="15.5">
      <c r="A562" s="1598" t="s">
        <v>3915</v>
      </c>
      <c r="B562" s="1599" t="s">
        <v>3916</v>
      </c>
      <c r="C562" s="1643" t="e">
        <f>+SUMIF(#REF!,Final!A562,#REF!)</f>
        <v>#REF!</v>
      </c>
      <c r="D562" s="1597" t="e">
        <f>+SUMIF(#REF!,Final!A562,#REF!)</f>
        <v>#REF!</v>
      </c>
      <c r="E562" s="1643" t="e">
        <f>SUMIF(#REF!,Final!A562,#REF!)</f>
        <v>#REF!</v>
      </c>
      <c r="F562" s="1644" t="e">
        <f>SUMIF(#REF!,Final!A562,#REF!)</f>
        <v>#REF!</v>
      </c>
      <c r="G562" s="1597" t="e">
        <f t="shared" si="32"/>
        <v>#REF!</v>
      </c>
      <c r="H562" s="1644" t="e">
        <f t="shared" si="33"/>
        <v>#REF!</v>
      </c>
      <c r="I562" s="1597" t="e">
        <f t="shared" si="34"/>
        <v>#REF!</v>
      </c>
      <c r="J562" s="1644" t="e">
        <f t="shared" si="35"/>
        <v>#REF!</v>
      </c>
      <c r="M562" s="1545"/>
      <c r="N562" s="1545"/>
    </row>
    <row r="563" spans="1:93" ht="15.5">
      <c r="A563" s="1598" t="s">
        <v>3917</v>
      </c>
      <c r="B563" s="1599" t="s">
        <v>3918</v>
      </c>
      <c r="C563" s="1643" t="e">
        <f>+SUMIF(#REF!,Final!A563,#REF!)</f>
        <v>#REF!</v>
      </c>
      <c r="D563" s="1597" t="e">
        <f>+SUMIF(#REF!,Final!A563,#REF!)</f>
        <v>#REF!</v>
      </c>
      <c r="E563" s="1643" t="e">
        <f>SUMIF(#REF!,Final!A563,#REF!)</f>
        <v>#REF!</v>
      </c>
      <c r="F563" s="1644" t="e">
        <f>SUMIF(#REF!,Final!A563,#REF!)</f>
        <v>#REF!</v>
      </c>
      <c r="G563" s="1597" t="e">
        <f t="shared" si="32"/>
        <v>#REF!</v>
      </c>
      <c r="H563" s="1644" t="e">
        <f t="shared" si="33"/>
        <v>#REF!</v>
      </c>
      <c r="I563" s="1597" t="e">
        <f t="shared" si="34"/>
        <v>#REF!</v>
      </c>
      <c r="J563" s="1644" t="e">
        <f t="shared" si="35"/>
        <v>#REF!</v>
      </c>
      <c r="M563" s="1545"/>
      <c r="N563" s="1545"/>
    </row>
    <row r="564" spans="1:93" ht="15.5">
      <c r="A564" s="1598" t="s">
        <v>4520</v>
      </c>
      <c r="B564" s="1599"/>
      <c r="C564" s="1643" t="e">
        <f>+SUMIF(#REF!,Final!A564,#REF!)</f>
        <v>#REF!</v>
      </c>
      <c r="D564" s="1597" t="e">
        <f>+SUMIF(#REF!,Final!A564,#REF!)</f>
        <v>#REF!</v>
      </c>
      <c r="E564" s="1643" t="e">
        <f>SUMIF(#REF!,Final!A564,#REF!)</f>
        <v>#REF!</v>
      </c>
      <c r="F564" s="1644" t="e">
        <f>SUMIF(#REF!,Final!A564,#REF!)</f>
        <v>#REF!</v>
      </c>
      <c r="G564" s="1597" t="e">
        <f t="shared" si="32"/>
        <v>#REF!</v>
      </c>
      <c r="H564" s="1644" t="e">
        <f t="shared" si="33"/>
        <v>#REF!</v>
      </c>
      <c r="I564" s="1597" t="e">
        <f t="shared" si="34"/>
        <v>#REF!</v>
      </c>
      <c r="J564" s="1644" t="e">
        <f t="shared" si="35"/>
        <v>#REF!</v>
      </c>
      <c r="M564" s="1545"/>
      <c r="N564" s="1545"/>
    </row>
    <row r="565" spans="1:93" ht="15.5">
      <c r="A565" s="1598" t="s">
        <v>4522</v>
      </c>
      <c r="B565" s="1599" t="s">
        <v>4523</v>
      </c>
      <c r="C565" s="1643" t="e">
        <f>+SUMIF(#REF!,Final!A565,#REF!)</f>
        <v>#REF!</v>
      </c>
      <c r="D565" s="1597" t="e">
        <f>+SUMIF(#REF!,Final!A565,#REF!)</f>
        <v>#REF!</v>
      </c>
      <c r="E565" s="1643" t="e">
        <f>SUMIF(#REF!,Final!A565,#REF!)</f>
        <v>#REF!</v>
      </c>
      <c r="F565" s="1644" t="e">
        <f>SUMIF(#REF!,Final!A565,#REF!)</f>
        <v>#REF!</v>
      </c>
      <c r="G565" s="1597" t="e">
        <f t="shared" si="32"/>
        <v>#REF!</v>
      </c>
      <c r="H565" s="1644" t="e">
        <f t="shared" si="33"/>
        <v>#REF!</v>
      </c>
      <c r="I565" s="1597" t="e">
        <f t="shared" si="34"/>
        <v>#REF!</v>
      </c>
      <c r="J565" s="1644" t="e">
        <f t="shared" si="35"/>
        <v>#REF!</v>
      </c>
      <c r="M565" s="1545"/>
      <c r="N565" s="1545"/>
    </row>
    <row r="566" spans="1:93" ht="15.5">
      <c r="A566" s="1598" t="s">
        <v>4524</v>
      </c>
      <c r="B566" s="1599" t="s">
        <v>4525</v>
      </c>
      <c r="C566" s="1643" t="e">
        <f>+SUMIF(#REF!,Final!A566,#REF!)</f>
        <v>#REF!</v>
      </c>
      <c r="D566" s="1597" t="e">
        <f>+SUMIF(#REF!,Final!A566,#REF!)</f>
        <v>#REF!</v>
      </c>
      <c r="E566" s="1643" t="e">
        <f>SUMIF(#REF!,Final!A566,#REF!)</f>
        <v>#REF!</v>
      </c>
      <c r="F566" s="1644" t="e">
        <f>SUMIF(#REF!,Final!A566,#REF!)</f>
        <v>#REF!</v>
      </c>
      <c r="G566" s="1597" t="e">
        <f t="shared" si="32"/>
        <v>#REF!</v>
      </c>
      <c r="H566" s="1644" t="e">
        <f t="shared" si="33"/>
        <v>#REF!</v>
      </c>
      <c r="I566" s="1597" t="e">
        <f t="shared" si="34"/>
        <v>#REF!</v>
      </c>
      <c r="J566" s="1644" t="e">
        <f t="shared" si="35"/>
        <v>#REF!</v>
      </c>
      <c r="M566" s="1545"/>
      <c r="N566" s="1545"/>
    </row>
    <row r="567" spans="1:93" ht="15.5">
      <c r="A567" s="1598" t="s">
        <v>4526</v>
      </c>
      <c r="B567" s="1599"/>
      <c r="C567" s="1643" t="e">
        <f>+SUMIF(#REF!,Final!A567,#REF!)</f>
        <v>#REF!</v>
      </c>
      <c r="D567" s="1597" t="e">
        <f>+SUMIF(#REF!,Final!A567,#REF!)</f>
        <v>#REF!</v>
      </c>
      <c r="E567" s="1643" t="e">
        <f>SUMIF(#REF!,Final!A567,#REF!)</f>
        <v>#REF!</v>
      </c>
      <c r="F567" s="1644" t="e">
        <f>SUMIF(#REF!,Final!A567,#REF!)</f>
        <v>#REF!</v>
      </c>
      <c r="G567" s="1597" t="e">
        <f t="shared" si="32"/>
        <v>#REF!</v>
      </c>
      <c r="H567" s="1644" t="e">
        <f t="shared" si="33"/>
        <v>#REF!</v>
      </c>
      <c r="I567" s="1597" t="e">
        <f t="shared" si="34"/>
        <v>#REF!</v>
      </c>
      <c r="J567" s="1644" t="e">
        <f t="shared" si="35"/>
        <v>#REF!</v>
      </c>
      <c r="M567" s="1545"/>
      <c r="N567" s="1545"/>
    </row>
    <row r="568" spans="1:93" ht="15.5">
      <c r="A568" s="1598" t="s">
        <v>4527</v>
      </c>
      <c r="B568" s="1599" t="s">
        <v>4528</v>
      </c>
      <c r="C568" s="1643" t="e">
        <f>+SUMIF(#REF!,Final!A568,#REF!)</f>
        <v>#REF!</v>
      </c>
      <c r="D568" s="1597" t="e">
        <f>+SUMIF(#REF!,Final!A568,#REF!)</f>
        <v>#REF!</v>
      </c>
      <c r="E568" s="1643" t="e">
        <f>SUMIF(#REF!,Final!A568,#REF!)</f>
        <v>#REF!</v>
      </c>
      <c r="F568" s="1644" t="e">
        <f>SUMIF(#REF!,Final!A568,#REF!)</f>
        <v>#REF!</v>
      </c>
      <c r="G568" s="1597" t="e">
        <f t="shared" si="32"/>
        <v>#REF!</v>
      </c>
      <c r="H568" s="1644" t="e">
        <f t="shared" si="33"/>
        <v>#REF!</v>
      </c>
      <c r="I568" s="1597" t="e">
        <f t="shared" si="34"/>
        <v>#REF!</v>
      </c>
      <c r="J568" s="1644" t="e">
        <f t="shared" si="35"/>
        <v>#REF!</v>
      </c>
      <c r="M568" s="1545"/>
      <c r="N568" s="1545"/>
    </row>
    <row r="569" spans="1:93" ht="15.5">
      <c r="A569" s="1598" t="s">
        <v>4531</v>
      </c>
      <c r="B569" s="1599" t="s">
        <v>4532</v>
      </c>
      <c r="C569" s="1643" t="e">
        <f>+SUMIF(#REF!,Final!A569,#REF!)</f>
        <v>#REF!</v>
      </c>
      <c r="D569" s="1597" t="e">
        <f>+SUMIF(#REF!,Final!A569,#REF!)</f>
        <v>#REF!</v>
      </c>
      <c r="E569" s="1643" t="e">
        <f>SUMIF(#REF!,Final!A569,#REF!)</f>
        <v>#REF!</v>
      </c>
      <c r="F569" s="1644" t="e">
        <f>SUMIF(#REF!,Final!A569,#REF!)</f>
        <v>#REF!</v>
      </c>
      <c r="G569" s="1597" t="e">
        <f t="shared" si="32"/>
        <v>#REF!</v>
      </c>
      <c r="H569" s="1644" t="e">
        <f t="shared" si="33"/>
        <v>#REF!</v>
      </c>
      <c r="I569" s="1597" t="e">
        <f t="shared" si="34"/>
        <v>#REF!</v>
      </c>
      <c r="J569" s="1644" t="e">
        <f t="shared" si="35"/>
        <v>#REF!</v>
      </c>
      <c r="M569" s="1545"/>
      <c r="N569" s="1545"/>
    </row>
    <row r="570" spans="1:93" ht="15.5">
      <c r="A570" s="1598" t="s">
        <v>4529</v>
      </c>
      <c r="B570" s="1599" t="s">
        <v>4533</v>
      </c>
      <c r="C570" s="1643" t="e">
        <f>+SUMIF(#REF!,Final!A570,#REF!)</f>
        <v>#REF!</v>
      </c>
      <c r="D570" s="1597" t="e">
        <f>+SUMIF(#REF!,Final!A570,#REF!)</f>
        <v>#REF!</v>
      </c>
      <c r="E570" s="1643" t="e">
        <f>SUMIF(#REF!,Final!A570,#REF!)</f>
        <v>#REF!</v>
      </c>
      <c r="F570" s="1644" t="e">
        <f>SUMIF(#REF!,Final!A570,#REF!)</f>
        <v>#REF!</v>
      </c>
      <c r="G570" s="1597" t="e">
        <f t="shared" si="32"/>
        <v>#REF!</v>
      </c>
      <c r="H570" s="1644" t="e">
        <f t="shared" si="33"/>
        <v>#REF!</v>
      </c>
      <c r="I570" s="1597" t="e">
        <f t="shared" si="34"/>
        <v>#REF!</v>
      </c>
      <c r="J570" s="1644" t="e">
        <f t="shared" si="35"/>
        <v>#REF!</v>
      </c>
      <c r="M570" s="1545"/>
      <c r="N570" s="1545"/>
    </row>
    <row r="571" spans="1:93" ht="15.5">
      <c r="A571" s="1598" t="s">
        <v>4534</v>
      </c>
      <c r="B571" s="1599" t="s">
        <v>4535</v>
      </c>
      <c r="C571" s="1643" t="e">
        <f>+SUMIF(#REF!,Final!A571,#REF!)</f>
        <v>#REF!</v>
      </c>
      <c r="D571" s="1597" t="e">
        <f>+SUMIF(#REF!,Final!A571,#REF!)</f>
        <v>#REF!</v>
      </c>
      <c r="E571" s="1643" t="e">
        <f>SUMIF(#REF!,Final!A571,#REF!)</f>
        <v>#REF!</v>
      </c>
      <c r="F571" s="1644" t="e">
        <f>SUMIF(#REF!,Final!A571,#REF!)</f>
        <v>#REF!</v>
      </c>
      <c r="G571" s="1597" t="e">
        <f t="shared" si="32"/>
        <v>#REF!</v>
      </c>
      <c r="H571" s="1644" t="e">
        <f t="shared" si="33"/>
        <v>#REF!</v>
      </c>
      <c r="I571" s="1597" t="e">
        <f t="shared" si="34"/>
        <v>#REF!</v>
      </c>
      <c r="J571" s="1644" t="e">
        <f t="shared" si="35"/>
        <v>#REF!</v>
      </c>
      <c r="M571" s="1545"/>
      <c r="N571" s="1545"/>
    </row>
    <row r="572" spans="1:93" ht="15.5">
      <c r="A572" s="1598" t="s">
        <v>4536</v>
      </c>
      <c r="B572" s="1599" t="s">
        <v>4537</v>
      </c>
      <c r="C572" s="1643" t="e">
        <f>+SUMIF(#REF!,Final!A572,#REF!)</f>
        <v>#REF!</v>
      </c>
      <c r="D572" s="1597" t="e">
        <f>+SUMIF(#REF!,Final!A572,#REF!)</f>
        <v>#REF!</v>
      </c>
      <c r="E572" s="1643" t="e">
        <f>SUMIF(#REF!,Final!A572,#REF!)</f>
        <v>#REF!</v>
      </c>
      <c r="F572" s="1644" t="e">
        <f>SUMIF(#REF!,Final!A572,#REF!)</f>
        <v>#REF!</v>
      </c>
      <c r="G572" s="1597" t="e">
        <f t="shared" si="32"/>
        <v>#REF!</v>
      </c>
      <c r="H572" s="1644" t="e">
        <f t="shared" si="33"/>
        <v>#REF!</v>
      </c>
      <c r="I572" s="1597" t="e">
        <f t="shared" si="34"/>
        <v>#REF!</v>
      </c>
      <c r="J572" s="1644" t="e">
        <f t="shared" si="35"/>
        <v>#REF!</v>
      </c>
      <c r="M572" s="1545"/>
      <c r="N572" s="1545"/>
    </row>
    <row r="573" spans="1:93" ht="15.5">
      <c r="A573" s="1598" t="s">
        <v>4538</v>
      </c>
      <c r="B573" s="1599" t="s">
        <v>4539</v>
      </c>
      <c r="C573" s="1643" t="e">
        <f>+SUMIF(#REF!,Final!A573,#REF!)</f>
        <v>#REF!</v>
      </c>
      <c r="D573" s="1597" t="e">
        <f>+SUMIF(#REF!,Final!A573,#REF!)</f>
        <v>#REF!</v>
      </c>
      <c r="E573" s="1643" t="e">
        <f>SUMIF(#REF!,Final!A573,#REF!)</f>
        <v>#REF!</v>
      </c>
      <c r="F573" s="1644" t="e">
        <f>SUMIF(#REF!,Final!A573,#REF!)</f>
        <v>#REF!</v>
      </c>
      <c r="G573" s="1597" t="e">
        <f t="shared" si="32"/>
        <v>#REF!</v>
      </c>
      <c r="H573" s="1644" t="e">
        <f t="shared" si="33"/>
        <v>#REF!</v>
      </c>
      <c r="I573" s="1597" t="e">
        <f t="shared" si="34"/>
        <v>#REF!</v>
      </c>
      <c r="J573" s="1644" t="e">
        <f t="shared" si="35"/>
        <v>#REF!</v>
      </c>
      <c r="M573" s="1545"/>
      <c r="N573" s="1545"/>
    </row>
    <row r="574" spans="1:93" ht="15.5">
      <c r="A574" s="1598" t="s">
        <v>2574</v>
      </c>
      <c r="B574" s="1599" t="s">
        <v>2575</v>
      </c>
      <c r="C574" s="1643" t="e">
        <f>+SUMIF(#REF!,Final!A574,#REF!)</f>
        <v>#REF!</v>
      </c>
      <c r="D574" s="1597" t="e">
        <f>+SUMIF(#REF!,Final!A574,#REF!)</f>
        <v>#REF!</v>
      </c>
      <c r="E574" s="1643" t="e">
        <f>SUMIF(#REF!,Final!A574,#REF!)</f>
        <v>#REF!</v>
      </c>
      <c r="F574" s="1644" t="e">
        <f>SUMIF(#REF!,Final!A574,#REF!)</f>
        <v>#REF!</v>
      </c>
      <c r="G574" s="1597" t="e">
        <f t="shared" si="32"/>
        <v>#REF!</v>
      </c>
      <c r="H574" s="1644" t="e">
        <f t="shared" si="33"/>
        <v>#REF!</v>
      </c>
      <c r="I574" s="1597" t="e">
        <f t="shared" si="34"/>
        <v>#REF!</v>
      </c>
      <c r="J574" s="1644" t="e">
        <f t="shared" si="35"/>
        <v>#REF!</v>
      </c>
      <c r="M574" s="1545"/>
      <c r="N574" s="1545"/>
    </row>
    <row r="575" spans="1:93" ht="15.5">
      <c r="A575" s="1598" t="s">
        <v>2576</v>
      </c>
      <c r="B575" s="1599" t="s">
        <v>2117</v>
      </c>
      <c r="C575" s="1643" t="e">
        <f>+SUMIF(#REF!,Final!A575,#REF!)</f>
        <v>#REF!</v>
      </c>
      <c r="D575" s="1597" t="e">
        <f>+SUMIF(#REF!,Final!A575,#REF!)</f>
        <v>#REF!</v>
      </c>
      <c r="E575" s="1643" t="e">
        <f>SUMIF(#REF!,Final!A575,#REF!)</f>
        <v>#REF!</v>
      </c>
      <c r="F575" s="1644" t="e">
        <f>SUMIF(#REF!,Final!A575,#REF!)</f>
        <v>#REF!</v>
      </c>
      <c r="G575" s="1597" t="e">
        <f t="shared" si="32"/>
        <v>#REF!</v>
      </c>
      <c r="H575" s="1644" t="e">
        <f t="shared" si="33"/>
        <v>#REF!</v>
      </c>
      <c r="I575" s="1597" t="e">
        <f t="shared" si="34"/>
        <v>#REF!</v>
      </c>
      <c r="J575" s="1644" t="e">
        <f t="shared" si="35"/>
        <v>#REF!</v>
      </c>
      <c r="M575" s="1545"/>
      <c r="N575" s="1545"/>
    </row>
    <row r="576" spans="1:93" s="1552" customFormat="1" ht="15.5">
      <c r="A576" s="1598"/>
      <c r="B576" s="1599" t="s">
        <v>754</v>
      </c>
      <c r="C576" s="1643" t="e">
        <f>+SUMIF(#REF!,Final!A576,#REF!)</f>
        <v>#REF!</v>
      </c>
      <c r="D576" s="1597" t="e">
        <f>+SUMIF(#REF!,Final!A576,#REF!)</f>
        <v>#REF!</v>
      </c>
      <c r="E576" s="1643" t="e">
        <f>SUMIF(#REF!,Final!A576,#REF!)</f>
        <v>#REF!</v>
      </c>
      <c r="F576" s="1644" t="e">
        <f>SUMIF(#REF!,Final!A576,#REF!)</f>
        <v>#REF!</v>
      </c>
      <c r="G576" s="1597" t="e">
        <f t="shared" si="32"/>
        <v>#REF!</v>
      </c>
      <c r="H576" s="1644" t="e">
        <f t="shared" si="33"/>
        <v>#REF!</v>
      </c>
      <c r="I576" s="1597" t="e">
        <f t="shared" si="34"/>
        <v>#REF!</v>
      </c>
      <c r="J576" s="1644" t="e">
        <f t="shared" si="35"/>
        <v>#REF!</v>
      </c>
      <c r="K576" s="1539"/>
      <c r="L576" s="1539"/>
      <c r="M576" s="1545"/>
      <c r="N576" s="1545"/>
      <c r="O576" s="1539"/>
      <c r="P576" s="1539"/>
      <c r="Q576" s="1539"/>
      <c r="R576" s="1539"/>
      <c r="S576" s="1539"/>
      <c r="T576" s="1539"/>
      <c r="U576" s="1539"/>
      <c r="V576" s="1539"/>
      <c r="W576" s="1539"/>
      <c r="X576" s="1539"/>
      <c r="Y576" s="1539"/>
      <c r="Z576" s="1539"/>
      <c r="AA576" s="1539"/>
      <c r="AB576" s="1539"/>
      <c r="AC576" s="1539"/>
      <c r="AD576" s="1539"/>
      <c r="AE576" s="1539"/>
      <c r="AF576" s="1539"/>
      <c r="AG576" s="1539"/>
      <c r="AH576" s="1539"/>
      <c r="AI576" s="1539"/>
      <c r="AJ576" s="1539"/>
      <c r="AK576" s="1539"/>
      <c r="AL576" s="1539"/>
      <c r="AM576" s="1539"/>
      <c r="AN576" s="1539"/>
      <c r="AO576" s="1539"/>
      <c r="AP576" s="1539"/>
      <c r="AQ576" s="1539"/>
      <c r="AR576" s="1539"/>
      <c r="AS576" s="1539"/>
      <c r="AT576" s="1539"/>
      <c r="AU576" s="1539"/>
      <c r="AV576" s="1539"/>
      <c r="AW576" s="1539"/>
      <c r="AX576" s="1539"/>
      <c r="AY576" s="1539"/>
      <c r="AZ576" s="1539"/>
      <c r="BA576" s="1539"/>
      <c r="BB576" s="1539"/>
      <c r="BC576" s="1539"/>
      <c r="BD576" s="1539"/>
      <c r="BE576" s="1539"/>
      <c r="BF576" s="1539"/>
      <c r="BG576" s="1539"/>
      <c r="BH576" s="1539"/>
      <c r="BI576" s="1539"/>
      <c r="BJ576" s="1539"/>
      <c r="BK576" s="1539"/>
      <c r="BL576" s="1539"/>
      <c r="BM576" s="1539"/>
      <c r="BN576" s="1539"/>
      <c r="BO576" s="1539"/>
      <c r="BP576" s="1539"/>
      <c r="BQ576" s="1539"/>
      <c r="BR576" s="1539"/>
      <c r="BS576" s="1539"/>
      <c r="BT576" s="1539"/>
      <c r="BU576" s="1539"/>
      <c r="BV576" s="1539"/>
      <c r="BW576" s="1539"/>
      <c r="BX576" s="1539"/>
      <c r="BY576" s="1539"/>
      <c r="BZ576" s="1539"/>
      <c r="CA576" s="1539"/>
      <c r="CB576" s="1539"/>
      <c r="CC576" s="1539"/>
      <c r="CD576" s="1539"/>
      <c r="CE576" s="1539"/>
      <c r="CF576" s="1539"/>
      <c r="CG576" s="1539"/>
      <c r="CH576" s="1539"/>
      <c r="CI576" s="1539"/>
      <c r="CJ576" s="1539"/>
      <c r="CK576" s="1539"/>
      <c r="CL576" s="1539"/>
      <c r="CM576" s="1539"/>
      <c r="CN576" s="1539"/>
      <c r="CO576" s="1539"/>
    </row>
    <row r="577" spans="1:93" s="1552" customFormat="1" ht="15.5">
      <c r="A577" s="1598"/>
      <c r="B577" s="1599" t="s">
        <v>1760</v>
      </c>
      <c r="C577" s="1643" t="e">
        <f>+SUMIF(#REF!,Final!A577,#REF!)</f>
        <v>#REF!</v>
      </c>
      <c r="D577" s="1597" t="e">
        <f>+SUMIF(#REF!,Final!A577,#REF!)</f>
        <v>#REF!</v>
      </c>
      <c r="E577" s="1643" t="e">
        <f>SUMIF(#REF!,Final!A577,#REF!)</f>
        <v>#REF!</v>
      </c>
      <c r="F577" s="1644" t="e">
        <f>SUMIF(#REF!,Final!A577,#REF!)</f>
        <v>#REF!</v>
      </c>
      <c r="G577" s="1597" t="e">
        <f t="shared" si="32"/>
        <v>#REF!</v>
      </c>
      <c r="H577" s="1644" t="e">
        <f t="shared" si="33"/>
        <v>#REF!</v>
      </c>
      <c r="I577" s="1597" t="e">
        <f t="shared" si="34"/>
        <v>#REF!</v>
      </c>
      <c r="J577" s="1644" t="e">
        <f t="shared" si="35"/>
        <v>#REF!</v>
      </c>
      <c r="K577" s="1539"/>
      <c r="L577" s="1539"/>
      <c r="M577" s="1545"/>
      <c r="N577" s="1545"/>
      <c r="O577" s="1539"/>
      <c r="P577" s="1539"/>
      <c r="Q577" s="1539"/>
      <c r="R577" s="1539"/>
      <c r="S577" s="1539"/>
      <c r="T577" s="1539"/>
      <c r="U577" s="1539"/>
      <c r="V577" s="1539"/>
      <c r="W577" s="1539"/>
      <c r="X577" s="1539"/>
      <c r="Y577" s="1539"/>
      <c r="Z577" s="1539"/>
      <c r="AA577" s="1539"/>
      <c r="AB577" s="1539"/>
      <c r="AC577" s="1539"/>
      <c r="AD577" s="1539"/>
      <c r="AE577" s="1539"/>
      <c r="AF577" s="1539"/>
      <c r="AG577" s="1539"/>
      <c r="AH577" s="1539"/>
      <c r="AI577" s="1539"/>
      <c r="AJ577" s="1539"/>
      <c r="AK577" s="1539"/>
      <c r="AL577" s="1539"/>
      <c r="AM577" s="1539"/>
      <c r="AN577" s="1539"/>
      <c r="AO577" s="1539"/>
      <c r="AP577" s="1539"/>
      <c r="AQ577" s="1539"/>
      <c r="AR577" s="1539"/>
      <c r="AS577" s="1539"/>
      <c r="AT577" s="1539"/>
      <c r="AU577" s="1539"/>
      <c r="AV577" s="1539"/>
      <c r="AW577" s="1539"/>
      <c r="AX577" s="1539"/>
      <c r="AY577" s="1539"/>
      <c r="AZ577" s="1539"/>
      <c r="BA577" s="1539"/>
      <c r="BB577" s="1539"/>
      <c r="BC577" s="1539"/>
      <c r="BD577" s="1539"/>
      <c r="BE577" s="1539"/>
      <c r="BF577" s="1539"/>
      <c r="BG577" s="1539"/>
      <c r="BH577" s="1539"/>
      <c r="BI577" s="1539"/>
      <c r="BJ577" s="1539"/>
      <c r="BK577" s="1539"/>
      <c r="BL577" s="1539"/>
      <c r="BM577" s="1539"/>
      <c r="BN577" s="1539"/>
      <c r="BO577" s="1539"/>
      <c r="BP577" s="1539"/>
      <c r="BQ577" s="1539"/>
      <c r="BR577" s="1539"/>
      <c r="BS577" s="1539"/>
      <c r="BT577" s="1539"/>
      <c r="BU577" s="1539"/>
      <c r="BV577" s="1539"/>
      <c r="BW577" s="1539"/>
      <c r="BX577" s="1539"/>
      <c r="BY577" s="1539"/>
      <c r="BZ577" s="1539"/>
      <c r="CA577" s="1539"/>
      <c r="CB577" s="1539"/>
      <c r="CC577" s="1539"/>
      <c r="CD577" s="1539"/>
      <c r="CE577" s="1539"/>
      <c r="CF577" s="1539"/>
      <c r="CG577" s="1539"/>
      <c r="CH577" s="1539"/>
      <c r="CI577" s="1539"/>
      <c r="CJ577" s="1539"/>
      <c r="CK577" s="1539"/>
      <c r="CL577" s="1539"/>
      <c r="CM577" s="1539"/>
      <c r="CN577" s="1539"/>
      <c r="CO577" s="1539"/>
    </row>
    <row r="578" spans="1:93" s="1542" customFormat="1" ht="15.5">
      <c r="A578" s="1598" t="s">
        <v>2577</v>
      </c>
      <c r="B578" s="1599" t="s">
        <v>2578</v>
      </c>
      <c r="C578" s="1643" t="e">
        <f>+SUMIF(#REF!,Final!A578,#REF!)</f>
        <v>#REF!</v>
      </c>
      <c r="D578" s="1597" t="e">
        <f>+SUMIF(#REF!,Final!A578,#REF!)</f>
        <v>#REF!</v>
      </c>
      <c r="E578" s="1643" t="e">
        <f>SUMIF(#REF!,Final!A578,#REF!)</f>
        <v>#REF!</v>
      </c>
      <c r="F578" s="1644" t="e">
        <f>SUMIF(#REF!,Final!A578,#REF!)</f>
        <v>#REF!</v>
      </c>
      <c r="G578" s="1597" t="e">
        <f t="shared" si="32"/>
        <v>#REF!</v>
      </c>
      <c r="H578" s="1644" t="e">
        <f t="shared" si="33"/>
        <v>#REF!</v>
      </c>
      <c r="I578" s="1597" t="e">
        <f t="shared" si="34"/>
        <v>#REF!</v>
      </c>
      <c r="J578" s="1644" t="e">
        <f t="shared" si="35"/>
        <v>#REF!</v>
      </c>
      <c r="K578" s="1539"/>
      <c r="L578" s="1539"/>
      <c r="M578" s="1545"/>
      <c r="N578" s="1545"/>
      <c r="O578" s="1539"/>
      <c r="P578" s="1539"/>
      <c r="Q578" s="1539"/>
      <c r="R578" s="1539"/>
      <c r="S578" s="1539"/>
      <c r="T578" s="1539"/>
      <c r="U578" s="1539"/>
      <c r="V578" s="1539"/>
      <c r="W578" s="1539"/>
      <c r="X578" s="1539"/>
      <c r="Y578" s="1539"/>
      <c r="Z578" s="1539"/>
      <c r="AA578" s="1539"/>
      <c r="AB578" s="1539"/>
      <c r="AC578" s="1539"/>
      <c r="AD578" s="1539"/>
      <c r="AE578" s="1539"/>
      <c r="AF578" s="1539"/>
      <c r="AG578" s="1539"/>
      <c r="AH578" s="1539"/>
      <c r="AI578" s="1539"/>
      <c r="AJ578" s="1539"/>
      <c r="AK578" s="1539"/>
      <c r="AL578" s="1539"/>
      <c r="AM578" s="1539"/>
      <c r="AN578" s="1539"/>
      <c r="AO578" s="1539"/>
      <c r="AP578" s="1539"/>
      <c r="AQ578" s="1539"/>
      <c r="AR578" s="1539"/>
      <c r="AS578" s="1539"/>
      <c r="AT578" s="1539"/>
      <c r="AU578" s="1539"/>
      <c r="AV578" s="1539"/>
      <c r="AW578" s="1539"/>
      <c r="AX578" s="1539"/>
      <c r="AY578" s="1539"/>
      <c r="AZ578" s="1539"/>
      <c r="BA578" s="1539"/>
      <c r="BB578" s="1539"/>
      <c r="BC578" s="1539"/>
      <c r="BD578" s="1539"/>
      <c r="BE578" s="1539"/>
      <c r="BF578" s="1539"/>
      <c r="BG578" s="1539"/>
      <c r="BH578" s="1539"/>
      <c r="BI578" s="1539"/>
      <c r="BJ578" s="1539"/>
      <c r="BK578" s="1539"/>
      <c r="BL578" s="1539"/>
      <c r="BM578" s="1539"/>
      <c r="BN578" s="1539"/>
      <c r="BO578" s="1539"/>
      <c r="BP578" s="1539"/>
      <c r="BQ578" s="1539"/>
      <c r="BR578" s="1539"/>
      <c r="BS578" s="1539"/>
      <c r="BT578" s="1539"/>
      <c r="BU578" s="1539"/>
      <c r="BV578" s="1539"/>
      <c r="BW578" s="1539"/>
      <c r="BX578" s="1539"/>
      <c r="BY578" s="1539"/>
      <c r="BZ578" s="1539"/>
      <c r="CA578" s="1539"/>
      <c r="CB578" s="1539"/>
      <c r="CC578" s="1539"/>
      <c r="CD578" s="1539"/>
      <c r="CE578" s="1539"/>
      <c r="CF578" s="1539"/>
      <c r="CG578" s="1539"/>
      <c r="CH578" s="1539"/>
      <c r="CI578" s="1539"/>
      <c r="CJ578" s="1539"/>
      <c r="CK578" s="1539"/>
      <c r="CL578" s="1539"/>
      <c r="CM578" s="1539"/>
      <c r="CN578" s="1539"/>
      <c r="CO578" s="1539"/>
    </row>
    <row r="579" spans="1:93" ht="15.5">
      <c r="A579" s="1598" t="s">
        <v>2579</v>
      </c>
      <c r="B579" s="1599" t="s">
        <v>2136</v>
      </c>
      <c r="C579" s="1643" t="e">
        <f>+SUMIF(#REF!,Final!A579,#REF!)</f>
        <v>#REF!</v>
      </c>
      <c r="D579" s="1597" t="e">
        <f>+SUMIF(#REF!,Final!A579,#REF!)</f>
        <v>#REF!</v>
      </c>
      <c r="E579" s="1643" t="e">
        <f>SUMIF(#REF!,Final!A579,#REF!)</f>
        <v>#REF!</v>
      </c>
      <c r="F579" s="1644" t="e">
        <f>SUMIF(#REF!,Final!A579,#REF!)</f>
        <v>#REF!</v>
      </c>
      <c r="G579" s="1597" t="e">
        <f t="shared" si="32"/>
        <v>#REF!</v>
      </c>
      <c r="H579" s="1644" t="e">
        <f t="shared" si="33"/>
        <v>#REF!</v>
      </c>
      <c r="I579" s="1597" t="e">
        <f t="shared" si="34"/>
        <v>#REF!</v>
      </c>
      <c r="J579" s="1644" t="e">
        <f t="shared" si="35"/>
        <v>#REF!</v>
      </c>
      <c r="M579" s="1545"/>
      <c r="N579" s="1545"/>
    </row>
    <row r="580" spans="1:93" ht="15.5">
      <c r="A580" s="1598" t="s">
        <v>2580</v>
      </c>
      <c r="B580" s="1599" t="s">
        <v>2202</v>
      </c>
      <c r="C580" s="1643" t="e">
        <f>+SUMIF(#REF!,Final!A580,#REF!)</f>
        <v>#REF!</v>
      </c>
      <c r="D580" s="1597" t="e">
        <f>+SUMIF(#REF!,Final!A580,#REF!)</f>
        <v>#REF!</v>
      </c>
      <c r="E580" s="1643" t="e">
        <f>SUMIF(#REF!,Final!A580,#REF!)</f>
        <v>#REF!</v>
      </c>
      <c r="F580" s="1644" t="e">
        <f>SUMIF(#REF!,Final!A580,#REF!)</f>
        <v>#REF!</v>
      </c>
      <c r="G580" s="1597" t="e">
        <f t="shared" si="32"/>
        <v>#REF!</v>
      </c>
      <c r="H580" s="1644" t="e">
        <f t="shared" si="33"/>
        <v>#REF!</v>
      </c>
      <c r="I580" s="1597" t="e">
        <f t="shared" si="34"/>
        <v>#REF!</v>
      </c>
      <c r="J580" s="1644" t="e">
        <f t="shared" si="35"/>
        <v>#REF!</v>
      </c>
      <c r="M580" s="1545"/>
      <c r="N580" s="1545"/>
    </row>
    <row r="581" spans="1:93" ht="15.5">
      <c r="A581" s="1598" t="s">
        <v>2581</v>
      </c>
      <c r="B581" s="1599" t="s">
        <v>2204</v>
      </c>
      <c r="C581" s="1643" t="e">
        <f>+SUMIF(#REF!,Final!A581,#REF!)</f>
        <v>#REF!</v>
      </c>
      <c r="D581" s="1597" t="e">
        <f>+SUMIF(#REF!,Final!A581,#REF!)</f>
        <v>#REF!</v>
      </c>
      <c r="E581" s="1643" t="e">
        <f>SUMIF(#REF!,Final!A581,#REF!)</f>
        <v>#REF!</v>
      </c>
      <c r="F581" s="1644" t="e">
        <f>SUMIF(#REF!,Final!A581,#REF!)</f>
        <v>#REF!</v>
      </c>
      <c r="G581" s="1597" t="e">
        <f t="shared" si="32"/>
        <v>#REF!</v>
      </c>
      <c r="H581" s="1644" t="e">
        <f t="shared" si="33"/>
        <v>#REF!</v>
      </c>
      <c r="I581" s="1597" t="e">
        <f t="shared" si="34"/>
        <v>#REF!</v>
      </c>
      <c r="J581" s="1644" t="e">
        <f t="shared" si="35"/>
        <v>#REF!</v>
      </c>
      <c r="M581" s="1545"/>
      <c r="N581" s="1545"/>
    </row>
    <row r="582" spans="1:93" ht="15.5">
      <c r="A582" s="1598" t="s">
        <v>2582</v>
      </c>
      <c r="B582" s="1599" t="s">
        <v>2206</v>
      </c>
      <c r="C582" s="1643" t="e">
        <f>+SUMIF(#REF!,Final!A582,#REF!)</f>
        <v>#REF!</v>
      </c>
      <c r="D582" s="1597" t="e">
        <f>+SUMIF(#REF!,Final!A582,#REF!)</f>
        <v>#REF!</v>
      </c>
      <c r="E582" s="1643" t="e">
        <f>SUMIF(#REF!,Final!A582,#REF!)</f>
        <v>#REF!</v>
      </c>
      <c r="F582" s="1644" t="e">
        <f>SUMIF(#REF!,Final!A582,#REF!)</f>
        <v>#REF!</v>
      </c>
      <c r="G582" s="1597" t="e">
        <f t="shared" si="32"/>
        <v>#REF!</v>
      </c>
      <c r="H582" s="1644" t="e">
        <f t="shared" si="33"/>
        <v>#REF!</v>
      </c>
      <c r="I582" s="1597" t="e">
        <f t="shared" si="34"/>
        <v>#REF!</v>
      </c>
      <c r="J582" s="1644" t="e">
        <f t="shared" si="35"/>
        <v>#REF!</v>
      </c>
      <c r="M582" s="1545"/>
      <c r="N582" s="1545"/>
    </row>
    <row r="583" spans="1:93" ht="15.5">
      <c r="A583" s="1598" t="s">
        <v>2583</v>
      </c>
      <c r="B583" s="1599" t="s">
        <v>2208</v>
      </c>
      <c r="C583" s="1643" t="e">
        <f>+SUMIF(#REF!,Final!A583,#REF!)</f>
        <v>#REF!</v>
      </c>
      <c r="D583" s="1597" t="e">
        <f>+SUMIF(#REF!,Final!A583,#REF!)</f>
        <v>#REF!</v>
      </c>
      <c r="E583" s="1643" t="e">
        <f>SUMIF(#REF!,Final!A583,#REF!)</f>
        <v>#REF!</v>
      </c>
      <c r="F583" s="1644" t="e">
        <f>SUMIF(#REF!,Final!A583,#REF!)</f>
        <v>#REF!</v>
      </c>
      <c r="G583" s="1597" t="e">
        <f t="shared" si="32"/>
        <v>#REF!</v>
      </c>
      <c r="H583" s="1644" t="e">
        <f t="shared" si="33"/>
        <v>#REF!</v>
      </c>
      <c r="I583" s="1597" t="e">
        <f t="shared" si="34"/>
        <v>#REF!</v>
      </c>
      <c r="J583" s="1644" t="e">
        <f t="shared" si="35"/>
        <v>#REF!</v>
      </c>
      <c r="M583" s="1545"/>
      <c r="N583" s="1545"/>
    </row>
    <row r="584" spans="1:93" ht="15.5">
      <c r="A584" s="1598" t="s">
        <v>2584</v>
      </c>
      <c r="B584" s="1599" t="s">
        <v>2210</v>
      </c>
      <c r="C584" s="1643" t="e">
        <f>+SUMIF(#REF!,Final!A584,#REF!)</f>
        <v>#REF!</v>
      </c>
      <c r="D584" s="1597" t="e">
        <f>+SUMIF(#REF!,Final!A584,#REF!)</f>
        <v>#REF!</v>
      </c>
      <c r="E584" s="1643" t="e">
        <f>SUMIF(#REF!,Final!A584,#REF!)</f>
        <v>#REF!</v>
      </c>
      <c r="F584" s="1644" t="e">
        <f>SUMIF(#REF!,Final!A584,#REF!)</f>
        <v>#REF!</v>
      </c>
      <c r="G584" s="1597" t="e">
        <f t="shared" ref="G584:G661" si="36">C584+E584</f>
        <v>#REF!</v>
      </c>
      <c r="H584" s="1644" t="e">
        <f t="shared" ref="H584:H661" si="37">D584+F584</f>
        <v>#REF!</v>
      </c>
      <c r="I584" s="1597" t="e">
        <f t="shared" ref="I584:I661" si="38">IF(G584&gt;H584,G584-H584,0)</f>
        <v>#REF!</v>
      </c>
      <c r="J584" s="1644" t="e">
        <f t="shared" ref="J584:J661" si="39">IF(H584&gt;G584,H584-G584,0)</f>
        <v>#REF!</v>
      </c>
      <c r="M584" s="1545"/>
      <c r="N584" s="1545"/>
    </row>
    <row r="585" spans="1:93" s="1542" customFormat="1" ht="15.5">
      <c r="A585" s="1598" t="s">
        <v>2585</v>
      </c>
      <c r="B585" s="1599" t="s">
        <v>2212</v>
      </c>
      <c r="C585" s="1643" t="e">
        <f>+SUMIF(#REF!,Final!A585,#REF!)</f>
        <v>#REF!</v>
      </c>
      <c r="D585" s="1597" t="e">
        <f>+SUMIF(#REF!,Final!A585,#REF!)</f>
        <v>#REF!</v>
      </c>
      <c r="E585" s="1643" t="e">
        <f>SUMIF(#REF!,Final!A585,#REF!)</f>
        <v>#REF!</v>
      </c>
      <c r="F585" s="1644" t="e">
        <f>SUMIF(#REF!,Final!A585,#REF!)</f>
        <v>#REF!</v>
      </c>
      <c r="G585" s="1597" t="e">
        <f t="shared" si="36"/>
        <v>#REF!</v>
      </c>
      <c r="H585" s="1644" t="e">
        <f t="shared" si="37"/>
        <v>#REF!</v>
      </c>
      <c r="I585" s="1597" t="e">
        <f t="shared" si="38"/>
        <v>#REF!</v>
      </c>
      <c r="J585" s="1644" t="e">
        <f t="shared" si="39"/>
        <v>#REF!</v>
      </c>
      <c r="K585" s="1539"/>
      <c r="L585" s="1539"/>
      <c r="M585" s="1545"/>
      <c r="N585" s="1545"/>
      <c r="O585" s="1539"/>
      <c r="P585" s="1539"/>
      <c r="Q585" s="1539"/>
      <c r="R585" s="1539"/>
      <c r="S585" s="1539"/>
      <c r="T585" s="1539"/>
      <c r="U585" s="1539"/>
      <c r="V585" s="1539"/>
      <c r="W585" s="1539"/>
      <c r="X585" s="1539"/>
      <c r="Y585" s="1539"/>
      <c r="Z585" s="1539"/>
      <c r="AA585" s="1539"/>
      <c r="AB585" s="1539"/>
      <c r="AC585" s="1539"/>
      <c r="AD585" s="1539"/>
      <c r="AE585" s="1539"/>
      <c r="AF585" s="1539"/>
      <c r="AG585" s="1539"/>
      <c r="AH585" s="1539"/>
      <c r="AI585" s="1539"/>
      <c r="AJ585" s="1539"/>
      <c r="AK585" s="1539"/>
      <c r="AL585" s="1539"/>
      <c r="AM585" s="1539"/>
      <c r="AN585" s="1539"/>
      <c r="AO585" s="1539"/>
      <c r="AP585" s="1539"/>
      <c r="AQ585" s="1539"/>
      <c r="AR585" s="1539"/>
      <c r="AS585" s="1539"/>
      <c r="AT585" s="1539"/>
      <c r="AU585" s="1539"/>
      <c r="AV585" s="1539"/>
      <c r="AW585" s="1539"/>
      <c r="AX585" s="1539"/>
      <c r="AY585" s="1539"/>
      <c r="AZ585" s="1539"/>
      <c r="BA585" s="1539"/>
      <c r="BB585" s="1539"/>
      <c r="BC585" s="1539"/>
      <c r="BD585" s="1539"/>
      <c r="BE585" s="1539"/>
      <c r="BF585" s="1539"/>
      <c r="BG585" s="1539"/>
      <c r="BH585" s="1539"/>
      <c r="BI585" s="1539"/>
      <c r="BJ585" s="1539"/>
      <c r="BK585" s="1539"/>
      <c r="BL585" s="1539"/>
      <c r="BM585" s="1539"/>
      <c r="BN585" s="1539"/>
      <c r="BO585" s="1539"/>
      <c r="BP585" s="1539"/>
      <c r="BQ585" s="1539"/>
      <c r="BR585" s="1539"/>
      <c r="BS585" s="1539"/>
      <c r="BT585" s="1539"/>
      <c r="BU585" s="1539"/>
      <c r="BV585" s="1539"/>
      <c r="BW585" s="1539"/>
      <c r="BX585" s="1539"/>
      <c r="BY585" s="1539"/>
      <c r="BZ585" s="1539"/>
      <c r="CA585" s="1539"/>
      <c r="CB585" s="1539"/>
      <c r="CC585" s="1539"/>
      <c r="CD585" s="1539"/>
      <c r="CE585" s="1539"/>
      <c r="CF585" s="1539"/>
      <c r="CG585" s="1539"/>
      <c r="CH585" s="1539"/>
      <c r="CI585" s="1539"/>
      <c r="CJ585" s="1539"/>
      <c r="CK585" s="1539"/>
      <c r="CL585" s="1539"/>
      <c r="CM585" s="1539"/>
      <c r="CN585" s="1539"/>
      <c r="CO585" s="1539"/>
    </row>
    <row r="586" spans="1:93" s="1542" customFormat="1" ht="15.5">
      <c r="A586" s="1598" t="s">
        <v>2586</v>
      </c>
      <c r="B586" s="1599" t="s">
        <v>2587</v>
      </c>
      <c r="C586" s="1643" t="e">
        <f>+SUMIF(#REF!,Final!A586,#REF!)</f>
        <v>#REF!</v>
      </c>
      <c r="D586" s="1597" t="e">
        <f>+SUMIF(#REF!,Final!A586,#REF!)</f>
        <v>#REF!</v>
      </c>
      <c r="E586" s="1643" t="e">
        <f>SUMIF(#REF!,Final!A586,#REF!)</f>
        <v>#REF!</v>
      </c>
      <c r="F586" s="1644" t="e">
        <f>SUMIF(#REF!,Final!A586,#REF!)</f>
        <v>#REF!</v>
      </c>
      <c r="G586" s="1597" t="e">
        <f t="shared" si="36"/>
        <v>#REF!</v>
      </c>
      <c r="H586" s="1644" t="e">
        <f t="shared" si="37"/>
        <v>#REF!</v>
      </c>
      <c r="I586" s="1597" t="e">
        <f t="shared" si="38"/>
        <v>#REF!</v>
      </c>
      <c r="J586" s="1644" t="e">
        <f t="shared" si="39"/>
        <v>#REF!</v>
      </c>
      <c r="K586" s="1539"/>
      <c r="L586" s="1539"/>
      <c r="M586" s="1545"/>
      <c r="N586" s="1545"/>
      <c r="O586" s="1539"/>
      <c r="P586" s="1539"/>
      <c r="Q586" s="1539"/>
      <c r="R586" s="1539"/>
      <c r="S586" s="1539"/>
      <c r="T586" s="1539"/>
      <c r="U586" s="1539"/>
      <c r="V586" s="1539"/>
      <c r="W586" s="1539"/>
      <c r="X586" s="1539"/>
      <c r="Y586" s="1539"/>
      <c r="Z586" s="1539"/>
      <c r="AA586" s="1539"/>
      <c r="AB586" s="1539"/>
      <c r="AC586" s="1539"/>
      <c r="AD586" s="1539"/>
      <c r="AE586" s="1539"/>
      <c r="AF586" s="1539"/>
      <c r="AG586" s="1539"/>
      <c r="AH586" s="1539"/>
      <c r="AI586" s="1539"/>
      <c r="AJ586" s="1539"/>
      <c r="AK586" s="1539"/>
      <c r="AL586" s="1539"/>
      <c r="AM586" s="1539"/>
      <c r="AN586" s="1539"/>
      <c r="AO586" s="1539"/>
      <c r="AP586" s="1539"/>
      <c r="AQ586" s="1539"/>
      <c r="AR586" s="1539"/>
      <c r="AS586" s="1539"/>
      <c r="AT586" s="1539"/>
      <c r="AU586" s="1539"/>
      <c r="AV586" s="1539"/>
      <c r="AW586" s="1539"/>
      <c r="AX586" s="1539"/>
      <c r="AY586" s="1539"/>
      <c r="AZ586" s="1539"/>
      <c r="BA586" s="1539"/>
      <c r="BB586" s="1539"/>
      <c r="BC586" s="1539"/>
      <c r="BD586" s="1539"/>
      <c r="BE586" s="1539"/>
      <c r="BF586" s="1539"/>
      <c r="BG586" s="1539"/>
      <c r="BH586" s="1539"/>
      <c r="BI586" s="1539"/>
      <c r="BJ586" s="1539"/>
      <c r="BK586" s="1539"/>
      <c r="BL586" s="1539"/>
      <c r="BM586" s="1539"/>
      <c r="BN586" s="1539"/>
      <c r="BO586" s="1539"/>
      <c r="BP586" s="1539"/>
      <c r="BQ586" s="1539"/>
      <c r="BR586" s="1539"/>
      <c r="BS586" s="1539"/>
      <c r="BT586" s="1539"/>
      <c r="BU586" s="1539"/>
      <c r="BV586" s="1539"/>
      <c r="BW586" s="1539"/>
      <c r="BX586" s="1539"/>
      <c r="BY586" s="1539"/>
      <c r="BZ586" s="1539"/>
      <c r="CA586" s="1539"/>
      <c r="CB586" s="1539"/>
      <c r="CC586" s="1539"/>
      <c r="CD586" s="1539"/>
      <c r="CE586" s="1539"/>
      <c r="CF586" s="1539"/>
      <c r="CG586" s="1539"/>
      <c r="CH586" s="1539"/>
      <c r="CI586" s="1539"/>
      <c r="CJ586" s="1539"/>
      <c r="CK586" s="1539"/>
      <c r="CL586" s="1539"/>
      <c r="CM586" s="1539"/>
      <c r="CN586" s="1539"/>
      <c r="CO586" s="1539"/>
    </row>
    <row r="587" spans="1:93" s="1542" customFormat="1" ht="15.5">
      <c r="A587" s="1598" t="s">
        <v>2588</v>
      </c>
      <c r="B587" s="1599" t="s">
        <v>2589</v>
      </c>
      <c r="C587" s="1643" t="e">
        <f>+SUMIF(#REF!,Final!A587,#REF!)</f>
        <v>#REF!</v>
      </c>
      <c r="D587" s="1597" t="e">
        <f>+SUMIF(#REF!,Final!A587,#REF!)</f>
        <v>#REF!</v>
      </c>
      <c r="E587" s="1643" t="e">
        <f>SUMIF(#REF!,Final!A587,#REF!)</f>
        <v>#REF!</v>
      </c>
      <c r="F587" s="1644" t="e">
        <f>SUMIF(#REF!,Final!A587,#REF!)</f>
        <v>#REF!</v>
      </c>
      <c r="G587" s="1597" t="e">
        <f t="shared" si="36"/>
        <v>#REF!</v>
      </c>
      <c r="H587" s="1644" t="e">
        <f t="shared" si="37"/>
        <v>#REF!</v>
      </c>
      <c r="I587" s="1597" t="e">
        <f t="shared" si="38"/>
        <v>#REF!</v>
      </c>
      <c r="J587" s="1644" t="e">
        <f t="shared" si="39"/>
        <v>#REF!</v>
      </c>
      <c r="K587" s="1539"/>
      <c r="L587" s="1539"/>
      <c r="M587" s="1545"/>
      <c r="N587" s="1545"/>
      <c r="O587" s="1539"/>
      <c r="P587" s="1539"/>
      <c r="Q587" s="1539"/>
      <c r="R587" s="1539"/>
      <c r="S587" s="1539"/>
      <c r="T587" s="1539"/>
      <c r="U587" s="1539"/>
      <c r="V587" s="1539"/>
      <c r="W587" s="1539"/>
      <c r="X587" s="1539"/>
      <c r="Y587" s="1539"/>
      <c r="Z587" s="1539"/>
      <c r="AA587" s="1539"/>
      <c r="AB587" s="1539"/>
      <c r="AC587" s="1539"/>
      <c r="AD587" s="1539"/>
      <c r="AE587" s="1539"/>
      <c r="AF587" s="1539"/>
      <c r="AG587" s="1539"/>
      <c r="AH587" s="1539"/>
      <c r="AI587" s="1539"/>
      <c r="AJ587" s="1539"/>
      <c r="AK587" s="1539"/>
      <c r="AL587" s="1539"/>
      <c r="AM587" s="1539"/>
      <c r="AN587" s="1539"/>
      <c r="AO587" s="1539"/>
      <c r="AP587" s="1539"/>
      <c r="AQ587" s="1539"/>
      <c r="AR587" s="1539"/>
      <c r="AS587" s="1539"/>
      <c r="AT587" s="1539"/>
      <c r="AU587" s="1539"/>
      <c r="AV587" s="1539"/>
      <c r="AW587" s="1539"/>
      <c r="AX587" s="1539"/>
      <c r="AY587" s="1539"/>
      <c r="AZ587" s="1539"/>
      <c r="BA587" s="1539"/>
      <c r="BB587" s="1539"/>
      <c r="BC587" s="1539"/>
      <c r="BD587" s="1539"/>
      <c r="BE587" s="1539"/>
      <c r="BF587" s="1539"/>
      <c r="BG587" s="1539"/>
      <c r="BH587" s="1539"/>
      <c r="BI587" s="1539"/>
      <c r="BJ587" s="1539"/>
      <c r="BK587" s="1539"/>
      <c r="BL587" s="1539"/>
      <c r="BM587" s="1539"/>
      <c r="BN587" s="1539"/>
      <c r="BO587" s="1539"/>
      <c r="BP587" s="1539"/>
      <c r="BQ587" s="1539"/>
      <c r="BR587" s="1539"/>
      <c r="BS587" s="1539"/>
      <c r="BT587" s="1539"/>
      <c r="BU587" s="1539"/>
      <c r="BV587" s="1539"/>
      <c r="BW587" s="1539"/>
      <c r="BX587" s="1539"/>
      <c r="BY587" s="1539"/>
      <c r="BZ587" s="1539"/>
      <c r="CA587" s="1539"/>
      <c r="CB587" s="1539"/>
      <c r="CC587" s="1539"/>
      <c r="CD587" s="1539"/>
      <c r="CE587" s="1539"/>
      <c r="CF587" s="1539"/>
      <c r="CG587" s="1539"/>
      <c r="CH587" s="1539"/>
      <c r="CI587" s="1539"/>
      <c r="CJ587" s="1539"/>
      <c r="CK587" s="1539"/>
      <c r="CL587" s="1539"/>
      <c r="CM587" s="1539"/>
      <c r="CN587" s="1539"/>
      <c r="CO587" s="1539"/>
    </row>
    <row r="588" spans="1:93" ht="15.5">
      <c r="A588" s="1598" t="s">
        <v>2590</v>
      </c>
      <c r="B588" s="1599" t="s">
        <v>2591</v>
      </c>
      <c r="C588" s="1643" t="e">
        <f>+SUMIF(#REF!,Final!A588,#REF!)</f>
        <v>#REF!</v>
      </c>
      <c r="D588" s="1597" t="e">
        <f>+SUMIF(#REF!,Final!A588,#REF!)</f>
        <v>#REF!</v>
      </c>
      <c r="E588" s="1643" t="e">
        <f>SUMIF(#REF!,Final!A588,#REF!)</f>
        <v>#REF!</v>
      </c>
      <c r="F588" s="1644" t="e">
        <f>SUMIF(#REF!,Final!A588,#REF!)</f>
        <v>#REF!</v>
      </c>
      <c r="G588" s="1597" t="e">
        <f t="shared" si="36"/>
        <v>#REF!</v>
      </c>
      <c r="H588" s="1644" t="e">
        <f t="shared" si="37"/>
        <v>#REF!</v>
      </c>
      <c r="I588" s="1597" t="e">
        <f t="shared" si="38"/>
        <v>#REF!</v>
      </c>
      <c r="J588" s="1644" t="e">
        <f t="shared" si="39"/>
        <v>#REF!</v>
      </c>
      <c r="M588" s="1545"/>
      <c r="N588" s="1545"/>
    </row>
    <row r="589" spans="1:93" ht="15.5">
      <c r="A589" s="1598" t="s">
        <v>2592</v>
      </c>
      <c r="B589" s="1599" t="s">
        <v>2176</v>
      </c>
      <c r="C589" s="1643" t="e">
        <f>+SUMIF(#REF!,Final!A589,#REF!)</f>
        <v>#REF!</v>
      </c>
      <c r="D589" s="1597" t="e">
        <f>+SUMIF(#REF!,Final!A589,#REF!)</f>
        <v>#REF!</v>
      </c>
      <c r="E589" s="1643" t="e">
        <f>SUMIF(#REF!,Final!A589,#REF!)</f>
        <v>#REF!</v>
      </c>
      <c r="F589" s="1644" t="e">
        <f>SUMIF(#REF!,Final!A589,#REF!)</f>
        <v>#REF!</v>
      </c>
      <c r="G589" s="1597" t="e">
        <f t="shared" si="36"/>
        <v>#REF!</v>
      </c>
      <c r="H589" s="1644" t="e">
        <f t="shared" si="37"/>
        <v>#REF!</v>
      </c>
      <c r="I589" s="1597" t="e">
        <f t="shared" si="38"/>
        <v>#REF!</v>
      </c>
      <c r="J589" s="1644" t="e">
        <f t="shared" si="39"/>
        <v>#REF!</v>
      </c>
      <c r="M589" s="1545"/>
      <c r="N589" s="1545"/>
    </row>
    <row r="590" spans="1:93" ht="15.5">
      <c r="A590" s="1598" t="s">
        <v>2593</v>
      </c>
      <c r="B590" s="1599" t="s">
        <v>2178</v>
      </c>
      <c r="C590" s="1643" t="e">
        <f>+SUMIF(#REF!,Final!A590,#REF!)</f>
        <v>#REF!</v>
      </c>
      <c r="D590" s="1597" t="e">
        <f>+SUMIF(#REF!,Final!A590,#REF!)</f>
        <v>#REF!</v>
      </c>
      <c r="E590" s="1643" t="e">
        <f>SUMIF(#REF!,Final!A590,#REF!)</f>
        <v>#REF!</v>
      </c>
      <c r="F590" s="1644" t="e">
        <f>SUMIF(#REF!,Final!A590,#REF!)</f>
        <v>#REF!</v>
      </c>
      <c r="G590" s="1597" t="e">
        <f t="shared" si="36"/>
        <v>#REF!</v>
      </c>
      <c r="H590" s="1644" t="e">
        <f t="shared" si="37"/>
        <v>#REF!</v>
      </c>
      <c r="I590" s="1597" t="e">
        <f t="shared" si="38"/>
        <v>#REF!</v>
      </c>
      <c r="J590" s="1644" t="e">
        <f t="shared" si="39"/>
        <v>#REF!</v>
      </c>
      <c r="M590" s="1545"/>
      <c r="N590" s="1545"/>
    </row>
    <row r="591" spans="1:93" s="1552" customFormat="1" ht="15.5">
      <c r="A591" s="1598"/>
      <c r="B591" s="1599" t="s">
        <v>754</v>
      </c>
      <c r="C591" s="1643" t="e">
        <f>+SUMIF(#REF!,Final!A591,#REF!)</f>
        <v>#REF!</v>
      </c>
      <c r="D591" s="1597" t="e">
        <f>+SUMIF(#REF!,Final!A591,#REF!)</f>
        <v>#REF!</v>
      </c>
      <c r="E591" s="1643" t="e">
        <f>SUMIF(#REF!,Final!A591,#REF!)</f>
        <v>#REF!</v>
      </c>
      <c r="F591" s="1644" t="e">
        <f>SUMIF(#REF!,Final!A591,#REF!)</f>
        <v>#REF!</v>
      </c>
      <c r="G591" s="1597" t="e">
        <f t="shared" si="36"/>
        <v>#REF!</v>
      </c>
      <c r="H591" s="1644" t="e">
        <f t="shared" si="37"/>
        <v>#REF!</v>
      </c>
      <c r="I591" s="1597" t="e">
        <f t="shared" si="38"/>
        <v>#REF!</v>
      </c>
      <c r="J591" s="1644" t="e">
        <f t="shared" si="39"/>
        <v>#REF!</v>
      </c>
      <c r="K591" s="1539"/>
      <c r="L591" s="1539"/>
      <c r="M591" s="1545"/>
      <c r="N591" s="1545"/>
      <c r="O591" s="1539"/>
      <c r="P591" s="1539"/>
      <c r="Q591" s="1539"/>
      <c r="R591" s="1539"/>
      <c r="S591" s="1539"/>
      <c r="T591" s="1539"/>
      <c r="U591" s="1539"/>
      <c r="V591" s="1539"/>
      <c r="W591" s="1539"/>
      <c r="X591" s="1539"/>
      <c r="Y591" s="1539"/>
      <c r="Z591" s="1539"/>
      <c r="AA591" s="1539"/>
      <c r="AB591" s="1539"/>
      <c r="AC591" s="1539"/>
      <c r="AD591" s="1539"/>
      <c r="AE591" s="1539"/>
      <c r="AF591" s="1539"/>
      <c r="AG591" s="1539"/>
      <c r="AH591" s="1539"/>
      <c r="AI591" s="1539"/>
      <c r="AJ591" s="1539"/>
      <c r="AK591" s="1539"/>
      <c r="AL591" s="1539"/>
      <c r="AM591" s="1539"/>
      <c r="AN591" s="1539"/>
      <c r="AO591" s="1539"/>
      <c r="AP591" s="1539"/>
      <c r="AQ591" s="1539"/>
      <c r="AR591" s="1539"/>
      <c r="AS591" s="1539"/>
      <c r="AT591" s="1539"/>
      <c r="AU591" s="1539"/>
      <c r="AV591" s="1539"/>
      <c r="AW591" s="1539"/>
      <c r="AX591" s="1539"/>
      <c r="AY591" s="1539"/>
      <c r="AZ591" s="1539"/>
      <c r="BA591" s="1539"/>
      <c r="BB591" s="1539"/>
      <c r="BC591" s="1539"/>
      <c r="BD591" s="1539"/>
      <c r="BE591" s="1539"/>
      <c r="BF591" s="1539"/>
      <c r="BG591" s="1539"/>
      <c r="BH591" s="1539"/>
      <c r="BI591" s="1539"/>
      <c r="BJ591" s="1539"/>
      <c r="BK591" s="1539"/>
      <c r="BL591" s="1539"/>
      <c r="BM591" s="1539"/>
      <c r="BN591" s="1539"/>
      <c r="BO591" s="1539"/>
      <c r="BP591" s="1539"/>
      <c r="BQ591" s="1539"/>
      <c r="BR591" s="1539"/>
      <c r="BS591" s="1539"/>
      <c r="BT591" s="1539"/>
      <c r="BU591" s="1539"/>
      <c r="BV591" s="1539"/>
      <c r="BW591" s="1539"/>
      <c r="BX591" s="1539"/>
      <c r="BY591" s="1539"/>
      <c r="BZ591" s="1539"/>
      <c r="CA591" s="1539"/>
      <c r="CB591" s="1539"/>
      <c r="CC591" s="1539"/>
      <c r="CD591" s="1539"/>
      <c r="CE591" s="1539"/>
      <c r="CF591" s="1539"/>
      <c r="CG591" s="1539"/>
      <c r="CH591" s="1539"/>
      <c r="CI591" s="1539"/>
      <c r="CJ591" s="1539"/>
      <c r="CK591" s="1539"/>
      <c r="CL591" s="1539"/>
      <c r="CM591" s="1539"/>
      <c r="CN591" s="1539"/>
      <c r="CO591" s="1539"/>
    </row>
    <row r="592" spans="1:93" s="1552" customFormat="1" ht="15.5">
      <c r="A592" s="1598"/>
      <c r="B592" s="1599" t="s">
        <v>1760</v>
      </c>
      <c r="C592" s="1643" t="e">
        <f>+SUMIF(#REF!,Final!A592,#REF!)</f>
        <v>#REF!</v>
      </c>
      <c r="D592" s="1597" t="e">
        <f>+SUMIF(#REF!,Final!A592,#REF!)</f>
        <v>#REF!</v>
      </c>
      <c r="E592" s="1643" t="e">
        <f>SUMIF(#REF!,Final!A592,#REF!)</f>
        <v>#REF!</v>
      </c>
      <c r="F592" s="1644" t="e">
        <f>SUMIF(#REF!,Final!A592,#REF!)</f>
        <v>#REF!</v>
      </c>
      <c r="G592" s="1597" t="e">
        <f t="shared" si="36"/>
        <v>#REF!</v>
      </c>
      <c r="H592" s="1644" t="e">
        <f t="shared" si="37"/>
        <v>#REF!</v>
      </c>
      <c r="I592" s="1597" t="e">
        <f t="shared" si="38"/>
        <v>#REF!</v>
      </c>
      <c r="J592" s="1644" t="e">
        <f t="shared" si="39"/>
        <v>#REF!</v>
      </c>
      <c r="K592" s="1539"/>
      <c r="L592" s="1539"/>
      <c r="M592" s="1545"/>
      <c r="N592" s="1545"/>
      <c r="O592" s="1539"/>
      <c r="P592" s="1539"/>
      <c r="Q592" s="1539"/>
      <c r="R592" s="1539"/>
      <c r="S592" s="1539"/>
      <c r="T592" s="1539"/>
      <c r="U592" s="1539"/>
      <c r="V592" s="1539"/>
      <c r="W592" s="1539"/>
      <c r="X592" s="1539"/>
      <c r="Y592" s="1539"/>
      <c r="Z592" s="1539"/>
      <c r="AA592" s="1539"/>
      <c r="AB592" s="1539"/>
      <c r="AC592" s="1539"/>
      <c r="AD592" s="1539"/>
      <c r="AE592" s="1539"/>
      <c r="AF592" s="1539"/>
      <c r="AG592" s="1539"/>
      <c r="AH592" s="1539"/>
      <c r="AI592" s="1539"/>
      <c r="AJ592" s="1539"/>
      <c r="AK592" s="1539"/>
      <c r="AL592" s="1539"/>
      <c r="AM592" s="1539"/>
      <c r="AN592" s="1539"/>
      <c r="AO592" s="1539"/>
      <c r="AP592" s="1539"/>
      <c r="AQ592" s="1539"/>
      <c r="AR592" s="1539"/>
      <c r="AS592" s="1539"/>
      <c r="AT592" s="1539"/>
      <c r="AU592" s="1539"/>
      <c r="AV592" s="1539"/>
      <c r="AW592" s="1539"/>
      <c r="AX592" s="1539"/>
      <c r="AY592" s="1539"/>
      <c r="AZ592" s="1539"/>
      <c r="BA592" s="1539"/>
      <c r="BB592" s="1539"/>
      <c r="BC592" s="1539"/>
      <c r="BD592" s="1539"/>
      <c r="BE592" s="1539"/>
      <c r="BF592" s="1539"/>
      <c r="BG592" s="1539"/>
      <c r="BH592" s="1539"/>
      <c r="BI592" s="1539"/>
      <c r="BJ592" s="1539"/>
      <c r="BK592" s="1539"/>
      <c r="BL592" s="1539"/>
      <c r="BM592" s="1539"/>
      <c r="BN592" s="1539"/>
      <c r="BO592" s="1539"/>
      <c r="BP592" s="1539"/>
      <c r="BQ592" s="1539"/>
      <c r="BR592" s="1539"/>
      <c r="BS592" s="1539"/>
      <c r="BT592" s="1539"/>
      <c r="BU592" s="1539"/>
      <c r="BV592" s="1539"/>
      <c r="BW592" s="1539"/>
      <c r="BX592" s="1539"/>
      <c r="BY592" s="1539"/>
      <c r="BZ592" s="1539"/>
      <c r="CA592" s="1539"/>
      <c r="CB592" s="1539"/>
      <c r="CC592" s="1539"/>
      <c r="CD592" s="1539"/>
      <c r="CE592" s="1539"/>
      <c r="CF592" s="1539"/>
      <c r="CG592" s="1539"/>
      <c r="CH592" s="1539"/>
      <c r="CI592" s="1539"/>
      <c r="CJ592" s="1539"/>
      <c r="CK592" s="1539"/>
      <c r="CL592" s="1539"/>
      <c r="CM592" s="1539"/>
      <c r="CN592" s="1539"/>
      <c r="CO592" s="1539"/>
    </row>
    <row r="593" spans="1:93" s="1552" customFormat="1" ht="15.5">
      <c r="A593" s="1679" t="s">
        <v>4871</v>
      </c>
      <c r="B593" s="1700" t="s">
        <v>4872</v>
      </c>
      <c r="C593" s="1643" t="e">
        <f>+SUMIF(#REF!,Final!A593,#REF!)</f>
        <v>#REF!</v>
      </c>
      <c r="D593" s="1597" t="e">
        <f>+SUMIF(#REF!,Final!A593,#REF!)</f>
        <v>#REF!</v>
      </c>
      <c r="E593" s="1643" t="e">
        <f>SUMIF(#REF!,Final!A593,#REF!)</f>
        <v>#REF!</v>
      </c>
      <c r="F593" s="1644" t="e">
        <f>SUMIF(#REF!,Final!A593,#REF!)</f>
        <v>#REF!</v>
      </c>
      <c r="G593" s="1597" t="e">
        <f t="shared" si="36"/>
        <v>#REF!</v>
      </c>
      <c r="H593" s="1644" t="e">
        <f t="shared" si="37"/>
        <v>#REF!</v>
      </c>
      <c r="I593" s="1597" t="e">
        <f t="shared" si="38"/>
        <v>#REF!</v>
      </c>
      <c r="J593" s="1644" t="e">
        <f t="shared" si="39"/>
        <v>#REF!</v>
      </c>
      <c r="K593" s="1539"/>
      <c r="L593" s="1539"/>
      <c r="M593" s="1545"/>
      <c r="N593" s="1545"/>
      <c r="O593" s="1539"/>
      <c r="P593" s="1539"/>
      <c r="Q593" s="1539"/>
      <c r="R593" s="1539"/>
      <c r="S593" s="1539"/>
      <c r="T593" s="1539"/>
      <c r="U593" s="1539"/>
      <c r="V593" s="1539"/>
      <c r="W593" s="1539"/>
      <c r="X593" s="1539"/>
      <c r="Y593" s="1539"/>
      <c r="Z593" s="1539"/>
      <c r="AA593" s="1539"/>
      <c r="AB593" s="1539"/>
      <c r="AC593" s="1539"/>
      <c r="AD593" s="1539"/>
      <c r="AE593" s="1539"/>
      <c r="AF593" s="1539"/>
      <c r="AG593" s="1539"/>
      <c r="AH593" s="1539"/>
      <c r="AI593" s="1539"/>
      <c r="AJ593" s="1539"/>
      <c r="AK593" s="1539"/>
      <c r="AL593" s="1539"/>
      <c r="AM593" s="1539"/>
      <c r="AN593" s="1539"/>
      <c r="AO593" s="1539"/>
      <c r="AP593" s="1539"/>
      <c r="AQ593" s="1539"/>
      <c r="AR593" s="1539"/>
      <c r="AS593" s="1539"/>
      <c r="AT593" s="1539"/>
      <c r="AU593" s="1539"/>
      <c r="AV593" s="1539"/>
      <c r="AW593" s="1539"/>
      <c r="AX593" s="1539"/>
      <c r="AY593" s="1539"/>
      <c r="AZ593" s="1539"/>
      <c r="BA593" s="1539"/>
      <c r="BB593" s="1539"/>
      <c r="BC593" s="1539"/>
      <c r="BD593" s="1539"/>
      <c r="BE593" s="1539"/>
      <c r="BF593" s="1539"/>
      <c r="BG593" s="1539"/>
      <c r="BH593" s="1539"/>
      <c r="BI593" s="1539"/>
      <c r="BJ593" s="1539"/>
      <c r="BK593" s="1539"/>
      <c r="BL593" s="1539"/>
      <c r="BM593" s="1539"/>
      <c r="BN593" s="1539"/>
      <c r="BO593" s="1539"/>
      <c r="BP593" s="1539"/>
      <c r="BQ593" s="1539"/>
      <c r="BR593" s="1539"/>
      <c r="BS593" s="1539"/>
      <c r="BT593" s="1539"/>
      <c r="BU593" s="1539"/>
      <c r="BV593" s="1539"/>
      <c r="BW593" s="1539"/>
      <c r="BX593" s="1539"/>
      <c r="BY593" s="1539"/>
      <c r="BZ593" s="1539"/>
      <c r="CA593" s="1539"/>
      <c r="CB593" s="1539"/>
      <c r="CC593" s="1539"/>
      <c r="CD593" s="1539"/>
      <c r="CE593" s="1539"/>
      <c r="CF593" s="1539"/>
      <c r="CG593" s="1539"/>
      <c r="CH593" s="1539"/>
      <c r="CI593" s="1539"/>
      <c r="CJ593" s="1539"/>
      <c r="CK593" s="1539"/>
      <c r="CL593" s="1539"/>
      <c r="CM593" s="1539"/>
      <c r="CN593" s="1539"/>
      <c r="CO593" s="1539"/>
    </row>
    <row r="594" spans="1:93" s="1552" customFormat="1" ht="15.5">
      <c r="A594" s="1681" t="s">
        <v>4873</v>
      </c>
      <c r="B594" s="1701" t="s">
        <v>4521</v>
      </c>
      <c r="C594" s="1643" t="e">
        <f>+SUMIF(#REF!,Final!A594,#REF!)</f>
        <v>#REF!</v>
      </c>
      <c r="D594" s="1597" t="e">
        <f>+SUMIF(#REF!,Final!A594,#REF!)</f>
        <v>#REF!</v>
      </c>
      <c r="E594" s="1643" t="e">
        <f>SUMIF(#REF!,Final!A594,#REF!)</f>
        <v>#REF!</v>
      </c>
      <c r="F594" s="1644" t="e">
        <f>SUMIF(#REF!,Final!A594,#REF!)</f>
        <v>#REF!</v>
      </c>
      <c r="G594" s="1597" t="e">
        <f t="shared" si="36"/>
        <v>#REF!</v>
      </c>
      <c r="H594" s="1644" t="e">
        <f t="shared" si="37"/>
        <v>#REF!</v>
      </c>
      <c r="I594" s="1597" t="e">
        <f t="shared" si="38"/>
        <v>#REF!</v>
      </c>
      <c r="J594" s="1644" t="e">
        <f t="shared" si="39"/>
        <v>#REF!</v>
      </c>
      <c r="K594" s="1539"/>
      <c r="L594" s="1539"/>
      <c r="M594" s="1545"/>
      <c r="N594" s="1545"/>
      <c r="O594" s="1539"/>
      <c r="P594" s="1539"/>
      <c r="Q594" s="1539"/>
      <c r="R594" s="1539"/>
      <c r="S594" s="1539"/>
      <c r="T594" s="1539"/>
      <c r="U594" s="1539"/>
      <c r="V594" s="1539"/>
      <c r="W594" s="1539"/>
      <c r="X594" s="1539"/>
      <c r="Y594" s="1539"/>
      <c r="Z594" s="1539"/>
      <c r="AA594" s="1539"/>
      <c r="AB594" s="1539"/>
      <c r="AC594" s="1539"/>
      <c r="AD594" s="1539"/>
      <c r="AE594" s="1539"/>
      <c r="AF594" s="1539"/>
      <c r="AG594" s="1539"/>
      <c r="AH594" s="1539"/>
      <c r="AI594" s="1539"/>
      <c r="AJ594" s="1539"/>
      <c r="AK594" s="1539"/>
      <c r="AL594" s="1539"/>
      <c r="AM594" s="1539"/>
      <c r="AN594" s="1539"/>
      <c r="AO594" s="1539"/>
      <c r="AP594" s="1539"/>
      <c r="AQ594" s="1539"/>
      <c r="AR594" s="1539"/>
      <c r="AS594" s="1539"/>
      <c r="AT594" s="1539"/>
      <c r="AU594" s="1539"/>
      <c r="AV594" s="1539"/>
      <c r="AW594" s="1539"/>
      <c r="AX594" s="1539"/>
      <c r="AY594" s="1539"/>
      <c r="AZ594" s="1539"/>
      <c r="BA594" s="1539"/>
      <c r="BB594" s="1539"/>
      <c r="BC594" s="1539"/>
      <c r="BD594" s="1539"/>
      <c r="BE594" s="1539"/>
      <c r="BF594" s="1539"/>
      <c r="BG594" s="1539"/>
      <c r="BH594" s="1539"/>
      <c r="BI594" s="1539"/>
      <c r="BJ594" s="1539"/>
      <c r="BK594" s="1539"/>
      <c r="BL594" s="1539"/>
      <c r="BM594" s="1539"/>
      <c r="BN594" s="1539"/>
      <c r="BO594" s="1539"/>
      <c r="BP594" s="1539"/>
      <c r="BQ594" s="1539"/>
      <c r="BR594" s="1539"/>
      <c r="BS594" s="1539"/>
      <c r="BT594" s="1539"/>
      <c r="BU594" s="1539"/>
      <c r="BV594" s="1539"/>
      <c r="BW594" s="1539"/>
      <c r="BX594" s="1539"/>
      <c r="BY594" s="1539"/>
      <c r="BZ594" s="1539"/>
      <c r="CA594" s="1539"/>
      <c r="CB594" s="1539"/>
      <c r="CC594" s="1539"/>
      <c r="CD594" s="1539"/>
      <c r="CE594" s="1539"/>
      <c r="CF594" s="1539"/>
      <c r="CG594" s="1539"/>
      <c r="CH594" s="1539"/>
      <c r="CI594" s="1539"/>
      <c r="CJ594" s="1539"/>
      <c r="CK594" s="1539"/>
      <c r="CL594" s="1539"/>
      <c r="CM594" s="1539"/>
      <c r="CN594" s="1539"/>
      <c r="CO594" s="1539"/>
    </row>
    <row r="595" spans="1:93" s="1552" customFormat="1" ht="15.5">
      <c r="A595" s="1682" t="s">
        <v>4874</v>
      </c>
      <c r="B595" s="1689" t="s">
        <v>4523</v>
      </c>
      <c r="C595" s="1643" t="e">
        <f>+SUMIF(#REF!,Final!A595,#REF!)</f>
        <v>#REF!</v>
      </c>
      <c r="D595" s="1597" t="e">
        <f>+SUMIF(#REF!,Final!A595,#REF!)</f>
        <v>#REF!</v>
      </c>
      <c r="E595" s="1643" t="e">
        <f>SUMIF(#REF!,Final!A595,#REF!)</f>
        <v>#REF!</v>
      </c>
      <c r="F595" s="1644" t="e">
        <f>SUMIF(#REF!,Final!A595,#REF!)</f>
        <v>#REF!</v>
      </c>
      <c r="G595" s="1597" t="e">
        <f t="shared" si="36"/>
        <v>#REF!</v>
      </c>
      <c r="H595" s="1644" t="e">
        <f t="shared" si="37"/>
        <v>#REF!</v>
      </c>
      <c r="I595" s="1597" t="e">
        <f t="shared" si="38"/>
        <v>#REF!</v>
      </c>
      <c r="J595" s="1644" t="e">
        <f t="shared" si="39"/>
        <v>#REF!</v>
      </c>
      <c r="K595" s="1539"/>
      <c r="L595" s="1539"/>
      <c r="M595" s="1545"/>
      <c r="N595" s="1545"/>
      <c r="O595" s="1539"/>
      <c r="P595" s="1539"/>
      <c r="Q595" s="1539"/>
      <c r="R595" s="1539"/>
      <c r="S595" s="1539"/>
      <c r="T595" s="1539"/>
      <c r="U595" s="1539"/>
      <c r="V595" s="1539"/>
      <c r="W595" s="1539"/>
      <c r="X595" s="1539"/>
      <c r="Y595" s="1539"/>
      <c r="Z595" s="1539"/>
      <c r="AA595" s="1539"/>
      <c r="AB595" s="1539"/>
      <c r="AC595" s="1539"/>
      <c r="AD595" s="1539"/>
      <c r="AE595" s="1539"/>
      <c r="AF595" s="1539"/>
      <c r="AG595" s="1539"/>
      <c r="AH595" s="1539"/>
      <c r="AI595" s="1539"/>
      <c r="AJ595" s="1539"/>
      <c r="AK595" s="1539"/>
      <c r="AL595" s="1539"/>
      <c r="AM595" s="1539"/>
      <c r="AN595" s="1539"/>
      <c r="AO595" s="1539"/>
      <c r="AP595" s="1539"/>
      <c r="AQ595" s="1539"/>
      <c r="AR595" s="1539"/>
      <c r="AS595" s="1539"/>
      <c r="AT595" s="1539"/>
      <c r="AU595" s="1539"/>
      <c r="AV595" s="1539"/>
      <c r="AW595" s="1539"/>
      <c r="AX595" s="1539"/>
      <c r="AY595" s="1539"/>
      <c r="AZ595" s="1539"/>
      <c r="BA595" s="1539"/>
      <c r="BB595" s="1539"/>
      <c r="BC595" s="1539"/>
      <c r="BD595" s="1539"/>
      <c r="BE595" s="1539"/>
      <c r="BF595" s="1539"/>
      <c r="BG595" s="1539"/>
      <c r="BH595" s="1539"/>
      <c r="BI595" s="1539"/>
      <c r="BJ595" s="1539"/>
      <c r="BK595" s="1539"/>
      <c r="BL595" s="1539"/>
      <c r="BM595" s="1539"/>
      <c r="BN595" s="1539"/>
      <c r="BO595" s="1539"/>
      <c r="BP595" s="1539"/>
      <c r="BQ595" s="1539"/>
      <c r="BR595" s="1539"/>
      <c r="BS595" s="1539"/>
      <c r="BT595" s="1539"/>
      <c r="BU595" s="1539"/>
      <c r="BV595" s="1539"/>
      <c r="BW595" s="1539"/>
      <c r="BX595" s="1539"/>
      <c r="BY595" s="1539"/>
      <c r="BZ595" s="1539"/>
      <c r="CA595" s="1539"/>
      <c r="CB595" s="1539"/>
      <c r="CC595" s="1539"/>
      <c r="CD595" s="1539"/>
      <c r="CE595" s="1539"/>
      <c r="CF595" s="1539"/>
      <c r="CG595" s="1539"/>
      <c r="CH595" s="1539"/>
      <c r="CI595" s="1539"/>
      <c r="CJ595" s="1539"/>
      <c r="CK595" s="1539"/>
      <c r="CL595" s="1539"/>
      <c r="CM595" s="1539"/>
      <c r="CN595" s="1539"/>
      <c r="CO595" s="1539"/>
    </row>
    <row r="596" spans="1:93" s="1552" customFormat="1" ht="15.5">
      <c r="A596" s="1682" t="s">
        <v>4875</v>
      </c>
      <c r="B596" s="1689" t="s">
        <v>4525</v>
      </c>
      <c r="C596" s="1643" t="e">
        <f>+SUMIF(#REF!,Final!A596,#REF!)</f>
        <v>#REF!</v>
      </c>
      <c r="D596" s="1597" t="e">
        <f>+SUMIF(#REF!,Final!A596,#REF!)</f>
        <v>#REF!</v>
      </c>
      <c r="E596" s="1643" t="e">
        <f>SUMIF(#REF!,Final!A596,#REF!)</f>
        <v>#REF!</v>
      </c>
      <c r="F596" s="1644" t="e">
        <f>SUMIF(#REF!,Final!A596,#REF!)</f>
        <v>#REF!</v>
      </c>
      <c r="G596" s="1597" t="e">
        <f t="shared" si="36"/>
        <v>#REF!</v>
      </c>
      <c r="H596" s="1644" t="e">
        <f t="shared" si="37"/>
        <v>#REF!</v>
      </c>
      <c r="I596" s="1597" t="e">
        <f t="shared" si="38"/>
        <v>#REF!</v>
      </c>
      <c r="J596" s="1644" t="e">
        <f t="shared" si="39"/>
        <v>#REF!</v>
      </c>
      <c r="K596" s="1539"/>
      <c r="L596" s="1539"/>
      <c r="M596" s="1545"/>
      <c r="N596" s="1545"/>
      <c r="O596" s="1539"/>
      <c r="P596" s="1539"/>
      <c r="Q596" s="1539"/>
      <c r="R596" s="1539"/>
      <c r="S596" s="1539"/>
      <c r="T596" s="1539"/>
      <c r="U596" s="1539"/>
      <c r="V596" s="1539"/>
      <c r="W596" s="1539"/>
      <c r="X596" s="1539"/>
      <c r="Y596" s="1539"/>
      <c r="Z596" s="1539"/>
      <c r="AA596" s="1539"/>
      <c r="AB596" s="1539"/>
      <c r="AC596" s="1539"/>
      <c r="AD596" s="1539"/>
      <c r="AE596" s="1539"/>
      <c r="AF596" s="1539"/>
      <c r="AG596" s="1539"/>
      <c r="AH596" s="1539"/>
      <c r="AI596" s="1539"/>
      <c r="AJ596" s="1539"/>
      <c r="AK596" s="1539"/>
      <c r="AL596" s="1539"/>
      <c r="AM596" s="1539"/>
      <c r="AN596" s="1539"/>
      <c r="AO596" s="1539"/>
      <c r="AP596" s="1539"/>
      <c r="AQ596" s="1539"/>
      <c r="AR596" s="1539"/>
      <c r="AS596" s="1539"/>
      <c r="AT596" s="1539"/>
      <c r="AU596" s="1539"/>
      <c r="AV596" s="1539"/>
      <c r="AW596" s="1539"/>
      <c r="AX596" s="1539"/>
      <c r="AY596" s="1539"/>
      <c r="AZ596" s="1539"/>
      <c r="BA596" s="1539"/>
      <c r="BB596" s="1539"/>
      <c r="BC596" s="1539"/>
      <c r="BD596" s="1539"/>
      <c r="BE596" s="1539"/>
      <c r="BF596" s="1539"/>
      <c r="BG596" s="1539"/>
      <c r="BH596" s="1539"/>
      <c r="BI596" s="1539"/>
      <c r="BJ596" s="1539"/>
      <c r="BK596" s="1539"/>
      <c r="BL596" s="1539"/>
      <c r="BM596" s="1539"/>
      <c r="BN596" s="1539"/>
      <c r="BO596" s="1539"/>
      <c r="BP596" s="1539"/>
      <c r="BQ596" s="1539"/>
      <c r="BR596" s="1539"/>
      <c r="BS596" s="1539"/>
      <c r="BT596" s="1539"/>
      <c r="BU596" s="1539"/>
      <c r="BV596" s="1539"/>
      <c r="BW596" s="1539"/>
      <c r="BX596" s="1539"/>
      <c r="BY596" s="1539"/>
      <c r="BZ596" s="1539"/>
      <c r="CA596" s="1539"/>
      <c r="CB596" s="1539"/>
      <c r="CC596" s="1539"/>
      <c r="CD596" s="1539"/>
      <c r="CE596" s="1539"/>
      <c r="CF596" s="1539"/>
      <c r="CG596" s="1539"/>
      <c r="CH596" s="1539"/>
      <c r="CI596" s="1539"/>
      <c r="CJ596" s="1539"/>
      <c r="CK596" s="1539"/>
      <c r="CL596" s="1539"/>
      <c r="CM596" s="1539"/>
      <c r="CN596" s="1539"/>
      <c r="CO596" s="1539"/>
    </row>
    <row r="597" spans="1:93" s="1552" customFormat="1" ht="15.5">
      <c r="A597" s="1682" t="s">
        <v>4876</v>
      </c>
      <c r="B597" s="1689" t="s">
        <v>4877</v>
      </c>
      <c r="C597" s="1643" t="e">
        <f>+SUMIF(#REF!,Final!A597,#REF!)</f>
        <v>#REF!</v>
      </c>
      <c r="D597" s="1597" t="e">
        <f>+SUMIF(#REF!,Final!A597,#REF!)</f>
        <v>#REF!</v>
      </c>
      <c r="E597" s="1643" t="e">
        <f>SUMIF(#REF!,Final!A597,#REF!)</f>
        <v>#REF!</v>
      </c>
      <c r="F597" s="1644" t="e">
        <f>SUMIF(#REF!,Final!A597,#REF!)</f>
        <v>#REF!</v>
      </c>
      <c r="G597" s="1597" t="e">
        <f t="shared" si="36"/>
        <v>#REF!</v>
      </c>
      <c r="H597" s="1644" t="e">
        <f t="shared" si="37"/>
        <v>#REF!</v>
      </c>
      <c r="I597" s="1597" t="e">
        <f t="shared" si="38"/>
        <v>#REF!</v>
      </c>
      <c r="J597" s="1644" t="e">
        <f t="shared" si="39"/>
        <v>#REF!</v>
      </c>
      <c r="K597" s="1539"/>
      <c r="L597" s="1539"/>
      <c r="M597" s="1545"/>
      <c r="N597" s="1545"/>
      <c r="O597" s="1539"/>
      <c r="P597" s="1539"/>
      <c r="Q597" s="1539"/>
      <c r="R597" s="1539"/>
      <c r="S597" s="1539"/>
      <c r="T597" s="1539"/>
      <c r="U597" s="1539"/>
      <c r="V597" s="1539"/>
      <c r="W597" s="1539"/>
      <c r="X597" s="1539"/>
      <c r="Y597" s="1539"/>
      <c r="Z597" s="1539"/>
      <c r="AA597" s="1539"/>
      <c r="AB597" s="1539"/>
      <c r="AC597" s="1539"/>
      <c r="AD597" s="1539"/>
      <c r="AE597" s="1539"/>
      <c r="AF597" s="1539"/>
      <c r="AG597" s="1539"/>
      <c r="AH597" s="1539"/>
      <c r="AI597" s="1539"/>
      <c r="AJ597" s="1539"/>
      <c r="AK597" s="1539"/>
      <c r="AL597" s="1539"/>
      <c r="AM597" s="1539"/>
      <c r="AN597" s="1539"/>
      <c r="AO597" s="1539"/>
      <c r="AP597" s="1539"/>
      <c r="AQ597" s="1539"/>
      <c r="AR597" s="1539"/>
      <c r="AS597" s="1539"/>
      <c r="AT597" s="1539"/>
      <c r="AU597" s="1539"/>
      <c r="AV597" s="1539"/>
      <c r="AW597" s="1539"/>
      <c r="AX597" s="1539"/>
      <c r="AY597" s="1539"/>
      <c r="AZ597" s="1539"/>
      <c r="BA597" s="1539"/>
      <c r="BB597" s="1539"/>
      <c r="BC597" s="1539"/>
      <c r="BD597" s="1539"/>
      <c r="BE597" s="1539"/>
      <c r="BF597" s="1539"/>
      <c r="BG597" s="1539"/>
      <c r="BH597" s="1539"/>
      <c r="BI597" s="1539"/>
      <c r="BJ597" s="1539"/>
      <c r="BK597" s="1539"/>
      <c r="BL597" s="1539"/>
      <c r="BM597" s="1539"/>
      <c r="BN597" s="1539"/>
      <c r="BO597" s="1539"/>
      <c r="BP597" s="1539"/>
      <c r="BQ597" s="1539"/>
      <c r="BR597" s="1539"/>
      <c r="BS597" s="1539"/>
      <c r="BT597" s="1539"/>
      <c r="BU597" s="1539"/>
      <c r="BV597" s="1539"/>
      <c r="BW597" s="1539"/>
      <c r="BX597" s="1539"/>
      <c r="BY597" s="1539"/>
      <c r="BZ597" s="1539"/>
      <c r="CA597" s="1539"/>
      <c r="CB597" s="1539"/>
      <c r="CC597" s="1539"/>
      <c r="CD597" s="1539"/>
      <c r="CE597" s="1539"/>
      <c r="CF597" s="1539"/>
      <c r="CG597" s="1539"/>
      <c r="CH597" s="1539"/>
      <c r="CI597" s="1539"/>
      <c r="CJ597" s="1539"/>
      <c r="CK597" s="1539"/>
      <c r="CL597" s="1539"/>
      <c r="CM597" s="1539"/>
      <c r="CN597" s="1539"/>
      <c r="CO597" s="1539"/>
    </row>
    <row r="598" spans="1:93" s="1552" customFormat="1" ht="15.5">
      <c r="A598" s="1682" t="s">
        <v>4878</v>
      </c>
      <c r="B598" s="1689" t="s">
        <v>4528</v>
      </c>
      <c r="C598" s="1643" t="e">
        <f>+SUMIF(#REF!,Final!A598,#REF!)</f>
        <v>#REF!</v>
      </c>
      <c r="D598" s="1597" t="e">
        <f>+SUMIF(#REF!,Final!A598,#REF!)</f>
        <v>#REF!</v>
      </c>
      <c r="E598" s="1643" t="e">
        <f>SUMIF(#REF!,Final!A598,#REF!)</f>
        <v>#REF!</v>
      </c>
      <c r="F598" s="1644" t="e">
        <f>SUMIF(#REF!,Final!A598,#REF!)</f>
        <v>#REF!</v>
      </c>
      <c r="G598" s="1597" t="e">
        <f t="shared" si="36"/>
        <v>#REF!</v>
      </c>
      <c r="H598" s="1644" t="e">
        <f t="shared" si="37"/>
        <v>#REF!</v>
      </c>
      <c r="I598" s="1597" t="e">
        <f t="shared" si="38"/>
        <v>#REF!</v>
      </c>
      <c r="J598" s="1644" t="e">
        <f t="shared" si="39"/>
        <v>#REF!</v>
      </c>
      <c r="K598" s="1539"/>
      <c r="L598" s="1539"/>
      <c r="M598" s="1545"/>
      <c r="N598" s="1545"/>
      <c r="O598" s="1539"/>
      <c r="P598" s="1539"/>
      <c r="Q598" s="1539"/>
      <c r="R598" s="1539"/>
      <c r="S598" s="1539"/>
      <c r="T598" s="1539"/>
      <c r="U598" s="1539"/>
      <c r="V598" s="1539"/>
      <c r="W598" s="1539"/>
      <c r="X598" s="1539"/>
      <c r="Y598" s="1539"/>
      <c r="Z598" s="1539"/>
      <c r="AA598" s="1539"/>
      <c r="AB598" s="1539"/>
      <c r="AC598" s="1539"/>
      <c r="AD598" s="1539"/>
      <c r="AE598" s="1539"/>
      <c r="AF598" s="1539"/>
      <c r="AG598" s="1539"/>
      <c r="AH598" s="1539"/>
      <c r="AI598" s="1539"/>
      <c r="AJ598" s="1539"/>
      <c r="AK598" s="1539"/>
      <c r="AL598" s="1539"/>
      <c r="AM598" s="1539"/>
      <c r="AN598" s="1539"/>
      <c r="AO598" s="1539"/>
      <c r="AP598" s="1539"/>
      <c r="AQ598" s="1539"/>
      <c r="AR598" s="1539"/>
      <c r="AS598" s="1539"/>
      <c r="AT598" s="1539"/>
      <c r="AU598" s="1539"/>
      <c r="AV598" s="1539"/>
      <c r="AW598" s="1539"/>
      <c r="AX598" s="1539"/>
      <c r="AY598" s="1539"/>
      <c r="AZ598" s="1539"/>
      <c r="BA598" s="1539"/>
      <c r="BB598" s="1539"/>
      <c r="BC598" s="1539"/>
      <c r="BD598" s="1539"/>
      <c r="BE598" s="1539"/>
      <c r="BF598" s="1539"/>
      <c r="BG598" s="1539"/>
      <c r="BH598" s="1539"/>
      <c r="BI598" s="1539"/>
      <c r="BJ598" s="1539"/>
      <c r="BK598" s="1539"/>
      <c r="BL598" s="1539"/>
      <c r="BM598" s="1539"/>
      <c r="BN598" s="1539"/>
      <c r="BO598" s="1539"/>
      <c r="BP598" s="1539"/>
      <c r="BQ598" s="1539"/>
      <c r="BR598" s="1539"/>
      <c r="BS598" s="1539"/>
      <c r="BT598" s="1539"/>
      <c r="BU598" s="1539"/>
      <c r="BV598" s="1539"/>
      <c r="BW598" s="1539"/>
      <c r="BX598" s="1539"/>
      <c r="BY598" s="1539"/>
      <c r="BZ598" s="1539"/>
      <c r="CA598" s="1539"/>
      <c r="CB598" s="1539"/>
      <c r="CC598" s="1539"/>
      <c r="CD598" s="1539"/>
      <c r="CE598" s="1539"/>
      <c r="CF598" s="1539"/>
      <c r="CG598" s="1539"/>
      <c r="CH598" s="1539"/>
      <c r="CI598" s="1539"/>
      <c r="CJ598" s="1539"/>
      <c r="CK598" s="1539"/>
      <c r="CL598" s="1539"/>
      <c r="CM598" s="1539"/>
      <c r="CN598" s="1539"/>
      <c r="CO598" s="1539"/>
    </row>
    <row r="599" spans="1:93" s="1552" customFormat="1" ht="15.5">
      <c r="A599" s="1682" t="s">
        <v>4879</v>
      </c>
      <c r="B599" s="1689" t="s">
        <v>4530</v>
      </c>
      <c r="C599" s="1643" t="e">
        <f>+SUMIF(#REF!,Final!A599,#REF!)</f>
        <v>#REF!</v>
      </c>
      <c r="D599" s="1597" t="e">
        <f>+SUMIF(#REF!,Final!A599,#REF!)</f>
        <v>#REF!</v>
      </c>
      <c r="E599" s="1643" t="e">
        <f>SUMIF(#REF!,Final!A599,#REF!)</f>
        <v>#REF!</v>
      </c>
      <c r="F599" s="1644" t="e">
        <f>SUMIF(#REF!,Final!A599,#REF!)</f>
        <v>#REF!</v>
      </c>
      <c r="G599" s="1597" t="e">
        <f t="shared" si="36"/>
        <v>#REF!</v>
      </c>
      <c r="H599" s="1644" t="e">
        <f t="shared" si="37"/>
        <v>#REF!</v>
      </c>
      <c r="I599" s="1597" t="e">
        <f t="shared" si="38"/>
        <v>#REF!</v>
      </c>
      <c r="J599" s="1644" t="e">
        <f t="shared" si="39"/>
        <v>#REF!</v>
      </c>
      <c r="K599" s="1539"/>
      <c r="L599" s="1539"/>
      <c r="M599" s="1545"/>
      <c r="N599" s="1545"/>
      <c r="O599" s="1539"/>
      <c r="P599" s="1539"/>
      <c r="Q599" s="1539"/>
      <c r="R599" s="1539"/>
      <c r="S599" s="1539"/>
      <c r="T599" s="1539"/>
      <c r="U599" s="1539"/>
      <c r="V599" s="1539"/>
      <c r="W599" s="1539"/>
      <c r="X599" s="1539"/>
      <c r="Y599" s="1539"/>
      <c r="Z599" s="1539"/>
      <c r="AA599" s="1539"/>
      <c r="AB599" s="1539"/>
      <c r="AC599" s="1539"/>
      <c r="AD599" s="1539"/>
      <c r="AE599" s="1539"/>
      <c r="AF599" s="1539"/>
      <c r="AG599" s="1539"/>
      <c r="AH599" s="1539"/>
      <c r="AI599" s="1539"/>
      <c r="AJ599" s="1539"/>
      <c r="AK599" s="1539"/>
      <c r="AL599" s="1539"/>
      <c r="AM599" s="1539"/>
      <c r="AN599" s="1539"/>
      <c r="AO599" s="1539"/>
      <c r="AP599" s="1539"/>
      <c r="AQ599" s="1539"/>
      <c r="AR599" s="1539"/>
      <c r="AS599" s="1539"/>
      <c r="AT599" s="1539"/>
      <c r="AU599" s="1539"/>
      <c r="AV599" s="1539"/>
      <c r="AW599" s="1539"/>
      <c r="AX599" s="1539"/>
      <c r="AY599" s="1539"/>
      <c r="AZ599" s="1539"/>
      <c r="BA599" s="1539"/>
      <c r="BB599" s="1539"/>
      <c r="BC599" s="1539"/>
      <c r="BD599" s="1539"/>
      <c r="BE599" s="1539"/>
      <c r="BF599" s="1539"/>
      <c r="BG599" s="1539"/>
      <c r="BH599" s="1539"/>
      <c r="BI599" s="1539"/>
      <c r="BJ599" s="1539"/>
      <c r="BK599" s="1539"/>
      <c r="BL599" s="1539"/>
      <c r="BM599" s="1539"/>
      <c r="BN599" s="1539"/>
      <c r="BO599" s="1539"/>
      <c r="BP599" s="1539"/>
      <c r="BQ599" s="1539"/>
      <c r="BR599" s="1539"/>
      <c r="BS599" s="1539"/>
      <c r="BT599" s="1539"/>
      <c r="BU599" s="1539"/>
      <c r="BV599" s="1539"/>
      <c r="BW599" s="1539"/>
      <c r="BX599" s="1539"/>
      <c r="BY599" s="1539"/>
      <c r="BZ599" s="1539"/>
      <c r="CA599" s="1539"/>
      <c r="CB599" s="1539"/>
      <c r="CC599" s="1539"/>
      <c r="CD599" s="1539"/>
      <c r="CE599" s="1539"/>
      <c r="CF599" s="1539"/>
      <c r="CG599" s="1539"/>
      <c r="CH599" s="1539"/>
      <c r="CI599" s="1539"/>
      <c r="CJ599" s="1539"/>
      <c r="CK599" s="1539"/>
      <c r="CL599" s="1539"/>
      <c r="CM599" s="1539"/>
      <c r="CN599" s="1539"/>
      <c r="CO599" s="1539"/>
    </row>
    <row r="600" spans="1:93" s="1552" customFormat="1" ht="15.5">
      <c r="A600" s="1682" t="s">
        <v>4880</v>
      </c>
      <c r="B600" s="1689" t="s">
        <v>4881</v>
      </c>
      <c r="C600" s="1643" t="e">
        <f>+SUMIF(#REF!,Final!A600,#REF!)</f>
        <v>#REF!</v>
      </c>
      <c r="D600" s="1597" t="e">
        <f>+SUMIF(#REF!,Final!A600,#REF!)</f>
        <v>#REF!</v>
      </c>
      <c r="E600" s="1643" t="e">
        <f>SUMIF(#REF!,Final!A600,#REF!)</f>
        <v>#REF!</v>
      </c>
      <c r="F600" s="1644" t="e">
        <f>SUMIF(#REF!,Final!A600,#REF!)</f>
        <v>#REF!</v>
      </c>
      <c r="G600" s="1597" t="e">
        <f t="shared" si="36"/>
        <v>#REF!</v>
      </c>
      <c r="H600" s="1644" t="e">
        <f t="shared" si="37"/>
        <v>#REF!</v>
      </c>
      <c r="I600" s="1597" t="e">
        <f t="shared" si="38"/>
        <v>#REF!</v>
      </c>
      <c r="J600" s="1644" t="e">
        <f t="shared" si="39"/>
        <v>#REF!</v>
      </c>
      <c r="K600" s="1539"/>
      <c r="L600" s="1539"/>
      <c r="M600" s="1545"/>
      <c r="N600" s="1545"/>
      <c r="O600" s="1539"/>
      <c r="P600" s="1539"/>
      <c r="Q600" s="1539"/>
      <c r="R600" s="1539"/>
      <c r="S600" s="1539"/>
      <c r="T600" s="1539"/>
      <c r="U600" s="1539"/>
      <c r="V600" s="1539"/>
      <c r="W600" s="1539"/>
      <c r="X600" s="1539"/>
      <c r="Y600" s="1539"/>
      <c r="Z600" s="1539"/>
      <c r="AA600" s="1539"/>
      <c r="AB600" s="1539"/>
      <c r="AC600" s="1539"/>
      <c r="AD600" s="1539"/>
      <c r="AE600" s="1539"/>
      <c r="AF600" s="1539"/>
      <c r="AG600" s="1539"/>
      <c r="AH600" s="1539"/>
      <c r="AI600" s="1539"/>
      <c r="AJ600" s="1539"/>
      <c r="AK600" s="1539"/>
      <c r="AL600" s="1539"/>
      <c r="AM600" s="1539"/>
      <c r="AN600" s="1539"/>
      <c r="AO600" s="1539"/>
      <c r="AP600" s="1539"/>
      <c r="AQ600" s="1539"/>
      <c r="AR600" s="1539"/>
      <c r="AS600" s="1539"/>
      <c r="AT600" s="1539"/>
      <c r="AU600" s="1539"/>
      <c r="AV600" s="1539"/>
      <c r="AW600" s="1539"/>
      <c r="AX600" s="1539"/>
      <c r="AY600" s="1539"/>
      <c r="AZ600" s="1539"/>
      <c r="BA600" s="1539"/>
      <c r="BB600" s="1539"/>
      <c r="BC600" s="1539"/>
      <c r="BD600" s="1539"/>
      <c r="BE600" s="1539"/>
      <c r="BF600" s="1539"/>
      <c r="BG600" s="1539"/>
      <c r="BH600" s="1539"/>
      <c r="BI600" s="1539"/>
      <c r="BJ600" s="1539"/>
      <c r="BK600" s="1539"/>
      <c r="BL600" s="1539"/>
      <c r="BM600" s="1539"/>
      <c r="BN600" s="1539"/>
      <c r="BO600" s="1539"/>
      <c r="BP600" s="1539"/>
      <c r="BQ600" s="1539"/>
      <c r="BR600" s="1539"/>
      <c r="BS600" s="1539"/>
      <c r="BT600" s="1539"/>
      <c r="BU600" s="1539"/>
      <c r="BV600" s="1539"/>
      <c r="BW600" s="1539"/>
      <c r="BX600" s="1539"/>
      <c r="BY600" s="1539"/>
      <c r="BZ600" s="1539"/>
      <c r="CA600" s="1539"/>
      <c r="CB600" s="1539"/>
      <c r="CC600" s="1539"/>
      <c r="CD600" s="1539"/>
      <c r="CE600" s="1539"/>
      <c r="CF600" s="1539"/>
      <c r="CG600" s="1539"/>
      <c r="CH600" s="1539"/>
      <c r="CI600" s="1539"/>
      <c r="CJ600" s="1539"/>
      <c r="CK600" s="1539"/>
      <c r="CL600" s="1539"/>
      <c r="CM600" s="1539"/>
      <c r="CN600" s="1539"/>
      <c r="CO600" s="1539"/>
    </row>
    <row r="601" spans="1:93" s="1552" customFormat="1" ht="15.5">
      <c r="A601" s="1682" t="s">
        <v>4882</v>
      </c>
      <c r="B601" s="1689" t="s">
        <v>4883</v>
      </c>
      <c r="C601" s="1643" t="e">
        <f>+SUMIF(#REF!,Final!A601,#REF!)</f>
        <v>#REF!</v>
      </c>
      <c r="D601" s="1597" t="e">
        <f>+SUMIF(#REF!,Final!A601,#REF!)</f>
        <v>#REF!</v>
      </c>
      <c r="E601" s="1643" t="e">
        <f>SUMIF(#REF!,Final!A601,#REF!)</f>
        <v>#REF!</v>
      </c>
      <c r="F601" s="1644" t="e">
        <f>SUMIF(#REF!,Final!A601,#REF!)</f>
        <v>#REF!</v>
      </c>
      <c r="G601" s="1597" t="e">
        <f t="shared" si="36"/>
        <v>#REF!</v>
      </c>
      <c r="H601" s="1644" t="e">
        <f t="shared" si="37"/>
        <v>#REF!</v>
      </c>
      <c r="I601" s="1597" t="e">
        <f t="shared" si="38"/>
        <v>#REF!</v>
      </c>
      <c r="J601" s="1644" t="e">
        <f t="shared" si="39"/>
        <v>#REF!</v>
      </c>
      <c r="K601" s="1539"/>
      <c r="L601" s="1539"/>
      <c r="M601" s="1545"/>
      <c r="N601" s="1545"/>
      <c r="O601" s="1539"/>
      <c r="P601" s="1539"/>
      <c r="Q601" s="1539"/>
      <c r="R601" s="1539"/>
      <c r="S601" s="1539"/>
      <c r="T601" s="1539"/>
      <c r="U601" s="1539"/>
      <c r="V601" s="1539"/>
      <c r="W601" s="1539"/>
      <c r="X601" s="1539"/>
      <c r="Y601" s="1539"/>
      <c r="Z601" s="1539"/>
      <c r="AA601" s="1539"/>
      <c r="AB601" s="1539"/>
      <c r="AC601" s="1539"/>
      <c r="AD601" s="1539"/>
      <c r="AE601" s="1539"/>
      <c r="AF601" s="1539"/>
      <c r="AG601" s="1539"/>
      <c r="AH601" s="1539"/>
      <c r="AI601" s="1539"/>
      <c r="AJ601" s="1539"/>
      <c r="AK601" s="1539"/>
      <c r="AL601" s="1539"/>
      <c r="AM601" s="1539"/>
      <c r="AN601" s="1539"/>
      <c r="AO601" s="1539"/>
      <c r="AP601" s="1539"/>
      <c r="AQ601" s="1539"/>
      <c r="AR601" s="1539"/>
      <c r="AS601" s="1539"/>
      <c r="AT601" s="1539"/>
      <c r="AU601" s="1539"/>
      <c r="AV601" s="1539"/>
      <c r="AW601" s="1539"/>
      <c r="AX601" s="1539"/>
      <c r="AY601" s="1539"/>
      <c r="AZ601" s="1539"/>
      <c r="BA601" s="1539"/>
      <c r="BB601" s="1539"/>
      <c r="BC601" s="1539"/>
      <c r="BD601" s="1539"/>
      <c r="BE601" s="1539"/>
      <c r="BF601" s="1539"/>
      <c r="BG601" s="1539"/>
      <c r="BH601" s="1539"/>
      <c r="BI601" s="1539"/>
      <c r="BJ601" s="1539"/>
      <c r="BK601" s="1539"/>
      <c r="BL601" s="1539"/>
      <c r="BM601" s="1539"/>
      <c r="BN601" s="1539"/>
      <c r="BO601" s="1539"/>
      <c r="BP601" s="1539"/>
      <c r="BQ601" s="1539"/>
      <c r="BR601" s="1539"/>
      <c r="BS601" s="1539"/>
      <c r="BT601" s="1539"/>
      <c r="BU601" s="1539"/>
      <c r="BV601" s="1539"/>
      <c r="BW601" s="1539"/>
      <c r="BX601" s="1539"/>
      <c r="BY601" s="1539"/>
      <c r="BZ601" s="1539"/>
      <c r="CA601" s="1539"/>
      <c r="CB601" s="1539"/>
      <c r="CC601" s="1539"/>
      <c r="CD601" s="1539"/>
      <c r="CE601" s="1539"/>
      <c r="CF601" s="1539"/>
      <c r="CG601" s="1539"/>
      <c r="CH601" s="1539"/>
      <c r="CI601" s="1539"/>
      <c r="CJ601" s="1539"/>
      <c r="CK601" s="1539"/>
      <c r="CL601" s="1539"/>
      <c r="CM601" s="1539"/>
      <c r="CN601" s="1539"/>
      <c r="CO601" s="1539"/>
    </row>
    <row r="602" spans="1:93" s="1552" customFormat="1" ht="15.5">
      <c r="A602" s="1682" t="s">
        <v>4884</v>
      </c>
      <c r="B602" s="1689" t="s">
        <v>4532</v>
      </c>
      <c r="C602" s="1643" t="e">
        <f>+SUMIF(#REF!,Final!A602,#REF!)</f>
        <v>#REF!</v>
      </c>
      <c r="D602" s="1597" t="e">
        <f>+SUMIF(#REF!,Final!A602,#REF!)</f>
        <v>#REF!</v>
      </c>
      <c r="E602" s="1643" t="e">
        <f>SUMIF(#REF!,Final!A602,#REF!)</f>
        <v>#REF!</v>
      </c>
      <c r="F602" s="1644" t="e">
        <f>SUMIF(#REF!,Final!A602,#REF!)</f>
        <v>#REF!</v>
      </c>
      <c r="G602" s="1597" t="e">
        <f t="shared" si="36"/>
        <v>#REF!</v>
      </c>
      <c r="H602" s="1644" t="e">
        <f t="shared" si="37"/>
        <v>#REF!</v>
      </c>
      <c r="I602" s="1597" t="e">
        <f t="shared" si="38"/>
        <v>#REF!</v>
      </c>
      <c r="J602" s="1644" t="e">
        <f t="shared" si="39"/>
        <v>#REF!</v>
      </c>
      <c r="K602" s="1539"/>
      <c r="L602" s="1539"/>
      <c r="M602" s="1545"/>
      <c r="N602" s="1545"/>
      <c r="O602" s="1539"/>
      <c r="P602" s="1539"/>
      <c r="Q602" s="1539"/>
      <c r="R602" s="1539"/>
      <c r="S602" s="1539"/>
      <c r="T602" s="1539"/>
      <c r="U602" s="1539"/>
      <c r="V602" s="1539"/>
      <c r="W602" s="1539"/>
      <c r="X602" s="1539"/>
      <c r="Y602" s="1539"/>
      <c r="Z602" s="1539"/>
      <c r="AA602" s="1539"/>
      <c r="AB602" s="1539"/>
      <c r="AC602" s="1539"/>
      <c r="AD602" s="1539"/>
      <c r="AE602" s="1539"/>
      <c r="AF602" s="1539"/>
      <c r="AG602" s="1539"/>
      <c r="AH602" s="1539"/>
      <c r="AI602" s="1539"/>
      <c r="AJ602" s="1539"/>
      <c r="AK602" s="1539"/>
      <c r="AL602" s="1539"/>
      <c r="AM602" s="1539"/>
      <c r="AN602" s="1539"/>
      <c r="AO602" s="1539"/>
      <c r="AP602" s="1539"/>
      <c r="AQ602" s="1539"/>
      <c r="AR602" s="1539"/>
      <c r="AS602" s="1539"/>
      <c r="AT602" s="1539"/>
      <c r="AU602" s="1539"/>
      <c r="AV602" s="1539"/>
      <c r="AW602" s="1539"/>
      <c r="AX602" s="1539"/>
      <c r="AY602" s="1539"/>
      <c r="AZ602" s="1539"/>
      <c r="BA602" s="1539"/>
      <c r="BB602" s="1539"/>
      <c r="BC602" s="1539"/>
      <c r="BD602" s="1539"/>
      <c r="BE602" s="1539"/>
      <c r="BF602" s="1539"/>
      <c r="BG602" s="1539"/>
      <c r="BH602" s="1539"/>
      <c r="BI602" s="1539"/>
      <c r="BJ602" s="1539"/>
      <c r="BK602" s="1539"/>
      <c r="BL602" s="1539"/>
      <c r="BM602" s="1539"/>
      <c r="BN602" s="1539"/>
      <c r="BO602" s="1539"/>
      <c r="BP602" s="1539"/>
      <c r="BQ602" s="1539"/>
      <c r="BR602" s="1539"/>
      <c r="BS602" s="1539"/>
      <c r="BT602" s="1539"/>
      <c r="BU602" s="1539"/>
      <c r="BV602" s="1539"/>
      <c r="BW602" s="1539"/>
      <c r="BX602" s="1539"/>
      <c r="BY602" s="1539"/>
      <c r="BZ602" s="1539"/>
      <c r="CA602" s="1539"/>
      <c r="CB602" s="1539"/>
      <c r="CC602" s="1539"/>
      <c r="CD602" s="1539"/>
      <c r="CE602" s="1539"/>
      <c r="CF602" s="1539"/>
      <c r="CG602" s="1539"/>
      <c r="CH602" s="1539"/>
      <c r="CI602" s="1539"/>
      <c r="CJ602" s="1539"/>
      <c r="CK602" s="1539"/>
      <c r="CL602" s="1539"/>
      <c r="CM602" s="1539"/>
      <c r="CN602" s="1539"/>
      <c r="CO602" s="1539"/>
    </row>
    <row r="603" spans="1:93" s="1552" customFormat="1" ht="15.5">
      <c r="A603" s="1682" t="s">
        <v>4879</v>
      </c>
      <c r="B603" s="1689" t="s">
        <v>4885</v>
      </c>
      <c r="C603" s="1643" t="e">
        <f>+SUMIF(#REF!,Final!A603,#REF!)</f>
        <v>#REF!</v>
      </c>
      <c r="D603" s="1597" t="e">
        <f>+SUMIF(#REF!,Final!A603,#REF!)</f>
        <v>#REF!</v>
      </c>
      <c r="E603" s="1643" t="e">
        <f>SUMIF(#REF!,Final!A603,#REF!)</f>
        <v>#REF!</v>
      </c>
      <c r="F603" s="1644" t="e">
        <f>SUMIF(#REF!,Final!A603,#REF!)</f>
        <v>#REF!</v>
      </c>
      <c r="G603" s="1597" t="e">
        <f t="shared" si="36"/>
        <v>#REF!</v>
      </c>
      <c r="H603" s="1644" t="e">
        <f t="shared" si="37"/>
        <v>#REF!</v>
      </c>
      <c r="I603" s="1597" t="e">
        <f t="shared" si="38"/>
        <v>#REF!</v>
      </c>
      <c r="J603" s="1644" t="e">
        <f t="shared" si="39"/>
        <v>#REF!</v>
      </c>
      <c r="K603" s="1539"/>
      <c r="L603" s="1539"/>
      <c r="M603" s="1545"/>
      <c r="N603" s="1545"/>
      <c r="O603" s="1539"/>
      <c r="P603" s="1539"/>
      <c r="Q603" s="1539"/>
      <c r="R603" s="1539"/>
      <c r="S603" s="1539"/>
      <c r="T603" s="1539"/>
      <c r="U603" s="1539"/>
      <c r="V603" s="1539"/>
      <c r="W603" s="1539"/>
      <c r="X603" s="1539"/>
      <c r="Y603" s="1539"/>
      <c r="Z603" s="1539"/>
      <c r="AA603" s="1539"/>
      <c r="AB603" s="1539"/>
      <c r="AC603" s="1539"/>
      <c r="AD603" s="1539"/>
      <c r="AE603" s="1539"/>
      <c r="AF603" s="1539"/>
      <c r="AG603" s="1539"/>
      <c r="AH603" s="1539"/>
      <c r="AI603" s="1539"/>
      <c r="AJ603" s="1539"/>
      <c r="AK603" s="1539"/>
      <c r="AL603" s="1539"/>
      <c r="AM603" s="1539"/>
      <c r="AN603" s="1539"/>
      <c r="AO603" s="1539"/>
      <c r="AP603" s="1539"/>
      <c r="AQ603" s="1539"/>
      <c r="AR603" s="1539"/>
      <c r="AS603" s="1539"/>
      <c r="AT603" s="1539"/>
      <c r="AU603" s="1539"/>
      <c r="AV603" s="1539"/>
      <c r="AW603" s="1539"/>
      <c r="AX603" s="1539"/>
      <c r="AY603" s="1539"/>
      <c r="AZ603" s="1539"/>
      <c r="BA603" s="1539"/>
      <c r="BB603" s="1539"/>
      <c r="BC603" s="1539"/>
      <c r="BD603" s="1539"/>
      <c r="BE603" s="1539"/>
      <c r="BF603" s="1539"/>
      <c r="BG603" s="1539"/>
      <c r="BH603" s="1539"/>
      <c r="BI603" s="1539"/>
      <c r="BJ603" s="1539"/>
      <c r="BK603" s="1539"/>
      <c r="BL603" s="1539"/>
      <c r="BM603" s="1539"/>
      <c r="BN603" s="1539"/>
      <c r="BO603" s="1539"/>
      <c r="BP603" s="1539"/>
      <c r="BQ603" s="1539"/>
      <c r="BR603" s="1539"/>
      <c r="BS603" s="1539"/>
      <c r="BT603" s="1539"/>
      <c r="BU603" s="1539"/>
      <c r="BV603" s="1539"/>
      <c r="BW603" s="1539"/>
      <c r="BX603" s="1539"/>
      <c r="BY603" s="1539"/>
      <c r="BZ603" s="1539"/>
      <c r="CA603" s="1539"/>
      <c r="CB603" s="1539"/>
      <c r="CC603" s="1539"/>
      <c r="CD603" s="1539"/>
      <c r="CE603" s="1539"/>
      <c r="CF603" s="1539"/>
      <c r="CG603" s="1539"/>
      <c r="CH603" s="1539"/>
      <c r="CI603" s="1539"/>
      <c r="CJ603" s="1539"/>
      <c r="CK603" s="1539"/>
      <c r="CL603" s="1539"/>
      <c r="CM603" s="1539"/>
      <c r="CN603" s="1539"/>
      <c r="CO603" s="1539"/>
    </row>
    <row r="604" spans="1:93" s="1552" customFormat="1" ht="15.5">
      <c r="A604" s="1682" t="s">
        <v>4886</v>
      </c>
      <c r="B604" s="1689" t="s">
        <v>2117</v>
      </c>
      <c r="C604" s="1643" t="e">
        <f>+SUMIF(#REF!,Final!A604,#REF!)</f>
        <v>#REF!</v>
      </c>
      <c r="D604" s="1597" t="e">
        <f>+SUMIF(#REF!,Final!A604,#REF!)</f>
        <v>#REF!</v>
      </c>
      <c r="E604" s="1643" t="e">
        <f>SUMIF(#REF!,Final!A604,#REF!)</f>
        <v>#REF!</v>
      </c>
      <c r="F604" s="1644" t="e">
        <f>SUMIF(#REF!,Final!A604,#REF!)</f>
        <v>#REF!</v>
      </c>
      <c r="G604" s="1597" t="e">
        <f t="shared" si="36"/>
        <v>#REF!</v>
      </c>
      <c r="H604" s="1644" t="e">
        <f t="shared" si="37"/>
        <v>#REF!</v>
      </c>
      <c r="I604" s="1597" t="e">
        <f t="shared" si="38"/>
        <v>#REF!</v>
      </c>
      <c r="J604" s="1644" t="e">
        <f t="shared" si="39"/>
        <v>#REF!</v>
      </c>
      <c r="K604" s="1539"/>
      <c r="L604" s="1539"/>
      <c r="M604" s="1545"/>
      <c r="N604" s="1545"/>
      <c r="O604" s="1539"/>
      <c r="P604" s="1539"/>
      <c r="Q604" s="1539"/>
      <c r="R604" s="1539"/>
      <c r="S604" s="1539"/>
      <c r="T604" s="1539"/>
      <c r="U604" s="1539"/>
      <c r="V604" s="1539"/>
      <c r="W604" s="1539"/>
      <c r="X604" s="1539"/>
      <c r="Y604" s="1539"/>
      <c r="Z604" s="1539"/>
      <c r="AA604" s="1539"/>
      <c r="AB604" s="1539"/>
      <c r="AC604" s="1539"/>
      <c r="AD604" s="1539"/>
      <c r="AE604" s="1539"/>
      <c r="AF604" s="1539"/>
      <c r="AG604" s="1539"/>
      <c r="AH604" s="1539"/>
      <c r="AI604" s="1539"/>
      <c r="AJ604" s="1539"/>
      <c r="AK604" s="1539"/>
      <c r="AL604" s="1539"/>
      <c r="AM604" s="1539"/>
      <c r="AN604" s="1539"/>
      <c r="AO604" s="1539"/>
      <c r="AP604" s="1539"/>
      <c r="AQ604" s="1539"/>
      <c r="AR604" s="1539"/>
      <c r="AS604" s="1539"/>
      <c r="AT604" s="1539"/>
      <c r="AU604" s="1539"/>
      <c r="AV604" s="1539"/>
      <c r="AW604" s="1539"/>
      <c r="AX604" s="1539"/>
      <c r="AY604" s="1539"/>
      <c r="AZ604" s="1539"/>
      <c r="BA604" s="1539"/>
      <c r="BB604" s="1539"/>
      <c r="BC604" s="1539"/>
      <c r="BD604" s="1539"/>
      <c r="BE604" s="1539"/>
      <c r="BF604" s="1539"/>
      <c r="BG604" s="1539"/>
      <c r="BH604" s="1539"/>
      <c r="BI604" s="1539"/>
      <c r="BJ604" s="1539"/>
      <c r="BK604" s="1539"/>
      <c r="BL604" s="1539"/>
      <c r="BM604" s="1539"/>
      <c r="BN604" s="1539"/>
      <c r="BO604" s="1539"/>
      <c r="BP604" s="1539"/>
      <c r="BQ604" s="1539"/>
      <c r="BR604" s="1539"/>
      <c r="BS604" s="1539"/>
      <c r="BT604" s="1539"/>
      <c r="BU604" s="1539"/>
      <c r="BV604" s="1539"/>
      <c r="BW604" s="1539"/>
      <c r="BX604" s="1539"/>
      <c r="BY604" s="1539"/>
      <c r="BZ604" s="1539"/>
      <c r="CA604" s="1539"/>
      <c r="CB604" s="1539"/>
      <c r="CC604" s="1539"/>
      <c r="CD604" s="1539"/>
      <c r="CE604" s="1539"/>
      <c r="CF604" s="1539"/>
      <c r="CG604" s="1539"/>
      <c r="CH604" s="1539"/>
      <c r="CI604" s="1539"/>
      <c r="CJ604" s="1539"/>
      <c r="CK604" s="1539"/>
      <c r="CL604" s="1539"/>
      <c r="CM604" s="1539"/>
      <c r="CN604" s="1539"/>
      <c r="CO604" s="1539"/>
    </row>
    <row r="605" spans="1:93" s="1552" customFormat="1" ht="15.5">
      <c r="A605" s="1682" t="s">
        <v>4887</v>
      </c>
      <c r="B605" s="1689" t="s">
        <v>4888</v>
      </c>
      <c r="C605" s="1643" t="e">
        <f>+SUMIF(#REF!,Final!A605,#REF!)</f>
        <v>#REF!</v>
      </c>
      <c r="D605" s="1597" t="e">
        <f>+SUMIF(#REF!,Final!A605,#REF!)</f>
        <v>#REF!</v>
      </c>
      <c r="E605" s="1643" t="e">
        <f>SUMIF(#REF!,Final!A605,#REF!)</f>
        <v>#REF!</v>
      </c>
      <c r="F605" s="1644" t="e">
        <f>SUMIF(#REF!,Final!A605,#REF!)</f>
        <v>#REF!</v>
      </c>
      <c r="G605" s="1597" t="e">
        <f t="shared" si="36"/>
        <v>#REF!</v>
      </c>
      <c r="H605" s="1644" t="e">
        <f t="shared" si="37"/>
        <v>#REF!</v>
      </c>
      <c r="I605" s="1597" t="e">
        <f t="shared" si="38"/>
        <v>#REF!</v>
      </c>
      <c r="J605" s="1644" t="e">
        <f t="shared" si="39"/>
        <v>#REF!</v>
      </c>
      <c r="K605" s="1539"/>
      <c r="L605" s="1539"/>
      <c r="M605" s="1545"/>
      <c r="N605" s="1545"/>
      <c r="O605" s="1539"/>
      <c r="P605" s="1539"/>
      <c r="Q605" s="1539"/>
      <c r="R605" s="1539"/>
      <c r="S605" s="1539"/>
      <c r="T605" s="1539"/>
      <c r="U605" s="1539"/>
      <c r="V605" s="1539"/>
      <c r="W605" s="1539"/>
      <c r="X605" s="1539"/>
      <c r="Y605" s="1539"/>
      <c r="Z605" s="1539"/>
      <c r="AA605" s="1539"/>
      <c r="AB605" s="1539"/>
      <c r="AC605" s="1539"/>
      <c r="AD605" s="1539"/>
      <c r="AE605" s="1539"/>
      <c r="AF605" s="1539"/>
      <c r="AG605" s="1539"/>
      <c r="AH605" s="1539"/>
      <c r="AI605" s="1539"/>
      <c r="AJ605" s="1539"/>
      <c r="AK605" s="1539"/>
      <c r="AL605" s="1539"/>
      <c r="AM605" s="1539"/>
      <c r="AN605" s="1539"/>
      <c r="AO605" s="1539"/>
      <c r="AP605" s="1539"/>
      <c r="AQ605" s="1539"/>
      <c r="AR605" s="1539"/>
      <c r="AS605" s="1539"/>
      <c r="AT605" s="1539"/>
      <c r="AU605" s="1539"/>
      <c r="AV605" s="1539"/>
      <c r="AW605" s="1539"/>
      <c r="AX605" s="1539"/>
      <c r="AY605" s="1539"/>
      <c r="AZ605" s="1539"/>
      <c r="BA605" s="1539"/>
      <c r="BB605" s="1539"/>
      <c r="BC605" s="1539"/>
      <c r="BD605" s="1539"/>
      <c r="BE605" s="1539"/>
      <c r="BF605" s="1539"/>
      <c r="BG605" s="1539"/>
      <c r="BH605" s="1539"/>
      <c r="BI605" s="1539"/>
      <c r="BJ605" s="1539"/>
      <c r="BK605" s="1539"/>
      <c r="BL605" s="1539"/>
      <c r="BM605" s="1539"/>
      <c r="BN605" s="1539"/>
      <c r="BO605" s="1539"/>
      <c r="BP605" s="1539"/>
      <c r="BQ605" s="1539"/>
      <c r="BR605" s="1539"/>
      <c r="BS605" s="1539"/>
      <c r="BT605" s="1539"/>
      <c r="BU605" s="1539"/>
      <c r="BV605" s="1539"/>
      <c r="BW605" s="1539"/>
      <c r="BX605" s="1539"/>
      <c r="BY605" s="1539"/>
      <c r="BZ605" s="1539"/>
      <c r="CA605" s="1539"/>
      <c r="CB605" s="1539"/>
      <c r="CC605" s="1539"/>
      <c r="CD605" s="1539"/>
      <c r="CE605" s="1539"/>
      <c r="CF605" s="1539"/>
      <c r="CG605" s="1539"/>
      <c r="CH605" s="1539"/>
      <c r="CI605" s="1539"/>
      <c r="CJ605" s="1539"/>
      <c r="CK605" s="1539"/>
      <c r="CL605" s="1539"/>
      <c r="CM605" s="1539"/>
      <c r="CN605" s="1539"/>
      <c r="CO605" s="1539"/>
    </row>
    <row r="606" spans="1:93" s="1552" customFormat="1" ht="15.5">
      <c r="A606" s="1683" t="s">
        <v>4889</v>
      </c>
      <c r="B606" s="1702" t="s">
        <v>4890</v>
      </c>
      <c r="C606" s="1643" t="e">
        <f>+SUMIF(#REF!,Final!A606,#REF!)</f>
        <v>#REF!</v>
      </c>
      <c r="D606" s="1597" t="e">
        <f>+SUMIF(#REF!,Final!A606,#REF!)</f>
        <v>#REF!</v>
      </c>
      <c r="E606" s="1643" t="e">
        <f>SUMIF(#REF!,Final!A606,#REF!)</f>
        <v>#REF!</v>
      </c>
      <c r="F606" s="1644" t="e">
        <f>SUMIF(#REF!,Final!A606,#REF!)</f>
        <v>#REF!</v>
      </c>
      <c r="G606" s="1597" t="e">
        <f t="shared" si="36"/>
        <v>#REF!</v>
      </c>
      <c r="H606" s="1644" t="e">
        <f t="shared" si="37"/>
        <v>#REF!</v>
      </c>
      <c r="I606" s="1597" t="e">
        <f t="shared" si="38"/>
        <v>#REF!</v>
      </c>
      <c r="J606" s="1644" t="e">
        <f t="shared" si="39"/>
        <v>#REF!</v>
      </c>
      <c r="K606" s="1539"/>
      <c r="L606" s="1539"/>
      <c r="M606" s="1545"/>
      <c r="N606" s="1545"/>
      <c r="O606" s="1539"/>
      <c r="P606" s="1539"/>
      <c r="Q606" s="1539"/>
      <c r="R606" s="1539"/>
      <c r="S606" s="1539"/>
      <c r="T606" s="1539"/>
      <c r="U606" s="1539"/>
      <c r="V606" s="1539"/>
      <c r="W606" s="1539"/>
      <c r="X606" s="1539"/>
      <c r="Y606" s="1539"/>
      <c r="Z606" s="1539"/>
      <c r="AA606" s="1539"/>
      <c r="AB606" s="1539"/>
      <c r="AC606" s="1539"/>
      <c r="AD606" s="1539"/>
      <c r="AE606" s="1539"/>
      <c r="AF606" s="1539"/>
      <c r="AG606" s="1539"/>
      <c r="AH606" s="1539"/>
      <c r="AI606" s="1539"/>
      <c r="AJ606" s="1539"/>
      <c r="AK606" s="1539"/>
      <c r="AL606" s="1539"/>
      <c r="AM606" s="1539"/>
      <c r="AN606" s="1539"/>
      <c r="AO606" s="1539"/>
      <c r="AP606" s="1539"/>
      <c r="AQ606" s="1539"/>
      <c r="AR606" s="1539"/>
      <c r="AS606" s="1539"/>
      <c r="AT606" s="1539"/>
      <c r="AU606" s="1539"/>
      <c r="AV606" s="1539"/>
      <c r="AW606" s="1539"/>
      <c r="AX606" s="1539"/>
      <c r="AY606" s="1539"/>
      <c r="AZ606" s="1539"/>
      <c r="BA606" s="1539"/>
      <c r="BB606" s="1539"/>
      <c r="BC606" s="1539"/>
      <c r="BD606" s="1539"/>
      <c r="BE606" s="1539"/>
      <c r="BF606" s="1539"/>
      <c r="BG606" s="1539"/>
      <c r="BH606" s="1539"/>
      <c r="BI606" s="1539"/>
      <c r="BJ606" s="1539"/>
      <c r="BK606" s="1539"/>
      <c r="BL606" s="1539"/>
      <c r="BM606" s="1539"/>
      <c r="BN606" s="1539"/>
      <c r="BO606" s="1539"/>
      <c r="BP606" s="1539"/>
      <c r="BQ606" s="1539"/>
      <c r="BR606" s="1539"/>
      <c r="BS606" s="1539"/>
      <c r="BT606" s="1539"/>
      <c r="BU606" s="1539"/>
      <c r="BV606" s="1539"/>
      <c r="BW606" s="1539"/>
      <c r="BX606" s="1539"/>
      <c r="BY606" s="1539"/>
      <c r="BZ606" s="1539"/>
      <c r="CA606" s="1539"/>
      <c r="CB606" s="1539"/>
      <c r="CC606" s="1539"/>
      <c r="CD606" s="1539"/>
      <c r="CE606" s="1539"/>
      <c r="CF606" s="1539"/>
      <c r="CG606" s="1539"/>
      <c r="CH606" s="1539"/>
      <c r="CI606" s="1539"/>
      <c r="CJ606" s="1539"/>
      <c r="CK606" s="1539"/>
      <c r="CL606" s="1539"/>
      <c r="CM606" s="1539"/>
      <c r="CN606" s="1539"/>
      <c r="CO606" s="1539"/>
    </row>
    <row r="607" spans="1:93" s="1552" customFormat="1" ht="15.5">
      <c r="A607" s="1679" t="s">
        <v>5176</v>
      </c>
      <c r="B607" s="1680" t="s">
        <v>5177</v>
      </c>
      <c r="C607" s="1643" t="e">
        <f>+SUMIF(#REF!,Final!A607,#REF!)</f>
        <v>#REF!</v>
      </c>
      <c r="D607" s="1597" t="e">
        <f>+SUMIF(#REF!,Final!A607,#REF!)</f>
        <v>#REF!</v>
      </c>
      <c r="E607" s="1643" t="e">
        <f>SUMIF(#REF!,Final!A607,#REF!)</f>
        <v>#REF!</v>
      </c>
      <c r="F607" s="1644" t="e">
        <f>SUMIF(#REF!,Final!A607,#REF!)</f>
        <v>#REF!</v>
      </c>
      <c r="G607" s="1597" t="e">
        <f t="shared" ref="G607:G620" si="40">C607+E607</f>
        <v>#REF!</v>
      </c>
      <c r="H607" s="1644" t="e">
        <f t="shared" ref="H607:H620" si="41">D607+F607</f>
        <v>#REF!</v>
      </c>
      <c r="I607" s="1597" t="e">
        <f t="shared" ref="I607:I620" si="42">IF(G607&gt;H607,G607-H607,0)</f>
        <v>#REF!</v>
      </c>
      <c r="J607" s="1644" t="e">
        <f t="shared" ref="J607:J620" si="43">IF(H607&gt;G607,H607-G607,0)</f>
        <v>#REF!</v>
      </c>
      <c r="K607" s="1539"/>
      <c r="L607" s="1539"/>
      <c r="M607" s="1545"/>
      <c r="N607" s="1545"/>
      <c r="O607" s="1539"/>
      <c r="P607" s="1539"/>
      <c r="Q607" s="1539"/>
      <c r="R607" s="1539"/>
      <c r="S607" s="1539"/>
      <c r="T607" s="1539"/>
      <c r="U607" s="1539"/>
      <c r="V607" s="1539"/>
      <c r="W607" s="1539"/>
      <c r="X607" s="1539"/>
      <c r="Y607" s="1539"/>
      <c r="Z607" s="1539"/>
      <c r="AA607" s="1539"/>
      <c r="AB607" s="1539"/>
      <c r="AC607" s="1539"/>
      <c r="AD607" s="1539"/>
      <c r="AE607" s="1539"/>
      <c r="AF607" s="1539"/>
      <c r="AG607" s="1539"/>
      <c r="AH607" s="1539"/>
      <c r="AI607" s="1539"/>
      <c r="AJ607" s="1539"/>
      <c r="AK607" s="1539"/>
      <c r="AL607" s="1539"/>
      <c r="AM607" s="1539"/>
      <c r="AN607" s="1539"/>
      <c r="AO607" s="1539"/>
      <c r="AP607" s="1539"/>
      <c r="AQ607" s="1539"/>
      <c r="AR607" s="1539"/>
      <c r="AS607" s="1539"/>
      <c r="AT607" s="1539"/>
      <c r="AU607" s="1539"/>
      <c r="AV607" s="1539"/>
      <c r="AW607" s="1539"/>
      <c r="AX607" s="1539"/>
      <c r="AY607" s="1539"/>
      <c r="AZ607" s="1539"/>
      <c r="BA607" s="1539"/>
      <c r="BB607" s="1539"/>
      <c r="BC607" s="1539"/>
      <c r="BD607" s="1539"/>
      <c r="BE607" s="1539"/>
      <c r="BF607" s="1539"/>
      <c r="BG607" s="1539"/>
      <c r="BH607" s="1539"/>
      <c r="BI607" s="1539"/>
      <c r="BJ607" s="1539"/>
      <c r="BK607" s="1539"/>
      <c r="BL607" s="1539"/>
      <c r="BM607" s="1539"/>
      <c r="BN607" s="1539"/>
      <c r="BO607" s="1539"/>
      <c r="BP607" s="1539"/>
      <c r="BQ607" s="1539"/>
      <c r="BR607" s="1539"/>
      <c r="BS607" s="1539"/>
      <c r="BT607" s="1539"/>
      <c r="BU607" s="1539"/>
      <c r="BV607" s="1539"/>
      <c r="BW607" s="1539"/>
      <c r="BX607" s="1539"/>
      <c r="BY607" s="1539"/>
      <c r="BZ607" s="1539"/>
      <c r="CA607" s="1539"/>
      <c r="CB607" s="1539"/>
      <c r="CC607" s="1539"/>
      <c r="CD607" s="1539"/>
      <c r="CE607" s="1539"/>
      <c r="CF607" s="1539"/>
      <c r="CG607" s="1539"/>
      <c r="CH607" s="1539"/>
      <c r="CI607" s="1539"/>
      <c r="CJ607" s="1539"/>
      <c r="CK607" s="1539"/>
      <c r="CL607" s="1539"/>
      <c r="CM607" s="1539"/>
      <c r="CN607" s="1539"/>
      <c r="CO607" s="1539"/>
    </row>
    <row r="608" spans="1:93" s="1552" customFormat="1" ht="15.5">
      <c r="A608" s="1780" t="s">
        <v>5163</v>
      </c>
      <c r="B608" s="1781" t="s">
        <v>4521</v>
      </c>
      <c r="C608" s="1643" t="e">
        <f>+SUMIF(#REF!,Final!A608,#REF!)</f>
        <v>#REF!</v>
      </c>
      <c r="D608" s="1597" t="e">
        <f>+SUMIF(#REF!,Final!A608,#REF!)</f>
        <v>#REF!</v>
      </c>
      <c r="E608" s="1643" t="e">
        <f>SUMIF(#REF!,Final!A608,#REF!)</f>
        <v>#REF!</v>
      </c>
      <c r="F608" s="1644" t="e">
        <f>SUMIF(#REF!,Final!A608,#REF!)</f>
        <v>#REF!</v>
      </c>
      <c r="G608" s="1597" t="e">
        <f t="shared" si="40"/>
        <v>#REF!</v>
      </c>
      <c r="H608" s="1644" t="e">
        <f t="shared" si="41"/>
        <v>#REF!</v>
      </c>
      <c r="I608" s="1597" t="e">
        <f t="shared" si="42"/>
        <v>#REF!</v>
      </c>
      <c r="J608" s="1644" t="e">
        <f t="shared" si="43"/>
        <v>#REF!</v>
      </c>
      <c r="K608" s="1539"/>
      <c r="L608" s="1539"/>
      <c r="M608" s="1545"/>
      <c r="N608" s="1545"/>
      <c r="O608" s="1539"/>
      <c r="P608" s="1539"/>
      <c r="Q608" s="1539"/>
      <c r="R608" s="1539"/>
      <c r="S608" s="1539"/>
      <c r="T608" s="1539"/>
      <c r="U608" s="1539"/>
      <c r="V608" s="1539"/>
      <c r="W608" s="1539"/>
      <c r="X608" s="1539"/>
      <c r="Y608" s="1539"/>
      <c r="Z608" s="1539"/>
      <c r="AA608" s="1539"/>
      <c r="AB608" s="1539"/>
      <c r="AC608" s="1539"/>
      <c r="AD608" s="1539"/>
      <c r="AE608" s="1539"/>
      <c r="AF608" s="1539"/>
      <c r="AG608" s="1539"/>
      <c r="AH608" s="1539"/>
      <c r="AI608" s="1539"/>
      <c r="AJ608" s="1539"/>
      <c r="AK608" s="1539"/>
      <c r="AL608" s="1539"/>
      <c r="AM608" s="1539"/>
      <c r="AN608" s="1539"/>
      <c r="AO608" s="1539"/>
      <c r="AP608" s="1539"/>
      <c r="AQ608" s="1539"/>
      <c r="AR608" s="1539"/>
      <c r="AS608" s="1539"/>
      <c r="AT608" s="1539"/>
      <c r="AU608" s="1539"/>
      <c r="AV608" s="1539"/>
      <c r="AW608" s="1539"/>
      <c r="AX608" s="1539"/>
      <c r="AY608" s="1539"/>
      <c r="AZ608" s="1539"/>
      <c r="BA608" s="1539"/>
      <c r="BB608" s="1539"/>
      <c r="BC608" s="1539"/>
      <c r="BD608" s="1539"/>
      <c r="BE608" s="1539"/>
      <c r="BF608" s="1539"/>
      <c r="BG608" s="1539"/>
      <c r="BH608" s="1539"/>
      <c r="BI608" s="1539"/>
      <c r="BJ608" s="1539"/>
      <c r="BK608" s="1539"/>
      <c r="BL608" s="1539"/>
      <c r="BM608" s="1539"/>
      <c r="BN608" s="1539"/>
      <c r="BO608" s="1539"/>
      <c r="BP608" s="1539"/>
      <c r="BQ608" s="1539"/>
      <c r="BR608" s="1539"/>
      <c r="BS608" s="1539"/>
      <c r="BT608" s="1539"/>
      <c r="BU608" s="1539"/>
      <c r="BV608" s="1539"/>
      <c r="BW608" s="1539"/>
      <c r="BX608" s="1539"/>
      <c r="BY608" s="1539"/>
      <c r="BZ608" s="1539"/>
      <c r="CA608" s="1539"/>
      <c r="CB608" s="1539"/>
      <c r="CC608" s="1539"/>
      <c r="CD608" s="1539"/>
      <c r="CE608" s="1539"/>
      <c r="CF608" s="1539"/>
      <c r="CG608" s="1539"/>
      <c r="CH608" s="1539"/>
      <c r="CI608" s="1539"/>
      <c r="CJ608" s="1539"/>
      <c r="CK608" s="1539"/>
      <c r="CL608" s="1539"/>
      <c r="CM608" s="1539"/>
      <c r="CN608" s="1539"/>
      <c r="CO608" s="1539"/>
    </row>
    <row r="609" spans="1:93" s="1552" customFormat="1" ht="15.5">
      <c r="A609" s="1782" t="s">
        <v>5164</v>
      </c>
      <c r="B609" s="1783" t="s">
        <v>4523</v>
      </c>
      <c r="C609" s="1643" t="e">
        <f>+SUMIF(#REF!,Final!A609,#REF!)</f>
        <v>#REF!</v>
      </c>
      <c r="D609" s="1597" t="e">
        <f>+SUMIF(#REF!,Final!A609,#REF!)</f>
        <v>#REF!</v>
      </c>
      <c r="E609" s="1643" t="e">
        <f>SUMIF(#REF!,Final!A609,#REF!)</f>
        <v>#REF!</v>
      </c>
      <c r="F609" s="1644" t="e">
        <f>SUMIF(#REF!,Final!A609,#REF!)</f>
        <v>#REF!</v>
      </c>
      <c r="G609" s="1597" t="e">
        <f t="shared" si="40"/>
        <v>#REF!</v>
      </c>
      <c r="H609" s="1644" t="e">
        <f t="shared" si="41"/>
        <v>#REF!</v>
      </c>
      <c r="I609" s="1597" t="e">
        <f t="shared" si="42"/>
        <v>#REF!</v>
      </c>
      <c r="J609" s="1644" t="e">
        <f t="shared" si="43"/>
        <v>#REF!</v>
      </c>
      <c r="K609" s="1539"/>
      <c r="L609" s="1539"/>
      <c r="M609" s="1545"/>
      <c r="N609" s="1545"/>
      <c r="O609" s="1539"/>
      <c r="P609" s="1539"/>
      <c r="Q609" s="1539"/>
      <c r="R609" s="1539"/>
      <c r="S609" s="1539"/>
      <c r="T609" s="1539"/>
      <c r="U609" s="1539"/>
      <c r="V609" s="1539"/>
      <c r="W609" s="1539"/>
      <c r="X609" s="1539"/>
      <c r="Y609" s="1539"/>
      <c r="Z609" s="1539"/>
      <c r="AA609" s="1539"/>
      <c r="AB609" s="1539"/>
      <c r="AC609" s="1539"/>
      <c r="AD609" s="1539"/>
      <c r="AE609" s="1539"/>
      <c r="AF609" s="1539"/>
      <c r="AG609" s="1539"/>
      <c r="AH609" s="1539"/>
      <c r="AI609" s="1539"/>
      <c r="AJ609" s="1539"/>
      <c r="AK609" s="1539"/>
      <c r="AL609" s="1539"/>
      <c r="AM609" s="1539"/>
      <c r="AN609" s="1539"/>
      <c r="AO609" s="1539"/>
      <c r="AP609" s="1539"/>
      <c r="AQ609" s="1539"/>
      <c r="AR609" s="1539"/>
      <c r="AS609" s="1539"/>
      <c r="AT609" s="1539"/>
      <c r="AU609" s="1539"/>
      <c r="AV609" s="1539"/>
      <c r="AW609" s="1539"/>
      <c r="AX609" s="1539"/>
      <c r="AY609" s="1539"/>
      <c r="AZ609" s="1539"/>
      <c r="BA609" s="1539"/>
      <c r="BB609" s="1539"/>
      <c r="BC609" s="1539"/>
      <c r="BD609" s="1539"/>
      <c r="BE609" s="1539"/>
      <c r="BF609" s="1539"/>
      <c r="BG609" s="1539"/>
      <c r="BH609" s="1539"/>
      <c r="BI609" s="1539"/>
      <c r="BJ609" s="1539"/>
      <c r="BK609" s="1539"/>
      <c r="BL609" s="1539"/>
      <c r="BM609" s="1539"/>
      <c r="BN609" s="1539"/>
      <c r="BO609" s="1539"/>
      <c r="BP609" s="1539"/>
      <c r="BQ609" s="1539"/>
      <c r="BR609" s="1539"/>
      <c r="BS609" s="1539"/>
      <c r="BT609" s="1539"/>
      <c r="BU609" s="1539"/>
      <c r="BV609" s="1539"/>
      <c r="BW609" s="1539"/>
      <c r="BX609" s="1539"/>
      <c r="BY609" s="1539"/>
      <c r="BZ609" s="1539"/>
      <c r="CA609" s="1539"/>
      <c r="CB609" s="1539"/>
      <c r="CC609" s="1539"/>
      <c r="CD609" s="1539"/>
      <c r="CE609" s="1539"/>
      <c r="CF609" s="1539"/>
      <c r="CG609" s="1539"/>
      <c r="CH609" s="1539"/>
      <c r="CI609" s="1539"/>
      <c r="CJ609" s="1539"/>
      <c r="CK609" s="1539"/>
      <c r="CL609" s="1539"/>
      <c r="CM609" s="1539"/>
      <c r="CN609" s="1539"/>
      <c r="CO609" s="1539"/>
    </row>
    <row r="610" spans="1:93" s="1552" customFormat="1" ht="15.5">
      <c r="A610" s="1782" t="s">
        <v>5165</v>
      </c>
      <c r="B610" s="1783" t="s">
        <v>4525</v>
      </c>
      <c r="C610" s="1643" t="e">
        <f>+SUMIF(#REF!,Final!A610,#REF!)</f>
        <v>#REF!</v>
      </c>
      <c r="D610" s="1597" t="e">
        <f>+SUMIF(#REF!,Final!A610,#REF!)</f>
        <v>#REF!</v>
      </c>
      <c r="E610" s="1643" t="e">
        <f>SUMIF(#REF!,Final!A610,#REF!)</f>
        <v>#REF!</v>
      </c>
      <c r="F610" s="1644" t="e">
        <f>SUMIF(#REF!,Final!A610,#REF!)</f>
        <v>#REF!</v>
      </c>
      <c r="G610" s="1597" t="e">
        <f t="shared" si="40"/>
        <v>#REF!</v>
      </c>
      <c r="H610" s="1644" t="e">
        <f t="shared" si="41"/>
        <v>#REF!</v>
      </c>
      <c r="I610" s="1597" t="e">
        <f t="shared" si="42"/>
        <v>#REF!</v>
      </c>
      <c r="J610" s="1644" t="e">
        <f t="shared" si="43"/>
        <v>#REF!</v>
      </c>
      <c r="K610" s="1539"/>
      <c r="L610" s="1539"/>
      <c r="M610" s="1545"/>
      <c r="N610" s="1545"/>
      <c r="O610" s="1539"/>
      <c r="P610" s="1539"/>
      <c r="Q610" s="1539"/>
      <c r="R610" s="1539"/>
      <c r="S610" s="1539"/>
      <c r="T610" s="1539"/>
      <c r="U610" s="1539"/>
      <c r="V610" s="1539"/>
      <c r="W610" s="1539"/>
      <c r="X610" s="1539"/>
      <c r="Y610" s="1539"/>
      <c r="Z610" s="1539"/>
      <c r="AA610" s="1539"/>
      <c r="AB610" s="1539"/>
      <c r="AC610" s="1539"/>
      <c r="AD610" s="1539"/>
      <c r="AE610" s="1539"/>
      <c r="AF610" s="1539"/>
      <c r="AG610" s="1539"/>
      <c r="AH610" s="1539"/>
      <c r="AI610" s="1539"/>
      <c r="AJ610" s="1539"/>
      <c r="AK610" s="1539"/>
      <c r="AL610" s="1539"/>
      <c r="AM610" s="1539"/>
      <c r="AN610" s="1539"/>
      <c r="AO610" s="1539"/>
      <c r="AP610" s="1539"/>
      <c r="AQ610" s="1539"/>
      <c r="AR610" s="1539"/>
      <c r="AS610" s="1539"/>
      <c r="AT610" s="1539"/>
      <c r="AU610" s="1539"/>
      <c r="AV610" s="1539"/>
      <c r="AW610" s="1539"/>
      <c r="AX610" s="1539"/>
      <c r="AY610" s="1539"/>
      <c r="AZ610" s="1539"/>
      <c r="BA610" s="1539"/>
      <c r="BB610" s="1539"/>
      <c r="BC610" s="1539"/>
      <c r="BD610" s="1539"/>
      <c r="BE610" s="1539"/>
      <c r="BF610" s="1539"/>
      <c r="BG610" s="1539"/>
      <c r="BH610" s="1539"/>
      <c r="BI610" s="1539"/>
      <c r="BJ610" s="1539"/>
      <c r="BK610" s="1539"/>
      <c r="BL610" s="1539"/>
      <c r="BM610" s="1539"/>
      <c r="BN610" s="1539"/>
      <c r="BO610" s="1539"/>
      <c r="BP610" s="1539"/>
      <c r="BQ610" s="1539"/>
      <c r="BR610" s="1539"/>
      <c r="BS610" s="1539"/>
      <c r="BT610" s="1539"/>
      <c r="BU610" s="1539"/>
      <c r="BV610" s="1539"/>
      <c r="BW610" s="1539"/>
      <c r="BX610" s="1539"/>
      <c r="BY610" s="1539"/>
      <c r="BZ610" s="1539"/>
      <c r="CA610" s="1539"/>
      <c r="CB610" s="1539"/>
      <c r="CC610" s="1539"/>
      <c r="CD610" s="1539"/>
      <c r="CE610" s="1539"/>
      <c r="CF610" s="1539"/>
      <c r="CG610" s="1539"/>
      <c r="CH610" s="1539"/>
      <c r="CI610" s="1539"/>
      <c r="CJ610" s="1539"/>
      <c r="CK610" s="1539"/>
      <c r="CL610" s="1539"/>
      <c r="CM610" s="1539"/>
      <c r="CN610" s="1539"/>
      <c r="CO610" s="1539"/>
    </row>
    <row r="611" spans="1:93" s="1552" customFormat="1" ht="15.5">
      <c r="A611" s="1782" t="s">
        <v>5166</v>
      </c>
      <c r="B611" s="1783" t="s">
        <v>4877</v>
      </c>
      <c r="C611" s="1643" t="e">
        <f>+SUMIF(#REF!,Final!A611,#REF!)</f>
        <v>#REF!</v>
      </c>
      <c r="D611" s="1597" t="e">
        <f>+SUMIF(#REF!,Final!A611,#REF!)</f>
        <v>#REF!</v>
      </c>
      <c r="E611" s="1643" t="e">
        <f>SUMIF(#REF!,Final!A611,#REF!)</f>
        <v>#REF!</v>
      </c>
      <c r="F611" s="1644" t="e">
        <f>SUMIF(#REF!,Final!A611,#REF!)</f>
        <v>#REF!</v>
      </c>
      <c r="G611" s="1597" t="e">
        <f t="shared" si="40"/>
        <v>#REF!</v>
      </c>
      <c r="H611" s="1644" t="e">
        <f t="shared" si="41"/>
        <v>#REF!</v>
      </c>
      <c r="I611" s="1597" t="e">
        <f t="shared" si="42"/>
        <v>#REF!</v>
      </c>
      <c r="J611" s="1644" t="e">
        <f t="shared" si="43"/>
        <v>#REF!</v>
      </c>
      <c r="K611" s="1539"/>
      <c r="L611" s="1539"/>
      <c r="M611" s="1545"/>
      <c r="N611" s="1545"/>
      <c r="O611" s="1539"/>
      <c r="P611" s="1539"/>
      <c r="Q611" s="1539"/>
      <c r="R611" s="1539"/>
      <c r="S611" s="1539"/>
      <c r="T611" s="1539"/>
      <c r="U611" s="1539"/>
      <c r="V611" s="1539"/>
      <c r="W611" s="1539"/>
      <c r="X611" s="1539"/>
      <c r="Y611" s="1539"/>
      <c r="Z611" s="1539"/>
      <c r="AA611" s="1539"/>
      <c r="AB611" s="1539"/>
      <c r="AC611" s="1539"/>
      <c r="AD611" s="1539"/>
      <c r="AE611" s="1539"/>
      <c r="AF611" s="1539"/>
      <c r="AG611" s="1539"/>
      <c r="AH611" s="1539"/>
      <c r="AI611" s="1539"/>
      <c r="AJ611" s="1539"/>
      <c r="AK611" s="1539"/>
      <c r="AL611" s="1539"/>
      <c r="AM611" s="1539"/>
      <c r="AN611" s="1539"/>
      <c r="AO611" s="1539"/>
      <c r="AP611" s="1539"/>
      <c r="AQ611" s="1539"/>
      <c r="AR611" s="1539"/>
      <c r="AS611" s="1539"/>
      <c r="AT611" s="1539"/>
      <c r="AU611" s="1539"/>
      <c r="AV611" s="1539"/>
      <c r="AW611" s="1539"/>
      <c r="AX611" s="1539"/>
      <c r="AY611" s="1539"/>
      <c r="AZ611" s="1539"/>
      <c r="BA611" s="1539"/>
      <c r="BB611" s="1539"/>
      <c r="BC611" s="1539"/>
      <c r="BD611" s="1539"/>
      <c r="BE611" s="1539"/>
      <c r="BF611" s="1539"/>
      <c r="BG611" s="1539"/>
      <c r="BH611" s="1539"/>
      <c r="BI611" s="1539"/>
      <c r="BJ611" s="1539"/>
      <c r="BK611" s="1539"/>
      <c r="BL611" s="1539"/>
      <c r="BM611" s="1539"/>
      <c r="BN611" s="1539"/>
      <c r="BO611" s="1539"/>
      <c r="BP611" s="1539"/>
      <c r="BQ611" s="1539"/>
      <c r="BR611" s="1539"/>
      <c r="BS611" s="1539"/>
      <c r="BT611" s="1539"/>
      <c r="BU611" s="1539"/>
      <c r="BV611" s="1539"/>
      <c r="BW611" s="1539"/>
      <c r="BX611" s="1539"/>
      <c r="BY611" s="1539"/>
      <c r="BZ611" s="1539"/>
      <c r="CA611" s="1539"/>
      <c r="CB611" s="1539"/>
      <c r="CC611" s="1539"/>
      <c r="CD611" s="1539"/>
      <c r="CE611" s="1539"/>
      <c r="CF611" s="1539"/>
      <c r="CG611" s="1539"/>
      <c r="CH611" s="1539"/>
      <c r="CI611" s="1539"/>
      <c r="CJ611" s="1539"/>
      <c r="CK611" s="1539"/>
      <c r="CL611" s="1539"/>
      <c r="CM611" s="1539"/>
      <c r="CN611" s="1539"/>
      <c r="CO611" s="1539"/>
    </row>
    <row r="612" spans="1:93" s="1552" customFormat="1" ht="15.5">
      <c r="A612" s="1782" t="s">
        <v>5167</v>
      </c>
      <c r="B612" s="1783" t="s">
        <v>4528</v>
      </c>
      <c r="C612" s="1643" t="e">
        <f>+SUMIF(#REF!,Final!A612,#REF!)</f>
        <v>#REF!</v>
      </c>
      <c r="D612" s="1597" t="e">
        <f>+SUMIF(#REF!,Final!A612,#REF!)</f>
        <v>#REF!</v>
      </c>
      <c r="E612" s="1643" t="e">
        <f>SUMIF(#REF!,Final!A612,#REF!)</f>
        <v>#REF!</v>
      </c>
      <c r="F612" s="1644" t="e">
        <f>SUMIF(#REF!,Final!A612,#REF!)</f>
        <v>#REF!</v>
      </c>
      <c r="G612" s="1597" t="e">
        <f t="shared" si="40"/>
        <v>#REF!</v>
      </c>
      <c r="H612" s="1644" t="e">
        <f t="shared" si="41"/>
        <v>#REF!</v>
      </c>
      <c r="I612" s="1597" t="e">
        <f t="shared" si="42"/>
        <v>#REF!</v>
      </c>
      <c r="J612" s="1644" t="e">
        <f t="shared" si="43"/>
        <v>#REF!</v>
      </c>
      <c r="K612" s="1539"/>
      <c r="L612" s="1539"/>
      <c r="M612" s="1545"/>
      <c r="N612" s="1545"/>
      <c r="O612" s="1539"/>
      <c r="P612" s="1539"/>
      <c r="Q612" s="1539"/>
      <c r="R612" s="1539"/>
      <c r="S612" s="1539"/>
      <c r="T612" s="1539"/>
      <c r="U612" s="1539"/>
      <c r="V612" s="1539"/>
      <c r="W612" s="1539"/>
      <c r="X612" s="1539"/>
      <c r="Y612" s="1539"/>
      <c r="Z612" s="1539"/>
      <c r="AA612" s="1539"/>
      <c r="AB612" s="1539"/>
      <c r="AC612" s="1539"/>
      <c r="AD612" s="1539"/>
      <c r="AE612" s="1539"/>
      <c r="AF612" s="1539"/>
      <c r="AG612" s="1539"/>
      <c r="AH612" s="1539"/>
      <c r="AI612" s="1539"/>
      <c r="AJ612" s="1539"/>
      <c r="AK612" s="1539"/>
      <c r="AL612" s="1539"/>
      <c r="AM612" s="1539"/>
      <c r="AN612" s="1539"/>
      <c r="AO612" s="1539"/>
      <c r="AP612" s="1539"/>
      <c r="AQ612" s="1539"/>
      <c r="AR612" s="1539"/>
      <c r="AS612" s="1539"/>
      <c r="AT612" s="1539"/>
      <c r="AU612" s="1539"/>
      <c r="AV612" s="1539"/>
      <c r="AW612" s="1539"/>
      <c r="AX612" s="1539"/>
      <c r="AY612" s="1539"/>
      <c r="AZ612" s="1539"/>
      <c r="BA612" s="1539"/>
      <c r="BB612" s="1539"/>
      <c r="BC612" s="1539"/>
      <c r="BD612" s="1539"/>
      <c r="BE612" s="1539"/>
      <c r="BF612" s="1539"/>
      <c r="BG612" s="1539"/>
      <c r="BH612" s="1539"/>
      <c r="BI612" s="1539"/>
      <c r="BJ612" s="1539"/>
      <c r="BK612" s="1539"/>
      <c r="BL612" s="1539"/>
      <c r="BM612" s="1539"/>
      <c r="BN612" s="1539"/>
      <c r="BO612" s="1539"/>
      <c r="BP612" s="1539"/>
      <c r="BQ612" s="1539"/>
      <c r="BR612" s="1539"/>
      <c r="BS612" s="1539"/>
      <c r="BT612" s="1539"/>
      <c r="BU612" s="1539"/>
      <c r="BV612" s="1539"/>
      <c r="BW612" s="1539"/>
      <c r="BX612" s="1539"/>
      <c r="BY612" s="1539"/>
      <c r="BZ612" s="1539"/>
      <c r="CA612" s="1539"/>
      <c r="CB612" s="1539"/>
      <c r="CC612" s="1539"/>
      <c r="CD612" s="1539"/>
      <c r="CE612" s="1539"/>
      <c r="CF612" s="1539"/>
      <c r="CG612" s="1539"/>
      <c r="CH612" s="1539"/>
      <c r="CI612" s="1539"/>
      <c r="CJ612" s="1539"/>
      <c r="CK612" s="1539"/>
      <c r="CL612" s="1539"/>
      <c r="CM612" s="1539"/>
      <c r="CN612" s="1539"/>
      <c r="CO612" s="1539"/>
    </row>
    <row r="613" spans="1:93" s="1552" customFormat="1" ht="15.5">
      <c r="A613" s="1782" t="s">
        <v>5168</v>
      </c>
      <c r="B613" s="1783" t="s">
        <v>4530</v>
      </c>
      <c r="C613" s="1643" t="e">
        <f>+SUMIF(#REF!,Final!A613,#REF!)</f>
        <v>#REF!</v>
      </c>
      <c r="D613" s="1597" t="e">
        <f>+SUMIF(#REF!,Final!A613,#REF!)</f>
        <v>#REF!</v>
      </c>
      <c r="E613" s="1643" t="e">
        <f>SUMIF(#REF!,Final!A613,#REF!)</f>
        <v>#REF!</v>
      </c>
      <c r="F613" s="1644" t="e">
        <f>SUMIF(#REF!,Final!A613,#REF!)</f>
        <v>#REF!</v>
      </c>
      <c r="G613" s="1597" t="e">
        <f t="shared" si="40"/>
        <v>#REF!</v>
      </c>
      <c r="H613" s="1644" t="e">
        <f t="shared" si="41"/>
        <v>#REF!</v>
      </c>
      <c r="I613" s="1597" t="e">
        <f t="shared" si="42"/>
        <v>#REF!</v>
      </c>
      <c r="J613" s="1644" t="e">
        <f t="shared" si="43"/>
        <v>#REF!</v>
      </c>
      <c r="K613" s="1539"/>
      <c r="L613" s="1539"/>
      <c r="M613" s="1545"/>
      <c r="N613" s="1545"/>
      <c r="O613" s="1539"/>
      <c r="P613" s="1539"/>
      <c r="Q613" s="1539"/>
      <c r="R613" s="1539"/>
      <c r="S613" s="1539"/>
      <c r="T613" s="1539"/>
      <c r="U613" s="1539"/>
      <c r="V613" s="1539"/>
      <c r="W613" s="1539"/>
      <c r="X613" s="1539"/>
      <c r="Y613" s="1539"/>
      <c r="Z613" s="1539"/>
      <c r="AA613" s="1539"/>
      <c r="AB613" s="1539"/>
      <c r="AC613" s="1539"/>
      <c r="AD613" s="1539"/>
      <c r="AE613" s="1539"/>
      <c r="AF613" s="1539"/>
      <c r="AG613" s="1539"/>
      <c r="AH613" s="1539"/>
      <c r="AI613" s="1539"/>
      <c r="AJ613" s="1539"/>
      <c r="AK613" s="1539"/>
      <c r="AL613" s="1539"/>
      <c r="AM613" s="1539"/>
      <c r="AN613" s="1539"/>
      <c r="AO613" s="1539"/>
      <c r="AP613" s="1539"/>
      <c r="AQ613" s="1539"/>
      <c r="AR613" s="1539"/>
      <c r="AS613" s="1539"/>
      <c r="AT613" s="1539"/>
      <c r="AU613" s="1539"/>
      <c r="AV613" s="1539"/>
      <c r="AW613" s="1539"/>
      <c r="AX613" s="1539"/>
      <c r="AY613" s="1539"/>
      <c r="AZ613" s="1539"/>
      <c r="BA613" s="1539"/>
      <c r="BB613" s="1539"/>
      <c r="BC613" s="1539"/>
      <c r="BD613" s="1539"/>
      <c r="BE613" s="1539"/>
      <c r="BF613" s="1539"/>
      <c r="BG613" s="1539"/>
      <c r="BH613" s="1539"/>
      <c r="BI613" s="1539"/>
      <c r="BJ613" s="1539"/>
      <c r="BK613" s="1539"/>
      <c r="BL613" s="1539"/>
      <c r="BM613" s="1539"/>
      <c r="BN613" s="1539"/>
      <c r="BO613" s="1539"/>
      <c r="BP613" s="1539"/>
      <c r="BQ613" s="1539"/>
      <c r="BR613" s="1539"/>
      <c r="BS613" s="1539"/>
      <c r="BT613" s="1539"/>
      <c r="BU613" s="1539"/>
      <c r="BV613" s="1539"/>
      <c r="BW613" s="1539"/>
      <c r="BX613" s="1539"/>
      <c r="BY613" s="1539"/>
      <c r="BZ613" s="1539"/>
      <c r="CA613" s="1539"/>
      <c r="CB613" s="1539"/>
      <c r="CC613" s="1539"/>
      <c r="CD613" s="1539"/>
      <c r="CE613" s="1539"/>
      <c r="CF613" s="1539"/>
      <c r="CG613" s="1539"/>
      <c r="CH613" s="1539"/>
      <c r="CI613" s="1539"/>
      <c r="CJ613" s="1539"/>
      <c r="CK613" s="1539"/>
      <c r="CL613" s="1539"/>
      <c r="CM613" s="1539"/>
      <c r="CN613" s="1539"/>
      <c r="CO613" s="1539"/>
    </row>
    <row r="614" spans="1:93" s="1552" customFormat="1" ht="15.5">
      <c r="A614" s="1782" t="s">
        <v>5169</v>
      </c>
      <c r="B614" s="1783" t="s">
        <v>4881</v>
      </c>
      <c r="C614" s="1643" t="e">
        <f>+SUMIF(#REF!,Final!A614,#REF!)</f>
        <v>#REF!</v>
      </c>
      <c r="D614" s="1597" t="e">
        <f>+SUMIF(#REF!,Final!A614,#REF!)</f>
        <v>#REF!</v>
      </c>
      <c r="E614" s="1643" t="e">
        <f>SUMIF(#REF!,Final!A614,#REF!)</f>
        <v>#REF!</v>
      </c>
      <c r="F614" s="1644" t="e">
        <f>SUMIF(#REF!,Final!A614,#REF!)</f>
        <v>#REF!</v>
      </c>
      <c r="G614" s="1597" t="e">
        <f t="shared" si="40"/>
        <v>#REF!</v>
      </c>
      <c r="H614" s="1644" t="e">
        <f t="shared" si="41"/>
        <v>#REF!</v>
      </c>
      <c r="I614" s="1597" t="e">
        <f t="shared" si="42"/>
        <v>#REF!</v>
      </c>
      <c r="J614" s="1644" t="e">
        <f t="shared" si="43"/>
        <v>#REF!</v>
      </c>
      <c r="K614" s="1539"/>
      <c r="L614" s="1539"/>
      <c r="M614" s="1545"/>
      <c r="N614" s="1545"/>
      <c r="O614" s="1539"/>
      <c r="P614" s="1539"/>
      <c r="Q614" s="1539"/>
      <c r="R614" s="1539"/>
      <c r="S614" s="1539"/>
      <c r="T614" s="1539"/>
      <c r="U614" s="1539"/>
      <c r="V614" s="1539"/>
      <c r="W614" s="1539"/>
      <c r="X614" s="1539"/>
      <c r="Y614" s="1539"/>
      <c r="Z614" s="1539"/>
      <c r="AA614" s="1539"/>
      <c r="AB614" s="1539"/>
      <c r="AC614" s="1539"/>
      <c r="AD614" s="1539"/>
      <c r="AE614" s="1539"/>
      <c r="AF614" s="1539"/>
      <c r="AG614" s="1539"/>
      <c r="AH614" s="1539"/>
      <c r="AI614" s="1539"/>
      <c r="AJ614" s="1539"/>
      <c r="AK614" s="1539"/>
      <c r="AL614" s="1539"/>
      <c r="AM614" s="1539"/>
      <c r="AN614" s="1539"/>
      <c r="AO614" s="1539"/>
      <c r="AP614" s="1539"/>
      <c r="AQ614" s="1539"/>
      <c r="AR614" s="1539"/>
      <c r="AS614" s="1539"/>
      <c r="AT614" s="1539"/>
      <c r="AU614" s="1539"/>
      <c r="AV614" s="1539"/>
      <c r="AW614" s="1539"/>
      <c r="AX614" s="1539"/>
      <c r="AY614" s="1539"/>
      <c r="AZ614" s="1539"/>
      <c r="BA614" s="1539"/>
      <c r="BB614" s="1539"/>
      <c r="BC614" s="1539"/>
      <c r="BD614" s="1539"/>
      <c r="BE614" s="1539"/>
      <c r="BF614" s="1539"/>
      <c r="BG614" s="1539"/>
      <c r="BH614" s="1539"/>
      <c r="BI614" s="1539"/>
      <c r="BJ614" s="1539"/>
      <c r="BK614" s="1539"/>
      <c r="BL614" s="1539"/>
      <c r="BM614" s="1539"/>
      <c r="BN614" s="1539"/>
      <c r="BO614" s="1539"/>
      <c r="BP614" s="1539"/>
      <c r="BQ614" s="1539"/>
      <c r="BR614" s="1539"/>
      <c r="BS614" s="1539"/>
      <c r="BT614" s="1539"/>
      <c r="BU614" s="1539"/>
      <c r="BV614" s="1539"/>
      <c r="BW614" s="1539"/>
      <c r="BX614" s="1539"/>
      <c r="BY614" s="1539"/>
      <c r="BZ614" s="1539"/>
      <c r="CA614" s="1539"/>
      <c r="CB614" s="1539"/>
      <c r="CC614" s="1539"/>
      <c r="CD614" s="1539"/>
      <c r="CE614" s="1539"/>
      <c r="CF614" s="1539"/>
      <c r="CG614" s="1539"/>
      <c r="CH614" s="1539"/>
      <c r="CI614" s="1539"/>
      <c r="CJ614" s="1539"/>
      <c r="CK614" s="1539"/>
      <c r="CL614" s="1539"/>
      <c r="CM614" s="1539"/>
      <c r="CN614" s="1539"/>
      <c r="CO614" s="1539"/>
    </row>
    <row r="615" spans="1:93" s="1552" customFormat="1" ht="15.5">
      <c r="A615" s="1782" t="s">
        <v>5170</v>
      </c>
      <c r="B615" s="1783" t="s">
        <v>4883</v>
      </c>
      <c r="C615" s="1643" t="e">
        <f>+SUMIF(#REF!,Final!A615,#REF!)</f>
        <v>#REF!</v>
      </c>
      <c r="D615" s="1597" t="e">
        <f>+SUMIF(#REF!,Final!A615,#REF!)</f>
        <v>#REF!</v>
      </c>
      <c r="E615" s="1643" t="e">
        <f>SUMIF(#REF!,Final!A615,#REF!)</f>
        <v>#REF!</v>
      </c>
      <c r="F615" s="1644" t="e">
        <f>SUMIF(#REF!,Final!A615,#REF!)</f>
        <v>#REF!</v>
      </c>
      <c r="G615" s="1597" t="e">
        <f t="shared" si="40"/>
        <v>#REF!</v>
      </c>
      <c r="H615" s="1644" t="e">
        <f t="shared" si="41"/>
        <v>#REF!</v>
      </c>
      <c r="I615" s="1597" t="e">
        <f t="shared" si="42"/>
        <v>#REF!</v>
      </c>
      <c r="J615" s="1644" t="e">
        <f t="shared" si="43"/>
        <v>#REF!</v>
      </c>
      <c r="K615" s="1539"/>
      <c r="L615" s="1539"/>
      <c r="M615" s="1545"/>
      <c r="N615" s="1545"/>
      <c r="O615" s="1539"/>
      <c r="P615" s="1539"/>
      <c r="Q615" s="1539"/>
      <c r="R615" s="1539"/>
      <c r="S615" s="1539"/>
      <c r="T615" s="1539"/>
      <c r="U615" s="1539"/>
      <c r="V615" s="1539"/>
      <c r="W615" s="1539"/>
      <c r="X615" s="1539"/>
      <c r="Y615" s="1539"/>
      <c r="Z615" s="1539"/>
      <c r="AA615" s="1539"/>
      <c r="AB615" s="1539"/>
      <c r="AC615" s="1539"/>
      <c r="AD615" s="1539"/>
      <c r="AE615" s="1539"/>
      <c r="AF615" s="1539"/>
      <c r="AG615" s="1539"/>
      <c r="AH615" s="1539"/>
      <c r="AI615" s="1539"/>
      <c r="AJ615" s="1539"/>
      <c r="AK615" s="1539"/>
      <c r="AL615" s="1539"/>
      <c r="AM615" s="1539"/>
      <c r="AN615" s="1539"/>
      <c r="AO615" s="1539"/>
      <c r="AP615" s="1539"/>
      <c r="AQ615" s="1539"/>
      <c r="AR615" s="1539"/>
      <c r="AS615" s="1539"/>
      <c r="AT615" s="1539"/>
      <c r="AU615" s="1539"/>
      <c r="AV615" s="1539"/>
      <c r="AW615" s="1539"/>
      <c r="AX615" s="1539"/>
      <c r="AY615" s="1539"/>
      <c r="AZ615" s="1539"/>
      <c r="BA615" s="1539"/>
      <c r="BB615" s="1539"/>
      <c r="BC615" s="1539"/>
      <c r="BD615" s="1539"/>
      <c r="BE615" s="1539"/>
      <c r="BF615" s="1539"/>
      <c r="BG615" s="1539"/>
      <c r="BH615" s="1539"/>
      <c r="BI615" s="1539"/>
      <c r="BJ615" s="1539"/>
      <c r="BK615" s="1539"/>
      <c r="BL615" s="1539"/>
      <c r="BM615" s="1539"/>
      <c r="BN615" s="1539"/>
      <c r="BO615" s="1539"/>
      <c r="BP615" s="1539"/>
      <c r="BQ615" s="1539"/>
      <c r="BR615" s="1539"/>
      <c r="BS615" s="1539"/>
      <c r="BT615" s="1539"/>
      <c r="BU615" s="1539"/>
      <c r="BV615" s="1539"/>
      <c r="BW615" s="1539"/>
      <c r="BX615" s="1539"/>
      <c r="BY615" s="1539"/>
      <c r="BZ615" s="1539"/>
      <c r="CA615" s="1539"/>
      <c r="CB615" s="1539"/>
      <c r="CC615" s="1539"/>
      <c r="CD615" s="1539"/>
      <c r="CE615" s="1539"/>
      <c r="CF615" s="1539"/>
      <c r="CG615" s="1539"/>
      <c r="CH615" s="1539"/>
      <c r="CI615" s="1539"/>
      <c r="CJ615" s="1539"/>
      <c r="CK615" s="1539"/>
      <c r="CL615" s="1539"/>
      <c r="CM615" s="1539"/>
      <c r="CN615" s="1539"/>
      <c r="CO615" s="1539"/>
    </row>
    <row r="616" spans="1:93" s="1552" customFormat="1" ht="15.5">
      <c r="A616" s="1782" t="s">
        <v>5171</v>
      </c>
      <c r="B616" s="1783" t="s">
        <v>4532</v>
      </c>
      <c r="C616" s="1643" t="e">
        <f>+SUMIF(#REF!,Final!A616,#REF!)</f>
        <v>#REF!</v>
      </c>
      <c r="D616" s="1597" t="e">
        <f>+SUMIF(#REF!,Final!A616,#REF!)</f>
        <v>#REF!</v>
      </c>
      <c r="E616" s="1643" t="e">
        <f>SUMIF(#REF!,Final!A616,#REF!)</f>
        <v>#REF!</v>
      </c>
      <c r="F616" s="1644" t="e">
        <f>SUMIF(#REF!,Final!A616,#REF!)</f>
        <v>#REF!</v>
      </c>
      <c r="G616" s="1597" t="e">
        <f t="shared" si="40"/>
        <v>#REF!</v>
      </c>
      <c r="H616" s="1644" t="e">
        <f t="shared" si="41"/>
        <v>#REF!</v>
      </c>
      <c r="I616" s="1597" t="e">
        <f t="shared" si="42"/>
        <v>#REF!</v>
      </c>
      <c r="J616" s="1644" t="e">
        <f t="shared" si="43"/>
        <v>#REF!</v>
      </c>
      <c r="K616" s="1539"/>
      <c r="L616" s="1539"/>
      <c r="M616" s="1545"/>
      <c r="N616" s="1545"/>
      <c r="O616" s="1539"/>
      <c r="P616" s="1539"/>
      <c r="Q616" s="1539"/>
      <c r="R616" s="1539"/>
      <c r="S616" s="1539"/>
      <c r="T616" s="1539"/>
      <c r="U616" s="1539"/>
      <c r="V616" s="1539"/>
      <c r="W616" s="1539"/>
      <c r="X616" s="1539"/>
      <c r="Y616" s="1539"/>
      <c r="Z616" s="1539"/>
      <c r="AA616" s="1539"/>
      <c r="AB616" s="1539"/>
      <c r="AC616" s="1539"/>
      <c r="AD616" s="1539"/>
      <c r="AE616" s="1539"/>
      <c r="AF616" s="1539"/>
      <c r="AG616" s="1539"/>
      <c r="AH616" s="1539"/>
      <c r="AI616" s="1539"/>
      <c r="AJ616" s="1539"/>
      <c r="AK616" s="1539"/>
      <c r="AL616" s="1539"/>
      <c r="AM616" s="1539"/>
      <c r="AN616" s="1539"/>
      <c r="AO616" s="1539"/>
      <c r="AP616" s="1539"/>
      <c r="AQ616" s="1539"/>
      <c r="AR616" s="1539"/>
      <c r="AS616" s="1539"/>
      <c r="AT616" s="1539"/>
      <c r="AU616" s="1539"/>
      <c r="AV616" s="1539"/>
      <c r="AW616" s="1539"/>
      <c r="AX616" s="1539"/>
      <c r="AY616" s="1539"/>
      <c r="AZ616" s="1539"/>
      <c r="BA616" s="1539"/>
      <c r="BB616" s="1539"/>
      <c r="BC616" s="1539"/>
      <c r="BD616" s="1539"/>
      <c r="BE616" s="1539"/>
      <c r="BF616" s="1539"/>
      <c r="BG616" s="1539"/>
      <c r="BH616" s="1539"/>
      <c r="BI616" s="1539"/>
      <c r="BJ616" s="1539"/>
      <c r="BK616" s="1539"/>
      <c r="BL616" s="1539"/>
      <c r="BM616" s="1539"/>
      <c r="BN616" s="1539"/>
      <c r="BO616" s="1539"/>
      <c r="BP616" s="1539"/>
      <c r="BQ616" s="1539"/>
      <c r="BR616" s="1539"/>
      <c r="BS616" s="1539"/>
      <c r="BT616" s="1539"/>
      <c r="BU616" s="1539"/>
      <c r="BV616" s="1539"/>
      <c r="BW616" s="1539"/>
      <c r="BX616" s="1539"/>
      <c r="BY616" s="1539"/>
      <c r="BZ616" s="1539"/>
      <c r="CA616" s="1539"/>
      <c r="CB616" s="1539"/>
      <c r="CC616" s="1539"/>
      <c r="CD616" s="1539"/>
      <c r="CE616" s="1539"/>
      <c r="CF616" s="1539"/>
      <c r="CG616" s="1539"/>
      <c r="CH616" s="1539"/>
      <c r="CI616" s="1539"/>
      <c r="CJ616" s="1539"/>
      <c r="CK616" s="1539"/>
      <c r="CL616" s="1539"/>
      <c r="CM616" s="1539"/>
      <c r="CN616" s="1539"/>
      <c r="CO616" s="1539"/>
    </row>
    <row r="617" spans="1:93" s="1552" customFormat="1" ht="15.5">
      <c r="A617" s="1782" t="s">
        <v>5168</v>
      </c>
      <c r="B617" s="1783" t="s">
        <v>5172</v>
      </c>
      <c r="C617" s="1643" t="e">
        <f>+SUMIF(#REF!,Final!A617,#REF!)</f>
        <v>#REF!</v>
      </c>
      <c r="D617" s="1597" t="e">
        <f>+SUMIF(#REF!,Final!A617,#REF!)</f>
        <v>#REF!</v>
      </c>
      <c r="E617" s="1643" t="e">
        <f>SUMIF(#REF!,Final!A617,#REF!)</f>
        <v>#REF!</v>
      </c>
      <c r="F617" s="1644" t="e">
        <f>SUMIF(#REF!,Final!A617,#REF!)</f>
        <v>#REF!</v>
      </c>
      <c r="G617" s="1597" t="e">
        <f t="shared" si="40"/>
        <v>#REF!</v>
      </c>
      <c r="H617" s="1644" t="e">
        <f t="shared" si="41"/>
        <v>#REF!</v>
      </c>
      <c r="I617" s="1597" t="e">
        <f t="shared" si="42"/>
        <v>#REF!</v>
      </c>
      <c r="J617" s="1644" t="e">
        <f t="shared" si="43"/>
        <v>#REF!</v>
      </c>
      <c r="K617" s="1539"/>
      <c r="L617" s="1539"/>
      <c r="M617" s="1545"/>
      <c r="N617" s="1545"/>
      <c r="O617" s="1539"/>
      <c r="P617" s="1539"/>
      <c r="Q617" s="1539"/>
      <c r="R617" s="1539"/>
      <c r="S617" s="1539"/>
      <c r="T617" s="1539"/>
      <c r="U617" s="1539"/>
      <c r="V617" s="1539"/>
      <c r="W617" s="1539"/>
      <c r="X617" s="1539"/>
      <c r="Y617" s="1539"/>
      <c r="Z617" s="1539"/>
      <c r="AA617" s="1539"/>
      <c r="AB617" s="1539"/>
      <c r="AC617" s="1539"/>
      <c r="AD617" s="1539"/>
      <c r="AE617" s="1539"/>
      <c r="AF617" s="1539"/>
      <c r="AG617" s="1539"/>
      <c r="AH617" s="1539"/>
      <c r="AI617" s="1539"/>
      <c r="AJ617" s="1539"/>
      <c r="AK617" s="1539"/>
      <c r="AL617" s="1539"/>
      <c r="AM617" s="1539"/>
      <c r="AN617" s="1539"/>
      <c r="AO617" s="1539"/>
      <c r="AP617" s="1539"/>
      <c r="AQ617" s="1539"/>
      <c r="AR617" s="1539"/>
      <c r="AS617" s="1539"/>
      <c r="AT617" s="1539"/>
      <c r="AU617" s="1539"/>
      <c r="AV617" s="1539"/>
      <c r="AW617" s="1539"/>
      <c r="AX617" s="1539"/>
      <c r="AY617" s="1539"/>
      <c r="AZ617" s="1539"/>
      <c r="BA617" s="1539"/>
      <c r="BB617" s="1539"/>
      <c r="BC617" s="1539"/>
      <c r="BD617" s="1539"/>
      <c r="BE617" s="1539"/>
      <c r="BF617" s="1539"/>
      <c r="BG617" s="1539"/>
      <c r="BH617" s="1539"/>
      <c r="BI617" s="1539"/>
      <c r="BJ617" s="1539"/>
      <c r="BK617" s="1539"/>
      <c r="BL617" s="1539"/>
      <c r="BM617" s="1539"/>
      <c r="BN617" s="1539"/>
      <c r="BO617" s="1539"/>
      <c r="BP617" s="1539"/>
      <c r="BQ617" s="1539"/>
      <c r="BR617" s="1539"/>
      <c r="BS617" s="1539"/>
      <c r="BT617" s="1539"/>
      <c r="BU617" s="1539"/>
      <c r="BV617" s="1539"/>
      <c r="BW617" s="1539"/>
      <c r="BX617" s="1539"/>
      <c r="BY617" s="1539"/>
      <c r="BZ617" s="1539"/>
      <c r="CA617" s="1539"/>
      <c r="CB617" s="1539"/>
      <c r="CC617" s="1539"/>
      <c r="CD617" s="1539"/>
      <c r="CE617" s="1539"/>
      <c r="CF617" s="1539"/>
      <c r="CG617" s="1539"/>
      <c r="CH617" s="1539"/>
      <c r="CI617" s="1539"/>
      <c r="CJ617" s="1539"/>
      <c r="CK617" s="1539"/>
      <c r="CL617" s="1539"/>
      <c r="CM617" s="1539"/>
      <c r="CN617" s="1539"/>
      <c r="CO617" s="1539"/>
    </row>
    <row r="618" spans="1:93" s="1552" customFormat="1" ht="15.5">
      <c r="A618" s="1782" t="s">
        <v>5173</v>
      </c>
      <c r="B618" s="1783" t="s">
        <v>2117</v>
      </c>
      <c r="C618" s="1643" t="e">
        <f>+SUMIF(#REF!,Final!A618,#REF!)</f>
        <v>#REF!</v>
      </c>
      <c r="D618" s="1597" t="e">
        <f>+SUMIF(#REF!,Final!A618,#REF!)</f>
        <v>#REF!</v>
      </c>
      <c r="E618" s="1643" t="e">
        <f>SUMIF(#REF!,Final!A618,#REF!)</f>
        <v>#REF!</v>
      </c>
      <c r="F618" s="1644" t="e">
        <f>SUMIF(#REF!,Final!A618,#REF!)</f>
        <v>#REF!</v>
      </c>
      <c r="G618" s="1597" t="e">
        <f t="shared" si="40"/>
        <v>#REF!</v>
      </c>
      <c r="H618" s="1644" t="e">
        <f t="shared" si="41"/>
        <v>#REF!</v>
      </c>
      <c r="I618" s="1597" t="e">
        <f t="shared" si="42"/>
        <v>#REF!</v>
      </c>
      <c r="J618" s="1644" t="e">
        <f t="shared" si="43"/>
        <v>#REF!</v>
      </c>
      <c r="K618" s="1539"/>
      <c r="L618" s="1539"/>
      <c r="M618" s="1545"/>
      <c r="N618" s="1545"/>
      <c r="O618" s="1539"/>
      <c r="P618" s="1539"/>
      <c r="Q618" s="1539"/>
      <c r="R618" s="1539"/>
      <c r="S618" s="1539"/>
      <c r="T618" s="1539"/>
      <c r="U618" s="1539"/>
      <c r="V618" s="1539"/>
      <c r="W618" s="1539"/>
      <c r="X618" s="1539"/>
      <c r="Y618" s="1539"/>
      <c r="Z618" s="1539"/>
      <c r="AA618" s="1539"/>
      <c r="AB618" s="1539"/>
      <c r="AC618" s="1539"/>
      <c r="AD618" s="1539"/>
      <c r="AE618" s="1539"/>
      <c r="AF618" s="1539"/>
      <c r="AG618" s="1539"/>
      <c r="AH618" s="1539"/>
      <c r="AI618" s="1539"/>
      <c r="AJ618" s="1539"/>
      <c r="AK618" s="1539"/>
      <c r="AL618" s="1539"/>
      <c r="AM618" s="1539"/>
      <c r="AN618" s="1539"/>
      <c r="AO618" s="1539"/>
      <c r="AP618" s="1539"/>
      <c r="AQ618" s="1539"/>
      <c r="AR618" s="1539"/>
      <c r="AS618" s="1539"/>
      <c r="AT618" s="1539"/>
      <c r="AU618" s="1539"/>
      <c r="AV618" s="1539"/>
      <c r="AW618" s="1539"/>
      <c r="AX618" s="1539"/>
      <c r="AY618" s="1539"/>
      <c r="AZ618" s="1539"/>
      <c r="BA618" s="1539"/>
      <c r="BB618" s="1539"/>
      <c r="BC618" s="1539"/>
      <c r="BD618" s="1539"/>
      <c r="BE618" s="1539"/>
      <c r="BF618" s="1539"/>
      <c r="BG618" s="1539"/>
      <c r="BH618" s="1539"/>
      <c r="BI618" s="1539"/>
      <c r="BJ618" s="1539"/>
      <c r="BK618" s="1539"/>
      <c r="BL618" s="1539"/>
      <c r="BM618" s="1539"/>
      <c r="BN618" s="1539"/>
      <c r="BO618" s="1539"/>
      <c r="BP618" s="1539"/>
      <c r="BQ618" s="1539"/>
      <c r="BR618" s="1539"/>
      <c r="BS618" s="1539"/>
      <c r="BT618" s="1539"/>
      <c r="BU618" s="1539"/>
      <c r="BV618" s="1539"/>
      <c r="BW618" s="1539"/>
      <c r="BX618" s="1539"/>
      <c r="BY618" s="1539"/>
      <c r="BZ618" s="1539"/>
      <c r="CA618" s="1539"/>
      <c r="CB618" s="1539"/>
      <c r="CC618" s="1539"/>
      <c r="CD618" s="1539"/>
      <c r="CE618" s="1539"/>
      <c r="CF618" s="1539"/>
      <c r="CG618" s="1539"/>
      <c r="CH618" s="1539"/>
      <c r="CI618" s="1539"/>
      <c r="CJ618" s="1539"/>
      <c r="CK618" s="1539"/>
      <c r="CL618" s="1539"/>
      <c r="CM618" s="1539"/>
      <c r="CN618" s="1539"/>
      <c r="CO618" s="1539"/>
    </row>
    <row r="619" spans="1:93" s="1552" customFormat="1" ht="15.5">
      <c r="A619" s="1782" t="s">
        <v>5174</v>
      </c>
      <c r="B619" s="1783" t="s">
        <v>4888</v>
      </c>
      <c r="C619" s="1643" t="e">
        <f>+SUMIF(#REF!,Final!A619,#REF!)</f>
        <v>#REF!</v>
      </c>
      <c r="D619" s="1597" t="e">
        <f>+SUMIF(#REF!,Final!A619,#REF!)</f>
        <v>#REF!</v>
      </c>
      <c r="E619" s="1643" t="e">
        <f>SUMIF(#REF!,Final!A619,#REF!)</f>
        <v>#REF!</v>
      </c>
      <c r="F619" s="1644" t="e">
        <f>SUMIF(#REF!,Final!A619,#REF!)</f>
        <v>#REF!</v>
      </c>
      <c r="G619" s="1597" t="e">
        <f t="shared" si="40"/>
        <v>#REF!</v>
      </c>
      <c r="H619" s="1644" t="e">
        <f t="shared" si="41"/>
        <v>#REF!</v>
      </c>
      <c r="I619" s="1597" t="e">
        <f t="shared" si="42"/>
        <v>#REF!</v>
      </c>
      <c r="J619" s="1644" t="e">
        <f t="shared" si="43"/>
        <v>#REF!</v>
      </c>
      <c r="K619" s="1539"/>
      <c r="L619" s="1539"/>
      <c r="M619" s="1545"/>
      <c r="N619" s="1545"/>
      <c r="O619" s="1539"/>
      <c r="P619" s="1539"/>
      <c r="Q619" s="1539"/>
      <c r="R619" s="1539"/>
      <c r="S619" s="1539"/>
      <c r="T619" s="1539"/>
      <c r="U619" s="1539"/>
      <c r="V619" s="1539"/>
      <c r="W619" s="1539"/>
      <c r="X619" s="1539"/>
      <c r="Y619" s="1539"/>
      <c r="Z619" s="1539"/>
      <c r="AA619" s="1539"/>
      <c r="AB619" s="1539"/>
      <c r="AC619" s="1539"/>
      <c r="AD619" s="1539"/>
      <c r="AE619" s="1539"/>
      <c r="AF619" s="1539"/>
      <c r="AG619" s="1539"/>
      <c r="AH619" s="1539"/>
      <c r="AI619" s="1539"/>
      <c r="AJ619" s="1539"/>
      <c r="AK619" s="1539"/>
      <c r="AL619" s="1539"/>
      <c r="AM619" s="1539"/>
      <c r="AN619" s="1539"/>
      <c r="AO619" s="1539"/>
      <c r="AP619" s="1539"/>
      <c r="AQ619" s="1539"/>
      <c r="AR619" s="1539"/>
      <c r="AS619" s="1539"/>
      <c r="AT619" s="1539"/>
      <c r="AU619" s="1539"/>
      <c r="AV619" s="1539"/>
      <c r="AW619" s="1539"/>
      <c r="AX619" s="1539"/>
      <c r="AY619" s="1539"/>
      <c r="AZ619" s="1539"/>
      <c r="BA619" s="1539"/>
      <c r="BB619" s="1539"/>
      <c r="BC619" s="1539"/>
      <c r="BD619" s="1539"/>
      <c r="BE619" s="1539"/>
      <c r="BF619" s="1539"/>
      <c r="BG619" s="1539"/>
      <c r="BH619" s="1539"/>
      <c r="BI619" s="1539"/>
      <c r="BJ619" s="1539"/>
      <c r="BK619" s="1539"/>
      <c r="BL619" s="1539"/>
      <c r="BM619" s="1539"/>
      <c r="BN619" s="1539"/>
      <c r="BO619" s="1539"/>
      <c r="BP619" s="1539"/>
      <c r="BQ619" s="1539"/>
      <c r="BR619" s="1539"/>
      <c r="BS619" s="1539"/>
      <c r="BT619" s="1539"/>
      <c r="BU619" s="1539"/>
      <c r="BV619" s="1539"/>
      <c r="BW619" s="1539"/>
      <c r="BX619" s="1539"/>
      <c r="BY619" s="1539"/>
      <c r="BZ619" s="1539"/>
      <c r="CA619" s="1539"/>
      <c r="CB619" s="1539"/>
      <c r="CC619" s="1539"/>
      <c r="CD619" s="1539"/>
      <c r="CE619" s="1539"/>
      <c r="CF619" s="1539"/>
      <c r="CG619" s="1539"/>
      <c r="CH619" s="1539"/>
      <c r="CI619" s="1539"/>
      <c r="CJ619" s="1539"/>
      <c r="CK619" s="1539"/>
      <c r="CL619" s="1539"/>
      <c r="CM619" s="1539"/>
      <c r="CN619" s="1539"/>
      <c r="CO619" s="1539"/>
    </row>
    <row r="620" spans="1:93" s="1552" customFormat="1" ht="15.5">
      <c r="A620" s="1784" t="s">
        <v>5175</v>
      </c>
      <c r="B620" s="1785" t="s">
        <v>4890</v>
      </c>
      <c r="C620" s="1643" t="e">
        <f>+SUMIF(#REF!,Final!A620,#REF!)</f>
        <v>#REF!</v>
      </c>
      <c r="D620" s="1597" t="e">
        <f>+SUMIF(#REF!,Final!A620,#REF!)</f>
        <v>#REF!</v>
      </c>
      <c r="E620" s="1643" t="e">
        <f>SUMIF(#REF!,Final!A620,#REF!)</f>
        <v>#REF!</v>
      </c>
      <c r="F620" s="1644" t="e">
        <f>SUMIF(#REF!,Final!A620,#REF!)</f>
        <v>#REF!</v>
      </c>
      <c r="G620" s="1597" t="e">
        <f t="shared" si="40"/>
        <v>#REF!</v>
      </c>
      <c r="H620" s="1644" t="e">
        <f t="shared" si="41"/>
        <v>#REF!</v>
      </c>
      <c r="I620" s="1597" t="e">
        <f t="shared" si="42"/>
        <v>#REF!</v>
      </c>
      <c r="J620" s="1644" t="e">
        <f t="shared" si="43"/>
        <v>#REF!</v>
      </c>
      <c r="K620" s="1539"/>
      <c r="L620" s="1539"/>
      <c r="M620" s="1545"/>
      <c r="N620" s="1545"/>
      <c r="O620" s="1539"/>
      <c r="P620" s="1539"/>
      <c r="Q620" s="1539"/>
      <c r="R620" s="1539"/>
      <c r="S620" s="1539"/>
      <c r="T620" s="1539"/>
      <c r="U620" s="1539"/>
      <c r="V620" s="1539"/>
      <c r="W620" s="1539"/>
      <c r="X620" s="1539"/>
      <c r="Y620" s="1539"/>
      <c r="Z620" s="1539"/>
      <c r="AA620" s="1539"/>
      <c r="AB620" s="1539"/>
      <c r="AC620" s="1539"/>
      <c r="AD620" s="1539"/>
      <c r="AE620" s="1539"/>
      <c r="AF620" s="1539"/>
      <c r="AG620" s="1539"/>
      <c r="AH620" s="1539"/>
      <c r="AI620" s="1539"/>
      <c r="AJ620" s="1539"/>
      <c r="AK620" s="1539"/>
      <c r="AL620" s="1539"/>
      <c r="AM620" s="1539"/>
      <c r="AN620" s="1539"/>
      <c r="AO620" s="1539"/>
      <c r="AP620" s="1539"/>
      <c r="AQ620" s="1539"/>
      <c r="AR620" s="1539"/>
      <c r="AS620" s="1539"/>
      <c r="AT620" s="1539"/>
      <c r="AU620" s="1539"/>
      <c r="AV620" s="1539"/>
      <c r="AW620" s="1539"/>
      <c r="AX620" s="1539"/>
      <c r="AY620" s="1539"/>
      <c r="AZ620" s="1539"/>
      <c r="BA620" s="1539"/>
      <c r="BB620" s="1539"/>
      <c r="BC620" s="1539"/>
      <c r="BD620" s="1539"/>
      <c r="BE620" s="1539"/>
      <c r="BF620" s="1539"/>
      <c r="BG620" s="1539"/>
      <c r="BH620" s="1539"/>
      <c r="BI620" s="1539"/>
      <c r="BJ620" s="1539"/>
      <c r="BK620" s="1539"/>
      <c r="BL620" s="1539"/>
      <c r="BM620" s="1539"/>
      <c r="BN620" s="1539"/>
      <c r="BO620" s="1539"/>
      <c r="BP620" s="1539"/>
      <c r="BQ620" s="1539"/>
      <c r="BR620" s="1539"/>
      <c r="BS620" s="1539"/>
      <c r="BT620" s="1539"/>
      <c r="BU620" s="1539"/>
      <c r="BV620" s="1539"/>
      <c r="BW620" s="1539"/>
      <c r="BX620" s="1539"/>
      <c r="BY620" s="1539"/>
      <c r="BZ620" s="1539"/>
      <c r="CA620" s="1539"/>
      <c r="CB620" s="1539"/>
      <c r="CC620" s="1539"/>
      <c r="CD620" s="1539"/>
      <c r="CE620" s="1539"/>
      <c r="CF620" s="1539"/>
      <c r="CG620" s="1539"/>
      <c r="CH620" s="1539"/>
      <c r="CI620" s="1539"/>
      <c r="CJ620" s="1539"/>
      <c r="CK620" s="1539"/>
      <c r="CL620" s="1539"/>
      <c r="CM620" s="1539"/>
      <c r="CN620" s="1539"/>
      <c r="CO620" s="1539"/>
    </row>
    <row r="621" spans="1:93" s="1542" customFormat="1" ht="15.5">
      <c r="A621" s="1598" t="s">
        <v>2594</v>
      </c>
      <c r="B621" s="1599" t="s">
        <v>2595</v>
      </c>
      <c r="C621" s="1643" t="e">
        <f>+SUMIF(#REF!,Final!A621,#REF!)</f>
        <v>#REF!</v>
      </c>
      <c r="D621" s="1597" t="e">
        <f>+SUMIF(#REF!,Final!A621,#REF!)</f>
        <v>#REF!</v>
      </c>
      <c r="E621" s="1643" t="e">
        <f>SUMIF(#REF!,Final!A621,#REF!)</f>
        <v>#REF!</v>
      </c>
      <c r="F621" s="1644" t="e">
        <f>SUMIF(#REF!,Final!A621,#REF!)</f>
        <v>#REF!</v>
      </c>
      <c r="G621" s="1597" t="e">
        <f t="shared" si="36"/>
        <v>#REF!</v>
      </c>
      <c r="H621" s="1644" t="e">
        <f t="shared" si="37"/>
        <v>#REF!</v>
      </c>
      <c r="I621" s="1597" t="e">
        <f t="shared" si="38"/>
        <v>#REF!</v>
      </c>
      <c r="J621" s="1644" t="e">
        <f t="shared" si="39"/>
        <v>#REF!</v>
      </c>
      <c r="K621" s="1539"/>
      <c r="L621" s="1539"/>
      <c r="M621" s="1545"/>
      <c r="N621" s="1545"/>
      <c r="O621" s="1539"/>
      <c r="P621" s="1539"/>
      <c r="Q621" s="1539"/>
      <c r="R621" s="1539"/>
      <c r="S621" s="1539"/>
      <c r="T621" s="1539"/>
      <c r="U621" s="1539"/>
      <c r="V621" s="1539"/>
      <c r="W621" s="1539"/>
      <c r="X621" s="1539"/>
      <c r="Y621" s="1539"/>
      <c r="Z621" s="1539"/>
      <c r="AA621" s="1539"/>
      <c r="AB621" s="1539"/>
      <c r="AC621" s="1539"/>
      <c r="AD621" s="1539"/>
      <c r="AE621" s="1539"/>
      <c r="AF621" s="1539"/>
      <c r="AG621" s="1539"/>
      <c r="AH621" s="1539"/>
      <c r="AI621" s="1539"/>
      <c r="AJ621" s="1539"/>
      <c r="AK621" s="1539"/>
      <c r="AL621" s="1539"/>
      <c r="AM621" s="1539"/>
      <c r="AN621" s="1539"/>
      <c r="AO621" s="1539"/>
      <c r="AP621" s="1539"/>
      <c r="AQ621" s="1539"/>
      <c r="AR621" s="1539"/>
      <c r="AS621" s="1539"/>
      <c r="AT621" s="1539"/>
      <c r="AU621" s="1539"/>
      <c r="AV621" s="1539"/>
      <c r="AW621" s="1539"/>
      <c r="AX621" s="1539"/>
      <c r="AY621" s="1539"/>
      <c r="AZ621" s="1539"/>
      <c r="BA621" s="1539"/>
      <c r="BB621" s="1539"/>
      <c r="BC621" s="1539"/>
      <c r="BD621" s="1539"/>
      <c r="BE621" s="1539"/>
      <c r="BF621" s="1539"/>
      <c r="BG621" s="1539"/>
      <c r="BH621" s="1539"/>
      <c r="BI621" s="1539"/>
      <c r="BJ621" s="1539"/>
      <c r="BK621" s="1539"/>
      <c r="BL621" s="1539"/>
      <c r="BM621" s="1539"/>
      <c r="BN621" s="1539"/>
      <c r="BO621" s="1539"/>
      <c r="BP621" s="1539"/>
      <c r="BQ621" s="1539"/>
      <c r="BR621" s="1539"/>
      <c r="BS621" s="1539"/>
      <c r="BT621" s="1539"/>
      <c r="BU621" s="1539"/>
      <c r="BV621" s="1539"/>
      <c r="BW621" s="1539"/>
      <c r="BX621" s="1539"/>
      <c r="BY621" s="1539"/>
      <c r="BZ621" s="1539"/>
      <c r="CA621" s="1539"/>
      <c r="CB621" s="1539"/>
      <c r="CC621" s="1539"/>
      <c r="CD621" s="1539"/>
      <c r="CE621" s="1539"/>
      <c r="CF621" s="1539"/>
      <c r="CG621" s="1539"/>
      <c r="CH621" s="1539"/>
      <c r="CI621" s="1539"/>
      <c r="CJ621" s="1539"/>
      <c r="CK621" s="1539"/>
      <c r="CL621" s="1539"/>
      <c r="CM621" s="1539"/>
      <c r="CN621" s="1539"/>
      <c r="CO621" s="1539"/>
    </row>
    <row r="622" spans="1:93" ht="15.5">
      <c r="A622" s="1598" t="s">
        <v>2596</v>
      </c>
      <c r="B622" s="1599" t="s">
        <v>2597</v>
      </c>
      <c r="C622" s="1643" t="e">
        <f>+SUMIF(#REF!,Final!A622,#REF!)</f>
        <v>#REF!</v>
      </c>
      <c r="D622" s="1597" t="e">
        <f>+SUMIF(#REF!,Final!A622,#REF!)</f>
        <v>#REF!</v>
      </c>
      <c r="E622" s="1643" t="e">
        <f>SUMIF(#REF!,Final!A622,#REF!)</f>
        <v>#REF!</v>
      </c>
      <c r="F622" s="1644" t="e">
        <f>SUMIF(#REF!,Final!A622,#REF!)</f>
        <v>#REF!</v>
      </c>
      <c r="G622" s="1597" t="e">
        <f t="shared" si="36"/>
        <v>#REF!</v>
      </c>
      <c r="H622" s="1644" t="e">
        <f t="shared" si="37"/>
        <v>#REF!</v>
      </c>
      <c r="I622" s="1597" t="e">
        <f t="shared" si="38"/>
        <v>#REF!</v>
      </c>
      <c r="J622" s="1644" t="e">
        <f t="shared" si="39"/>
        <v>#REF!</v>
      </c>
      <c r="M622" s="1545"/>
      <c r="N622" s="1545"/>
    </row>
    <row r="623" spans="1:93" ht="15.5">
      <c r="A623" s="1598" t="s">
        <v>2598</v>
      </c>
      <c r="B623" s="1599" t="s">
        <v>2599</v>
      </c>
      <c r="C623" s="1643" t="e">
        <f>+SUMIF(#REF!,Final!A623,#REF!)</f>
        <v>#REF!</v>
      </c>
      <c r="D623" s="1597" t="e">
        <f>+SUMIF(#REF!,Final!A623,#REF!)</f>
        <v>#REF!</v>
      </c>
      <c r="E623" s="1643" t="e">
        <f>SUMIF(#REF!,Final!A623,#REF!)</f>
        <v>#REF!</v>
      </c>
      <c r="F623" s="1644" t="e">
        <f>SUMIF(#REF!,Final!A623,#REF!)</f>
        <v>#REF!</v>
      </c>
      <c r="G623" s="1597" t="e">
        <f t="shared" si="36"/>
        <v>#REF!</v>
      </c>
      <c r="H623" s="1644" t="e">
        <f t="shared" si="37"/>
        <v>#REF!</v>
      </c>
      <c r="I623" s="1597" t="e">
        <f t="shared" si="38"/>
        <v>#REF!</v>
      </c>
      <c r="J623" s="1644" t="e">
        <f t="shared" si="39"/>
        <v>#REF!</v>
      </c>
      <c r="M623" s="1545"/>
      <c r="N623" s="1545"/>
    </row>
    <row r="624" spans="1:93" s="1542" customFormat="1" ht="15.5">
      <c r="A624" s="1598" t="s">
        <v>2600</v>
      </c>
      <c r="B624" s="1599" t="s">
        <v>2601</v>
      </c>
      <c r="C624" s="1643" t="e">
        <f>+SUMIF(#REF!,Final!A624,#REF!)</f>
        <v>#REF!</v>
      </c>
      <c r="D624" s="1597" t="e">
        <f>+SUMIF(#REF!,Final!A624,#REF!)</f>
        <v>#REF!</v>
      </c>
      <c r="E624" s="1643" t="e">
        <f>SUMIF(#REF!,Final!A624,#REF!)</f>
        <v>#REF!</v>
      </c>
      <c r="F624" s="1644" t="e">
        <f>SUMIF(#REF!,Final!A624,#REF!)</f>
        <v>#REF!</v>
      </c>
      <c r="G624" s="1597" t="e">
        <f t="shared" si="36"/>
        <v>#REF!</v>
      </c>
      <c r="H624" s="1644" t="e">
        <f t="shared" si="37"/>
        <v>#REF!</v>
      </c>
      <c r="I624" s="1597" t="e">
        <f t="shared" si="38"/>
        <v>#REF!</v>
      </c>
      <c r="J624" s="1644" t="e">
        <f t="shared" si="39"/>
        <v>#REF!</v>
      </c>
      <c r="K624" s="1539"/>
      <c r="L624" s="1539"/>
      <c r="M624" s="1545"/>
      <c r="N624" s="1545"/>
      <c r="O624" s="1539"/>
      <c r="P624" s="1539"/>
      <c r="Q624" s="1539"/>
      <c r="R624" s="1539"/>
      <c r="S624" s="1539"/>
      <c r="T624" s="1539"/>
      <c r="U624" s="1539"/>
      <c r="V624" s="1539"/>
      <c r="W624" s="1539"/>
      <c r="X624" s="1539"/>
      <c r="Y624" s="1539"/>
      <c r="Z624" s="1539"/>
      <c r="AA624" s="1539"/>
      <c r="AB624" s="1539"/>
      <c r="AC624" s="1539"/>
      <c r="AD624" s="1539"/>
      <c r="AE624" s="1539"/>
      <c r="AF624" s="1539"/>
      <c r="AG624" s="1539"/>
      <c r="AH624" s="1539"/>
      <c r="AI624" s="1539"/>
      <c r="AJ624" s="1539"/>
      <c r="AK624" s="1539"/>
      <c r="AL624" s="1539"/>
      <c r="AM624" s="1539"/>
      <c r="AN624" s="1539"/>
      <c r="AO624" s="1539"/>
      <c r="AP624" s="1539"/>
      <c r="AQ624" s="1539"/>
      <c r="AR624" s="1539"/>
      <c r="AS624" s="1539"/>
      <c r="AT624" s="1539"/>
      <c r="AU624" s="1539"/>
      <c r="AV624" s="1539"/>
      <c r="AW624" s="1539"/>
      <c r="AX624" s="1539"/>
      <c r="AY624" s="1539"/>
      <c r="AZ624" s="1539"/>
      <c r="BA624" s="1539"/>
      <c r="BB624" s="1539"/>
      <c r="BC624" s="1539"/>
      <c r="BD624" s="1539"/>
      <c r="BE624" s="1539"/>
      <c r="BF624" s="1539"/>
      <c r="BG624" s="1539"/>
      <c r="BH624" s="1539"/>
      <c r="BI624" s="1539"/>
      <c r="BJ624" s="1539"/>
      <c r="BK624" s="1539"/>
      <c r="BL624" s="1539"/>
      <c r="BM624" s="1539"/>
      <c r="BN624" s="1539"/>
      <c r="BO624" s="1539"/>
      <c r="BP624" s="1539"/>
      <c r="BQ624" s="1539"/>
      <c r="BR624" s="1539"/>
      <c r="BS624" s="1539"/>
      <c r="BT624" s="1539"/>
      <c r="BU624" s="1539"/>
      <c r="BV624" s="1539"/>
      <c r="BW624" s="1539"/>
      <c r="BX624" s="1539"/>
      <c r="BY624" s="1539"/>
      <c r="BZ624" s="1539"/>
      <c r="CA624" s="1539"/>
      <c r="CB624" s="1539"/>
      <c r="CC624" s="1539"/>
      <c r="CD624" s="1539"/>
      <c r="CE624" s="1539"/>
      <c r="CF624" s="1539"/>
      <c r="CG624" s="1539"/>
      <c r="CH624" s="1539"/>
      <c r="CI624" s="1539"/>
      <c r="CJ624" s="1539"/>
      <c r="CK624" s="1539"/>
      <c r="CL624" s="1539"/>
      <c r="CM624" s="1539"/>
      <c r="CN624" s="1539"/>
      <c r="CO624" s="1539"/>
    </row>
    <row r="625" spans="1:93" s="1552" customFormat="1" ht="15.5">
      <c r="A625" s="1598"/>
      <c r="B625" s="1599" t="s">
        <v>754</v>
      </c>
      <c r="C625" s="1643" t="e">
        <f>+SUMIF(#REF!,Final!A625,#REF!)</f>
        <v>#REF!</v>
      </c>
      <c r="D625" s="1597" t="e">
        <f>+SUMIF(#REF!,Final!A625,#REF!)</f>
        <v>#REF!</v>
      </c>
      <c r="E625" s="1643" t="e">
        <f>SUMIF(#REF!,Final!A625,#REF!)</f>
        <v>#REF!</v>
      </c>
      <c r="F625" s="1644" t="e">
        <f>SUMIF(#REF!,Final!A625,#REF!)</f>
        <v>#REF!</v>
      </c>
      <c r="G625" s="1597" t="e">
        <f t="shared" si="36"/>
        <v>#REF!</v>
      </c>
      <c r="H625" s="1644" t="e">
        <f t="shared" si="37"/>
        <v>#REF!</v>
      </c>
      <c r="I625" s="1597" t="e">
        <f t="shared" si="38"/>
        <v>#REF!</v>
      </c>
      <c r="J625" s="1644" t="e">
        <f t="shared" si="39"/>
        <v>#REF!</v>
      </c>
      <c r="K625" s="1539"/>
      <c r="L625" s="1539"/>
      <c r="M625" s="1545"/>
      <c r="N625" s="1545"/>
      <c r="O625" s="1539"/>
      <c r="P625" s="1539"/>
      <c r="Q625" s="1539"/>
      <c r="R625" s="1539"/>
      <c r="S625" s="1539"/>
      <c r="T625" s="1539"/>
      <c r="U625" s="1539"/>
      <c r="V625" s="1539"/>
      <c r="W625" s="1539"/>
      <c r="X625" s="1539"/>
      <c r="Y625" s="1539"/>
      <c r="Z625" s="1539"/>
      <c r="AA625" s="1539"/>
      <c r="AB625" s="1539"/>
      <c r="AC625" s="1539"/>
      <c r="AD625" s="1539"/>
      <c r="AE625" s="1539"/>
      <c r="AF625" s="1539"/>
      <c r="AG625" s="1539"/>
      <c r="AH625" s="1539"/>
      <c r="AI625" s="1539"/>
      <c r="AJ625" s="1539"/>
      <c r="AK625" s="1539"/>
      <c r="AL625" s="1539"/>
      <c r="AM625" s="1539"/>
      <c r="AN625" s="1539"/>
      <c r="AO625" s="1539"/>
      <c r="AP625" s="1539"/>
      <c r="AQ625" s="1539"/>
      <c r="AR625" s="1539"/>
      <c r="AS625" s="1539"/>
      <c r="AT625" s="1539"/>
      <c r="AU625" s="1539"/>
      <c r="AV625" s="1539"/>
      <c r="AW625" s="1539"/>
      <c r="AX625" s="1539"/>
      <c r="AY625" s="1539"/>
      <c r="AZ625" s="1539"/>
      <c r="BA625" s="1539"/>
      <c r="BB625" s="1539"/>
      <c r="BC625" s="1539"/>
      <c r="BD625" s="1539"/>
      <c r="BE625" s="1539"/>
      <c r="BF625" s="1539"/>
      <c r="BG625" s="1539"/>
      <c r="BH625" s="1539"/>
      <c r="BI625" s="1539"/>
      <c r="BJ625" s="1539"/>
      <c r="BK625" s="1539"/>
      <c r="BL625" s="1539"/>
      <c r="BM625" s="1539"/>
      <c r="BN625" s="1539"/>
      <c r="BO625" s="1539"/>
      <c r="BP625" s="1539"/>
      <c r="BQ625" s="1539"/>
      <c r="BR625" s="1539"/>
      <c r="BS625" s="1539"/>
      <c r="BT625" s="1539"/>
      <c r="BU625" s="1539"/>
      <c r="BV625" s="1539"/>
      <c r="BW625" s="1539"/>
      <c r="BX625" s="1539"/>
      <c r="BY625" s="1539"/>
      <c r="BZ625" s="1539"/>
      <c r="CA625" s="1539"/>
      <c r="CB625" s="1539"/>
      <c r="CC625" s="1539"/>
      <c r="CD625" s="1539"/>
      <c r="CE625" s="1539"/>
      <c r="CF625" s="1539"/>
      <c r="CG625" s="1539"/>
      <c r="CH625" s="1539"/>
      <c r="CI625" s="1539"/>
      <c r="CJ625" s="1539"/>
      <c r="CK625" s="1539"/>
      <c r="CL625" s="1539"/>
      <c r="CM625" s="1539"/>
      <c r="CN625" s="1539"/>
      <c r="CO625" s="1539"/>
    </row>
    <row r="626" spans="1:93" s="1552" customFormat="1" ht="15.5">
      <c r="A626" s="1598"/>
      <c r="B626" s="1599" t="s">
        <v>1760</v>
      </c>
      <c r="C626" s="1643" t="e">
        <f>+SUMIF(#REF!,Final!A626,#REF!)</f>
        <v>#REF!</v>
      </c>
      <c r="D626" s="1597" t="e">
        <f>+SUMIF(#REF!,Final!A626,#REF!)</f>
        <v>#REF!</v>
      </c>
      <c r="E626" s="1643" t="e">
        <f>SUMIF(#REF!,Final!A626,#REF!)</f>
        <v>#REF!</v>
      </c>
      <c r="F626" s="1644" t="e">
        <f>SUMIF(#REF!,Final!A626,#REF!)</f>
        <v>#REF!</v>
      </c>
      <c r="G626" s="1597" t="e">
        <f t="shared" si="36"/>
        <v>#REF!</v>
      </c>
      <c r="H626" s="1644" t="e">
        <f t="shared" si="37"/>
        <v>#REF!</v>
      </c>
      <c r="I626" s="1597" t="e">
        <f t="shared" si="38"/>
        <v>#REF!</v>
      </c>
      <c r="J626" s="1644" t="e">
        <f t="shared" si="39"/>
        <v>#REF!</v>
      </c>
      <c r="K626" s="1539"/>
      <c r="L626" s="1539"/>
      <c r="M626" s="1545"/>
      <c r="N626" s="1545"/>
      <c r="O626" s="1539"/>
      <c r="P626" s="1539"/>
      <c r="Q626" s="1539"/>
      <c r="R626" s="1539"/>
      <c r="S626" s="1539"/>
      <c r="T626" s="1539"/>
      <c r="U626" s="1539"/>
      <c r="V626" s="1539"/>
      <c r="W626" s="1539"/>
      <c r="X626" s="1539"/>
      <c r="Y626" s="1539"/>
      <c r="Z626" s="1539"/>
      <c r="AA626" s="1539"/>
      <c r="AB626" s="1539"/>
      <c r="AC626" s="1539"/>
      <c r="AD626" s="1539"/>
      <c r="AE626" s="1539"/>
      <c r="AF626" s="1539"/>
      <c r="AG626" s="1539"/>
      <c r="AH626" s="1539"/>
      <c r="AI626" s="1539"/>
      <c r="AJ626" s="1539"/>
      <c r="AK626" s="1539"/>
      <c r="AL626" s="1539"/>
      <c r="AM626" s="1539"/>
      <c r="AN626" s="1539"/>
      <c r="AO626" s="1539"/>
      <c r="AP626" s="1539"/>
      <c r="AQ626" s="1539"/>
      <c r="AR626" s="1539"/>
      <c r="AS626" s="1539"/>
      <c r="AT626" s="1539"/>
      <c r="AU626" s="1539"/>
      <c r="AV626" s="1539"/>
      <c r="AW626" s="1539"/>
      <c r="AX626" s="1539"/>
      <c r="AY626" s="1539"/>
      <c r="AZ626" s="1539"/>
      <c r="BA626" s="1539"/>
      <c r="BB626" s="1539"/>
      <c r="BC626" s="1539"/>
      <c r="BD626" s="1539"/>
      <c r="BE626" s="1539"/>
      <c r="BF626" s="1539"/>
      <c r="BG626" s="1539"/>
      <c r="BH626" s="1539"/>
      <c r="BI626" s="1539"/>
      <c r="BJ626" s="1539"/>
      <c r="BK626" s="1539"/>
      <c r="BL626" s="1539"/>
      <c r="BM626" s="1539"/>
      <c r="BN626" s="1539"/>
      <c r="BO626" s="1539"/>
      <c r="BP626" s="1539"/>
      <c r="BQ626" s="1539"/>
      <c r="BR626" s="1539"/>
      <c r="BS626" s="1539"/>
      <c r="BT626" s="1539"/>
      <c r="BU626" s="1539"/>
      <c r="BV626" s="1539"/>
      <c r="BW626" s="1539"/>
      <c r="BX626" s="1539"/>
      <c r="BY626" s="1539"/>
      <c r="BZ626" s="1539"/>
      <c r="CA626" s="1539"/>
      <c r="CB626" s="1539"/>
      <c r="CC626" s="1539"/>
      <c r="CD626" s="1539"/>
      <c r="CE626" s="1539"/>
      <c r="CF626" s="1539"/>
      <c r="CG626" s="1539"/>
      <c r="CH626" s="1539"/>
      <c r="CI626" s="1539"/>
      <c r="CJ626" s="1539"/>
      <c r="CK626" s="1539"/>
      <c r="CL626" s="1539"/>
      <c r="CM626" s="1539"/>
      <c r="CN626" s="1539"/>
      <c r="CO626" s="1539"/>
    </row>
    <row r="627" spans="1:93" s="1552" customFormat="1" ht="15.5">
      <c r="A627" s="1598" t="s">
        <v>3378</v>
      </c>
      <c r="B627" s="1599" t="s">
        <v>2602</v>
      </c>
      <c r="C627" s="1643" t="e">
        <f>+SUMIF(#REF!,Final!A627,#REF!)</f>
        <v>#REF!</v>
      </c>
      <c r="D627" s="1597" t="e">
        <f>+SUMIF(#REF!,Final!A627,#REF!)</f>
        <v>#REF!</v>
      </c>
      <c r="E627" s="1643" t="e">
        <f>SUMIF(#REF!,Final!A627,#REF!)</f>
        <v>#REF!</v>
      </c>
      <c r="F627" s="1644" t="e">
        <f>SUMIF(#REF!,Final!A627,#REF!)</f>
        <v>#REF!</v>
      </c>
      <c r="G627" s="1597" t="e">
        <f t="shared" si="36"/>
        <v>#REF!</v>
      </c>
      <c r="H627" s="1644" t="e">
        <f t="shared" si="37"/>
        <v>#REF!</v>
      </c>
      <c r="I627" s="1597" t="e">
        <f t="shared" si="38"/>
        <v>#REF!</v>
      </c>
      <c r="J627" s="1644" t="e">
        <f t="shared" si="39"/>
        <v>#REF!</v>
      </c>
      <c r="K627" s="1539"/>
      <c r="L627" s="1539"/>
      <c r="M627" s="1545"/>
      <c r="N627" s="1545"/>
      <c r="O627" s="1539"/>
      <c r="P627" s="1539"/>
      <c r="Q627" s="1539"/>
      <c r="R627" s="1539"/>
      <c r="S627" s="1539"/>
      <c r="T627" s="1539"/>
      <c r="U627" s="1539"/>
      <c r="V627" s="1539"/>
      <c r="W627" s="1539"/>
      <c r="X627" s="1539"/>
      <c r="Y627" s="1539"/>
      <c r="Z627" s="1539"/>
      <c r="AA627" s="1539"/>
      <c r="AB627" s="1539"/>
      <c r="AC627" s="1539"/>
      <c r="AD627" s="1539"/>
      <c r="AE627" s="1539"/>
      <c r="AF627" s="1539"/>
      <c r="AG627" s="1539"/>
      <c r="AH627" s="1539"/>
      <c r="AI627" s="1539"/>
      <c r="AJ627" s="1539"/>
      <c r="AK627" s="1539"/>
      <c r="AL627" s="1539"/>
      <c r="AM627" s="1539"/>
      <c r="AN627" s="1539"/>
      <c r="AO627" s="1539"/>
      <c r="AP627" s="1539"/>
      <c r="AQ627" s="1539"/>
      <c r="AR627" s="1539"/>
      <c r="AS627" s="1539"/>
      <c r="AT627" s="1539"/>
      <c r="AU627" s="1539"/>
      <c r="AV627" s="1539"/>
      <c r="AW627" s="1539"/>
      <c r="AX627" s="1539"/>
      <c r="AY627" s="1539"/>
      <c r="AZ627" s="1539"/>
      <c r="BA627" s="1539"/>
      <c r="BB627" s="1539"/>
      <c r="BC627" s="1539"/>
      <c r="BD627" s="1539"/>
      <c r="BE627" s="1539"/>
      <c r="BF627" s="1539"/>
      <c r="BG627" s="1539"/>
      <c r="BH627" s="1539"/>
      <c r="BI627" s="1539"/>
      <c r="BJ627" s="1539"/>
      <c r="BK627" s="1539"/>
      <c r="BL627" s="1539"/>
      <c r="BM627" s="1539"/>
      <c r="BN627" s="1539"/>
      <c r="BO627" s="1539"/>
      <c r="BP627" s="1539"/>
      <c r="BQ627" s="1539"/>
      <c r="BR627" s="1539"/>
      <c r="BS627" s="1539"/>
      <c r="BT627" s="1539"/>
      <c r="BU627" s="1539"/>
      <c r="BV627" s="1539"/>
      <c r="BW627" s="1539"/>
      <c r="BX627" s="1539"/>
      <c r="BY627" s="1539"/>
      <c r="BZ627" s="1539"/>
      <c r="CA627" s="1539"/>
      <c r="CB627" s="1539"/>
      <c r="CC627" s="1539"/>
      <c r="CD627" s="1539"/>
      <c r="CE627" s="1539"/>
      <c r="CF627" s="1539"/>
      <c r="CG627" s="1539"/>
      <c r="CH627" s="1539"/>
      <c r="CI627" s="1539"/>
      <c r="CJ627" s="1539"/>
      <c r="CK627" s="1539"/>
      <c r="CL627" s="1539"/>
      <c r="CM627" s="1539"/>
      <c r="CN627" s="1539"/>
      <c r="CO627" s="1539"/>
    </row>
    <row r="628" spans="1:93" s="1542" customFormat="1" ht="15.5">
      <c r="A628" s="1598" t="s">
        <v>2603</v>
      </c>
      <c r="B628" s="1599" t="s">
        <v>2604</v>
      </c>
      <c r="C628" s="1643" t="e">
        <f>+SUMIF(#REF!,Final!A628,#REF!)</f>
        <v>#REF!</v>
      </c>
      <c r="D628" s="1597" t="e">
        <f>+SUMIF(#REF!,Final!A628,#REF!)</f>
        <v>#REF!</v>
      </c>
      <c r="E628" s="1643" t="e">
        <f>SUMIF(#REF!,Final!A628,#REF!)</f>
        <v>#REF!</v>
      </c>
      <c r="F628" s="1644" t="e">
        <f>SUMIF(#REF!,Final!A628,#REF!)</f>
        <v>#REF!</v>
      </c>
      <c r="G628" s="1597" t="e">
        <f t="shared" si="36"/>
        <v>#REF!</v>
      </c>
      <c r="H628" s="1644" t="e">
        <f t="shared" si="37"/>
        <v>#REF!</v>
      </c>
      <c r="I628" s="1597" t="e">
        <f t="shared" si="38"/>
        <v>#REF!</v>
      </c>
      <c r="J628" s="1644" t="e">
        <f t="shared" si="39"/>
        <v>#REF!</v>
      </c>
      <c r="K628" s="1539"/>
      <c r="L628" s="1539"/>
      <c r="M628" s="1545"/>
      <c r="N628" s="1545"/>
      <c r="O628" s="1539"/>
      <c r="P628" s="1539"/>
      <c r="Q628" s="1539"/>
      <c r="R628" s="1539"/>
      <c r="S628" s="1539"/>
      <c r="T628" s="1539"/>
      <c r="U628" s="1539"/>
      <c r="V628" s="1539"/>
      <c r="W628" s="1539"/>
      <c r="X628" s="1539"/>
      <c r="Y628" s="1539"/>
      <c r="Z628" s="1539"/>
      <c r="AA628" s="1539"/>
      <c r="AB628" s="1539"/>
      <c r="AC628" s="1539"/>
      <c r="AD628" s="1539"/>
      <c r="AE628" s="1539"/>
      <c r="AF628" s="1539"/>
      <c r="AG628" s="1539"/>
      <c r="AH628" s="1539"/>
      <c r="AI628" s="1539"/>
      <c r="AJ628" s="1539"/>
      <c r="AK628" s="1539"/>
      <c r="AL628" s="1539"/>
      <c r="AM628" s="1539"/>
      <c r="AN628" s="1539"/>
      <c r="AO628" s="1539"/>
      <c r="AP628" s="1539"/>
      <c r="AQ628" s="1539"/>
      <c r="AR628" s="1539"/>
      <c r="AS628" s="1539"/>
      <c r="AT628" s="1539"/>
      <c r="AU628" s="1539"/>
      <c r="AV628" s="1539"/>
      <c r="AW628" s="1539"/>
      <c r="AX628" s="1539"/>
      <c r="AY628" s="1539"/>
      <c r="AZ628" s="1539"/>
      <c r="BA628" s="1539"/>
      <c r="BB628" s="1539"/>
      <c r="BC628" s="1539"/>
      <c r="BD628" s="1539"/>
      <c r="BE628" s="1539"/>
      <c r="BF628" s="1539"/>
      <c r="BG628" s="1539"/>
      <c r="BH628" s="1539"/>
      <c r="BI628" s="1539"/>
      <c r="BJ628" s="1539"/>
      <c r="BK628" s="1539"/>
      <c r="BL628" s="1539"/>
      <c r="BM628" s="1539"/>
      <c r="BN628" s="1539"/>
      <c r="BO628" s="1539"/>
      <c r="BP628" s="1539"/>
      <c r="BQ628" s="1539"/>
      <c r="BR628" s="1539"/>
      <c r="BS628" s="1539"/>
      <c r="BT628" s="1539"/>
      <c r="BU628" s="1539"/>
      <c r="BV628" s="1539"/>
      <c r="BW628" s="1539"/>
      <c r="BX628" s="1539"/>
      <c r="BY628" s="1539"/>
      <c r="BZ628" s="1539"/>
      <c r="CA628" s="1539"/>
      <c r="CB628" s="1539"/>
      <c r="CC628" s="1539"/>
      <c r="CD628" s="1539"/>
      <c r="CE628" s="1539"/>
      <c r="CF628" s="1539"/>
      <c r="CG628" s="1539"/>
      <c r="CH628" s="1539"/>
      <c r="CI628" s="1539"/>
      <c r="CJ628" s="1539"/>
      <c r="CK628" s="1539"/>
      <c r="CL628" s="1539"/>
      <c r="CM628" s="1539"/>
      <c r="CN628" s="1539"/>
      <c r="CO628" s="1539"/>
    </row>
    <row r="629" spans="1:93" ht="15.5">
      <c r="A629" s="1598">
        <v>15.201000000000001</v>
      </c>
      <c r="B629" s="1599" t="s">
        <v>2605</v>
      </c>
      <c r="C629" s="1643" t="e">
        <f>+SUMIF(#REF!,Final!A629,#REF!)</f>
        <v>#REF!</v>
      </c>
      <c r="D629" s="1597" t="e">
        <f>+SUMIF(#REF!,Final!A629,#REF!)</f>
        <v>#REF!</v>
      </c>
      <c r="E629" s="1643" t="e">
        <f>SUMIF(#REF!,Final!A629,#REF!)</f>
        <v>#REF!</v>
      </c>
      <c r="F629" s="1644" t="e">
        <f>SUMIF(#REF!,Final!A629,#REF!)</f>
        <v>#REF!</v>
      </c>
      <c r="G629" s="1597" t="e">
        <f t="shared" si="36"/>
        <v>#REF!</v>
      </c>
      <c r="H629" s="1644" t="e">
        <f t="shared" si="37"/>
        <v>#REF!</v>
      </c>
      <c r="I629" s="1597" t="e">
        <f t="shared" si="38"/>
        <v>#REF!</v>
      </c>
      <c r="J629" s="1644" t="e">
        <f t="shared" si="39"/>
        <v>#REF!</v>
      </c>
      <c r="M629" s="1545"/>
      <c r="N629" s="1545"/>
    </row>
    <row r="630" spans="1:93" s="1542" customFormat="1" ht="15.5">
      <c r="A630" s="1598">
        <v>15.208</v>
      </c>
      <c r="B630" s="1599" t="s">
        <v>2606</v>
      </c>
      <c r="C630" s="1643" t="e">
        <f>+SUMIF(#REF!,Final!A630,#REF!)</f>
        <v>#REF!</v>
      </c>
      <c r="D630" s="1597" t="e">
        <f>+SUMIF(#REF!,Final!A630,#REF!)</f>
        <v>#REF!</v>
      </c>
      <c r="E630" s="1643" t="e">
        <f>SUMIF(#REF!,Final!A630,#REF!)</f>
        <v>#REF!</v>
      </c>
      <c r="F630" s="1644" t="e">
        <f>SUMIF(#REF!,Final!A630,#REF!)</f>
        <v>#REF!</v>
      </c>
      <c r="G630" s="1597" t="e">
        <f t="shared" si="36"/>
        <v>#REF!</v>
      </c>
      <c r="H630" s="1644" t="e">
        <f t="shared" si="37"/>
        <v>#REF!</v>
      </c>
      <c r="I630" s="1597" t="e">
        <f t="shared" si="38"/>
        <v>#REF!</v>
      </c>
      <c r="J630" s="1644" t="e">
        <f t="shared" si="39"/>
        <v>#REF!</v>
      </c>
      <c r="K630" s="1539"/>
      <c r="L630" s="1539"/>
      <c r="M630" s="1545"/>
      <c r="N630" s="1545"/>
      <c r="O630" s="1539"/>
      <c r="P630" s="1539"/>
      <c r="Q630" s="1539"/>
      <c r="R630" s="1539"/>
      <c r="S630" s="1539"/>
      <c r="T630" s="1539"/>
      <c r="U630" s="1539"/>
      <c r="V630" s="1539"/>
      <c r="W630" s="1539"/>
      <c r="X630" s="1539"/>
      <c r="Y630" s="1539"/>
      <c r="Z630" s="1539"/>
      <c r="AA630" s="1539"/>
      <c r="AB630" s="1539"/>
      <c r="AC630" s="1539"/>
      <c r="AD630" s="1539"/>
      <c r="AE630" s="1539"/>
      <c r="AF630" s="1539"/>
      <c r="AG630" s="1539"/>
      <c r="AH630" s="1539"/>
      <c r="AI630" s="1539"/>
      <c r="AJ630" s="1539"/>
      <c r="AK630" s="1539"/>
      <c r="AL630" s="1539"/>
      <c r="AM630" s="1539"/>
      <c r="AN630" s="1539"/>
      <c r="AO630" s="1539"/>
      <c r="AP630" s="1539"/>
      <c r="AQ630" s="1539"/>
      <c r="AR630" s="1539"/>
      <c r="AS630" s="1539"/>
      <c r="AT630" s="1539"/>
      <c r="AU630" s="1539"/>
      <c r="AV630" s="1539"/>
      <c r="AW630" s="1539"/>
      <c r="AX630" s="1539"/>
      <c r="AY630" s="1539"/>
      <c r="AZ630" s="1539"/>
      <c r="BA630" s="1539"/>
      <c r="BB630" s="1539"/>
      <c r="BC630" s="1539"/>
      <c r="BD630" s="1539"/>
      <c r="BE630" s="1539"/>
      <c r="BF630" s="1539"/>
      <c r="BG630" s="1539"/>
      <c r="BH630" s="1539"/>
      <c r="BI630" s="1539"/>
      <c r="BJ630" s="1539"/>
      <c r="BK630" s="1539"/>
      <c r="BL630" s="1539"/>
      <c r="BM630" s="1539"/>
      <c r="BN630" s="1539"/>
      <c r="BO630" s="1539"/>
      <c r="BP630" s="1539"/>
      <c r="BQ630" s="1539"/>
      <c r="BR630" s="1539"/>
      <c r="BS630" s="1539"/>
      <c r="BT630" s="1539"/>
      <c r="BU630" s="1539"/>
      <c r="BV630" s="1539"/>
      <c r="BW630" s="1539"/>
      <c r="BX630" s="1539"/>
      <c r="BY630" s="1539"/>
      <c r="BZ630" s="1539"/>
      <c r="CA630" s="1539"/>
      <c r="CB630" s="1539"/>
      <c r="CC630" s="1539"/>
      <c r="CD630" s="1539"/>
      <c r="CE630" s="1539"/>
      <c r="CF630" s="1539"/>
      <c r="CG630" s="1539"/>
      <c r="CH630" s="1539"/>
      <c r="CI630" s="1539"/>
      <c r="CJ630" s="1539"/>
      <c r="CK630" s="1539"/>
      <c r="CL630" s="1539"/>
      <c r="CM630" s="1539"/>
      <c r="CN630" s="1539"/>
      <c r="CO630" s="1539"/>
    </row>
    <row r="631" spans="1:93" s="1552" customFormat="1" ht="15.5">
      <c r="A631" s="1598"/>
      <c r="B631" s="1599" t="s">
        <v>1747</v>
      </c>
      <c r="C631" s="1643" t="e">
        <f>+SUMIF(#REF!,Final!A631,#REF!)</f>
        <v>#REF!</v>
      </c>
      <c r="D631" s="1597" t="e">
        <f>+SUMIF(#REF!,Final!A631,#REF!)</f>
        <v>#REF!</v>
      </c>
      <c r="E631" s="1643" t="e">
        <f>SUMIF(#REF!,Final!A631,#REF!)</f>
        <v>#REF!</v>
      </c>
      <c r="F631" s="1644" t="e">
        <f>SUMIF(#REF!,Final!A631,#REF!)</f>
        <v>#REF!</v>
      </c>
      <c r="G631" s="1597" t="e">
        <f t="shared" si="36"/>
        <v>#REF!</v>
      </c>
      <c r="H631" s="1644" t="e">
        <f t="shared" si="37"/>
        <v>#REF!</v>
      </c>
      <c r="I631" s="1597" t="e">
        <f t="shared" si="38"/>
        <v>#REF!</v>
      </c>
      <c r="J631" s="1644" t="e">
        <f t="shared" si="39"/>
        <v>#REF!</v>
      </c>
      <c r="K631" s="1539"/>
      <c r="L631" s="1539"/>
      <c r="M631" s="1545"/>
      <c r="N631" s="1545"/>
      <c r="O631" s="1539"/>
      <c r="P631" s="1539"/>
      <c r="Q631" s="1539"/>
      <c r="R631" s="1539"/>
      <c r="S631" s="1539"/>
      <c r="T631" s="1539"/>
      <c r="U631" s="1539"/>
      <c r="V631" s="1539"/>
      <c r="W631" s="1539"/>
      <c r="X631" s="1539"/>
      <c r="Y631" s="1539"/>
      <c r="Z631" s="1539"/>
      <c r="AA631" s="1539"/>
      <c r="AB631" s="1539"/>
      <c r="AC631" s="1539"/>
      <c r="AD631" s="1539"/>
      <c r="AE631" s="1539"/>
      <c r="AF631" s="1539"/>
      <c r="AG631" s="1539"/>
      <c r="AH631" s="1539"/>
      <c r="AI631" s="1539"/>
      <c r="AJ631" s="1539"/>
      <c r="AK631" s="1539"/>
      <c r="AL631" s="1539"/>
      <c r="AM631" s="1539"/>
      <c r="AN631" s="1539"/>
      <c r="AO631" s="1539"/>
      <c r="AP631" s="1539"/>
      <c r="AQ631" s="1539"/>
      <c r="AR631" s="1539"/>
      <c r="AS631" s="1539"/>
      <c r="AT631" s="1539"/>
      <c r="AU631" s="1539"/>
      <c r="AV631" s="1539"/>
      <c r="AW631" s="1539"/>
      <c r="AX631" s="1539"/>
      <c r="AY631" s="1539"/>
      <c r="AZ631" s="1539"/>
      <c r="BA631" s="1539"/>
      <c r="BB631" s="1539"/>
      <c r="BC631" s="1539"/>
      <c r="BD631" s="1539"/>
      <c r="BE631" s="1539"/>
      <c r="BF631" s="1539"/>
      <c r="BG631" s="1539"/>
      <c r="BH631" s="1539"/>
      <c r="BI631" s="1539"/>
      <c r="BJ631" s="1539"/>
      <c r="BK631" s="1539"/>
      <c r="BL631" s="1539"/>
      <c r="BM631" s="1539"/>
      <c r="BN631" s="1539"/>
      <c r="BO631" s="1539"/>
      <c r="BP631" s="1539"/>
      <c r="BQ631" s="1539"/>
      <c r="BR631" s="1539"/>
      <c r="BS631" s="1539"/>
      <c r="BT631" s="1539"/>
      <c r="BU631" s="1539"/>
      <c r="BV631" s="1539"/>
      <c r="BW631" s="1539"/>
      <c r="BX631" s="1539"/>
      <c r="BY631" s="1539"/>
      <c r="BZ631" s="1539"/>
      <c r="CA631" s="1539"/>
      <c r="CB631" s="1539"/>
      <c r="CC631" s="1539"/>
      <c r="CD631" s="1539"/>
      <c r="CE631" s="1539"/>
      <c r="CF631" s="1539"/>
      <c r="CG631" s="1539"/>
      <c r="CH631" s="1539"/>
      <c r="CI631" s="1539"/>
      <c r="CJ631" s="1539"/>
      <c r="CK631" s="1539"/>
      <c r="CL631" s="1539"/>
      <c r="CM631" s="1539"/>
      <c r="CN631" s="1539"/>
      <c r="CO631" s="1539"/>
    </row>
    <row r="632" spans="1:93" s="1552" customFormat="1" ht="15.5">
      <c r="A632" s="1598"/>
      <c r="B632" s="1599" t="s">
        <v>1760</v>
      </c>
      <c r="C632" s="1643" t="e">
        <f>+SUMIF(#REF!,Final!A632,#REF!)</f>
        <v>#REF!</v>
      </c>
      <c r="D632" s="1597" t="e">
        <f>+SUMIF(#REF!,Final!A632,#REF!)</f>
        <v>#REF!</v>
      </c>
      <c r="E632" s="1643" t="e">
        <f>SUMIF(#REF!,Final!A632,#REF!)</f>
        <v>#REF!</v>
      </c>
      <c r="F632" s="1644" t="e">
        <f>SUMIF(#REF!,Final!A632,#REF!)</f>
        <v>#REF!</v>
      </c>
      <c r="G632" s="1597" t="e">
        <f t="shared" si="36"/>
        <v>#REF!</v>
      </c>
      <c r="H632" s="1644" t="e">
        <f t="shared" si="37"/>
        <v>#REF!</v>
      </c>
      <c r="I632" s="1597" t="e">
        <f t="shared" si="38"/>
        <v>#REF!</v>
      </c>
      <c r="J632" s="1644" t="e">
        <f t="shared" si="39"/>
        <v>#REF!</v>
      </c>
      <c r="K632" s="1539"/>
      <c r="L632" s="1539"/>
      <c r="M632" s="1545"/>
      <c r="N632" s="1545"/>
      <c r="O632" s="1539"/>
      <c r="P632" s="1539"/>
      <c r="Q632" s="1539"/>
      <c r="R632" s="1539"/>
      <c r="S632" s="1539"/>
      <c r="T632" s="1539"/>
      <c r="U632" s="1539"/>
      <c r="V632" s="1539"/>
      <c r="W632" s="1539"/>
      <c r="X632" s="1539"/>
      <c r="Y632" s="1539"/>
      <c r="Z632" s="1539"/>
      <c r="AA632" s="1539"/>
      <c r="AB632" s="1539"/>
      <c r="AC632" s="1539"/>
      <c r="AD632" s="1539"/>
      <c r="AE632" s="1539"/>
      <c r="AF632" s="1539"/>
      <c r="AG632" s="1539"/>
      <c r="AH632" s="1539"/>
      <c r="AI632" s="1539"/>
      <c r="AJ632" s="1539"/>
      <c r="AK632" s="1539"/>
      <c r="AL632" s="1539"/>
      <c r="AM632" s="1539"/>
      <c r="AN632" s="1539"/>
      <c r="AO632" s="1539"/>
      <c r="AP632" s="1539"/>
      <c r="AQ632" s="1539"/>
      <c r="AR632" s="1539"/>
      <c r="AS632" s="1539"/>
      <c r="AT632" s="1539"/>
      <c r="AU632" s="1539"/>
      <c r="AV632" s="1539"/>
      <c r="AW632" s="1539"/>
      <c r="AX632" s="1539"/>
      <c r="AY632" s="1539"/>
      <c r="AZ632" s="1539"/>
      <c r="BA632" s="1539"/>
      <c r="BB632" s="1539"/>
      <c r="BC632" s="1539"/>
      <c r="BD632" s="1539"/>
      <c r="BE632" s="1539"/>
      <c r="BF632" s="1539"/>
      <c r="BG632" s="1539"/>
      <c r="BH632" s="1539"/>
      <c r="BI632" s="1539"/>
      <c r="BJ632" s="1539"/>
      <c r="BK632" s="1539"/>
      <c r="BL632" s="1539"/>
      <c r="BM632" s="1539"/>
      <c r="BN632" s="1539"/>
      <c r="BO632" s="1539"/>
      <c r="BP632" s="1539"/>
      <c r="BQ632" s="1539"/>
      <c r="BR632" s="1539"/>
      <c r="BS632" s="1539"/>
      <c r="BT632" s="1539"/>
      <c r="BU632" s="1539"/>
      <c r="BV632" s="1539"/>
      <c r="BW632" s="1539"/>
      <c r="BX632" s="1539"/>
      <c r="BY632" s="1539"/>
      <c r="BZ632" s="1539"/>
      <c r="CA632" s="1539"/>
      <c r="CB632" s="1539"/>
      <c r="CC632" s="1539"/>
      <c r="CD632" s="1539"/>
      <c r="CE632" s="1539"/>
      <c r="CF632" s="1539"/>
      <c r="CG632" s="1539"/>
      <c r="CH632" s="1539"/>
      <c r="CI632" s="1539"/>
      <c r="CJ632" s="1539"/>
      <c r="CK632" s="1539"/>
      <c r="CL632" s="1539"/>
      <c r="CM632" s="1539"/>
      <c r="CN632" s="1539"/>
      <c r="CO632" s="1539"/>
    </row>
    <row r="633" spans="1:93" s="1552" customFormat="1" ht="15.5">
      <c r="A633" s="1598" t="s">
        <v>3379</v>
      </c>
      <c r="B633" s="1599" t="s">
        <v>2607</v>
      </c>
      <c r="C633" s="1643" t="e">
        <f>+SUMIF(#REF!,Final!A633,#REF!)</f>
        <v>#REF!</v>
      </c>
      <c r="D633" s="1597" t="e">
        <f>+SUMIF(#REF!,Final!A633,#REF!)</f>
        <v>#REF!</v>
      </c>
      <c r="E633" s="1643" t="e">
        <f>SUMIF(#REF!,Final!A633,#REF!)</f>
        <v>#REF!</v>
      </c>
      <c r="F633" s="1644" t="e">
        <f>SUMIF(#REF!,Final!A633,#REF!)</f>
        <v>#REF!</v>
      </c>
      <c r="G633" s="1597" t="e">
        <f t="shared" si="36"/>
        <v>#REF!</v>
      </c>
      <c r="H633" s="1644" t="e">
        <f t="shared" si="37"/>
        <v>#REF!</v>
      </c>
      <c r="I633" s="1597" t="e">
        <f t="shared" si="38"/>
        <v>#REF!</v>
      </c>
      <c r="J633" s="1644" t="e">
        <f t="shared" si="39"/>
        <v>#REF!</v>
      </c>
      <c r="K633" s="1539"/>
      <c r="L633" s="1539"/>
      <c r="M633" s="1545"/>
      <c r="N633" s="1545"/>
      <c r="O633" s="1539"/>
      <c r="P633" s="1539"/>
      <c r="Q633" s="1539"/>
      <c r="R633" s="1539"/>
      <c r="S633" s="1539"/>
      <c r="T633" s="1539"/>
      <c r="U633" s="1539"/>
      <c r="V633" s="1539"/>
      <c r="W633" s="1539"/>
      <c r="X633" s="1539"/>
      <c r="Y633" s="1539"/>
      <c r="Z633" s="1539"/>
      <c r="AA633" s="1539"/>
      <c r="AB633" s="1539"/>
      <c r="AC633" s="1539"/>
      <c r="AD633" s="1539"/>
      <c r="AE633" s="1539"/>
      <c r="AF633" s="1539"/>
      <c r="AG633" s="1539"/>
      <c r="AH633" s="1539"/>
      <c r="AI633" s="1539"/>
      <c r="AJ633" s="1539"/>
      <c r="AK633" s="1539"/>
      <c r="AL633" s="1539"/>
      <c r="AM633" s="1539"/>
      <c r="AN633" s="1539"/>
      <c r="AO633" s="1539"/>
      <c r="AP633" s="1539"/>
      <c r="AQ633" s="1539"/>
      <c r="AR633" s="1539"/>
      <c r="AS633" s="1539"/>
      <c r="AT633" s="1539"/>
      <c r="AU633" s="1539"/>
      <c r="AV633" s="1539"/>
      <c r="AW633" s="1539"/>
      <c r="AX633" s="1539"/>
      <c r="AY633" s="1539"/>
      <c r="AZ633" s="1539"/>
      <c r="BA633" s="1539"/>
      <c r="BB633" s="1539"/>
      <c r="BC633" s="1539"/>
      <c r="BD633" s="1539"/>
      <c r="BE633" s="1539"/>
      <c r="BF633" s="1539"/>
      <c r="BG633" s="1539"/>
      <c r="BH633" s="1539"/>
      <c r="BI633" s="1539"/>
      <c r="BJ633" s="1539"/>
      <c r="BK633" s="1539"/>
      <c r="BL633" s="1539"/>
      <c r="BM633" s="1539"/>
      <c r="BN633" s="1539"/>
      <c r="BO633" s="1539"/>
      <c r="BP633" s="1539"/>
      <c r="BQ633" s="1539"/>
      <c r="BR633" s="1539"/>
      <c r="BS633" s="1539"/>
      <c r="BT633" s="1539"/>
      <c r="BU633" s="1539"/>
      <c r="BV633" s="1539"/>
      <c r="BW633" s="1539"/>
      <c r="BX633" s="1539"/>
      <c r="BY633" s="1539"/>
      <c r="BZ633" s="1539"/>
      <c r="CA633" s="1539"/>
      <c r="CB633" s="1539"/>
      <c r="CC633" s="1539"/>
      <c r="CD633" s="1539"/>
      <c r="CE633" s="1539"/>
      <c r="CF633" s="1539"/>
      <c r="CG633" s="1539"/>
      <c r="CH633" s="1539"/>
      <c r="CI633" s="1539"/>
      <c r="CJ633" s="1539"/>
      <c r="CK633" s="1539"/>
      <c r="CL633" s="1539"/>
      <c r="CM633" s="1539"/>
      <c r="CN633" s="1539"/>
      <c r="CO633" s="1539"/>
    </row>
    <row r="634" spans="1:93" s="1542" customFormat="1" ht="15.5">
      <c r="A634" s="1598" t="s">
        <v>2998</v>
      </c>
      <c r="B634" s="1599" t="s">
        <v>3380</v>
      </c>
      <c r="C634" s="1643" t="e">
        <f>+SUMIF(#REF!,Final!A634,#REF!)</f>
        <v>#REF!</v>
      </c>
      <c r="D634" s="1597" t="e">
        <f>+SUMIF(#REF!,Final!A634,#REF!)</f>
        <v>#REF!</v>
      </c>
      <c r="E634" s="1643" t="e">
        <f>SUMIF(#REF!,Final!A634,#REF!)</f>
        <v>#REF!</v>
      </c>
      <c r="F634" s="1644" t="e">
        <f>SUMIF(#REF!,Final!A634,#REF!)</f>
        <v>#REF!</v>
      </c>
      <c r="G634" s="1597" t="e">
        <f t="shared" si="36"/>
        <v>#REF!</v>
      </c>
      <c r="H634" s="1644" t="e">
        <f t="shared" si="37"/>
        <v>#REF!</v>
      </c>
      <c r="I634" s="1597" t="e">
        <f t="shared" si="38"/>
        <v>#REF!</v>
      </c>
      <c r="J634" s="1644" t="e">
        <f t="shared" si="39"/>
        <v>#REF!</v>
      </c>
      <c r="K634" s="1539"/>
      <c r="L634" s="1539"/>
      <c r="M634" s="1545"/>
      <c r="N634" s="1545"/>
      <c r="O634" s="1539"/>
      <c r="P634" s="1539"/>
      <c r="Q634" s="1539"/>
      <c r="R634" s="1539"/>
      <c r="S634" s="1539"/>
      <c r="T634" s="1539"/>
      <c r="U634" s="1539"/>
      <c r="V634" s="1539"/>
      <c r="W634" s="1539"/>
      <c r="X634" s="1539"/>
      <c r="Y634" s="1539"/>
      <c r="Z634" s="1539"/>
      <c r="AA634" s="1539"/>
      <c r="AB634" s="1539"/>
      <c r="AC634" s="1539"/>
      <c r="AD634" s="1539"/>
      <c r="AE634" s="1539"/>
      <c r="AF634" s="1539"/>
      <c r="AG634" s="1539"/>
      <c r="AH634" s="1539"/>
      <c r="AI634" s="1539"/>
      <c r="AJ634" s="1539"/>
      <c r="AK634" s="1539"/>
      <c r="AL634" s="1539"/>
      <c r="AM634" s="1539"/>
      <c r="AN634" s="1539"/>
      <c r="AO634" s="1539"/>
      <c r="AP634" s="1539"/>
      <c r="AQ634" s="1539"/>
      <c r="AR634" s="1539"/>
      <c r="AS634" s="1539"/>
      <c r="AT634" s="1539"/>
      <c r="AU634" s="1539"/>
      <c r="AV634" s="1539"/>
      <c r="AW634" s="1539"/>
      <c r="AX634" s="1539"/>
      <c r="AY634" s="1539"/>
      <c r="AZ634" s="1539"/>
      <c r="BA634" s="1539"/>
      <c r="BB634" s="1539"/>
      <c r="BC634" s="1539"/>
      <c r="BD634" s="1539"/>
      <c r="BE634" s="1539"/>
      <c r="BF634" s="1539"/>
      <c r="BG634" s="1539"/>
      <c r="BH634" s="1539"/>
      <c r="BI634" s="1539"/>
      <c r="BJ634" s="1539"/>
      <c r="BK634" s="1539"/>
      <c r="BL634" s="1539"/>
      <c r="BM634" s="1539"/>
      <c r="BN634" s="1539"/>
      <c r="BO634" s="1539"/>
      <c r="BP634" s="1539"/>
      <c r="BQ634" s="1539"/>
      <c r="BR634" s="1539"/>
      <c r="BS634" s="1539"/>
      <c r="BT634" s="1539"/>
      <c r="BU634" s="1539"/>
      <c r="BV634" s="1539"/>
      <c r="BW634" s="1539"/>
      <c r="BX634" s="1539"/>
      <c r="BY634" s="1539"/>
      <c r="BZ634" s="1539"/>
      <c r="CA634" s="1539"/>
      <c r="CB634" s="1539"/>
      <c r="CC634" s="1539"/>
      <c r="CD634" s="1539"/>
      <c r="CE634" s="1539"/>
      <c r="CF634" s="1539"/>
      <c r="CG634" s="1539"/>
      <c r="CH634" s="1539"/>
      <c r="CI634" s="1539"/>
      <c r="CJ634" s="1539"/>
      <c r="CK634" s="1539"/>
      <c r="CL634" s="1539"/>
      <c r="CM634" s="1539"/>
      <c r="CN634" s="1539"/>
      <c r="CO634" s="1539"/>
    </row>
    <row r="635" spans="1:93" s="1542" customFormat="1" ht="15.5">
      <c r="A635" s="1598">
        <v>16.149999999999999</v>
      </c>
      <c r="B635" s="1599" t="s">
        <v>2034</v>
      </c>
      <c r="C635" s="1643" t="e">
        <f>+SUMIF(#REF!,Final!A635,#REF!)</f>
        <v>#REF!</v>
      </c>
      <c r="D635" s="1597" t="e">
        <f>+SUMIF(#REF!,Final!A635,#REF!)</f>
        <v>#REF!</v>
      </c>
      <c r="E635" s="1643" t="e">
        <f>SUMIF(#REF!,Final!A635,#REF!)</f>
        <v>#REF!</v>
      </c>
      <c r="F635" s="1644" t="e">
        <f>SUMIF(#REF!,Final!A635,#REF!)</f>
        <v>#REF!</v>
      </c>
      <c r="G635" s="1597" t="e">
        <f t="shared" si="36"/>
        <v>#REF!</v>
      </c>
      <c r="H635" s="1644" t="e">
        <f t="shared" si="37"/>
        <v>#REF!</v>
      </c>
      <c r="I635" s="1597" t="e">
        <f t="shared" si="38"/>
        <v>#REF!</v>
      </c>
      <c r="J635" s="1644" t="e">
        <f t="shared" si="39"/>
        <v>#REF!</v>
      </c>
      <c r="K635" s="1539"/>
      <c r="L635" s="1539"/>
      <c r="M635" s="1545"/>
      <c r="N635" s="1545"/>
      <c r="O635" s="1539"/>
      <c r="P635" s="1539"/>
      <c r="Q635" s="1539"/>
      <c r="R635" s="1539"/>
      <c r="S635" s="1539"/>
      <c r="T635" s="1539"/>
      <c r="U635" s="1539"/>
      <c r="V635" s="1539"/>
      <c r="W635" s="1539"/>
      <c r="X635" s="1539"/>
      <c r="Y635" s="1539"/>
      <c r="Z635" s="1539"/>
      <c r="AA635" s="1539"/>
      <c r="AB635" s="1539"/>
      <c r="AC635" s="1539"/>
      <c r="AD635" s="1539"/>
      <c r="AE635" s="1539"/>
      <c r="AF635" s="1539"/>
      <c r="AG635" s="1539"/>
      <c r="AH635" s="1539"/>
      <c r="AI635" s="1539"/>
      <c r="AJ635" s="1539"/>
      <c r="AK635" s="1539"/>
      <c r="AL635" s="1539"/>
      <c r="AM635" s="1539"/>
      <c r="AN635" s="1539"/>
      <c r="AO635" s="1539"/>
      <c r="AP635" s="1539"/>
      <c r="AQ635" s="1539"/>
      <c r="AR635" s="1539"/>
      <c r="AS635" s="1539"/>
      <c r="AT635" s="1539"/>
      <c r="AU635" s="1539"/>
      <c r="AV635" s="1539"/>
      <c r="AW635" s="1539"/>
      <c r="AX635" s="1539"/>
      <c r="AY635" s="1539"/>
      <c r="AZ635" s="1539"/>
      <c r="BA635" s="1539"/>
      <c r="BB635" s="1539"/>
      <c r="BC635" s="1539"/>
      <c r="BD635" s="1539"/>
      <c r="BE635" s="1539"/>
      <c r="BF635" s="1539"/>
      <c r="BG635" s="1539"/>
      <c r="BH635" s="1539"/>
      <c r="BI635" s="1539"/>
      <c r="BJ635" s="1539"/>
      <c r="BK635" s="1539"/>
      <c r="BL635" s="1539"/>
      <c r="BM635" s="1539"/>
      <c r="BN635" s="1539"/>
      <c r="BO635" s="1539"/>
      <c r="BP635" s="1539"/>
      <c r="BQ635" s="1539"/>
      <c r="BR635" s="1539"/>
      <c r="BS635" s="1539"/>
      <c r="BT635" s="1539"/>
      <c r="BU635" s="1539"/>
      <c r="BV635" s="1539"/>
      <c r="BW635" s="1539"/>
      <c r="BX635" s="1539"/>
      <c r="BY635" s="1539"/>
      <c r="BZ635" s="1539"/>
      <c r="CA635" s="1539"/>
      <c r="CB635" s="1539"/>
      <c r="CC635" s="1539"/>
      <c r="CD635" s="1539"/>
      <c r="CE635" s="1539"/>
      <c r="CF635" s="1539"/>
      <c r="CG635" s="1539"/>
      <c r="CH635" s="1539"/>
      <c r="CI635" s="1539"/>
      <c r="CJ635" s="1539"/>
      <c r="CK635" s="1539"/>
      <c r="CL635" s="1539"/>
      <c r="CM635" s="1539"/>
      <c r="CN635" s="1539"/>
      <c r="CO635" s="1539"/>
    </row>
    <row r="636" spans="1:93" ht="15.5">
      <c r="A636" s="1598">
        <v>16.16</v>
      </c>
      <c r="B636" s="1599" t="s">
        <v>3381</v>
      </c>
      <c r="C636" s="1643" t="e">
        <f>+SUMIF(#REF!,Final!A636,#REF!)</f>
        <v>#REF!</v>
      </c>
      <c r="D636" s="1597" t="e">
        <f>+SUMIF(#REF!,Final!A636,#REF!)</f>
        <v>#REF!</v>
      </c>
      <c r="E636" s="1643" t="e">
        <f>SUMIF(#REF!,Final!A636,#REF!)</f>
        <v>#REF!</v>
      </c>
      <c r="F636" s="1644" t="e">
        <f>SUMIF(#REF!,Final!A636,#REF!)</f>
        <v>#REF!</v>
      </c>
      <c r="G636" s="1597" t="e">
        <f t="shared" si="36"/>
        <v>#REF!</v>
      </c>
      <c r="H636" s="1644" t="e">
        <f t="shared" si="37"/>
        <v>#REF!</v>
      </c>
      <c r="I636" s="1597" t="e">
        <f t="shared" si="38"/>
        <v>#REF!</v>
      </c>
      <c r="J636" s="1644" t="e">
        <f t="shared" si="39"/>
        <v>#REF!</v>
      </c>
      <c r="M636" s="1545"/>
      <c r="N636" s="1545"/>
    </row>
    <row r="637" spans="1:93" s="1542" customFormat="1" ht="15.5">
      <c r="A637" s="1598">
        <v>16.170000000000002</v>
      </c>
      <c r="B637" s="1599" t="s">
        <v>752</v>
      </c>
      <c r="C637" s="1643" t="e">
        <f>+SUMIF(#REF!,Final!A637,#REF!)</f>
        <v>#REF!</v>
      </c>
      <c r="D637" s="1597" t="e">
        <f>+SUMIF(#REF!,Final!A637,#REF!)</f>
        <v>#REF!</v>
      </c>
      <c r="E637" s="1643" t="e">
        <f>SUMIF(#REF!,Final!A637,#REF!)</f>
        <v>#REF!</v>
      </c>
      <c r="F637" s="1644" t="e">
        <f>SUMIF(#REF!,Final!A637,#REF!)</f>
        <v>#REF!</v>
      </c>
      <c r="G637" s="1597" t="e">
        <f t="shared" si="36"/>
        <v>#REF!</v>
      </c>
      <c r="H637" s="1644" t="e">
        <f t="shared" si="37"/>
        <v>#REF!</v>
      </c>
      <c r="I637" s="1597" t="e">
        <f t="shared" si="38"/>
        <v>#REF!</v>
      </c>
      <c r="J637" s="1644" t="e">
        <f t="shared" si="39"/>
        <v>#REF!</v>
      </c>
      <c r="K637" s="1539"/>
      <c r="L637" s="1539"/>
      <c r="M637" s="1545"/>
      <c r="N637" s="1545"/>
      <c r="O637" s="1539"/>
      <c r="P637" s="1539"/>
      <c r="Q637" s="1539"/>
      <c r="R637" s="1539"/>
      <c r="S637" s="1539"/>
      <c r="T637" s="1539"/>
      <c r="U637" s="1539"/>
      <c r="V637" s="1539"/>
      <c r="W637" s="1539"/>
      <c r="X637" s="1539"/>
      <c r="Y637" s="1539"/>
      <c r="Z637" s="1539"/>
      <c r="AA637" s="1539"/>
      <c r="AB637" s="1539"/>
      <c r="AC637" s="1539"/>
      <c r="AD637" s="1539"/>
      <c r="AE637" s="1539"/>
      <c r="AF637" s="1539"/>
      <c r="AG637" s="1539"/>
      <c r="AH637" s="1539"/>
      <c r="AI637" s="1539"/>
      <c r="AJ637" s="1539"/>
      <c r="AK637" s="1539"/>
      <c r="AL637" s="1539"/>
      <c r="AM637" s="1539"/>
      <c r="AN637" s="1539"/>
      <c r="AO637" s="1539"/>
      <c r="AP637" s="1539"/>
      <c r="AQ637" s="1539"/>
      <c r="AR637" s="1539"/>
      <c r="AS637" s="1539"/>
      <c r="AT637" s="1539"/>
      <c r="AU637" s="1539"/>
      <c r="AV637" s="1539"/>
      <c r="AW637" s="1539"/>
      <c r="AX637" s="1539"/>
      <c r="AY637" s="1539"/>
      <c r="AZ637" s="1539"/>
      <c r="BA637" s="1539"/>
      <c r="BB637" s="1539"/>
      <c r="BC637" s="1539"/>
      <c r="BD637" s="1539"/>
      <c r="BE637" s="1539"/>
      <c r="BF637" s="1539"/>
      <c r="BG637" s="1539"/>
      <c r="BH637" s="1539"/>
      <c r="BI637" s="1539"/>
      <c r="BJ637" s="1539"/>
      <c r="BK637" s="1539"/>
      <c r="BL637" s="1539"/>
      <c r="BM637" s="1539"/>
      <c r="BN637" s="1539"/>
      <c r="BO637" s="1539"/>
      <c r="BP637" s="1539"/>
      <c r="BQ637" s="1539"/>
      <c r="BR637" s="1539"/>
      <c r="BS637" s="1539"/>
      <c r="BT637" s="1539"/>
      <c r="BU637" s="1539"/>
      <c r="BV637" s="1539"/>
      <c r="BW637" s="1539"/>
      <c r="BX637" s="1539"/>
      <c r="BY637" s="1539"/>
      <c r="BZ637" s="1539"/>
      <c r="CA637" s="1539"/>
      <c r="CB637" s="1539"/>
      <c r="CC637" s="1539"/>
      <c r="CD637" s="1539"/>
      <c r="CE637" s="1539"/>
      <c r="CF637" s="1539"/>
      <c r="CG637" s="1539"/>
      <c r="CH637" s="1539"/>
      <c r="CI637" s="1539"/>
      <c r="CJ637" s="1539"/>
      <c r="CK637" s="1539"/>
      <c r="CL637" s="1539"/>
      <c r="CM637" s="1539"/>
      <c r="CN637" s="1539"/>
      <c r="CO637" s="1539"/>
    </row>
    <row r="638" spans="1:93" s="1542" customFormat="1" ht="15.5">
      <c r="A638" s="1598">
        <v>16.18</v>
      </c>
      <c r="B638" s="1599" t="s">
        <v>3382</v>
      </c>
      <c r="C638" s="1643" t="e">
        <f>+SUMIF(#REF!,Final!A638,#REF!)</f>
        <v>#REF!</v>
      </c>
      <c r="D638" s="1597" t="e">
        <f>+SUMIF(#REF!,Final!A638,#REF!)</f>
        <v>#REF!</v>
      </c>
      <c r="E638" s="1643" t="e">
        <f>SUMIF(#REF!,Final!A638,#REF!)</f>
        <v>#REF!</v>
      </c>
      <c r="F638" s="1644" t="e">
        <f>SUMIF(#REF!,Final!A638,#REF!)</f>
        <v>#REF!</v>
      </c>
      <c r="G638" s="1597" t="e">
        <f t="shared" si="36"/>
        <v>#REF!</v>
      </c>
      <c r="H638" s="1644" t="e">
        <f t="shared" si="37"/>
        <v>#REF!</v>
      </c>
      <c r="I638" s="1597" t="e">
        <f t="shared" si="38"/>
        <v>#REF!</v>
      </c>
      <c r="J638" s="1644" t="e">
        <f t="shared" si="39"/>
        <v>#REF!</v>
      </c>
      <c r="K638" s="1539"/>
      <c r="L638" s="1539"/>
      <c r="M638" s="1545"/>
      <c r="N638" s="1545"/>
      <c r="O638" s="1539"/>
      <c r="P638" s="1539"/>
      <c r="Q638" s="1539"/>
      <c r="R638" s="1539"/>
      <c r="S638" s="1539"/>
      <c r="T638" s="1539"/>
      <c r="U638" s="1539"/>
      <c r="V638" s="1539"/>
      <c r="W638" s="1539"/>
      <c r="X638" s="1539"/>
      <c r="Y638" s="1539"/>
      <c r="Z638" s="1539"/>
      <c r="AA638" s="1539"/>
      <c r="AB638" s="1539"/>
      <c r="AC638" s="1539"/>
      <c r="AD638" s="1539"/>
      <c r="AE638" s="1539"/>
      <c r="AF638" s="1539"/>
      <c r="AG638" s="1539"/>
      <c r="AH638" s="1539"/>
      <c r="AI638" s="1539"/>
      <c r="AJ638" s="1539"/>
      <c r="AK638" s="1539"/>
      <c r="AL638" s="1539"/>
      <c r="AM638" s="1539"/>
      <c r="AN638" s="1539"/>
      <c r="AO638" s="1539"/>
      <c r="AP638" s="1539"/>
      <c r="AQ638" s="1539"/>
      <c r="AR638" s="1539"/>
      <c r="AS638" s="1539"/>
      <c r="AT638" s="1539"/>
      <c r="AU638" s="1539"/>
      <c r="AV638" s="1539"/>
      <c r="AW638" s="1539"/>
      <c r="AX638" s="1539"/>
      <c r="AY638" s="1539"/>
      <c r="AZ638" s="1539"/>
      <c r="BA638" s="1539"/>
      <c r="BB638" s="1539"/>
      <c r="BC638" s="1539"/>
      <c r="BD638" s="1539"/>
      <c r="BE638" s="1539"/>
      <c r="BF638" s="1539"/>
      <c r="BG638" s="1539"/>
      <c r="BH638" s="1539"/>
      <c r="BI638" s="1539"/>
      <c r="BJ638" s="1539"/>
      <c r="BK638" s="1539"/>
      <c r="BL638" s="1539"/>
      <c r="BM638" s="1539"/>
      <c r="BN638" s="1539"/>
      <c r="BO638" s="1539"/>
      <c r="BP638" s="1539"/>
      <c r="BQ638" s="1539"/>
      <c r="BR638" s="1539"/>
      <c r="BS638" s="1539"/>
      <c r="BT638" s="1539"/>
      <c r="BU638" s="1539"/>
      <c r="BV638" s="1539"/>
      <c r="BW638" s="1539"/>
      <c r="BX638" s="1539"/>
      <c r="BY638" s="1539"/>
      <c r="BZ638" s="1539"/>
      <c r="CA638" s="1539"/>
      <c r="CB638" s="1539"/>
      <c r="CC638" s="1539"/>
      <c r="CD638" s="1539"/>
      <c r="CE638" s="1539"/>
      <c r="CF638" s="1539"/>
      <c r="CG638" s="1539"/>
      <c r="CH638" s="1539"/>
      <c r="CI638" s="1539"/>
      <c r="CJ638" s="1539"/>
      <c r="CK638" s="1539"/>
      <c r="CL638" s="1539"/>
      <c r="CM638" s="1539"/>
      <c r="CN638" s="1539"/>
      <c r="CO638" s="1539"/>
    </row>
    <row r="639" spans="1:93" ht="15.5">
      <c r="A639" s="1598">
        <v>16.190000000000001</v>
      </c>
      <c r="B639" s="1599" t="s">
        <v>2106</v>
      </c>
      <c r="C639" s="1643" t="e">
        <f>+SUMIF(#REF!,Final!A639,#REF!)</f>
        <v>#REF!</v>
      </c>
      <c r="D639" s="1597" t="e">
        <f>+SUMIF(#REF!,Final!A639,#REF!)</f>
        <v>#REF!</v>
      </c>
      <c r="E639" s="1643" t="e">
        <f>SUMIF(#REF!,Final!A639,#REF!)</f>
        <v>#REF!</v>
      </c>
      <c r="F639" s="1644" t="e">
        <f>SUMIF(#REF!,Final!A639,#REF!)</f>
        <v>#REF!</v>
      </c>
      <c r="G639" s="1597" t="e">
        <f t="shared" si="36"/>
        <v>#REF!</v>
      </c>
      <c r="H639" s="1644" t="e">
        <f t="shared" si="37"/>
        <v>#REF!</v>
      </c>
      <c r="I639" s="1597" t="e">
        <f t="shared" si="38"/>
        <v>#REF!</v>
      </c>
      <c r="J639" s="1644" t="e">
        <f t="shared" si="39"/>
        <v>#REF!</v>
      </c>
      <c r="M639" s="1545"/>
      <c r="N639" s="1545"/>
    </row>
    <row r="640" spans="1:93" s="1552" customFormat="1" ht="15.5">
      <c r="A640" s="1598"/>
      <c r="B640" s="1599" t="s">
        <v>1747</v>
      </c>
      <c r="C640" s="1643" t="e">
        <f>+SUMIF(#REF!,Final!A640,#REF!)</f>
        <v>#REF!</v>
      </c>
      <c r="D640" s="1597" t="e">
        <f>+SUMIF(#REF!,Final!A640,#REF!)</f>
        <v>#REF!</v>
      </c>
      <c r="E640" s="1643" t="e">
        <f>SUMIF(#REF!,Final!A640,#REF!)</f>
        <v>#REF!</v>
      </c>
      <c r="F640" s="1644" t="e">
        <f>SUMIF(#REF!,Final!A640,#REF!)</f>
        <v>#REF!</v>
      </c>
      <c r="G640" s="1597" t="e">
        <f t="shared" si="36"/>
        <v>#REF!</v>
      </c>
      <c r="H640" s="1644" t="e">
        <f t="shared" si="37"/>
        <v>#REF!</v>
      </c>
      <c r="I640" s="1597" t="e">
        <f t="shared" si="38"/>
        <v>#REF!</v>
      </c>
      <c r="J640" s="1644" t="e">
        <f t="shared" si="39"/>
        <v>#REF!</v>
      </c>
      <c r="K640" s="1539"/>
      <c r="L640" s="1539"/>
      <c r="M640" s="1545"/>
      <c r="N640" s="1545"/>
      <c r="O640" s="1539"/>
      <c r="P640" s="1539"/>
      <c r="Q640" s="1539"/>
      <c r="R640" s="1539"/>
      <c r="S640" s="1539"/>
      <c r="T640" s="1539"/>
      <c r="U640" s="1539"/>
      <c r="V640" s="1539"/>
      <c r="W640" s="1539"/>
      <c r="X640" s="1539"/>
      <c r="Y640" s="1539"/>
      <c r="Z640" s="1539"/>
      <c r="AA640" s="1539"/>
      <c r="AB640" s="1539"/>
      <c r="AC640" s="1539"/>
      <c r="AD640" s="1539"/>
      <c r="AE640" s="1539"/>
      <c r="AF640" s="1539"/>
      <c r="AG640" s="1539"/>
      <c r="AH640" s="1539"/>
      <c r="AI640" s="1539"/>
      <c r="AJ640" s="1539"/>
      <c r="AK640" s="1539"/>
      <c r="AL640" s="1539"/>
      <c r="AM640" s="1539"/>
      <c r="AN640" s="1539"/>
      <c r="AO640" s="1539"/>
      <c r="AP640" s="1539"/>
      <c r="AQ640" s="1539"/>
      <c r="AR640" s="1539"/>
      <c r="AS640" s="1539"/>
      <c r="AT640" s="1539"/>
      <c r="AU640" s="1539"/>
      <c r="AV640" s="1539"/>
      <c r="AW640" s="1539"/>
      <c r="AX640" s="1539"/>
      <c r="AY640" s="1539"/>
      <c r="AZ640" s="1539"/>
      <c r="BA640" s="1539"/>
      <c r="BB640" s="1539"/>
      <c r="BC640" s="1539"/>
      <c r="BD640" s="1539"/>
      <c r="BE640" s="1539"/>
      <c r="BF640" s="1539"/>
      <c r="BG640" s="1539"/>
      <c r="BH640" s="1539"/>
      <c r="BI640" s="1539"/>
      <c r="BJ640" s="1539"/>
      <c r="BK640" s="1539"/>
      <c r="BL640" s="1539"/>
      <c r="BM640" s="1539"/>
      <c r="BN640" s="1539"/>
      <c r="BO640" s="1539"/>
      <c r="BP640" s="1539"/>
      <c r="BQ640" s="1539"/>
      <c r="BR640" s="1539"/>
      <c r="BS640" s="1539"/>
      <c r="BT640" s="1539"/>
      <c r="BU640" s="1539"/>
      <c r="BV640" s="1539"/>
      <c r="BW640" s="1539"/>
      <c r="BX640" s="1539"/>
      <c r="BY640" s="1539"/>
      <c r="BZ640" s="1539"/>
      <c r="CA640" s="1539"/>
      <c r="CB640" s="1539"/>
      <c r="CC640" s="1539"/>
      <c r="CD640" s="1539"/>
      <c r="CE640" s="1539"/>
      <c r="CF640" s="1539"/>
      <c r="CG640" s="1539"/>
      <c r="CH640" s="1539"/>
      <c r="CI640" s="1539"/>
      <c r="CJ640" s="1539"/>
      <c r="CK640" s="1539"/>
      <c r="CL640" s="1539"/>
      <c r="CM640" s="1539"/>
      <c r="CN640" s="1539"/>
      <c r="CO640" s="1539"/>
    </row>
    <row r="641" spans="1:93" s="1552" customFormat="1" ht="15.5">
      <c r="A641" s="1598"/>
      <c r="B641" s="1599" t="s">
        <v>1760</v>
      </c>
      <c r="C641" s="1643" t="e">
        <f>+SUMIF(#REF!,Final!A641,#REF!)</f>
        <v>#REF!</v>
      </c>
      <c r="D641" s="1597" t="e">
        <f>+SUMIF(#REF!,Final!A641,#REF!)</f>
        <v>#REF!</v>
      </c>
      <c r="E641" s="1643" t="e">
        <f>SUMIF(#REF!,Final!A641,#REF!)</f>
        <v>#REF!</v>
      </c>
      <c r="F641" s="1644" t="e">
        <f>SUMIF(#REF!,Final!A641,#REF!)</f>
        <v>#REF!</v>
      </c>
      <c r="G641" s="1597" t="e">
        <f t="shared" si="36"/>
        <v>#REF!</v>
      </c>
      <c r="H641" s="1644" t="e">
        <f t="shared" si="37"/>
        <v>#REF!</v>
      </c>
      <c r="I641" s="1597" t="e">
        <f t="shared" si="38"/>
        <v>#REF!</v>
      </c>
      <c r="J641" s="1644" t="e">
        <f t="shared" si="39"/>
        <v>#REF!</v>
      </c>
      <c r="K641" s="1539"/>
      <c r="L641" s="1539"/>
      <c r="M641" s="1545"/>
      <c r="N641" s="1545"/>
      <c r="O641" s="1539"/>
      <c r="P641" s="1539"/>
      <c r="Q641" s="1539"/>
      <c r="R641" s="1539"/>
      <c r="S641" s="1539"/>
      <c r="T641" s="1539"/>
      <c r="U641" s="1539"/>
      <c r="V641" s="1539"/>
      <c r="W641" s="1539"/>
      <c r="X641" s="1539"/>
      <c r="Y641" s="1539"/>
      <c r="Z641" s="1539"/>
      <c r="AA641" s="1539"/>
      <c r="AB641" s="1539"/>
      <c r="AC641" s="1539"/>
      <c r="AD641" s="1539"/>
      <c r="AE641" s="1539"/>
      <c r="AF641" s="1539"/>
      <c r="AG641" s="1539"/>
      <c r="AH641" s="1539"/>
      <c r="AI641" s="1539"/>
      <c r="AJ641" s="1539"/>
      <c r="AK641" s="1539"/>
      <c r="AL641" s="1539"/>
      <c r="AM641" s="1539"/>
      <c r="AN641" s="1539"/>
      <c r="AO641" s="1539"/>
      <c r="AP641" s="1539"/>
      <c r="AQ641" s="1539"/>
      <c r="AR641" s="1539"/>
      <c r="AS641" s="1539"/>
      <c r="AT641" s="1539"/>
      <c r="AU641" s="1539"/>
      <c r="AV641" s="1539"/>
      <c r="AW641" s="1539"/>
      <c r="AX641" s="1539"/>
      <c r="AY641" s="1539"/>
      <c r="AZ641" s="1539"/>
      <c r="BA641" s="1539"/>
      <c r="BB641" s="1539"/>
      <c r="BC641" s="1539"/>
      <c r="BD641" s="1539"/>
      <c r="BE641" s="1539"/>
      <c r="BF641" s="1539"/>
      <c r="BG641" s="1539"/>
      <c r="BH641" s="1539"/>
      <c r="BI641" s="1539"/>
      <c r="BJ641" s="1539"/>
      <c r="BK641" s="1539"/>
      <c r="BL641" s="1539"/>
      <c r="BM641" s="1539"/>
      <c r="BN641" s="1539"/>
      <c r="BO641" s="1539"/>
      <c r="BP641" s="1539"/>
      <c r="BQ641" s="1539"/>
      <c r="BR641" s="1539"/>
      <c r="BS641" s="1539"/>
      <c r="BT641" s="1539"/>
      <c r="BU641" s="1539"/>
      <c r="BV641" s="1539"/>
      <c r="BW641" s="1539"/>
      <c r="BX641" s="1539"/>
      <c r="BY641" s="1539"/>
      <c r="BZ641" s="1539"/>
      <c r="CA641" s="1539"/>
      <c r="CB641" s="1539"/>
      <c r="CC641" s="1539"/>
      <c r="CD641" s="1539"/>
      <c r="CE641" s="1539"/>
      <c r="CF641" s="1539"/>
      <c r="CG641" s="1539"/>
      <c r="CH641" s="1539"/>
      <c r="CI641" s="1539"/>
      <c r="CJ641" s="1539"/>
      <c r="CK641" s="1539"/>
      <c r="CL641" s="1539"/>
      <c r="CM641" s="1539"/>
      <c r="CN641" s="1539"/>
      <c r="CO641" s="1539"/>
    </row>
    <row r="642" spans="1:93" s="1542" customFormat="1" ht="15.5">
      <c r="A642" s="1598">
        <v>4</v>
      </c>
      <c r="B642" s="1599" t="s">
        <v>2627</v>
      </c>
      <c r="C642" s="1643" t="e">
        <f>+SUMIF(#REF!,Final!A642,#REF!)</f>
        <v>#REF!</v>
      </c>
      <c r="D642" s="1597" t="e">
        <f>+SUMIF(#REF!,Final!A642,#REF!)</f>
        <v>#REF!</v>
      </c>
      <c r="E642" s="1643" t="e">
        <f>SUMIF(#REF!,Final!A642,#REF!)</f>
        <v>#REF!</v>
      </c>
      <c r="F642" s="1644" t="e">
        <f>SUMIF(#REF!,Final!A642,#REF!)</f>
        <v>#REF!</v>
      </c>
      <c r="G642" s="1597" t="e">
        <f t="shared" si="36"/>
        <v>#REF!</v>
      </c>
      <c r="H642" s="1644" t="e">
        <f t="shared" si="37"/>
        <v>#REF!</v>
      </c>
      <c r="I642" s="1597" t="e">
        <f t="shared" si="38"/>
        <v>#REF!</v>
      </c>
      <c r="J642" s="1644" t="e">
        <f t="shared" si="39"/>
        <v>#REF!</v>
      </c>
      <c r="K642" s="1539"/>
      <c r="L642" s="1539"/>
      <c r="M642" s="1545"/>
      <c r="N642" s="1545"/>
      <c r="O642" s="1539"/>
      <c r="P642" s="1539"/>
      <c r="Q642" s="1539"/>
      <c r="R642" s="1539"/>
      <c r="S642" s="1539"/>
      <c r="T642" s="1539"/>
      <c r="U642" s="1539"/>
      <c r="V642" s="1539"/>
      <c r="W642" s="1539"/>
      <c r="X642" s="1539"/>
      <c r="Y642" s="1539"/>
      <c r="Z642" s="1539"/>
      <c r="AA642" s="1539"/>
      <c r="AB642" s="1539"/>
      <c r="AC642" s="1539"/>
      <c r="AD642" s="1539"/>
      <c r="AE642" s="1539"/>
      <c r="AF642" s="1539"/>
      <c r="AG642" s="1539"/>
      <c r="AH642" s="1539"/>
      <c r="AI642" s="1539"/>
      <c r="AJ642" s="1539"/>
      <c r="AK642" s="1539"/>
      <c r="AL642" s="1539"/>
      <c r="AM642" s="1539"/>
      <c r="AN642" s="1539"/>
      <c r="AO642" s="1539"/>
      <c r="AP642" s="1539"/>
      <c r="AQ642" s="1539"/>
      <c r="AR642" s="1539"/>
      <c r="AS642" s="1539"/>
      <c r="AT642" s="1539"/>
      <c r="AU642" s="1539"/>
      <c r="AV642" s="1539"/>
      <c r="AW642" s="1539"/>
      <c r="AX642" s="1539"/>
      <c r="AY642" s="1539"/>
      <c r="AZ642" s="1539"/>
      <c r="BA642" s="1539"/>
      <c r="BB642" s="1539"/>
      <c r="BC642" s="1539"/>
      <c r="BD642" s="1539"/>
      <c r="BE642" s="1539"/>
      <c r="BF642" s="1539"/>
      <c r="BG642" s="1539"/>
      <c r="BH642" s="1539"/>
      <c r="BI642" s="1539"/>
      <c r="BJ642" s="1539"/>
      <c r="BK642" s="1539"/>
      <c r="BL642" s="1539"/>
      <c r="BM642" s="1539"/>
      <c r="BN642" s="1539"/>
      <c r="BO642" s="1539"/>
      <c r="BP642" s="1539"/>
      <c r="BQ642" s="1539"/>
      <c r="BR642" s="1539"/>
      <c r="BS642" s="1539"/>
      <c r="BT642" s="1539"/>
      <c r="BU642" s="1539"/>
      <c r="BV642" s="1539"/>
      <c r="BW642" s="1539"/>
      <c r="BX642" s="1539"/>
      <c r="BY642" s="1539"/>
      <c r="BZ642" s="1539"/>
      <c r="CA642" s="1539"/>
      <c r="CB642" s="1539"/>
      <c r="CC642" s="1539"/>
      <c r="CD642" s="1539"/>
      <c r="CE642" s="1539"/>
      <c r="CF642" s="1539"/>
      <c r="CG642" s="1539"/>
      <c r="CH642" s="1539"/>
      <c r="CI642" s="1539"/>
      <c r="CJ642" s="1539"/>
      <c r="CK642" s="1539"/>
      <c r="CL642" s="1539"/>
      <c r="CM642" s="1539"/>
      <c r="CN642" s="1539"/>
      <c r="CO642" s="1539"/>
    </row>
    <row r="643" spans="1:93" s="1542" customFormat="1" ht="15.5">
      <c r="A643" s="1598" t="s">
        <v>1102</v>
      </c>
      <c r="B643" s="1599" t="s">
        <v>2628</v>
      </c>
      <c r="C643" s="1643" t="e">
        <f>+SUMIF(#REF!,Final!A643,#REF!)</f>
        <v>#REF!</v>
      </c>
      <c r="D643" s="1597" t="e">
        <f>+SUMIF(#REF!,Final!A643,#REF!)</f>
        <v>#REF!</v>
      </c>
      <c r="E643" s="1643" t="e">
        <f>SUMIF(#REF!,Final!A643,#REF!)</f>
        <v>#REF!</v>
      </c>
      <c r="F643" s="1644" t="e">
        <f>SUMIF(#REF!,Final!A643,#REF!)</f>
        <v>#REF!</v>
      </c>
      <c r="G643" s="1597" t="e">
        <f t="shared" si="36"/>
        <v>#REF!</v>
      </c>
      <c r="H643" s="1644" t="e">
        <f t="shared" si="37"/>
        <v>#REF!</v>
      </c>
      <c r="I643" s="1597" t="e">
        <f t="shared" si="38"/>
        <v>#REF!</v>
      </c>
      <c r="J643" s="1644" t="e">
        <f t="shared" si="39"/>
        <v>#REF!</v>
      </c>
      <c r="K643" s="1539"/>
      <c r="L643" s="1539"/>
      <c r="M643" s="1545"/>
      <c r="N643" s="1545"/>
      <c r="O643" s="1539"/>
      <c r="P643" s="1539"/>
      <c r="Q643" s="1539"/>
      <c r="R643" s="1539"/>
      <c r="S643" s="1539"/>
      <c r="T643" s="1539"/>
      <c r="U643" s="1539"/>
      <c r="V643" s="1539"/>
      <c r="W643" s="1539"/>
      <c r="X643" s="1539"/>
      <c r="Y643" s="1539"/>
      <c r="Z643" s="1539"/>
      <c r="AA643" s="1539"/>
      <c r="AB643" s="1539"/>
      <c r="AC643" s="1539"/>
      <c r="AD643" s="1539"/>
      <c r="AE643" s="1539"/>
      <c r="AF643" s="1539"/>
      <c r="AG643" s="1539"/>
      <c r="AH643" s="1539"/>
      <c r="AI643" s="1539"/>
      <c r="AJ643" s="1539"/>
      <c r="AK643" s="1539"/>
      <c r="AL643" s="1539"/>
      <c r="AM643" s="1539"/>
      <c r="AN643" s="1539"/>
      <c r="AO643" s="1539"/>
      <c r="AP643" s="1539"/>
      <c r="AQ643" s="1539"/>
      <c r="AR643" s="1539"/>
      <c r="AS643" s="1539"/>
      <c r="AT643" s="1539"/>
      <c r="AU643" s="1539"/>
      <c r="AV643" s="1539"/>
      <c r="AW643" s="1539"/>
      <c r="AX643" s="1539"/>
      <c r="AY643" s="1539"/>
      <c r="AZ643" s="1539"/>
      <c r="BA643" s="1539"/>
      <c r="BB643" s="1539"/>
      <c r="BC643" s="1539"/>
      <c r="BD643" s="1539"/>
      <c r="BE643" s="1539"/>
      <c r="BF643" s="1539"/>
      <c r="BG643" s="1539"/>
      <c r="BH643" s="1539"/>
      <c r="BI643" s="1539"/>
      <c r="BJ643" s="1539"/>
      <c r="BK643" s="1539"/>
      <c r="BL643" s="1539"/>
      <c r="BM643" s="1539"/>
      <c r="BN643" s="1539"/>
      <c r="BO643" s="1539"/>
      <c r="BP643" s="1539"/>
      <c r="BQ643" s="1539"/>
      <c r="BR643" s="1539"/>
      <c r="BS643" s="1539"/>
      <c r="BT643" s="1539"/>
      <c r="BU643" s="1539"/>
      <c r="BV643" s="1539"/>
      <c r="BW643" s="1539"/>
      <c r="BX643" s="1539"/>
      <c r="BY643" s="1539"/>
      <c r="BZ643" s="1539"/>
      <c r="CA643" s="1539"/>
      <c r="CB643" s="1539"/>
      <c r="CC643" s="1539"/>
      <c r="CD643" s="1539"/>
      <c r="CE643" s="1539"/>
      <c r="CF643" s="1539"/>
      <c r="CG643" s="1539"/>
      <c r="CH643" s="1539"/>
      <c r="CI643" s="1539"/>
      <c r="CJ643" s="1539"/>
      <c r="CK643" s="1539"/>
      <c r="CL643" s="1539"/>
      <c r="CM643" s="1539"/>
      <c r="CN643" s="1539"/>
      <c r="CO643" s="1539"/>
    </row>
    <row r="644" spans="1:93" s="1542" customFormat="1" ht="15.5">
      <c r="A644" s="1598" t="s">
        <v>441</v>
      </c>
      <c r="B644" s="1599" t="s">
        <v>2629</v>
      </c>
      <c r="C644" s="1643" t="e">
        <f>+SUMIF(#REF!,Final!A644,#REF!)</f>
        <v>#REF!</v>
      </c>
      <c r="D644" s="1597" t="e">
        <f>+SUMIF(#REF!,Final!A644,#REF!)</f>
        <v>#REF!</v>
      </c>
      <c r="E644" s="1643" t="e">
        <f>SUMIF(#REF!,Final!A644,#REF!)</f>
        <v>#REF!</v>
      </c>
      <c r="F644" s="1644" t="e">
        <f>SUMIF(#REF!,Final!A644,#REF!)</f>
        <v>#REF!</v>
      </c>
      <c r="G644" s="1597" t="e">
        <f t="shared" si="36"/>
        <v>#REF!</v>
      </c>
      <c r="H644" s="1644" t="e">
        <f t="shared" si="37"/>
        <v>#REF!</v>
      </c>
      <c r="I644" s="1597" t="e">
        <f t="shared" si="38"/>
        <v>#REF!</v>
      </c>
      <c r="J644" s="1644" t="e">
        <f t="shared" si="39"/>
        <v>#REF!</v>
      </c>
      <c r="K644" s="1539"/>
      <c r="L644" s="1539"/>
      <c r="M644" s="1545"/>
      <c r="N644" s="1545"/>
      <c r="O644" s="1539"/>
      <c r="P644" s="1539"/>
      <c r="Q644" s="1539"/>
      <c r="R644" s="1539"/>
      <c r="S644" s="1539"/>
      <c r="T644" s="1539"/>
      <c r="U644" s="1539"/>
      <c r="V644" s="1539"/>
      <c r="W644" s="1539"/>
      <c r="X644" s="1539"/>
      <c r="Y644" s="1539"/>
      <c r="Z644" s="1539"/>
      <c r="AA644" s="1539"/>
      <c r="AB644" s="1539"/>
      <c r="AC644" s="1539"/>
      <c r="AD644" s="1539"/>
      <c r="AE644" s="1539"/>
      <c r="AF644" s="1539"/>
      <c r="AG644" s="1539"/>
      <c r="AH644" s="1539"/>
      <c r="AI644" s="1539"/>
      <c r="AJ644" s="1539"/>
      <c r="AK644" s="1539"/>
      <c r="AL644" s="1539"/>
      <c r="AM644" s="1539"/>
      <c r="AN644" s="1539"/>
      <c r="AO644" s="1539"/>
      <c r="AP644" s="1539"/>
      <c r="AQ644" s="1539"/>
      <c r="AR644" s="1539"/>
      <c r="AS644" s="1539"/>
      <c r="AT644" s="1539"/>
      <c r="AU644" s="1539"/>
      <c r="AV644" s="1539"/>
      <c r="AW644" s="1539"/>
      <c r="AX644" s="1539"/>
      <c r="AY644" s="1539"/>
      <c r="AZ644" s="1539"/>
      <c r="BA644" s="1539"/>
      <c r="BB644" s="1539"/>
      <c r="BC644" s="1539"/>
      <c r="BD644" s="1539"/>
      <c r="BE644" s="1539"/>
      <c r="BF644" s="1539"/>
      <c r="BG644" s="1539"/>
      <c r="BH644" s="1539"/>
      <c r="BI644" s="1539"/>
      <c r="BJ644" s="1539"/>
      <c r="BK644" s="1539"/>
      <c r="BL644" s="1539"/>
      <c r="BM644" s="1539"/>
      <c r="BN644" s="1539"/>
      <c r="BO644" s="1539"/>
      <c r="BP644" s="1539"/>
      <c r="BQ644" s="1539"/>
      <c r="BR644" s="1539"/>
      <c r="BS644" s="1539"/>
      <c r="BT644" s="1539"/>
      <c r="BU644" s="1539"/>
      <c r="BV644" s="1539"/>
      <c r="BW644" s="1539"/>
      <c r="BX644" s="1539"/>
      <c r="BY644" s="1539"/>
      <c r="BZ644" s="1539"/>
      <c r="CA644" s="1539"/>
      <c r="CB644" s="1539"/>
      <c r="CC644" s="1539"/>
      <c r="CD644" s="1539"/>
      <c r="CE644" s="1539"/>
      <c r="CF644" s="1539"/>
      <c r="CG644" s="1539"/>
      <c r="CH644" s="1539"/>
      <c r="CI644" s="1539"/>
      <c r="CJ644" s="1539"/>
      <c r="CK644" s="1539"/>
      <c r="CL644" s="1539"/>
      <c r="CM644" s="1539"/>
      <c r="CN644" s="1539"/>
      <c r="CO644" s="1539"/>
    </row>
    <row r="645" spans="1:93" ht="15.5">
      <c r="A645" s="1598">
        <v>22.201000000000001</v>
      </c>
      <c r="B645" s="1599" t="s">
        <v>2630</v>
      </c>
      <c r="C645" s="1643" t="e">
        <f>+SUMIF(#REF!,Final!A645,#REF!)</f>
        <v>#REF!</v>
      </c>
      <c r="D645" s="1597" t="e">
        <f>+SUMIF(#REF!,Final!A645,#REF!)</f>
        <v>#REF!</v>
      </c>
      <c r="E645" s="1643" t="e">
        <f>SUMIF(#REF!,Final!A645,#REF!)</f>
        <v>#REF!</v>
      </c>
      <c r="F645" s="1644" t="e">
        <f>SUMIF(#REF!,Final!A645,#REF!)</f>
        <v>#REF!</v>
      </c>
      <c r="G645" s="1597" t="e">
        <f t="shared" si="36"/>
        <v>#REF!</v>
      </c>
      <c r="H645" s="1644" t="e">
        <f t="shared" si="37"/>
        <v>#REF!</v>
      </c>
      <c r="I645" s="1597" t="e">
        <f t="shared" si="38"/>
        <v>#REF!</v>
      </c>
      <c r="J645" s="1644" t="e">
        <f t="shared" si="39"/>
        <v>#REF!</v>
      </c>
      <c r="M645" s="1545"/>
      <c r="N645" s="1545"/>
    </row>
    <row r="646" spans="1:93" ht="15.5">
      <c r="A646" s="1598">
        <v>22.202999999999999</v>
      </c>
      <c r="B646" s="1599" t="s">
        <v>2631</v>
      </c>
      <c r="C646" s="1643" t="e">
        <f>+SUMIF(#REF!,Final!A646,#REF!)</f>
        <v>#REF!</v>
      </c>
      <c r="D646" s="1597" t="e">
        <f>+SUMIF(#REF!,Final!A646,#REF!)</f>
        <v>#REF!</v>
      </c>
      <c r="E646" s="1643" t="e">
        <f>SUMIF(#REF!,Final!A646,#REF!)</f>
        <v>#REF!</v>
      </c>
      <c r="F646" s="1644" t="e">
        <f>SUMIF(#REF!,Final!A646,#REF!)</f>
        <v>#REF!</v>
      </c>
      <c r="G646" s="1597" t="e">
        <f t="shared" si="36"/>
        <v>#REF!</v>
      </c>
      <c r="H646" s="1644" t="e">
        <f t="shared" si="37"/>
        <v>#REF!</v>
      </c>
      <c r="I646" s="1597" t="e">
        <f t="shared" si="38"/>
        <v>#REF!</v>
      </c>
      <c r="J646" s="1644" t="e">
        <f t="shared" si="39"/>
        <v>#REF!</v>
      </c>
      <c r="M646" s="1545"/>
      <c r="N646" s="1545"/>
    </row>
    <row r="647" spans="1:93" ht="15.5">
      <c r="A647" s="1598">
        <v>22.204000000000001</v>
      </c>
      <c r="B647" s="1599" t="s">
        <v>2632</v>
      </c>
      <c r="C647" s="1643" t="e">
        <f>+SUMIF(#REF!,Final!A647,#REF!)</f>
        <v>#REF!</v>
      </c>
      <c r="D647" s="1597" t="e">
        <f>+SUMIF(#REF!,Final!A647,#REF!)</f>
        <v>#REF!</v>
      </c>
      <c r="E647" s="1643" t="e">
        <f>SUMIF(#REF!,Final!A647,#REF!)</f>
        <v>#REF!</v>
      </c>
      <c r="F647" s="1644" t="e">
        <f>SUMIF(#REF!,Final!A647,#REF!)</f>
        <v>#REF!</v>
      </c>
      <c r="G647" s="1597" t="e">
        <f t="shared" si="36"/>
        <v>#REF!</v>
      </c>
      <c r="H647" s="1644" t="e">
        <f t="shared" si="37"/>
        <v>#REF!</v>
      </c>
      <c r="I647" s="1597" t="e">
        <f t="shared" si="38"/>
        <v>#REF!</v>
      </c>
      <c r="J647" s="1644" t="e">
        <f t="shared" si="39"/>
        <v>#REF!</v>
      </c>
      <c r="M647" s="1545"/>
      <c r="N647" s="1545"/>
    </row>
    <row r="648" spans="1:93" ht="15.5">
      <c r="A648" s="1598">
        <v>22.204999999999998</v>
      </c>
      <c r="B648" s="1599" t="s">
        <v>2633</v>
      </c>
      <c r="C648" s="1643" t="e">
        <f>+SUMIF(#REF!,Final!A648,#REF!)</f>
        <v>#REF!</v>
      </c>
      <c r="D648" s="1597" t="e">
        <f>+SUMIF(#REF!,Final!A648,#REF!)</f>
        <v>#REF!</v>
      </c>
      <c r="E648" s="1643" t="e">
        <f>SUMIF(#REF!,Final!A648,#REF!)</f>
        <v>#REF!</v>
      </c>
      <c r="F648" s="1644" t="e">
        <f>SUMIF(#REF!,Final!A648,#REF!)</f>
        <v>#REF!</v>
      </c>
      <c r="G648" s="1597" t="e">
        <f t="shared" si="36"/>
        <v>#REF!</v>
      </c>
      <c r="H648" s="1644" t="e">
        <f t="shared" si="37"/>
        <v>#REF!</v>
      </c>
      <c r="I648" s="1597" t="e">
        <f t="shared" si="38"/>
        <v>#REF!</v>
      </c>
      <c r="J648" s="1644" t="e">
        <f t="shared" si="39"/>
        <v>#REF!</v>
      </c>
      <c r="M648" s="1545"/>
      <c r="N648" s="1545"/>
    </row>
    <row r="649" spans="1:93" ht="15.5">
      <c r="A649" s="1598">
        <v>22.206</v>
      </c>
      <c r="B649" s="1599" t="s">
        <v>2634</v>
      </c>
      <c r="C649" s="1643" t="e">
        <f>+SUMIF(#REF!,Final!A649,#REF!)</f>
        <v>#REF!</v>
      </c>
      <c r="D649" s="1597" t="e">
        <f>+SUMIF(#REF!,Final!A649,#REF!)</f>
        <v>#REF!</v>
      </c>
      <c r="E649" s="1643" t="e">
        <f>SUMIF(#REF!,Final!A649,#REF!)</f>
        <v>#REF!</v>
      </c>
      <c r="F649" s="1644" t="e">
        <f>SUMIF(#REF!,Final!A649,#REF!)</f>
        <v>#REF!</v>
      </c>
      <c r="G649" s="1597" t="e">
        <f t="shared" si="36"/>
        <v>#REF!</v>
      </c>
      <c r="H649" s="1644" t="e">
        <f t="shared" si="37"/>
        <v>#REF!</v>
      </c>
      <c r="I649" s="1597" t="e">
        <f t="shared" si="38"/>
        <v>#REF!</v>
      </c>
      <c r="J649" s="1644" t="e">
        <f t="shared" si="39"/>
        <v>#REF!</v>
      </c>
      <c r="M649" s="1545"/>
      <c r="N649" s="1545"/>
    </row>
    <row r="650" spans="1:93" ht="15.5">
      <c r="A650" s="1598">
        <v>22.207000000000001</v>
      </c>
      <c r="B650" s="1599" t="s">
        <v>2635</v>
      </c>
      <c r="C650" s="1643" t="e">
        <f>+SUMIF(#REF!,Final!A650,#REF!)</f>
        <v>#REF!</v>
      </c>
      <c r="D650" s="1597" t="e">
        <f>+SUMIF(#REF!,Final!A650,#REF!)</f>
        <v>#REF!</v>
      </c>
      <c r="E650" s="1643" t="e">
        <f>SUMIF(#REF!,Final!A650,#REF!)</f>
        <v>#REF!</v>
      </c>
      <c r="F650" s="1644" t="e">
        <f>SUMIF(#REF!,Final!A650,#REF!)</f>
        <v>#REF!</v>
      </c>
      <c r="G650" s="1597" t="e">
        <f t="shared" si="36"/>
        <v>#REF!</v>
      </c>
      <c r="H650" s="1644" t="e">
        <f t="shared" si="37"/>
        <v>#REF!</v>
      </c>
      <c r="I650" s="1597" t="e">
        <f t="shared" si="38"/>
        <v>#REF!</v>
      </c>
      <c r="J650" s="1644" t="e">
        <f t="shared" si="39"/>
        <v>#REF!</v>
      </c>
      <c r="M650" s="1545"/>
      <c r="N650" s="1545"/>
    </row>
    <row r="651" spans="1:93" ht="15.5">
      <c r="A651" s="1598">
        <v>22.207999999999998</v>
      </c>
      <c r="B651" s="1599" t="s">
        <v>2636</v>
      </c>
      <c r="C651" s="1643" t="e">
        <f>+SUMIF(#REF!,Final!A651,#REF!)</f>
        <v>#REF!</v>
      </c>
      <c r="D651" s="1597" t="e">
        <f>+SUMIF(#REF!,Final!A651,#REF!)</f>
        <v>#REF!</v>
      </c>
      <c r="E651" s="1643" t="e">
        <f>SUMIF(#REF!,Final!A651,#REF!)</f>
        <v>#REF!</v>
      </c>
      <c r="F651" s="1644" t="e">
        <f>SUMIF(#REF!,Final!A651,#REF!)</f>
        <v>#REF!</v>
      </c>
      <c r="G651" s="1597" t="e">
        <f t="shared" si="36"/>
        <v>#REF!</v>
      </c>
      <c r="H651" s="1644" t="e">
        <f t="shared" si="37"/>
        <v>#REF!</v>
      </c>
      <c r="I651" s="1597" t="e">
        <f t="shared" si="38"/>
        <v>#REF!</v>
      </c>
      <c r="J651" s="1644" t="e">
        <f t="shared" si="39"/>
        <v>#REF!</v>
      </c>
      <c r="M651" s="1545"/>
      <c r="N651" s="1545"/>
    </row>
    <row r="652" spans="1:93" ht="15.5">
      <c r="A652" s="1598">
        <v>22.209</v>
      </c>
      <c r="B652" s="1599" t="s">
        <v>2637</v>
      </c>
      <c r="C652" s="1643" t="e">
        <f>+SUMIF(#REF!,Final!A652,#REF!)</f>
        <v>#REF!</v>
      </c>
      <c r="D652" s="1597" t="e">
        <f>+SUMIF(#REF!,Final!A652,#REF!)</f>
        <v>#REF!</v>
      </c>
      <c r="E652" s="1643" t="e">
        <f>SUMIF(#REF!,Final!A652,#REF!)</f>
        <v>#REF!</v>
      </c>
      <c r="F652" s="1644" t="e">
        <f>SUMIF(#REF!,Final!A652,#REF!)</f>
        <v>#REF!</v>
      </c>
      <c r="G652" s="1597" t="e">
        <f t="shared" si="36"/>
        <v>#REF!</v>
      </c>
      <c r="H652" s="1644" t="e">
        <f t="shared" si="37"/>
        <v>#REF!</v>
      </c>
      <c r="I652" s="1597" t="e">
        <f t="shared" si="38"/>
        <v>#REF!</v>
      </c>
      <c r="J652" s="1644" t="e">
        <f t="shared" si="39"/>
        <v>#REF!</v>
      </c>
      <c r="M652" s="1545"/>
      <c r="N652" s="1545"/>
    </row>
    <row r="653" spans="1:93" ht="15.5">
      <c r="A653" s="1600">
        <v>22.21</v>
      </c>
      <c r="B653" s="1599" t="s">
        <v>2638</v>
      </c>
      <c r="C653" s="1643" t="e">
        <f>+SUMIF(#REF!,Final!A653,#REF!)</f>
        <v>#REF!</v>
      </c>
      <c r="D653" s="1597" t="e">
        <f>+SUMIF(#REF!,Final!A653,#REF!)</f>
        <v>#REF!</v>
      </c>
      <c r="E653" s="1643" t="e">
        <f>SUMIF(#REF!,Final!A653,#REF!)</f>
        <v>#REF!</v>
      </c>
      <c r="F653" s="1644" t="e">
        <f>SUMIF(#REF!,Final!A653,#REF!)</f>
        <v>#REF!</v>
      </c>
      <c r="G653" s="1597" t="e">
        <f t="shared" si="36"/>
        <v>#REF!</v>
      </c>
      <c r="H653" s="1644" t="e">
        <f t="shared" si="37"/>
        <v>#REF!</v>
      </c>
      <c r="I653" s="1597" t="e">
        <f t="shared" si="38"/>
        <v>#REF!</v>
      </c>
      <c r="J653" s="1644" t="e">
        <f t="shared" si="39"/>
        <v>#REF!</v>
      </c>
      <c r="M653" s="1545"/>
      <c r="N653" s="1545"/>
    </row>
    <row r="654" spans="1:93" ht="15.5">
      <c r="A654" s="1598">
        <v>22.213000000000001</v>
      </c>
      <c r="B654" s="1599" t="s">
        <v>2639</v>
      </c>
      <c r="C654" s="1643" t="e">
        <f>+SUMIF(#REF!,Final!A654,#REF!)</f>
        <v>#REF!</v>
      </c>
      <c r="D654" s="1597" t="e">
        <f>+SUMIF(#REF!,Final!A654,#REF!)</f>
        <v>#REF!</v>
      </c>
      <c r="E654" s="1643" t="e">
        <f>SUMIF(#REF!,Final!A654,#REF!)</f>
        <v>#REF!</v>
      </c>
      <c r="F654" s="1644" t="e">
        <f>SUMIF(#REF!,Final!A654,#REF!)</f>
        <v>#REF!</v>
      </c>
      <c r="G654" s="1597" t="e">
        <f t="shared" si="36"/>
        <v>#REF!</v>
      </c>
      <c r="H654" s="1644" t="e">
        <f t="shared" si="37"/>
        <v>#REF!</v>
      </c>
      <c r="I654" s="1597" t="e">
        <f t="shared" si="38"/>
        <v>#REF!</v>
      </c>
      <c r="J654" s="1644" t="e">
        <f t="shared" si="39"/>
        <v>#REF!</v>
      </c>
      <c r="M654" s="1545"/>
      <c r="N654" s="1545"/>
    </row>
    <row r="655" spans="1:93" ht="15.5">
      <c r="A655" s="1678">
        <v>22.213999999999999</v>
      </c>
      <c r="B655" s="1697" t="s">
        <v>2631</v>
      </c>
      <c r="C655" s="1643" t="e">
        <f>+SUMIF(#REF!,Final!A655,#REF!)</f>
        <v>#REF!</v>
      </c>
      <c r="D655" s="1597" t="e">
        <f>+SUMIF(#REF!,Final!A655,#REF!)</f>
        <v>#REF!</v>
      </c>
      <c r="E655" s="1643" t="e">
        <f>SUMIF(#REF!,Final!A655,#REF!)</f>
        <v>#REF!</v>
      </c>
      <c r="F655" s="1644" t="e">
        <f>SUMIF(#REF!,Final!A655,#REF!)</f>
        <v>#REF!</v>
      </c>
      <c r="G655" s="1597" t="e">
        <f t="shared" si="36"/>
        <v>#REF!</v>
      </c>
      <c r="H655" s="1644" t="e">
        <f t="shared" si="37"/>
        <v>#REF!</v>
      </c>
      <c r="I655" s="1597" t="e">
        <f t="shared" si="38"/>
        <v>#REF!</v>
      </c>
      <c r="J655" s="1644" t="e">
        <f t="shared" si="39"/>
        <v>#REF!</v>
      </c>
      <c r="M655" s="1545"/>
      <c r="N655" s="1545"/>
    </row>
    <row r="656" spans="1:93" ht="15.5">
      <c r="A656" s="1678">
        <v>22.215</v>
      </c>
      <c r="B656" s="1697" t="s">
        <v>2632</v>
      </c>
      <c r="C656" s="1643" t="e">
        <f>+SUMIF(#REF!,Final!A656,#REF!)</f>
        <v>#REF!</v>
      </c>
      <c r="D656" s="1597" t="e">
        <f>+SUMIF(#REF!,Final!A656,#REF!)</f>
        <v>#REF!</v>
      </c>
      <c r="E656" s="1643" t="e">
        <f>SUMIF(#REF!,Final!A656,#REF!)</f>
        <v>#REF!</v>
      </c>
      <c r="F656" s="1644" t="e">
        <f>SUMIF(#REF!,Final!A656,#REF!)</f>
        <v>#REF!</v>
      </c>
      <c r="G656" s="1597" t="e">
        <f t="shared" si="36"/>
        <v>#REF!</v>
      </c>
      <c r="H656" s="1644" t="e">
        <f t="shared" si="37"/>
        <v>#REF!</v>
      </c>
      <c r="I656" s="1597" t="e">
        <f t="shared" si="38"/>
        <v>#REF!</v>
      </c>
      <c r="J656" s="1644" t="e">
        <f t="shared" si="39"/>
        <v>#REF!</v>
      </c>
      <c r="M656" s="1545"/>
      <c r="N656" s="1545"/>
    </row>
    <row r="657" spans="1:14" ht="15.5">
      <c r="A657" s="1678">
        <v>22.216000000000001</v>
      </c>
      <c r="B657" s="1697" t="s">
        <v>2633</v>
      </c>
      <c r="C657" s="1643" t="e">
        <f>+SUMIF(#REF!,Final!A657,#REF!)</f>
        <v>#REF!</v>
      </c>
      <c r="D657" s="1597" t="e">
        <f>+SUMIF(#REF!,Final!A657,#REF!)</f>
        <v>#REF!</v>
      </c>
      <c r="E657" s="1643" t="e">
        <f>SUMIF(#REF!,Final!A657,#REF!)</f>
        <v>#REF!</v>
      </c>
      <c r="F657" s="1644" t="e">
        <f>SUMIF(#REF!,Final!A657,#REF!)</f>
        <v>#REF!</v>
      </c>
      <c r="G657" s="1597" t="e">
        <f t="shared" si="36"/>
        <v>#REF!</v>
      </c>
      <c r="H657" s="1644" t="e">
        <f t="shared" si="37"/>
        <v>#REF!</v>
      </c>
      <c r="I657" s="1597" t="e">
        <f t="shared" si="38"/>
        <v>#REF!</v>
      </c>
      <c r="J657" s="1644" t="e">
        <f t="shared" si="39"/>
        <v>#REF!</v>
      </c>
      <c r="M657" s="1545"/>
      <c r="N657" s="1545"/>
    </row>
    <row r="658" spans="1:14" ht="15.5">
      <c r="A658" s="1678">
        <v>22.216999999999999</v>
      </c>
      <c r="B658" s="1697" t="s">
        <v>2634</v>
      </c>
      <c r="C658" s="1643" t="e">
        <f>+SUMIF(#REF!,Final!A658,#REF!)</f>
        <v>#REF!</v>
      </c>
      <c r="D658" s="1597" t="e">
        <f>+SUMIF(#REF!,Final!A658,#REF!)</f>
        <v>#REF!</v>
      </c>
      <c r="E658" s="1643" t="e">
        <f>SUMIF(#REF!,Final!A658,#REF!)</f>
        <v>#REF!</v>
      </c>
      <c r="F658" s="1644" t="e">
        <f>SUMIF(#REF!,Final!A658,#REF!)</f>
        <v>#REF!</v>
      </c>
      <c r="G658" s="1597" t="e">
        <f t="shared" si="36"/>
        <v>#REF!</v>
      </c>
      <c r="H658" s="1644" t="e">
        <f t="shared" si="37"/>
        <v>#REF!</v>
      </c>
      <c r="I658" s="1597" t="e">
        <f t="shared" si="38"/>
        <v>#REF!</v>
      </c>
      <c r="J658" s="1644" t="e">
        <f t="shared" si="39"/>
        <v>#REF!</v>
      </c>
      <c r="M658" s="1545"/>
      <c r="N658" s="1545"/>
    </row>
    <row r="659" spans="1:14" ht="15.5">
      <c r="A659" s="1678">
        <v>22.218</v>
      </c>
      <c r="B659" s="1697" t="s">
        <v>4891</v>
      </c>
      <c r="C659" s="1643" t="e">
        <f>+SUMIF(#REF!,Final!A659,#REF!)</f>
        <v>#REF!</v>
      </c>
      <c r="D659" s="1597" t="e">
        <f>+SUMIF(#REF!,Final!A659,#REF!)</f>
        <v>#REF!</v>
      </c>
      <c r="E659" s="1643" t="e">
        <f>SUMIF(#REF!,Final!A659,#REF!)</f>
        <v>#REF!</v>
      </c>
      <c r="F659" s="1644" t="e">
        <f>SUMIF(#REF!,Final!A659,#REF!)</f>
        <v>#REF!</v>
      </c>
      <c r="G659" s="1597" t="e">
        <f t="shared" si="36"/>
        <v>#REF!</v>
      </c>
      <c r="H659" s="1644" t="e">
        <f t="shared" si="37"/>
        <v>#REF!</v>
      </c>
      <c r="I659" s="1597" t="e">
        <f t="shared" si="38"/>
        <v>#REF!</v>
      </c>
      <c r="J659" s="1644" t="e">
        <f t="shared" si="39"/>
        <v>#REF!</v>
      </c>
      <c r="M659" s="1545"/>
      <c r="N659" s="1545"/>
    </row>
    <row r="660" spans="1:14" ht="15.5">
      <c r="A660" s="1598">
        <v>22.219000000000001</v>
      </c>
      <c r="B660" s="1599" t="s">
        <v>2640</v>
      </c>
      <c r="C660" s="1643" t="e">
        <f>+SUMIF(#REF!,Final!A660,#REF!)</f>
        <v>#REF!</v>
      </c>
      <c r="D660" s="1597" t="e">
        <f>+SUMIF(#REF!,Final!A660,#REF!)</f>
        <v>#REF!</v>
      </c>
      <c r="E660" s="1643" t="e">
        <f>SUMIF(#REF!,Final!A660,#REF!)</f>
        <v>#REF!</v>
      </c>
      <c r="F660" s="1644" t="e">
        <f>SUMIF(#REF!,Final!A660,#REF!)</f>
        <v>#REF!</v>
      </c>
      <c r="G660" s="1597" t="e">
        <f t="shared" si="36"/>
        <v>#REF!</v>
      </c>
      <c r="H660" s="1644" t="e">
        <f t="shared" si="37"/>
        <v>#REF!</v>
      </c>
      <c r="I660" s="1597" t="e">
        <f t="shared" si="38"/>
        <v>#REF!</v>
      </c>
      <c r="J660" s="1644" t="e">
        <f t="shared" si="39"/>
        <v>#REF!</v>
      </c>
      <c r="M660" s="1545"/>
      <c r="N660" s="1545"/>
    </row>
    <row r="661" spans="1:14" ht="15.5">
      <c r="A661" s="1684" t="s">
        <v>4892</v>
      </c>
      <c r="B661" s="1703" t="s">
        <v>2630</v>
      </c>
      <c r="C661" s="1643" t="e">
        <f>+SUMIF(#REF!,Final!A661,#REF!)</f>
        <v>#REF!</v>
      </c>
      <c r="D661" s="1597" t="e">
        <f>+SUMIF(#REF!,Final!A661,#REF!)</f>
        <v>#REF!</v>
      </c>
      <c r="E661" s="1643" t="e">
        <f>SUMIF(#REF!,Final!A661,#REF!)</f>
        <v>#REF!</v>
      </c>
      <c r="F661" s="1644" t="e">
        <f>SUMIF(#REF!,Final!A661,#REF!)</f>
        <v>#REF!</v>
      </c>
      <c r="G661" s="1597" t="e">
        <f t="shared" si="36"/>
        <v>#REF!</v>
      </c>
      <c r="H661" s="1644" t="e">
        <f t="shared" si="37"/>
        <v>#REF!</v>
      </c>
      <c r="I661" s="1597" t="e">
        <f t="shared" si="38"/>
        <v>#REF!</v>
      </c>
      <c r="J661" s="1644" t="e">
        <f t="shared" si="39"/>
        <v>#REF!</v>
      </c>
      <c r="M661" s="1545"/>
      <c r="N661" s="1545"/>
    </row>
    <row r="662" spans="1:14" ht="15.5">
      <c r="A662" s="1684" t="s">
        <v>4893</v>
      </c>
      <c r="B662" s="1703" t="s">
        <v>2631</v>
      </c>
      <c r="C662" s="1643" t="e">
        <f>+SUMIF(#REF!,Final!A662,#REF!)</f>
        <v>#REF!</v>
      </c>
      <c r="D662" s="1597" t="e">
        <f>+SUMIF(#REF!,Final!A662,#REF!)</f>
        <v>#REF!</v>
      </c>
      <c r="E662" s="1643" t="e">
        <f>SUMIF(#REF!,Final!A662,#REF!)</f>
        <v>#REF!</v>
      </c>
      <c r="F662" s="1644" t="e">
        <f>SUMIF(#REF!,Final!A662,#REF!)</f>
        <v>#REF!</v>
      </c>
      <c r="G662" s="1597" t="e">
        <f t="shared" ref="G662:G746" si="44">C662+E662</f>
        <v>#REF!</v>
      </c>
      <c r="H662" s="1644" t="e">
        <f t="shared" ref="H662:H746" si="45">D662+F662</f>
        <v>#REF!</v>
      </c>
      <c r="I662" s="1597" t="e">
        <f t="shared" ref="I662:I746" si="46">IF(G662&gt;H662,G662-H662,0)</f>
        <v>#REF!</v>
      </c>
      <c r="J662" s="1644" t="e">
        <f t="shared" ref="J662:J746" si="47">IF(H662&gt;G662,H662-G662,0)</f>
        <v>#REF!</v>
      </c>
      <c r="M662" s="1545"/>
      <c r="N662" s="1545"/>
    </row>
    <row r="663" spans="1:14" ht="15.5">
      <c r="A663" s="1684" t="s">
        <v>4894</v>
      </c>
      <c r="B663" s="1703" t="s">
        <v>2632</v>
      </c>
      <c r="C663" s="1643" t="e">
        <f>+SUMIF(#REF!,Final!A663,#REF!)</f>
        <v>#REF!</v>
      </c>
      <c r="D663" s="1597" t="e">
        <f>+SUMIF(#REF!,Final!A663,#REF!)</f>
        <v>#REF!</v>
      </c>
      <c r="E663" s="1643" t="e">
        <f>SUMIF(#REF!,Final!A663,#REF!)</f>
        <v>#REF!</v>
      </c>
      <c r="F663" s="1644" t="e">
        <f>SUMIF(#REF!,Final!A663,#REF!)</f>
        <v>#REF!</v>
      </c>
      <c r="G663" s="1597" t="e">
        <f t="shared" si="44"/>
        <v>#REF!</v>
      </c>
      <c r="H663" s="1644" t="e">
        <f t="shared" si="45"/>
        <v>#REF!</v>
      </c>
      <c r="I663" s="1597" t="e">
        <f t="shared" si="46"/>
        <v>#REF!</v>
      </c>
      <c r="J663" s="1644" t="e">
        <f t="shared" si="47"/>
        <v>#REF!</v>
      </c>
      <c r="M663" s="1545"/>
      <c r="N663" s="1545"/>
    </row>
    <row r="664" spans="1:14" ht="15.5">
      <c r="A664" s="1684" t="s">
        <v>4895</v>
      </c>
      <c r="B664" s="1703" t="s">
        <v>2633</v>
      </c>
      <c r="C664" s="1643" t="e">
        <f>+SUMIF(#REF!,Final!A664,#REF!)</f>
        <v>#REF!</v>
      </c>
      <c r="D664" s="1597" t="e">
        <f>+SUMIF(#REF!,Final!A664,#REF!)</f>
        <v>#REF!</v>
      </c>
      <c r="E664" s="1643" t="e">
        <f>SUMIF(#REF!,Final!A664,#REF!)</f>
        <v>#REF!</v>
      </c>
      <c r="F664" s="1644" t="e">
        <f>SUMIF(#REF!,Final!A664,#REF!)</f>
        <v>#REF!</v>
      </c>
      <c r="G664" s="1597" t="e">
        <f t="shared" si="44"/>
        <v>#REF!</v>
      </c>
      <c r="H664" s="1644" t="e">
        <f t="shared" si="45"/>
        <v>#REF!</v>
      </c>
      <c r="I664" s="1597" t="e">
        <f t="shared" si="46"/>
        <v>#REF!</v>
      </c>
      <c r="J664" s="1644" t="e">
        <f t="shared" si="47"/>
        <v>#REF!</v>
      </c>
      <c r="M664" s="1545"/>
      <c r="N664" s="1545"/>
    </row>
    <row r="665" spans="1:14" ht="15.5">
      <c r="A665" s="1684" t="s">
        <v>4896</v>
      </c>
      <c r="B665" s="1703" t="s">
        <v>2634</v>
      </c>
      <c r="C665" s="1643" t="e">
        <f>+SUMIF(#REF!,Final!A665,#REF!)</f>
        <v>#REF!</v>
      </c>
      <c r="D665" s="1597" t="e">
        <f>+SUMIF(#REF!,Final!A665,#REF!)</f>
        <v>#REF!</v>
      </c>
      <c r="E665" s="1643" t="e">
        <f>SUMIF(#REF!,Final!A665,#REF!)</f>
        <v>#REF!</v>
      </c>
      <c r="F665" s="1644" t="e">
        <f>SUMIF(#REF!,Final!A665,#REF!)</f>
        <v>#REF!</v>
      </c>
      <c r="G665" s="1597" t="e">
        <f t="shared" si="44"/>
        <v>#REF!</v>
      </c>
      <c r="H665" s="1644" t="e">
        <f t="shared" si="45"/>
        <v>#REF!</v>
      </c>
      <c r="I665" s="1597" t="e">
        <f t="shared" si="46"/>
        <v>#REF!</v>
      </c>
      <c r="J665" s="1644" t="e">
        <f t="shared" si="47"/>
        <v>#REF!</v>
      </c>
      <c r="M665" s="1545"/>
      <c r="N665" s="1545"/>
    </row>
    <row r="666" spans="1:14" ht="15.5">
      <c r="A666" s="1684" t="s">
        <v>4897</v>
      </c>
      <c r="B666" s="1703" t="s">
        <v>2635</v>
      </c>
      <c r="C666" s="1643" t="e">
        <f>+SUMIF(#REF!,Final!A666,#REF!)</f>
        <v>#REF!</v>
      </c>
      <c r="D666" s="1597" t="e">
        <f>+SUMIF(#REF!,Final!A666,#REF!)</f>
        <v>#REF!</v>
      </c>
      <c r="E666" s="1643" t="e">
        <f>SUMIF(#REF!,Final!A666,#REF!)</f>
        <v>#REF!</v>
      </c>
      <c r="F666" s="1644" t="e">
        <f>SUMIF(#REF!,Final!A666,#REF!)</f>
        <v>#REF!</v>
      </c>
      <c r="G666" s="1597" t="e">
        <f t="shared" si="44"/>
        <v>#REF!</v>
      </c>
      <c r="H666" s="1644" t="e">
        <f t="shared" si="45"/>
        <v>#REF!</v>
      </c>
      <c r="I666" s="1597" t="e">
        <f t="shared" si="46"/>
        <v>#REF!</v>
      </c>
      <c r="J666" s="1644" t="e">
        <f t="shared" si="47"/>
        <v>#REF!</v>
      </c>
      <c r="M666" s="1545"/>
      <c r="N666" s="1545"/>
    </row>
    <row r="667" spans="1:14" ht="15.5">
      <c r="A667" s="1684" t="s">
        <v>4898</v>
      </c>
      <c r="B667" s="1703" t="s">
        <v>2636</v>
      </c>
      <c r="C667" s="1643" t="e">
        <f>+SUMIF(#REF!,Final!A667,#REF!)</f>
        <v>#REF!</v>
      </c>
      <c r="D667" s="1597" t="e">
        <f>+SUMIF(#REF!,Final!A667,#REF!)</f>
        <v>#REF!</v>
      </c>
      <c r="E667" s="1643" t="e">
        <f>SUMIF(#REF!,Final!A667,#REF!)</f>
        <v>#REF!</v>
      </c>
      <c r="F667" s="1644" t="e">
        <f>SUMIF(#REF!,Final!A667,#REF!)</f>
        <v>#REF!</v>
      </c>
      <c r="G667" s="1597" t="e">
        <f t="shared" si="44"/>
        <v>#REF!</v>
      </c>
      <c r="H667" s="1644" t="e">
        <f t="shared" si="45"/>
        <v>#REF!</v>
      </c>
      <c r="I667" s="1597" t="e">
        <f t="shared" si="46"/>
        <v>#REF!</v>
      </c>
      <c r="J667" s="1644" t="e">
        <f t="shared" si="47"/>
        <v>#REF!</v>
      </c>
      <c r="M667" s="1545"/>
      <c r="N667" s="1545"/>
    </row>
    <row r="668" spans="1:14" ht="15.5">
      <c r="A668" s="1684" t="s">
        <v>4899</v>
      </c>
      <c r="B668" s="1703" t="s">
        <v>2637</v>
      </c>
      <c r="C668" s="1643" t="e">
        <f>+SUMIF(#REF!,Final!A668,#REF!)</f>
        <v>#REF!</v>
      </c>
      <c r="D668" s="1597" t="e">
        <f>+SUMIF(#REF!,Final!A668,#REF!)</f>
        <v>#REF!</v>
      </c>
      <c r="E668" s="1643" t="e">
        <f>SUMIF(#REF!,Final!A668,#REF!)</f>
        <v>#REF!</v>
      </c>
      <c r="F668" s="1644" t="e">
        <f>SUMIF(#REF!,Final!A668,#REF!)</f>
        <v>#REF!</v>
      </c>
      <c r="G668" s="1597" t="e">
        <f t="shared" si="44"/>
        <v>#REF!</v>
      </c>
      <c r="H668" s="1644" t="e">
        <f t="shared" si="45"/>
        <v>#REF!</v>
      </c>
      <c r="I668" s="1597" t="e">
        <f t="shared" si="46"/>
        <v>#REF!</v>
      </c>
      <c r="J668" s="1644" t="e">
        <f t="shared" si="47"/>
        <v>#REF!</v>
      </c>
      <c r="M668" s="1545"/>
      <c r="N668" s="1545"/>
    </row>
    <row r="669" spans="1:14" ht="15.5">
      <c r="A669" s="1684" t="s">
        <v>4900</v>
      </c>
      <c r="B669" s="1703" t="s">
        <v>2638</v>
      </c>
      <c r="C669" s="1643" t="e">
        <f>+SUMIF(#REF!,Final!A669,#REF!)</f>
        <v>#REF!</v>
      </c>
      <c r="D669" s="1597" t="e">
        <f>+SUMIF(#REF!,Final!A669,#REF!)</f>
        <v>#REF!</v>
      </c>
      <c r="E669" s="1643" t="e">
        <f>SUMIF(#REF!,Final!A669,#REF!)</f>
        <v>#REF!</v>
      </c>
      <c r="F669" s="1644" t="e">
        <f>SUMIF(#REF!,Final!A669,#REF!)</f>
        <v>#REF!</v>
      </c>
      <c r="G669" s="1597" t="e">
        <f t="shared" si="44"/>
        <v>#REF!</v>
      </c>
      <c r="H669" s="1644" t="e">
        <f t="shared" si="45"/>
        <v>#REF!</v>
      </c>
      <c r="I669" s="1597" t="e">
        <f t="shared" si="46"/>
        <v>#REF!</v>
      </c>
      <c r="J669" s="1644" t="e">
        <f t="shared" si="47"/>
        <v>#REF!</v>
      </c>
      <c r="M669" s="1545"/>
      <c r="N669" s="1545"/>
    </row>
    <row r="670" spans="1:14" ht="15.5">
      <c r="A670" s="1684" t="s">
        <v>4901</v>
      </c>
      <c r="B670" s="1703" t="s">
        <v>2639</v>
      </c>
      <c r="C670" s="1643" t="e">
        <f>+SUMIF(#REF!,Final!A670,#REF!)</f>
        <v>#REF!</v>
      </c>
      <c r="D670" s="1597" t="e">
        <f>+SUMIF(#REF!,Final!A670,#REF!)</f>
        <v>#REF!</v>
      </c>
      <c r="E670" s="1643" t="e">
        <f>SUMIF(#REF!,Final!A670,#REF!)</f>
        <v>#REF!</v>
      </c>
      <c r="F670" s="1644" t="e">
        <f>SUMIF(#REF!,Final!A670,#REF!)</f>
        <v>#REF!</v>
      </c>
      <c r="G670" s="1597" t="e">
        <f t="shared" si="44"/>
        <v>#REF!</v>
      </c>
      <c r="H670" s="1644" t="e">
        <f t="shared" si="45"/>
        <v>#REF!</v>
      </c>
      <c r="I670" s="1597" t="e">
        <f t="shared" si="46"/>
        <v>#REF!</v>
      </c>
      <c r="J670" s="1644" t="e">
        <f t="shared" si="47"/>
        <v>#REF!</v>
      </c>
      <c r="M670" s="1545"/>
      <c r="N670" s="1545"/>
    </row>
    <row r="671" spans="1:14" ht="15.5">
      <c r="A671" s="1684" t="s">
        <v>4902</v>
      </c>
      <c r="B671" s="1703" t="s">
        <v>2640</v>
      </c>
      <c r="C671" s="1643" t="e">
        <f>+SUMIF(#REF!,Final!A671,#REF!)</f>
        <v>#REF!</v>
      </c>
      <c r="D671" s="1597" t="e">
        <f>+SUMIF(#REF!,Final!A671,#REF!)</f>
        <v>#REF!</v>
      </c>
      <c r="E671" s="1643" t="e">
        <f>SUMIF(#REF!,Final!A671,#REF!)</f>
        <v>#REF!</v>
      </c>
      <c r="F671" s="1644" t="e">
        <f>SUMIF(#REF!,Final!A671,#REF!)</f>
        <v>#REF!</v>
      </c>
      <c r="G671" s="1597" t="e">
        <f t="shared" si="44"/>
        <v>#REF!</v>
      </c>
      <c r="H671" s="1644" t="e">
        <f t="shared" si="45"/>
        <v>#REF!</v>
      </c>
      <c r="I671" s="1597" t="e">
        <f t="shared" si="46"/>
        <v>#REF!</v>
      </c>
      <c r="J671" s="1644" t="e">
        <f t="shared" si="47"/>
        <v>#REF!</v>
      </c>
      <c r="M671" s="1545"/>
      <c r="N671" s="1545"/>
    </row>
    <row r="672" spans="1:14" ht="15.5">
      <c r="A672" s="1786" t="s">
        <v>5178</v>
      </c>
      <c r="B672" s="1787" t="s">
        <v>2630</v>
      </c>
      <c r="C672" s="1643" t="e">
        <f>+SUMIF(#REF!,Final!A672,#REF!)</f>
        <v>#REF!</v>
      </c>
      <c r="D672" s="1597" t="e">
        <f>+SUMIF(#REF!,Final!A672,#REF!)</f>
        <v>#REF!</v>
      </c>
      <c r="E672" s="1643" t="e">
        <f>SUMIF(#REF!,Final!A672,#REF!)</f>
        <v>#REF!</v>
      </c>
      <c r="F672" s="1644" t="e">
        <f>SUMIF(#REF!,Final!A672,#REF!)</f>
        <v>#REF!</v>
      </c>
      <c r="G672" s="1597" t="e">
        <f t="shared" ref="G672:G682" si="48">C672+E672</f>
        <v>#REF!</v>
      </c>
      <c r="H672" s="1644" t="e">
        <f t="shared" ref="H672:H682" si="49">D672+F672</f>
        <v>#REF!</v>
      </c>
      <c r="I672" s="1597" t="e">
        <f t="shared" ref="I672:I682" si="50">IF(G672&gt;H672,G672-H672,0)</f>
        <v>#REF!</v>
      </c>
      <c r="J672" s="1644" t="e">
        <f t="shared" ref="J672:J682" si="51">IF(H672&gt;G672,H672-G672,0)</f>
        <v>#REF!</v>
      </c>
      <c r="M672" s="1545"/>
      <c r="N672" s="1545"/>
    </row>
    <row r="673" spans="1:93" ht="15.5">
      <c r="A673" s="1786" t="s">
        <v>5179</v>
      </c>
      <c r="B673" s="1787" t="s">
        <v>2631</v>
      </c>
      <c r="C673" s="1643" t="e">
        <f>+SUMIF(#REF!,Final!A673,#REF!)</f>
        <v>#REF!</v>
      </c>
      <c r="D673" s="1597" t="e">
        <f>+SUMIF(#REF!,Final!A673,#REF!)</f>
        <v>#REF!</v>
      </c>
      <c r="E673" s="1643" t="e">
        <f>SUMIF(#REF!,Final!A673,#REF!)</f>
        <v>#REF!</v>
      </c>
      <c r="F673" s="1644" t="e">
        <f>SUMIF(#REF!,Final!A673,#REF!)</f>
        <v>#REF!</v>
      </c>
      <c r="G673" s="1597" t="e">
        <f t="shared" si="48"/>
        <v>#REF!</v>
      </c>
      <c r="H673" s="1644" t="e">
        <f t="shared" si="49"/>
        <v>#REF!</v>
      </c>
      <c r="I673" s="1597" t="e">
        <f t="shared" si="50"/>
        <v>#REF!</v>
      </c>
      <c r="J673" s="1644" t="e">
        <f t="shared" si="51"/>
        <v>#REF!</v>
      </c>
      <c r="M673" s="1545"/>
      <c r="N673" s="1545"/>
    </row>
    <row r="674" spans="1:93" ht="15.5">
      <c r="A674" s="1786" t="s">
        <v>5180</v>
      </c>
      <c r="B674" s="1787" t="s">
        <v>2632</v>
      </c>
      <c r="C674" s="1643" t="e">
        <f>+SUMIF(#REF!,Final!A674,#REF!)</f>
        <v>#REF!</v>
      </c>
      <c r="D674" s="1597" t="e">
        <f>+SUMIF(#REF!,Final!A674,#REF!)</f>
        <v>#REF!</v>
      </c>
      <c r="E674" s="1643" t="e">
        <f>SUMIF(#REF!,Final!A674,#REF!)</f>
        <v>#REF!</v>
      </c>
      <c r="F674" s="1644" t="e">
        <f>SUMIF(#REF!,Final!A674,#REF!)</f>
        <v>#REF!</v>
      </c>
      <c r="G674" s="1597" t="e">
        <f t="shared" si="48"/>
        <v>#REF!</v>
      </c>
      <c r="H674" s="1644" t="e">
        <f t="shared" si="49"/>
        <v>#REF!</v>
      </c>
      <c r="I674" s="1597" t="e">
        <f t="shared" si="50"/>
        <v>#REF!</v>
      </c>
      <c r="J674" s="1644" t="e">
        <f t="shared" si="51"/>
        <v>#REF!</v>
      </c>
      <c r="M674" s="1545"/>
      <c r="N674" s="1545"/>
    </row>
    <row r="675" spans="1:93" ht="15.5">
      <c r="A675" s="1786" t="s">
        <v>5181</v>
      </c>
      <c r="B675" s="1787" t="s">
        <v>2633</v>
      </c>
      <c r="C675" s="1643" t="e">
        <f>+SUMIF(#REF!,Final!A675,#REF!)</f>
        <v>#REF!</v>
      </c>
      <c r="D675" s="1597" t="e">
        <f>+SUMIF(#REF!,Final!A675,#REF!)</f>
        <v>#REF!</v>
      </c>
      <c r="E675" s="1643" t="e">
        <f>SUMIF(#REF!,Final!A675,#REF!)</f>
        <v>#REF!</v>
      </c>
      <c r="F675" s="1644" t="e">
        <f>SUMIF(#REF!,Final!A675,#REF!)</f>
        <v>#REF!</v>
      </c>
      <c r="G675" s="1597" t="e">
        <f t="shared" si="48"/>
        <v>#REF!</v>
      </c>
      <c r="H675" s="1644" t="e">
        <f t="shared" si="49"/>
        <v>#REF!</v>
      </c>
      <c r="I675" s="1597" t="e">
        <f t="shared" si="50"/>
        <v>#REF!</v>
      </c>
      <c r="J675" s="1644" t="e">
        <f t="shared" si="51"/>
        <v>#REF!</v>
      </c>
      <c r="M675" s="1545"/>
      <c r="N675" s="1545"/>
    </row>
    <row r="676" spans="1:93" ht="15.5">
      <c r="A676" s="1786" t="s">
        <v>5182</v>
      </c>
      <c r="B676" s="1787" t="s">
        <v>2634</v>
      </c>
      <c r="C676" s="1643" t="e">
        <f>+SUMIF(#REF!,Final!A676,#REF!)</f>
        <v>#REF!</v>
      </c>
      <c r="D676" s="1597" t="e">
        <f>+SUMIF(#REF!,Final!A676,#REF!)</f>
        <v>#REF!</v>
      </c>
      <c r="E676" s="1643" t="e">
        <f>SUMIF(#REF!,Final!A676,#REF!)</f>
        <v>#REF!</v>
      </c>
      <c r="F676" s="1644" t="e">
        <f>SUMIF(#REF!,Final!A676,#REF!)</f>
        <v>#REF!</v>
      </c>
      <c r="G676" s="1597" t="e">
        <f t="shared" si="48"/>
        <v>#REF!</v>
      </c>
      <c r="H676" s="1644" t="e">
        <f t="shared" si="49"/>
        <v>#REF!</v>
      </c>
      <c r="I676" s="1597" t="e">
        <f t="shared" si="50"/>
        <v>#REF!</v>
      </c>
      <c r="J676" s="1644" t="e">
        <f t="shared" si="51"/>
        <v>#REF!</v>
      </c>
      <c r="M676" s="1545"/>
      <c r="N676" s="1545"/>
    </row>
    <row r="677" spans="1:93" ht="15.5">
      <c r="A677" s="1786" t="s">
        <v>5183</v>
      </c>
      <c r="B677" s="1787" t="s">
        <v>2635</v>
      </c>
      <c r="C677" s="1643" t="e">
        <f>+SUMIF(#REF!,Final!A677,#REF!)</f>
        <v>#REF!</v>
      </c>
      <c r="D677" s="1597" t="e">
        <f>+SUMIF(#REF!,Final!A677,#REF!)</f>
        <v>#REF!</v>
      </c>
      <c r="E677" s="1643" t="e">
        <f>SUMIF(#REF!,Final!A677,#REF!)</f>
        <v>#REF!</v>
      </c>
      <c r="F677" s="1644" t="e">
        <f>SUMIF(#REF!,Final!A677,#REF!)</f>
        <v>#REF!</v>
      </c>
      <c r="G677" s="1597" t="e">
        <f t="shared" si="48"/>
        <v>#REF!</v>
      </c>
      <c r="H677" s="1644" t="e">
        <f t="shared" si="49"/>
        <v>#REF!</v>
      </c>
      <c r="I677" s="1597" t="e">
        <f t="shared" si="50"/>
        <v>#REF!</v>
      </c>
      <c r="J677" s="1644" t="e">
        <f t="shared" si="51"/>
        <v>#REF!</v>
      </c>
      <c r="M677" s="1545"/>
      <c r="N677" s="1545"/>
    </row>
    <row r="678" spans="1:93" ht="15.5">
      <c r="A678" s="1786" t="s">
        <v>5184</v>
      </c>
      <c r="B678" s="1787" t="s">
        <v>2636</v>
      </c>
      <c r="C678" s="1643" t="e">
        <f>+SUMIF(#REF!,Final!A678,#REF!)</f>
        <v>#REF!</v>
      </c>
      <c r="D678" s="1597" t="e">
        <f>+SUMIF(#REF!,Final!A678,#REF!)</f>
        <v>#REF!</v>
      </c>
      <c r="E678" s="1643" t="e">
        <f>SUMIF(#REF!,Final!A678,#REF!)</f>
        <v>#REF!</v>
      </c>
      <c r="F678" s="1644" t="e">
        <f>SUMIF(#REF!,Final!A678,#REF!)</f>
        <v>#REF!</v>
      </c>
      <c r="G678" s="1597" t="e">
        <f t="shared" si="48"/>
        <v>#REF!</v>
      </c>
      <c r="H678" s="1644" t="e">
        <f t="shared" si="49"/>
        <v>#REF!</v>
      </c>
      <c r="I678" s="1597" t="e">
        <f t="shared" si="50"/>
        <v>#REF!</v>
      </c>
      <c r="J678" s="1644" t="e">
        <f t="shared" si="51"/>
        <v>#REF!</v>
      </c>
      <c r="M678" s="1545"/>
      <c r="N678" s="1545"/>
    </row>
    <row r="679" spans="1:93" ht="15.5">
      <c r="A679" s="1786" t="s">
        <v>5185</v>
      </c>
      <c r="B679" s="1787" t="s">
        <v>2637</v>
      </c>
      <c r="C679" s="1643" t="e">
        <f>+SUMIF(#REF!,Final!A679,#REF!)</f>
        <v>#REF!</v>
      </c>
      <c r="D679" s="1597" t="e">
        <f>+SUMIF(#REF!,Final!A679,#REF!)</f>
        <v>#REF!</v>
      </c>
      <c r="E679" s="1643" t="e">
        <f>SUMIF(#REF!,Final!A679,#REF!)</f>
        <v>#REF!</v>
      </c>
      <c r="F679" s="1644" t="e">
        <f>SUMIF(#REF!,Final!A679,#REF!)</f>
        <v>#REF!</v>
      </c>
      <c r="G679" s="1597" t="e">
        <f t="shared" si="48"/>
        <v>#REF!</v>
      </c>
      <c r="H679" s="1644" t="e">
        <f t="shared" si="49"/>
        <v>#REF!</v>
      </c>
      <c r="I679" s="1597" t="e">
        <f t="shared" si="50"/>
        <v>#REF!</v>
      </c>
      <c r="J679" s="1644" t="e">
        <f t="shared" si="51"/>
        <v>#REF!</v>
      </c>
      <c r="M679" s="1545"/>
      <c r="N679" s="1545"/>
    </row>
    <row r="680" spans="1:93" ht="15.5">
      <c r="A680" s="1786" t="s">
        <v>5186</v>
      </c>
      <c r="B680" s="1787" t="s">
        <v>2638</v>
      </c>
      <c r="C680" s="1643" t="e">
        <f>+SUMIF(#REF!,Final!A680,#REF!)</f>
        <v>#REF!</v>
      </c>
      <c r="D680" s="1597" t="e">
        <f>+SUMIF(#REF!,Final!A680,#REF!)</f>
        <v>#REF!</v>
      </c>
      <c r="E680" s="1643" t="e">
        <f>SUMIF(#REF!,Final!A680,#REF!)</f>
        <v>#REF!</v>
      </c>
      <c r="F680" s="1644" t="e">
        <f>SUMIF(#REF!,Final!A680,#REF!)</f>
        <v>#REF!</v>
      </c>
      <c r="G680" s="1597" t="e">
        <f t="shared" si="48"/>
        <v>#REF!</v>
      </c>
      <c r="H680" s="1644" t="e">
        <f t="shared" si="49"/>
        <v>#REF!</v>
      </c>
      <c r="I680" s="1597" t="e">
        <f t="shared" si="50"/>
        <v>#REF!</v>
      </c>
      <c r="J680" s="1644" t="e">
        <f t="shared" si="51"/>
        <v>#REF!</v>
      </c>
      <c r="M680" s="1545"/>
      <c r="N680" s="1545"/>
    </row>
    <row r="681" spans="1:93" ht="15.5">
      <c r="A681" s="1786" t="s">
        <v>5187</v>
      </c>
      <c r="B681" s="1787" t="s">
        <v>2639</v>
      </c>
      <c r="C681" s="1643" t="e">
        <f>+SUMIF(#REF!,Final!A681,#REF!)</f>
        <v>#REF!</v>
      </c>
      <c r="D681" s="1597" t="e">
        <f>+SUMIF(#REF!,Final!A681,#REF!)</f>
        <v>#REF!</v>
      </c>
      <c r="E681" s="1643" t="e">
        <f>SUMIF(#REF!,Final!A681,#REF!)</f>
        <v>#REF!</v>
      </c>
      <c r="F681" s="1644" t="e">
        <f>SUMIF(#REF!,Final!A681,#REF!)</f>
        <v>#REF!</v>
      </c>
      <c r="G681" s="1597" t="e">
        <f t="shared" si="48"/>
        <v>#REF!</v>
      </c>
      <c r="H681" s="1644" t="e">
        <f t="shared" si="49"/>
        <v>#REF!</v>
      </c>
      <c r="I681" s="1597" t="e">
        <f t="shared" si="50"/>
        <v>#REF!</v>
      </c>
      <c r="J681" s="1644" t="e">
        <f t="shared" si="51"/>
        <v>#REF!</v>
      </c>
      <c r="M681" s="1545"/>
      <c r="N681" s="1545"/>
    </row>
    <row r="682" spans="1:93" ht="15.5">
      <c r="A682" s="1786" t="s">
        <v>5188</v>
      </c>
      <c r="B682" s="1787" t="s">
        <v>2640</v>
      </c>
      <c r="C682" s="1643" t="e">
        <f>+SUMIF(#REF!,Final!A682,#REF!)</f>
        <v>#REF!</v>
      </c>
      <c r="D682" s="1597" t="e">
        <f>+SUMIF(#REF!,Final!A682,#REF!)</f>
        <v>#REF!</v>
      </c>
      <c r="E682" s="1643" t="e">
        <f>SUMIF(#REF!,Final!A682,#REF!)</f>
        <v>#REF!</v>
      </c>
      <c r="F682" s="1644" t="e">
        <f>SUMIF(#REF!,Final!A682,#REF!)</f>
        <v>#REF!</v>
      </c>
      <c r="G682" s="1597" t="e">
        <f t="shared" si="48"/>
        <v>#REF!</v>
      </c>
      <c r="H682" s="1644" t="e">
        <f t="shared" si="49"/>
        <v>#REF!</v>
      </c>
      <c r="I682" s="1597" t="e">
        <f t="shared" si="50"/>
        <v>#REF!</v>
      </c>
      <c r="J682" s="1644" t="e">
        <f t="shared" si="51"/>
        <v>#REF!</v>
      </c>
      <c r="M682" s="1545"/>
      <c r="N682" s="1545"/>
    </row>
    <row r="683" spans="1:93" s="1542" customFormat="1" ht="15.5">
      <c r="A683" s="1598" t="s">
        <v>544</v>
      </c>
      <c r="B683" s="1599" t="s">
        <v>2641</v>
      </c>
      <c r="C683" s="1643" t="e">
        <f>+SUMIF(#REF!,Final!A683,#REF!)</f>
        <v>#REF!</v>
      </c>
      <c r="D683" s="1597" t="e">
        <f>+SUMIF(#REF!,Final!A683,#REF!)</f>
        <v>#REF!</v>
      </c>
      <c r="E683" s="1643" t="e">
        <f>SUMIF(#REF!,Final!A683,#REF!)</f>
        <v>#REF!</v>
      </c>
      <c r="F683" s="1644" t="e">
        <f>SUMIF(#REF!,Final!A683,#REF!)</f>
        <v>#REF!</v>
      </c>
      <c r="G683" s="1597" t="e">
        <f t="shared" si="44"/>
        <v>#REF!</v>
      </c>
      <c r="H683" s="1644" t="e">
        <f t="shared" si="45"/>
        <v>#REF!</v>
      </c>
      <c r="I683" s="1597" t="e">
        <f t="shared" si="46"/>
        <v>#REF!</v>
      </c>
      <c r="J683" s="1644" t="e">
        <f t="shared" si="47"/>
        <v>#REF!</v>
      </c>
      <c r="K683" s="1539"/>
      <c r="L683" s="1539"/>
      <c r="M683" s="1545"/>
      <c r="N683" s="1545"/>
      <c r="O683" s="1539"/>
      <c r="P683" s="1539"/>
      <c r="Q683" s="1539"/>
      <c r="R683" s="1539"/>
      <c r="S683" s="1539"/>
      <c r="T683" s="1539"/>
      <c r="U683" s="1539"/>
      <c r="V683" s="1539"/>
      <c r="W683" s="1539"/>
      <c r="X683" s="1539"/>
      <c r="Y683" s="1539"/>
      <c r="Z683" s="1539"/>
      <c r="AA683" s="1539"/>
      <c r="AB683" s="1539"/>
      <c r="AC683" s="1539"/>
      <c r="AD683" s="1539"/>
      <c r="AE683" s="1539"/>
      <c r="AF683" s="1539"/>
      <c r="AG683" s="1539"/>
      <c r="AH683" s="1539"/>
      <c r="AI683" s="1539"/>
      <c r="AJ683" s="1539"/>
      <c r="AK683" s="1539"/>
      <c r="AL683" s="1539"/>
      <c r="AM683" s="1539"/>
      <c r="AN683" s="1539"/>
      <c r="AO683" s="1539"/>
      <c r="AP683" s="1539"/>
      <c r="AQ683" s="1539"/>
      <c r="AR683" s="1539"/>
      <c r="AS683" s="1539"/>
      <c r="AT683" s="1539"/>
      <c r="AU683" s="1539"/>
      <c r="AV683" s="1539"/>
      <c r="AW683" s="1539"/>
      <c r="AX683" s="1539"/>
      <c r="AY683" s="1539"/>
      <c r="AZ683" s="1539"/>
      <c r="BA683" s="1539"/>
      <c r="BB683" s="1539"/>
      <c r="BC683" s="1539"/>
      <c r="BD683" s="1539"/>
      <c r="BE683" s="1539"/>
      <c r="BF683" s="1539"/>
      <c r="BG683" s="1539"/>
      <c r="BH683" s="1539"/>
      <c r="BI683" s="1539"/>
      <c r="BJ683" s="1539"/>
      <c r="BK683" s="1539"/>
      <c r="BL683" s="1539"/>
      <c r="BM683" s="1539"/>
      <c r="BN683" s="1539"/>
      <c r="BO683" s="1539"/>
      <c r="BP683" s="1539"/>
      <c r="BQ683" s="1539"/>
      <c r="BR683" s="1539"/>
      <c r="BS683" s="1539"/>
      <c r="BT683" s="1539"/>
      <c r="BU683" s="1539"/>
      <c r="BV683" s="1539"/>
      <c r="BW683" s="1539"/>
      <c r="BX683" s="1539"/>
      <c r="BY683" s="1539"/>
      <c r="BZ683" s="1539"/>
      <c r="CA683" s="1539"/>
      <c r="CB683" s="1539"/>
      <c r="CC683" s="1539"/>
      <c r="CD683" s="1539"/>
      <c r="CE683" s="1539"/>
      <c r="CF683" s="1539"/>
      <c r="CG683" s="1539"/>
      <c r="CH683" s="1539"/>
      <c r="CI683" s="1539"/>
      <c r="CJ683" s="1539"/>
      <c r="CK683" s="1539"/>
      <c r="CL683" s="1539"/>
      <c r="CM683" s="1539"/>
      <c r="CN683" s="1539"/>
      <c r="CO683" s="1539"/>
    </row>
    <row r="684" spans="1:93" s="1542" customFormat="1" ht="15.5">
      <c r="A684" s="1598" t="s">
        <v>441</v>
      </c>
      <c r="B684" s="1599" t="s">
        <v>2629</v>
      </c>
      <c r="C684" s="1643" t="e">
        <f>+SUMIF(#REF!,Final!A684,#REF!)</f>
        <v>#REF!</v>
      </c>
      <c r="D684" s="1597" t="e">
        <f>+SUMIF(#REF!,Final!A684,#REF!)</f>
        <v>#REF!</v>
      </c>
      <c r="E684" s="1643" t="e">
        <f>SUMIF(#REF!,Final!A684,#REF!)</f>
        <v>#REF!</v>
      </c>
      <c r="F684" s="1644" t="e">
        <f>SUMIF(#REF!,Final!A684,#REF!)</f>
        <v>#REF!</v>
      </c>
      <c r="G684" s="1597" t="e">
        <f t="shared" si="44"/>
        <v>#REF!</v>
      </c>
      <c r="H684" s="1644" t="e">
        <f t="shared" si="45"/>
        <v>#REF!</v>
      </c>
      <c r="I684" s="1597" t="e">
        <f t="shared" si="46"/>
        <v>#REF!</v>
      </c>
      <c r="J684" s="1644" t="e">
        <f t="shared" si="47"/>
        <v>#REF!</v>
      </c>
      <c r="K684" s="1539"/>
      <c r="L684" s="1539"/>
      <c r="M684" s="1545"/>
      <c r="N684" s="1545"/>
      <c r="O684" s="1539"/>
      <c r="P684" s="1539"/>
      <c r="Q684" s="1539"/>
      <c r="R684" s="1539"/>
      <c r="S684" s="1539"/>
      <c r="T684" s="1539"/>
      <c r="U684" s="1539"/>
      <c r="V684" s="1539"/>
      <c r="W684" s="1539"/>
      <c r="X684" s="1539"/>
      <c r="Y684" s="1539"/>
      <c r="Z684" s="1539"/>
      <c r="AA684" s="1539"/>
      <c r="AB684" s="1539"/>
      <c r="AC684" s="1539"/>
      <c r="AD684" s="1539"/>
      <c r="AE684" s="1539"/>
      <c r="AF684" s="1539"/>
      <c r="AG684" s="1539"/>
      <c r="AH684" s="1539"/>
      <c r="AI684" s="1539"/>
      <c r="AJ684" s="1539"/>
      <c r="AK684" s="1539"/>
      <c r="AL684" s="1539"/>
      <c r="AM684" s="1539"/>
      <c r="AN684" s="1539"/>
      <c r="AO684" s="1539"/>
      <c r="AP684" s="1539"/>
      <c r="AQ684" s="1539"/>
      <c r="AR684" s="1539"/>
      <c r="AS684" s="1539"/>
      <c r="AT684" s="1539"/>
      <c r="AU684" s="1539"/>
      <c r="AV684" s="1539"/>
      <c r="AW684" s="1539"/>
      <c r="AX684" s="1539"/>
      <c r="AY684" s="1539"/>
      <c r="AZ684" s="1539"/>
      <c r="BA684" s="1539"/>
      <c r="BB684" s="1539"/>
      <c r="BC684" s="1539"/>
      <c r="BD684" s="1539"/>
      <c r="BE684" s="1539"/>
      <c r="BF684" s="1539"/>
      <c r="BG684" s="1539"/>
      <c r="BH684" s="1539"/>
      <c r="BI684" s="1539"/>
      <c r="BJ684" s="1539"/>
      <c r="BK684" s="1539"/>
      <c r="BL684" s="1539"/>
      <c r="BM684" s="1539"/>
      <c r="BN684" s="1539"/>
      <c r="BO684" s="1539"/>
      <c r="BP684" s="1539"/>
      <c r="BQ684" s="1539"/>
      <c r="BR684" s="1539"/>
      <c r="BS684" s="1539"/>
      <c r="BT684" s="1539"/>
      <c r="BU684" s="1539"/>
      <c r="BV684" s="1539"/>
      <c r="BW684" s="1539"/>
      <c r="BX684" s="1539"/>
      <c r="BY684" s="1539"/>
      <c r="BZ684" s="1539"/>
      <c r="CA684" s="1539"/>
      <c r="CB684" s="1539"/>
      <c r="CC684" s="1539"/>
      <c r="CD684" s="1539"/>
      <c r="CE684" s="1539"/>
      <c r="CF684" s="1539"/>
      <c r="CG684" s="1539"/>
      <c r="CH684" s="1539"/>
      <c r="CI684" s="1539"/>
      <c r="CJ684" s="1539"/>
      <c r="CK684" s="1539"/>
      <c r="CL684" s="1539"/>
      <c r="CM684" s="1539"/>
      <c r="CN684" s="1539"/>
      <c r="CO684" s="1539"/>
    </row>
    <row r="685" spans="1:93" ht="15.5">
      <c r="A685" s="1598">
        <v>22.221</v>
      </c>
      <c r="B685" s="1599" t="s">
        <v>2642</v>
      </c>
      <c r="C685" s="1643" t="e">
        <f>+SUMIF(#REF!,Final!A685,#REF!)</f>
        <v>#REF!</v>
      </c>
      <c r="D685" s="1597" t="e">
        <f>+SUMIF(#REF!,Final!A685,#REF!)</f>
        <v>#REF!</v>
      </c>
      <c r="E685" s="1643" t="e">
        <f>SUMIF(#REF!,Final!A685,#REF!)</f>
        <v>#REF!</v>
      </c>
      <c r="F685" s="1644" t="e">
        <f>SUMIF(#REF!,Final!A685,#REF!)</f>
        <v>#REF!</v>
      </c>
      <c r="G685" s="1597" t="e">
        <f t="shared" si="44"/>
        <v>#REF!</v>
      </c>
      <c r="H685" s="1644" t="e">
        <f t="shared" si="45"/>
        <v>#REF!</v>
      </c>
      <c r="I685" s="1597" t="e">
        <f t="shared" si="46"/>
        <v>#REF!</v>
      </c>
      <c r="J685" s="1644" t="e">
        <f t="shared" si="47"/>
        <v>#REF!</v>
      </c>
      <c r="M685" s="1545"/>
      <c r="N685" s="1545"/>
    </row>
    <row r="686" spans="1:93" ht="15.5">
      <c r="A686" s="1598">
        <v>22.222999999999999</v>
      </c>
      <c r="B686" s="1599" t="s">
        <v>2643</v>
      </c>
      <c r="C686" s="1643" t="e">
        <f>+SUMIF(#REF!,Final!A686,#REF!)</f>
        <v>#REF!</v>
      </c>
      <c r="D686" s="1597" t="e">
        <f>+SUMIF(#REF!,Final!A686,#REF!)</f>
        <v>#REF!</v>
      </c>
      <c r="E686" s="1643" t="e">
        <f>SUMIF(#REF!,Final!A686,#REF!)</f>
        <v>#REF!</v>
      </c>
      <c r="F686" s="1644" t="e">
        <f>SUMIF(#REF!,Final!A686,#REF!)</f>
        <v>#REF!</v>
      </c>
      <c r="G686" s="1597" t="e">
        <f t="shared" si="44"/>
        <v>#REF!</v>
      </c>
      <c r="H686" s="1644" t="e">
        <f t="shared" si="45"/>
        <v>#REF!</v>
      </c>
      <c r="I686" s="1597" t="e">
        <f t="shared" si="46"/>
        <v>#REF!</v>
      </c>
      <c r="J686" s="1644" t="e">
        <f t="shared" si="47"/>
        <v>#REF!</v>
      </c>
      <c r="M686" s="1545"/>
      <c r="N686" s="1545"/>
    </row>
    <row r="687" spans="1:93" ht="15.5">
      <c r="A687" s="1598">
        <v>22.224</v>
      </c>
      <c r="B687" s="1599" t="s">
        <v>2644</v>
      </c>
      <c r="C687" s="1643" t="e">
        <f>+SUMIF(#REF!,Final!A687,#REF!)</f>
        <v>#REF!</v>
      </c>
      <c r="D687" s="1597" t="e">
        <f>+SUMIF(#REF!,Final!A687,#REF!)</f>
        <v>#REF!</v>
      </c>
      <c r="E687" s="1643" t="e">
        <f>SUMIF(#REF!,Final!A687,#REF!)</f>
        <v>#REF!</v>
      </c>
      <c r="F687" s="1644" t="e">
        <f>SUMIF(#REF!,Final!A687,#REF!)</f>
        <v>#REF!</v>
      </c>
      <c r="G687" s="1597" t="e">
        <f t="shared" si="44"/>
        <v>#REF!</v>
      </c>
      <c r="H687" s="1644" t="e">
        <f t="shared" si="45"/>
        <v>#REF!</v>
      </c>
      <c r="I687" s="1597" t="e">
        <f t="shared" si="46"/>
        <v>#REF!</v>
      </c>
      <c r="J687" s="1644" t="e">
        <f t="shared" si="47"/>
        <v>#REF!</v>
      </c>
      <c r="M687" s="1545"/>
      <c r="N687" s="1545"/>
    </row>
    <row r="688" spans="1:93" ht="15.5">
      <c r="A688" s="1598">
        <v>22.225000000000001</v>
      </c>
      <c r="B688" s="1599" t="s">
        <v>2645</v>
      </c>
      <c r="C688" s="1643" t="e">
        <f>+SUMIF(#REF!,Final!A688,#REF!)</f>
        <v>#REF!</v>
      </c>
      <c r="D688" s="1597" t="e">
        <f>+SUMIF(#REF!,Final!A688,#REF!)</f>
        <v>#REF!</v>
      </c>
      <c r="E688" s="1643" t="e">
        <f>SUMIF(#REF!,Final!A688,#REF!)</f>
        <v>#REF!</v>
      </c>
      <c r="F688" s="1644" t="e">
        <f>SUMIF(#REF!,Final!A688,#REF!)</f>
        <v>#REF!</v>
      </c>
      <c r="G688" s="1597" t="e">
        <f t="shared" si="44"/>
        <v>#REF!</v>
      </c>
      <c r="H688" s="1644" t="e">
        <f t="shared" si="45"/>
        <v>#REF!</v>
      </c>
      <c r="I688" s="1597" t="e">
        <f t="shared" si="46"/>
        <v>#REF!</v>
      </c>
      <c r="J688" s="1644" t="e">
        <f t="shared" si="47"/>
        <v>#REF!</v>
      </c>
      <c r="M688" s="1545"/>
      <c r="N688" s="1545"/>
    </row>
    <row r="689" spans="1:93" ht="15.5">
      <c r="A689" s="1598">
        <v>22.225999999999999</v>
      </c>
      <c r="B689" s="1599" t="s">
        <v>2646</v>
      </c>
      <c r="C689" s="1643" t="e">
        <f>+SUMIF(#REF!,Final!A689,#REF!)</f>
        <v>#REF!</v>
      </c>
      <c r="D689" s="1597" t="e">
        <f>+SUMIF(#REF!,Final!A689,#REF!)</f>
        <v>#REF!</v>
      </c>
      <c r="E689" s="1643" t="e">
        <f>SUMIF(#REF!,Final!A689,#REF!)</f>
        <v>#REF!</v>
      </c>
      <c r="F689" s="1644" t="e">
        <f>SUMIF(#REF!,Final!A689,#REF!)</f>
        <v>#REF!</v>
      </c>
      <c r="G689" s="1597" t="e">
        <f t="shared" si="44"/>
        <v>#REF!</v>
      </c>
      <c r="H689" s="1644" t="e">
        <f t="shared" si="45"/>
        <v>#REF!</v>
      </c>
      <c r="I689" s="1597" t="e">
        <f t="shared" si="46"/>
        <v>#REF!</v>
      </c>
      <c r="J689" s="1644" t="e">
        <f t="shared" si="47"/>
        <v>#REF!</v>
      </c>
      <c r="M689" s="1545"/>
      <c r="N689" s="1545"/>
    </row>
    <row r="690" spans="1:93" ht="15.5">
      <c r="A690" s="1598">
        <v>22.227</v>
      </c>
      <c r="B690" s="1599" t="s">
        <v>2647</v>
      </c>
      <c r="C690" s="1643" t="e">
        <f>+SUMIF(#REF!,Final!A690,#REF!)</f>
        <v>#REF!</v>
      </c>
      <c r="D690" s="1597" t="e">
        <f>+SUMIF(#REF!,Final!A690,#REF!)</f>
        <v>#REF!</v>
      </c>
      <c r="E690" s="1643" t="e">
        <f>SUMIF(#REF!,Final!A690,#REF!)</f>
        <v>#REF!</v>
      </c>
      <c r="F690" s="1644" t="e">
        <f>SUMIF(#REF!,Final!A690,#REF!)</f>
        <v>#REF!</v>
      </c>
      <c r="G690" s="1597" t="e">
        <f t="shared" si="44"/>
        <v>#REF!</v>
      </c>
      <c r="H690" s="1644" t="e">
        <f t="shared" si="45"/>
        <v>#REF!</v>
      </c>
      <c r="I690" s="1597" t="e">
        <f t="shared" si="46"/>
        <v>#REF!</v>
      </c>
      <c r="J690" s="1644" t="e">
        <f t="shared" si="47"/>
        <v>#REF!</v>
      </c>
      <c r="M690" s="1545"/>
      <c r="N690" s="1545"/>
    </row>
    <row r="691" spans="1:93" ht="15.5">
      <c r="A691" s="1598">
        <v>22.228000000000002</v>
      </c>
      <c r="B691" s="1599" t="s">
        <v>2648</v>
      </c>
      <c r="C691" s="1643" t="e">
        <f>+SUMIF(#REF!,Final!A691,#REF!)</f>
        <v>#REF!</v>
      </c>
      <c r="D691" s="1597" t="e">
        <f>+SUMIF(#REF!,Final!A691,#REF!)</f>
        <v>#REF!</v>
      </c>
      <c r="E691" s="1643" t="e">
        <f>SUMIF(#REF!,Final!A691,#REF!)</f>
        <v>#REF!</v>
      </c>
      <c r="F691" s="1644" t="e">
        <f>SUMIF(#REF!,Final!A691,#REF!)</f>
        <v>#REF!</v>
      </c>
      <c r="G691" s="1597" t="e">
        <f t="shared" si="44"/>
        <v>#REF!</v>
      </c>
      <c r="H691" s="1644" t="e">
        <f t="shared" si="45"/>
        <v>#REF!</v>
      </c>
      <c r="I691" s="1597" t="e">
        <f t="shared" si="46"/>
        <v>#REF!</v>
      </c>
      <c r="J691" s="1644" t="e">
        <f t="shared" si="47"/>
        <v>#REF!</v>
      </c>
      <c r="M691" s="1545"/>
      <c r="N691" s="1545"/>
    </row>
    <row r="692" spans="1:93" s="1542" customFormat="1" ht="15.5">
      <c r="A692" s="1598">
        <v>22.228999999999999</v>
      </c>
      <c r="B692" s="1599" t="s">
        <v>2649</v>
      </c>
      <c r="C692" s="1643" t="e">
        <f>+SUMIF(#REF!,Final!A692,#REF!)</f>
        <v>#REF!</v>
      </c>
      <c r="D692" s="1597" t="e">
        <f>+SUMIF(#REF!,Final!A692,#REF!)</f>
        <v>#REF!</v>
      </c>
      <c r="E692" s="1643" t="e">
        <f>SUMIF(#REF!,Final!A692,#REF!)</f>
        <v>#REF!</v>
      </c>
      <c r="F692" s="1644" t="e">
        <f>SUMIF(#REF!,Final!A692,#REF!)</f>
        <v>#REF!</v>
      </c>
      <c r="G692" s="1597" t="e">
        <f t="shared" si="44"/>
        <v>#REF!</v>
      </c>
      <c r="H692" s="1644" t="e">
        <f t="shared" si="45"/>
        <v>#REF!</v>
      </c>
      <c r="I692" s="1597" t="e">
        <f t="shared" si="46"/>
        <v>#REF!</v>
      </c>
      <c r="J692" s="1644" t="e">
        <f t="shared" si="47"/>
        <v>#REF!</v>
      </c>
      <c r="K692" s="1539"/>
      <c r="L692" s="1539"/>
      <c r="M692" s="1545"/>
      <c r="N692" s="1545"/>
      <c r="O692" s="1539"/>
      <c r="P692" s="1539"/>
      <c r="Q692" s="1539"/>
      <c r="R692" s="1539"/>
      <c r="S692" s="1539"/>
      <c r="T692" s="1539"/>
      <c r="U692" s="1539"/>
      <c r="V692" s="1539"/>
      <c r="W692" s="1539"/>
      <c r="X692" s="1539"/>
      <c r="Y692" s="1539"/>
      <c r="Z692" s="1539"/>
      <c r="AA692" s="1539"/>
      <c r="AB692" s="1539"/>
      <c r="AC692" s="1539"/>
      <c r="AD692" s="1539"/>
      <c r="AE692" s="1539"/>
      <c r="AF692" s="1539"/>
      <c r="AG692" s="1539"/>
      <c r="AH692" s="1539"/>
      <c r="AI692" s="1539"/>
      <c r="AJ692" s="1539"/>
      <c r="AK692" s="1539"/>
      <c r="AL692" s="1539"/>
      <c r="AM692" s="1539"/>
      <c r="AN692" s="1539"/>
      <c r="AO692" s="1539"/>
      <c r="AP692" s="1539"/>
      <c r="AQ692" s="1539"/>
      <c r="AR692" s="1539"/>
      <c r="AS692" s="1539"/>
      <c r="AT692" s="1539"/>
      <c r="AU692" s="1539"/>
      <c r="AV692" s="1539"/>
      <c r="AW692" s="1539"/>
      <c r="AX692" s="1539"/>
      <c r="AY692" s="1539"/>
      <c r="AZ692" s="1539"/>
      <c r="BA692" s="1539"/>
      <c r="BB692" s="1539"/>
      <c r="BC692" s="1539"/>
      <c r="BD692" s="1539"/>
      <c r="BE692" s="1539"/>
      <c r="BF692" s="1539"/>
      <c r="BG692" s="1539"/>
      <c r="BH692" s="1539"/>
      <c r="BI692" s="1539"/>
      <c r="BJ692" s="1539"/>
      <c r="BK692" s="1539"/>
      <c r="BL692" s="1539"/>
      <c r="BM692" s="1539"/>
      <c r="BN692" s="1539"/>
      <c r="BO692" s="1539"/>
      <c r="BP692" s="1539"/>
      <c r="BQ692" s="1539"/>
      <c r="BR692" s="1539"/>
      <c r="BS692" s="1539"/>
      <c r="BT692" s="1539"/>
      <c r="BU692" s="1539"/>
      <c r="BV692" s="1539"/>
      <c r="BW692" s="1539"/>
      <c r="BX692" s="1539"/>
      <c r="BY692" s="1539"/>
      <c r="BZ692" s="1539"/>
      <c r="CA692" s="1539"/>
      <c r="CB692" s="1539"/>
      <c r="CC692" s="1539"/>
      <c r="CD692" s="1539"/>
      <c r="CE692" s="1539"/>
      <c r="CF692" s="1539"/>
      <c r="CG692" s="1539"/>
      <c r="CH692" s="1539"/>
      <c r="CI692" s="1539"/>
      <c r="CJ692" s="1539"/>
      <c r="CK692" s="1539"/>
      <c r="CL692" s="1539"/>
      <c r="CM692" s="1539"/>
      <c r="CN692" s="1539"/>
      <c r="CO692" s="1539"/>
    </row>
    <row r="693" spans="1:93" ht="15.5">
      <c r="A693" s="1598">
        <v>22.23</v>
      </c>
      <c r="B693" s="1599" t="s">
        <v>2650</v>
      </c>
      <c r="C693" s="1643" t="e">
        <f>+SUMIF(#REF!,Final!A693,#REF!)</f>
        <v>#REF!</v>
      </c>
      <c r="D693" s="1597" t="e">
        <f>+SUMIF(#REF!,Final!A693,#REF!)</f>
        <v>#REF!</v>
      </c>
      <c r="E693" s="1643" t="e">
        <f>SUMIF(#REF!,Final!A693,#REF!)</f>
        <v>#REF!</v>
      </c>
      <c r="F693" s="1644" t="e">
        <f>SUMIF(#REF!,Final!A693,#REF!)</f>
        <v>#REF!</v>
      </c>
      <c r="G693" s="1597" t="e">
        <f t="shared" si="44"/>
        <v>#REF!</v>
      </c>
      <c r="H693" s="1644" t="e">
        <f t="shared" si="45"/>
        <v>#REF!</v>
      </c>
      <c r="I693" s="1597" t="e">
        <f t="shared" si="46"/>
        <v>#REF!</v>
      </c>
      <c r="J693" s="1644" t="e">
        <f t="shared" si="47"/>
        <v>#REF!</v>
      </c>
      <c r="M693" s="1545"/>
      <c r="N693" s="1545"/>
    </row>
    <row r="694" spans="1:93" ht="15.5">
      <c r="A694" s="1598">
        <v>22.233000000000001</v>
      </c>
      <c r="B694" s="1599" t="s">
        <v>2651</v>
      </c>
      <c r="C694" s="1643" t="e">
        <f>+SUMIF(#REF!,Final!A694,#REF!)</f>
        <v>#REF!</v>
      </c>
      <c r="D694" s="1597" t="e">
        <f>+SUMIF(#REF!,Final!A694,#REF!)</f>
        <v>#REF!</v>
      </c>
      <c r="E694" s="1643" t="e">
        <f>SUMIF(#REF!,Final!A694,#REF!)</f>
        <v>#REF!</v>
      </c>
      <c r="F694" s="1644" t="e">
        <f>SUMIF(#REF!,Final!A694,#REF!)</f>
        <v>#REF!</v>
      </c>
      <c r="G694" s="1597" t="e">
        <f t="shared" si="44"/>
        <v>#REF!</v>
      </c>
      <c r="H694" s="1644" t="e">
        <f t="shared" si="45"/>
        <v>#REF!</v>
      </c>
      <c r="I694" s="1597" t="e">
        <f t="shared" si="46"/>
        <v>#REF!</v>
      </c>
      <c r="J694" s="1644" t="e">
        <f t="shared" si="47"/>
        <v>#REF!</v>
      </c>
      <c r="M694" s="1545"/>
      <c r="N694" s="1545"/>
    </row>
    <row r="695" spans="1:93" ht="15.5">
      <c r="A695" s="1598">
        <v>22.239000000000001</v>
      </c>
      <c r="B695" s="1599" t="s">
        <v>2652</v>
      </c>
      <c r="C695" s="1643" t="e">
        <f>+SUMIF(#REF!,Final!A695,#REF!)</f>
        <v>#REF!</v>
      </c>
      <c r="D695" s="1597" t="e">
        <f>+SUMIF(#REF!,Final!A695,#REF!)</f>
        <v>#REF!</v>
      </c>
      <c r="E695" s="1643" t="e">
        <f>SUMIF(#REF!,Final!A695,#REF!)</f>
        <v>#REF!</v>
      </c>
      <c r="F695" s="1644" t="e">
        <f>SUMIF(#REF!,Final!A695,#REF!)</f>
        <v>#REF!</v>
      </c>
      <c r="G695" s="1597" t="e">
        <f t="shared" si="44"/>
        <v>#REF!</v>
      </c>
      <c r="H695" s="1644" t="e">
        <f t="shared" si="45"/>
        <v>#REF!</v>
      </c>
      <c r="I695" s="1597" t="e">
        <f t="shared" si="46"/>
        <v>#REF!</v>
      </c>
      <c r="J695" s="1644" t="e">
        <f t="shared" si="47"/>
        <v>#REF!</v>
      </c>
      <c r="M695" s="1545"/>
      <c r="N695" s="1545"/>
    </row>
    <row r="696" spans="1:93" ht="15.5">
      <c r="A696" s="1684" t="s">
        <v>4903</v>
      </c>
      <c r="B696" s="1703" t="s">
        <v>2642</v>
      </c>
      <c r="C696" s="1643" t="e">
        <f>+SUMIF(#REF!,Final!A696,#REF!)</f>
        <v>#REF!</v>
      </c>
      <c r="D696" s="1597" t="e">
        <f>+SUMIF(#REF!,Final!A696,#REF!)</f>
        <v>#REF!</v>
      </c>
      <c r="E696" s="1643" t="e">
        <f>SUMIF(#REF!,Final!A696,#REF!)</f>
        <v>#REF!</v>
      </c>
      <c r="F696" s="1644" t="e">
        <f>SUMIF(#REF!,Final!A696,#REF!)</f>
        <v>#REF!</v>
      </c>
      <c r="G696" s="1597" t="e">
        <f t="shared" si="44"/>
        <v>#REF!</v>
      </c>
      <c r="H696" s="1644" t="e">
        <f t="shared" si="45"/>
        <v>#REF!</v>
      </c>
      <c r="I696" s="1597" t="e">
        <f t="shared" si="46"/>
        <v>#REF!</v>
      </c>
      <c r="J696" s="1644" t="e">
        <f t="shared" si="47"/>
        <v>#REF!</v>
      </c>
      <c r="M696" s="1545"/>
      <c r="N696" s="1545"/>
    </row>
    <row r="697" spans="1:93" ht="15.5">
      <c r="A697" s="1684" t="s">
        <v>4904</v>
      </c>
      <c r="B697" s="1703" t="s">
        <v>2643</v>
      </c>
      <c r="C697" s="1643" t="e">
        <f>+SUMIF(#REF!,Final!A697,#REF!)</f>
        <v>#REF!</v>
      </c>
      <c r="D697" s="1597" t="e">
        <f>+SUMIF(#REF!,Final!A697,#REF!)</f>
        <v>#REF!</v>
      </c>
      <c r="E697" s="1643" t="e">
        <f>SUMIF(#REF!,Final!A697,#REF!)</f>
        <v>#REF!</v>
      </c>
      <c r="F697" s="1644" t="e">
        <f>SUMIF(#REF!,Final!A697,#REF!)</f>
        <v>#REF!</v>
      </c>
      <c r="G697" s="1597" t="e">
        <f t="shared" si="44"/>
        <v>#REF!</v>
      </c>
      <c r="H697" s="1644" t="e">
        <f t="shared" si="45"/>
        <v>#REF!</v>
      </c>
      <c r="I697" s="1597" t="e">
        <f t="shared" si="46"/>
        <v>#REF!</v>
      </c>
      <c r="J697" s="1644" t="e">
        <f t="shared" si="47"/>
        <v>#REF!</v>
      </c>
      <c r="M697" s="1545"/>
      <c r="N697" s="1545"/>
    </row>
    <row r="698" spans="1:93" ht="15.5">
      <c r="A698" s="1684" t="s">
        <v>4905</v>
      </c>
      <c r="B698" s="1703" t="s">
        <v>2644</v>
      </c>
      <c r="C698" s="1643" t="e">
        <f>+SUMIF(#REF!,Final!A698,#REF!)</f>
        <v>#REF!</v>
      </c>
      <c r="D698" s="1597" t="e">
        <f>+SUMIF(#REF!,Final!A698,#REF!)</f>
        <v>#REF!</v>
      </c>
      <c r="E698" s="1643" t="e">
        <f>SUMIF(#REF!,Final!A698,#REF!)</f>
        <v>#REF!</v>
      </c>
      <c r="F698" s="1644" t="e">
        <f>SUMIF(#REF!,Final!A698,#REF!)</f>
        <v>#REF!</v>
      </c>
      <c r="G698" s="1597" t="e">
        <f t="shared" si="44"/>
        <v>#REF!</v>
      </c>
      <c r="H698" s="1644" t="e">
        <f t="shared" si="45"/>
        <v>#REF!</v>
      </c>
      <c r="I698" s="1597" t="e">
        <f t="shared" si="46"/>
        <v>#REF!</v>
      </c>
      <c r="J698" s="1644" t="e">
        <f t="shared" si="47"/>
        <v>#REF!</v>
      </c>
      <c r="M698" s="1545"/>
      <c r="N698" s="1545"/>
    </row>
    <row r="699" spans="1:93" ht="15.5">
      <c r="A699" s="1684" t="s">
        <v>4906</v>
      </c>
      <c r="B699" s="1703" t="s">
        <v>2645</v>
      </c>
      <c r="C699" s="1643" t="e">
        <f>+SUMIF(#REF!,Final!A699,#REF!)</f>
        <v>#REF!</v>
      </c>
      <c r="D699" s="1597" t="e">
        <f>+SUMIF(#REF!,Final!A699,#REF!)</f>
        <v>#REF!</v>
      </c>
      <c r="E699" s="1643" t="e">
        <f>SUMIF(#REF!,Final!A699,#REF!)</f>
        <v>#REF!</v>
      </c>
      <c r="F699" s="1644" t="e">
        <f>SUMIF(#REF!,Final!A699,#REF!)</f>
        <v>#REF!</v>
      </c>
      <c r="G699" s="1597" t="e">
        <f t="shared" si="44"/>
        <v>#REF!</v>
      </c>
      <c r="H699" s="1644" t="e">
        <f t="shared" si="45"/>
        <v>#REF!</v>
      </c>
      <c r="I699" s="1597" t="e">
        <f t="shared" si="46"/>
        <v>#REF!</v>
      </c>
      <c r="J699" s="1644" t="e">
        <f t="shared" si="47"/>
        <v>#REF!</v>
      </c>
      <c r="M699" s="1545"/>
      <c r="N699" s="1545"/>
    </row>
    <row r="700" spans="1:93" ht="15.5">
      <c r="A700" s="1684" t="s">
        <v>4907</v>
      </c>
      <c r="B700" s="1703" t="s">
        <v>2646</v>
      </c>
      <c r="C700" s="1643" t="e">
        <f>+SUMIF(#REF!,Final!A700,#REF!)</f>
        <v>#REF!</v>
      </c>
      <c r="D700" s="1597" t="e">
        <f>+SUMIF(#REF!,Final!A700,#REF!)</f>
        <v>#REF!</v>
      </c>
      <c r="E700" s="1643" t="e">
        <f>SUMIF(#REF!,Final!A700,#REF!)</f>
        <v>#REF!</v>
      </c>
      <c r="F700" s="1644" t="e">
        <f>SUMIF(#REF!,Final!A700,#REF!)</f>
        <v>#REF!</v>
      </c>
      <c r="G700" s="1597" t="e">
        <f t="shared" si="44"/>
        <v>#REF!</v>
      </c>
      <c r="H700" s="1644" t="e">
        <f t="shared" si="45"/>
        <v>#REF!</v>
      </c>
      <c r="I700" s="1597" t="e">
        <f t="shared" si="46"/>
        <v>#REF!</v>
      </c>
      <c r="J700" s="1644" t="e">
        <f t="shared" si="47"/>
        <v>#REF!</v>
      </c>
      <c r="M700" s="1545"/>
      <c r="N700" s="1545"/>
    </row>
    <row r="701" spans="1:93" ht="15.5">
      <c r="A701" s="1684" t="s">
        <v>4908</v>
      </c>
      <c r="B701" s="1703" t="s">
        <v>2647</v>
      </c>
      <c r="C701" s="1643" t="e">
        <f>+SUMIF(#REF!,Final!A701,#REF!)</f>
        <v>#REF!</v>
      </c>
      <c r="D701" s="1597" t="e">
        <f>+SUMIF(#REF!,Final!A701,#REF!)</f>
        <v>#REF!</v>
      </c>
      <c r="E701" s="1643" t="e">
        <f>SUMIF(#REF!,Final!A701,#REF!)</f>
        <v>#REF!</v>
      </c>
      <c r="F701" s="1644" t="e">
        <f>SUMIF(#REF!,Final!A701,#REF!)</f>
        <v>#REF!</v>
      </c>
      <c r="G701" s="1597" t="e">
        <f t="shared" si="44"/>
        <v>#REF!</v>
      </c>
      <c r="H701" s="1644" t="e">
        <f t="shared" si="45"/>
        <v>#REF!</v>
      </c>
      <c r="I701" s="1597" t="e">
        <f t="shared" si="46"/>
        <v>#REF!</v>
      </c>
      <c r="J701" s="1644" t="e">
        <f t="shared" si="47"/>
        <v>#REF!</v>
      </c>
      <c r="M701" s="1545"/>
      <c r="N701" s="1545"/>
    </row>
    <row r="702" spans="1:93" ht="15.5">
      <c r="A702" s="1684" t="s">
        <v>4909</v>
      </c>
      <c r="B702" s="1703" t="s">
        <v>2648</v>
      </c>
      <c r="C702" s="1643" t="e">
        <f>+SUMIF(#REF!,Final!A702,#REF!)</f>
        <v>#REF!</v>
      </c>
      <c r="D702" s="1597" t="e">
        <f>+SUMIF(#REF!,Final!A702,#REF!)</f>
        <v>#REF!</v>
      </c>
      <c r="E702" s="1643" t="e">
        <f>SUMIF(#REF!,Final!A702,#REF!)</f>
        <v>#REF!</v>
      </c>
      <c r="F702" s="1644" t="e">
        <f>SUMIF(#REF!,Final!A702,#REF!)</f>
        <v>#REF!</v>
      </c>
      <c r="G702" s="1597" t="e">
        <f t="shared" si="44"/>
        <v>#REF!</v>
      </c>
      <c r="H702" s="1644" t="e">
        <f t="shared" si="45"/>
        <v>#REF!</v>
      </c>
      <c r="I702" s="1597" t="e">
        <f t="shared" si="46"/>
        <v>#REF!</v>
      </c>
      <c r="J702" s="1644" t="e">
        <f t="shared" si="47"/>
        <v>#REF!</v>
      </c>
      <c r="M702" s="1545"/>
      <c r="N702" s="1545"/>
    </row>
    <row r="703" spans="1:93" ht="15.5">
      <c r="A703" s="1684" t="s">
        <v>4910</v>
      </c>
      <c r="B703" s="1703" t="s">
        <v>2649</v>
      </c>
      <c r="C703" s="1643" t="e">
        <f>+SUMIF(#REF!,Final!A703,#REF!)</f>
        <v>#REF!</v>
      </c>
      <c r="D703" s="1597" t="e">
        <f>+SUMIF(#REF!,Final!A703,#REF!)</f>
        <v>#REF!</v>
      </c>
      <c r="E703" s="1643" t="e">
        <f>SUMIF(#REF!,Final!A703,#REF!)</f>
        <v>#REF!</v>
      </c>
      <c r="F703" s="1644" t="e">
        <f>SUMIF(#REF!,Final!A703,#REF!)</f>
        <v>#REF!</v>
      </c>
      <c r="G703" s="1597" t="e">
        <f t="shared" si="44"/>
        <v>#REF!</v>
      </c>
      <c r="H703" s="1644" t="e">
        <f t="shared" si="45"/>
        <v>#REF!</v>
      </c>
      <c r="I703" s="1597" t="e">
        <f t="shared" si="46"/>
        <v>#REF!</v>
      </c>
      <c r="J703" s="1644" t="e">
        <f t="shared" si="47"/>
        <v>#REF!</v>
      </c>
      <c r="M703" s="1545"/>
      <c r="N703" s="1545"/>
    </row>
    <row r="704" spans="1:93" ht="15.5">
      <c r="A704" s="1684" t="s">
        <v>4911</v>
      </c>
      <c r="B704" s="1703" t="s">
        <v>2650</v>
      </c>
      <c r="C704" s="1643" t="e">
        <f>+SUMIF(#REF!,Final!A704,#REF!)</f>
        <v>#REF!</v>
      </c>
      <c r="D704" s="1597" t="e">
        <f>+SUMIF(#REF!,Final!A704,#REF!)</f>
        <v>#REF!</v>
      </c>
      <c r="E704" s="1643" t="e">
        <f>SUMIF(#REF!,Final!A704,#REF!)</f>
        <v>#REF!</v>
      </c>
      <c r="F704" s="1644" t="e">
        <f>SUMIF(#REF!,Final!A704,#REF!)</f>
        <v>#REF!</v>
      </c>
      <c r="G704" s="1597" t="e">
        <f t="shared" si="44"/>
        <v>#REF!</v>
      </c>
      <c r="H704" s="1644" t="e">
        <f t="shared" si="45"/>
        <v>#REF!</v>
      </c>
      <c r="I704" s="1597" t="e">
        <f t="shared" si="46"/>
        <v>#REF!</v>
      </c>
      <c r="J704" s="1644" t="e">
        <f t="shared" si="47"/>
        <v>#REF!</v>
      </c>
      <c r="M704" s="1545"/>
      <c r="N704" s="1545"/>
    </row>
    <row r="705" spans="1:93" ht="15.5">
      <c r="A705" s="1684" t="s">
        <v>4912</v>
      </c>
      <c r="B705" s="1703" t="s">
        <v>2652</v>
      </c>
      <c r="C705" s="1643" t="e">
        <f>+SUMIF(#REF!,Final!A705,#REF!)</f>
        <v>#REF!</v>
      </c>
      <c r="D705" s="1597" t="e">
        <f>+SUMIF(#REF!,Final!A705,#REF!)</f>
        <v>#REF!</v>
      </c>
      <c r="E705" s="1643" t="e">
        <f>SUMIF(#REF!,Final!A705,#REF!)</f>
        <v>#REF!</v>
      </c>
      <c r="F705" s="1644" t="e">
        <f>SUMIF(#REF!,Final!A705,#REF!)</f>
        <v>#REF!</v>
      </c>
      <c r="G705" s="1597" t="e">
        <f t="shared" si="44"/>
        <v>#REF!</v>
      </c>
      <c r="H705" s="1644" t="e">
        <f t="shared" si="45"/>
        <v>#REF!</v>
      </c>
      <c r="I705" s="1597" t="e">
        <f t="shared" si="46"/>
        <v>#REF!</v>
      </c>
      <c r="J705" s="1644" t="e">
        <f t="shared" si="47"/>
        <v>#REF!</v>
      </c>
      <c r="M705" s="1545"/>
      <c r="N705" s="1545"/>
    </row>
    <row r="706" spans="1:93" ht="15.5">
      <c r="A706" s="1786" t="s">
        <v>5189</v>
      </c>
      <c r="B706" s="1787" t="s">
        <v>2642</v>
      </c>
      <c r="C706" s="1643" t="e">
        <f>+SUMIF(#REF!,Final!A706,#REF!)</f>
        <v>#REF!</v>
      </c>
      <c r="D706" s="1597" t="e">
        <f>+SUMIF(#REF!,Final!A706,#REF!)</f>
        <v>#REF!</v>
      </c>
      <c r="E706" s="1643" t="e">
        <f>SUMIF(#REF!,Final!A706,#REF!)</f>
        <v>#REF!</v>
      </c>
      <c r="F706" s="1644" t="e">
        <f>SUMIF(#REF!,Final!A706,#REF!)</f>
        <v>#REF!</v>
      </c>
      <c r="G706" s="1597" t="e">
        <f t="shared" ref="G706:G715" si="52">C706+E706</f>
        <v>#REF!</v>
      </c>
      <c r="H706" s="1644" t="e">
        <f t="shared" ref="H706:H715" si="53">D706+F706</f>
        <v>#REF!</v>
      </c>
      <c r="I706" s="1597" t="e">
        <f t="shared" ref="I706:I715" si="54">IF(G706&gt;H706,G706-H706,0)</f>
        <v>#REF!</v>
      </c>
      <c r="J706" s="1644" t="e">
        <f t="shared" ref="J706:J715" si="55">IF(H706&gt;G706,H706-G706,0)</f>
        <v>#REF!</v>
      </c>
      <c r="M706" s="1545"/>
      <c r="N706" s="1545"/>
    </row>
    <row r="707" spans="1:93" ht="15.5">
      <c r="A707" s="1786" t="s">
        <v>5190</v>
      </c>
      <c r="B707" s="1787" t="s">
        <v>2643</v>
      </c>
      <c r="C707" s="1643" t="e">
        <f>+SUMIF(#REF!,Final!A707,#REF!)</f>
        <v>#REF!</v>
      </c>
      <c r="D707" s="1597" t="e">
        <f>+SUMIF(#REF!,Final!A707,#REF!)</f>
        <v>#REF!</v>
      </c>
      <c r="E707" s="1643" t="e">
        <f>SUMIF(#REF!,Final!A707,#REF!)</f>
        <v>#REF!</v>
      </c>
      <c r="F707" s="1644" t="e">
        <f>SUMIF(#REF!,Final!A707,#REF!)</f>
        <v>#REF!</v>
      </c>
      <c r="G707" s="1597" t="e">
        <f t="shared" si="52"/>
        <v>#REF!</v>
      </c>
      <c r="H707" s="1644" t="e">
        <f t="shared" si="53"/>
        <v>#REF!</v>
      </c>
      <c r="I707" s="1597" t="e">
        <f t="shared" si="54"/>
        <v>#REF!</v>
      </c>
      <c r="J707" s="1644" t="e">
        <f t="shared" si="55"/>
        <v>#REF!</v>
      </c>
      <c r="M707" s="1545"/>
      <c r="N707" s="1545"/>
    </row>
    <row r="708" spans="1:93" ht="15.5">
      <c r="A708" s="1786" t="s">
        <v>5191</v>
      </c>
      <c r="B708" s="1787" t="s">
        <v>2644</v>
      </c>
      <c r="C708" s="1643" t="e">
        <f>+SUMIF(#REF!,Final!A708,#REF!)</f>
        <v>#REF!</v>
      </c>
      <c r="D708" s="1597" t="e">
        <f>+SUMIF(#REF!,Final!A708,#REF!)</f>
        <v>#REF!</v>
      </c>
      <c r="E708" s="1643" t="e">
        <f>SUMIF(#REF!,Final!A708,#REF!)</f>
        <v>#REF!</v>
      </c>
      <c r="F708" s="1644" t="e">
        <f>SUMIF(#REF!,Final!A708,#REF!)</f>
        <v>#REF!</v>
      </c>
      <c r="G708" s="1597" t="e">
        <f t="shared" si="52"/>
        <v>#REF!</v>
      </c>
      <c r="H708" s="1644" t="e">
        <f t="shared" si="53"/>
        <v>#REF!</v>
      </c>
      <c r="I708" s="1597" t="e">
        <f t="shared" si="54"/>
        <v>#REF!</v>
      </c>
      <c r="J708" s="1644" t="e">
        <f t="shared" si="55"/>
        <v>#REF!</v>
      </c>
      <c r="M708" s="1545"/>
      <c r="N708" s="1545"/>
    </row>
    <row r="709" spans="1:93" ht="15.5">
      <c r="A709" s="1786" t="s">
        <v>5192</v>
      </c>
      <c r="B709" s="1787" t="s">
        <v>2645</v>
      </c>
      <c r="C709" s="1643" t="e">
        <f>+SUMIF(#REF!,Final!A709,#REF!)</f>
        <v>#REF!</v>
      </c>
      <c r="D709" s="1597" t="e">
        <f>+SUMIF(#REF!,Final!A709,#REF!)</f>
        <v>#REF!</v>
      </c>
      <c r="E709" s="1643" t="e">
        <f>SUMIF(#REF!,Final!A709,#REF!)</f>
        <v>#REF!</v>
      </c>
      <c r="F709" s="1644" t="e">
        <f>SUMIF(#REF!,Final!A709,#REF!)</f>
        <v>#REF!</v>
      </c>
      <c r="G709" s="1597" t="e">
        <f t="shared" si="52"/>
        <v>#REF!</v>
      </c>
      <c r="H709" s="1644" t="e">
        <f t="shared" si="53"/>
        <v>#REF!</v>
      </c>
      <c r="I709" s="1597" t="e">
        <f t="shared" si="54"/>
        <v>#REF!</v>
      </c>
      <c r="J709" s="1644" t="e">
        <f t="shared" si="55"/>
        <v>#REF!</v>
      </c>
      <c r="M709" s="1545"/>
      <c r="N709" s="1545"/>
    </row>
    <row r="710" spans="1:93" ht="15.5">
      <c r="A710" s="1786" t="s">
        <v>5193</v>
      </c>
      <c r="B710" s="1787" t="s">
        <v>2646</v>
      </c>
      <c r="C710" s="1643" t="e">
        <f>+SUMIF(#REF!,Final!A710,#REF!)</f>
        <v>#REF!</v>
      </c>
      <c r="D710" s="1597" t="e">
        <f>+SUMIF(#REF!,Final!A710,#REF!)</f>
        <v>#REF!</v>
      </c>
      <c r="E710" s="1643" t="e">
        <f>SUMIF(#REF!,Final!A710,#REF!)</f>
        <v>#REF!</v>
      </c>
      <c r="F710" s="1644" t="e">
        <f>SUMIF(#REF!,Final!A710,#REF!)</f>
        <v>#REF!</v>
      </c>
      <c r="G710" s="1597" t="e">
        <f t="shared" si="52"/>
        <v>#REF!</v>
      </c>
      <c r="H710" s="1644" t="e">
        <f t="shared" si="53"/>
        <v>#REF!</v>
      </c>
      <c r="I710" s="1597" t="e">
        <f t="shared" si="54"/>
        <v>#REF!</v>
      </c>
      <c r="J710" s="1644" t="e">
        <f t="shared" si="55"/>
        <v>#REF!</v>
      </c>
      <c r="M710" s="1545"/>
      <c r="N710" s="1545"/>
    </row>
    <row r="711" spans="1:93" ht="15.5">
      <c r="A711" s="1786" t="s">
        <v>5194</v>
      </c>
      <c r="B711" s="1787" t="s">
        <v>2647</v>
      </c>
      <c r="C711" s="1643" t="e">
        <f>+SUMIF(#REF!,Final!A711,#REF!)</f>
        <v>#REF!</v>
      </c>
      <c r="D711" s="1597" t="e">
        <f>+SUMIF(#REF!,Final!A711,#REF!)</f>
        <v>#REF!</v>
      </c>
      <c r="E711" s="1643" t="e">
        <f>SUMIF(#REF!,Final!A711,#REF!)</f>
        <v>#REF!</v>
      </c>
      <c r="F711" s="1644" t="e">
        <f>SUMIF(#REF!,Final!A711,#REF!)</f>
        <v>#REF!</v>
      </c>
      <c r="G711" s="1597" t="e">
        <f t="shared" si="52"/>
        <v>#REF!</v>
      </c>
      <c r="H711" s="1644" t="e">
        <f t="shared" si="53"/>
        <v>#REF!</v>
      </c>
      <c r="I711" s="1597" t="e">
        <f t="shared" si="54"/>
        <v>#REF!</v>
      </c>
      <c r="J711" s="1644" t="e">
        <f t="shared" si="55"/>
        <v>#REF!</v>
      </c>
      <c r="M711" s="1545"/>
      <c r="N711" s="1545"/>
    </row>
    <row r="712" spans="1:93" ht="15.5">
      <c r="A712" s="1786" t="s">
        <v>5195</v>
      </c>
      <c r="B712" s="1787" t="s">
        <v>2648</v>
      </c>
      <c r="C712" s="1643" t="e">
        <f>+SUMIF(#REF!,Final!A712,#REF!)</f>
        <v>#REF!</v>
      </c>
      <c r="D712" s="1597" t="e">
        <f>+SUMIF(#REF!,Final!A712,#REF!)</f>
        <v>#REF!</v>
      </c>
      <c r="E712" s="1643" t="e">
        <f>SUMIF(#REF!,Final!A712,#REF!)</f>
        <v>#REF!</v>
      </c>
      <c r="F712" s="1644" t="e">
        <f>SUMIF(#REF!,Final!A712,#REF!)</f>
        <v>#REF!</v>
      </c>
      <c r="G712" s="1597" t="e">
        <f t="shared" si="52"/>
        <v>#REF!</v>
      </c>
      <c r="H712" s="1644" t="e">
        <f t="shared" si="53"/>
        <v>#REF!</v>
      </c>
      <c r="I712" s="1597" t="e">
        <f t="shared" si="54"/>
        <v>#REF!</v>
      </c>
      <c r="J712" s="1644" t="e">
        <f t="shared" si="55"/>
        <v>#REF!</v>
      </c>
      <c r="M712" s="1545"/>
      <c r="N712" s="1545"/>
    </row>
    <row r="713" spans="1:93" ht="15.5">
      <c r="A713" s="1786" t="s">
        <v>5196</v>
      </c>
      <c r="B713" s="1787" t="s">
        <v>2649</v>
      </c>
      <c r="C713" s="1643" t="e">
        <f>+SUMIF(#REF!,Final!A713,#REF!)</f>
        <v>#REF!</v>
      </c>
      <c r="D713" s="1597" t="e">
        <f>+SUMIF(#REF!,Final!A713,#REF!)</f>
        <v>#REF!</v>
      </c>
      <c r="E713" s="1643" t="e">
        <f>SUMIF(#REF!,Final!A713,#REF!)</f>
        <v>#REF!</v>
      </c>
      <c r="F713" s="1644" t="e">
        <f>SUMIF(#REF!,Final!A713,#REF!)</f>
        <v>#REF!</v>
      </c>
      <c r="G713" s="1597" t="e">
        <f t="shared" si="52"/>
        <v>#REF!</v>
      </c>
      <c r="H713" s="1644" t="e">
        <f t="shared" si="53"/>
        <v>#REF!</v>
      </c>
      <c r="I713" s="1597" t="e">
        <f t="shared" si="54"/>
        <v>#REF!</v>
      </c>
      <c r="J713" s="1644" t="e">
        <f t="shared" si="55"/>
        <v>#REF!</v>
      </c>
      <c r="M713" s="1545"/>
      <c r="N713" s="1545"/>
    </row>
    <row r="714" spans="1:93" ht="15.5">
      <c r="A714" s="1786" t="s">
        <v>5197</v>
      </c>
      <c r="B714" s="1787" t="s">
        <v>2650</v>
      </c>
      <c r="C714" s="1643" t="e">
        <f>+SUMIF(#REF!,Final!A714,#REF!)</f>
        <v>#REF!</v>
      </c>
      <c r="D714" s="1597" t="e">
        <f>+SUMIF(#REF!,Final!A714,#REF!)</f>
        <v>#REF!</v>
      </c>
      <c r="E714" s="1643" t="e">
        <f>SUMIF(#REF!,Final!A714,#REF!)</f>
        <v>#REF!</v>
      </c>
      <c r="F714" s="1644" t="e">
        <f>SUMIF(#REF!,Final!A714,#REF!)</f>
        <v>#REF!</v>
      </c>
      <c r="G714" s="1597" t="e">
        <f t="shared" si="52"/>
        <v>#REF!</v>
      </c>
      <c r="H714" s="1644" t="e">
        <f t="shared" si="53"/>
        <v>#REF!</v>
      </c>
      <c r="I714" s="1597" t="e">
        <f t="shared" si="54"/>
        <v>#REF!</v>
      </c>
      <c r="J714" s="1644" t="e">
        <f t="shared" si="55"/>
        <v>#REF!</v>
      </c>
      <c r="M714" s="1545"/>
      <c r="N714" s="1545"/>
    </row>
    <row r="715" spans="1:93" ht="15.5">
      <c r="A715" s="1786" t="s">
        <v>5198</v>
      </c>
      <c r="B715" s="1787" t="s">
        <v>2652</v>
      </c>
      <c r="C715" s="1643" t="e">
        <f>+SUMIF(#REF!,Final!A715,#REF!)</f>
        <v>#REF!</v>
      </c>
      <c r="D715" s="1597" t="e">
        <f>+SUMIF(#REF!,Final!A715,#REF!)</f>
        <v>#REF!</v>
      </c>
      <c r="E715" s="1643" t="e">
        <f>SUMIF(#REF!,Final!A715,#REF!)</f>
        <v>#REF!</v>
      </c>
      <c r="F715" s="1644" t="e">
        <f>SUMIF(#REF!,Final!A715,#REF!)</f>
        <v>#REF!</v>
      </c>
      <c r="G715" s="1597" t="e">
        <f t="shared" si="52"/>
        <v>#REF!</v>
      </c>
      <c r="H715" s="1644" t="e">
        <f t="shared" si="53"/>
        <v>#REF!</v>
      </c>
      <c r="I715" s="1597" t="e">
        <f t="shared" si="54"/>
        <v>#REF!</v>
      </c>
      <c r="J715" s="1644" t="e">
        <f t="shared" si="55"/>
        <v>#REF!</v>
      </c>
      <c r="M715" s="1545"/>
      <c r="N715" s="1545"/>
    </row>
    <row r="716" spans="1:93" s="1552" customFormat="1" ht="15.5">
      <c r="A716" s="1598"/>
      <c r="B716" s="1599" t="s">
        <v>1747</v>
      </c>
      <c r="C716" s="1643" t="e">
        <f>+SUMIF(#REF!,Final!A716,#REF!)</f>
        <v>#REF!</v>
      </c>
      <c r="D716" s="1597" t="e">
        <f>+SUMIF(#REF!,Final!A716,#REF!)</f>
        <v>#REF!</v>
      </c>
      <c r="E716" s="1643" t="e">
        <f>SUMIF(#REF!,Final!A716,#REF!)</f>
        <v>#REF!</v>
      </c>
      <c r="F716" s="1644" t="e">
        <f>SUMIF(#REF!,Final!A716,#REF!)</f>
        <v>#REF!</v>
      </c>
      <c r="G716" s="1597" t="e">
        <f t="shared" si="44"/>
        <v>#REF!</v>
      </c>
      <c r="H716" s="1644" t="e">
        <f t="shared" si="45"/>
        <v>#REF!</v>
      </c>
      <c r="I716" s="1597" t="e">
        <f t="shared" si="46"/>
        <v>#REF!</v>
      </c>
      <c r="J716" s="1644" t="e">
        <f t="shared" si="47"/>
        <v>#REF!</v>
      </c>
      <c r="K716" s="1539"/>
      <c r="L716" s="1539"/>
      <c r="M716" s="1545"/>
      <c r="N716" s="1545"/>
      <c r="O716" s="1539"/>
      <c r="P716" s="1539"/>
      <c r="Q716" s="1539"/>
      <c r="R716" s="1539"/>
      <c r="S716" s="1539"/>
      <c r="T716" s="1539"/>
      <c r="U716" s="1539"/>
      <c r="V716" s="1539"/>
      <c r="W716" s="1539"/>
      <c r="X716" s="1539"/>
      <c r="Y716" s="1539"/>
      <c r="Z716" s="1539"/>
      <c r="AA716" s="1539"/>
      <c r="AB716" s="1539"/>
      <c r="AC716" s="1539"/>
      <c r="AD716" s="1539"/>
      <c r="AE716" s="1539"/>
      <c r="AF716" s="1539"/>
      <c r="AG716" s="1539"/>
      <c r="AH716" s="1539"/>
      <c r="AI716" s="1539"/>
      <c r="AJ716" s="1539"/>
      <c r="AK716" s="1539"/>
      <c r="AL716" s="1539"/>
      <c r="AM716" s="1539"/>
      <c r="AN716" s="1539"/>
      <c r="AO716" s="1539"/>
      <c r="AP716" s="1539"/>
      <c r="AQ716" s="1539"/>
      <c r="AR716" s="1539"/>
      <c r="AS716" s="1539"/>
      <c r="AT716" s="1539"/>
      <c r="AU716" s="1539"/>
      <c r="AV716" s="1539"/>
      <c r="AW716" s="1539"/>
      <c r="AX716" s="1539"/>
      <c r="AY716" s="1539"/>
      <c r="AZ716" s="1539"/>
      <c r="BA716" s="1539"/>
      <c r="BB716" s="1539"/>
      <c r="BC716" s="1539"/>
      <c r="BD716" s="1539"/>
      <c r="BE716" s="1539"/>
      <c r="BF716" s="1539"/>
      <c r="BG716" s="1539"/>
      <c r="BH716" s="1539"/>
      <c r="BI716" s="1539"/>
      <c r="BJ716" s="1539"/>
      <c r="BK716" s="1539"/>
      <c r="BL716" s="1539"/>
      <c r="BM716" s="1539"/>
      <c r="BN716" s="1539"/>
      <c r="BO716" s="1539"/>
      <c r="BP716" s="1539"/>
      <c r="BQ716" s="1539"/>
      <c r="BR716" s="1539"/>
      <c r="BS716" s="1539"/>
      <c r="BT716" s="1539"/>
      <c r="BU716" s="1539"/>
      <c r="BV716" s="1539"/>
      <c r="BW716" s="1539"/>
      <c r="BX716" s="1539"/>
      <c r="BY716" s="1539"/>
      <c r="BZ716" s="1539"/>
      <c r="CA716" s="1539"/>
      <c r="CB716" s="1539"/>
      <c r="CC716" s="1539"/>
      <c r="CD716" s="1539"/>
      <c r="CE716" s="1539"/>
      <c r="CF716" s="1539"/>
      <c r="CG716" s="1539"/>
      <c r="CH716" s="1539"/>
      <c r="CI716" s="1539"/>
      <c r="CJ716" s="1539"/>
      <c r="CK716" s="1539"/>
      <c r="CL716" s="1539"/>
      <c r="CM716" s="1539"/>
      <c r="CN716" s="1539"/>
      <c r="CO716" s="1539"/>
    </row>
    <row r="717" spans="1:93" s="1552" customFormat="1" ht="15.5">
      <c r="A717" s="1598"/>
      <c r="B717" s="1599" t="s">
        <v>1760</v>
      </c>
      <c r="C717" s="1643" t="e">
        <f>+SUMIF(#REF!,Final!A717,#REF!)</f>
        <v>#REF!</v>
      </c>
      <c r="D717" s="1597" t="e">
        <f>+SUMIF(#REF!,Final!A717,#REF!)</f>
        <v>#REF!</v>
      </c>
      <c r="E717" s="1643" t="e">
        <f>SUMIF(#REF!,Final!A717,#REF!)</f>
        <v>#REF!</v>
      </c>
      <c r="F717" s="1644" t="e">
        <f>SUMIF(#REF!,Final!A717,#REF!)</f>
        <v>#REF!</v>
      </c>
      <c r="G717" s="1597" t="e">
        <f t="shared" si="44"/>
        <v>#REF!</v>
      </c>
      <c r="H717" s="1644" t="e">
        <f t="shared" si="45"/>
        <v>#REF!</v>
      </c>
      <c r="I717" s="1597" t="e">
        <f t="shared" si="46"/>
        <v>#REF!</v>
      </c>
      <c r="J717" s="1644" t="e">
        <f t="shared" si="47"/>
        <v>#REF!</v>
      </c>
      <c r="K717" s="1539"/>
      <c r="L717" s="1539"/>
      <c r="M717" s="1545"/>
      <c r="N717" s="1545"/>
      <c r="O717" s="1539"/>
      <c r="P717" s="1539"/>
      <c r="Q717" s="1539"/>
      <c r="R717" s="1539"/>
      <c r="S717" s="1539"/>
      <c r="T717" s="1539"/>
      <c r="U717" s="1539"/>
      <c r="V717" s="1539"/>
      <c r="W717" s="1539"/>
      <c r="X717" s="1539"/>
      <c r="Y717" s="1539"/>
      <c r="Z717" s="1539"/>
      <c r="AA717" s="1539"/>
      <c r="AB717" s="1539"/>
      <c r="AC717" s="1539"/>
      <c r="AD717" s="1539"/>
      <c r="AE717" s="1539"/>
      <c r="AF717" s="1539"/>
      <c r="AG717" s="1539"/>
      <c r="AH717" s="1539"/>
      <c r="AI717" s="1539"/>
      <c r="AJ717" s="1539"/>
      <c r="AK717" s="1539"/>
      <c r="AL717" s="1539"/>
      <c r="AM717" s="1539"/>
      <c r="AN717" s="1539"/>
      <c r="AO717" s="1539"/>
      <c r="AP717" s="1539"/>
      <c r="AQ717" s="1539"/>
      <c r="AR717" s="1539"/>
      <c r="AS717" s="1539"/>
      <c r="AT717" s="1539"/>
      <c r="AU717" s="1539"/>
      <c r="AV717" s="1539"/>
      <c r="AW717" s="1539"/>
      <c r="AX717" s="1539"/>
      <c r="AY717" s="1539"/>
      <c r="AZ717" s="1539"/>
      <c r="BA717" s="1539"/>
      <c r="BB717" s="1539"/>
      <c r="BC717" s="1539"/>
      <c r="BD717" s="1539"/>
      <c r="BE717" s="1539"/>
      <c r="BF717" s="1539"/>
      <c r="BG717" s="1539"/>
      <c r="BH717" s="1539"/>
      <c r="BI717" s="1539"/>
      <c r="BJ717" s="1539"/>
      <c r="BK717" s="1539"/>
      <c r="BL717" s="1539"/>
      <c r="BM717" s="1539"/>
      <c r="BN717" s="1539"/>
      <c r="BO717" s="1539"/>
      <c r="BP717" s="1539"/>
      <c r="BQ717" s="1539"/>
      <c r="BR717" s="1539"/>
      <c r="BS717" s="1539"/>
      <c r="BT717" s="1539"/>
      <c r="BU717" s="1539"/>
      <c r="BV717" s="1539"/>
      <c r="BW717" s="1539"/>
      <c r="BX717" s="1539"/>
      <c r="BY717" s="1539"/>
      <c r="BZ717" s="1539"/>
      <c r="CA717" s="1539"/>
      <c r="CB717" s="1539"/>
      <c r="CC717" s="1539"/>
      <c r="CD717" s="1539"/>
      <c r="CE717" s="1539"/>
      <c r="CF717" s="1539"/>
      <c r="CG717" s="1539"/>
      <c r="CH717" s="1539"/>
      <c r="CI717" s="1539"/>
      <c r="CJ717" s="1539"/>
      <c r="CK717" s="1539"/>
      <c r="CL717" s="1539"/>
      <c r="CM717" s="1539"/>
      <c r="CN717" s="1539"/>
      <c r="CO717" s="1539"/>
    </row>
    <row r="718" spans="1:93" s="1542" customFormat="1" ht="15.5">
      <c r="A718" s="1598" t="s">
        <v>1102</v>
      </c>
      <c r="B718" s="1599" t="s">
        <v>2628</v>
      </c>
      <c r="C718" s="1643" t="e">
        <f>+SUMIF(#REF!,Final!A718,#REF!)</f>
        <v>#REF!</v>
      </c>
      <c r="D718" s="1597" t="e">
        <f>+SUMIF(#REF!,Final!A718,#REF!)</f>
        <v>#REF!</v>
      </c>
      <c r="E718" s="1643" t="e">
        <f>SUMIF(#REF!,Final!A718,#REF!)</f>
        <v>#REF!</v>
      </c>
      <c r="F718" s="1644" t="e">
        <f>SUMIF(#REF!,Final!A718,#REF!)</f>
        <v>#REF!</v>
      </c>
      <c r="G718" s="1597" t="e">
        <f t="shared" si="44"/>
        <v>#REF!</v>
      </c>
      <c r="H718" s="1644" t="e">
        <f t="shared" si="45"/>
        <v>#REF!</v>
      </c>
      <c r="I718" s="1597" t="e">
        <f t="shared" si="46"/>
        <v>#REF!</v>
      </c>
      <c r="J718" s="1644" t="e">
        <f t="shared" si="47"/>
        <v>#REF!</v>
      </c>
      <c r="K718" s="1539"/>
      <c r="L718" s="1539"/>
      <c r="M718" s="1545"/>
      <c r="N718" s="1545"/>
      <c r="O718" s="1539"/>
      <c r="P718" s="1539"/>
      <c r="Q718" s="1539"/>
      <c r="R718" s="1539"/>
      <c r="S718" s="1539"/>
      <c r="T718" s="1539"/>
      <c r="U718" s="1539"/>
      <c r="V718" s="1539"/>
      <c r="W718" s="1539"/>
      <c r="X718" s="1539"/>
      <c r="Y718" s="1539"/>
      <c r="Z718" s="1539"/>
      <c r="AA718" s="1539"/>
      <c r="AB718" s="1539"/>
      <c r="AC718" s="1539"/>
      <c r="AD718" s="1539"/>
      <c r="AE718" s="1539"/>
      <c r="AF718" s="1539"/>
      <c r="AG718" s="1539"/>
      <c r="AH718" s="1539"/>
      <c r="AI718" s="1539"/>
      <c r="AJ718" s="1539"/>
      <c r="AK718" s="1539"/>
      <c r="AL718" s="1539"/>
      <c r="AM718" s="1539"/>
      <c r="AN718" s="1539"/>
      <c r="AO718" s="1539"/>
      <c r="AP718" s="1539"/>
      <c r="AQ718" s="1539"/>
      <c r="AR718" s="1539"/>
      <c r="AS718" s="1539"/>
      <c r="AT718" s="1539"/>
      <c r="AU718" s="1539"/>
      <c r="AV718" s="1539"/>
      <c r="AW718" s="1539"/>
      <c r="AX718" s="1539"/>
      <c r="AY718" s="1539"/>
      <c r="AZ718" s="1539"/>
      <c r="BA718" s="1539"/>
      <c r="BB718" s="1539"/>
      <c r="BC718" s="1539"/>
      <c r="BD718" s="1539"/>
      <c r="BE718" s="1539"/>
      <c r="BF718" s="1539"/>
      <c r="BG718" s="1539"/>
      <c r="BH718" s="1539"/>
      <c r="BI718" s="1539"/>
      <c r="BJ718" s="1539"/>
      <c r="BK718" s="1539"/>
      <c r="BL718" s="1539"/>
      <c r="BM718" s="1539"/>
      <c r="BN718" s="1539"/>
      <c r="BO718" s="1539"/>
      <c r="BP718" s="1539"/>
      <c r="BQ718" s="1539"/>
      <c r="BR718" s="1539"/>
      <c r="BS718" s="1539"/>
      <c r="BT718" s="1539"/>
      <c r="BU718" s="1539"/>
      <c r="BV718" s="1539"/>
      <c r="BW718" s="1539"/>
      <c r="BX718" s="1539"/>
      <c r="BY718" s="1539"/>
      <c r="BZ718" s="1539"/>
      <c r="CA718" s="1539"/>
      <c r="CB718" s="1539"/>
      <c r="CC718" s="1539"/>
      <c r="CD718" s="1539"/>
      <c r="CE718" s="1539"/>
      <c r="CF718" s="1539"/>
      <c r="CG718" s="1539"/>
      <c r="CH718" s="1539"/>
      <c r="CI718" s="1539"/>
      <c r="CJ718" s="1539"/>
      <c r="CK718" s="1539"/>
      <c r="CL718" s="1539"/>
      <c r="CM718" s="1539"/>
      <c r="CN718" s="1539"/>
      <c r="CO718" s="1539"/>
    </row>
    <row r="719" spans="1:93" s="1542" customFormat="1" ht="15.5">
      <c r="A719" s="1598" t="s">
        <v>444</v>
      </c>
      <c r="B719" s="1599" t="s">
        <v>570</v>
      </c>
      <c r="C719" s="1643" t="e">
        <f>+SUMIF(#REF!,Final!A719,#REF!)</f>
        <v>#REF!</v>
      </c>
      <c r="D719" s="1597" t="e">
        <f>+SUMIF(#REF!,Final!A719,#REF!)</f>
        <v>#REF!</v>
      </c>
      <c r="E719" s="1643" t="e">
        <f>SUMIF(#REF!,Final!A719,#REF!)</f>
        <v>#REF!</v>
      </c>
      <c r="F719" s="1644" t="e">
        <f>SUMIF(#REF!,Final!A719,#REF!)</f>
        <v>#REF!</v>
      </c>
      <c r="G719" s="1597" t="e">
        <f t="shared" si="44"/>
        <v>#REF!</v>
      </c>
      <c r="H719" s="1644" t="e">
        <f t="shared" si="45"/>
        <v>#REF!</v>
      </c>
      <c r="I719" s="1597" t="e">
        <f t="shared" si="46"/>
        <v>#REF!</v>
      </c>
      <c r="J719" s="1644" t="e">
        <f t="shared" si="47"/>
        <v>#REF!</v>
      </c>
      <c r="K719" s="1539"/>
      <c r="L719" s="1539"/>
      <c r="M719" s="1545"/>
      <c r="N719" s="1545"/>
      <c r="O719" s="1539"/>
      <c r="P719" s="1539"/>
      <c r="Q719" s="1539"/>
      <c r="R719" s="1539"/>
      <c r="S719" s="1539"/>
      <c r="T719" s="1539"/>
      <c r="U719" s="1539"/>
      <c r="V719" s="1539"/>
      <c r="W719" s="1539"/>
      <c r="X719" s="1539"/>
      <c r="Y719" s="1539"/>
      <c r="Z719" s="1539"/>
      <c r="AA719" s="1539"/>
      <c r="AB719" s="1539"/>
      <c r="AC719" s="1539"/>
      <c r="AD719" s="1539"/>
      <c r="AE719" s="1539"/>
      <c r="AF719" s="1539"/>
      <c r="AG719" s="1539"/>
      <c r="AH719" s="1539"/>
      <c r="AI719" s="1539"/>
      <c r="AJ719" s="1539"/>
      <c r="AK719" s="1539"/>
      <c r="AL719" s="1539"/>
      <c r="AM719" s="1539"/>
      <c r="AN719" s="1539"/>
      <c r="AO719" s="1539"/>
      <c r="AP719" s="1539"/>
      <c r="AQ719" s="1539"/>
      <c r="AR719" s="1539"/>
      <c r="AS719" s="1539"/>
      <c r="AT719" s="1539"/>
      <c r="AU719" s="1539"/>
      <c r="AV719" s="1539"/>
      <c r="AW719" s="1539"/>
      <c r="AX719" s="1539"/>
      <c r="AY719" s="1539"/>
      <c r="AZ719" s="1539"/>
      <c r="BA719" s="1539"/>
      <c r="BB719" s="1539"/>
      <c r="BC719" s="1539"/>
      <c r="BD719" s="1539"/>
      <c r="BE719" s="1539"/>
      <c r="BF719" s="1539"/>
      <c r="BG719" s="1539"/>
      <c r="BH719" s="1539"/>
      <c r="BI719" s="1539"/>
      <c r="BJ719" s="1539"/>
      <c r="BK719" s="1539"/>
      <c r="BL719" s="1539"/>
      <c r="BM719" s="1539"/>
      <c r="BN719" s="1539"/>
      <c r="BO719" s="1539"/>
      <c r="BP719" s="1539"/>
      <c r="BQ719" s="1539"/>
      <c r="BR719" s="1539"/>
      <c r="BS719" s="1539"/>
      <c r="BT719" s="1539"/>
      <c r="BU719" s="1539"/>
      <c r="BV719" s="1539"/>
      <c r="BW719" s="1539"/>
      <c r="BX719" s="1539"/>
      <c r="BY719" s="1539"/>
      <c r="BZ719" s="1539"/>
      <c r="CA719" s="1539"/>
      <c r="CB719" s="1539"/>
      <c r="CC719" s="1539"/>
      <c r="CD719" s="1539"/>
      <c r="CE719" s="1539"/>
      <c r="CF719" s="1539"/>
      <c r="CG719" s="1539"/>
      <c r="CH719" s="1539"/>
      <c r="CI719" s="1539"/>
      <c r="CJ719" s="1539"/>
      <c r="CK719" s="1539"/>
      <c r="CL719" s="1539"/>
      <c r="CM719" s="1539"/>
      <c r="CN719" s="1539"/>
      <c r="CO719" s="1539"/>
    </row>
    <row r="720" spans="1:93" ht="15.5">
      <c r="A720" s="1598">
        <v>22.300999999999998</v>
      </c>
      <c r="B720" s="1599" t="s">
        <v>2653</v>
      </c>
      <c r="C720" s="1643" t="e">
        <f>+SUMIF(#REF!,Final!A720,#REF!)</f>
        <v>#REF!</v>
      </c>
      <c r="D720" s="1597" t="e">
        <f>+SUMIF(#REF!,Final!A720,#REF!)</f>
        <v>#REF!</v>
      </c>
      <c r="E720" s="1643" t="e">
        <f>SUMIF(#REF!,Final!A720,#REF!)</f>
        <v>#REF!</v>
      </c>
      <c r="F720" s="1644" t="e">
        <f>SUMIF(#REF!,Final!A720,#REF!)</f>
        <v>#REF!</v>
      </c>
      <c r="G720" s="1597" t="e">
        <f t="shared" si="44"/>
        <v>#REF!</v>
      </c>
      <c r="H720" s="1644" t="e">
        <f t="shared" si="45"/>
        <v>#REF!</v>
      </c>
      <c r="I720" s="1597" t="e">
        <f t="shared" si="46"/>
        <v>#REF!</v>
      </c>
      <c r="J720" s="1644" t="e">
        <f t="shared" si="47"/>
        <v>#REF!</v>
      </c>
      <c r="M720" s="1545"/>
      <c r="N720" s="1545"/>
    </row>
    <row r="721" spans="1:14" ht="15.5">
      <c r="A721" s="1598">
        <v>22.303000000000001</v>
      </c>
      <c r="B721" s="1599" t="s">
        <v>2654</v>
      </c>
      <c r="C721" s="1643" t="e">
        <f>+SUMIF(#REF!,Final!A721,#REF!)</f>
        <v>#REF!</v>
      </c>
      <c r="D721" s="1597" t="e">
        <f>+SUMIF(#REF!,Final!A721,#REF!)</f>
        <v>#REF!</v>
      </c>
      <c r="E721" s="1643" t="e">
        <f>SUMIF(#REF!,Final!A721,#REF!)</f>
        <v>#REF!</v>
      </c>
      <c r="F721" s="1644" t="e">
        <f>SUMIF(#REF!,Final!A721,#REF!)</f>
        <v>#REF!</v>
      </c>
      <c r="G721" s="1597" t="e">
        <f t="shared" si="44"/>
        <v>#REF!</v>
      </c>
      <c r="H721" s="1644" t="e">
        <f t="shared" si="45"/>
        <v>#REF!</v>
      </c>
      <c r="I721" s="1597" t="e">
        <f t="shared" si="46"/>
        <v>#REF!</v>
      </c>
      <c r="J721" s="1644" t="e">
        <f t="shared" si="47"/>
        <v>#REF!</v>
      </c>
      <c r="M721" s="1545"/>
      <c r="N721" s="1545"/>
    </row>
    <row r="722" spans="1:14" ht="15.5">
      <c r="A722" s="1598">
        <v>22.303999999999998</v>
      </c>
      <c r="B722" s="1599" t="s">
        <v>2655</v>
      </c>
      <c r="C722" s="1643" t="e">
        <f>+SUMIF(#REF!,Final!A722,#REF!)</f>
        <v>#REF!</v>
      </c>
      <c r="D722" s="1597" t="e">
        <f>+SUMIF(#REF!,Final!A722,#REF!)</f>
        <v>#REF!</v>
      </c>
      <c r="E722" s="1643" t="e">
        <f>SUMIF(#REF!,Final!A722,#REF!)</f>
        <v>#REF!</v>
      </c>
      <c r="F722" s="1644" t="e">
        <f>SUMIF(#REF!,Final!A722,#REF!)</f>
        <v>#REF!</v>
      </c>
      <c r="G722" s="1597" t="e">
        <f t="shared" si="44"/>
        <v>#REF!</v>
      </c>
      <c r="H722" s="1644" t="e">
        <f t="shared" si="45"/>
        <v>#REF!</v>
      </c>
      <c r="I722" s="1597" t="e">
        <f t="shared" si="46"/>
        <v>#REF!</v>
      </c>
      <c r="J722" s="1644" t="e">
        <f t="shared" si="47"/>
        <v>#REF!</v>
      </c>
      <c r="M722" s="1545"/>
      <c r="N722" s="1545"/>
    </row>
    <row r="723" spans="1:14" ht="15.5">
      <c r="A723" s="1598">
        <v>22.305</v>
      </c>
      <c r="B723" s="1599" t="s">
        <v>2656</v>
      </c>
      <c r="C723" s="1643" t="e">
        <f>+SUMIF(#REF!,Final!A723,#REF!)</f>
        <v>#REF!</v>
      </c>
      <c r="D723" s="1597" t="e">
        <f>+SUMIF(#REF!,Final!A723,#REF!)</f>
        <v>#REF!</v>
      </c>
      <c r="E723" s="1643" t="e">
        <f>SUMIF(#REF!,Final!A723,#REF!)</f>
        <v>#REF!</v>
      </c>
      <c r="F723" s="1644" t="e">
        <f>SUMIF(#REF!,Final!A723,#REF!)</f>
        <v>#REF!</v>
      </c>
      <c r="G723" s="1597" t="e">
        <f t="shared" si="44"/>
        <v>#REF!</v>
      </c>
      <c r="H723" s="1644" t="e">
        <f t="shared" si="45"/>
        <v>#REF!</v>
      </c>
      <c r="I723" s="1597" t="e">
        <f t="shared" si="46"/>
        <v>#REF!</v>
      </c>
      <c r="J723" s="1644" t="e">
        <f t="shared" si="47"/>
        <v>#REF!</v>
      </c>
      <c r="M723" s="1545"/>
      <c r="N723" s="1545"/>
    </row>
    <row r="724" spans="1:14" ht="15.5">
      <c r="A724" s="1598">
        <v>22.306000000000001</v>
      </c>
      <c r="B724" s="1599" t="s">
        <v>2657</v>
      </c>
      <c r="C724" s="1643" t="e">
        <f>+SUMIF(#REF!,Final!A724,#REF!)</f>
        <v>#REF!</v>
      </c>
      <c r="D724" s="1597" t="e">
        <f>+SUMIF(#REF!,Final!A724,#REF!)</f>
        <v>#REF!</v>
      </c>
      <c r="E724" s="1643" t="e">
        <f>SUMIF(#REF!,Final!A724,#REF!)</f>
        <v>#REF!</v>
      </c>
      <c r="F724" s="1644" t="e">
        <f>SUMIF(#REF!,Final!A724,#REF!)</f>
        <v>#REF!</v>
      </c>
      <c r="G724" s="1597" t="e">
        <f t="shared" si="44"/>
        <v>#REF!</v>
      </c>
      <c r="H724" s="1644" t="e">
        <f t="shared" si="45"/>
        <v>#REF!</v>
      </c>
      <c r="I724" s="1597" t="e">
        <f t="shared" si="46"/>
        <v>#REF!</v>
      </c>
      <c r="J724" s="1644" t="e">
        <f t="shared" si="47"/>
        <v>#REF!</v>
      </c>
      <c r="M724" s="1545"/>
      <c r="N724" s="1545"/>
    </row>
    <row r="725" spans="1:14" ht="15.5">
      <c r="A725" s="1598">
        <v>22.306999999999999</v>
      </c>
      <c r="B725" s="1599" t="s">
        <v>2658</v>
      </c>
      <c r="C725" s="1643" t="e">
        <f>+SUMIF(#REF!,Final!A725,#REF!)</f>
        <v>#REF!</v>
      </c>
      <c r="D725" s="1597" t="e">
        <f>+SUMIF(#REF!,Final!A725,#REF!)</f>
        <v>#REF!</v>
      </c>
      <c r="E725" s="1643" t="e">
        <f>SUMIF(#REF!,Final!A725,#REF!)</f>
        <v>#REF!</v>
      </c>
      <c r="F725" s="1644" t="e">
        <f>SUMIF(#REF!,Final!A725,#REF!)</f>
        <v>#REF!</v>
      </c>
      <c r="G725" s="1597" t="e">
        <f t="shared" si="44"/>
        <v>#REF!</v>
      </c>
      <c r="H725" s="1644" t="e">
        <f t="shared" si="45"/>
        <v>#REF!</v>
      </c>
      <c r="I725" s="1597" t="e">
        <f t="shared" si="46"/>
        <v>#REF!</v>
      </c>
      <c r="J725" s="1644" t="e">
        <f t="shared" si="47"/>
        <v>#REF!</v>
      </c>
      <c r="M725" s="1545"/>
      <c r="N725" s="1545"/>
    </row>
    <row r="726" spans="1:14" ht="15.5">
      <c r="A726" s="1598">
        <v>22.308</v>
      </c>
      <c r="B726" s="1599" t="s">
        <v>2659</v>
      </c>
      <c r="C726" s="1643" t="e">
        <f>+SUMIF(#REF!,Final!A726,#REF!)</f>
        <v>#REF!</v>
      </c>
      <c r="D726" s="1597" t="e">
        <f>+SUMIF(#REF!,Final!A726,#REF!)</f>
        <v>#REF!</v>
      </c>
      <c r="E726" s="1643" t="e">
        <f>SUMIF(#REF!,Final!A726,#REF!)</f>
        <v>#REF!</v>
      </c>
      <c r="F726" s="1644" t="e">
        <f>SUMIF(#REF!,Final!A726,#REF!)</f>
        <v>#REF!</v>
      </c>
      <c r="G726" s="1597" t="e">
        <f t="shared" si="44"/>
        <v>#REF!</v>
      </c>
      <c r="H726" s="1644" t="e">
        <f t="shared" si="45"/>
        <v>#REF!</v>
      </c>
      <c r="I726" s="1597" t="e">
        <f t="shared" si="46"/>
        <v>#REF!</v>
      </c>
      <c r="J726" s="1644" t="e">
        <f t="shared" si="47"/>
        <v>#REF!</v>
      </c>
      <c r="M726" s="1545"/>
      <c r="N726" s="1545"/>
    </row>
    <row r="727" spans="1:14" ht="15.5">
      <c r="A727" s="1598">
        <v>22.309000000000001</v>
      </c>
      <c r="B727" s="1599" t="s">
        <v>2660</v>
      </c>
      <c r="C727" s="1643" t="e">
        <f>+SUMIF(#REF!,Final!A727,#REF!)</f>
        <v>#REF!</v>
      </c>
      <c r="D727" s="1597" t="e">
        <f>+SUMIF(#REF!,Final!A727,#REF!)</f>
        <v>#REF!</v>
      </c>
      <c r="E727" s="1643" t="e">
        <f>SUMIF(#REF!,Final!A727,#REF!)</f>
        <v>#REF!</v>
      </c>
      <c r="F727" s="1644" t="e">
        <f>SUMIF(#REF!,Final!A727,#REF!)</f>
        <v>#REF!</v>
      </c>
      <c r="G727" s="1597" t="e">
        <f t="shared" si="44"/>
        <v>#REF!</v>
      </c>
      <c r="H727" s="1644" t="e">
        <f t="shared" si="45"/>
        <v>#REF!</v>
      </c>
      <c r="I727" s="1597" t="e">
        <f t="shared" si="46"/>
        <v>#REF!</v>
      </c>
      <c r="J727" s="1644" t="e">
        <f t="shared" si="47"/>
        <v>#REF!</v>
      </c>
      <c r="M727" s="1545"/>
      <c r="N727" s="1545"/>
    </row>
    <row r="728" spans="1:14" ht="15.5">
      <c r="A728" s="1600">
        <v>22.31</v>
      </c>
      <c r="B728" s="1599" t="s">
        <v>2661</v>
      </c>
      <c r="C728" s="1643" t="e">
        <f>+SUMIF(#REF!,Final!A728,#REF!)</f>
        <v>#REF!</v>
      </c>
      <c r="D728" s="1597" t="e">
        <f>+SUMIF(#REF!,Final!A728,#REF!)</f>
        <v>#REF!</v>
      </c>
      <c r="E728" s="1643" t="e">
        <f>SUMIF(#REF!,Final!A728,#REF!)</f>
        <v>#REF!</v>
      </c>
      <c r="F728" s="1644" t="e">
        <f>SUMIF(#REF!,Final!A728,#REF!)</f>
        <v>#REF!</v>
      </c>
      <c r="G728" s="1597" t="e">
        <f t="shared" si="44"/>
        <v>#REF!</v>
      </c>
      <c r="H728" s="1644" t="e">
        <f t="shared" si="45"/>
        <v>#REF!</v>
      </c>
      <c r="I728" s="1597" t="e">
        <f t="shared" si="46"/>
        <v>#REF!</v>
      </c>
      <c r="J728" s="1644" t="e">
        <f t="shared" si="47"/>
        <v>#REF!</v>
      </c>
      <c r="M728" s="1545"/>
      <c r="N728" s="1545"/>
    </row>
    <row r="729" spans="1:14" ht="15.5">
      <c r="A729" s="1598">
        <v>22.312999999999999</v>
      </c>
      <c r="B729" s="1599" t="s">
        <v>2662</v>
      </c>
      <c r="C729" s="1643" t="e">
        <f>+SUMIF(#REF!,Final!A729,#REF!)</f>
        <v>#REF!</v>
      </c>
      <c r="D729" s="1597" t="e">
        <f>+SUMIF(#REF!,Final!A729,#REF!)</f>
        <v>#REF!</v>
      </c>
      <c r="E729" s="1643" t="e">
        <f>SUMIF(#REF!,Final!A729,#REF!)</f>
        <v>#REF!</v>
      </c>
      <c r="F729" s="1644" t="e">
        <f>SUMIF(#REF!,Final!A729,#REF!)</f>
        <v>#REF!</v>
      </c>
      <c r="G729" s="1597" t="e">
        <f t="shared" si="44"/>
        <v>#REF!</v>
      </c>
      <c r="H729" s="1644" t="e">
        <f t="shared" si="45"/>
        <v>#REF!</v>
      </c>
      <c r="I729" s="1597" t="e">
        <f t="shared" si="46"/>
        <v>#REF!</v>
      </c>
      <c r="J729" s="1644" t="e">
        <f t="shared" si="47"/>
        <v>#REF!</v>
      </c>
      <c r="M729" s="1545"/>
      <c r="N729" s="1545"/>
    </row>
    <row r="730" spans="1:14" ht="15.5">
      <c r="A730" s="1678">
        <v>22.314</v>
      </c>
      <c r="B730" s="1697" t="s">
        <v>2631</v>
      </c>
      <c r="C730" s="1643" t="e">
        <f>+SUMIF(#REF!,Final!A730,#REF!)</f>
        <v>#REF!</v>
      </c>
      <c r="D730" s="1597" t="e">
        <f>+SUMIF(#REF!,Final!A730,#REF!)</f>
        <v>#REF!</v>
      </c>
      <c r="E730" s="1643" t="e">
        <f>SUMIF(#REF!,Final!A730,#REF!)</f>
        <v>#REF!</v>
      </c>
      <c r="F730" s="1644" t="e">
        <f>SUMIF(#REF!,Final!A730,#REF!)</f>
        <v>#REF!</v>
      </c>
      <c r="G730" s="1597" t="e">
        <f t="shared" si="44"/>
        <v>#REF!</v>
      </c>
      <c r="H730" s="1644" t="e">
        <f t="shared" si="45"/>
        <v>#REF!</v>
      </c>
      <c r="I730" s="1597" t="e">
        <f t="shared" si="46"/>
        <v>#REF!</v>
      </c>
      <c r="J730" s="1644" t="e">
        <f t="shared" si="47"/>
        <v>#REF!</v>
      </c>
      <c r="M730" s="1545"/>
      <c r="N730" s="1545"/>
    </row>
    <row r="731" spans="1:14" ht="15.5">
      <c r="A731" s="1678">
        <v>22.315000000000001</v>
      </c>
      <c r="B731" s="1697" t="s">
        <v>2632</v>
      </c>
      <c r="C731" s="1643" t="e">
        <f>+SUMIF(#REF!,Final!A731,#REF!)</f>
        <v>#REF!</v>
      </c>
      <c r="D731" s="1597" t="e">
        <f>+SUMIF(#REF!,Final!A731,#REF!)</f>
        <v>#REF!</v>
      </c>
      <c r="E731" s="1643" t="e">
        <f>SUMIF(#REF!,Final!A731,#REF!)</f>
        <v>#REF!</v>
      </c>
      <c r="F731" s="1644" t="e">
        <f>SUMIF(#REF!,Final!A731,#REF!)</f>
        <v>#REF!</v>
      </c>
      <c r="G731" s="1597" t="e">
        <f t="shared" si="44"/>
        <v>#REF!</v>
      </c>
      <c r="H731" s="1644" t="e">
        <f t="shared" si="45"/>
        <v>#REF!</v>
      </c>
      <c r="I731" s="1597" t="e">
        <f t="shared" si="46"/>
        <v>#REF!</v>
      </c>
      <c r="J731" s="1644" t="e">
        <f t="shared" si="47"/>
        <v>#REF!</v>
      </c>
      <c r="M731" s="1545"/>
      <c r="N731" s="1545"/>
    </row>
    <row r="732" spans="1:14" ht="15.5">
      <c r="A732" s="1678">
        <v>22.315999999999999</v>
      </c>
      <c r="B732" s="1697" t="s">
        <v>2633</v>
      </c>
      <c r="C732" s="1643" t="e">
        <f>+SUMIF(#REF!,Final!A732,#REF!)</f>
        <v>#REF!</v>
      </c>
      <c r="D732" s="1597" t="e">
        <f>+SUMIF(#REF!,Final!A732,#REF!)</f>
        <v>#REF!</v>
      </c>
      <c r="E732" s="1643" t="e">
        <f>SUMIF(#REF!,Final!A732,#REF!)</f>
        <v>#REF!</v>
      </c>
      <c r="F732" s="1644" t="e">
        <f>SUMIF(#REF!,Final!A732,#REF!)</f>
        <v>#REF!</v>
      </c>
      <c r="G732" s="1597" t="e">
        <f t="shared" si="44"/>
        <v>#REF!</v>
      </c>
      <c r="H732" s="1644" t="e">
        <f t="shared" si="45"/>
        <v>#REF!</v>
      </c>
      <c r="I732" s="1597" t="e">
        <f t="shared" si="46"/>
        <v>#REF!</v>
      </c>
      <c r="J732" s="1644" t="e">
        <f t="shared" si="47"/>
        <v>#REF!</v>
      </c>
      <c r="M732" s="1545"/>
      <c r="N732" s="1545"/>
    </row>
    <row r="733" spans="1:14" ht="15.5">
      <c r="A733" s="1678">
        <v>22.317</v>
      </c>
      <c r="B733" s="1697" t="s">
        <v>2634</v>
      </c>
      <c r="C733" s="1643" t="e">
        <f>+SUMIF(#REF!,Final!A733,#REF!)</f>
        <v>#REF!</v>
      </c>
      <c r="D733" s="1597" t="e">
        <f>+SUMIF(#REF!,Final!A733,#REF!)</f>
        <v>#REF!</v>
      </c>
      <c r="E733" s="1643" t="e">
        <f>SUMIF(#REF!,Final!A733,#REF!)</f>
        <v>#REF!</v>
      </c>
      <c r="F733" s="1644" t="e">
        <f>SUMIF(#REF!,Final!A733,#REF!)</f>
        <v>#REF!</v>
      </c>
      <c r="G733" s="1597" t="e">
        <f t="shared" si="44"/>
        <v>#REF!</v>
      </c>
      <c r="H733" s="1644" t="e">
        <f t="shared" si="45"/>
        <v>#REF!</v>
      </c>
      <c r="I733" s="1597" t="e">
        <f t="shared" si="46"/>
        <v>#REF!</v>
      </c>
      <c r="J733" s="1644" t="e">
        <f t="shared" si="47"/>
        <v>#REF!</v>
      </c>
      <c r="M733" s="1545"/>
      <c r="N733" s="1545"/>
    </row>
    <row r="734" spans="1:14" ht="15.5">
      <c r="A734" s="1678">
        <v>22.318000000000001</v>
      </c>
      <c r="B734" s="1697" t="s">
        <v>4913</v>
      </c>
      <c r="C734" s="1643" t="e">
        <f>+SUMIF(#REF!,Final!A734,#REF!)</f>
        <v>#REF!</v>
      </c>
      <c r="D734" s="1597" t="e">
        <f>+SUMIF(#REF!,Final!A734,#REF!)</f>
        <v>#REF!</v>
      </c>
      <c r="E734" s="1643" t="e">
        <f>SUMIF(#REF!,Final!A734,#REF!)</f>
        <v>#REF!</v>
      </c>
      <c r="F734" s="1644" t="e">
        <f>SUMIF(#REF!,Final!A734,#REF!)</f>
        <v>#REF!</v>
      </c>
      <c r="G734" s="1597" t="e">
        <f t="shared" si="44"/>
        <v>#REF!</v>
      </c>
      <c r="H734" s="1644" t="e">
        <f t="shared" si="45"/>
        <v>#REF!</v>
      </c>
      <c r="I734" s="1597" t="e">
        <f t="shared" si="46"/>
        <v>#REF!</v>
      </c>
      <c r="J734" s="1644" t="e">
        <f t="shared" si="47"/>
        <v>#REF!</v>
      </c>
      <c r="M734" s="1545"/>
      <c r="N734" s="1545"/>
    </row>
    <row r="735" spans="1:14" ht="15.5">
      <c r="A735" s="1598">
        <v>22.318999999999999</v>
      </c>
      <c r="B735" s="1599" t="s">
        <v>2663</v>
      </c>
      <c r="C735" s="1643" t="e">
        <f>+SUMIF(#REF!,Final!A735,#REF!)</f>
        <v>#REF!</v>
      </c>
      <c r="D735" s="1597" t="e">
        <f>+SUMIF(#REF!,Final!A735,#REF!)</f>
        <v>#REF!</v>
      </c>
      <c r="E735" s="1643" t="e">
        <f>SUMIF(#REF!,Final!A735,#REF!)</f>
        <v>#REF!</v>
      </c>
      <c r="F735" s="1644" t="e">
        <f>SUMIF(#REF!,Final!A735,#REF!)</f>
        <v>#REF!</v>
      </c>
      <c r="G735" s="1597" t="e">
        <f t="shared" si="44"/>
        <v>#REF!</v>
      </c>
      <c r="H735" s="1644" t="e">
        <f t="shared" si="45"/>
        <v>#REF!</v>
      </c>
      <c r="I735" s="1597" t="e">
        <f t="shared" si="46"/>
        <v>#REF!</v>
      </c>
      <c r="J735" s="1644" t="e">
        <f t="shared" si="47"/>
        <v>#REF!</v>
      </c>
      <c r="M735" s="1545"/>
      <c r="N735" s="1545"/>
    </row>
    <row r="736" spans="1:14" ht="15.5">
      <c r="A736" s="1684" t="s">
        <v>4914</v>
      </c>
      <c r="B736" s="1703" t="s">
        <v>2653</v>
      </c>
      <c r="C736" s="1643" t="e">
        <f>+SUMIF(#REF!,Final!A736,#REF!)</f>
        <v>#REF!</v>
      </c>
      <c r="D736" s="1597" t="e">
        <f>+SUMIF(#REF!,Final!A736,#REF!)</f>
        <v>#REF!</v>
      </c>
      <c r="E736" s="1643" t="e">
        <f>SUMIF(#REF!,Final!A736,#REF!)</f>
        <v>#REF!</v>
      </c>
      <c r="F736" s="1644" t="e">
        <f>SUMIF(#REF!,Final!A736,#REF!)</f>
        <v>#REF!</v>
      </c>
      <c r="G736" s="1597" t="e">
        <f t="shared" si="44"/>
        <v>#REF!</v>
      </c>
      <c r="H736" s="1644" t="e">
        <f t="shared" si="45"/>
        <v>#REF!</v>
      </c>
      <c r="I736" s="1597" t="e">
        <f t="shared" si="46"/>
        <v>#REF!</v>
      </c>
      <c r="J736" s="1644" t="e">
        <f t="shared" si="47"/>
        <v>#REF!</v>
      </c>
      <c r="M736" s="1545"/>
      <c r="N736" s="1545"/>
    </row>
    <row r="737" spans="1:14" ht="15.5">
      <c r="A737" s="1684" t="s">
        <v>4915</v>
      </c>
      <c r="B737" s="1703" t="s">
        <v>2654</v>
      </c>
      <c r="C737" s="1643" t="e">
        <f>+SUMIF(#REF!,Final!A737,#REF!)</f>
        <v>#REF!</v>
      </c>
      <c r="D737" s="1597" t="e">
        <f>+SUMIF(#REF!,Final!A737,#REF!)</f>
        <v>#REF!</v>
      </c>
      <c r="E737" s="1643" t="e">
        <f>SUMIF(#REF!,Final!A737,#REF!)</f>
        <v>#REF!</v>
      </c>
      <c r="F737" s="1644" t="e">
        <f>SUMIF(#REF!,Final!A737,#REF!)</f>
        <v>#REF!</v>
      </c>
      <c r="G737" s="1597" t="e">
        <f t="shared" si="44"/>
        <v>#REF!</v>
      </c>
      <c r="H737" s="1644" t="e">
        <f t="shared" si="45"/>
        <v>#REF!</v>
      </c>
      <c r="I737" s="1597" t="e">
        <f t="shared" si="46"/>
        <v>#REF!</v>
      </c>
      <c r="J737" s="1644" t="e">
        <f t="shared" si="47"/>
        <v>#REF!</v>
      </c>
      <c r="M737" s="1545"/>
      <c r="N737" s="1545"/>
    </row>
    <row r="738" spans="1:14" ht="15.5">
      <c r="A738" s="1684" t="s">
        <v>4916</v>
      </c>
      <c r="B738" s="1703" t="s">
        <v>2655</v>
      </c>
      <c r="C738" s="1643" t="e">
        <f>+SUMIF(#REF!,Final!A738,#REF!)</f>
        <v>#REF!</v>
      </c>
      <c r="D738" s="1597" t="e">
        <f>+SUMIF(#REF!,Final!A738,#REF!)</f>
        <v>#REF!</v>
      </c>
      <c r="E738" s="1643" t="e">
        <f>SUMIF(#REF!,Final!A738,#REF!)</f>
        <v>#REF!</v>
      </c>
      <c r="F738" s="1644" t="e">
        <f>SUMIF(#REF!,Final!A738,#REF!)</f>
        <v>#REF!</v>
      </c>
      <c r="G738" s="1597" t="e">
        <f t="shared" si="44"/>
        <v>#REF!</v>
      </c>
      <c r="H738" s="1644" t="e">
        <f t="shared" si="45"/>
        <v>#REF!</v>
      </c>
      <c r="I738" s="1597" t="e">
        <f t="shared" si="46"/>
        <v>#REF!</v>
      </c>
      <c r="J738" s="1644" t="e">
        <f t="shared" si="47"/>
        <v>#REF!</v>
      </c>
      <c r="M738" s="1545"/>
      <c r="N738" s="1545"/>
    </row>
    <row r="739" spans="1:14" ht="15.5">
      <c r="A739" s="1684" t="s">
        <v>4917</v>
      </c>
      <c r="B739" s="1703" t="s">
        <v>2656</v>
      </c>
      <c r="C739" s="1643" t="e">
        <f>+SUMIF(#REF!,Final!A739,#REF!)</f>
        <v>#REF!</v>
      </c>
      <c r="D739" s="1597" t="e">
        <f>+SUMIF(#REF!,Final!A739,#REF!)</f>
        <v>#REF!</v>
      </c>
      <c r="E739" s="1643" t="e">
        <f>SUMIF(#REF!,Final!A739,#REF!)</f>
        <v>#REF!</v>
      </c>
      <c r="F739" s="1644" t="e">
        <f>SUMIF(#REF!,Final!A739,#REF!)</f>
        <v>#REF!</v>
      </c>
      <c r="G739" s="1597" t="e">
        <f t="shared" si="44"/>
        <v>#REF!</v>
      </c>
      <c r="H739" s="1644" t="e">
        <f t="shared" si="45"/>
        <v>#REF!</v>
      </c>
      <c r="I739" s="1597" t="e">
        <f t="shared" si="46"/>
        <v>#REF!</v>
      </c>
      <c r="J739" s="1644" t="e">
        <f t="shared" si="47"/>
        <v>#REF!</v>
      </c>
      <c r="M739" s="1545"/>
      <c r="N739" s="1545"/>
    </row>
    <row r="740" spans="1:14" ht="15.5">
      <c r="A740" s="1684" t="s">
        <v>4918</v>
      </c>
      <c r="B740" s="1703" t="s">
        <v>2657</v>
      </c>
      <c r="C740" s="1643" t="e">
        <f>+SUMIF(#REF!,Final!A740,#REF!)</f>
        <v>#REF!</v>
      </c>
      <c r="D740" s="1597" t="e">
        <f>+SUMIF(#REF!,Final!A740,#REF!)</f>
        <v>#REF!</v>
      </c>
      <c r="E740" s="1643" t="e">
        <f>SUMIF(#REF!,Final!A740,#REF!)</f>
        <v>#REF!</v>
      </c>
      <c r="F740" s="1644" t="e">
        <f>SUMIF(#REF!,Final!A740,#REF!)</f>
        <v>#REF!</v>
      </c>
      <c r="G740" s="1597" t="e">
        <f t="shared" si="44"/>
        <v>#REF!</v>
      </c>
      <c r="H740" s="1644" t="e">
        <f t="shared" si="45"/>
        <v>#REF!</v>
      </c>
      <c r="I740" s="1597" t="e">
        <f t="shared" si="46"/>
        <v>#REF!</v>
      </c>
      <c r="J740" s="1644" t="e">
        <f t="shared" si="47"/>
        <v>#REF!</v>
      </c>
      <c r="M740" s="1545"/>
      <c r="N740" s="1545"/>
    </row>
    <row r="741" spans="1:14" ht="15.5">
      <c r="A741" s="1684" t="s">
        <v>4919</v>
      </c>
      <c r="B741" s="1703" t="s">
        <v>2658</v>
      </c>
      <c r="C741" s="1643" t="e">
        <f>+SUMIF(#REF!,Final!A741,#REF!)</f>
        <v>#REF!</v>
      </c>
      <c r="D741" s="1597" t="e">
        <f>+SUMIF(#REF!,Final!A741,#REF!)</f>
        <v>#REF!</v>
      </c>
      <c r="E741" s="1643" t="e">
        <f>SUMIF(#REF!,Final!A741,#REF!)</f>
        <v>#REF!</v>
      </c>
      <c r="F741" s="1644" t="e">
        <f>SUMIF(#REF!,Final!A741,#REF!)</f>
        <v>#REF!</v>
      </c>
      <c r="G741" s="1597" t="e">
        <f t="shared" si="44"/>
        <v>#REF!</v>
      </c>
      <c r="H741" s="1644" t="e">
        <f t="shared" si="45"/>
        <v>#REF!</v>
      </c>
      <c r="I741" s="1597" t="e">
        <f t="shared" si="46"/>
        <v>#REF!</v>
      </c>
      <c r="J741" s="1644" t="e">
        <f t="shared" si="47"/>
        <v>#REF!</v>
      </c>
      <c r="M741" s="1545"/>
      <c r="N741" s="1545"/>
    </row>
    <row r="742" spans="1:14" ht="15.5">
      <c r="A742" s="1684" t="s">
        <v>4920</v>
      </c>
      <c r="B742" s="1703" t="s">
        <v>2659</v>
      </c>
      <c r="C742" s="1643" t="e">
        <f>+SUMIF(#REF!,Final!A742,#REF!)</f>
        <v>#REF!</v>
      </c>
      <c r="D742" s="1597" t="e">
        <f>+SUMIF(#REF!,Final!A742,#REF!)</f>
        <v>#REF!</v>
      </c>
      <c r="E742" s="1643" t="e">
        <f>SUMIF(#REF!,Final!A742,#REF!)</f>
        <v>#REF!</v>
      </c>
      <c r="F742" s="1644" t="e">
        <f>SUMIF(#REF!,Final!A742,#REF!)</f>
        <v>#REF!</v>
      </c>
      <c r="G742" s="1597" t="e">
        <f t="shared" si="44"/>
        <v>#REF!</v>
      </c>
      <c r="H742" s="1644" t="e">
        <f t="shared" si="45"/>
        <v>#REF!</v>
      </c>
      <c r="I742" s="1597" t="e">
        <f t="shared" si="46"/>
        <v>#REF!</v>
      </c>
      <c r="J742" s="1644" t="e">
        <f t="shared" si="47"/>
        <v>#REF!</v>
      </c>
      <c r="M742" s="1545"/>
      <c r="N742" s="1545"/>
    </row>
    <row r="743" spans="1:14" ht="15.5">
      <c r="A743" s="1684" t="s">
        <v>4921</v>
      </c>
      <c r="B743" s="1703" t="s">
        <v>2660</v>
      </c>
      <c r="C743" s="1643" t="e">
        <f>+SUMIF(#REF!,Final!A743,#REF!)</f>
        <v>#REF!</v>
      </c>
      <c r="D743" s="1597" t="e">
        <f>+SUMIF(#REF!,Final!A743,#REF!)</f>
        <v>#REF!</v>
      </c>
      <c r="E743" s="1643" t="e">
        <f>SUMIF(#REF!,Final!A743,#REF!)</f>
        <v>#REF!</v>
      </c>
      <c r="F743" s="1644" t="e">
        <f>SUMIF(#REF!,Final!A743,#REF!)</f>
        <v>#REF!</v>
      </c>
      <c r="G743" s="1597" t="e">
        <f t="shared" si="44"/>
        <v>#REF!</v>
      </c>
      <c r="H743" s="1644" t="e">
        <f t="shared" si="45"/>
        <v>#REF!</v>
      </c>
      <c r="I743" s="1597" t="e">
        <f t="shared" si="46"/>
        <v>#REF!</v>
      </c>
      <c r="J743" s="1644" t="e">
        <f t="shared" si="47"/>
        <v>#REF!</v>
      </c>
      <c r="M743" s="1545"/>
      <c r="N743" s="1545"/>
    </row>
    <row r="744" spans="1:14" ht="15.5">
      <c r="A744" s="1684" t="s">
        <v>4922</v>
      </c>
      <c r="B744" s="1703" t="s">
        <v>2661</v>
      </c>
      <c r="C744" s="1643" t="e">
        <f>+SUMIF(#REF!,Final!A744,#REF!)</f>
        <v>#REF!</v>
      </c>
      <c r="D744" s="1597" t="e">
        <f>+SUMIF(#REF!,Final!A744,#REF!)</f>
        <v>#REF!</v>
      </c>
      <c r="E744" s="1643" t="e">
        <f>SUMIF(#REF!,Final!A744,#REF!)</f>
        <v>#REF!</v>
      </c>
      <c r="F744" s="1644" t="e">
        <f>SUMIF(#REF!,Final!A744,#REF!)</f>
        <v>#REF!</v>
      </c>
      <c r="G744" s="1597" t="e">
        <f t="shared" si="44"/>
        <v>#REF!</v>
      </c>
      <c r="H744" s="1644" t="e">
        <f t="shared" si="45"/>
        <v>#REF!</v>
      </c>
      <c r="I744" s="1597" t="e">
        <f t="shared" si="46"/>
        <v>#REF!</v>
      </c>
      <c r="J744" s="1644" t="e">
        <f t="shared" si="47"/>
        <v>#REF!</v>
      </c>
      <c r="M744" s="1545"/>
      <c r="N744" s="1545"/>
    </row>
    <row r="745" spans="1:14" ht="15.5">
      <c r="A745" s="1684" t="s">
        <v>4923</v>
      </c>
      <c r="B745" s="1703" t="s">
        <v>2662</v>
      </c>
      <c r="C745" s="1643" t="e">
        <f>+SUMIF(#REF!,Final!A745,#REF!)</f>
        <v>#REF!</v>
      </c>
      <c r="D745" s="1597" t="e">
        <f>+SUMIF(#REF!,Final!A745,#REF!)</f>
        <v>#REF!</v>
      </c>
      <c r="E745" s="1643" t="e">
        <f>SUMIF(#REF!,Final!A745,#REF!)</f>
        <v>#REF!</v>
      </c>
      <c r="F745" s="1644" t="e">
        <f>SUMIF(#REF!,Final!A745,#REF!)</f>
        <v>#REF!</v>
      </c>
      <c r="G745" s="1597" t="e">
        <f t="shared" si="44"/>
        <v>#REF!</v>
      </c>
      <c r="H745" s="1644" t="e">
        <f t="shared" si="45"/>
        <v>#REF!</v>
      </c>
      <c r="I745" s="1597" t="e">
        <f t="shared" si="46"/>
        <v>#REF!</v>
      </c>
      <c r="J745" s="1644" t="e">
        <f t="shared" si="47"/>
        <v>#REF!</v>
      </c>
      <c r="M745" s="1545"/>
      <c r="N745" s="1545"/>
    </row>
    <row r="746" spans="1:14" ht="15.5">
      <c r="A746" s="1684" t="s">
        <v>4924</v>
      </c>
      <c r="B746" s="1703" t="s">
        <v>2663</v>
      </c>
      <c r="C746" s="1643" t="e">
        <f>+SUMIF(#REF!,Final!A746,#REF!)</f>
        <v>#REF!</v>
      </c>
      <c r="D746" s="1597" t="e">
        <f>+SUMIF(#REF!,Final!A746,#REF!)</f>
        <v>#REF!</v>
      </c>
      <c r="E746" s="1643" t="e">
        <f>SUMIF(#REF!,Final!A746,#REF!)</f>
        <v>#REF!</v>
      </c>
      <c r="F746" s="1644" t="e">
        <f>SUMIF(#REF!,Final!A746,#REF!)</f>
        <v>#REF!</v>
      </c>
      <c r="G746" s="1597" t="e">
        <f t="shared" si="44"/>
        <v>#REF!</v>
      </c>
      <c r="H746" s="1644" t="e">
        <f t="shared" si="45"/>
        <v>#REF!</v>
      </c>
      <c r="I746" s="1597" t="e">
        <f t="shared" si="46"/>
        <v>#REF!</v>
      </c>
      <c r="J746" s="1644" t="e">
        <f t="shared" si="47"/>
        <v>#REF!</v>
      </c>
      <c r="M746" s="1545"/>
      <c r="N746" s="1545"/>
    </row>
    <row r="747" spans="1:14" ht="15.5">
      <c r="A747" s="1786" t="s">
        <v>5199</v>
      </c>
      <c r="B747" s="1787" t="s">
        <v>2653</v>
      </c>
      <c r="C747" s="1643" t="e">
        <f>+SUMIF(#REF!,Final!A747,#REF!)</f>
        <v>#REF!</v>
      </c>
      <c r="D747" s="1597" t="e">
        <f>+SUMIF(#REF!,Final!A747,#REF!)</f>
        <v>#REF!</v>
      </c>
      <c r="E747" s="1643" t="e">
        <f>SUMIF(#REF!,Final!A747,#REF!)</f>
        <v>#REF!</v>
      </c>
      <c r="F747" s="1644" t="e">
        <f>SUMIF(#REF!,Final!A747,#REF!)</f>
        <v>#REF!</v>
      </c>
      <c r="G747" s="1597" t="e">
        <f t="shared" ref="G747:G757" si="56">C747+E747</f>
        <v>#REF!</v>
      </c>
      <c r="H747" s="1644" t="e">
        <f t="shared" ref="H747:H757" si="57">D747+F747</f>
        <v>#REF!</v>
      </c>
      <c r="I747" s="1597" t="e">
        <f t="shared" ref="I747:I757" si="58">IF(G747&gt;H747,G747-H747,0)</f>
        <v>#REF!</v>
      </c>
      <c r="J747" s="1644" t="e">
        <f t="shared" ref="J747:J757" si="59">IF(H747&gt;G747,H747-G747,0)</f>
        <v>#REF!</v>
      </c>
      <c r="M747" s="1545"/>
      <c r="N747" s="1545"/>
    </row>
    <row r="748" spans="1:14" ht="15.5">
      <c r="A748" s="1786" t="s">
        <v>5200</v>
      </c>
      <c r="B748" s="1787" t="s">
        <v>2654</v>
      </c>
      <c r="C748" s="1643" t="e">
        <f>+SUMIF(#REF!,Final!A748,#REF!)</f>
        <v>#REF!</v>
      </c>
      <c r="D748" s="1597" t="e">
        <f>+SUMIF(#REF!,Final!A748,#REF!)</f>
        <v>#REF!</v>
      </c>
      <c r="E748" s="1643" t="e">
        <f>SUMIF(#REF!,Final!A748,#REF!)</f>
        <v>#REF!</v>
      </c>
      <c r="F748" s="1644" t="e">
        <f>SUMIF(#REF!,Final!A748,#REF!)</f>
        <v>#REF!</v>
      </c>
      <c r="G748" s="1597" t="e">
        <f t="shared" si="56"/>
        <v>#REF!</v>
      </c>
      <c r="H748" s="1644" t="e">
        <f t="shared" si="57"/>
        <v>#REF!</v>
      </c>
      <c r="I748" s="1597" t="e">
        <f t="shared" si="58"/>
        <v>#REF!</v>
      </c>
      <c r="J748" s="1644" t="e">
        <f t="shared" si="59"/>
        <v>#REF!</v>
      </c>
      <c r="M748" s="1545"/>
      <c r="N748" s="1545"/>
    </row>
    <row r="749" spans="1:14" ht="15.5">
      <c r="A749" s="1786" t="s">
        <v>5201</v>
      </c>
      <c r="B749" s="1787" t="s">
        <v>2655</v>
      </c>
      <c r="C749" s="1643" t="e">
        <f>+SUMIF(#REF!,Final!A749,#REF!)</f>
        <v>#REF!</v>
      </c>
      <c r="D749" s="1597" t="e">
        <f>+SUMIF(#REF!,Final!A749,#REF!)</f>
        <v>#REF!</v>
      </c>
      <c r="E749" s="1643" t="e">
        <f>SUMIF(#REF!,Final!A749,#REF!)</f>
        <v>#REF!</v>
      </c>
      <c r="F749" s="1644" t="e">
        <f>SUMIF(#REF!,Final!A749,#REF!)</f>
        <v>#REF!</v>
      </c>
      <c r="G749" s="1597" t="e">
        <f t="shared" si="56"/>
        <v>#REF!</v>
      </c>
      <c r="H749" s="1644" t="e">
        <f t="shared" si="57"/>
        <v>#REF!</v>
      </c>
      <c r="I749" s="1597" t="e">
        <f t="shared" si="58"/>
        <v>#REF!</v>
      </c>
      <c r="J749" s="1644" t="e">
        <f t="shared" si="59"/>
        <v>#REF!</v>
      </c>
      <c r="M749" s="1545"/>
      <c r="N749" s="1545"/>
    </row>
    <row r="750" spans="1:14" ht="15.5">
      <c r="A750" s="1786" t="s">
        <v>5202</v>
      </c>
      <c r="B750" s="1787" t="s">
        <v>2656</v>
      </c>
      <c r="C750" s="1643" t="e">
        <f>+SUMIF(#REF!,Final!A750,#REF!)</f>
        <v>#REF!</v>
      </c>
      <c r="D750" s="1597" t="e">
        <f>+SUMIF(#REF!,Final!A750,#REF!)</f>
        <v>#REF!</v>
      </c>
      <c r="E750" s="1643" t="e">
        <f>SUMIF(#REF!,Final!A750,#REF!)</f>
        <v>#REF!</v>
      </c>
      <c r="F750" s="1644" t="e">
        <f>SUMIF(#REF!,Final!A750,#REF!)</f>
        <v>#REF!</v>
      </c>
      <c r="G750" s="1597" t="e">
        <f t="shared" si="56"/>
        <v>#REF!</v>
      </c>
      <c r="H750" s="1644" t="e">
        <f t="shared" si="57"/>
        <v>#REF!</v>
      </c>
      <c r="I750" s="1597" t="e">
        <f t="shared" si="58"/>
        <v>#REF!</v>
      </c>
      <c r="J750" s="1644" t="e">
        <f t="shared" si="59"/>
        <v>#REF!</v>
      </c>
      <c r="M750" s="1545"/>
      <c r="N750" s="1545"/>
    </row>
    <row r="751" spans="1:14" ht="15.5">
      <c r="A751" s="1786" t="s">
        <v>5203</v>
      </c>
      <c r="B751" s="1787" t="s">
        <v>2657</v>
      </c>
      <c r="C751" s="1643" t="e">
        <f>+SUMIF(#REF!,Final!A751,#REF!)</f>
        <v>#REF!</v>
      </c>
      <c r="D751" s="1597" t="e">
        <f>+SUMIF(#REF!,Final!A751,#REF!)</f>
        <v>#REF!</v>
      </c>
      <c r="E751" s="1643" t="e">
        <f>SUMIF(#REF!,Final!A751,#REF!)</f>
        <v>#REF!</v>
      </c>
      <c r="F751" s="1644" t="e">
        <f>SUMIF(#REF!,Final!A751,#REF!)</f>
        <v>#REF!</v>
      </c>
      <c r="G751" s="1597" t="e">
        <f t="shared" si="56"/>
        <v>#REF!</v>
      </c>
      <c r="H751" s="1644" t="e">
        <f t="shared" si="57"/>
        <v>#REF!</v>
      </c>
      <c r="I751" s="1597" t="e">
        <f t="shared" si="58"/>
        <v>#REF!</v>
      </c>
      <c r="J751" s="1644" t="e">
        <f t="shared" si="59"/>
        <v>#REF!</v>
      </c>
      <c r="M751" s="1545"/>
      <c r="N751" s="1545"/>
    </row>
    <row r="752" spans="1:14" ht="15.5">
      <c r="A752" s="1786" t="s">
        <v>5204</v>
      </c>
      <c r="B752" s="1787" t="s">
        <v>2658</v>
      </c>
      <c r="C752" s="1643" t="e">
        <f>+SUMIF(#REF!,Final!A752,#REF!)</f>
        <v>#REF!</v>
      </c>
      <c r="D752" s="1597" t="e">
        <f>+SUMIF(#REF!,Final!A752,#REF!)</f>
        <v>#REF!</v>
      </c>
      <c r="E752" s="1643" t="e">
        <f>SUMIF(#REF!,Final!A752,#REF!)</f>
        <v>#REF!</v>
      </c>
      <c r="F752" s="1644" t="e">
        <f>SUMIF(#REF!,Final!A752,#REF!)</f>
        <v>#REF!</v>
      </c>
      <c r="G752" s="1597" t="e">
        <f t="shared" si="56"/>
        <v>#REF!</v>
      </c>
      <c r="H752" s="1644" t="e">
        <f t="shared" si="57"/>
        <v>#REF!</v>
      </c>
      <c r="I752" s="1597" t="e">
        <f t="shared" si="58"/>
        <v>#REF!</v>
      </c>
      <c r="J752" s="1644" t="e">
        <f t="shared" si="59"/>
        <v>#REF!</v>
      </c>
      <c r="M752" s="1545"/>
      <c r="N752" s="1545"/>
    </row>
    <row r="753" spans="1:93" ht="15.5">
      <c r="A753" s="1786" t="s">
        <v>5205</v>
      </c>
      <c r="B753" s="1787" t="s">
        <v>2659</v>
      </c>
      <c r="C753" s="1643" t="e">
        <f>+SUMIF(#REF!,Final!A753,#REF!)</f>
        <v>#REF!</v>
      </c>
      <c r="D753" s="1597" t="e">
        <f>+SUMIF(#REF!,Final!A753,#REF!)</f>
        <v>#REF!</v>
      </c>
      <c r="E753" s="1643" t="e">
        <f>SUMIF(#REF!,Final!A753,#REF!)</f>
        <v>#REF!</v>
      </c>
      <c r="F753" s="1644" t="e">
        <f>SUMIF(#REF!,Final!A753,#REF!)</f>
        <v>#REF!</v>
      </c>
      <c r="G753" s="1597" t="e">
        <f t="shared" si="56"/>
        <v>#REF!</v>
      </c>
      <c r="H753" s="1644" t="e">
        <f t="shared" si="57"/>
        <v>#REF!</v>
      </c>
      <c r="I753" s="1597" t="e">
        <f t="shared" si="58"/>
        <v>#REF!</v>
      </c>
      <c r="J753" s="1644" t="e">
        <f t="shared" si="59"/>
        <v>#REF!</v>
      </c>
      <c r="M753" s="1545"/>
      <c r="N753" s="1545"/>
    </row>
    <row r="754" spans="1:93" ht="15.5">
      <c r="A754" s="1786" t="s">
        <v>5206</v>
      </c>
      <c r="B754" s="1787" t="s">
        <v>2660</v>
      </c>
      <c r="C754" s="1643" t="e">
        <f>+SUMIF(#REF!,Final!A754,#REF!)</f>
        <v>#REF!</v>
      </c>
      <c r="D754" s="1597" t="e">
        <f>+SUMIF(#REF!,Final!A754,#REF!)</f>
        <v>#REF!</v>
      </c>
      <c r="E754" s="1643" t="e">
        <f>SUMIF(#REF!,Final!A754,#REF!)</f>
        <v>#REF!</v>
      </c>
      <c r="F754" s="1644" t="e">
        <f>SUMIF(#REF!,Final!A754,#REF!)</f>
        <v>#REF!</v>
      </c>
      <c r="G754" s="1597" t="e">
        <f t="shared" si="56"/>
        <v>#REF!</v>
      </c>
      <c r="H754" s="1644" t="e">
        <f t="shared" si="57"/>
        <v>#REF!</v>
      </c>
      <c r="I754" s="1597" t="e">
        <f t="shared" si="58"/>
        <v>#REF!</v>
      </c>
      <c r="J754" s="1644" t="e">
        <f t="shared" si="59"/>
        <v>#REF!</v>
      </c>
      <c r="M754" s="1545"/>
      <c r="N754" s="1545"/>
    </row>
    <row r="755" spans="1:93" ht="15.5">
      <c r="A755" s="1786" t="s">
        <v>5207</v>
      </c>
      <c r="B755" s="1787" t="s">
        <v>2661</v>
      </c>
      <c r="C755" s="1643" t="e">
        <f>+SUMIF(#REF!,Final!A755,#REF!)</f>
        <v>#REF!</v>
      </c>
      <c r="D755" s="1597" t="e">
        <f>+SUMIF(#REF!,Final!A755,#REF!)</f>
        <v>#REF!</v>
      </c>
      <c r="E755" s="1643" t="e">
        <f>SUMIF(#REF!,Final!A755,#REF!)</f>
        <v>#REF!</v>
      </c>
      <c r="F755" s="1644" t="e">
        <f>SUMIF(#REF!,Final!A755,#REF!)</f>
        <v>#REF!</v>
      </c>
      <c r="G755" s="1597" t="e">
        <f t="shared" si="56"/>
        <v>#REF!</v>
      </c>
      <c r="H755" s="1644" t="e">
        <f t="shared" si="57"/>
        <v>#REF!</v>
      </c>
      <c r="I755" s="1597" t="e">
        <f t="shared" si="58"/>
        <v>#REF!</v>
      </c>
      <c r="J755" s="1644" t="e">
        <f t="shared" si="59"/>
        <v>#REF!</v>
      </c>
      <c r="M755" s="1545"/>
      <c r="N755" s="1545"/>
    </row>
    <row r="756" spans="1:93" ht="15.5">
      <c r="A756" s="1786" t="s">
        <v>5208</v>
      </c>
      <c r="B756" s="1787" t="s">
        <v>2662</v>
      </c>
      <c r="C756" s="1643" t="e">
        <f>+SUMIF(#REF!,Final!A756,#REF!)</f>
        <v>#REF!</v>
      </c>
      <c r="D756" s="1597" t="e">
        <f>+SUMIF(#REF!,Final!A756,#REF!)</f>
        <v>#REF!</v>
      </c>
      <c r="E756" s="1643" t="e">
        <f>SUMIF(#REF!,Final!A756,#REF!)</f>
        <v>#REF!</v>
      </c>
      <c r="F756" s="1644" t="e">
        <f>SUMIF(#REF!,Final!A756,#REF!)</f>
        <v>#REF!</v>
      </c>
      <c r="G756" s="1597" t="e">
        <f t="shared" si="56"/>
        <v>#REF!</v>
      </c>
      <c r="H756" s="1644" t="e">
        <f t="shared" si="57"/>
        <v>#REF!</v>
      </c>
      <c r="I756" s="1597" t="e">
        <f t="shared" si="58"/>
        <v>#REF!</v>
      </c>
      <c r="J756" s="1644" t="e">
        <f t="shared" si="59"/>
        <v>#REF!</v>
      </c>
      <c r="M756" s="1545"/>
      <c r="N756" s="1545"/>
    </row>
    <row r="757" spans="1:93" ht="15.5">
      <c r="A757" s="1786" t="s">
        <v>5209</v>
      </c>
      <c r="B757" s="1787" t="s">
        <v>2663</v>
      </c>
      <c r="C757" s="1643" t="e">
        <f>+SUMIF(#REF!,Final!A757,#REF!)</f>
        <v>#REF!</v>
      </c>
      <c r="D757" s="1597" t="e">
        <f>+SUMIF(#REF!,Final!A757,#REF!)</f>
        <v>#REF!</v>
      </c>
      <c r="E757" s="1643" t="e">
        <f>SUMIF(#REF!,Final!A757,#REF!)</f>
        <v>#REF!</v>
      </c>
      <c r="F757" s="1644" t="e">
        <f>SUMIF(#REF!,Final!A757,#REF!)</f>
        <v>#REF!</v>
      </c>
      <c r="G757" s="1597" t="e">
        <f t="shared" si="56"/>
        <v>#REF!</v>
      </c>
      <c r="H757" s="1644" t="e">
        <f t="shared" si="57"/>
        <v>#REF!</v>
      </c>
      <c r="I757" s="1597" t="e">
        <f t="shared" si="58"/>
        <v>#REF!</v>
      </c>
      <c r="J757" s="1644" t="e">
        <f t="shared" si="59"/>
        <v>#REF!</v>
      </c>
      <c r="M757" s="1545"/>
      <c r="N757" s="1545"/>
    </row>
    <row r="758" spans="1:93" s="1552" customFormat="1" ht="15.5">
      <c r="A758" s="1598"/>
      <c r="B758" s="1599" t="s">
        <v>1747</v>
      </c>
      <c r="C758" s="1643" t="e">
        <f>+SUMIF(#REF!,Final!A758,#REF!)</f>
        <v>#REF!</v>
      </c>
      <c r="D758" s="1597" t="e">
        <f>+SUMIF(#REF!,Final!A758,#REF!)</f>
        <v>#REF!</v>
      </c>
      <c r="E758" s="1643" t="e">
        <f>SUMIF(#REF!,Final!A758,#REF!)</f>
        <v>#REF!</v>
      </c>
      <c r="F758" s="1644" t="e">
        <f>SUMIF(#REF!,Final!A758,#REF!)</f>
        <v>#REF!</v>
      </c>
      <c r="G758" s="1597" t="e">
        <f t="shared" ref="G758:G831" si="60">C758+E758</f>
        <v>#REF!</v>
      </c>
      <c r="H758" s="1644" t="e">
        <f t="shared" ref="H758:H831" si="61">D758+F758</f>
        <v>#REF!</v>
      </c>
      <c r="I758" s="1597" t="e">
        <f t="shared" ref="I758:I831" si="62">IF(G758&gt;H758,G758-H758,0)</f>
        <v>#REF!</v>
      </c>
      <c r="J758" s="1644" t="e">
        <f t="shared" ref="J758:J831" si="63">IF(H758&gt;G758,H758-G758,0)</f>
        <v>#REF!</v>
      </c>
      <c r="K758" s="1539"/>
      <c r="L758" s="1539"/>
      <c r="M758" s="1545"/>
      <c r="N758" s="1545"/>
      <c r="O758" s="1539"/>
      <c r="P758" s="1539"/>
      <c r="Q758" s="1539"/>
      <c r="R758" s="1539"/>
      <c r="S758" s="1539"/>
      <c r="T758" s="1539"/>
      <c r="U758" s="1539"/>
      <c r="V758" s="1539"/>
      <c r="W758" s="1539"/>
      <c r="X758" s="1539"/>
      <c r="Y758" s="1539"/>
      <c r="Z758" s="1539"/>
      <c r="AA758" s="1539"/>
      <c r="AB758" s="1539"/>
      <c r="AC758" s="1539"/>
      <c r="AD758" s="1539"/>
      <c r="AE758" s="1539"/>
      <c r="AF758" s="1539"/>
      <c r="AG758" s="1539"/>
      <c r="AH758" s="1539"/>
      <c r="AI758" s="1539"/>
      <c r="AJ758" s="1539"/>
      <c r="AK758" s="1539"/>
      <c r="AL758" s="1539"/>
      <c r="AM758" s="1539"/>
      <c r="AN758" s="1539"/>
      <c r="AO758" s="1539"/>
      <c r="AP758" s="1539"/>
      <c r="AQ758" s="1539"/>
      <c r="AR758" s="1539"/>
      <c r="AS758" s="1539"/>
      <c r="AT758" s="1539"/>
      <c r="AU758" s="1539"/>
      <c r="AV758" s="1539"/>
      <c r="AW758" s="1539"/>
      <c r="AX758" s="1539"/>
      <c r="AY758" s="1539"/>
      <c r="AZ758" s="1539"/>
      <c r="BA758" s="1539"/>
      <c r="BB758" s="1539"/>
      <c r="BC758" s="1539"/>
      <c r="BD758" s="1539"/>
      <c r="BE758" s="1539"/>
      <c r="BF758" s="1539"/>
      <c r="BG758" s="1539"/>
      <c r="BH758" s="1539"/>
      <c r="BI758" s="1539"/>
      <c r="BJ758" s="1539"/>
      <c r="BK758" s="1539"/>
      <c r="BL758" s="1539"/>
      <c r="BM758" s="1539"/>
      <c r="BN758" s="1539"/>
      <c r="BO758" s="1539"/>
      <c r="BP758" s="1539"/>
      <c r="BQ758" s="1539"/>
      <c r="BR758" s="1539"/>
      <c r="BS758" s="1539"/>
      <c r="BT758" s="1539"/>
      <c r="BU758" s="1539"/>
      <c r="BV758" s="1539"/>
      <c r="BW758" s="1539"/>
      <c r="BX758" s="1539"/>
      <c r="BY758" s="1539"/>
      <c r="BZ758" s="1539"/>
      <c r="CA758" s="1539"/>
      <c r="CB758" s="1539"/>
      <c r="CC758" s="1539"/>
      <c r="CD758" s="1539"/>
      <c r="CE758" s="1539"/>
      <c r="CF758" s="1539"/>
      <c r="CG758" s="1539"/>
      <c r="CH758" s="1539"/>
      <c r="CI758" s="1539"/>
      <c r="CJ758" s="1539"/>
      <c r="CK758" s="1539"/>
      <c r="CL758" s="1539"/>
      <c r="CM758" s="1539"/>
      <c r="CN758" s="1539"/>
      <c r="CO758" s="1539"/>
    </row>
    <row r="759" spans="1:93" s="1552" customFormat="1" ht="15.5">
      <c r="A759" s="1598"/>
      <c r="B759" s="1599" t="s">
        <v>1760</v>
      </c>
      <c r="C759" s="1643" t="e">
        <f>+SUMIF(#REF!,Final!A759,#REF!)</f>
        <v>#REF!</v>
      </c>
      <c r="D759" s="1597" t="e">
        <f>+SUMIF(#REF!,Final!A759,#REF!)</f>
        <v>#REF!</v>
      </c>
      <c r="E759" s="1643" t="e">
        <f>SUMIF(#REF!,Final!A759,#REF!)</f>
        <v>#REF!</v>
      </c>
      <c r="F759" s="1644" t="e">
        <f>SUMIF(#REF!,Final!A759,#REF!)</f>
        <v>#REF!</v>
      </c>
      <c r="G759" s="1597" t="e">
        <f t="shared" si="60"/>
        <v>#REF!</v>
      </c>
      <c r="H759" s="1644" t="e">
        <f t="shared" si="61"/>
        <v>#REF!</v>
      </c>
      <c r="I759" s="1597" t="e">
        <f t="shared" si="62"/>
        <v>#REF!</v>
      </c>
      <c r="J759" s="1644" t="e">
        <f t="shared" si="63"/>
        <v>#REF!</v>
      </c>
      <c r="K759" s="1539"/>
      <c r="L759" s="1539"/>
      <c r="M759" s="1545"/>
      <c r="N759" s="1545"/>
      <c r="O759" s="1539"/>
      <c r="P759" s="1539"/>
      <c r="Q759" s="1539"/>
      <c r="R759" s="1539"/>
      <c r="S759" s="1539"/>
      <c r="T759" s="1539"/>
      <c r="U759" s="1539"/>
      <c r="V759" s="1539"/>
      <c r="W759" s="1539"/>
      <c r="X759" s="1539"/>
      <c r="Y759" s="1539"/>
      <c r="Z759" s="1539"/>
      <c r="AA759" s="1539"/>
      <c r="AB759" s="1539"/>
      <c r="AC759" s="1539"/>
      <c r="AD759" s="1539"/>
      <c r="AE759" s="1539"/>
      <c r="AF759" s="1539"/>
      <c r="AG759" s="1539"/>
      <c r="AH759" s="1539"/>
      <c r="AI759" s="1539"/>
      <c r="AJ759" s="1539"/>
      <c r="AK759" s="1539"/>
      <c r="AL759" s="1539"/>
      <c r="AM759" s="1539"/>
      <c r="AN759" s="1539"/>
      <c r="AO759" s="1539"/>
      <c r="AP759" s="1539"/>
      <c r="AQ759" s="1539"/>
      <c r="AR759" s="1539"/>
      <c r="AS759" s="1539"/>
      <c r="AT759" s="1539"/>
      <c r="AU759" s="1539"/>
      <c r="AV759" s="1539"/>
      <c r="AW759" s="1539"/>
      <c r="AX759" s="1539"/>
      <c r="AY759" s="1539"/>
      <c r="AZ759" s="1539"/>
      <c r="BA759" s="1539"/>
      <c r="BB759" s="1539"/>
      <c r="BC759" s="1539"/>
      <c r="BD759" s="1539"/>
      <c r="BE759" s="1539"/>
      <c r="BF759" s="1539"/>
      <c r="BG759" s="1539"/>
      <c r="BH759" s="1539"/>
      <c r="BI759" s="1539"/>
      <c r="BJ759" s="1539"/>
      <c r="BK759" s="1539"/>
      <c r="BL759" s="1539"/>
      <c r="BM759" s="1539"/>
      <c r="BN759" s="1539"/>
      <c r="BO759" s="1539"/>
      <c r="BP759" s="1539"/>
      <c r="BQ759" s="1539"/>
      <c r="BR759" s="1539"/>
      <c r="BS759" s="1539"/>
      <c r="BT759" s="1539"/>
      <c r="BU759" s="1539"/>
      <c r="BV759" s="1539"/>
      <c r="BW759" s="1539"/>
      <c r="BX759" s="1539"/>
      <c r="BY759" s="1539"/>
      <c r="BZ759" s="1539"/>
      <c r="CA759" s="1539"/>
      <c r="CB759" s="1539"/>
      <c r="CC759" s="1539"/>
      <c r="CD759" s="1539"/>
      <c r="CE759" s="1539"/>
      <c r="CF759" s="1539"/>
      <c r="CG759" s="1539"/>
      <c r="CH759" s="1539"/>
      <c r="CI759" s="1539"/>
      <c r="CJ759" s="1539"/>
      <c r="CK759" s="1539"/>
      <c r="CL759" s="1539"/>
      <c r="CM759" s="1539"/>
      <c r="CN759" s="1539"/>
      <c r="CO759" s="1539"/>
    </row>
    <row r="760" spans="1:93" s="1542" customFormat="1" ht="15.5">
      <c r="A760" s="1598" t="s">
        <v>544</v>
      </c>
      <c r="B760" s="1599" t="s">
        <v>2641</v>
      </c>
      <c r="C760" s="1643" t="e">
        <f>+SUMIF(#REF!,Final!A760,#REF!)</f>
        <v>#REF!</v>
      </c>
      <c r="D760" s="1597" t="e">
        <f>+SUMIF(#REF!,Final!A760,#REF!)</f>
        <v>#REF!</v>
      </c>
      <c r="E760" s="1643" t="e">
        <f>SUMIF(#REF!,Final!A760,#REF!)</f>
        <v>#REF!</v>
      </c>
      <c r="F760" s="1644" t="e">
        <f>SUMIF(#REF!,Final!A760,#REF!)</f>
        <v>#REF!</v>
      </c>
      <c r="G760" s="1597" t="e">
        <f t="shared" si="60"/>
        <v>#REF!</v>
      </c>
      <c r="H760" s="1644" t="e">
        <f t="shared" si="61"/>
        <v>#REF!</v>
      </c>
      <c r="I760" s="1597" t="e">
        <f t="shared" si="62"/>
        <v>#REF!</v>
      </c>
      <c r="J760" s="1644" t="e">
        <f t="shared" si="63"/>
        <v>#REF!</v>
      </c>
      <c r="K760" s="1539"/>
      <c r="L760" s="1539"/>
      <c r="M760" s="1545"/>
      <c r="N760" s="1545"/>
      <c r="O760" s="1539"/>
      <c r="P760" s="1539"/>
      <c r="Q760" s="1539"/>
      <c r="R760" s="1539"/>
      <c r="S760" s="1539"/>
      <c r="T760" s="1539"/>
      <c r="U760" s="1539"/>
      <c r="V760" s="1539"/>
      <c r="W760" s="1539"/>
      <c r="X760" s="1539"/>
      <c r="Y760" s="1539"/>
      <c r="Z760" s="1539"/>
      <c r="AA760" s="1539"/>
      <c r="AB760" s="1539"/>
      <c r="AC760" s="1539"/>
      <c r="AD760" s="1539"/>
      <c r="AE760" s="1539"/>
      <c r="AF760" s="1539"/>
      <c r="AG760" s="1539"/>
      <c r="AH760" s="1539"/>
      <c r="AI760" s="1539"/>
      <c r="AJ760" s="1539"/>
      <c r="AK760" s="1539"/>
      <c r="AL760" s="1539"/>
      <c r="AM760" s="1539"/>
      <c r="AN760" s="1539"/>
      <c r="AO760" s="1539"/>
      <c r="AP760" s="1539"/>
      <c r="AQ760" s="1539"/>
      <c r="AR760" s="1539"/>
      <c r="AS760" s="1539"/>
      <c r="AT760" s="1539"/>
      <c r="AU760" s="1539"/>
      <c r="AV760" s="1539"/>
      <c r="AW760" s="1539"/>
      <c r="AX760" s="1539"/>
      <c r="AY760" s="1539"/>
      <c r="AZ760" s="1539"/>
      <c r="BA760" s="1539"/>
      <c r="BB760" s="1539"/>
      <c r="BC760" s="1539"/>
      <c r="BD760" s="1539"/>
      <c r="BE760" s="1539"/>
      <c r="BF760" s="1539"/>
      <c r="BG760" s="1539"/>
      <c r="BH760" s="1539"/>
      <c r="BI760" s="1539"/>
      <c r="BJ760" s="1539"/>
      <c r="BK760" s="1539"/>
      <c r="BL760" s="1539"/>
      <c r="BM760" s="1539"/>
      <c r="BN760" s="1539"/>
      <c r="BO760" s="1539"/>
      <c r="BP760" s="1539"/>
      <c r="BQ760" s="1539"/>
      <c r="BR760" s="1539"/>
      <c r="BS760" s="1539"/>
      <c r="BT760" s="1539"/>
      <c r="BU760" s="1539"/>
      <c r="BV760" s="1539"/>
      <c r="BW760" s="1539"/>
      <c r="BX760" s="1539"/>
      <c r="BY760" s="1539"/>
      <c r="BZ760" s="1539"/>
      <c r="CA760" s="1539"/>
      <c r="CB760" s="1539"/>
      <c r="CC760" s="1539"/>
      <c r="CD760" s="1539"/>
      <c r="CE760" s="1539"/>
      <c r="CF760" s="1539"/>
      <c r="CG760" s="1539"/>
      <c r="CH760" s="1539"/>
      <c r="CI760" s="1539"/>
      <c r="CJ760" s="1539"/>
      <c r="CK760" s="1539"/>
      <c r="CL760" s="1539"/>
      <c r="CM760" s="1539"/>
      <c r="CN760" s="1539"/>
      <c r="CO760" s="1539"/>
    </row>
    <row r="761" spans="1:93" s="1542" customFormat="1" ht="15.5">
      <c r="A761" s="1598" t="s">
        <v>443</v>
      </c>
      <c r="B761" s="1599" t="s">
        <v>570</v>
      </c>
      <c r="C761" s="1643" t="e">
        <f>+SUMIF(#REF!,Final!A761,#REF!)</f>
        <v>#REF!</v>
      </c>
      <c r="D761" s="1597" t="e">
        <f>+SUMIF(#REF!,Final!A761,#REF!)</f>
        <v>#REF!</v>
      </c>
      <c r="E761" s="1643" t="e">
        <f>SUMIF(#REF!,Final!A761,#REF!)</f>
        <v>#REF!</v>
      </c>
      <c r="F761" s="1644" t="e">
        <f>SUMIF(#REF!,Final!A761,#REF!)</f>
        <v>#REF!</v>
      </c>
      <c r="G761" s="1597" t="e">
        <f t="shared" si="60"/>
        <v>#REF!</v>
      </c>
      <c r="H761" s="1644" t="e">
        <f t="shared" si="61"/>
        <v>#REF!</v>
      </c>
      <c r="I761" s="1597" t="e">
        <f t="shared" si="62"/>
        <v>#REF!</v>
      </c>
      <c r="J761" s="1644" t="e">
        <f t="shared" si="63"/>
        <v>#REF!</v>
      </c>
      <c r="K761" s="1539"/>
      <c r="L761" s="1539"/>
      <c r="M761" s="1545"/>
      <c r="N761" s="1545"/>
      <c r="O761" s="1539"/>
      <c r="P761" s="1539"/>
      <c r="Q761" s="1539"/>
      <c r="R761" s="1539"/>
      <c r="S761" s="1539"/>
      <c r="T761" s="1539"/>
      <c r="U761" s="1539"/>
      <c r="V761" s="1539"/>
      <c r="W761" s="1539"/>
      <c r="X761" s="1539"/>
      <c r="Y761" s="1539"/>
      <c r="Z761" s="1539"/>
      <c r="AA761" s="1539"/>
      <c r="AB761" s="1539"/>
      <c r="AC761" s="1539"/>
      <c r="AD761" s="1539"/>
      <c r="AE761" s="1539"/>
      <c r="AF761" s="1539"/>
      <c r="AG761" s="1539"/>
      <c r="AH761" s="1539"/>
      <c r="AI761" s="1539"/>
      <c r="AJ761" s="1539"/>
      <c r="AK761" s="1539"/>
      <c r="AL761" s="1539"/>
      <c r="AM761" s="1539"/>
      <c r="AN761" s="1539"/>
      <c r="AO761" s="1539"/>
      <c r="AP761" s="1539"/>
      <c r="AQ761" s="1539"/>
      <c r="AR761" s="1539"/>
      <c r="AS761" s="1539"/>
      <c r="AT761" s="1539"/>
      <c r="AU761" s="1539"/>
      <c r="AV761" s="1539"/>
      <c r="AW761" s="1539"/>
      <c r="AX761" s="1539"/>
      <c r="AY761" s="1539"/>
      <c r="AZ761" s="1539"/>
      <c r="BA761" s="1539"/>
      <c r="BB761" s="1539"/>
      <c r="BC761" s="1539"/>
      <c r="BD761" s="1539"/>
      <c r="BE761" s="1539"/>
      <c r="BF761" s="1539"/>
      <c r="BG761" s="1539"/>
      <c r="BH761" s="1539"/>
      <c r="BI761" s="1539"/>
      <c r="BJ761" s="1539"/>
      <c r="BK761" s="1539"/>
      <c r="BL761" s="1539"/>
      <c r="BM761" s="1539"/>
      <c r="BN761" s="1539"/>
      <c r="BO761" s="1539"/>
      <c r="BP761" s="1539"/>
      <c r="BQ761" s="1539"/>
      <c r="BR761" s="1539"/>
      <c r="BS761" s="1539"/>
      <c r="BT761" s="1539"/>
      <c r="BU761" s="1539"/>
      <c r="BV761" s="1539"/>
      <c r="BW761" s="1539"/>
      <c r="BX761" s="1539"/>
      <c r="BY761" s="1539"/>
      <c r="BZ761" s="1539"/>
      <c r="CA761" s="1539"/>
      <c r="CB761" s="1539"/>
      <c r="CC761" s="1539"/>
      <c r="CD761" s="1539"/>
      <c r="CE761" s="1539"/>
      <c r="CF761" s="1539"/>
      <c r="CG761" s="1539"/>
      <c r="CH761" s="1539"/>
      <c r="CI761" s="1539"/>
      <c r="CJ761" s="1539"/>
      <c r="CK761" s="1539"/>
      <c r="CL761" s="1539"/>
      <c r="CM761" s="1539"/>
      <c r="CN761" s="1539"/>
      <c r="CO761" s="1539"/>
    </row>
    <row r="762" spans="1:93" ht="15.5">
      <c r="A762" s="1598">
        <v>22.321000000000002</v>
      </c>
      <c r="B762" s="1599" t="s">
        <v>2664</v>
      </c>
      <c r="C762" s="1643" t="e">
        <f>+SUMIF(#REF!,Final!A762,#REF!)</f>
        <v>#REF!</v>
      </c>
      <c r="D762" s="1597" t="e">
        <f>+SUMIF(#REF!,Final!A762,#REF!)</f>
        <v>#REF!</v>
      </c>
      <c r="E762" s="1643" t="e">
        <f>SUMIF(#REF!,Final!A762,#REF!)</f>
        <v>#REF!</v>
      </c>
      <c r="F762" s="1644" t="e">
        <f>SUMIF(#REF!,Final!A762,#REF!)</f>
        <v>#REF!</v>
      </c>
      <c r="G762" s="1597" t="e">
        <f t="shared" si="60"/>
        <v>#REF!</v>
      </c>
      <c r="H762" s="1644" t="e">
        <f t="shared" si="61"/>
        <v>#REF!</v>
      </c>
      <c r="I762" s="1597" t="e">
        <f t="shared" si="62"/>
        <v>#REF!</v>
      </c>
      <c r="J762" s="1644" t="e">
        <f t="shared" si="63"/>
        <v>#REF!</v>
      </c>
      <c r="M762" s="1545"/>
      <c r="N762" s="1545"/>
    </row>
    <row r="763" spans="1:93" ht="15.5">
      <c r="A763" s="1598">
        <v>22.323</v>
      </c>
      <c r="B763" s="1599" t="s">
        <v>2665</v>
      </c>
      <c r="C763" s="1643" t="e">
        <f>+SUMIF(#REF!,Final!A763,#REF!)</f>
        <v>#REF!</v>
      </c>
      <c r="D763" s="1597" t="e">
        <f>+SUMIF(#REF!,Final!A763,#REF!)</f>
        <v>#REF!</v>
      </c>
      <c r="E763" s="1643" t="e">
        <f>SUMIF(#REF!,Final!A763,#REF!)</f>
        <v>#REF!</v>
      </c>
      <c r="F763" s="1644" t="e">
        <f>SUMIF(#REF!,Final!A763,#REF!)</f>
        <v>#REF!</v>
      </c>
      <c r="G763" s="1597" t="e">
        <f t="shared" si="60"/>
        <v>#REF!</v>
      </c>
      <c r="H763" s="1644" t="e">
        <f t="shared" si="61"/>
        <v>#REF!</v>
      </c>
      <c r="I763" s="1597" t="e">
        <f t="shared" si="62"/>
        <v>#REF!</v>
      </c>
      <c r="J763" s="1644" t="e">
        <f t="shared" si="63"/>
        <v>#REF!</v>
      </c>
      <c r="M763" s="1545"/>
      <c r="N763" s="1545"/>
    </row>
    <row r="764" spans="1:93" ht="15.5">
      <c r="A764" s="1598">
        <v>22.324000000000002</v>
      </c>
      <c r="B764" s="1599" t="s">
        <v>2666</v>
      </c>
      <c r="C764" s="1643" t="e">
        <f>+SUMIF(#REF!,Final!A764,#REF!)</f>
        <v>#REF!</v>
      </c>
      <c r="D764" s="1597" t="e">
        <f>+SUMIF(#REF!,Final!A764,#REF!)</f>
        <v>#REF!</v>
      </c>
      <c r="E764" s="1643" t="e">
        <f>SUMIF(#REF!,Final!A764,#REF!)</f>
        <v>#REF!</v>
      </c>
      <c r="F764" s="1644" t="e">
        <f>SUMIF(#REF!,Final!A764,#REF!)</f>
        <v>#REF!</v>
      </c>
      <c r="G764" s="1597" t="e">
        <f t="shared" si="60"/>
        <v>#REF!</v>
      </c>
      <c r="H764" s="1644" t="e">
        <f t="shared" si="61"/>
        <v>#REF!</v>
      </c>
      <c r="I764" s="1597" t="e">
        <f t="shared" si="62"/>
        <v>#REF!</v>
      </c>
      <c r="J764" s="1644" t="e">
        <f t="shared" si="63"/>
        <v>#REF!</v>
      </c>
      <c r="M764" s="1545"/>
      <c r="N764" s="1545"/>
    </row>
    <row r="765" spans="1:93" ht="15.5">
      <c r="A765" s="1598">
        <v>22.324999999999999</v>
      </c>
      <c r="B765" s="1599" t="s">
        <v>2667</v>
      </c>
      <c r="C765" s="1643" t="e">
        <f>+SUMIF(#REF!,Final!A765,#REF!)</f>
        <v>#REF!</v>
      </c>
      <c r="D765" s="1597" t="e">
        <f>+SUMIF(#REF!,Final!A765,#REF!)</f>
        <v>#REF!</v>
      </c>
      <c r="E765" s="1643" t="e">
        <f>SUMIF(#REF!,Final!A765,#REF!)</f>
        <v>#REF!</v>
      </c>
      <c r="F765" s="1644" t="e">
        <f>SUMIF(#REF!,Final!A765,#REF!)</f>
        <v>#REF!</v>
      </c>
      <c r="G765" s="1597" t="e">
        <f t="shared" si="60"/>
        <v>#REF!</v>
      </c>
      <c r="H765" s="1644" t="e">
        <f t="shared" si="61"/>
        <v>#REF!</v>
      </c>
      <c r="I765" s="1597" t="e">
        <f t="shared" si="62"/>
        <v>#REF!</v>
      </c>
      <c r="J765" s="1644" t="e">
        <f t="shared" si="63"/>
        <v>#REF!</v>
      </c>
      <c r="M765" s="1545"/>
      <c r="N765" s="1545"/>
    </row>
    <row r="766" spans="1:93" ht="15.5">
      <c r="A766" s="1598">
        <v>22.326000000000001</v>
      </c>
      <c r="B766" s="1599" t="s">
        <v>2668</v>
      </c>
      <c r="C766" s="1643" t="e">
        <f>+SUMIF(#REF!,Final!A766,#REF!)</f>
        <v>#REF!</v>
      </c>
      <c r="D766" s="1597" t="e">
        <f>+SUMIF(#REF!,Final!A766,#REF!)</f>
        <v>#REF!</v>
      </c>
      <c r="E766" s="1643" t="e">
        <f>SUMIF(#REF!,Final!A766,#REF!)</f>
        <v>#REF!</v>
      </c>
      <c r="F766" s="1644" t="e">
        <f>SUMIF(#REF!,Final!A766,#REF!)</f>
        <v>#REF!</v>
      </c>
      <c r="G766" s="1597" t="e">
        <f t="shared" si="60"/>
        <v>#REF!</v>
      </c>
      <c r="H766" s="1644" t="e">
        <f t="shared" si="61"/>
        <v>#REF!</v>
      </c>
      <c r="I766" s="1597" t="e">
        <f t="shared" si="62"/>
        <v>#REF!</v>
      </c>
      <c r="J766" s="1644" t="e">
        <f t="shared" si="63"/>
        <v>#REF!</v>
      </c>
      <c r="M766" s="1545"/>
      <c r="N766" s="1545"/>
    </row>
    <row r="767" spans="1:93" ht="15.5">
      <c r="A767" s="1598">
        <v>22.327000000000002</v>
      </c>
      <c r="B767" s="1599" t="s">
        <v>2669</v>
      </c>
      <c r="C767" s="1643" t="e">
        <f>+SUMIF(#REF!,Final!A767,#REF!)</f>
        <v>#REF!</v>
      </c>
      <c r="D767" s="1597" t="e">
        <f>+SUMIF(#REF!,Final!A767,#REF!)</f>
        <v>#REF!</v>
      </c>
      <c r="E767" s="1643" t="e">
        <f>SUMIF(#REF!,Final!A767,#REF!)</f>
        <v>#REF!</v>
      </c>
      <c r="F767" s="1644" t="e">
        <f>SUMIF(#REF!,Final!A767,#REF!)</f>
        <v>#REF!</v>
      </c>
      <c r="G767" s="1597" t="e">
        <f t="shared" si="60"/>
        <v>#REF!</v>
      </c>
      <c r="H767" s="1644" t="e">
        <f t="shared" si="61"/>
        <v>#REF!</v>
      </c>
      <c r="I767" s="1597" t="e">
        <f t="shared" si="62"/>
        <v>#REF!</v>
      </c>
      <c r="J767" s="1644" t="e">
        <f t="shared" si="63"/>
        <v>#REF!</v>
      </c>
      <c r="M767" s="1545"/>
      <c r="N767" s="1545"/>
    </row>
    <row r="768" spans="1:93" ht="15.5">
      <c r="A768" s="1598">
        <v>22.327999999999999</v>
      </c>
      <c r="B768" s="1599" t="s">
        <v>2670</v>
      </c>
      <c r="C768" s="1643" t="e">
        <f>+SUMIF(#REF!,Final!A768,#REF!)</f>
        <v>#REF!</v>
      </c>
      <c r="D768" s="1597" t="e">
        <f>+SUMIF(#REF!,Final!A768,#REF!)</f>
        <v>#REF!</v>
      </c>
      <c r="E768" s="1643" t="e">
        <f>SUMIF(#REF!,Final!A768,#REF!)</f>
        <v>#REF!</v>
      </c>
      <c r="F768" s="1644" t="e">
        <f>SUMIF(#REF!,Final!A768,#REF!)</f>
        <v>#REF!</v>
      </c>
      <c r="G768" s="1597" t="e">
        <f t="shared" si="60"/>
        <v>#REF!</v>
      </c>
      <c r="H768" s="1644" t="e">
        <f t="shared" si="61"/>
        <v>#REF!</v>
      </c>
      <c r="I768" s="1597" t="e">
        <f t="shared" si="62"/>
        <v>#REF!</v>
      </c>
      <c r="J768" s="1644" t="e">
        <f t="shared" si="63"/>
        <v>#REF!</v>
      </c>
      <c r="M768" s="1545"/>
      <c r="N768" s="1545"/>
    </row>
    <row r="769" spans="1:14" ht="15.5">
      <c r="A769" s="1598">
        <v>22.329000000000001</v>
      </c>
      <c r="B769" s="1599" t="s">
        <v>2671</v>
      </c>
      <c r="C769" s="1643" t="e">
        <f>+SUMIF(#REF!,Final!A769,#REF!)</f>
        <v>#REF!</v>
      </c>
      <c r="D769" s="1597" t="e">
        <f>+SUMIF(#REF!,Final!A769,#REF!)</f>
        <v>#REF!</v>
      </c>
      <c r="E769" s="1643" t="e">
        <f>SUMIF(#REF!,Final!A769,#REF!)</f>
        <v>#REF!</v>
      </c>
      <c r="F769" s="1644" t="e">
        <f>SUMIF(#REF!,Final!A769,#REF!)</f>
        <v>#REF!</v>
      </c>
      <c r="G769" s="1597" t="e">
        <f t="shared" si="60"/>
        <v>#REF!</v>
      </c>
      <c r="H769" s="1644" t="e">
        <f t="shared" si="61"/>
        <v>#REF!</v>
      </c>
      <c r="I769" s="1597" t="e">
        <f t="shared" si="62"/>
        <v>#REF!</v>
      </c>
      <c r="J769" s="1644" t="e">
        <f t="shared" si="63"/>
        <v>#REF!</v>
      </c>
      <c r="M769" s="1545"/>
      <c r="N769" s="1545"/>
    </row>
    <row r="770" spans="1:14" ht="15.5">
      <c r="A770" s="1598">
        <v>22.33</v>
      </c>
      <c r="B770" s="1599" t="s">
        <v>2672</v>
      </c>
      <c r="C770" s="1643" t="e">
        <f>+SUMIF(#REF!,Final!A770,#REF!)</f>
        <v>#REF!</v>
      </c>
      <c r="D770" s="1597" t="e">
        <f>+SUMIF(#REF!,Final!A770,#REF!)</f>
        <v>#REF!</v>
      </c>
      <c r="E770" s="1643" t="e">
        <f>SUMIF(#REF!,Final!A770,#REF!)</f>
        <v>#REF!</v>
      </c>
      <c r="F770" s="1644" t="e">
        <f>SUMIF(#REF!,Final!A770,#REF!)</f>
        <v>#REF!</v>
      </c>
      <c r="G770" s="1597" t="e">
        <f t="shared" si="60"/>
        <v>#REF!</v>
      </c>
      <c r="H770" s="1644" t="e">
        <f t="shared" si="61"/>
        <v>#REF!</v>
      </c>
      <c r="I770" s="1597" t="e">
        <f t="shared" si="62"/>
        <v>#REF!</v>
      </c>
      <c r="J770" s="1644" t="e">
        <f t="shared" si="63"/>
        <v>#REF!</v>
      </c>
      <c r="M770" s="1545"/>
      <c r="N770" s="1545"/>
    </row>
    <row r="771" spans="1:14" ht="15.5">
      <c r="A771" s="1598">
        <v>22.332999999999998</v>
      </c>
      <c r="B771" s="1599" t="s">
        <v>2673</v>
      </c>
      <c r="C771" s="1643" t="e">
        <f>+SUMIF(#REF!,Final!A771,#REF!)</f>
        <v>#REF!</v>
      </c>
      <c r="D771" s="1597" t="e">
        <f>+SUMIF(#REF!,Final!A771,#REF!)</f>
        <v>#REF!</v>
      </c>
      <c r="E771" s="1643" t="e">
        <f>SUMIF(#REF!,Final!A771,#REF!)</f>
        <v>#REF!</v>
      </c>
      <c r="F771" s="1644" t="e">
        <f>SUMIF(#REF!,Final!A771,#REF!)</f>
        <v>#REF!</v>
      </c>
      <c r="G771" s="1597" t="e">
        <f t="shared" si="60"/>
        <v>#REF!</v>
      </c>
      <c r="H771" s="1644" t="e">
        <f t="shared" si="61"/>
        <v>#REF!</v>
      </c>
      <c r="I771" s="1597" t="e">
        <f t="shared" si="62"/>
        <v>#REF!</v>
      </c>
      <c r="J771" s="1644" t="e">
        <f t="shared" si="63"/>
        <v>#REF!</v>
      </c>
      <c r="M771" s="1545"/>
      <c r="N771" s="1545"/>
    </row>
    <row r="772" spans="1:14" ht="15.5">
      <c r="A772" s="1598">
        <v>22.338999999999999</v>
      </c>
      <c r="B772" s="1599" t="s">
        <v>2674</v>
      </c>
      <c r="C772" s="1643" t="e">
        <f>+SUMIF(#REF!,Final!A772,#REF!)</f>
        <v>#REF!</v>
      </c>
      <c r="D772" s="1597" t="e">
        <f>+SUMIF(#REF!,Final!A772,#REF!)</f>
        <v>#REF!</v>
      </c>
      <c r="E772" s="1643" t="e">
        <f>SUMIF(#REF!,Final!A772,#REF!)</f>
        <v>#REF!</v>
      </c>
      <c r="F772" s="1644" t="e">
        <f>SUMIF(#REF!,Final!A772,#REF!)</f>
        <v>#REF!</v>
      </c>
      <c r="G772" s="1597" t="e">
        <f t="shared" si="60"/>
        <v>#REF!</v>
      </c>
      <c r="H772" s="1644" t="e">
        <f t="shared" si="61"/>
        <v>#REF!</v>
      </c>
      <c r="I772" s="1597" t="e">
        <f t="shared" si="62"/>
        <v>#REF!</v>
      </c>
      <c r="J772" s="1644" t="e">
        <f t="shared" si="63"/>
        <v>#REF!</v>
      </c>
      <c r="M772" s="1545"/>
      <c r="N772" s="1545"/>
    </row>
    <row r="773" spans="1:14" ht="15.5">
      <c r="A773" s="1684" t="s">
        <v>4925</v>
      </c>
      <c r="B773" s="1703" t="s">
        <v>2664</v>
      </c>
      <c r="C773" s="1643" t="e">
        <f>+SUMIF(#REF!,Final!A773,#REF!)</f>
        <v>#REF!</v>
      </c>
      <c r="D773" s="1597" t="e">
        <f>+SUMIF(#REF!,Final!A773,#REF!)</f>
        <v>#REF!</v>
      </c>
      <c r="E773" s="1643" t="e">
        <f>SUMIF(#REF!,Final!A773,#REF!)</f>
        <v>#REF!</v>
      </c>
      <c r="F773" s="1644" t="e">
        <f>SUMIF(#REF!,Final!A773,#REF!)</f>
        <v>#REF!</v>
      </c>
      <c r="G773" s="1597" t="e">
        <f t="shared" si="60"/>
        <v>#REF!</v>
      </c>
      <c r="H773" s="1644" t="e">
        <f t="shared" si="61"/>
        <v>#REF!</v>
      </c>
      <c r="I773" s="1597" t="e">
        <f t="shared" si="62"/>
        <v>#REF!</v>
      </c>
      <c r="J773" s="1644" t="e">
        <f t="shared" si="63"/>
        <v>#REF!</v>
      </c>
      <c r="M773" s="1545"/>
      <c r="N773" s="1545"/>
    </row>
    <row r="774" spans="1:14" ht="15.5">
      <c r="A774" s="1684" t="s">
        <v>4926</v>
      </c>
      <c r="B774" s="1703" t="s">
        <v>2665</v>
      </c>
      <c r="C774" s="1643" t="e">
        <f>+SUMIF(#REF!,Final!A774,#REF!)</f>
        <v>#REF!</v>
      </c>
      <c r="D774" s="1597" t="e">
        <f>+SUMIF(#REF!,Final!A774,#REF!)</f>
        <v>#REF!</v>
      </c>
      <c r="E774" s="1643" t="e">
        <f>SUMIF(#REF!,Final!A774,#REF!)</f>
        <v>#REF!</v>
      </c>
      <c r="F774" s="1644" t="e">
        <f>SUMIF(#REF!,Final!A774,#REF!)</f>
        <v>#REF!</v>
      </c>
      <c r="G774" s="1597" t="e">
        <f t="shared" si="60"/>
        <v>#REF!</v>
      </c>
      <c r="H774" s="1644" t="e">
        <f t="shared" si="61"/>
        <v>#REF!</v>
      </c>
      <c r="I774" s="1597" t="e">
        <f t="shared" si="62"/>
        <v>#REF!</v>
      </c>
      <c r="J774" s="1644" t="e">
        <f t="shared" si="63"/>
        <v>#REF!</v>
      </c>
      <c r="M774" s="1545"/>
      <c r="N774" s="1545"/>
    </row>
    <row r="775" spans="1:14" ht="15.5">
      <c r="A775" s="1684" t="s">
        <v>4927</v>
      </c>
      <c r="B775" s="1703" t="s">
        <v>2666</v>
      </c>
      <c r="C775" s="1643" t="e">
        <f>+SUMIF(#REF!,Final!A775,#REF!)</f>
        <v>#REF!</v>
      </c>
      <c r="D775" s="1597" t="e">
        <f>+SUMIF(#REF!,Final!A775,#REF!)</f>
        <v>#REF!</v>
      </c>
      <c r="E775" s="1643" t="e">
        <f>SUMIF(#REF!,Final!A775,#REF!)</f>
        <v>#REF!</v>
      </c>
      <c r="F775" s="1644" t="e">
        <f>SUMIF(#REF!,Final!A775,#REF!)</f>
        <v>#REF!</v>
      </c>
      <c r="G775" s="1597" t="e">
        <f t="shared" si="60"/>
        <v>#REF!</v>
      </c>
      <c r="H775" s="1644" t="e">
        <f t="shared" si="61"/>
        <v>#REF!</v>
      </c>
      <c r="I775" s="1597" t="e">
        <f t="shared" si="62"/>
        <v>#REF!</v>
      </c>
      <c r="J775" s="1644" t="e">
        <f t="shared" si="63"/>
        <v>#REF!</v>
      </c>
      <c r="M775" s="1545"/>
      <c r="N775" s="1545"/>
    </row>
    <row r="776" spans="1:14" ht="15.5">
      <c r="A776" s="1684" t="s">
        <v>4928</v>
      </c>
      <c r="B776" s="1703" t="s">
        <v>2667</v>
      </c>
      <c r="C776" s="1643" t="e">
        <f>+SUMIF(#REF!,Final!A776,#REF!)</f>
        <v>#REF!</v>
      </c>
      <c r="D776" s="1597" t="e">
        <f>+SUMIF(#REF!,Final!A776,#REF!)</f>
        <v>#REF!</v>
      </c>
      <c r="E776" s="1643" t="e">
        <f>SUMIF(#REF!,Final!A776,#REF!)</f>
        <v>#REF!</v>
      </c>
      <c r="F776" s="1644" t="e">
        <f>SUMIF(#REF!,Final!A776,#REF!)</f>
        <v>#REF!</v>
      </c>
      <c r="G776" s="1597" t="e">
        <f t="shared" si="60"/>
        <v>#REF!</v>
      </c>
      <c r="H776" s="1644" t="e">
        <f t="shared" si="61"/>
        <v>#REF!</v>
      </c>
      <c r="I776" s="1597" t="e">
        <f t="shared" si="62"/>
        <v>#REF!</v>
      </c>
      <c r="J776" s="1644" t="e">
        <f t="shared" si="63"/>
        <v>#REF!</v>
      </c>
      <c r="M776" s="1545"/>
      <c r="N776" s="1545"/>
    </row>
    <row r="777" spans="1:14" ht="15.5">
      <c r="A777" s="1684" t="s">
        <v>4929</v>
      </c>
      <c r="B777" s="1703" t="s">
        <v>2668</v>
      </c>
      <c r="C777" s="1643" t="e">
        <f>+SUMIF(#REF!,Final!A777,#REF!)</f>
        <v>#REF!</v>
      </c>
      <c r="D777" s="1597" t="e">
        <f>+SUMIF(#REF!,Final!A777,#REF!)</f>
        <v>#REF!</v>
      </c>
      <c r="E777" s="1643" t="e">
        <f>SUMIF(#REF!,Final!A777,#REF!)</f>
        <v>#REF!</v>
      </c>
      <c r="F777" s="1644" t="e">
        <f>SUMIF(#REF!,Final!A777,#REF!)</f>
        <v>#REF!</v>
      </c>
      <c r="G777" s="1597" t="e">
        <f t="shared" si="60"/>
        <v>#REF!</v>
      </c>
      <c r="H777" s="1644" t="e">
        <f t="shared" si="61"/>
        <v>#REF!</v>
      </c>
      <c r="I777" s="1597" t="e">
        <f t="shared" si="62"/>
        <v>#REF!</v>
      </c>
      <c r="J777" s="1644" t="e">
        <f t="shared" si="63"/>
        <v>#REF!</v>
      </c>
      <c r="M777" s="1545"/>
      <c r="N777" s="1545"/>
    </row>
    <row r="778" spans="1:14" ht="15.5">
      <c r="A778" s="1684" t="s">
        <v>4930</v>
      </c>
      <c r="B778" s="1703" t="s">
        <v>2669</v>
      </c>
      <c r="C778" s="1643" t="e">
        <f>+SUMIF(#REF!,Final!A778,#REF!)</f>
        <v>#REF!</v>
      </c>
      <c r="D778" s="1597" t="e">
        <f>+SUMIF(#REF!,Final!A778,#REF!)</f>
        <v>#REF!</v>
      </c>
      <c r="E778" s="1643" t="e">
        <f>SUMIF(#REF!,Final!A778,#REF!)</f>
        <v>#REF!</v>
      </c>
      <c r="F778" s="1644" t="e">
        <f>SUMIF(#REF!,Final!A778,#REF!)</f>
        <v>#REF!</v>
      </c>
      <c r="G778" s="1597" t="e">
        <f t="shared" si="60"/>
        <v>#REF!</v>
      </c>
      <c r="H778" s="1644" t="e">
        <f t="shared" si="61"/>
        <v>#REF!</v>
      </c>
      <c r="I778" s="1597" t="e">
        <f t="shared" si="62"/>
        <v>#REF!</v>
      </c>
      <c r="J778" s="1644" t="e">
        <f t="shared" si="63"/>
        <v>#REF!</v>
      </c>
      <c r="M778" s="1545"/>
      <c r="N778" s="1545"/>
    </row>
    <row r="779" spans="1:14" ht="15.5">
      <c r="A779" s="1684" t="s">
        <v>4931</v>
      </c>
      <c r="B779" s="1703" t="s">
        <v>2670</v>
      </c>
      <c r="C779" s="1643" t="e">
        <f>+SUMIF(#REF!,Final!A779,#REF!)</f>
        <v>#REF!</v>
      </c>
      <c r="D779" s="1597" t="e">
        <f>+SUMIF(#REF!,Final!A779,#REF!)</f>
        <v>#REF!</v>
      </c>
      <c r="E779" s="1643" t="e">
        <f>SUMIF(#REF!,Final!A779,#REF!)</f>
        <v>#REF!</v>
      </c>
      <c r="F779" s="1644" t="e">
        <f>SUMIF(#REF!,Final!A779,#REF!)</f>
        <v>#REF!</v>
      </c>
      <c r="G779" s="1597" t="e">
        <f t="shared" si="60"/>
        <v>#REF!</v>
      </c>
      <c r="H779" s="1644" t="e">
        <f t="shared" si="61"/>
        <v>#REF!</v>
      </c>
      <c r="I779" s="1597" t="e">
        <f t="shared" si="62"/>
        <v>#REF!</v>
      </c>
      <c r="J779" s="1644" t="e">
        <f t="shared" si="63"/>
        <v>#REF!</v>
      </c>
      <c r="M779" s="1545"/>
      <c r="N779" s="1545"/>
    </row>
    <row r="780" spans="1:14" ht="15.5">
      <c r="A780" s="1684" t="s">
        <v>4932</v>
      </c>
      <c r="B780" s="1703" t="s">
        <v>2671</v>
      </c>
      <c r="C780" s="1643" t="e">
        <f>+SUMIF(#REF!,Final!A780,#REF!)</f>
        <v>#REF!</v>
      </c>
      <c r="D780" s="1597" t="e">
        <f>+SUMIF(#REF!,Final!A780,#REF!)</f>
        <v>#REF!</v>
      </c>
      <c r="E780" s="1643" t="e">
        <f>SUMIF(#REF!,Final!A780,#REF!)</f>
        <v>#REF!</v>
      </c>
      <c r="F780" s="1644" t="e">
        <f>SUMIF(#REF!,Final!A780,#REF!)</f>
        <v>#REF!</v>
      </c>
      <c r="G780" s="1597" t="e">
        <f t="shared" si="60"/>
        <v>#REF!</v>
      </c>
      <c r="H780" s="1644" t="e">
        <f t="shared" si="61"/>
        <v>#REF!</v>
      </c>
      <c r="I780" s="1597" t="e">
        <f t="shared" si="62"/>
        <v>#REF!</v>
      </c>
      <c r="J780" s="1644" t="e">
        <f t="shared" si="63"/>
        <v>#REF!</v>
      </c>
      <c r="M780" s="1545"/>
      <c r="N780" s="1545"/>
    </row>
    <row r="781" spans="1:14" ht="15.5">
      <c r="A781" s="1684" t="s">
        <v>4933</v>
      </c>
      <c r="B781" s="1703" t="s">
        <v>2672</v>
      </c>
      <c r="C781" s="1643" t="e">
        <f>+SUMIF(#REF!,Final!A781,#REF!)</f>
        <v>#REF!</v>
      </c>
      <c r="D781" s="1597" t="e">
        <f>+SUMIF(#REF!,Final!A781,#REF!)</f>
        <v>#REF!</v>
      </c>
      <c r="E781" s="1643" t="e">
        <f>SUMIF(#REF!,Final!A781,#REF!)</f>
        <v>#REF!</v>
      </c>
      <c r="F781" s="1644" t="e">
        <f>SUMIF(#REF!,Final!A781,#REF!)</f>
        <v>#REF!</v>
      </c>
      <c r="G781" s="1597" t="e">
        <f t="shared" si="60"/>
        <v>#REF!</v>
      </c>
      <c r="H781" s="1644" t="e">
        <f t="shared" si="61"/>
        <v>#REF!</v>
      </c>
      <c r="I781" s="1597" t="e">
        <f t="shared" si="62"/>
        <v>#REF!</v>
      </c>
      <c r="J781" s="1644" t="e">
        <f t="shared" si="63"/>
        <v>#REF!</v>
      </c>
      <c r="M781" s="1545"/>
      <c r="N781" s="1545"/>
    </row>
    <row r="782" spans="1:14" ht="15.5">
      <c r="A782" s="1684" t="s">
        <v>4934</v>
      </c>
      <c r="B782" s="1703" t="s">
        <v>2674</v>
      </c>
      <c r="C782" s="1643" t="e">
        <f>+SUMIF(#REF!,Final!A782,#REF!)</f>
        <v>#REF!</v>
      </c>
      <c r="D782" s="1597" t="e">
        <f>+SUMIF(#REF!,Final!A782,#REF!)</f>
        <v>#REF!</v>
      </c>
      <c r="E782" s="1643" t="e">
        <f>SUMIF(#REF!,Final!A782,#REF!)</f>
        <v>#REF!</v>
      </c>
      <c r="F782" s="1644" t="e">
        <f>SUMIF(#REF!,Final!A782,#REF!)</f>
        <v>#REF!</v>
      </c>
      <c r="G782" s="1597" t="e">
        <f t="shared" si="60"/>
        <v>#REF!</v>
      </c>
      <c r="H782" s="1644" t="e">
        <f t="shared" si="61"/>
        <v>#REF!</v>
      </c>
      <c r="I782" s="1597" t="e">
        <f t="shared" si="62"/>
        <v>#REF!</v>
      </c>
      <c r="J782" s="1644" t="e">
        <f t="shared" si="63"/>
        <v>#REF!</v>
      </c>
      <c r="M782" s="1545"/>
      <c r="N782" s="1545"/>
    </row>
    <row r="783" spans="1:14" ht="15.5">
      <c r="A783" s="1786" t="s">
        <v>5210</v>
      </c>
      <c r="B783" s="1787" t="s">
        <v>2664</v>
      </c>
      <c r="C783" s="1643" t="e">
        <f>+SUMIF(#REF!,Final!A783,#REF!)</f>
        <v>#REF!</v>
      </c>
      <c r="D783" s="1597" t="e">
        <f>+SUMIF(#REF!,Final!A783,#REF!)</f>
        <v>#REF!</v>
      </c>
      <c r="E783" s="1643" t="e">
        <f>SUMIF(#REF!,Final!A783,#REF!)</f>
        <v>#REF!</v>
      </c>
      <c r="F783" s="1644" t="e">
        <f>SUMIF(#REF!,Final!A783,#REF!)</f>
        <v>#REF!</v>
      </c>
      <c r="G783" s="1597" t="e">
        <f t="shared" ref="G783:G793" si="64">C783+E783</f>
        <v>#REF!</v>
      </c>
      <c r="H783" s="1644" t="e">
        <f t="shared" ref="H783:H793" si="65">D783+F783</f>
        <v>#REF!</v>
      </c>
      <c r="I783" s="1597" t="e">
        <f t="shared" ref="I783:I793" si="66">IF(G783&gt;H783,G783-H783,0)</f>
        <v>#REF!</v>
      </c>
      <c r="J783" s="1644" t="e">
        <f t="shared" ref="J783:J793" si="67">IF(H783&gt;G783,H783-G783,0)</f>
        <v>#REF!</v>
      </c>
      <c r="M783" s="1545"/>
      <c r="N783" s="1545"/>
    </row>
    <row r="784" spans="1:14" ht="15.5">
      <c r="A784" s="1786" t="s">
        <v>5211</v>
      </c>
      <c r="B784" s="1787" t="s">
        <v>2665</v>
      </c>
      <c r="C784" s="1643" t="e">
        <f>+SUMIF(#REF!,Final!A784,#REF!)</f>
        <v>#REF!</v>
      </c>
      <c r="D784" s="1597" t="e">
        <f>+SUMIF(#REF!,Final!A784,#REF!)</f>
        <v>#REF!</v>
      </c>
      <c r="E784" s="1643" t="e">
        <f>SUMIF(#REF!,Final!A784,#REF!)</f>
        <v>#REF!</v>
      </c>
      <c r="F784" s="1644" t="e">
        <f>SUMIF(#REF!,Final!A784,#REF!)</f>
        <v>#REF!</v>
      </c>
      <c r="G784" s="1597" t="e">
        <f t="shared" si="64"/>
        <v>#REF!</v>
      </c>
      <c r="H784" s="1644" t="e">
        <f t="shared" si="65"/>
        <v>#REF!</v>
      </c>
      <c r="I784" s="1597" t="e">
        <f t="shared" si="66"/>
        <v>#REF!</v>
      </c>
      <c r="J784" s="1644" t="e">
        <f t="shared" si="67"/>
        <v>#REF!</v>
      </c>
      <c r="M784" s="1545"/>
      <c r="N784" s="1545"/>
    </row>
    <row r="785" spans="1:93" ht="15.5">
      <c r="A785" s="1786" t="s">
        <v>5212</v>
      </c>
      <c r="B785" s="1787" t="s">
        <v>2666</v>
      </c>
      <c r="C785" s="1643" t="e">
        <f>+SUMIF(#REF!,Final!A785,#REF!)</f>
        <v>#REF!</v>
      </c>
      <c r="D785" s="1597" t="e">
        <f>+SUMIF(#REF!,Final!A785,#REF!)</f>
        <v>#REF!</v>
      </c>
      <c r="E785" s="1643" t="e">
        <f>SUMIF(#REF!,Final!A785,#REF!)</f>
        <v>#REF!</v>
      </c>
      <c r="F785" s="1644" t="e">
        <f>SUMIF(#REF!,Final!A785,#REF!)</f>
        <v>#REF!</v>
      </c>
      <c r="G785" s="1597" t="e">
        <f t="shared" si="64"/>
        <v>#REF!</v>
      </c>
      <c r="H785" s="1644" t="e">
        <f t="shared" si="65"/>
        <v>#REF!</v>
      </c>
      <c r="I785" s="1597" t="e">
        <f t="shared" si="66"/>
        <v>#REF!</v>
      </c>
      <c r="J785" s="1644" t="e">
        <f t="shared" si="67"/>
        <v>#REF!</v>
      </c>
      <c r="M785" s="1545"/>
      <c r="N785" s="1545"/>
    </row>
    <row r="786" spans="1:93" ht="15.5">
      <c r="A786" s="1786" t="s">
        <v>5213</v>
      </c>
      <c r="B786" s="1787" t="s">
        <v>2667</v>
      </c>
      <c r="C786" s="1643" t="e">
        <f>+SUMIF(#REF!,Final!A786,#REF!)</f>
        <v>#REF!</v>
      </c>
      <c r="D786" s="1597" t="e">
        <f>+SUMIF(#REF!,Final!A786,#REF!)</f>
        <v>#REF!</v>
      </c>
      <c r="E786" s="1643" t="e">
        <f>SUMIF(#REF!,Final!A786,#REF!)</f>
        <v>#REF!</v>
      </c>
      <c r="F786" s="1644" t="e">
        <f>SUMIF(#REF!,Final!A786,#REF!)</f>
        <v>#REF!</v>
      </c>
      <c r="G786" s="1597" t="e">
        <f t="shared" si="64"/>
        <v>#REF!</v>
      </c>
      <c r="H786" s="1644" t="e">
        <f t="shared" si="65"/>
        <v>#REF!</v>
      </c>
      <c r="I786" s="1597" t="e">
        <f t="shared" si="66"/>
        <v>#REF!</v>
      </c>
      <c r="J786" s="1644" t="e">
        <f t="shared" si="67"/>
        <v>#REF!</v>
      </c>
      <c r="M786" s="1545"/>
      <c r="N786" s="1545"/>
    </row>
    <row r="787" spans="1:93" ht="15.5">
      <c r="A787" s="1786" t="s">
        <v>5214</v>
      </c>
      <c r="B787" s="1787" t="s">
        <v>2668</v>
      </c>
      <c r="C787" s="1643" t="e">
        <f>+SUMIF(#REF!,Final!A787,#REF!)</f>
        <v>#REF!</v>
      </c>
      <c r="D787" s="1597" t="e">
        <f>+SUMIF(#REF!,Final!A787,#REF!)</f>
        <v>#REF!</v>
      </c>
      <c r="E787" s="1643" t="e">
        <f>SUMIF(#REF!,Final!A787,#REF!)</f>
        <v>#REF!</v>
      </c>
      <c r="F787" s="1644" t="e">
        <f>SUMIF(#REF!,Final!A787,#REF!)</f>
        <v>#REF!</v>
      </c>
      <c r="G787" s="1597" t="e">
        <f t="shared" si="64"/>
        <v>#REF!</v>
      </c>
      <c r="H787" s="1644" t="e">
        <f t="shared" si="65"/>
        <v>#REF!</v>
      </c>
      <c r="I787" s="1597" t="e">
        <f t="shared" si="66"/>
        <v>#REF!</v>
      </c>
      <c r="J787" s="1644" t="e">
        <f t="shared" si="67"/>
        <v>#REF!</v>
      </c>
      <c r="M787" s="1545"/>
      <c r="N787" s="1545"/>
    </row>
    <row r="788" spans="1:93" ht="15.5">
      <c r="A788" s="1786" t="s">
        <v>5215</v>
      </c>
      <c r="B788" s="1787" t="s">
        <v>2669</v>
      </c>
      <c r="C788" s="1643" t="e">
        <f>+SUMIF(#REF!,Final!A788,#REF!)</f>
        <v>#REF!</v>
      </c>
      <c r="D788" s="1597" t="e">
        <f>+SUMIF(#REF!,Final!A788,#REF!)</f>
        <v>#REF!</v>
      </c>
      <c r="E788" s="1643" t="e">
        <f>SUMIF(#REF!,Final!A788,#REF!)</f>
        <v>#REF!</v>
      </c>
      <c r="F788" s="1644" t="e">
        <f>SUMIF(#REF!,Final!A788,#REF!)</f>
        <v>#REF!</v>
      </c>
      <c r="G788" s="1597" t="e">
        <f t="shared" si="64"/>
        <v>#REF!</v>
      </c>
      <c r="H788" s="1644" t="e">
        <f t="shared" si="65"/>
        <v>#REF!</v>
      </c>
      <c r="I788" s="1597" t="e">
        <f t="shared" si="66"/>
        <v>#REF!</v>
      </c>
      <c r="J788" s="1644" t="e">
        <f t="shared" si="67"/>
        <v>#REF!</v>
      </c>
      <c r="M788" s="1545"/>
      <c r="N788" s="1545"/>
    </row>
    <row r="789" spans="1:93" ht="15.5">
      <c r="A789" s="1786" t="s">
        <v>5216</v>
      </c>
      <c r="B789" s="1787" t="s">
        <v>2670</v>
      </c>
      <c r="C789" s="1643" t="e">
        <f>+SUMIF(#REF!,Final!A789,#REF!)</f>
        <v>#REF!</v>
      </c>
      <c r="D789" s="1597" t="e">
        <f>+SUMIF(#REF!,Final!A789,#REF!)</f>
        <v>#REF!</v>
      </c>
      <c r="E789" s="1643" t="e">
        <f>SUMIF(#REF!,Final!A789,#REF!)</f>
        <v>#REF!</v>
      </c>
      <c r="F789" s="1644" t="e">
        <f>SUMIF(#REF!,Final!A789,#REF!)</f>
        <v>#REF!</v>
      </c>
      <c r="G789" s="1597" t="e">
        <f t="shared" si="64"/>
        <v>#REF!</v>
      </c>
      <c r="H789" s="1644" t="e">
        <f t="shared" si="65"/>
        <v>#REF!</v>
      </c>
      <c r="I789" s="1597" t="e">
        <f t="shared" si="66"/>
        <v>#REF!</v>
      </c>
      <c r="J789" s="1644" t="e">
        <f t="shared" si="67"/>
        <v>#REF!</v>
      </c>
      <c r="M789" s="1545"/>
      <c r="N789" s="1545"/>
    </row>
    <row r="790" spans="1:93" ht="15.5">
      <c r="A790" s="1786" t="s">
        <v>5217</v>
      </c>
      <c r="B790" s="1787" t="s">
        <v>2671</v>
      </c>
      <c r="C790" s="1643" t="e">
        <f>+SUMIF(#REF!,Final!A790,#REF!)</f>
        <v>#REF!</v>
      </c>
      <c r="D790" s="1597" t="e">
        <f>+SUMIF(#REF!,Final!A790,#REF!)</f>
        <v>#REF!</v>
      </c>
      <c r="E790" s="1643" t="e">
        <f>SUMIF(#REF!,Final!A790,#REF!)</f>
        <v>#REF!</v>
      </c>
      <c r="F790" s="1644" t="e">
        <f>SUMIF(#REF!,Final!A790,#REF!)</f>
        <v>#REF!</v>
      </c>
      <c r="G790" s="1597" t="e">
        <f t="shared" si="64"/>
        <v>#REF!</v>
      </c>
      <c r="H790" s="1644" t="e">
        <f t="shared" si="65"/>
        <v>#REF!</v>
      </c>
      <c r="I790" s="1597" t="e">
        <f t="shared" si="66"/>
        <v>#REF!</v>
      </c>
      <c r="J790" s="1644" t="e">
        <f t="shared" si="67"/>
        <v>#REF!</v>
      </c>
      <c r="M790" s="1545"/>
      <c r="N790" s="1545"/>
    </row>
    <row r="791" spans="1:93" ht="15.5">
      <c r="A791" s="1786" t="s">
        <v>5218</v>
      </c>
      <c r="B791" s="1787" t="s">
        <v>2672</v>
      </c>
      <c r="C791" s="1643" t="e">
        <f>+SUMIF(#REF!,Final!A791,#REF!)</f>
        <v>#REF!</v>
      </c>
      <c r="D791" s="1597" t="e">
        <f>+SUMIF(#REF!,Final!A791,#REF!)</f>
        <v>#REF!</v>
      </c>
      <c r="E791" s="1643" t="e">
        <f>SUMIF(#REF!,Final!A791,#REF!)</f>
        <v>#REF!</v>
      </c>
      <c r="F791" s="1644" t="e">
        <f>SUMIF(#REF!,Final!A791,#REF!)</f>
        <v>#REF!</v>
      </c>
      <c r="G791" s="1597" t="e">
        <f t="shared" si="64"/>
        <v>#REF!</v>
      </c>
      <c r="H791" s="1644" t="e">
        <f t="shared" si="65"/>
        <v>#REF!</v>
      </c>
      <c r="I791" s="1597" t="e">
        <f t="shared" si="66"/>
        <v>#REF!</v>
      </c>
      <c r="J791" s="1644" t="e">
        <f t="shared" si="67"/>
        <v>#REF!</v>
      </c>
      <c r="M791" s="1545"/>
      <c r="N791" s="1545"/>
    </row>
    <row r="792" spans="1:93" ht="15.5">
      <c r="A792" s="1786" t="s">
        <v>5219</v>
      </c>
      <c r="B792" s="1787" t="s">
        <v>2674</v>
      </c>
      <c r="C792" s="1643" t="e">
        <f>+SUMIF(#REF!,Final!A792,#REF!)</f>
        <v>#REF!</v>
      </c>
      <c r="D792" s="1597" t="e">
        <f>+SUMIF(#REF!,Final!A792,#REF!)</f>
        <v>#REF!</v>
      </c>
      <c r="E792" s="1643" t="e">
        <f>SUMIF(#REF!,Final!A792,#REF!)</f>
        <v>#REF!</v>
      </c>
      <c r="F792" s="1644" t="e">
        <f>SUMIF(#REF!,Final!A792,#REF!)</f>
        <v>#REF!</v>
      </c>
      <c r="G792" s="1597" t="e">
        <f t="shared" si="64"/>
        <v>#REF!</v>
      </c>
      <c r="H792" s="1644" t="e">
        <f t="shared" si="65"/>
        <v>#REF!</v>
      </c>
      <c r="I792" s="1597" t="e">
        <f t="shared" si="66"/>
        <v>#REF!</v>
      </c>
      <c r="J792" s="1644" t="e">
        <f t="shared" si="67"/>
        <v>#REF!</v>
      </c>
      <c r="M792" s="1545"/>
      <c r="N792" s="1545"/>
    </row>
    <row r="793" spans="1:93" s="1552" customFormat="1" ht="15.5">
      <c r="A793" s="1598"/>
      <c r="B793" s="1599" t="s">
        <v>1747</v>
      </c>
      <c r="C793" s="1643" t="e">
        <f>+SUMIF(#REF!,Final!A793,#REF!)</f>
        <v>#REF!</v>
      </c>
      <c r="D793" s="1597" t="e">
        <f>+SUMIF(#REF!,Final!A793,#REF!)</f>
        <v>#REF!</v>
      </c>
      <c r="E793" s="1643" t="e">
        <f>SUMIF(#REF!,Final!A793,#REF!)</f>
        <v>#REF!</v>
      </c>
      <c r="F793" s="1644" t="e">
        <f>SUMIF(#REF!,Final!A793,#REF!)</f>
        <v>#REF!</v>
      </c>
      <c r="G793" s="1597" t="e">
        <f t="shared" si="64"/>
        <v>#REF!</v>
      </c>
      <c r="H793" s="1644" t="e">
        <f t="shared" si="65"/>
        <v>#REF!</v>
      </c>
      <c r="I793" s="1597" t="e">
        <f t="shared" si="66"/>
        <v>#REF!</v>
      </c>
      <c r="J793" s="1644" t="e">
        <f t="shared" si="67"/>
        <v>#REF!</v>
      </c>
      <c r="K793" s="1539"/>
      <c r="L793" s="1539"/>
      <c r="M793" s="1545"/>
      <c r="N793" s="1545"/>
      <c r="O793" s="1539"/>
      <c r="P793" s="1539"/>
      <c r="Q793" s="1539"/>
      <c r="R793" s="1539"/>
      <c r="S793" s="1539"/>
      <c r="T793" s="1539"/>
      <c r="U793" s="1539"/>
      <c r="V793" s="1539"/>
      <c r="W793" s="1539"/>
      <c r="X793" s="1539"/>
      <c r="Y793" s="1539"/>
      <c r="Z793" s="1539"/>
      <c r="AA793" s="1539"/>
      <c r="AB793" s="1539"/>
      <c r="AC793" s="1539"/>
      <c r="AD793" s="1539"/>
      <c r="AE793" s="1539"/>
      <c r="AF793" s="1539"/>
      <c r="AG793" s="1539"/>
      <c r="AH793" s="1539"/>
      <c r="AI793" s="1539"/>
      <c r="AJ793" s="1539"/>
      <c r="AK793" s="1539"/>
      <c r="AL793" s="1539"/>
      <c r="AM793" s="1539"/>
      <c r="AN793" s="1539"/>
      <c r="AO793" s="1539"/>
      <c r="AP793" s="1539"/>
      <c r="AQ793" s="1539"/>
      <c r="AR793" s="1539"/>
      <c r="AS793" s="1539"/>
      <c r="AT793" s="1539"/>
      <c r="AU793" s="1539"/>
      <c r="AV793" s="1539"/>
      <c r="AW793" s="1539"/>
      <c r="AX793" s="1539"/>
      <c r="AY793" s="1539"/>
      <c r="AZ793" s="1539"/>
      <c r="BA793" s="1539"/>
      <c r="BB793" s="1539"/>
      <c r="BC793" s="1539"/>
      <c r="BD793" s="1539"/>
      <c r="BE793" s="1539"/>
      <c r="BF793" s="1539"/>
      <c r="BG793" s="1539"/>
      <c r="BH793" s="1539"/>
      <c r="BI793" s="1539"/>
      <c r="BJ793" s="1539"/>
      <c r="BK793" s="1539"/>
      <c r="BL793" s="1539"/>
      <c r="BM793" s="1539"/>
      <c r="BN793" s="1539"/>
      <c r="BO793" s="1539"/>
      <c r="BP793" s="1539"/>
      <c r="BQ793" s="1539"/>
      <c r="BR793" s="1539"/>
      <c r="BS793" s="1539"/>
      <c r="BT793" s="1539"/>
      <c r="BU793" s="1539"/>
      <c r="BV793" s="1539"/>
      <c r="BW793" s="1539"/>
      <c r="BX793" s="1539"/>
      <c r="BY793" s="1539"/>
      <c r="BZ793" s="1539"/>
      <c r="CA793" s="1539"/>
      <c r="CB793" s="1539"/>
      <c r="CC793" s="1539"/>
      <c r="CD793" s="1539"/>
      <c r="CE793" s="1539"/>
      <c r="CF793" s="1539"/>
      <c r="CG793" s="1539"/>
      <c r="CH793" s="1539"/>
      <c r="CI793" s="1539"/>
      <c r="CJ793" s="1539"/>
      <c r="CK793" s="1539"/>
      <c r="CL793" s="1539"/>
      <c r="CM793" s="1539"/>
      <c r="CN793" s="1539"/>
      <c r="CO793" s="1539"/>
    </row>
    <row r="794" spans="1:93" s="1552" customFormat="1" ht="15.5">
      <c r="A794" s="1598"/>
      <c r="B794" s="1599" t="s">
        <v>1760</v>
      </c>
      <c r="C794" s="1643" t="e">
        <f>+SUMIF(#REF!,Final!A794,#REF!)</f>
        <v>#REF!</v>
      </c>
      <c r="D794" s="1597" t="e">
        <f>+SUMIF(#REF!,Final!A794,#REF!)</f>
        <v>#REF!</v>
      </c>
      <c r="E794" s="1643" t="e">
        <f>SUMIF(#REF!,Final!A794,#REF!)</f>
        <v>#REF!</v>
      </c>
      <c r="F794" s="1644" t="e">
        <f>SUMIF(#REF!,Final!A794,#REF!)</f>
        <v>#REF!</v>
      </c>
      <c r="G794" s="1597" t="e">
        <f t="shared" si="60"/>
        <v>#REF!</v>
      </c>
      <c r="H794" s="1644" t="e">
        <f t="shared" si="61"/>
        <v>#REF!</v>
      </c>
      <c r="I794" s="1597" t="e">
        <f t="shared" si="62"/>
        <v>#REF!</v>
      </c>
      <c r="J794" s="1644" t="e">
        <f t="shared" si="63"/>
        <v>#REF!</v>
      </c>
      <c r="K794" s="1539"/>
      <c r="L794" s="1539"/>
      <c r="M794" s="1545"/>
      <c r="N794" s="1545"/>
      <c r="O794" s="1539"/>
      <c r="P794" s="1539"/>
      <c r="Q794" s="1539"/>
      <c r="R794" s="1539"/>
      <c r="S794" s="1539"/>
      <c r="T794" s="1539"/>
      <c r="U794" s="1539"/>
      <c r="V794" s="1539"/>
      <c r="W794" s="1539"/>
      <c r="X794" s="1539"/>
      <c r="Y794" s="1539"/>
      <c r="Z794" s="1539"/>
      <c r="AA794" s="1539"/>
      <c r="AB794" s="1539"/>
      <c r="AC794" s="1539"/>
      <c r="AD794" s="1539"/>
      <c r="AE794" s="1539"/>
      <c r="AF794" s="1539"/>
      <c r="AG794" s="1539"/>
      <c r="AH794" s="1539"/>
      <c r="AI794" s="1539"/>
      <c r="AJ794" s="1539"/>
      <c r="AK794" s="1539"/>
      <c r="AL794" s="1539"/>
      <c r="AM794" s="1539"/>
      <c r="AN794" s="1539"/>
      <c r="AO794" s="1539"/>
      <c r="AP794" s="1539"/>
      <c r="AQ794" s="1539"/>
      <c r="AR794" s="1539"/>
      <c r="AS794" s="1539"/>
      <c r="AT794" s="1539"/>
      <c r="AU794" s="1539"/>
      <c r="AV794" s="1539"/>
      <c r="AW794" s="1539"/>
      <c r="AX794" s="1539"/>
      <c r="AY794" s="1539"/>
      <c r="AZ794" s="1539"/>
      <c r="BA794" s="1539"/>
      <c r="BB794" s="1539"/>
      <c r="BC794" s="1539"/>
      <c r="BD794" s="1539"/>
      <c r="BE794" s="1539"/>
      <c r="BF794" s="1539"/>
      <c r="BG794" s="1539"/>
      <c r="BH794" s="1539"/>
      <c r="BI794" s="1539"/>
      <c r="BJ794" s="1539"/>
      <c r="BK794" s="1539"/>
      <c r="BL794" s="1539"/>
      <c r="BM794" s="1539"/>
      <c r="BN794" s="1539"/>
      <c r="BO794" s="1539"/>
      <c r="BP794" s="1539"/>
      <c r="BQ794" s="1539"/>
      <c r="BR794" s="1539"/>
      <c r="BS794" s="1539"/>
      <c r="BT794" s="1539"/>
      <c r="BU794" s="1539"/>
      <c r="BV794" s="1539"/>
      <c r="BW794" s="1539"/>
      <c r="BX794" s="1539"/>
      <c r="BY794" s="1539"/>
      <c r="BZ794" s="1539"/>
      <c r="CA794" s="1539"/>
      <c r="CB794" s="1539"/>
      <c r="CC794" s="1539"/>
      <c r="CD794" s="1539"/>
      <c r="CE794" s="1539"/>
      <c r="CF794" s="1539"/>
      <c r="CG794" s="1539"/>
      <c r="CH794" s="1539"/>
      <c r="CI794" s="1539"/>
      <c r="CJ794" s="1539"/>
      <c r="CK794" s="1539"/>
      <c r="CL794" s="1539"/>
      <c r="CM794" s="1539"/>
      <c r="CN794" s="1539"/>
      <c r="CO794" s="1539"/>
    </row>
    <row r="795" spans="1:93" s="1542" customFormat="1" ht="15.5">
      <c r="A795" s="1598" t="s">
        <v>1102</v>
      </c>
      <c r="B795" s="1599" t="s">
        <v>2628</v>
      </c>
      <c r="C795" s="1643" t="e">
        <f>+SUMIF(#REF!,Final!A795,#REF!)</f>
        <v>#REF!</v>
      </c>
      <c r="D795" s="1597" t="e">
        <f>+SUMIF(#REF!,Final!A795,#REF!)</f>
        <v>#REF!</v>
      </c>
      <c r="E795" s="1643" t="e">
        <f>SUMIF(#REF!,Final!A795,#REF!)</f>
        <v>#REF!</v>
      </c>
      <c r="F795" s="1644" t="e">
        <f>SUMIF(#REF!,Final!A795,#REF!)</f>
        <v>#REF!</v>
      </c>
      <c r="G795" s="1597" t="e">
        <f t="shared" si="60"/>
        <v>#REF!</v>
      </c>
      <c r="H795" s="1644" t="e">
        <f t="shared" si="61"/>
        <v>#REF!</v>
      </c>
      <c r="I795" s="1597" t="e">
        <f t="shared" si="62"/>
        <v>#REF!</v>
      </c>
      <c r="J795" s="1644" t="e">
        <f t="shared" si="63"/>
        <v>#REF!</v>
      </c>
      <c r="K795" s="1539"/>
      <c r="L795" s="1539"/>
      <c r="M795" s="1545"/>
      <c r="N795" s="1545"/>
      <c r="O795" s="1539"/>
      <c r="P795" s="1539"/>
      <c r="Q795" s="1539"/>
      <c r="R795" s="1539"/>
      <c r="S795" s="1539"/>
      <c r="T795" s="1539"/>
      <c r="U795" s="1539"/>
      <c r="V795" s="1539"/>
      <c r="W795" s="1539"/>
      <c r="X795" s="1539"/>
      <c r="Y795" s="1539"/>
      <c r="Z795" s="1539"/>
      <c r="AA795" s="1539"/>
      <c r="AB795" s="1539"/>
      <c r="AC795" s="1539"/>
      <c r="AD795" s="1539"/>
      <c r="AE795" s="1539"/>
      <c r="AF795" s="1539"/>
      <c r="AG795" s="1539"/>
      <c r="AH795" s="1539"/>
      <c r="AI795" s="1539"/>
      <c r="AJ795" s="1539"/>
      <c r="AK795" s="1539"/>
      <c r="AL795" s="1539"/>
      <c r="AM795" s="1539"/>
      <c r="AN795" s="1539"/>
      <c r="AO795" s="1539"/>
      <c r="AP795" s="1539"/>
      <c r="AQ795" s="1539"/>
      <c r="AR795" s="1539"/>
      <c r="AS795" s="1539"/>
      <c r="AT795" s="1539"/>
      <c r="AU795" s="1539"/>
      <c r="AV795" s="1539"/>
      <c r="AW795" s="1539"/>
      <c r="AX795" s="1539"/>
      <c r="AY795" s="1539"/>
      <c r="AZ795" s="1539"/>
      <c r="BA795" s="1539"/>
      <c r="BB795" s="1539"/>
      <c r="BC795" s="1539"/>
      <c r="BD795" s="1539"/>
      <c r="BE795" s="1539"/>
      <c r="BF795" s="1539"/>
      <c r="BG795" s="1539"/>
      <c r="BH795" s="1539"/>
      <c r="BI795" s="1539"/>
      <c r="BJ795" s="1539"/>
      <c r="BK795" s="1539"/>
      <c r="BL795" s="1539"/>
      <c r="BM795" s="1539"/>
      <c r="BN795" s="1539"/>
      <c r="BO795" s="1539"/>
      <c r="BP795" s="1539"/>
      <c r="BQ795" s="1539"/>
      <c r="BR795" s="1539"/>
      <c r="BS795" s="1539"/>
      <c r="BT795" s="1539"/>
      <c r="BU795" s="1539"/>
      <c r="BV795" s="1539"/>
      <c r="BW795" s="1539"/>
      <c r="BX795" s="1539"/>
      <c r="BY795" s="1539"/>
      <c r="BZ795" s="1539"/>
      <c r="CA795" s="1539"/>
      <c r="CB795" s="1539"/>
      <c r="CC795" s="1539"/>
      <c r="CD795" s="1539"/>
      <c r="CE795" s="1539"/>
      <c r="CF795" s="1539"/>
      <c r="CG795" s="1539"/>
      <c r="CH795" s="1539"/>
      <c r="CI795" s="1539"/>
      <c r="CJ795" s="1539"/>
      <c r="CK795" s="1539"/>
      <c r="CL795" s="1539"/>
      <c r="CM795" s="1539"/>
      <c r="CN795" s="1539"/>
      <c r="CO795" s="1539"/>
    </row>
    <row r="796" spans="1:93" s="1542" customFormat="1" ht="15.5">
      <c r="A796" s="1598" t="s">
        <v>443</v>
      </c>
      <c r="B796" s="1599" t="s">
        <v>2675</v>
      </c>
      <c r="C796" s="1643" t="e">
        <f>+SUMIF(#REF!,Final!A796,#REF!)</f>
        <v>#REF!</v>
      </c>
      <c r="D796" s="1597" t="e">
        <f>+SUMIF(#REF!,Final!A796,#REF!)</f>
        <v>#REF!</v>
      </c>
      <c r="E796" s="1643" t="e">
        <f>SUMIF(#REF!,Final!A796,#REF!)</f>
        <v>#REF!</v>
      </c>
      <c r="F796" s="1644" t="e">
        <f>SUMIF(#REF!,Final!A796,#REF!)</f>
        <v>#REF!</v>
      </c>
      <c r="G796" s="1597" t="e">
        <f t="shared" si="60"/>
        <v>#REF!</v>
      </c>
      <c r="H796" s="1644" t="e">
        <f t="shared" si="61"/>
        <v>#REF!</v>
      </c>
      <c r="I796" s="1597" t="e">
        <f t="shared" si="62"/>
        <v>#REF!</v>
      </c>
      <c r="J796" s="1644" t="e">
        <f t="shared" si="63"/>
        <v>#REF!</v>
      </c>
      <c r="K796" s="1539"/>
      <c r="L796" s="1539"/>
      <c r="M796" s="1545"/>
      <c r="N796" s="1545"/>
      <c r="O796" s="1539"/>
      <c r="P796" s="1539"/>
      <c r="Q796" s="1539"/>
      <c r="R796" s="1539"/>
      <c r="S796" s="1539"/>
      <c r="T796" s="1539"/>
      <c r="U796" s="1539"/>
      <c r="V796" s="1539"/>
      <c r="W796" s="1539"/>
      <c r="X796" s="1539"/>
      <c r="Y796" s="1539"/>
      <c r="Z796" s="1539"/>
      <c r="AA796" s="1539"/>
      <c r="AB796" s="1539"/>
      <c r="AC796" s="1539"/>
      <c r="AD796" s="1539"/>
      <c r="AE796" s="1539"/>
      <c r="AF796" s="1539"/>
      <c r="AG796" s="1539"/>
      <c r="AH796" s="1539"/>
      <c r="AI796" s="1539"/>
      <c r="AJ796" s="1539"/>
      <c r="AK796" s="1539"/>
      <c r="AL796" s="1539"/>
      <c r="AM796" s="1539"/>
      <c r="AN796" s="1539"/>
      <c r="AO796" s="1539"/>
      <c r="AP796" s="1539"/>
      <c r="AQ796" s="1539"/>
      <c r="AR796" s="1539"/>
      <c r="AS796" s="1539"/>
      <c r="AT796" s="1539"/>
      <c r="AU796" s="1539"/>
      <c r="AV796" s="1539"/>
      <c r="AW796" s="1539"/>
      <c r="AX796" s="1539"/>
      <c r="AY796" s="1539"/>
      <c r="AZ796" s="1539"/>
      <c r="BA796" s="1539"/>
      <c r="BB796" s="1539"/>
      <c r="BC796" s="1539"/>
      <c r="BD796" s="1539"/>
      <c r="BE796" s="1539"/>
      <c r="BF796" s="1539"/>
      <c r="BG796" s="1539"/>
      <c r="BH796" s="1539"/>
      <c r="BI796" s="1539"/>
      <c r="BJ796" s="1539"/>
      <c r="BK796" s="1539"/>
      <c r="BL796" s="1539"/>
      <c r="BM796" s="1539"/>
      <c r="BN796" s="1539"/>
      <c r="BO796" s="1539"/>
      <c r="BP796" s="1539"/>
      <c r="BQ796" s="1539"/>
      <c r="BR796" s="1539"/>
      <c r="BS796" s="1539"/>
      <c r="BT796" s="1539"/>
      <c r="BU796" s="1539"/>
      <c r="BV796" s="1539"/>
      <c r="BW796" s="1539"/>
      <c r="BX796" s="1539"/>
      <c r="BY796" s="1539"/>
      <c r="BZ796" s="1539"/>
      <c r="CA796" s="1539"/>
      <c r="CB796" s="1539"/>
      <c r="CC796" s="1539"/>
      <c r="CD796" s="1539"/>
      <c r="CE796" s="1539"/>
      <c r="CF796" s="1539"/>
      <c r="CG796" s="1539"/>
      <c r="CH796" s="1539"/>
      <c r="CI796" s="1539"/>
      <c r="CJ796" s="1539"/>
      <c r="CK796" s="1539"/>
      <c r="CL796" s="1539"/>
      <c r="CM796" s="1539"/>
      <c r="CN796" s="1539"/>
      <c r="CO796" s="1539"/>
    </row>
    <row r="797" spans="1:93" ht="15.5">
      <c r="A797" s="1598">
        <v>22.401</v>
      </c>
      <c r="B797" s="1599" t="s">
        <v>2676</v>
      </c>
      <c r="C797" s="1643" t="e">
        <f>+SUMIF(#REF!,Final!A797,#REF!)</f>
        <v>#REF!</v>
      </c>
      <c r="D797" s="1597" t="e">
        <f>+SUMIF(#REF!,Final!A797,#REF!)</f>
        <v>#REF!</v>
      </c>
      <c r="E797" s="1643" t="e">
        <f>SUMIF(#REF!,Final!A797,#REF!)</f>
        <v>#REF!</v>
      </c>
      <c r="F797" s="1644" t="e">
        <f>SUMIF(#REF!,Final!A797,#REF!)</f>
        <v>#REF!</v>
      </c>
      <c r="G797" s="1597" t="e">
        <f t="shared" si="60"/>
        <v>#REF!</v>
      </c>
      <c r="H797" s="1644" t="e">
        <f t="shared" si="61"/>
        <v>#REF!</v>
      </c>
      <c r="I797" s="1597" t="e">
        <f t="shared" si="62"/>
        <v>#REF!</v>
      </c>
      <c r="J797" s="1644" t="e">
        <f t="shared" si="63"/>
        <v>#REF!</v>
      </c>
      <c r="M797" s="1545"/>
      <c r="N797" s="1545"/>
    </row>
    <row r="798" spans="1:93" ht="15.5">
      <c r="A798" s="1598">
        <v>22.402999999999999</v>
      </c>
      <c r="B798" s="1599" t="s">
        <v>2677</v>
      </c>
      <c r="C798" s="1643" t="e">
        <f>+SUMIF(#REF!,Final!A798,#REF!)</f>
        <v>#REF!</v>
      </c>
      <c r="D798" s="1597" t="e">
        <f>+SUMIF(#REF!,Final!A798,#REF!)</f>
        <v>#REF!</v>
      </c>
      <c r="E798" s="1643" t="e">
        <f>SUMIF(#REF!,Final!A798,#REF!)</f>
        <v>#REF!</v>
      </c>
      <c r="F798" s="1644" t="e">
        <f>SUMIF(#REF!,Final!A798,#REF!)</f>
        <v>#REF!</v>
      </c>
      <c r="G798" s="1597" t="e">
        <f t="shared" si="60"/>
        <v>#REF!</v>
      </c>
      <c r="H798" s="1644" t="e">
        <f t="shared" si="61"/>
        <v>#REF!</v>
      </c>
      <c r="I798" s="1597" t="e">
        <f t="shared" si="62"/>
        <v>#REF!</v>
      </c>
      <c r="J798" s="1644" t="e">
        <f t="shared" si="63"/>
        <v>#REF!</v>
      </c>
      <c r="M798" s="1545"/>
      <c r="N798" s="1545"/>
    </row>
    <row r="799" spans="1:93" ht="15.5">
      <c r="A799" s="1598">
        <v>22.404</v>
      </c>
      <c r="B799" s="1599" t="s">
        <v>2678</v>
      </c>
      <c r="C799" s="1643" t="e">
        <f>+SUMIF(#REF!,Final!A799,#REF!)</f>
        <v>#REF!</v>
      </c>
      <c r="D799" s="1597" t="e">
        <f>+SUMIF(#REF!,Final!A799,#REF!)</f>
        <v>#REF!</v>
      </c>
      <c r="E799" s="1643" t="e">
        <f>SUMIF(#REF!,Final!A799,#REF!)</f>
        <v>#REF!</v>
      </c>
      <c r="F799" s="1644" t="e">
        <f>SUMIF(#REF!,Final!A799,#REF!)</f>
        <v>#REF!</v>
      </c>
      <c r="G799" s="1597" t="e">
        <f t="shared" si="60"/>
        <v>#REF!</v>
      </c>
      <c r="H799" s="1644" t="e">
        <f t="shared" si="61"/>
        <v>#REF!</v>
      </c>
      <c r="I799" s="1597" t="e">
        <f t="shared" si="62"/>
        <v>#REF!</v>
      </c>
      <c r="J799" s="1644" t="e">
        <f t="shared" si="63"/>
        <v>#REF!</v>
      </c>
      <c r="M799" s="1545"/>
      <c r="N799" s="1545"/>
    </row>
    <row r="800" spans="1:93" ht="15.5">
      <c r="A800" s="1598">
        <v>22.405000000000001</v>
      </c>
      <c r="B800" s="1599" t="s">
        <v>2679</v>
      </c>
      <c r="C800" s="1643" t="e">
        <f>+SUMIF(#REF!,Final!A800,#REF!)</f>
        <v>#REF!</v>
      </c>
      <c r="D800" s="1597" t="e">
        <f>+SUMIF(#REF!,Final!A800,#REF!)</f>
        <v>#REF!</v>
      </c>
      <c r="E800" s="1643" t="e">
        <f>SUMIF(#REF!,Final!A800,#REF!)</f>
        <v>#REF!</v>
      </c>
      <c r="F800" s="1644" t="e">
        <f>SUMIF(#REF!,Final!A800,#REF!)</f>
        <v>#REF!</v>
      </c>
      <c r="G800" s="1597" t="e">
        <f t="shared" si="60"/>
        <v>#REF!</v>
      </c>
      <c r="H800" s="1644" t="e">
        <f t="shared" si="61"/>
        <v>#REF!</v>
      </c>
      <c r="I800" s="1597" t="e">
        <f t="shared" si="62"/>
        <v>#REF!</v>
      </c>
      <c r="J800" s="1644" t="e">
        <f t="shared" si="63"/>
        <v>#REF!</v>
      </c>
      <c r="M800" s="1545"/>
      <c r="N800" s="1545"/>
    </row>
    <row r="801" spans="1:93" ht="15.5">
      <c r="A801" s="1598">
        <v>22.405999999999999</v>
      </c>
      <c r="B801" s="1599" t="s">
        <v>2680</v>
      </c>
      <c r="C801" s="1643" t="e">
        <f>+SUMIF(#REF!,Final!A801,#REF!)</f>
        <v>#REF!</v>
      </c>
      <c r="D801" s="1597" t="e">
        <f>+SUMIF(#REF!,Final!A801,#REF!)</f>
        <v>#REF!</v>
      </c>
      <c r="E801" s="1643" t="e">
        <f>SUMIF(#REF!,Final!A801,#REF!)</f>
        <v>#REF!</v>
      </c>
      <c r="F801" s="1644" t="e">
        <f>SUMIF(#REF!,Final!A801,#REF!)</f>
        <v>#REF!</v>
      </c>
      <c r="G801" s="1597" t="e">
        <f t="shared" si="60"/>
        <v>#REF!</v>
      </c>
      <c r="H801" s="1644" t="e">
        <f t="shared" si="61"/>
        <v>#REF!</v>
      </c>
      <c r="I801" s="1597" t="e">
        <f t="shared" si="62"/>
        <v>#REF!</v>
      </c>
      <c r="J801" s="1644" t="e">
        <f t="shared" si="63"/>
        <v>#REF!</v>
      </c>
      <c r="M801" s="1545"/>
      <c r="N801" s="1545"/>
    </row>
    <row r="802" spans="1:93" ht="15.5">
      <c r="A802" s="1598">
        <v>22.407</v>
      </c>
      <c r="B802" s="1599" t="s">
        <v>2681</v>
      </c>
      <c r="C802" s="1643" t="e">
        <f>+SUMIF(#REF!,Final!A802,#REF!)</f>
        <v>#REF!</v>
      </c>
      <c r="D802" s="1597" t="e">
        <f>+SUMIF(#REF!,Final!A802,#REF!)</f>
        <v>#REF!</v>
      </c>
      <c r="E802" s="1643" t="e">
        <f>SUMIF(#REF!,Final!A802,#REF!)</f>
        <v>#REF!</v>
      </c>
      <c r="F802" s="1644" t="e">
        <f>SUMIF(#REF!,Final!A802,#REF!)</f>
        <v>#REF!</v>
      </c>
      <c r="G802" s="1597" t="e">
        <f t="shared" si="60"/>
        <v>#REF!</v>
      </c>
      <c r="H802" s="1644" t="e">
        <f t="shared" si="61"/>
        <v>#REF!</v>
      </c>
      <c r="I802" s="1597" t="e">
        <f t="shared" si="62"/>
        <v>#REF!</v>
      </c>
      <c r="J802" s="1644" t="e">
        <f t="shared" si="63"/>
        <v>#REF!</v>
      </c>
      <c r="M802" s="1545"/>
      <c r="N802" s="1545"/>
    </row>
    <row r="803" spans="1:93" ht="15.5">
      <c r="A803" s="1598">
        <v>22.408000000000001</v>
      </c>
      <c r="B803" s="1599" t="s">
        <v>2682</v>
      </c>
      <c r="C803" s="1643" t="e">
        <f>+SUMIF(#REF!,Final!A803,#REF!)</f>
        <v>#REF!</v>
      </c>
      <c r="D803" s="1597" t="e">
        <f>+SUMIF(#REF!,Final!A803,#REF!)</f>
        <v>#REF!</v>
      </c>
      <c r="E803" s="1643" t="e">
        <f>SUMIF(#REF!,Final!A803,#REF!)</f>
        <v>#REF!</v>
      </c>
      <c r="F803" s="1644" t="e">
        <f>SUMIF(#REF!,Final!A803,#REF!)</f>
        <v>#REF!</v>
      </c>
      <c r="G803" s="1597" t="e">
        <f t="shared" si="60"/>
        <v>#REF!</v>
      </c>
      <c r="H803" s="1644" t="e">
        <f t="shared" si="61"/>
        <v>#REF!</v>
      </c>
      <c r="I803" s="1597" t="e">
        <f t="shared" si="62"/>
        <v>#REF!</v>
      </c>
      <c r="J803" s="1644" t="e">
        <f t="shared" si="63"/>
        <v>#REF!</v>
      </c>
      <c r="M803" s="1545"/>
      <c r="N803" s="1545"/>
    </row>
    <row r="804" spans="1:93" ht="15.5">
      <c r="A804" s="1598">
        <v>22.408999999999999</v>
      </c>
      <c r="B804" s="1599" t="s">
        <v>2683</v>
      </c>
      <c r="C804" s="1643" t="e">
        <f>+SUMIF(#REF!,Final!A804,#REF!)</f>
        <v>#REF!</v>
      </c>
      <c r="D804" s="1597" t="e">
        <f>+SUMIF(#REF!,Final!A804,#REF!)</f>
        <v>#REF!</v>
      </c>
      <c r="E804" s="1643" t="e">
        <f>SUMIF(#REF!,Final!A804,#REF!)</f>
        <v>#REF!</v>
      </c>
      <c r="F804" s="1644" t="e">
        <f>SUMIF(#REF!,Final!A804,#REF!)</f>
        <v>#REF!</v>
      </c>
      <c r="G804" s="1597" t="e">
        <f t="shared" si="60"/>
        <v>#REF!</v>
      </c>
      <c r="H804" s="1644" t="e">
        <f t="shared" si="61"/>
        <v>#REF!</v>
      </c>
      <c r="I804" s="1597" t="e">
        <f t="shared" si="62"/>
        <v>#REF!</v>
      </c>
      <c r="J804" s="1644" t="e">
        <f t="shared" si="63"/>
        <v>#REF!</v>
      </c>
      <c r="M804" s="1545"/>
      <c r="N804" s="1545"/>
    </row>
    <row r="805" spans="1:93" ht="15.5">
      <c r="A805" s="1598">
        <v>22.41</v>
      </c>
      <c r="B805" s="1599" t="s">
        <v>2684</v>
      </c>
      <c r="C805" s="1643" t="e">
        <f>+SUMIF(#REF!,Final!A805,#REF!)</f>
        <v>#REF!</v>
      </c>
      <c r="D805" s="1597" t="e">
        <f>+SUMIF(#REF!,Final!A805,#REF!)</f>
        <v>#REF!</v>
      </c>
      <c r="E805" s="1643" t="e">
        <f>SUMIF(#REF!,Final!A805,#REF!)</f>
        <v>#REF!</v>
      </c>
      <c r="F805" s="1644" t="e">
        <f>SUMIF(#REF!,Final!A805,#REF!)</f>
        <v>#REF!</v>
      </c>
      <c r="G805" s="1597" t="e">
        <f t="shared" si="60"/>
        <v>#REF!</v>
      </c>
      <c r="H805" s="1644" t="e">
        <f t="shared" si="61"/>
        <v>#REF!</v>
      </c>
      <c r="I805" s="1597" t="e">
        <f t="shared" si="62"/>
        <v>#REF!</v>
      </c>
      <c r="J805" s="1644" t="e">
        <f t="shared" si="63"/>
        <v>#REF!</v>
      </c>
      <c r="M805" s="1545"/>
      <c r="N805" s="1545"/>
    </row>
    <row r="806" spans="1:93" ht="15.5">
      <c r="A806" s="1598">
        <v>22.413</v>
      </c>
      <c r="B806" s="1599" t="s">
        <v>2685</v>
      </c>
      <c r="C806" s="1643" t="e">
        <f>+SUMIF(#REF!,Final!A806,#REF!)</f>
        <v>#REF!</v>
      </c>
      <c r="D806" s="1597" t="e">
        <f>+SUMIF(#REF!,Final!A806,#REF!)</f>
        <v>#REF!</v>
      </c>
      <c r="E806" s="1643" t="e">
        <f>SUMIF(#REF!,Final!A806,#REF!)</f>
        <v>#REF!</v>
      </c>
      <c r="F806" s="1644" t="e">
        <f>SUMIF(#REF!,Final!A806,#REF!)</f>
        <v>#REF!</v>
      </c>
      <c r="G806" s="1597" t="e">
        <f t="shared" si="60"/>
        <v>#REF!</v>
      </c>
      <c r="H806" s="1644" t="e">
        <f t="shared" si="61"/>
        <v>#REF!</v>
      </c>
      <c r="I806" s="1597" t="e">
        <f t="shared" si="62"/>
        <v>#REF!</v>
      </c>
      <c r="J806" s="1644" t="e">
        <f t="shared" si="63"/>
        <v>#REF!</v>
      </c>
      <c r="M806" s="1545"/>
      <c r="N806" s="1545"/>
    </row>
    <row r="807" spans="1:93" ht="15.5">
      <c r="A807" s="1598">
        <v>22.419</v>
      </c>
      <c r="B807" s="1599" t="s">
        <v>2686</v>
      </c>
      <c r="C807" s="1643" t="e">
        <f>+SUMIF(#REF!,Final!A807,#REF!)</f>
        <v>#REF!</v>
      </c>
      <c r="D807" s="1597" t="e">
        <f>+SUMIF(#REF!,Final!A807,#REF!)</f>
        <v>#REF!</v>
      </c>
      <c r="E807" s="1643" t="e">
        <f>SUMIF(#REF!,Final!A807,#REF!)</f>
        <v>#REF!</v>
      </c>
      <c r="F807" s="1644" t="e">
        <f>SUMIF(#REF!,Final!A807,#REF!)</f>
        <v>#REF!</v>
      </c>
      <c r="G807" s="1597" t="e">
        <f t="shared" si="60"/>
        <v>#REF!</v>
      </c>
      <c r="H807" s="1644" t="e">
        <f t="shared" si="61"/>
        <v>#REF!</v>
      </c>
      <c r="I807" s="1597" t="e">
        <f t="shared" si="62"/>
        <v>#REF!</v>
      </c>
      <c r="J807" s="1644" t="e">
        <f t="shared" si="63"/>
        <v>#REF!</v>
      </c>
      <c r="M807" s="1545"/>
      <c r="N807" s="1545"/>
    </row>
    <row r="808" spans="1:93" s="1552" customFormat="1" ht="15.5">
      <c r="A808" s="1598"/>
      <c r="B808" s="1599" t="s">
        <v>1747</v>
      </c>
      <c r="C808" s="1643" t="e">
        <f>+SUMIF(#REF!,Final!A808,#REF!)</f>
        <v>#REF!</v>
      </c>
      <c r="D808" s="1597" t="e">
        <f>+SUMIF(#REF!,Final!A808,#REF!)</f>
        <v>#REF!</v>
      </c>
      <c r="E808" s="1643" t="e">
        <f>SUMIF(#REF!,Final!A808,#REF!)</f>
        <v>#REF!</v>
      </c>
      <c r="F808" s="1644" t="e">
        <f>SUMIF(#REF!,Final!A808,#REF!)</f>
        <v>#REF!</v>
      </c>
      <c r="G808" s="1597" t="e">
        <f t="shared" si="60"/>
        <v>#REF!</v>
      </c>
      <c r="H808" s="1644" t="e">
        <f t="shared" si="61"/>
        <v>#REF!</v>
      </c>
      <c r="I808" s="1597" t="e">
        <f t="shared" si="62"/>
        <v>#REF!</v>
      </c>
      <c r="J808" s="1644" t="e">
        <f t="shared" si="63"/>
        <v>#REF!</v>
      </c>
      <c r="K808" s="1539"/>
      <c r="L808" s="1539"/>
      <c r="M808" s="1545"/>
      <c r="N808" s="1545"/>
      <c r="O808" s="1539"/>
      <c r="P808" s="1539"/>
      <c r="Q808" s="1539"/>
      <c r="R808" s="1539"/>
      <c r="S808" s="1539"/>
      <c r="T808" s="1539"/>
      <c r="U808" s="1539"/>
      <c r="V808" s="1539"/>
      <c r="W808" s="1539"/>
      <c r="X808" s="1539"/>
      <c r="Y808" s="1539"/>
      <c r="Z808" s="1539"/>
      <c r="AA808" s="1539"/>
      <c r="AB808" s="1539"/>
      <c r="AC808" s="1539"/>
      <c r="AD808" s="1539"/>
      <c r="AE808" s="1539"/>
      <c r="AF808" s="1539"/>
      <c r="AG808" s="1539"/>
      <c r="AH808" s="1539"/>
      <c r="AI808" s="1539"/>
      <c r="AJ808" s="1539"/>
      <c r="AK808" s="1539"/>
      <c r="AL808" s="1539"/>
      <c r="AM808" s="1539"/>
      <c r="AN808" s="1539"/>
      <c r="AO808" s="1539"/>
      <c r="AP808" s="1539"/>
      <c r="AQ808" s="1539"/>
      <c r="AR808" s="1539"/>
      <c r="AS808" s="1539"/>
      <c r="AT808" s="1539"/>
      <c r="AU808" s="1539"/>
      <c r="AV808" s="1539"/>
      <c r="AW808" s="1539"/>
      <c r="AX808" s="1539"/>
      <c r="AY808" s="1539"/>
      <c r="AZ808" s="1539"/>
      <c r="BA808" s="1539"/>
      <c r="BB808" s="1539"/>
      <c r="BC808" s="1539"/>
      <c r="BD808" s="1539"/>
      <c r="BE808" s="1539"/>
      <c r="BF808" s="1539"/>
      <c r="BG808" s="1539"/>
      <c r="BH808" s="1539"/>
      <c r="BI808" s="1539"/>
      <c r="BJ808" s="1539"/>
      <c r="BK808" s="1539"/>
      <c r="BL808" s="1539"/>
      <c r="BM808" s="1539"/>
      <c r="BN808" s="1539"/>
      <c r="BO808" s="1539"/>
      <c r="BP808" s="1539"/>
      <c r="BQ808" s="1539"/>
      <c r="BR808" s="1539"/>
      <c r="BS808" s="1539"/>
      <c r="BT808" s="1539"/>
      <c r="BU808" s="1539"/>
      <c r="BV808" s="1539"/>
      <c r="BW808" s="1539"/>
      <c r="BX808" s="1539"/>
      <c r="BY808" s="1539"/>
      <c r="BZ808" s="1539"/>
      <c r="CA808" s="1539"/>
      <c r="CB808" s="1539"/>
      <c r="CC808" s="1539"/>
      <c r="CD808" s="1539"/>
      <c r="CE808" s="1539"/>
      <c r="CF808" s="1539"/>
      <c r="CG808" s="1539"/>
      <c r="CH808" s="1539"/>
      <c r="CI808" s="1539"/>
      <c r="CJ808" s="1539"/>
      <c r="CK808" s="1539"/>
      <c r="CL808" s="1539"/>
      <c r="CM808" s="1539"/>
      <c r="CN808" s="1539"/>
      <c r="CO808" s="1539"/>
    </row>
    <row r="809" spans="1:93" s="1552" customFormat="1" ht="15.5">
      <c r="A809" s="1598"/>
      <c r="B809" s="1599" t="s">
        <v>1760</v>
      </c>
      <c r="C809" s="1643" t="e">
        <f>+SUMIF(#REF!,Final!A809,#REF!)</f>
        <v>#REF!</v>
      </c>
      <c r="D809" s="1597" t="e">
        <f>+SUMIF(#REF!,Final!A809,#REF!)</f>
        <v>#REF!</v>
      </c>
      <c r="E809" s="1643" t="e">
        <f>SUMIF(#REF!,Final!A809,#REF!)</f>
        <v>#REF!</v>
      </c>
      <c r="F809" s="1644" t="e">
        <f>SUMIF(#REF!,Final!A809,#REF!)</f>
        <v>#REF!</v>
      </c>
      <c r="G809" s="1597" t="e">
        <f t="shared" si="60"/>
        <v>#REF!</v>
      </c>
      <c r="H809" s="1644" t="e">
        <f t="shared" si="61"/>
        <v>#REF!</v>
      </c>
      <c r="I809" s="1597" t="e">
        <f t="shared" si="62"/>
        <v>#REF!</v>
      </c>
      <c r="J809" s="1644" t="e">
        <f t="shared" si="63"/>
        <v>#REF!</v>
      </c>
      <c r="K809" s="1539"/>
      <c r="L809" s="1539"/>
      <c r="M809" s="1545"/>
      <c r="N809" s="1545"/>
      <c r="O809" s="1539"/>
      <c r="P809" s="1539"/>
      <c r="Q809" s="1539"/>
      <c r="R809" s="1539"/>
      <c r="S809" s="1539"/>
      <c r="T809" s="1539"/>
      <c r="U809" s="1539"/>
      <c r="V809" s="1539"/>
      <c r="W809" s="1539"/>
      <c r="X809" s="1539"/>
      <c r="Y809" s="1539"/>
      <c r="Z809" s="1539"/>
      <c r="AA809" s="1539"/>
      <c r="AB809" s="1539"/>
      <c r="AC809" s="1539"/>
      <c r="AD809" s="1539"/>
      <c r="AE809" s="1539"/>
      <c r="AF809" s="1539"/>
      <c r="AG809" s="1539"/>
      <c r="AH809" s="1539"/>
      <c r="AI809" s="1539"/>
      <c r="AJ809" s="1539"/>
      <c r="AK809" s="1539"/>
      <c r="AL809" s="1539"/>
      <c r="AM809" s="1539"/>
      <c r="AN809" s="1539"/>
      <c r="AO809" s="1539"/>
      <c r="AP809" s="1539"/>
      <c r="AQ809" s="1539"/>
      <c r="AR809" s="1539"/>
      <c r="AS809" s="1539"/>
      <c r="AT809" s="1539"/>
      <c r="AU809" s="1539"/>
      <c r="AV809" s="1539"/>
      <c r="AW809" s="1539"/>
      <c r="AX809" s="1539"/>
      <c r="AY809" s="1539"/>
      <c r="AZ809" s="1539"/>
      <c r="BA809" s="1539"/>
      <c r="BB809" s="1539"/>
      <c r="BC809" s="1539"/>
      <c r="BD809" s="1539"/>
      <c r="BE809" s="1539"/>
      <c r="BF809" s="1539"/>
      <c r="BG809" s="1539"/>
      <c r="BH809" s="1539"/>
      <c r="BI809" s="1539"/>
      <c r="BJ809" s="1539"/>
      <c r="BK809" s="1539"/>
      <c r="BL809" s="1539"/>
      <c r="BM809" s="1539"/>
      <c r="BN809" s="1539"/>
      <c r="BO809" s="1539"/>
      <c r="BP809" s="1539"/>
      <c r="BQ809" s="1539"/>
      <c r="BR809" s="1539"/>
      <c r="BS809" s="1539"/>
      <c r="BT809" s="1539"/>
      <c r="BU809" s="1539"/>
      <c r="BV809" s="1539"/>
      <c r="BW809" s="1539"/>
      <c r="BX809" s="1539"/>
      <c r="BY809" s="1539"/>
      <c r="BZ809" s="1539"/>
      <c r="CA809" s="1539"/>
      <c r="CB809" s="1539"/>
      <c r="CC809" s="1539"/>
      <c r="CD809" s="1539"/>
      <c r="CE809" s="1539"/>
      <c r="CF809" s="1539"/>
      <c r="CG809" s="1539"/>
      <c r="CH809" s="1539"/>
      <c r="CI809" s="1539"/>
      <c r="CJ809" s="1539"/>
      <c r="CK809" s="1539"/>
      <c r="CL809" s="1539"/>
      <c r="CM809" s="1539"/>
      <c r="CN809" s="1539"/>
      <c r="CO809" s="1539"/>
    </row>
    <row r="810" spans="1:93" s="1542" customFormat="1" ht="15.5">
      <c r="A810" s="1598" t="s">
        <v>1102</v>
      </c>
      <c r="B810" s="1599" t="s">
        <v>2628</v>
      </c>
      <c r="C810" s="1643" t="e">
        <f>+SUMIF(#REF!,Final!A810,#REF!)</f>
        <v>#REF!</v>
      </c>
      <c r="D810" s="1597" t="e">
        <f>+SUMIF(#REF!,Final!A810,#REF!)</f>
        <v>#REF!</v>
      </c>
      <c r="E810" s="1643" t="e">
        <f>SUMIF(#REF!,Final!A810,#REF!)</f>
        <v>#REF!</v>
      </c>
      <c r="F810" s="1644" t="e">
        <f>SUMIF(#REF!,Final!A810,#REF!)</f>
        <v>#REF!</v>
      </c>
      <c r="G810" s="1597" t="e">
        <f t="shared" si="60"/>
        <v>#REF!</v>
      </c>
      <c r="H810" s="1644" t="e">
        <f t="shared" si="61"/>
        <v>#REF!</v>
      </c>
      <c r="I810" s="1597" t="e">
        <f t="shared" si="62"/>
        <v>#REF!</v>
      </c>
      <c r="J810" s="1644" t="e">
        <f t="shared" si="63"/>
        <v>#REF!</v>
      </c>
      <c r="K810" s="1539"/>
      <c r="L810" s="1539"/>
      <c r="M810" s="1545"/>
      <c r="N810" s="1545"/>
      <c r="O810" s="1539"/>
      <c r="P810" s="1539"/>
      <c r="Q810" s="1539"/>
      <c r="R810" s="1539"/>
      <c r="S810" s="1539"/>
      <c r="T810" s="1539"/>
      <c r="U810" s="1539"/>
      <c r="V810" s="1539"/>
      <c r="W810" s="1539"/>
      <c r="X810" s="1539"/>
      <c r="Y810" s="1539"/>
      <c r="Z810" s="1539"/>
      <c r="AA810" s="1539"/>
      <c r="AB810" s="1539"/>
      <c r="AC810" s="1539"/>
      <c r="AD810" s="1539"/>
      <c r="AE810" s="1539"/>
      <c r="AF810" s="1539"/>
      <c r="AG810" s="1539"/>
      <c r="AH810" s="1539"/>
      <c r="AI810" s="1539"/>
      <c r="AJ810" s="1539"/>
      <c r="AK810" s="1539"/>
      <c r="AL810" s="1539"/>
      <c r="AM810" s="1539"/>
      <c r="AN810" s="1539"/>
      <c r="AO810" s="1539"/>
      <c r="AP810" s="1539"/>
      <c r="AQ810" s="1539"/>
      <c r="AR810" s="1539"/>
      <c r="AS810" s="1539"/>
      <c r="AT810" s="1539"/>
      <c r="AU810" s="1539"/>
      <c r="AV810" s="1539"/>
      <c r="AW810" s="1539"/>
      <c r="AX810" s="1539"/>
      <c r="AY810" s="1539"/>
      <c r="AZ810" s="1539"/>
      <c r="BA810" s="1539"/>
      <c r="BB810" s="1539"/>
      <c r="BC810" s="1539"/>
      <c r="BD810" s="1539"/>
      <c r="BE810" s="1539"/>
      <c r="BF810" s="1539"/>
      <c r="BG810" s="1539"/>
      <c r="BH810" s="1539"/>
      <c r="BI810" s="1539"/>
      <c r="BJ810" s="1539"/>
      <c r="BK810" s="1539"/>
      <c r="BL810" s="1539"/>
      <c r="BM810" s="1539"/>
      <c r="BN810" s="1539"/>
      <c r="BO810" s="1539"/>
      <c r="BP810" s="1539"/>
      <c r="BQ810" s="1539"/>
      <c r="BR810" s="1539"/>
      <c r="BS810" s="1539"/>
      <c r="BT810" s="1539"/>
      <c r="BU810" s="1539"/>
      <c r="BV810" s="1539"/>
      <c r="BW810" s="1539"/>
      <c r="BX810" s="1539"/>
      <c r="BY810" s="1539"/>
      <c r="BZ810" s="1539"/>
      <c r="CA810" s="1539"/>
      <c r="CB810" s="1539"/>
      <c r="CC810" s="1539"/>
      <c r="CD810" s="1539"/>
      <c r="CE810" s="1539"/>
      <c r="CF810" s="1539"/>
      <c r="CG810" s="1539"/>
      <c r="CH810" s="1539"/>
      <c r="CI810" s="1539"/>
      <c r="CJ810" s="1539"/>
      <c r="CK810" s="1539"/>
      <c r="CL810" s="1539"/>
      <c r="CM810" s="1539"/>
      <c r="CN810" s="1539"/>
      <c r="CO810" s="1539"/>
    </row>
    <row r="811" spans="1:93" s="1542" customFormat="1" ht="15.5">
      <c r="A811" s="1598" t="s">
        <v>446</v>
      </c>
      <c r="B811" s="1599" t="s">
        <v>2687</v>
      </c>
      <c r="C811" s="1643" t="e">
        <f>+SUMIF(#REF!,Final!A811,#REF!)</f>
        <v>#REF!</v>
      </c>
      <c r="D811" s="1597" t="e">
        <f>+SUMIF(#REF!,Final!A811,#REF!)</f>
        <v>#REF!</v>
      </c>
      <c r="E811" s="1643" t="e">
        <f>SUMIF(#REF!,Final!A811,#REF!)</f>
        <v>#REF!</v>
      </c>
      <c r="F811" s="1644" t="e">
        <f>SUMIF(#REF!,Final!A811,#REF!)</f>
        <v>#REF!</v>
      </c>
      <c r="G811" s="1597" t="e">
        <f t="shared" si="60"/>
        <v>#REF!</v>
      </c>
      <c r="H811" s="1644" t="e">
        <f t="shared" si="61"/>
        <v>#REF!</v>
      </c>
      <c r="I811" s="1597" t="e">
        <f t="shared" si="62"/>
        <v>#REF!</v>
      </c>
      <c r="J811" s="1644" t="e">
        <f t="shared" si="63"/>
        <v>#REF!</v>
      </c>
      <c r="K811" s="1539"/>
      <c r="L811" s="1539"/>
      <c r="M811" s="1545"/>
      <c r="N811" s="1545"/>
      <c r="O811" s="1539"/>
      <c r="P811" s="1539"/>
      <c r="Q811" s="1539"/>
      <c r="R811" s="1539"/>
      <c r="S811" s="1539"/>
      <c r="T811" s="1539"/>
      <c r="U811" s="1539"/>
      <c r="V811" s="1539"/>
      <c r="W811" s="1539"/>
      <c r="X811" s="1539"/>
      <c r="Y811" s="1539"/>
      <c r="Z811" s="1539"/>
      <c r="AA811" s="1539"/>
      <c r="AB811" s="1539"/>
      <c r="AC811" s="1539"/>
      <c r="AD811" s="1539"/>
      <c r="AE811" s="1539"/>
      <c r="AF811" s="1539"/>
      <c r="AG811" s="1539"/>
      <c r="AH811" s="1539"/>
      <c r="AI811" s="1539"/>
      <c r="AJ811" s="1539"/>
      <c r="AK811" s="1539"/>
      <c r="AL811" s="1539"/>
      <c r="AM811" s="1539"/>
      <c r="AN811" s="1539"/>
      <c r="AO811" s="1539"/>
      <c r="AP811" s="1539"/>
      <c r="AQ811" s="1539"/>
      <c r="AR811" s="1539"/>
      <c r="AS811" s="1539"/>
      <c r="AT811" s="1539"/>
      <c r="AU811" s="1539"/>
      <c r="AV811" s="1539"/>
      <c r="AW811" s="1539"/>
      <c r="AX811" s="1539"/>
      <c r="AY811" s="1539"/>
      <c r="AZ811" s="1539"/>
      <c r="BA811" s="1539"/>
      <c r="BB811" s="1539"/>
      <c r="BC811" s="1539"/>
      <c r="BD811" s="1539"/>
      <c r="BE811" s="1539"/>
      <c r="BF811" s="1539"/>
      <c r="BG811" s="1539"/>
      <c r="BH811" s="1539"/>
      <c r="BI811" s="1539"/>
      <c r="BJ811" s="1539"/>
      <c r="BK811" s="1539"/>
      <c r="BL811" s="1539"/>
      <c r="BM811" s="1539"/>
      <c r="BN811" s="1539"/>
      <c r="BO811" s="1539"/>
      <c r="BP811" s="1539"/>
      <c r="BQ811" s="1539"/>
      <c r="BR811" s="1539"/>
      <c r="BS811" s="1539"/>
      <c r="BT811" s="1539"/>
      <c r="BU811" s="1539"/>
      <c r="BV811" s="1539"/>
      <c r="BW811" s="1539"/>
      <c r="BX811" s="1539"/>
      <c r="BY811" s="1539"/>
      <c r="BZ811" s="1539"/>
      <c r="CA811" s="1539"/>
      <c r="CB811" s="1539"/>
      <c r="CC811" s="1539"/>
      <c r="CD811" s="1539"/>
      <c r="CE811" s="1539"/>
      <c r="CF811" s="1539"/>
      <c r="CG811" s="1539"/>
      <c r="CH811" s="1539"/>
      <c r="CI811" s="1539"/>
      <c r="CJ811" s="1539"/>
      <c r="CK811" s="1539"/>
      <c r="CL811" s="1539"/>
      <c r="CM811" s="1539"/>
      <c r="CN811" s="1539"/>
      <c r="CO811" s="1539"/>
    </row>
    <row r="812" spans="1:93" ht="15.5">
      <c r="A812" s="1598">
        <v>22.420999999999999</v>
      </c>
      <c r="B812" s="1599" t="s">
        <v>2676</v>
      </c>
      <c r="C812" s="1643" t="e">
        <f>+SUMIF(#REF!,Final!A812,#REF!)</f>
        <v>#REF!</v>
      </c>
      <c r="D812" s="1597" t="e">
        <f>+SUMIF(#REF!,Final!A812,#REF!)</f>
        <v>#REF!</v>
      </c>
      <c r="E812" s="1643" t="e">
        <f>SUMIF(#REF!,Final!A812,#REF!)</f>
        <v>#REF!</v>
      </c>
      <c r="F812" s="1644" t="e">
        <f>SUMIF(#REF!,Final!A812,#REF!)</f>
        <v>#REF!</v>
      </c>
      <c r="G812" s="1597" t="e">
        <f t="shared" si="60"/>
        <v>#REF!</v>
      </c>
      <c r="H812" s="1644" t="e">
        <f t="shared" si="61"/>
        <v>#REF!</v>
      </c>
      <c r="I812" s="1597" t="e">
        <f t="shared" si="62"/>
        <v>#REF!</v>
      </c>
      <c r="J812" s="1644" t="e">
        <f t="shared" si="63"/>
        <v>#REF!</v>
      </c>
      <c r="M812" s="1545"/>
      <c r="N812" s="1545"/>
    </row>
    <row r="813" spans="1:93" ht="15.5">
      <c r="A813" s="1598">
        <v>22.422999999999998</v>
      </c>
      <c r="B813" s="1599" t="s">
        <v>2677</v>
      </c>
      <c r="C813" s="1643" t="e">
        <f>+SUMIF(#REF!,Final!A813,#REF!)</f>
        <v>#REF!</v>
      </c>
      <c r="D813" s="1597" t="e">
        <f>+SUMIF(#REF!,Final!A813,#REF!)</f>
        <v>#REF!</v>
      </c>
      <c r="E813" s="1643" t="e">
        <f>SUMIF(#REF!,Final!A813,#REF!)</f>
        <v>#REF!</v>
      </c>
      <c r="F813" s="1644" t="e">
        <f>SUMIF(#REF!,Final!A813,#REF!)</f>
        <v>#REF!</v>
      </c>
      <c r="G813" s="1597" t="e">
        <f t="shared" si="60"/>
        <v>#REF!</v>
      </c>
      <c r="H813" s="1644" t="e">
        <f t="shared" si="61"/>
        <v>#REF!</v>
      </c>
      <c r="I813" s="1597" t="e">
        <f t="shared" si="62"/>
        <v>#REF!</v>
      </c>
      <c r="J813" s="1644" t="e">
        <f t="shared" si="63"/>
        <v>#REF!</v>
      </c>
      <c r="M813" s="1545"/>
      <c r="N813" s="1545"/>
    </row>
    <row r="814" spans="1:93" ht="15.5">
      <c r="A814" s="1598">
        <v>22.423999999999999</v>
      </c>
      <c r="B814" s="1599" t="s">
        <v>2678</v>
      </c>
      <c r="C814" s="1643" t="e">
        <f>+SUMIF(#REF!,Final!A814,#REF!)</f>
        <v>#REF!</v>
      </c>
      <c r="D814" s="1597" t="e">
        <f>+SUMIF(#REF!,Final!A814,#REF!)</f>
        <v>#REF!</v>
      </c>
      <c r="E814" s="1643" t="e">
        <f>SUMIF(#REF!,Final!A814,#REF!)</f>
        <v>#REF!</v>
      </c>
      <c r="F814" s="1644" t="e">
        <f>SUMIF(#REF!,Final!A814,#REF!)</f>
        <v>#REF!</v>
      </c>
      <c r="G814" s="1597" t="e">
        <f t="shared" si="60"/>
        <v>#REF!</v>
      </c>
      <c r="H814" s="1644" t="e">
        <f t="shared" si="61"/>
        <v>#REF!</v>
      </c>
      <c r="I814" s="1597" t="e">
        <f t="shared" si="62"/>
        <v>#REF!</v>
      </c>
      <c r="J814" s="1644" t="e">
        <f t="shared" si="63"/>
        <v>#REF!</v>
      </c>
      <c r="M814" s="1545"/>
      <c r="N814" s="1545"/>
    </row>
    <row r="815" spans="1:93" ht="15.5">
      <c r="A815" s="1598">
        <v>22.425000000000001</v>
      </c>
      <c r="B815" s="1599" t="s">
        <v>2679</v>
      </c>
      <c r="C815" s="1643" t="e">
        <f>+SUMIF(#REF!,Final!A815,#REF!)</f>
        <v>#REF!</v>
      </c>
      <c r="D815" s="1597" t="e">
        <f>+SUMIF(#REF!,Final!A815,#REF!)</f>
        <v>#REF!</v>
      </c>
      <c r="E815" s="1643" t="e">
        <f>SUMIF(#REF!,Final!A815,#REF!)</f>
        <v>#REF!</v>
      </c>
      <c r="F815" s="1644" t="e">
        <f>SUMIF(#REF!,Final!A815,#REF!)</f>
        <v>#REF!</v>
      </c>
      <c r="G815" s="1597" t="e">
        <f t="shared" si="60"/>
        <v>#REF!</v>
      </c>
      <c r="H815" s="1644" t="e">
        <f t="shared" si="61"/>
        <v>#REF!</v>
      </c>
      <c r="I815" s="1597" t="e">
        <f t="shared" si="62"/>
        <v>#REF!</v>
      </c>
      <c r="J815" s="1644" t="e">
        <f t="shared" si="63"/>
        <v>#REF!</v>
      </c>
      <c r="M815" s="1545"/>
      <c r="N815" s="1545"/>
    </row>
    <row r="816" spans="1:93" ht="15.5">
      <c r="A816" s="1598">
        <v>22.425999999999998</v>
      </c>
      <c r="B816" s="1599" t="s">
        <v>2680</v>
      </c>
      <c r="C816" s="1643" t="e">
        <f>+SUMIF(#REF!,Final!A816,#REF!)</f>
        <v>#REF!</v>
      </c>
      <c r="D816" s="1597" t="e">
        <f>+SUMIF(#REF!,Final!A816,#REF!)</f>
        <v>#REF!</v>
      </c>
      <c r="E816" s="1643" t="e">
        <f>SUMIF(#REF!,Final!A816,#REF!)</f>
        <v>#REF!</v>
      </c>
      <c r="F816" s="1644" t="e">
        <f>SUMIF(#REF!,Final!A816,#REF!)</f>
        <v>#REF!</v>
      </c>
      <c r="G816" s="1597" t="e">
        <f t="shared" si="60"/>
        <v>#REF!</v>
      </c>
      <c r="H816" s="1644" t="e">
        <f t="shared" si="61"/>
        <v>#REF!</v>
      </c>
      <c r="I816" s="1597" t="e">
        <f t="shared" si="62"/>
        <v>#REF!</v>
      </c>
      <c r="J816" s="1644" t="e">
        <f t="shared" si="63"/>
        <v>#REF!</v>
      </c>
      <c r="M816" s="1545"/>
      <c r="N816" s="1545"/>
    </row>
    <row r="817" spans="1:93" ht="15.5">
      <c r="A817" s="1598">
        <v>22.427</v>
      </c>
      <c r="B817" s="1599" t="s">
        <v>2681</v>
      </c>
      <c r="C817" s="1643" t="e">
        <f>+SUMIF(#REF!,Final!A817,#REF!)</f>
        <v>#REF!</v>
      </c>
      <c r="D817" s="1597" t="e">
        <f>+SUMIF(#REF!,Final!A817,#REF!)</f>
        <v>#REF!</v>
      </c>
      <c r="E817" s="1643" t="e">
        <f>SUMIF(#REF!,Final!A817,#REF!)</f>
        <v>#REF!</v>
      </c>
      <c r="F817" s="1644" t="e">
        <f>SUMIF(#REF!,Final!A817,#REF!)</f>
        <v>#REF!</v>
      </c>
      <c r="G817" s="1597" t="e">
        <f t="shared" si="60"/>
        <v>#REF!</v>
      </c>
      <c r="H817" s="1644" t="e">
        <f t="shared" si="61"/>
        <v>#REF!</v>
      </c>
      <c r="I817" s="1597" t="e">
        <f t="shared" si="62"/>
        <v>#REF!</v>
      </c>
      <c r="J817" s="1644" t="e">
        <f t="shared" si="63"/>
        <v>#REF!</v>
      </c>
      <c r="M817" s="1545"/>
      <c r="N817" s="1545"/>
    </row>
    <row r="818" spans="1:93" ht="15.5">
      <c r="A818" s="1598">
        <v>22.428000000000001</v>
      </c>
      <c r="B818" s="1599" t="s">
        <v>2682</v>
      </c>
      <c r="C818" s="1643" t="e">
        <f>+SUMIF(#REF!,Final!A818,#REF!)</f>
        <v>#REF!</v>
      </c>
      <c r="D818" s="1597" t="e">
        <f>+SUMIF(#REF!,Final!A818,#REF!)</f>
        <v>#REF!</v>
      </c>
      <c r="E818" s="1643" t="e">
        <f>SUMIF(#REF!,Final!A818,#REF!)</f>
        <v>#REF!</v>
      </c>
      <c r="F818" s="1644" t="e">
        <f>SUMIF(#REF!,Final!A818,#REF!)</f>
        <v>#REF!</v>
      </c>
      <c r="G818" s="1597" t="e">
        <f t="shared" si="60"/>
        <v>#REF!</v>
      </c>
      <c r="H818" s="1644" t="e">
        <f t="shared" si="61"/>
        <v>#REF!</v>
      </c>
      <c r="I818" s="1597" t="e">
        <f t="shared" si="62"/>
        <v>#REF!</v>
      </c>
      <c r="J818" s="1644" t="e">
        <f t="shared" si="63"/>
        <v>#REF!</v>
      </c>
      <c r="M818" s="1545"/>
      <c r="N818" s="1545"/>
    </row>
    <row r="819" spans="1:93" ht="15.5">
      <c r="A819" s="1598">
        <v>22.428999999999998</v>
      </c>
      <c r="B819" s="1599" t="s">
        <v>2683</v>
      </c>
      <c r="C819" s="1643" t="e">
        <f>+SUMIF(#REF!,Final!A819,#REF!)</f>
        <v>#REF!</v>
      </c>
      <c r="D819" s="1597" t="e">
        <f>+SUMIF(#REF!,Final!A819,#REF!)</f>
        <v>#REF!</v>
      </c>
      <c r="E819" s="1643" t="e">
        <f>SUMIF(#REF!,Final!A819,#REF!)</f>
        <v>#REF!</v>
      </c>
      <c r="F819" s="1644" t="e">
        <f>SUMIF(#REF!,Final!A819,#REF!)</f>
        <v>#REF!</v>
      </c>
      <c r="G819" s="1597" t="e">
        <f t="shared" si="60"/>
        <v>#REF!</v>
      </c>
      <c r="H819" s="1644" t="e">
        <f t="shared" si="61"/>
        <v>#REF!</v>
      </c>
      <c r="I819" s="1597" t="e">
        <f t="shared" si="62"/>
        <v>#REF!</v>
      </c>
      <c r="J819" s="1644" t="e">
        <f t="shared" si="63"/>
        <v>#REF!</v>
      </c>
      <c r="M819" s="1545"/>
      <c r="N819" s="1545"/>
    </row>
    <row r="820" spans="1:93" s="1542" customFormat="1" ht="15.5">
      <c r="A820" s="1598">
        <v>22.43</v>
      </c>
      <c r="B820" s="1599" t="s">
        <v>2684</v>
      </c>
      <c r="C820" s="1643" t="e">
        <f>+SUMIF(#REF!,Final!A820,#REF!)</f>
        <v>#REF!</v>
      </c>
      <c r="D820" s="1597" t="e">
        <f>+SUMIF(#REF!,Final!A820,#REF!)</f>
        <v>#REF!</v>
      </c>
      <c r="E820" s="1643" t="e">
        <f>SUMIF(#REF!,Final!A820,#REF!)</f>
        <v>#REF!</v>
      </c>
      <c r="F820" s="1644" t="e">
        <f>SUMIF(#REF!,Final!A820,#REF!)</f>
        <v>#REF!</v>
      </c>
      <c r="G820" s="1597" t="e">
        <f t="shared" si="60"/>
        <v>#REF!</v>
      </c>
      <c r="H820" s="1644" t="e">
        <f t="shared" si="61"/>
        <v>#REF!</v>
      </c>
      <c r="I820" s="1597" t="e">
        <f t="shared" si="62"/>
        <v>#REF!</v>
      </c>
      <c r="J820" s="1644" t="e">
        <f t="shared" si="63"/>
        <v>#REF!</v>
      </c>
      <c r="K820" s="1539"/>
      <c r="L820" s="1539"/>
      <c r="M820" s="1545"/>
      <c r="N820" s="1545"/>
      <c r="O820" s="1539"/>
      <c r="P820" s="1539"/>
      <c r="Q820" s="1539"/>
      <c r="R820" s="1539"/>
      <c r="S820" s="1539"/>
      <c r="T820" s="1539"/>
      <c r="U820" s="1539"/>
      <c r="V820" s="1539"/>
      <c r="W820" s="1539"/>
      <c r="X820" s="1539"/>
      <c r="Y820" s="1539"/>
      <c r="Z820" s="1539"/>
      <c r="AA820" s="1539"/>
      <c r="AB820" s="1539"/>
      <c r="AC820" s="1539"/>
      <c r="AD820" s="1539"/>
      <c r="AE820" s="1539"/>
      <c r="AF820" s="1539"/>
      <c r="AG820" s="1539"/>
      <c r="AH820" s="1539"/>
      <c r="AI820" s="1539"/>
      <c r="AJ820" s="1539"/>
      <c r="AK820" s="1539"/>
      <c r="AL820" s="1539"/>
      <c r="AM820" s="1539"/>
      <c r="AN820" s="1539"/>
      <c r="AO820" s="1539"/>
      <c r="AP820" s="1539"/>
      <c r="AQ820" s="1539"/>
      <c r="AR820" s="1539"/>
      <c r="AS820" s="1539"/>
      <c r="AT820" s="1539"/>
      <c r="AU820" s="1539"/>
      <c r="AV820" s="1539"/>
      <c r="AW820" s="1539"/>
      <c r="AX820" s="1539"/>
      <c r="AY820" s="1539"/>
      <c r="AZ820" s="1539"/>
      <c r="BA820" s="1539"/>
      <c r="BB820" s="1539"/>
      <c r="BC820" s="1539"/>
      <c r="BD820" s="1539"/>
      <c r="BE820" s="1539"/>
      <c r="BF820" s="1539"/>
      <c r="BG820" s="1539"/>
      <c r="BH820" s="1539"/>
      <c r="BI820" s="1539"/>
      <c r="BJ820" s="1539"/>
      <c r="BK820" s="1539"/>
      <c r="BL820" s="1539"/>
      <c r="BM820" s="1539"/>
      <c r="BN820" s="1539"/>
      <c r="BO820" s="1539"/>
      <c r="BP820" s="1539"/>
      <c r="BQ820" s="1539"/>
      <c r="BR820" s="1539"/>
      <c r="BS820" s="1539"/>
      <c r="BT820" s="1539"/>
      <c r="BU820" s="1539"/>
      <c r="BV820" s="1539"/>
      <c r="BW820" s="1539"/>
      <c r="BX820" s="1539"/>
      <c r="BY820" s="1539"/>
      <c r="BZ820" s="1539"/>
      <c r="CA820" s="1539"/>
      <c r="CB820" s="1539"/>
      <c r="CC820" s="1539"/>
      <c r="CD820" s="1539"/>
      <c r="CE820" s="1539"/>
      <c r="CF820" s="1539"/>
      <c r="CG820" s="1539"/>
      <c r="CH820" s="1539"/>
      <c r="CI820" s="1539"/>
      <c r="CJ820" s="1539"/>
      <c r="CK820" s="1539"/>
      <c r="CL820" s="1539"/>
      <c r="CM820" s="1539"/>
      <c r="CN820" s="1539"/>
      <c r="CO820" s="1539"/>
    </row>
    <row r="821" spans="1:93" ht="15.5">
      <c r="A821" s="1598">
        <v>22.433</v>
      </c>
      <c r="B821" s="1599" t="s">
        <v>2688</v>
      </c>
      <c r="C821" s="1643" t="e">
        <f>+SUMIF(#REF!,Final!A821,#REF!)</f>
        <v>#REF!</v>
      </c>
      <c r="D821" s="1597" t="e">
        <f>+SUMIF(#REF!,Final!A821,#REF!)</f>
        <v>#REF!</v>
      </c>
      <c r="E821" s="1643" t="e">
        <f>SUMIF(#REF!,Final!A821,#REF!)</f>
        <v>#REF!</v>
      </c>
      <c r="F821" s="1644" t="e">
        <f>SUMIF(#REF!,Final!A821,#REF!)</f>
        <v>#REF!</v>
      </c>
      <c r="G821" s="1597" t="e">
        <f t="shared" si="60"/>
        <v>#REF!</v>
      </c>
      <c r="H821" s="1644" t="e">
        <f t="shared" si="61"/>
        <v>#REF!</v>
      </c>
      <c r="I821" s="1597" t="e">
        <f t="shared" si="62"/>
        <v>#REF!</v>
      </c>
      <c r="J821" s="1644" t="e">
        <f t="shared" si="63"/>
        <v>#REF!</v>
      </c>
      <c r="M821" s="1545"/>
      <c r="N821" s="1545"/>
    </row>
    <row r="822" spans="1:93" ht="15.5">
      <c r="A822" s="1598">
        <v>22.439</v>
      </c>
      <c r="B822" s="1599" t="s">
        <v>2686</v>
      </c>
      <c r="C822" s="1643" t="e">
        <f>+SUMIF(#REF!,Final!A822,#REF!)</f>
        <v>#REF!</v>
      </c>
      <c r="D822" s="1597" t="e">
        <f>+SUMIF(#REF!,Final!A822,#REF!)</f>
        <v>#REF!</v>
      </c>
      <c r="E822" s="1643" t="e">
        <f>SUMIF(#REF!,Final!A822,#REF!)</f>
        <v>#REF!</v>
      </c>
      <c r="F822" s="1644" t="e">
        <f>SUMIF(#REF!,Final!A822,#REF!)</f>
        <v>#REF!</v>
      </c>
      <c r="G822" s="1597" t="e">
        <f t="shared" si="60"/>
        <v>#REF!</v>
      </c>
      <c r="H822" s="1644" t="e">
        <f t="shared" si="61"/>
        <v>#REF!</v>
      </c>
      <c r="I822" s="1597" t="e">
        <f t="shared" si="62"/>
        <v>#REF!</v>
      </c>
      <c r="J822" s="1644" t="e">
        <f t="shared" si="63"/>
        <v>#REF!</v>
      </c>
      <c r="M822" s="1545"/>
      <c r="N822" s="1545"/>
    </row>
    <row r="823" spans="1:93" s="1552" customFormat="1" ht="15.5">
      <c r="A823" s="1598"/>
      <c r="B823" s="1599" t="s">
        <v>1747</v>
      </c>
      <c r="C823" s="1643" t="e">
        <f>+SUMIF(#REF!,Final!A823,#REF!)</f>
        <v>#REF!</v>
      </c>
      <c r="D823" s="1597" t="e">
        <f>+SUMIF(#REF!,Final!A823,#REF!)</f>
        <v>#REF!</v>
      </c>
      <c r="E823" s="1643" t="e">
        <f>SUMIF(#REF!,Final!A823,#REF!)</f>
        <v>#REF!</v>
      </c>
      <c r="F823" s="1644" t="e">
        <f>SUMIF(#REF!,Final!A823,#REF!)</f>
        <v>#REF!</v>
      </c>
      <c r="G823" s="1597" t="e">
        <f t="shared" si="60"/>
        <v>#REF!</v>
      </c>
      <c r="H823" s="1644" t="e">
        <f t="shared" si="61"/>
        <v>#REF!</v>
      </c>
      <c r="I823" s="1597" t="e">
        <f t="shared" si="62"/>
        <v>#REF!</v>
      </c>
      <c r="J823" s="1644" t="e">
        <f t="shared" si="63"/>
        <v>#REF!</v>
      </c>
      <c r="K823" s="1539"/>
      <c r="L823" s="1539"/>
      <c r="M823" s="1545"/>
      <c r="N823" s="1545"/>
      <c r="O823" s="1539"/>
      <c r="P823" s="1539"/>
      <c r="Q823" s="1539"/>
      <c r="R823" s="1539"/>
      <c r="S823" s="1539"/>
      <c r="T823" s="1539"/>
      <c r="U823" s="1539"/>
      <c r="V823" s="1539"/>
      <c r="W823" s="1539"/>
      <c r="X823" s="1539"/>
      <c r="Y823" s="1539"/>
      <c r="Z823" s="1539"/>
      <c r="AA823" s="1539"/>
      <c r="AB823" s="1539"/>
      <c r="AC823" s="1539"/>
      <c r="AD823" s="1539"/>
      <c r="AE823" s="1539"/>
      <c r="AF823" s="1539"/>
      <c r="AG823" s="1539"/>
      <c r="AH823" s="1539"/>
      <c r="AI823" s="1539"/>
      <c r="AJ823" s="1539"/>
      <c r="AK823" s="1539"/>
      <c r="AL823" s="1539"/>
      <c r="AM823" s="1539"/>
      <c r="AN823" s="1539"/>
      <c r="AO823" s="1539"/>
      <c r="AP823" s="1539"/>
      <c r="AQ823" s="1539"/>
      <c r="AR823" s="1539"/>
      <c r="AS823" s="1539"/>
      <c r="AT823" s="1539"/>
      <c r="AU823" s="1539"/>
      <c r="AV823" s="1539"/>
      <c r="AW823" s="1539"/>
      <c r="AX823" s="1539"/>
      <c r="AY823" s="1539"/>
      <c r="AZ823" s="1539"/>
      <c r="BA823" s="1539"/>
      <c r="BB823" s="1539"/>
      <c r="BC823" s="1539"/>
      <c r="BD823" s="1539"/>
      <c r="BE823" s="1539"/>
      <c r="BF823" s="1539"/>
      <c r="BG823" s="1539"/>
      <c r="BH823" s="1539"/>
      <c r="BI823" s="1539"/>
      <c r="BJ823" s="1539"/>
      <c r="BK823" s="1539"/>
      <c r="BL823" s="1539"/>
      <c r="BM823" s="1539"/>
      <c r="BN823" s="1539"/>
      <c r="BO823" s="1539"/>
      <c r="BP823" s="1539"/>
      <c r="BQ823" s="1539"/>
      <c r="BR823" s="1539"/>
      <c r="BS823" s="1539"/>
      <c r="BT823" s="1539"/>
      <c r="BU823" s="1539"/>
      <c r="BV823" s="1539"/>
      <c r="BW823" s="1539"/>
      <c r="BX823" s="1539"/>
      <c r="BY823" s="1539"/>
      <c r="BZ823" s="1539"/>
      <c r="CA823" s="1539"/>
      <c r="CB823" s="1539"/>
      <c r="CC823" s="1539"/>
      <c r="CD823" s="1539"/>
      <c r="CE823" s="1539"/>
      <c r="CF823" s="1539"/>
      <c r="CG823" s="1539"/>
      <c r="CH823" s="1539"/>
      <c r="CI823" s="1539"/>
      <c r="CJ823" s="1539"/>
      <c r="CK823" s="1539"/>
      <c r="CL823" s="1539"/>
      <c r="CM823" s="1539"/>
      <c r="CN823" s="1539"/>
      <c r="CO823" s="1539"/>
    </row>
    <row r="824" spans="1:93" s="1552" customFormat="1" ht="15.5">
      <c r="A824" s="1598"/>
      <c r="B824" s="1599" t="s">
        <v>1760</v>
      </c>
      <c r="C824" s="1643" t="e">
        <f>+SUMIF(#REF!,Final!A824,#REF!)</f>
        <v>#REF!</v>
      </c>
      <c r="D824" s="1597" t="e">
        <f>+SUMIF(#REF!,Final!A824,#REF!)</f>
        <v>#REF!</v>
      </c>
      <c r="E824" s="1643" t="e">
        <f>SUMIF(#REF!,Final!A824,#REF!)</f>
        <v>#REF!</v>
      </c>
      <c r="F824" s="1644" t="e">
        <f>SUMIF(#REF!,Final!A824,#REF!)</f>
        <v>#REF!</v>
      </c>
      <c r="G824" s="1597" t="e">
        <f t="shared" si="60"/>
        <v>#REF!</v>
      </c>
      <c r="H824" s="1644" t="e">
        <f t="shared" si="61"/>
        <v>#REF!</v>
      </c>
      <c r="I824" s="1597" t="e">
        <f t="shared" si="62"/>
        <v>#REF!</v>
      </c>
      <c r="J824" s="1644" t="e">
        <f t="shared" si="63"/>
        <v>#REF!</v>
      </c>
      <c r="K824" s="1539"/>
      <c r="L824" s="1539"/>
      <c r="M824" s="1545"/>
      <c r="N824" s="1545"/>
      <c r="O824" s="1539"/>
      <c r="P824" s="1539"/>
      <c r="Q824" s="1539"/>
      <c r="R824" s="1539"/>
      <c r="S824" s="1539"/>
      <c r="T824" s="1539"/>
      <c r="U824" s="1539"/>
      <c r="V824" s="1539"/>
      <c r="W824" s="1539"/>
      <c r="X824" s="1539"/>
      <c r="Y824" s="1539"/>
      <c r="Z824" s="1539"/>
      <c r="AA824" s="1539"/>
      <c r="AB824" s="1539"/>
      <c r="AC824" s="1539"/>
      <c r="AD824" s="1539"/>
      <c r="AE824" s="1539"/>
      <c r="AF824" s="1539"/>
      <c r="AG824" s="1539"/>
      <c r="AH824" s="1539"/>
      <c r="AI824" s="1539"/>
      <c r="AJ824" s="1539"/>
      <c r="AK824" s="1539"/>
      <c r="AL824" s="1539"/>
      <c r="AM824" s="1539"/>
      <c r="AN824" s="1539"/>
      <c r="AO824" s="1539"/>
      <c r="AP824" s="1539"/>
      <c r="AQ824" s="1539"/>
      <c r="AR824" s="1539"/>
      <c r="AS824" s="1539"/>
      <c r="AT824" s="1539"/>
      <c r="AU824" s="1539"/>
      <c r="AV824" s="1539"/>
      <c r="AW824" s="1539"/>
      <c r="AX824" s="1539"/>
      <c r="AY824" s="1539"/>
      <c r="AZ824" s="1539"/>
      <c r="BA824" s="1539"/>
      <c r="BB824" s="1539"/>
      <c r="BC824" s="1539"/>
      <c r="BD824" s="1539"/>
      <c r="BE824" s="1539"/>
      <c r="BF824" s="1539"/>
      <c r="BG824" s="1539"/>
      <c r="BH824" s="1539"/>
      <c r="BI824" s="1539"/>
      <c r="BJ824" s="1539"/>
      <c r="BK824" s="1539"/>
      <c r="BL824" s="1539"/>
      <c r="BM824" s="1539"/>
      <c r="BN824" s="1539"/>
      <c r="BO824" s="1539"/>
      <c r="BP824" s="1539"/>
      <c r="BQ824" s="1539"/>
      <c r="BR824" s="1539"/>
      <c r="BS824" s="1539"/>
      <c r="BT824" s="1539"/>
      <c r="BU824" s="1539"/>
      <c r="BV824" s="1539"/>
      <c r="BW824" s="1539"/>
      <c r="BX824" s="1539"/>
      <c r="BY824" s="1539"/>
      <c r="BZ824" s="1539"/>
      <c r="CA824" s="1539"/>
      <c r="CB824" s="1539"/>
      <c r="CC824" s="1539"/>
      <c r="CD824" s="1539"/>
      <c r="CE824" s="1539"/>
      <c r="CF824" s="1539"/>
      <c r="CG824" s="1539"/>
      <c r="CH824" s="1539"/>
      <c r="CI824" s="1539"/>
      <c r="CJ824" s="1539"/>
      <c r="CK824" s="1539"/>
      <c r="CL824" s="1539"/>
      <c r="CM824" s="1539"/>
      <c r="CN824" s="1539"/>
      <c r="CO824" s="1539"/>
    </row>
    <row r="825" spans="1:93" s="1542" customFormat="1" ht="15.5">
      <c r="A825" s="1598" t="s">
        <v>1102</v>
      </c>
      <c r="B825" s="1599" t="s">
        <v>2628</v>
      </c>
      <c r="C825" s="1643" t="e">
        <f>+SUMIF(#REF!,Final!A825,#REF!)</f>
        <v>#REF!</v>
      </c>
      <c r="D825" s="1597" t="e">
        <f>+SUMIF(#REF!,Final!A825,#REF!)</f>
        <v>#REF!</v>
      </c>
      <c r="E825" s="1643" t="e">
        <f>SUMIF(#REF!,Final!A825,#REF!)</f>
        <v>#REF!</v>
      </c>
      <c r="F825" s="1644" t="e">
        <f>SUMIF(#REF!,Final!A825,#REF!)</f>
        <v>#REF!</v>
      </c>
      <c r="G825" s="1597" t="e">
        <f t="shared" si="60"/>
        <v>#REF!</v>
      </c>
      <c r="H825" s="1644" t="e">
        <f t="shared" si="61"/>
        <v>#REF!</v>
      </c>
      <c r="I825" s="1597" t="e">
        <f t="shared" si="62"/>
        <v>#REF!</v>
      </c>
      <c r="J825" s="1644" t="e">
        <f t="shared" si="63"/>
        <v>#REF!</v>
      </c>
      <c r="K825" s="1539"/>
      <c r="L825" s="1539"/>
      <c r="M825" s="1545"/>
      <c r="N825" s="1545"/>
      <c r="O825" s="1539"/>
      <c r="P825" s="1539"/>
      <c r="Q825" s="1539"/>
      <c r="R825" s="1539"/>
      <c r="S825" s="1539"/>
      <c r="T825" s="1539"/>
      <c r="U825" s="1539"/>
      <c r="V825" s="1539"/>
      <c r="W825" s="1539"/>
      <c r="X825" s="1539"/>
      <c r="Y825" s="1539"/>
      <c r="Z825" s="1539"/>
      <c r="AA825" s="1539"/>
      <c r="AB825" s="1539"/>
      <c r="AC825" s="1539"/>
      <c r="AD825" s="1539"/>
      <c r="AE825" s="1539"/>
      <c r="AF825" s="1539"/>
      <c r="AG825" s="1539"/>
      <c r="AH825" s="1539"/>
      <c r="AI825" s="1539"/>
      <c r="AJ825" s="1539"/>
      <c r="AK825" s="1539"/>
      <c r="AL825" s="1539"/>
      <c r="AM825" s="1539"/>
      <c r="AN825" s="1539"/>
      <c r="AO825" s="1539"/>
      <c r="AP825" s="1539"/>
      <c r="AQ825" s="1539"/>
      <c r="AR825" s="1539"/>
      <c r="AS825" s="1539"/>
      <c r="AT825" s="1539"/>
      <c r="AU825" s="1539"/>
      <c r="AV825" s="1539"/>
      <c r="AW825" s="1539"/>
      <c r="AX825" s="1539"/>
      <c r="AY825" s="1539"/>
      <c r="AZ825" s="1539"/>
      <c r="BA825" s="1539"/>
      <c r="BB825" s="1539"/>
      <c r="BC825" s="1539"/>
      <c r="BD825" s="1539"/>
      <c r="BE825" s="1539"/>
      <c r="BF825" s="1539"/>
      <c r="BG825" s="1539"/>
      <c r="BH825" s="1539"/>
      <c r="BI825" s="1539"/>
      <c r="BJ825" s="1539"/>
      <c r="BK825" s="1539"/>
      <c r="BL825" s="1539"/>
      <c r="BM825" s="1539"/>
      <c r="BN825" s="1539"/>
      <c r="BO825" s="1539"/>
      <c r="BP825" s="1539"/>
      <c r="BQ825" s="1539"/>
      <c r="BR825" s="1539"/>
      <c r="BS825" s="1539"/>
      <c r="BT825" s="1539"/>
      <c r="BU825" s="1539"/>
      <c r="BV825" s="1539"/>
      <c r="BW825" s="1539"/>
      <c r="BX825" s="1539"/>
      <c r="BY825" s="1539"/>
      <c r="BZ825" s="1539"/>
      <c r="CA825" s="1539"/>
      <c r="CB825" s="1539"/>
      <c r="CC825" s="1539"/>
      <c r="CD825" s="1539"/>
      <c r="CE825" s="1539"/>
      <c r="CF825" s="1539"/>
      <c r="CG825" s="1539"/>
      <c r="CH825" s="1539"/>
      <c r="CI825" s="1539"/>
      <c r="CJ825" s="1539"/>
      <c r="CK825" s="1539"/>
      <c r="CL825" s="1539"/>
      <c r="CM825" s="1539"/>
      <c r="CN825" s="1539"/>
      <c r="CO825" s="1539"/>
    </row>
    <row r="826" spans="1:93" s="1542" customFormat="1" ht="15.5">
      <c r="A826" s="1598" t="s">
        <v>448</v>
      </c>
      <c r="B826" s="1599" t="s">
        <v>2689</v>
      </c>
      <c r="C826" s="1643" t="e">
        <f>+SUMIF(#REF!,Final!A826,#REF!)</f>
        <v>#REF!</v>
      </c>
      <c r="D826" s="1597" t="e">
        <f>+SUMIF(#REF!,Final!A826,#REF!)</f>
        <v>#REF!</v>
      </c>
      <c r="E826" s="1643" t="e">
        <f>SUMIF(#REF!,Final!A826,#REF!)</f>
        <v>#REF!</v>
      </c>
      <c r="F826" s="1644" t="e">
        <f>SUMIF(#REF!,Final!A826,#REF!)</f>
        <v>#REF!</v>
      </c>
      <c r="G826" s="1597" t="e">
        <f t="shared" si="60"/>
        <v>#REF!</v>
      </c>
      <c r="H826" s="1644" t="e">
        <f t="shared" si="61"/>
        <v>#REF!</v>
      </c>
      <c r="I826" s="1597" t="e">
        <f t="shared" si="62"/>
        <v>#REF!</v>
      </c>
      <c r="J826" s="1644" t="e">
        <f t="shared" si="63"/>
        <v>#REF!</v>
      </c>
      <c r="K826" s="1539"/>
      <c r="L826" s="1539"/>
      <c r="M826" s="1545"/>
      <c r="N826" s="1545"/>
      <c r="O826" s="1539"/>
      <c r="P826" s="1539"/>
      <c r="Q826" s="1539"/>
      <c r="R826" s="1539"/>
      <c r="S826" s="1539"/>
      <c r="T826" s="1539"/>
      <c r="U826" s="1539"/>
      <c r="V826" s="1539"/>
      <c r="W826" s="1539"/>
      <c r="X826" s="1539"/>
      <c r="Y826" s="1539"/>
      <c r="Z826" s="1539"/>
      <c r="AA826" s="1539"/>
      <c r="AB826" s="1539"/>
      <c r="AC826" s="1539"/>
      <c r="AD826" s="1539"/>
      <c r="AE826" s="1539"/>
      <c r="AF826" s="1539"/>
      <c r="AG826" s="1539"/>
      <c r="AH826" s="1539"/>
      <c r="AI826" s="1539"/>
      <c r="AJ826" s="1539"/>
      <c r="AK826" s="1539"/>
      <c r="AL826" s="1539"/>
      <c r="AM826" s="1539"/>
      <c r="AN826" s="1539"/>
      <c r="AO826" s="1539"/>
      <c r="AP826" s="1539"/>
      <c r="AQ826" s="1539"/>
      <c r="AR826" s="1539"/>
      <c r="AS826" s="1539"/>
      <c r="AT826" s="1539"/>
      <c r="AU826" s="1539"/>
      <c r="AV826" s="1539"/>
      <c r="AW826" s="1539"/>
      <c r="AX826" s="1539"/>
      <c r="AY826" s="1539"/>
      <c r="AZ826" s="1539"/>
      <c r="BA826" s="1539"/>
      <c r="BB826" s="1539"/>
      <c r="BC826" s="1539"/>
      <c r="BD826" s="1539"/>
      <c r="BE826" s="1539"/>
      <c r="BF826" s="1539"/>
      <c r="BG826" s="1539"/>
      <c r="BH826" s="1539"/>
      <c r="BI826" s="1539"/>
      <c r="BJ826" s="1539"/>
      <c r="BK826" s="1539"/>
      <c r="BL826" s="1539"/>
      <c r="BM826" s="1539"/>
      <c r="BN826" s="1539"/>
      <c r="BO826" s="1539"/>
      <c r="BP826" s="1539"/>
      <c r="BQ826" s="1539"/>
      <c r="BR826" s="1539"/>
      <c r="BS826" s="1539"/>
      <c r="BT826" s="1539"/>
      <c r="BU826" s="1539"/>
      <c r="BV826" s="1539"/>
      <c r="BW826" s="1539"/>
      <c r="BX826" s="1539"/>
      <c r="BY826" s="1539"/>
      <c r="BZ826" s="1539"/>
      <c r="CA826" s="1539"/>
      <c r="CB826" s="1539"/>
      <c r="CC826" s="1539"/>
      <c r="CD826" s="1539"/>
      <c r="CE826" s="1539"/>
      <c r="CF826" s="1539"/>
      <c r="CG826" s="1539"/>
      <c r="CH826" s="1539"/>
      <c r="CI826" s="1539"/>
      <c r="CJ826" s="1539"/>
      <c r="CK826" s="1539"/>
      <c r="CL826" s="1539"/>
      <c r="CM826" s="1539"/>
      <c r="CN826" s="1539"/>
      <c r="CO826" s="1539"/>
    </row>
    <row r="827" spans="1:93" ht="15.5">
      <c r="A827" s="1598">
        <v>22.504000000000001</v>
      </c>
      <c r="B827" s="1599" t="s">
        <v>2690</v>
      </c>
      <c r="C827" s="1643" t="e">
        <f>+SUMIF(#REF!,Final!A827,#REF!)</f>
        <v>#REF!</v>
      </c>
      <c r="D827" s="1597" t="e">
        <f>+SUMIF(#REF!,Final!A827,#REF!)</f>
        <v>#REF!</v>
      </c>
      <c r="E827" s="1643" t="e">
        <f>SUMIF(#REF!,Final!A827,#REF!)</f>
        <v>#REF!</v>
      </c>
      <c r="F827" s="1644" t="e">
        <f>SUMIF(#REF!,Final!A827,#REF!)</f>
        <v>#REF!</v>
      </c>
      <c r="G827" s="1597" t="e">
        <f t="shared" si="60"/>
        <v>#REF!</v>
      </c>
      <c r="H827" s="1644" t="e">
        <f t="shared" si="61"/>
        <v>#REF!</v>
      </c>
      <c r="I827" s="1597" t="e">
        <f t="shared" si="62"/>
        <v>#REF!</v>
      </c>
      <c r="J827" s="1644" t="e">
        <f t="shared" si="63"/>
        <v>#REF!</v>
      </c>
      <c r="M827" s="1545"/>
      <c r="N827" s="1545"/>
    </row>
    <row r="828" spans="1:93" ht="15.5">
      <c r="A828" s="1598">
        <v>22.507000000000001</v>
      </c>
      <c r="B828" s="1599" t="s">
        <v>2691</v>
      </c>
      <c r="C828" s="1643" t="e">
        <f>+SUMIF(#REF!,Final!A828,#REF!)</f>
        <v>#REF!</v>
      </c>
      <c r="D828" s="1597" t="e">
        <f>+SUMIF(#REF!,Final!A828,#REF!)</f>
        <v>#REF!</v>
      </c>
      <c r="E828" s="1643" t="e">
        <f>SUMIF(#REF!,Final!A828,#REF!)</f>
        <v>#REF!</v>
      </c>
      <c r="F828" s="1644" t="e">
        <f>SUMIF(#REF!,Final!A828,#REF!)</f>
        <v>#REF!</v>
      </c>
      <c r="G828" s="1597" t="e">
        <f t="shared" si="60"/>
        <v>#REF!</v>
      </c>
      <c r="H828" s="1644" t="e">
        <f t="shared" si="61"/>
        <v>#REF!</v>
      </c>
      <c r="I828" s="1597" t="e">
        <f t="shared" si="62"/>
        <v>#REF!</v>
      </c>
      <c r="J828" s="1644" t="e">
        <f t="shared" si="63"/>
        <v>#REF!</v>
      </c>
      <c r="M828" s="1545"/>
      <c r="N828" s="1545"/>
    </row>
    <row r="829" spans="1:93" ht="15.5">
      <c r="A829" s="1598">
        <v>22.509</v>
      </c>
      <c r="B829" s="1599" t="s">
        <v>2692</v>
      </c>
      <c r="C829" s="1643" t="e">
        <f>+SUMIF(#REF!,Final!A829,#REF!)</f>
        <v>#REF!</v>
      </c>
      <c r="D829" s="1597" t="e">
        <f>+SUMIF(#REF!,Final!A829,#REF!)</f>
        <v>#REF!</v>
      </c>
      <c r="E829" s="1643" t="e">
        <f>SUMIF(#REF!,Final!A829,#REF!)</f>
        <v>#REF!</v>
      </c>
      <c r="F829" s="1644" t="e">
        <f>SUMIF(#REF!,Final!A829,#REF!)</f>
        <v>#REF!</v>
      </c>
      <c r="G829" s="1597" t="e">
        <f t="shared" si="60"/>
        <v>#REF!</v>
      </c>
      <c r="H829" s="1644" t="e">
        <f t="shared" si="61"/>
        <v>#REF!</v>
      </c>
      <c r="I829" s="1597" t="e">
        <f t="shared" si="62"/>
        <v>#REF!</v>
      </c>
      <c r="J829" s="1644" t="e">
        <f t="shared" si="63"/>
        <v>#REF!</v>
      </c>
      <c r="M829" s="1545"/>
      <c r="N829" s="1545"/>
    </row>
    <row r="830" spans="1:93" s="1552" customFormat="1" ht="15.5">
      <c r="A830" s="1598"/>
      <c r="B830" s="1599" t="s">
        <v>1747</v>
      </c>
      <c r="C830" s="1643" t="e">
        <f>+SUMIF(#REF!,Final!A830,#REF!)</f>
        <v>#REF!</v>
      </c>
      <c r="D830" s="1597" t="e">
        <f>+SUMIF(#REF!,Final!A830,#REF!)</f>
        <v>#REF!</v>
      </c>
      <c r="E830" s="1643" t="e">
        <f>SUMIF(#REF!,Final!A830,#REF!)</f>
        <v>#REF!</v>
      </c>
      <c r="F830" s="1644" t="e">
        <f>SUMIF(#REF!,Final!A830,#REF!)</f>
        <v>#REF!</v>
      </c>
      <c r="G830" s="1597" t="e">
        <f t="shared" si="60"/>
        <v>#REF!</v>
      </c>
      <c r="H830" s="1644" t="e">
        <f t="shared" si="61"/>
        <v>#REF!</v>
      </c>
      <c r="I830" s="1597" t="e">
        <f t="shared" si="62"/>
        <v>#REF!</v>
      </c>
      <c r="J830" s="1644" t="e">
        <f t="shared" si="63"/>
        <v>#REF!</v>
      </c>
      <c r="K830" s="1539"/>
      <c r="L830" s="1539"/>
      <c r="M830" s="1545"/>
      <c r="N830" s="1545"/>
      <c r="O830" s="1539"/>
      <c r="P830" s="1539"/>
      <c r="Q830" s="1539"/>
      <c r="R830" s="1539"/>
      <c r="S830" s="1539"/>
      <c r="T830" s="1539"/>
      <c r="U830" s="1539"/>
      <c r="V830" s="1539"/>
      <c r="W830" s="1539"/>
      <c r="X830" s="1539"/>
      <c r="Y830" s="1539"/>
      <c r="Z830" s="1539"/>
      <c r="AA830" s="1539"/>
      <c r="AB830" s="1539"/>
      <c r="AC830" s="1539"/>
      <c r="AD830" s="1539"/>
      <c r="AE830" s="1539"/>
      <c r="AF830" s="1539"/>
      <c r="AG830" s="1539"/>
      <c r="AH830" s="1539"/>
      <c r="AI830" s="1539"/>
      <c r="AJ830" s="1539"/>
      <c r="AK830" s="1539"/>
      <c r="AL830" s="1539"/>
      <c r="AM830" s="1539"/>
      <c r="AN830" s="1539"/>
      <c r="AO830" s="1539"/>
      <c r="AP830" s="1539"/>
      <c r="AQ830" s="1539"/>
      <c r="AR830" s="1539"/>
      <c r="AS830" s="1539"/>
      <c r="AT830" s="1539"/>
      <c r="AU830" s="1539"/>
      <c r="AV830" s="1539"/>
      <c r="AW830" s="1539"/>
      <c r="AX830" s="1539"/>
      <c r="AY830" s="1539"/>
      <c r="AZ830" s="1539"/>
      <c r="BA830" s="1539"/>
      <c r="BB830" s="1539"/>
      <c r="BC830" s="1539"/>
      <c r="BD830" s="1539"/>
      <c r="BE830" s="1539"/>
      <c r="BF830" s="1539"/>
      <c r="BG830" s="1539"/>
      <c r="BH830" s="1539"/>
      <c r="BI830" s="1539"/>
      <c r="BJ830" s="1539"/>
      <c r="BK830" s="1539"/>
      <c r="BL830" s="1539"/>
      <c r="BM830" s="1539"/>
      <c r="BN830" s="1539"/>
      <c r="BO830" s="1539"/>
      <c r="BP830" s="1539"/>
      <c r="BQ830" s="1539"/>
      <c r="BR830" s="1539"/>
      <c r="BS830" s="1539"/>
      <c r="BT830" s="1539"/>
      <c r="BU830" s="1539"/>
      <c r="BV830" s="1539"/>
      <c r="BW830" s="1539"/>
      <c r="BX830" s="1539"/>
      <c r="BY830" s="1539"/>
      <c r="BZ830" s="1539"/>
      <c r="CA830" s="1539"/>
      <c r="CB830" s="1539"/>
      <c r="CC830" s="1539"/>
      <c r="CD830" s="1539"/>
      <c r="CE830" s="1539"/>
      <c r="CF830" s="1539"/>
      <c r="CG830" s="1539"/>
      <c r="CH830" s="1539"/>
      <c r="CI830" s="1539"/>
      <c r="CJ830" s="1539"/>
      <c r="CK830" s="1539"/>
      <c r="CL830" s="1539"/>
      <c r="CM830" s="1539"/>
      <c r="CN830" s="1539"/>
      <c r="CO830" s="1539"/>
    </row>
    <row r="831" spans="1:93" s="1552" customFormat="1" ht="15.5">
      <c r="A831" s="1598"/>
      <c r="B831" s="1599" t="s">
        <v>1760</v>
      </c>
      <c r="C831" s="1643" t="e">
        <f>+SUMIF(#REF!,Final!A831,#REF!)</f>
        <v>#REF!</v>
      </c>
      <c r="D831" s="1597" t="e">
        <f>+SUMIF(#REF!,Final!A831,#REF!)</f>
        <v>#REF!</v>
      </c>
      <c r="E831" s="1643" t="e">
        <f>SUMIF(#REF!,Final!A831,#REF!)</f>
        <v>#REF!</v>
      </c>
      <c r="F831" s="1644" t="e">
        <f>SUMIF(#REF!,Final!A831,#REF!)</f>
        <v>#REF!</v>
      </c>
      <c r="G831" s="1597" t="e">
        <f t="shared" si="60"/>
        <v>#REF!</v>
      </c>
      <c r="H831" s="1644" t="e">
        <f t="shared" si="61"/>
        <v>#REF!</v>
      </c>
      <c r="I831" s="1597" t="e">
        <f t="shared" si="62"/>
        <v>#REF!</v>
      </c>
      <c r="J831" s="1644" t="e">
        <f t="shared" si="63"/>
        <v>#REF!</v>
      </c>
      <c r="K831" s="1539"/>
      <c r="L831" s="1539"/>
      <c r="M831" s="1545"/>
      <c r="N831" s="1545"/>
      <c r="O831" s="1539"/>
      <c r="P831" s="1539"/>
      <c r="Q831" s="1539"/>
      <c r="R831" s="1539"/>
      <c r="S831" s="1539"/>
      <c r="T831" s="1539"/>
      <c r="U831" s="1539"/>
      <c r="V831" s="1539"/>
      <c r="W831" s="1539"/>
      <c r="X831" s="1539"/>
      <c r="Y831" s="1539"/>
      <c r="Z831" s="1539"/>
      <c r="AA831" s="1539"/>
      <c r="AB831" s="1539"/>
      <c r="AC831" s="1539"/>
      <c r="AD831" s="1539"/>
      <c r="AE831" s="1539"/>
      <c r="AF831" s="1539"/>
      <c r="AG831" s="1539"/>
      <c r="AH831" s="1539"/>
      <c r="AI831" s="1539"/>
      <c r="AJ831" s="1539"/>
      <c r="AK831" s="1539"/>
      <c r="AL831" s="1539"/>
      <c r="AM831" s="1539"/>
      <c r="AN831" s="1539"/>
      <c r="AO831" s="1539"/>
      <c r="AP831" s="1539"/>
      <c r="AQ831" s="1539"/>
      <c r="AR831" s="1539"/>
      <c r="AS831" s="1539"/>
      <c r="AT831" s="1539"/>
      <c r="AU831" s="1539"/>
      <c r="AV831" s="1539"/>
      <c r="AW831" s="1539"/>
      <c r="AX831" s="1539"/>
      <c r="AY831" s="1539"/>
      <c r="AZ831" s="1539"/>
      <c r="BA831" s="1539"/>
      <c r="BB831" s="1539"/>
      <c r="BC831" s="1539"/>
      <c r="BD831" s="1539"/>
      <c r="BE831" s="1539"/>
      <c r="BF831" s="1539"/>
      <c r="BG831" s="1539"/>
      <c r="BH831" s="1539"/>
      <c r="BI831" s="1539"/>
      <c r="BJ831" s="1539"/>
      <c r="BK831" s="1539"/>
      <c r="BL831" s="1539"/>
      <c r="BM831" s="1539"/>
      <c r="BN831" s="1539"/>
      <c r="BO831" s="1539"/>
      <c r="BP831" s="1539"/>
      <c r="BQ831" s="1539"/>
      <c r="BR831" s="1539"/>
      <c r="BS831" s="1539"/>
      <c r="BT831" s="1539"/>
      <c r="BU831" s="1539"/>
      <c r="BV831" s="1539"/>
      <c r="BW831" s="1539"/>
      <c r="BX831" s="1539"/>
      <c r="BY831" s="1539"/>
      <c r="BZ831" s="1539"/>
      <c r="CA831" s="1539"/>
      <c r="CB831" s="1539"/>
      <c r="CC831" s="1539"/>
      <c r="CD831" s="1539"/>
      <c r="CE831" s="1539"/>
      <c r="CF831" s="1539"/>
      <c r="CG831" s="1539"/>
      <c r="CH831" s="1539"/>
      <c r="CI831" s="1539"/>
      <c r="CJ831" s="1539"/>
      <c r="CK831" s="1539"/>
      <c r="CL831" s="1539"/>
      <c r="CM831" s="1539"/>
      <c r="CN831" s="1539"/>
      <c r="CO831" s="1539"/>
    </row>
    <row r="832" spans="1:93" s="1542" customFormat="1" ht="15.5">
      <c r="A832" s="1598" t="s">
        <v>1102</v>
      </c>
      <c r="B832" s="1599" t="s">
        <v>2628</v>
      </c>
      <c r="C832" s="1643" t="e">
        <f>+SUMIF(#REF!,Final!A832,#REF!)</f>
        <v>#REF!</v>
      </c>
      <c r="D832" s="1597" t="e">
        <f>+SUMIF(#REF!,Final!A832,#REF!)</f>
        <v>#REF!</v>
      </c>
      <c r="E832" s="1643" t="e">
        <f>SUMIF(#REF!,Final!A832,#REF!)</f>
        <v>#REF!</v>
      </c>
      <c r="F832" s="1644" t="e">
        <f>SUMIF(#REF!,Final!A832,#REF!)</f>
        <v>#REF!</v>
      </c>
      <c r="G832" s="1597" t="e">
        <f t="shared" ref="G832:G918" si="68">C832+E832</f>
        <v>#REF!</v>
      </c>
      <c r="H832" s="1644" t="e">
        <f t="shared" ref="H832:H918" si="69">D832+F832</f>
        <v>#REF!</v>
      </c>
      <c r="I832" s="1597" t="e">
        <f t="shared" ref="I832:I918" si="70">IF(G832&gt;H832,G832-H832,0)</f>
        <v>#REF!</v>
      </c>
      <c r="J832" s="1644" t="e">
        <f t="shared" ref="J832:J918" si="71">IF(H832&gt;G832,H832-G832,0)</f>
        <v>#REF!</v>
      </c>
      <c r="K832" s="1539"/>
      <c r="L832" s="1539"/>
      <c r="M832" s="1545"/>
      <c r="N832" s="1545"/>
      <c r="O832" s="1539"/>
      <c r="P832" s="1539"/>
      <c r="Q832" s="1539"/>
      <c r="R832" s="1539"/>
      <c r="S832" s="1539"/>
      <c r="T832" s="1539"/>
      <c r="U832" s="1539"/>
      <c r="V832" s="1539"/>
      <c r="W832" s="1539"/>
      <c r="X832" s="1539"/>
      <c r="Y832" s="1539"/>
      <c r="Z832" s="1539"/>
      <c r="AA832" s="1539"/>
      <c r="AB832" s="1539"/>
      <c r="AC832" s="1539"/>
      <c r="AD832" s="1539"/>
      <c r="AE832" s="1539"/>
      <c r="AF832" s="1539"/>
      <c r="AG832" s="1539"/>
      <c r="AH832" s="1539"/>
      <c r="AI832" s="1539"/>
      <c r="AJ832" s="1539"/>
      <c r="AK832" s="1539"/>
      <c r="AL832" s="1539"/>
      <c r="AM832" s="1539"/>
      <c r="AN832" s="1539"/>
      <c r="AO832" s="1539"/>
      <c r="AP832" s="1539"/>
      <c r="AQ832" s="1539"/>
      <c r="AR832" s="1539"/>
      <c r="AS832" s="1539"/>
      <c r="AT832" s="1539"/>
      <c r="AU832" s="1539"/>
      <c r="AV832" s="1539"/>
      <c r="AW832" s="1539"/>
      <c r="AX832" s="1539"/>
      <c r="AY832" s="1539"/>
      <c r="AZ832" s="1539"/>
      <c r="BA832" s="1539"/>
      <c r="BB832" s="1539"/>
      <c r="BC832" s="1539"/>
      <c r="BD832" s="1539"/>
      <c r="BE832" s="1539"/>
      <c r="BF832" s="1539"/>
      <c r="BG832" s="1539"/>
      <c r="BH832" s="1539"/>
      <c r="BI832" s="1539"/>
      <c r="BJ832" s="1539"/>
      <c r="BK832" s="1539"/>
      <c r="BL832" s="1539"/>
      <c r="BM832" s="1539"/>
      <c r="BN832" s="1539"/>
      <c r="BO832" s="1539"/>
      <c r="BP832" s="1539"/>
      <c r="BQ832" s="1539"/>
      <c r="BR832" s="1539"/>
      <c r="BS832" s="1539"/>
      <c r="BT832" s="1539"/>
      <c r="BU832" s="1539"/>
      <c r="BV832" s="1539"/>
      <c r="BW832" s="1539"/>
      <c r="BX832" s="1539"/>
      <c r="BY832" s="1539"/>
      <c r="BZ832" s="1539"/>
      <c r="CA832" s="1539"/>
      <c r="CB832" s="1539"/>
      <c r="CC832" s="1539"/>
      <c r="CD832" s="1539"/>
      <c r="CE832" s="1539"/>
      <c r="CF832" s="1539"/>
      <c r="CG832" s="1539"/>
      <c r="CH832" s="1539"/>
      <c r="CI832" s="1539"/>
      <c r="CJ832" s="1539"/>
      <c r="CK832" s="1539"/>
      <c r="CL832" s="1539"/>
      <c r="CM832" s="1539"/>
      <c r="CN832" s="1539"/>
      <c r="CO832" s="1539"/>
    </row>
    <row r="833" spans="1:93" s="1542" customFormat="1" ht="15.5">
      <c r="A833" s="1598" t="s">
        <v>637</v>
      </c>
      <c r="B833" s="1599" t="s">
        <v>1282</v>
      </c>
      <c r="C833" s="1643" t="e">
        <f>+SUMIF(#REF!,Final!A833,#REF!)</f>
        <v>#REF!</v>
      </c>
      <c r="D833" s="1597" t="e">
        <f>+SUMIF(#REF!,Final!A833,#REF!)</f>
        <v>#REF!</v>
      </c>
      <c r="E833" s="1643" t="e">
        <f>SUMIF(#REF!,Final!A833,#REF!)</f>
        <v>#REF!</v>
      </c>
      <c r="F833" s="1644" t="e">
        <f>SUMIF(#REF!,Final!A833,#REF!)</f>
        <v>#REF!</v>
      </c>
      <c r="G833" s="1597" t="e">
        <f t="shared" si="68"/>
        <v>#REF!</v>
      </c>
      <c r="H833" s="1644" t="e">
        <f t="shared" si="69"/>
        <v>#REF!</v>
      </c>
      <c r="I833" s="1597" t="e">
        <f t="shared" si="70"/>
        <v>#REF!</v>
      </c>
      <c r="J833" s="1644" t="e">
        <f t="shared" si="71"/>
        <v>#REF!</v>
      </c>
      <c r="K833" s="1539"/>
      <c r="L833" s="1539"/>
      <c r="M833" s="1545"/>
      <c r="N833" s="1545"/>
      <c r="O833" s="1539"/>
      <c r="P833" s="1539"/>
      <c r="Q833" s="1539"/>
      <c r="R833" s="1539"/>
      <c r="S833" s="1539"/>
      <c r="T833" s="1539"/>
      <c r="U833" s="1539"/>
      <c r="V833" s="1539"/>
      <c r="W833" s="1539"/>
      <c r="X833" s="1539"/>
      <c r="Y833" s="1539"/>
      <c r="Z833" s="1539"/>
      <c r="AA833" s="1539"/>
      <c r="AB833" s="1539"/>
      <c r="AC833" s="1539"/>
      <c r="AD833" s="1539"/>
      <c r="AE833" s="1539"/>
      <c r="AF833" s="1539"/>
      <c r="AG833" s="1539"/>
      <c r="AH833" s="1539"/>
      <c r="AI833" s="1539"/>
      <c r="AJ833" s="1539"/>
      <c r="AK833" s="1539"/>
      <c r="AL833" s="1539"/>
      <c r="AM833" s="1539"/>
      <c r="AN833" s="1539"/>
      <c r="AO833" s="1539"/>
      <c r="AP833" s="1539"/>
      <c r="AQ833" s="1539"/>
      <c r="AR833" s="1539"/>
      <c r="AS833" s="1539"/>
      <c r="AT833" s="1539"/>
      <c r="AU833" s="1539"/>
      <c r="AV833" s="1539"/>
      <c r="AW833" s="1539"/>
      <c r="AX833" s="1539"/>
      <c r="AY833" s="1539"/>
      <c r="AZ833" s="1539"/>
      <c r="BA833" s="1539"/>
      <c r="BB833" s="1539"/>
      <c r="BC833" s="1539"/>
      <c r="BD833" s="1539"/>
      <c r="BE833" s="1539"/>
      <c r="BF833" s="1539"/>
      <c r="BG833" s="1539"/>
      <c r="BH833" s="1539"/>
      <c r="BI833" s="1539"/>
      <c r="BJ833" s="1539"/>
      <c r="BK833" s="1539"/>
      <c r="BL833" s="1539"/>
      <c r="BM833" s="1539"/>
      <c r="BN833" s="1539"/>
      <c r="BO833" s="1539"/>
      <c r="BP833" s="1539"/>
      <c r="BQ833" s="1539"/>
      <c r="BR833" s="1539"/>
      <c r="BS833" s="1539"/>
      <c r="BT833" s="1539"/>
      <c r="BU833" s="1539"/>
      <c r="BV833" s="1539"/>
      <c r="BW833" s="1539"/>
      <c r="BX833" s="1539"/>
      <c r="BY833" s="1539"/>
      <c r="BZ833" s="1539"/>
      <c r="CA833" s="1539"/>
      <c r="CB833" s="1539"/>
      <c r="CC833" s="1539"/>
      <c r="CD833" s="1539"/>
      <c r="CE833" s="1539"/>
      <c r="CF833" s="1539"/>
      <c r="CG833" s="1539"/>
      <c r="CH833" s="1539"/>
      <c r="CI833" s="1539"/>
      <c r="CJ833" s="1539"/>
      <c r="CK833" s="1539"/>
      <c r="CL833" s="1539"/>
      <c r="CM833" s="1539"/>
      <c r="CN833" s="1539"/>
      <c r="CO833" s="1539"/>
    </row>
    <row r="834" spans="1:93" ht="15.5">
      <c r="A834" s="1598">
        <v>22.600999999999999</v>
      </c>
      <c r="B834" s="1599" t="s">
        <v>2693</v>
      </c>
      <c r="C834" s="1643" t="e">
        <f>+SUMIF(#REF!,Final!A834,#REF!)</f>
        <v>#REF!</v>
      </c>
      <c r="D834" s="1597" t="e">
        <f>+SUMIF(#REF!,Final!A834,#REF!)</f>
        <v>#REF!</v>
      </c>
      <c r="E834" s="1643" t="e">
        <f>SUMIF(#REF!,Final!A834,#REF!)</f>
        <v>#REF!</v>
      </c>
      <c r="F834" s="1644" t="e">
        <f>SUMIF(#REF!,Final!A834,#REF!)</f>
        <v>#REF!</v>
      </c>
      <c r="G834" s="1597" t="e">
        <f t="shared" si="68"/>
        <v>#REF!</v>
      </c>
      <c r="H834" s="1644" t="e">
        <f t="shared" si="69"/>
        <v>#REF!</v>
      </c>
      <c r="I834" s="1597" t="e">
        <f t="shared" si="70"/>
        <v>#REF!</v>
      </c>
      <c r="J834" s="1644" t="e">
        <f t="shared" si="71"/>
        <v>#REF!</v>
      </c>
      <c r="M834" s="1545"/>
      <c r="N834" s="1545"/>
    </row>
    <row r="835" spans="1:93" ht="15.5">
      <c r="A835" s="1598">
        <v>22.603000000000002</v>
      </c>
      <c r="B835" s="1599" t="s">
        <v>2694</v>
      </c>
      <c r="C835" s="1643" t="e">
        <f>+SUMIF(#REF!,Final!A835,#REF!)</f>
        <v>#REF!</v>
      </c>
      <c r="D835" s="1597" t="e">
        <f>+SUMIF(#REF!,Final!A835,#REF!)</f>
        <v>#REF!</v>
      </c>
      <c r="E835" s="1643" t="e">
        <f>SUMIF(#REF!,Final!A835,#REF!)</f>
        <v>#REF!</v>
      </c>
      <c r="F835" s="1644" t="e">
        <f>SUMIF(#REF!,Final!A835,#REF!)</f>
        <v>#REF!</v>
      </c>
      <c r="G835" s="1597" t="e">
        <f t="shared" si="68"/>
        <v>#REF!</v>
      </c>
      <c r="H835" s="1644" t="e">
        <f t="shared" si="69"/>
        <v>#REF!</v>
      </c>
      <c r="I835" s="1597" t="e">
        <f t="shared" si="70"/>
        <v>#REF!</v>
      </c>
      <c r="J835" s="1644" t="e">
        <f t="shared" si="71"/>
        <v>#REF!</v>
      </c>
      <c r="M835" s="1545"/>
      <c r="N835" s="1545"/>
    </row>
    <row r="836" spans="1:93" ht="15.5">
      <c r="A836" s="1598">
        <v>22.603999999999999</v>
      </c>
      <c r="B836" s="1599" t="s">
        <v>2695</v>
      </c>
      <c r="C836" s="1643" t="e">
        <f>+SUMIF(#REF!,Final!A836,#REF!)</f>
        <v>#REF!</v>
      </c>
      <c r="D836" s="1597" t="e">
        <f>+SUMIF(#REF!,Final!A836,#REF!)</f>
        <v>#REF!</v>
      </c>
      <c r="E836" s="1643" t="e">
        <f>SUMIF(#REF!,Final!A836,#REF!)</f>
        <v>#REF!</v>
      </c>
      <c r="F836" s="1644" t="e">
        <f>SUMIF(#REF!,Final!A836,#REF!)</f>
        <v>#REF!</v>
      </c>
      <c r="G836" s="1597" t="e">
        <f t="shared" si="68"/>
        <v>#REF!</v>
      </c>
      <c r="H836" s="1644" t="e">
        <f t="shared" si="69"/>
        <v>#REF!</v>
      </c>
      <c r="I836" s="1597" t="e">
        <f t="shared" si="70"/>
        <v>#REF!</v>
      </c>
      <c r="J836" s="1644" t="e">
        <f t="shared" si="71"/>
        <v>#REF!</v>
      </c>
      <c r="M836" s="1545"/>
      <c r="N836" s="1545"/>
    </row>
    <row r="837" spans="1:93" ht="15.5">
      <c r="A837" s="1598">
        <v>22.605</v>
      </c>
      <c r="B837" s="1599" t="s">
        <v>2696</v>
      </c>
      <c r="C837" s="1643" t="e">
        <f>+SUMIF(#REF!,Final!A837,#REF!)</f>
        <v>#REF!</v>
      </c>
      <c r="D837" s="1597" t="e">
        <f>+SUMIF(#REF!,Final!A837,#REF!)</f>
        <v>#REF!</v>
      </c>
      <c r="E837" s="1643" t="e">
        <f>SUMIF(#REF!,Final!A837,#REF!)</f>
        <v>#REF!</v>
      </c>
      <c r="F837" s="1644" t="e">
        <f>SUMIF(#REF!,Final!A837,#REF!)</f>
        <v>#REF!</v>
      </c>
      <c r="G837" s="1597" t="e">
        <f t="shared" si="68"/>
        <v>#REF!</v>
      </c>
      <c r="H837" s="1644" t="e">
        <f t="shared" si="69"/>
        <v>#REF!</v>
      </c>
      <c r="I837" s="1597" t="e">
        <f t="shared" si="70"/>
        <v>#REF!</v>
      </c>
      <c r="J837" s="1644" t="e">
        <f t="shared" si="71"/>
        <v>#REF!</v>
      </c>
      <c r="M837" s="1545"/>
      <c r="N837" s="1545"/>
    </row>
    <row r="838" spans="1:93" ht="15.5">
      <c r="A838" s="1598">
        <v>22.606000000000002</v>
      </c>
      <c r="B838" s="1599" t="s">
        <v>2697</v>
      </c>
      <c r="C838" s="1643" t="e">
        <f>+SUMIF(#REF!,Final!A838,#REF!)</f>
        <v>#REF!</v>
      </c>
      <c r="D838" s="1597" t="e">
        <f>+SUMIF(#REF!,Final!A838,#REF!)</f>
        <v>#REF!</v>
      </c>
      <c r="E838" s="1643" t="e">
        <f>SUMIF(#REF!,Final!A838,#REF!)</f>
        <v>#REF!</v>
      </c>
      <c r="F838" s="1644" t="e">
        <f>SUMIF(#REF!,Final!A838,#REF!)</f>
        <v>#REF!</v>
      </c>
      <c r="G838" s="1597" t="e">
        <f t="shared" si="68"/>
        <v>#REF!</v>
      </c>
      <c r="H838" s="1644" t="e">
        <f t="shared" si="69"/>
        <v>#REF!</v>
      </c>
      <c r="I838" s="1597" t="e">
        <f t="shared" si="70"/>
        <v>#REF!</v>
      </c>
      <c r="J838" s="1644" t="e">
        <f t="shared" si="71"/>
        <v>#REF!</v>
      </c>
      <c r="M838" s="1545"/>
      <c r="N838" s="1545"/>
    </row>
    <row r="839" spans="1:93" ht="15.5">
      <c r="A839" s="1598">
        <v>22.606999999999999</v>
      </c>
      <c r="B839" s="1599" t="s">
        <v>2698</v>
      </c>
      <c r="C839" s="1643" t="e">
        <f>+SUMIF(#REF!,Final!A839,#REF!)</f>
        <v>#REF!</v>
      </c>
      <c r="D839" s="1597" t="e">
        <f>+SUMIF(#REF!,Final!A839,#REF!)</f>
        <v>#REF!</v>
      </c>
      <c r="E839" s="1643" t="e">
        <f>SUMIF(#REF!,Final!A839,#REF!)</f>
        <v>#REF!</v>
      </c>
      <c r="F839" s="1644" t="e">
        <f>SUMIF(#REF!,Final!A839,#REF!)</f>
        <v>#REF!</v>
      </c>
      <c r="G839" s="1597" t="e">
        <f t="shared" si="68"/>
        <v>#REF!</v>
      </c>
      <c r="H839" s="1644" t="e">
        <f t="shared" si="69"/>
        <v>#REF!</v>
      </c>
      <c r="I839" s="1597" t="e">
        <f t="shared" si="70"/>
        <v>#REF!</v>
      </c>
      <c r="J839" s="1644" t="e">
        <f t="shared" si="71"/>
        <v>#REF!</v>
      </c>
      <c r="M839" s="1545"/>
      <c r="N839" s="1545"/>
    </row>
    <row r="840" spans="1:93" ht="15.5">
      <c r="A840" s="1598">
        <v>22.608000000000001</v>
      </c>
      <c r="B840" s="1599" t="s">
        <v>2699</v>
      </c>
      <c r="C840" s="1643" t="e">
        <f>+SUMIF(#REF!,Final!A840,#REF!)</f>
        <v>#REF!</v>
      </c>
      <c r="D840" s="1597" t="e">
        <f>+SUMIF(#REF!,Final!A840,#REF!)</f>
        <v>#REF!</v>
      </c>
      <c r="E840" s="1643" t="e">
        <f>SUMIF(#REF!,Final!A840,#REF!)</f>
        <v>#REF!</v>
      </c>
      <c r="F840" s="1644" t="e">
        <f>SUMIF(#REF!,Final!A840,#REF!)</f>
        <v>#REF!</v>
      </c>
      <c r="G840" s="1597" t="e">
        <f t="shared" si="68"/>
        <v>#REF!</v>
      </c>
      <c r="H840" s="1644" t="e">
        <f t="shared" si="69"/>
        <v>#REF!</v>
      </c>
      <c r="I840" s="1597" t="e">
        <f t="shared" si="70"/>
        <v>#REF!</v>
      </c>
      <c r="J840" s="1644" t="e">
        <f t="shared" si="71"/>
        <v>#REF!</v>
      </c>
      <c r="M840" s="1545"/>
      <c r="N840" s="1545"/>
    </row>
    <row r="841" spans="1:93" ht="15.5">
      <c r="A841" s="1598">
        <v>22.609000000000002</v>
      </c>
      <c r="B841" s="1599" t="s">
        <v>2700</v>
      </c>
      <c r="C841" s="1643" t="e">
        <f>+SUMIF(#REF!,Final!A841,#REF!)</f>
        <v>#REF!</v>
      </c>
      <c r="D841" s="1597" t="e">
        <f>+SUMIF(#REF!,Final!A841,#REF!)</f>
        <v>#REF!</v>
      </c>
      <c r="E841" s="1643" t="e">
        <f>SUMIF(#REF!,Final!A841,#REF!)</f>
        <v>#REF!</v>
      </c>
      <c r="F841" s="1644" t="e">
        <f>SUMIF(#REF!,Final!A841,#REF!)</f>
        <v>#REF!</v>
      </c>
      <c r="G841" s="1597" t="e">
        <f t="shared" si="68"/>
        <v>#REF!</v>
      </c>
      <c r="H841" s="1644" t="e">
        <f t="shared" si="69"/>
        <v>#REF!</v>
      </c>
      <c r="I841" s="1597" t="e">
        <f t="shared" si="70"/>
        <v>#REF!</v>
      </c>
      <c r="J841" s="1644" t="e">
        <f t="shared" si="71"/>
        <v>#REF!</v>
      </c>
      <c r="M841" s="1545"/>
      <c r="N841" s="1545"/>
    </row>
    <row r="842" spans="1:93" ht="15.5">
      <c r="A842" s="1598">
        <v>22.61</v>
      </c>
      <c r="B842" s="1599" t="s">
        <v>2701</v>
      </c>
      <c r="C842" s="1643" t="e">
        <f>+SUMIF(#REF!,Final!A842,#REF!)</f>
        <v>#REF!</v>
      </c>
      <c r="D842" s="1597" t="e">
        <f>+SUMIF(#REF!,Final!A842,#REF!)</f>
        <v>#REF!</v>
      </c>
      <c r="E842" s="1643" t="e">
        <f>SUMIF(#REF!,Final!A842,#REF!)</f>
        <v>#REF!</v>
      </c>
      <c r="F842" s="1644" t="e">
        <f>SUMIF(#REF!,Final!A842,#REF!)</f>
        <v>#REF!</v>
      </c>
      <c r="G842" s="1597" t="e">
        <f t="shared" si="68"/>
        <v>#REF!</v>
      </c>
      <c r="H842" s="1644" t="e">
        <f t="shared" si="69"/>
        <v>#REF!</v>
      </c>
      <c r="I842" s="1597" t="e">
        <f t="shared" si="70"/>
        <v>#REF!</v>
      </c>
      <c r="J842" s="1644" t="e">
        <f t="shared" si="71"/>
        <v>#REF!</v>
      </c>
      <c r="M842" s="1545"/>
      <c r="N842" s="1545"/>
    </row>
    <row r="843" spans="1:93" ht="15.5">
      <c r="A843" s="1598">
        <v>22.613</v>
      </c>
      <c r="B843" s="1599" t="s">
        <v>2702</v>
      </c>
      <c r="C843" s="1643" t="e">
        <f>+SUMIF(#REF!,Final!A843,#REF!)</f>
        <v>#REF!</v>
      </c>
      <c r="D843" s="1597" t="e">
        <f>+SUMIF(#REF!,Final!A843,#REF!)</f>
        <v>#REF!</v>
      </c>
      <c r="E843" s="1643" t="e">
        <f>SUMIF(#REF!,Final!A843,#REF!)</f>
        <v>#REF!</v>
      </c>
      <c r="F843" s="1644" t="e">
        <f>SUMIF(#REF!,Final!A843,#REF!)</f>
        <v>#REF!</v>
      </c>
      <c r="G843" s="1597" t="e">
        <f t="shared" si="68"/>
        <v>#REF!</v>
      </c>
      <c r="H843" s="1644" t="e">
        <f t="shared" si="69"/>
        <v>#REF!</v>
      </c>
      <c r="I843" s="1597" t="e">
        <f t="shared" si="70"/>
        <v>#REF!</v>
      </c>
      <c r="J843" s="1644" t="e">
        <f t="shared" si="71"/>
        <v>#REF!</v>
      </c>
      <c r="M843" s="1545"/>
      <c r="N843" s="1545"/>
    </row>
    <row r="844" spans="1:93" ht="15.5">
      <c r="A844" s="1685">
        <v>22.614000000000001</v>
      </c>
      <c r="B844" s="1686" t="s">
        <v>2631</v>
      </c>
      <c r="C844" s="1643" t="e">
        <f>+SUMIF(#REF!,Final!A844,#REF!)</f>
        <v>#REF!</v>
      </c>
      <c r="D844" s="1597" t="e">
        <f>+SUMIF(#REF!,Final!A844,#REF!)</f>
        <v>#REF!</v>
      </c>
      <c r="E844" s="1643" t="e">
        <f>SUMIF(#REF!,Final!A844,#REF!)</f>
        <v>#REF!</v>
      </c>
      <c r="F844" s="1644" t="e">
        <f>SUMIF(#REF!,Final!A844,#REF!)</f>
        <v>#REF!</v>
      </c>
      <c r="G844" s="1597" t="e">
        <f t="shared" si="68"/>
        <v>#REF!</v>
      </c>
      <c r="H844" s="1644" t="e">
        <f t="shared" si="69"/>
        <v>#REF!</v>
      </c>
      <c r="I844" s="1597" t="e">
        <f t="shared" si="70"/>
        <v>#REF!</v>
      </c>
      <c r="J844" s="1644" t="e">
        <f t="shared" si="71"/>
        <v>#REF!</v>
      </c>
      <c r="M844" s="1545"/>
      <c r="N844" s="1545"/>
    </row>
    <row r="845" spans="1:93" ht="15.5">
      <c r="A845" s="1685">
        <v>22.614999999999998</v>
      </c>
      <c r="B845" s="1686" t="s">
        <v>2632</v>
      </c>
      <c r="C845" s="1643" t="e">
        <f>+SUMIF(#REF!,Final!A845,#REF!)</f>
        <v>#REF!</v>
      </c>
      <c r="D845" s="1597" t="e">
        <f>+SUMIF(#REF!,Final!A845,#REF!)</f>
        <v>#REF!</v>
      </c>
      <c r="E845" s="1643" t="e">
        <f>SUMIF(#REF!,Final!A845,#REF!)</f>
        <v>#REF!</v>
      </c>
      <c r="F845" s="1644" t="e">
        <f>SUMIF(#REF!,Final!A845,#REF!)</f>
        <v>#REF!</v>
      </c>
      <c r="G845" s="1597" t="e">
        <f t="shared" si="68"/>
        <v>#REF!</v>
      </c>
      <c r="H845" s="1644" t="e">
        <f t="shared" si="69"/>
        <v>#REF!</v>
      </c>
      <c r="I845" s="1597" t="e">
        <f t="shared" si="70"/>
        <v>#REF!</v>
      </c>
      <c r="J845" s="1644" t="e">
        <f t="shared" si="71"/>
        <v>#REF!</v>
      </c>
      <c r="M845" s="1545"/>
      <c r="N845" s="1545"/>
    </row>
    <row r="846" spans="1:93" ht="15.5">
      <c r="A846" s="1685">
        <v>22.616</v>
      </c>
      <c r="B846" s="1686" t="s">
        <v>2633</v>
      </c>
      <c r="C846" s="1643" t="e">
        <f>+SUMIF(#REF!,Final!A846,#REF!)</f>
        <v>#REF!</v>
      </c>
      <c r="D846" s="1597" t="e">
        <f>+SUMIF(#REF!,Final!A846,#REF!)</f>
        <v>#REF!</v>
      </c>
      <c r="E846" s="1643" t="e">
        <f>SUMIF(#REF!,Final!A846,#REF!)</f>
        <v>#REF!</v>
      </c>
      <c r="F846" s="1644" t="e">
        <f>SUMIF(#REF!,Final!A846,#REF!)</f>
        <v>#REF!</v>
      </c>
      <c r="G846" s="1597" t="e">
        <f t="shared" si="68"/>
        <v>#REF!</v>
      </c>
      <c r="H846" s="1644" t="e">
        <f t="shared" si="69"/>
        <v>#REF!</v>
      </c>
      <c r="I846" s="1597" t="e">
        <f t="shared" si="70"/>
        <v>#REF!</v>
      </c>
      <c r="J846" s="1644" t="e">
        <f t="shared" si="71"/>
        <v>#REF!</v>
      </c>
      <c r="M846" s="1545"/>
      <c r="N846" s="1545"/>
    </row>
    <row r="847" spans="1:93" ht="15.5">
      <c r="A847" s="1685">
        <v>22.617000000000001</v>
      </c>
      <c r="B847" s="1686" t="s">
        <v>2634</v>
      </c>
      <c r="C847" s="1643" t="e">
        <f>+SUMIF(#REF!,Final!A847,#REF!)</f>
        <v>#REF!</v>
      </c>
      <c r="D847" s="1597" t="e">
        <f>+SUMIF(#REF!,Final!A847,#REF!)</f>
        <v>#REF!</v>
      </c>
      <c r="E847" s="1643" t="e">
        <f>SUMIF(#REF!,Final!A847,#REF!)</f>
        <v>#REF!</v>
      </c>
      <c r="F847" s="1644" t="e">
        <f>SUMIF(#REF!,Final!A847,#REF!)</f>
        <v>#REF!</v>
      </c>
      <c r="G847" s="1597" t="e">
        <f t="shared" si="68"/>
        <v>#REF!</v>
      </c>
      <c r="H847" s="1644" t="e">
        <f t="shared" si="69"/>
        <v>#REF!</v>
      </c>
      <c r="I847" s="1597" t="e">
        <f t="shared" si="70"/>
        <v>#REF!</v>
      </c>
      <c r="J847" s="1644" t="e">
        <f t="shared" si="71"/>
        <v>#REF!</v>
      </c>
      <c r="M847" s="1545"/>
      <c r="N847" s="1545"/>
    </row>
    <row r="848" spans="1:93" ht="15.5">
      <c r="A848" s="1685">
        <v>22.617999999999999</v>
      </c>
      <c r="B848" s="1686" t="s">
        <v>4891</v>
      </c>
      <c r="C848" s="1643" t="e">
        <f>+SUMIF(#REF!,Final!A848,#REF!)</f>
        <v>#REF!</v>
      </c>
      <c r="D848" s="1597" t="e">
        <f>+SUMIF(#REF!,Final!A848,#REF!)</f>
        <v>#REF!</v>
      </c>
      <c r="E848" s="1643" t="e">
        <f>SUMIF(#REF!,Final!A848,#REF!)</f>
        <v>#REF!</v>
      </c>
      <c r="F848" s="1644" t="e">
        <f>SUMIF(#REF!,Final!A848,#REF!)</f>
        <v>#REF!</v>
      </c>
      <c r="G848" s="1597" t="e">
        <f t="shared" si="68"/>
        <v>#REF!</v>
      </c>
      <c r="H848" s="1644" t="e">
        <f t="shared" si="69"/>
        <v>#REF!</v>
      </c>
      <c r="I848" s="1597" t="e">
        <f t="shared" si="70"/>
        <v>#REF!</v>
      </c>
      <c r="J848" s="1644" t="e">
        <f t="shared" si="71"/>
        <v>#REF!</v>
      </c>
      <c r="M848" s="1545"/>
      <c r="N848" s="1545"/>
    </row>
    <row r="849" spans="1:14" ht="15.5">
      <c r="A849" s="1598">
        <v>22.619</v>
      </c>
      <c r="B849" s="1599" t="s">
        <v>2703</v>
      </c>
      <c r="C849" s="1643" t="e">
        <f>+SUMIF(#REF!,Final!A849,#REF!)</f>
        <v>#REF!</v>
      </c>
      <c r="D849" s="1597" t="e">
        <f>+SUMIF(#REF!,Final!A849,#REF!)</f>
        <v>#REF!</v>
      </c>
      <c r="E849" s="1643" t="e">
        <f>SUMIF(#REF!,Final!A849,#REF!)</f>
        <v>#REF!</v>
      </c>
      <c r="F849" s="1644" t="e">
        <f>SUMIF(#REF!,Final!A849,#REF!)</f>
        <v>#REF!</v>
      </c>
      <c r="G849" s="1597" t="e">
        <f t="shared" si="68"/>
        <v>#REF!</v>
      </c>
      <c r="H849" s="1644" t="e">
        <f t="shared" si="69"/>
        <v>#REF!</v>
      </c>
      <c r="I849" s="1597" t="e">
        <f t="shared" si="70"/>
        <v>#REF!</v>
      </c>
      <c r="J849" s="1644" t="e">
        <f t="shared" si="71"/>
        <v>#REF!</v>
      </c>
      <c r="M849" s="1545"/>
      <c r="N849" s="1545"/>
    </row>
    <row r="850" spans="1:14" ht="15.5">
      <c r="A850" s="1684" t="s">
        <v>4935</v>
      </c>
      <c r="B850" s="1703" t="s">
        <v>2693</v>
      </c>
      <c r="C850" s="1643" t="e">
        <f>+SUMIF(#REF!,Final!A850,#REF!)</f>
        <v>#REF!</v>
      </c>
      <c r="D850" s="1597" t="e">
        <f>+SUMIF(#REF!,Final!A850,#REF!)</f>
        <v>#REF!</v>
      </c>
      <c r="E850" s="1643" t="e">
        <f>SUMIF(#REF!,Final!A850,#REF!)</f>
        <v>#REF!</v>
      </c>
      <c r="F850" s="1644" t="e">
        <f>SUMIF(#REF!,Final!A850,#REF!)</f>
        <v>#REF!</v>
      </c>
      <c r="G850" s="1597" t="e">
        <f t="shared" si="68"/>
        <v>#REF!</v>
      </c>
      <c r="H850" s="1644" t="e">
        <f t="shared" si="69"/>
        <v>#REF!</v>
      </c>
      <c r="I850" s="1597" t="e">
        <f t="shared" si="70"/>
        <v>#REF!</v>
      </c>
      <c r="J850" s="1644" t="e">
        <f t="shared" si="71"/>
        <v>#REF!</v>
      </c>
      <c r="M850" s="1545"/>
      <c r="N850" s="1545"/>
    </row>
    <row r="851" spans="1:14" ht="15.5">
      <c r="A851" s="1684" t="s">
        <v>4936</v>
      </c>
      <c r="B851" s="1703" t="s">
        <v>2694</v>
      </c>
      <c r="C851" s="1643" t="e">
        <f>+SUMIF(#REF!,Final!A851,#REF!)</f>
        <v>#REF!</v>
      </c>
      <c r="D851" s="1597" t="e">
        <f>+SUMIF(#REF!,Final!A851,#REF!)</f>
        <v>#REF!</v>
      </c>
      <c r="E851" s="1643" t="e">
        <f>SUMIF(#REF!,Final!A851,#REF!)</f>
        <v>#REF!</v>
      </c>
      <c r="F851" s="1644" t="e">
        <f>SUMIF(#REF!,Final!A851,#REF!)</f>
        <v>#REF!</v>
      </c>
      <c r="G851" s="1597" t="e">
        <f t="shared" si="68"/>
        <v>#REF!</v>
      </c>
      <c r="H851" s="1644" t="e">
        <f t="shared" si="69"/>
        <v>#REF!</v>
      </c>
      <c r="I851" s="1597" t="e">
        <f t="shared" si="70"/>
        <v>#REF!</v>
      </c>
      <c r="J851" s="1644" t="e">
        <f t="shared" si="71"/>
        <v>#REF!</v>
      </c>
      <c r="M851" s="1545"/>
      <c r="N851" s="1545"/>
    </row>
    <row r="852" spans="1:14" ht="15.5">
      <c r="A852" s="1684" t="s">
        <v>4937</v>
      </c>
      <c r="B852" s="1703" t="s">
        <v>2695</v>
      </c>
      <c r="C852" s="1643" t="e">
        <f>+SUMIF(#REF!,Final!A852,#REF!)</f>
        <v>#REF!</v>
      </c>
      <c r="D852" s="1597" t="e">
        <f>+SUMIF(#REF!,Final!A852,#REF!)</f>
        <v>#REF!</v>
      </c>
      <c r="E852" s="1643" t="e">
        <f>SUMIF(#REF!,Final!A852,#REF!)</f>
        <v>#REF!</v>
      </c>
      <c r="F852" s="1644" t="e">
        <f>SUMIF(#REF!,Final!A852,#REF!)</f>
        <v>#REF!</v>
      </c>
      <c r="G852" s="1597" t="e">
        <f t="shared" si="68"/>
        <v>#REF!</v>
      </c>
      <c r="H852" s="1644" t="e">
        <f t="shared" si="69"/>
        <v>#REF!</v>
      </c>
      <c r="I852" s="1597" t="e">
        <f t="shared" si="70"/>
        <v>#REF!</v>
      </c>
      <c r="J852" s="1644" t="e">
        <f t="shared" si="71"/>
        <v>#REF!</v>
      </c>
      <c r="M852" s="1545"/>
      <c r="N852" s="1545"/>
    </row>
    <row r="853" spans="1:14" ht="15.5">
      <c r="A853" s="1684" t="s">
        <v>4938</v>
      </c>
      <c r="B853" s="1703" t="s">
        <v>2696</v>
      </c>
      <c r="C853" s="1643" t="e">
        <f>+SUMIF(#REF!,Final!A853,#REF!)</f>
        <v>#REF!</v>
      </c>
      <c r="D853" s="1597" t="e">
        <f>+SUMIF(#REF!,Final!A853,#REF!)</f>
        <v>#REF!</v>
      </c>
      <c r="E853" s="1643" t="e">
        <f>SUMIF(#REF!,Final!A853,#REF!)</f>
        <v>#REF!</v>
      </c>
      <c r="F853" s="1644" t="e">
        <f>SUMIF(#REF!,Final!A853,#REF!)</f>
        <v>#REF!</v>
      </c>
      <c r="G853" s="1597" t="e">
        <f t="shared" si="68"/>
        <v>#REF!</v>
      </c>
      <c r="H853" s="1644" t="e">
        <f t="shared" si="69"/>
        <v>#REF!</v>
      </c>
      <c r="I853" s="1597" t="e">
        <f t="shared" si="70"/>
        <v>#REF!</v>
      </c>
      <c r="J853" s="1644" t="e">
        <f t="shared" si="71"/>
        <v>#REF!</v>
      </c>
      <c r="M853" s="1545"/>
      <c r="N853" s="1545"/>
    </row>
    <row r="854" spans="1:14" ht="15.5">
      <c r="A854" s="1684" t="s">
        <v>4939</v>
      </c>
      <c r="B854" s="1703" t="s">
        <v>2697</v>
      </c>
      <c r="C854" s="1643" t="e">
        <f>+SUMIF(#REF!,Final!A854,#REF!)</f>
        <v>#REF!</v>
      </c>
      <c r="D854" s="1597" t="e">
        <f>+SUMIF(#REF!,Final!A854,#REF!)</f>
        <v>#REF!</v>
      </c>
      <c r="E854" s="1643" t="e">
        <f>SUMIF(#REF!,Final!A854,#REF!)</f>
        <v>#REF!</v>
      </c>
      <c r="F854" s="1644" t="e">
        <f>SUMIF(#REF!,Final!A854,#REF!)</f>
        <v>#REF!</v>
      </c>
      <c r="G854" s="1597" t="e">
        <f t="shared" si="68"/>
        <v>#REF!</v>
      </c>
      <c r="H854" s="1644" t="e">
        <f t="shared" si="69"/>
        <v>#REF!</v>
      </c>
      <c r="I854" s="1597" t="e">
        <f t="shared" si="70"/>
        <v>#REF!</v>
      </c>
      <c r="J854" s="1644" t="e">
        <f t="shared" si="71"/>
        <v>#REF!</v>
      </c>
      <c r="M854" s="1545"/>
      <c r="N854" s="1545"/>
    </row>
    <row r="855" spans="1:14" ht="15.5">
      <c r="A855" s="1684" t="s">
        <v>4940</v>
      </c>
      <c r="B855" s="1703" t="s">
        <v>2698</v>
      </c>
      <c r="C855" s="1643" t="e">
        <f>+SUMIF(#REF!,Final!A855,#REF!)</f>
        <v>#REF!</v>
      </c>
      <c r="D855" s="1597" t="e">
        <f>+SUMIF(#REF!,Final!A855,#REF!)</f>
        <v>#REF!</v>
      </c>
      <c r="E855" s="1643" t="e">
        <f>SUMIF(#REF!,Final!A855,#REF!)</f>
        <v>#REF!</v>
      </c>
      <c r="F855" s="1644" t="e">
        <f>SUMIF(#REF!,Final!A855,#REF!)</f>
        <v>#REF!</v>
      </c>
      <c r="G855" s="1597" t="e">
        <f t="shared" si="68"/>
        <v>#REF!</v>
      </c>
      <c r="H855" s="1644" t="e">
        <f t="shared" si="69"/>
        <v>#REF!</v>
      </c>
      <c r="I855" s="1597" t="e">
        <f t="shared" si="70"/>
        <v>#REF!</v>
      </c>
      <c r="J855" s="1644" t="e">
        <f t="shared" si="71"/>
        <v>#REF!</v>
      </c>
      <c r="M855" s="1545"/>
      <c r="N855" s="1545"/>
    </row>
    <row r="856" spans="1:14" ht="15.5">
      <c r="A856" s="1684" t="s">
        <v>4941</v>
      </c>
      <c r="B856" s="1703" t="s">
        <v>2699</v>
      </c>
      <c r="C856" s="1643" t="e">
        <f>+SUMIF(#REF!,Final!A856,#REF!)</f>
        <v>#REF!</v>
      </c>
      <c r="D856" s="1597" t="e">
        <f>+SUMIF(#REF!,Final!A856,#REF!)</f>
        <v>#REF!</v>
      </c>
      <c r="E856" s="1643" t="e">
        <f>SUMIF(#REF!,Final!A856,#REF!)</f>
        <v>#REF!</v>
      </c>
      <c r="F856" s="1644" t="e">
        <f>SUMIF(#REF!,Final!A856,#REF!)</f>
        <v>#REF!</v>
      </c>
      <c r="G856" s="1597" t="e">
        <f t="shared" si="68"/>
        <v>#REF!</v>
      </c>
      <c r="H856" s="1644" t="e">
        <f t="shared" si="69"/>
        <v>#REF!</v>
      </c>
      <c r="I856" s="1597" t="e">
        <f t="shared" si="70"/>
        <v>#REF!</v>
      </c>
      <c r="J856" s="1644" t="e">
        <f t="shared" si="71"/>
        <v>#REF!</v>
      </c>
      <c r="M856" s="1545"/>
      <c r="N856" s="1545"/>
    </row>
    <row r="857" spans="1:14" ht="15.5">
      <c r="A857" s="1684" t="s">
        <v>4942</v>
      </c>
      <c r="B857" s="1703" t="s">
        <v>2700</v>
      </c>
      <c r="C857" s="1643" t="e">
        <f>+SUMIF(#REF!,Final!A857,#REF!)</f>
        <v>#REF!</v>
      </c>
      <c r="D857" s="1597" t="e">
        <f>+SUMIF(#REF!,Final!A857,#REF!)</f>
        <v>#REF!</v>
      </c>
      <c r="E857" s="1643" t="e">
        <f>SUMIF(#REF!,Final!A857,#REF!)</f>
        <v>#REF!</v>
      </c>
      <c r="F857" s="1644" t="e">
        <f>SUMIF(#REF!,Final!A857,#REF!)</f>
        <v>#REF!</v>
      </c>
      <c r="G857" s="1597" t="e">
        <f t="shared" si="68"/>
        <v>#REF!</v>
      </c>
      <c r="H857" s="1644" t="e">
        <f t="shared" si="69"/>
        <v>#REF!</v>
      </c>
      <c r="I857" s="1597" t="e">
        <f t="shared" si="70"/>
        <v>#REF!</v>
      </c>
      <c r="J857" s="1644" t="e">
        <f t="shared" si="71"/>
        <v>#REF!</v>
      </c>
      <c r="M857" s="1545"/>
      <c r="N857" s="1545"/>
    </row>
    <row r="858" spans="1:14" ht="15.5">
      <c r="A858" s="1684" t="s">
        <v>4943</v>
      </c>
      <c r="B858" s="1703" t="s">
        <v>2701</v>
      </c>
      <c r="C858" s="1643" t="e">
        <f>+SUMIF(#REF!,Final!A858,#REF!)</f>
        <v>#REF!</v>
      </c>
      <c r="D858" s="1597" t="e">
        <f>+SUMIF(#REF!,Final!A858,#REF!)</f>
        <v>#REF!</v>
      </c>
      <c r="E858" s="1643" t="e">
        <f>SUMIF(#REF!,Final!A858,#REF!)</f>
        <v>#REF!</v>
      </c>
      <c r="F858" s="1644" t="e">
        <f>SUMIF(#REF!,Final!A858,#REF!)</f>
        <v>#REF!</v>
      </c>
      <c r="G858" s="1597" t="e">
        <f t="shared" si="68"/>
        <v>#REF!</v>
      </c>
      <c r="H858" s="1644" t="e">
        <f t="shared" si="69"/>
        <v>#REF!</v>
      </c>
      <c r="I858" s="1597" t="e">
        <f t="shared" si="70"/>
        <v>#REF!</v>
      </c>
      <c r="J858" s="1644" t="e">
        <f t="shared" si="71"/>
        <v>#REF!</v>
      </c>
      <c r="M858" s="1545"/>
      <c r="N858" s="1545"/>
    </row>
    <row r="859" spans="1:14" ht="15.5">
      <c r="A859" s="1684" t="s">
        <v>4944</v>
      </c>
      <c r="B859" s="1703" t="s">
        <v>2702</v>
      </c>
      <c r="C859" s="1643" t="e">
        <f>+SUMIF(#REF!,Final!A859,#REF!)</f>
        <v>#REF!</v>
      </c>
      <c r="D859" s="1597" t="e">
        <f>+SUMIF(#REF!,Final!A859,#REF!)</f>
        <v>#REF!</v>
      </c>
      <c r="E859" s="1643" t="e">
        <f>SUMIF(#REF!,Final!A859,#REF!)</f>
        <v>#REF!</v>
      </c>
      <c r="F859" s="1644" t="e">
        <f>SUMIF(#REF!,Final!A859,#REF!)</f>
        <v>#REF!</v>
      </c>
      <c r="G859" s="1597" t="e">
        <f t="shared" si="68"/>
        <v>#REF!</v>
      </c>
      <c r="H859" s="1644" t="e">
        <f t="shared" si="69"/>
        <v>#REF!</v>
      </c>
      <c r="I859" s="1597" t="e">
        <f t="shared" si="70"/>
        <v>#REF!</v>
      </c>
      <c r="J859" s="1644" t="e">
        <f t="shared" si="71"/>
        <v>#REF!</v>
      </c>
      <c r="M859" s="1545"/>
      <c r="N859" s="1545"/>
    </row>
    <row r="860" spans="1:14" ht="15.5">
      <c r="A860" s="1684" t="s">
        <v>4945</v>
      </c>
      <c r="B860" s="1703" t="s">
        <v>2703</v>
      </c>
      <c r="C860" s="1643" t="e">
        <f>+SUMIF(#REF!,Final!A860,#REF!)</f>
        <v>#REF!</v>
      </c>
      <c r="D860" s="1597" t="e">
        <f>+SUMIF(#REF!,Final!A860,#REF!)</f>
        <v>#REF!</v>
      </c>
      <c r="E860" s="1643" t="e">
        <f>SUMIF(#REF!,Final!A860,#REF!)</f>
        <v>#REF!</v>
      </c>
      <c r="F860" s="1644" t="e">
        <f>SUMIF(#REF!,Final!A860,#REF!)</f>
        <v>#REF!</v>
      </c>
      <c r="G860" s="1597" t="e">
        <f t="shared" ref="G860:G872" si="72">C860+E860</f>
        <v>#REF!</v>
      </c>
      <c r="H860" s="1644" t="e">
        <f t="shared" ref="H860:H872" si="73">D860+F860</f>
        <v>#REF!</v>
      </c>
      <c r="I860" s="1597" t="e">
        <f t="shared" ref="I860:I872" si="74">IF(G860&gt;H860,G860-H860,0)</f>
        <v>#REF!</v>
      </c>
      <c r="J860" s="1644" t="e">
        <f t="shared" ref="J860:J872" si="75">IF(H860&gt;G860,H860-G860,0)</f>
        <v>#REF!</v>
      </c>
      <c r="M860" s="1545"/>
      <c r="N860" s="1545"/>
    </row>
    <row r="861" spans="1:14" ht="15.5">
      <c r="A861" s="1786" t="s">
        <v>5220</v>
      </c>
      <c r="B861" s="1787" t="s">
        <v>2693</v>
      </c>
      <c r="C861" s="1643" t="e">
        <f>+SUMIF(#REF!,Final!A861,#REF!)</f>
        <v>#REF!</v>
      </c>
      <c r="D861" s="1597" t="e">
        <f>+SUMIF(#REF!,Final!A861,#REF!)</f>
        <v>#REF!</v>
      </c>
      <c r="E861" s="1643" t="e">
        <f>SUMIF(#REF!,Final!A861,#REF!)</f>
        <v>#REF!</v>
      </c>
      <c r="F861" s="1644" t="e">
        <f>SUMIF(#REF!,Final!A861,#REF!)</f>
        <v>#REF!</v>
      </c>
      <c r="G861" s="1597" t="e">
        <f t="shared" si="72"/>
        <v>#REF!</v>
      </c>
      <c r="H861" s="1644" t="e">
        <f t="shared" si="73"/>
        <v>#REF!</v>
      </c>
      <c r="I861" s="1597" t="e">
        <f t="shared" si="74"/>
        <v>#REF!</v>
      </c>
      <c r="J861" s="1644" t="e">
        <f t="shared" si="75"/>
        <v>#REF!</v>
      </c>
      <c r="M861" s="1545"/>
      <c r="N861" s="1545"/>
    </row>
    <row r="862" spans="1:14" ht="15.5">
      <c r="A862" s="1786" t="s">
        <v>5221</v>
      </c>
      <c r="B862" s="1787" t="s">
        <v>2694</v>
      </c>
      <c r="C862" s="1643" t="e">
        <f>+SUMIF(#REF!,Final!A862,#REF!)</f>
        <v>#REF!</v>
      </c>
      <c r="D862" s="1597" t="e">
        <f>+SUMIF(#REF!,Final!A862,#REF!)</f>
        <v>#REF!</v>
      </c>
      <c r="E862" s="1643" t="e">
        <f>SUMIF(#REF!,Final!A862,#REF!)</f>
        <v>#REF!</v>
      </c>
      <c r="F862" s="1644" t="e">
        <f>SUMIF(#REF!,Final!A862,#REF!)</f>
        <v>#REF!</v>
      </c>
      <c r="G862" s="1597" t="e">
        <f t="shared" si="72"/>
        <v>#REF!</v>
      </c>
      <c r="H862" s="1644" t="e">
        <f t="shared" si="73"/>
        <v>#REF!</v>
      </c>
      <c r="I862" s="1597" t="e">
        <f t="shared" si="74"/>
        <v>#REF!</v>
      </c>
      <c r="J862" s="1644" t="e">
        <f t="shared" si="75"/>
        <v>#REF!</v>
      </c>
      <c r="M862" s="1545"/>
      <c r="N862" s="1545"/>
    </row>
    <row r="863" spans="1:14" ht="15.5">
      <c r="A863" s="1786" t="s">
        <v>5222</v>
      </c>
      <c r="B863" s="1787" t="s">
        <v>2695</v>
      </c>
      <c r="C863" s="1643" t="e">
        <f>+SUMIF(#REF!,Final!A863,#REF!)</f>
        <v>#REF!</v>
      </c>
      <c r="D863" s="1597" t="e">
        <f>+SUMIF(#REF!,Final!A863,#REF!)</f>
        <v>#REF!</v>
      </c>
      <c r="E863" s="1643" t="e">
        <f>SUMIF(#REF!,Final!A863,#REF!)</f>
        <v>#REF!</v>
      </c>
      <c r="F863" s="1644" t="e">
        <f>SUMIF(#REF!,Final!A863,#REF!)</f>
        <v>#REF!</v>
      </c>
      <c r="G863" s="1597" t="e">
        <f t="shared" si="72"/>
        <v>#REF!</v>
      </c>
      <c r="H863" s="1644" t="e">
        <f t="shared" si="73"/>
        <v>#REF!</v>
      </c>
      <c r="I863" s="1597" t="e">
        <f t="shared" si="74"/>
        <v>#REF!</v>
      </c>
      <c r="J863" s="1644" t="e">
        <f t="shared" si="75"/>
        <v>#REF!</v>
      </c>
      <c r="M863" s="1545"/>
      <c r="N863" s="1545"/>
    </row>
    <row r="864" spans="1:14" ht="15.5">
      <c r="A864" s="1786" t="s">
        <v>5223</v>
      </c>
      <c r="B864" s="1787" t="s">
        <v>2696</v>
      </c>
      <c r="C864" s="1643" t="e">
        <f>+SUMIF(#REF!,Final!A864,#REF!)</f>
        <v>#REF!</v>
      </c>
      <c r="D864" s="1597" t="e">
        <f>+SUMIF(#REF!,Final!A864,#REF!)</f>
        <v>#REF!</v>
      </c>
      <c r="E864" s="1643" t="e">
        <f>SUMIF(#REF!,Final!A864,#REF!)</f>
        <v>#REF!</v>
      </c>
      <c r="F864" s="1644" t="e">
        <f>SUMIF(#REF!,Final!A864,#REF!)</f>
        <v>#REF!</v>
      </c>
      <c r="G864" s="1597" t="e">
        <f t="shared" si="72"/>
        <v>#REF!</v>
      </c>
      <c r="H864" s="1644" t="e">
        <f t="shared" si="73"/>
        <v>#REF!</v>
      </c>
      <c r="I864" s="1597" t="e">
        <f t="shared" si="74"/>
        <v>#REF!</v>
      </c>
      <c r="J864" s="1644" t="e">
        <f t="shared" si="75"/>
        <v>#REF!</v>
      </c>
      <c r="M864" s="1545"/>
      <c r="N864" s="1545"/>
    </row>
    <row r="865" spans="1:93" ht="15.5">
      <c r="A865" s="1786" t="s">
        <v>5224</v>
      </c>
      <c r="B865" s="1787" t="s">
        <v>2697</v>
      </c>
      <c r="C865" s="1643" t="e">
        <f>+SUMIF(#REF!,Final!A865,#REF!)</f>
        <v>#REF!</v>
      </c>
      <c r="D865" s="1597" t="e">
        <f>+SUMIF(#REF!,Final!A865,#REF!)</f>
        <v>#REF!</v>
      </c>
      <c r="E865" s="1643" t="e">
        <f>SUMIF(#REF!,Final!A865,#REF!)</f>
        <v>#REF!</v>
      </c>
      <c r="F865" s="1644" t="e">
        <f>SUMIF(#REF!,Final!A865,#REF!)</f>
        <v>#REF!</v>
      </c>
      <c r="G865" s="1597" t="e">
        <f t="shared" si="72"/>
        <v>#REF!</v>
      </c>
      <c r="H865" s="1644" t="e">
        <f t="shared" si="73"/>
        <v>#REF!</v>
      </c>
      <c r="I865" s="1597" t="e">
        <f t="shared" si="74"/>
        <v>#REF!</v>
      </c>
      <c r="J865" s="1644" t="e">
        <f t="shared" si="75"/>
        <v>#REF!</v>
      </c>
      <c r="M865" s="1545"/>
      <c r="N865" s="1545"/>
    </row>
    <row r="866" spans="1:93" ht="15.5">
      <c r="A866" s="1786" t="s">
        <v>5225</v>
      </c>
      <c r="B866" s="1787" t="s">
        <v>2698</v>
      </c>
      <c r="C866" s="1643" t="e">
        <f>+SUMIF(#REF!,Final!A866,#REF!)</f>
        <v>#REF!</v>
      </c>
      <c r="D866" s="1597" t="e">
        <f>+SUMIF(#REF!,Final!A866,#REF!)</f>
        <v>#REF!</v>
      </c>
      <c r="E866" s="1643" t="e">
        <f>SUMIF(#REF!,Final!A866,#REF!)</f>
        <v>#REF!</v>
      </c>
      <c r="F866" s="1644" t="e">
        <f>SUMIF(#REF!,Final!A866,#REF!)</f>
        <v>#REF!</v>
      </c>
      <c r="G866" s="1597" t="e">
        <f t="shared" si="72"/>
        <v>#REF!</v>
      </c>
      <c r="H866" s="1644" t="e">
        <f t="shared" si="73"/>
        <v>#REF!</v>
      </c>
      <c r="I866" s="1597" t="e">
        <f t="shared" si="74"/>
        <v>#REF!</v>
      </c>
      <c r="J866" s="1644" t="e">
        <f t="shared" si="75"/>
        <v>#REF!</v>
      </c>
      <c r="M866" s="1545"/>
      <c r="N866" s="1545"/>
    </row>
    <row r="867" spans="1:93" ht="15.5">
      <c r="A867" s="1786" t="s">
        <v>5226</v>
      </c>
      <c r="B867" s="1787" t="s">
        <v>2699</v>
      </c>
      <c r="C867" s="1643" t="e">
        <f>+SUMIF(#REF!,Final!A867,#REF!)</f>
        <v>#REF!</v>
      </c>
      <c r="D867" s="1597" t="e">
        <f>+SUMIF(#REF!,Final!A867,#REF!)</f>
        <v>#REF!</v>
      </c>
      <c r="E867" s="1643" t="e">
        <f>SUMIF(#REF!,Final!A867,#REF!)</f>
        <v>#REF!</v>
      </c>
      <c r="F867" s="1644" t="e">
        <f>SUMIF(#REF!,Final!A867,#REF!)</f>
        <v>#REF!</v>
      </c>
      <c r="G867" s="1597" t="e">
        <f t="shared" si="72"/>
        <v>#REF!</v>
      </c>
      <c r="H867" s="1644" t="e">
        <f t="shared" si="73"/>
        <v>#REF!</v>
      </c>
      <c r="I867" s="1597" t="e">
        <f t="shared" si="74"/>
        <v>#REF!</v>
      </c>
      <c r="J867" s="1644" t="e">
        <f t="shared" si="75"/>
        <v>#REF!</v>
      </c>
      <c r="M867" s="1545"/>
      <c r="N867" s="1545"/>
    </row>
    <row r="868" spans="1:93" ht="15.5">
      <c r="A868" s="1786" t="s">
        <v>5227</v>
      </c>
      <c r="B868" s="1787" t="s">
        <v>2700</v>
      </c>
      <c r="C868" s="1643" t="e">
        <f>+SUMIF(#REF!,Final!A868,#REF!)</f>
        <v>#REF!</v>
      </c>
      <c r="D868" s="1597" t="e">
        <f>+SUMIF(#REF!,Final!A868,#REF!)</f>
        <v>#REF!</v>
      </c>
      <c r="E868" s="1643" t="e">
        <f>SUMIF(#REF!,Final!A868,#REF!)</f>
        <v>#REF!</v>
      </c>
      <c r="F868" s="1644" t="e">
        <f>SUMIF(#REF!,Final!A868,#REF!)</f>
        <v>#REF!</v>
      </c>
      <c r="G868" s="1597" t="e">
        <f t="shared" si="72"/>
        <v>#REF!</v>
      </c>
      <c r="H868" s="1644" t="e">
        <f t="shared" si="73"/>
        <v>#REF!</v>
      </c>
      <c r="I868" s="1597" t="e">
        <f t="shared" si="74"/>
        <v>#REF!</v>
      </c>
      <c r="J868" s="1644" t="e">
        <f t="shared" si="75"/>
        <v>#REF!</v>
      </c>
      <c r="M868" s="1545"/>
      <c r="N868" s="1545"/>
    </row>
    <row r="869" spans="1:93" ht="15.5">
      <c r="A869" s="1786" t="s">
        <v>5228</v>
      </c>
      <c r="B869" s="1787" t="s">
        <v>2701</v>
      </c>
      <c r="C869" s="1643" t="e">
        <f>+SUMIF(#REF!,Final!A869,#REF!)</f>
        <v>#REF!</v>
      </c>
      <c r="D869" s="1597" t="e">
        <f>+SUMIF(#REF!,Final!A869,#REF!)</f>
        <v>#REF!</v>
      </c>
      <c r="E869" s="1643" t="e">
        <f>SUMIF(#REF!,Final!A869,#REF!)</f>
        <v>#REF!</v>
      </c>
      <c r="F869" s="1644" t="e">
        <f>SUMIF(#REF!,Final!A869,#REF!)</f>
        <v>#REF!</v>
      </c>
      <c r="G869" s="1597" t="e">
        <f t="shared" si="72"/>
        <v>#REF!</v>
      </c>
      <c r="H869" s="1644" t="e">
        <f t="shared" si="73"/>
        <v>#REF!</v>
      </c>
      <c r="I869" s="1597" t="e">
        <f t="shared" si="74"/>
        <v>#REF!</v>
      </c>
      <c r="J869" s="1644" t="e">
        <f t="shared" si="75"/>
        <v>#REF!</v>
      </c>
      <c r="M869" s="1545"/>
      <c r="N869" s="1545"/>
    </row>
    <row r="870" spans="1:93" ht="15.5">
      <c r="A870" s="1786" t="s">
        <v>5229</v>
      </c>
      <c r="B870" s="1787" t="s">
        <v>2702</v>
      </c>
      <c r="C870" s="1643" t="e">
        <f>+SUMIF(#REF!,Final!A870,#REF!)</f>
        <v>#REF!</v>
      </c>
      <c r="D870" s="1597" t="e">
        <f>+SUMIF(#REF!,Final!A870,#REF!)</f>
        <v>#REF!</v>
      </c>
      <c r="E870" s="1643" t="e">
        <f>SUMIF(#REF!,Final!A870,#REF!)</f>
        <v>#REF!</v>
      </c>
      <c r="F870" s="1644" t="e">
        <f>SUMIF(#REF!,Final!A870,#REF!)</f>
        <v>#REF!</v>
      </c>
      <c r="G870" s="1597" t="e">
        <f t="shared" si="72"/>
        <v>#REF!</v>
      </c>
      <c r="H870" s="1644" t="e">
        <f t="shared" si="73"/>
        <v>#REF!</v>
      </c>
      <c r="I870" s="1597" t="e">
        <f t="shared" si="74"/>
        <v>#REF!</v>
      </c>
      <c r="J870" s="1644" t="e">
        <f t="shared" si="75"/>
        <v>#REF!</v>
      </c>
      <c r="M870" s="1545"/>
      <c r="N870" s="1545"/>
    </row>
    <row r="871" spans="1:93" ht="15.5">
      <c r="A871" s="1786" t="s">
        <v>5230</v>
      </c>
      <c r="B871" s="1787" t="s">
        <v>2703</v>
      </c>
      <c r="C871" s="1643" t="e">
        <f>+SUMIF(#REF!,Final!A871,#REF!)</f>
        <v>#REF!</v>
      </c>
      <c r="D871" s="1597" t="e">
        <f>+SUMIF(#REF!,Final!A871,#REF!)</f>
        <v>#REF!</v>
      </c>
      <c r="E871" s="1643" t="e">
        <f>SUMIF(#REF!,Final!A871,#REF!)</f>
        <v>#REF!</v>
      </c>
      <c r="F871" s="1644" t="e">
        <f>SUMIF(#REF!,Final!A871,#REF!)</f>
        <v>#REF!</v>
      </c>
      <c r="G871" s="1597" t="e">
        <f t="shared" si="72"/>
        <v>#REF!</v>
      </c>
      <c r="H871" s="1644" t="e">
        <f t="shared" si="73"/>
        <v>#REF!</v>
      </c>
      <c r="I871" s="1597" t="e">
        <f t="shared" si="74"/>
        <v>#REF!</v>
      </c>
      <c r="J871" s="1644" t="e">
        <f t="shared" si="75"/>
        <v>#REF!</v>
      </c>
      <c r="M871" s="1545"/>
      <c r="N871" s="1545"/>
    </row>
    <row r="872" spans="1:93" s="1552" customFormat="1" ht="15.5">
      <c r="A872" s="1598"/>
      <c r="B872" s="1599" t="s">
        <v>1747</v>
      </c>
      <c r="C872" s="1643" t="e">
        <f>+SUMIF(#REF!,Final!A872,#REF!)</f>
        <v>#REF!</v>
      </c>
      <c r="D872" s="1597" t="e">
        <f>+SUMIF(#REF!,Final!A872,#REF!)</f>
        <v>#REF!</v>
      </c>
      <c r="E872" s="1643" t="e">
        <f>SUMIF(#REF!,Final!A872,#REF!)</f>
        <v>#REF!</v>
      </c>
      <c r="F872" s="1644" t="e">
        <f>SUMIF(#REF!,Final!A872,#REF!)</f>
        <v>#REF!</v>
      </c>
      <c r="G872" s="1597" t="e">
        <f t="shared" si="72"/>
        <v>#REF!</v>
      </c>
      <c r="H872" s="1644" t="e">
        <f t="shared" si="73"/>
        <v>#REF!</v>
      </c>
      <c r="I872" s="1597" t="e">
        <f t="shared" si="74"/>
        <v>#REF!</v>
      </c>
      <c r="J872" s="1644" t="e">
        <f t="shared" si="75"/>
        <v>#REF!</v>
      </c>
      <c r="K872" s="1539"/>
      <c r="L872" s="1539"/>
      <c r="M872" s="1545"/>
      <c r="N872" s="1545"/>
      <c r="O872" s="1539"/>
      <c r="P872" s="1539"/>
      <c r="Q872" s="1539"/>
      <c r="R872" s="1539"/>
      <c r="S872" s="1539"/>
      <c r="T872" s="1539"/>
      <c r="U872" s="1539"/>
      <c r="V872" s="1539"/>
      <c r="W872" s="1539"/>
      <c r="X872" s="1539"/>
      <c r="Y872" s="1539"/>
      <c r="Z872" s="1539"/>
      <c r="AA872" s="1539"/>
      <c r="AB872" s="1539"/>
      <c r="AC872" s="1539"/>
      <c r="AD872" s="1539"/>
      <c r="AE872" s="1539"/>
      <c r="AF872" s="1539"/>
      <c r="AG872" s="1539"/>
      <c r="AH872" s="1539"/>
      <c r="AI872" s="1539"/>
      <c r="AJ872" s="1539"/>
      <c r="AK872" s="1539"/>
      <c r="AL872" s="1539"/>
      <c r="AM872" s="1539"/>
      <c r="AN872" s="1539"/>
      <c r="AO872" s="1539"/>
      <c r="AP872" s="1539"/>
      <c r="AQ872" s="1539"/>
      <c r="AR872" s="1539"/>
      <c r="AS872" s="1539"/>
      <c r="AT872" s="1539"/>
      <c r="AU872" s="1539"/>
      <c r="AV872" s="1539"/>
      <c r="AW872" s="1539"/>
      <c r="AX872" s="1539"/>
      <c r="AY872" s="1539"/>
      <c r="AZ872" s="1539"/>
      <c r="BA872" s="1539"/>
      <c r="BB872" s="1539"/>
      <c r="BC872" s="1539"/>
      <c r="BD872" s="1539"/>
      <c r="BE872" s="1539"/>
      <c r="BF872" s="1539"/>
      <c r="BG872" s="1539"/>
      <c r="BH872" s="1539"/>
      <c r="BI872" s="1539"/>
      <c r="BJ872" s="1539"/>
      <c r="BK872" s="1539"/>
      <c r="BL872" s="1539"/>
      <c r="BM872" s="1539"/>
      <c r="BN872" s="1539"/>
      <c r="BO872" s="1539"/>
      <c r="BP872" s="1539"/>
      <c r="BQ872" s="1539"/>
      <c r="BR872" s="1539"/>
      <c r="BS872" s="1539"/>
      <c r="BT872" s="1539"/>
      <c r="BU872" s="1539"/>
      <c r="BV872" s="1539"/>
      <c r="BW872" s="1539"/>
      <c r="BX872" s="1539"/>
      <c r="BY872" s="1539"/>
      <c r="BZ872" s="1539"/>
      <c r="CA872" s="1539"/>
      <c r="CB872" s="1539"/>
      <c r="CC872" s="1539"/>
      <c r="CD872" s="1539"/>
      <c r="CE872" s="1539"/>
      <c r="CF872" s="1539"/>
      <c r="CG872" s="1539"/>
      <c r="CH872" s="1539"/>
      <c r="CI872" s="1539"/>
      <c r="CJ872" s="1539"/>
      <c r="CK872" s="1539"/>
      <c r="CL872" s="1539"/>
      <c r="CM872" s="1539"/>
      <c r="CN872" s="1539"/>
      <c r="CO872" s="1539"/>
    </row>
    <row r="873" spans="1:93" s="1552" customFormat="1" ht="15.5">
      <c r="A873" s="1598"/>
      <c r="B873" s="1599" t="s">
        <v>1760</v>
      </c>
      <c r="C873" s="1643" t="e">
        <f>+SUMIF(#REF!,Final!A873,#REF!)</f>
        <v>#REF!</v>
      </c>
      <c r="D873" s="1597" t="e">
        <f>+SUMIF(#REF!,Final!A873,#REF!)</f>
        <v>#REF!</v>
      </c>
      <c r="E873" s="1643" t="e">
        <f>SUMIF(#REF!,Final!A873,#REF!)</f>
        <v>#REF!</v>
      </c>
      <c r="F873" s="1644" t="e">
        <f>SUMIF(#REF!,Final!A873,#REF!)</f>
        <v>#REF!</v>
      </c>
      <c r="G873" s="1597" t="e">
        <f t="shared" si="68"/>
        <v>#REF!</v>
      </c>
      <c r="H873" s="1644" t="e">
        <f t="shared" si="69"/>
        <v>#REF!</v>
      </c>
      <c r="I873" s="1597" t="e">
        <f t="shared" si="70"/>
        <v>#REF!</v>
      </c>
      <c r="J873" s="1644" t="e">
        <f t="shared" si="71"/>
        <v>#REF!</v>
      </c>
      <c r="K873" s="1539"/>
      <c r="L873" s="1539"/>
      <c r="M873" s="1545"/>
      <c r="N873" s="1545"/>
      <c r="O873" s="1539"/>
      <c r="P873" s="1539"/>
      <c r="Q873" s="1539"/>
      <c r="R873" s="1539"/>
      <c r="S873" s="1539"/>
      <c r="T873" s="1539"/>
      <c r="U873" s="1539"/>
      <c r="V873" s="1539"/>
      <c r="W873" s="1539"/>
      <c r="X873" s="1539"/>
      <c r="Y873" s="1539"/>
      <c r="Z873" s="1539"/>
      <c r="AA873" s="1539"/>
      <c r="AB873" s="1539"/>
      <c r="AC873" s="1539"/>
      <c r="AD873" s="1539"/>
      <c r="AE873" s="1539"/>
      <c r="AF873" s="1539"/>
      <c r="AG873" s="1539"/>
      <c r="AH873" s="1539"/>
      <c r="AI873" s="1539"/>
      <c r="AJ873" s="1539"/>
      <c r="AK873" s="1539"/>
      <c r="AL873" s="1539"/>
      <c r="AM873" s="1539"/>
      <c r="AN873" s="1539"/>
      <c r="AO873" s="1539"/>
      <c r="AP873" s="1539"/>
      <c r="AQ873" s="1539"/>
      <c r="AR873" s="1539"/>
      <c r="AS873" s="1539"/>
      <c r="AT873" s="1539"/>
      <c r="AU873" s="1539"/>
      <c r="AV873" s="1539"/>
      <c r="AW873" s="1539"/>
      <c r="AX873" s="1539"/>
      <c r="AY873" s="1539"/>
      <c r="AZ873" s="1539"/>
      <c r="BA873" s="1539"/>
      <c r="BB873" s="1539"/>
      <c r="BC873" s="1539"/>
      <c r="BD873" s="1539"/>
      <c r="BE873" s="1539"/>
      <c r="BF873" s="1539"/>
      <c r="BG873" s="1539"/>
      <c r="BH873" s="1539"/>
      <c r="BI873" s="1539"/>
      <c r="BJ873" s="1539"/>
      <c r="BK873" s="1539"/>
      <c r="BL873" s="1539"/>
      <c r="BM873" s="1539"/>
      <c r="BN873" s="1539"/>
      <c r="BO873" s="1539"/>
      <c r="BP873" s="1539"/>
      <c r="BQ873" s="1539"/>
      <c r="BR873" s="1539"/>
      <c r="BS873" s="1539"/>
      <c r="BT873" s="1539"/>
      <c r="BU873" s="1539"/>
      <c r="BV873" s="1539"/>
      <c r="BW873" s="1539"/>
      <c r="BX873" s="1539"/>
      <c r="BY873" s="1539"/>
      <c r="BZ873" s="1539"/>
      <c r="CA873" s="1539"/>
      <c r="CB873" s="1539"/>
      <c r="CC873" s="1539"/>
      <c r="CD873" s="1539"/>
      <c r="CE873" s="1539"/>
      <c r="CF873" s="1539"/>
      <c r="CG873" s="1539"/>
      <c r="CH873" s="1539"/>
      <c r="CI873" s="1539"/>
      <c r="CJ873" s="1539"/>
      <c r="CK873" s="1539"/>
      <c r="CL873" s="1539"/>
      <c r="CM873" s="1539"/>
      <c r="CN873" s="1539"/>
      <c r="CO873" s="1539"/>
    </row>
    <row r="874" spans="1:93" s="1542" customFormat="1" ht="15.5">
      <c r="A874" s="1598" t="s">
        <v>544</v>
      </c>
      <c r="B874" s="1599" t="s">
        <v>2641</v>
      </c>
      <c r="C874" s="1643" t="e">
        <f>+SUMIF(#REF!,Final!A874,#REF!)</f>
        <v>#REF!</v>
      </c>
      <c r="D874" s="1597" t="e">
        <f>+SUMIF(#REF!,Final!A874,#REF!)</f>
        <v>#REF!</v>
      </c>
      <c r="E874" s="1643" t="e">
        <f>SUMIF(#REF!,Final!A874,#REF!)</f>
        <v>#REF!</v>
      </c>
      <c r="F874" s="1644" t="e">
        <f>SUMIF(#REF!,Final!A874,#REF!)</f>
        <v>#REF!</v>
      </c>
      <c r="G874" s="1597" t="e">
        <f t="shared" si="68"/>
        <v>#REF!</v>
      </c>
      <c r="H874" s="1644" t="e">
        <f t="shared" si="69"/>
        <v>#REF!</v>
      </c>
      <c r="I874" s="1597" t="e">
        <f t="shared" si="70"/>
        <v>#REF!</v>
      </c>
      <c r="J874" s="1644" t="e">
        <f t="shared" si="71"/>
        <v>#REF!</v>
      </c>
      <c r="K874" s="1539"/>
      <c r="L874" s="1539"/>
      <c r="M874" s="1545"/>
      <c r="N874" s="1545"/>
      <c r="O874" s="1539"/>
      <c r="P874" s="1539"/>
      <c r="Q874" s="1539"/>
      <c r="R874" s="1539"/>
      <c r="S874" s="1539"/>
      <c r="T874" s="1539"/>
      <c r="U874" s="1539"/>
      <c r="V874" s="1539"/>
      <c r="W874" s="1539"/>
      <c r="X874" s="1539"/>
      <c r="Y874" s="1539"/>
      <c r="Z874" s="1539"/>
      <c r="AA874" s="1539"/>
      <c r="AB874" s="1539"/>
      <c r="AC874" s="1539"/>
      <c r="AD874" s="1539"/>
      <c r="AE874" s="1539"/>
      <c r="AF874" s="1539"/>
      <c r="AG874" s="1539"/>
      <c r="AH874" s="1539"/>
      <c r="AI874" s="1539"/>
      <c r="AJ874" s="1539"/>
      <c r="AK874" s="1539"/>
      <c r="AL874" s="1539"/>
      <c r="AM874" s="1539"/>
      <c r="AN874" s="1539"/>
      <c r="AO874" s="1539"/>
      <c r="AP874" s="1539"/>
      <c r="AQ874" s="1539"/>
      <c r="AR874" s="1539"/>
      <c r="AS874" s="1539"/>
      <c r="AT874" s="1539"/>
      <c r="AU874" s="1539"/>
      <c r="AV874" s="1539"/>
      <c r="AW874" s="1539"/>
      <c r="AX874" s="1539"/>
      <c r="AY874" s="1539"/>
      <c r="AZ874" s="1539"/>
      <c r="BA874" s="1539"/>
      <c r="BB874" s="1539"/>
      <c r="BC874" s="1539"/>
      <c r="BD874" s="1539"/>
      <c r="BE874" s="1539"/>
      <c r="BF874" s="1539"/>
      <c r="BG874" s="1539"/>
      <c r="BH874" s="1539"/>
      <c r="BI874" s="1539"/>
      <c r="BJ874" s="1539"/>
      <c r="BK874" s="1539"/>
      <c r="BL874" s="1539"/>
      <c r="BM874" s="1539"/>
      <c r="BN874" s="1539"/>
      <c r="BO874" s="1539"/>
      <c r="BP874" s="1539"/>
      <c r="BQ874" s="1539"/>
      <c r="BR874" s="1539"/>
      <c r="BS874" s="1539"/>
      <c r="BT874" s="1539"/>
      <c r="BU874" s="1539"/>
      <c r="BV874" s="1539"/>
      <c r="BW874" s="1539"/>
      <c r="BX874" s="1539"/>
      <c r="BY874" s="1539"/>
      <c r="BZ874" s="1539"/>
      <c r="CA874" s="1539"/>
      <c r="CB874" s="1539"/>
      <c r="CC874" s="1539"/>
      <c r="CD874" s="1539"/>
      <c r="CE874" s="1539"/>
      <c r="CF874" s="1539"/>
      <c r="CG874" s="1539"/>
      <c r="CH874" s="1539"/>
      <c r="CI874" s="1539"/>
      <c r="CJ874" s="1539"/>
      <c r="CK874" s="1539"/>
      <c r="CL874" s="1539"/>
      <c r="CM874" s="1539"/>
      <c r="CN874" s="1539"/>
      <c r="CO874" s="1539"/>
    </row>
    <row r="875" spans="1:93" s="1542" customFormat="1" ht="15.5">
      <c r="A875" s="1598" t="s">
        <v>637</v>
      </c>
      <c r="B875" s="1599" t="s">
        <v>1282</v>
      </c>
      <c r="C875" s="1643" t="e">
        <f>+SUMIF(#REF!,Final!A875,#REF!)</f>
        <v>#REF!</v>
      </c>
      <c r="D875" s="1597" t="e">
        <f>+SUMIF(#REF!,Final!A875,#REF!)</f>
        <v>#REF!</v>
      </c>
      <c r="E875" s="1643" t="e">
        <f>SUMIF(#REF!,Final!A875,#REF!)</f>
        <v>#REF!</v>
      </c>
      <c r="F875" s="1644" t="e">
        <f>SUMIF(#REF!,Final!A875,#REF!)</f>
        <v>#REF!</v>
      </c>
      <c r="G875" s="1597" t="e">
        <f t="shared" si="68"/>
        <v>#REF!</v>
      </c>
      <c r="H875" s="1644" t="e">
        <f t="shared" si="69"/>
        <v>#REF!</v>
      </c>
      <c r="I875" s="1597" t="e">
        <f t="shared" si="70"/>
        <v>#REF!</v>
      </c>
      <c r="J875" s="1644" t="e">
        <f t="shared" si="71"/>
        <v>#REF!</v>
      </c>
      <c r="K875" s="1539"/>
      <c r="L875" s="1539"/>
      <c r="M875" s="1545"/>
      <c r="N875" s="1545"/>
      <c r="O875" s="1539"/>
      <c r="P875" s="1539"/>
      <c r="Q875" s="1539"/>
      <c r="R875" s="1539"/>
      <c r="S875" s="1539"/>
      <c r="T875" s="1539"/>
      <c r="U875" s="1539"/>
      <c r="V875" s="1539"/>
      <c r="W875" s="1539"/>
      <c r="X875" s="1539"/>
      <c r="Y875" s="1539"/>
      <c r="Z875" s="1539"/>
      <c r="AA875" s="1539"/>
      <c r="AB875" s="1539"/>
      <c r="AC875" s="1539"/>
      <c r="AD875" s="1539"/>
      <c r="AE875" s="1539"/>
      <c r="AF875" s="1539"/>
      <c r="AG875" s="1539"/>
      <c r="AH875" s="1539"/>
      <c r="AI875" s="1539"/>
      <c r="AJ875" s="1539"/>
      <c r="AK875" s="1539"/>
      <c r="AL875" s="1539"/>
      <c r="AM875" s="1539"/>
      <c r="AN875" s="1539"/>
      <c r="AO875" s="1539"/>
      <c r="AP875" s="1539"/>
      <c r="AQ875" s="1539"/>
      <c r="AR875" s="1539"/>
      <c r="AS875" s="1539"/>
      <c r="AT875" s="1539"/>
      <c r="AU875" s="1539"/>
      <c r="AV875" s="1539"/>
      <c r="AW875" s="1539"/>
      <c r="AX875" s="1539"/>
      <c r="AY875" s="1539"/>
      <c r="AZ875" s="1539"/>
      <c r="BA875" s="1539"/>
      <c r="BB875" s="1539"/>
      <c r="BC875" s="1539"/>
      <c r="BD875" s="1539"/>
      <c r="BE875" s="1539"/>
      <c r="BF875" s="1539"/>
      <c r="BG875" s="1539"/>
      <c r="BH875" s="1539"/>
      <c r="BI875" s="1539"/>
      <c r="BJ875" s="1539"/>
      <c r="BK875" s="1539"/>
      <c r="BL875" s="1539"/>
      <c r="BM875" s="1539"/>
      <c r="BN875" s="1539"/>
      <c r="BO875" s="1539"/>
      <c r="BP875" s="1539"/>
      <c r="BQ875" s="1539"/>
      <c r="BR875" s="1539"/>
      <c r="BS875" s="1539"/>
      <c r="BT875" s="1539"/>
      <c r="BU875" s="1539"/>
      <c r="BV875" s="1539"/>
      <c r="BW875" s="1539"/>
      <c r="BX875" s="1539"/>
      <c r="BY875" s="1539"/>
      <c r="BZ875" s="1539"/>
      <c r="CA875" s="1539"/>
      <c r="CB875" s="1539"/>
      <c r="CC875" s="1539"/>
      <c r="CD875" s="1539"/>
      <c r="CE875" s="1539"/>
      <c r="CF875" s="1539"/>
      <c r="CG875" s="1539"/>
      <c r="CH875" s="1539"/>
      <c r="CI875" s="1539"/>
      <c r="CJ875" s="1539"/>
      <c r="CK875" s="1539"/>
      <c r="CL875" s="1539"/>
      <c r="CM875" s="1539"/>
      <c r="CN875" s="1539"/>
      <c r="CO875" s="1539"/>
    </row>
    <row r="876" spans="1:93" ht="15.5">
      <c r="A876" s="1598">
        <v>22.620999999999999</v>
      </c>
      <c r="B876" s="1599" t="s">
        <v>2704</v>
      </c>
      <c r="C876" s="1643" t="e">
        <f>+SUMIF(#REF!,Final!A876,#REF!)</f>
        <v>#REF!</v>
      </c>
      <c r="D876" s="1597" t="e">
        <f>+SUMIF(#REF!,Final!A876,#REF!)</f>
        <v>#REF!</v>
      </c>
      <c r="E876" s="1643" t="e">
        <f>SUMIF(#REF!,Final!A876,#REF!)</f>
        <v>#REF!</v>
      </c>
      <c r="F876" s="1644" t="e">
        <f>SUMIF(#REF!,Final!A876,#REF!)</f>
        <v>#REF!</v>
      </c>
      <c r="G876" s="1597" t="e">
        <f t="shared" si="68"/>
        <v>#REF!</v>
      </c>
      <c r="H876" s="1644" t="e">
        <f t="shared" si="69"/>
        <v>#REF!</v>
      </c>
      <c r="I876" s="1597" t="e">
        <f t="shared" si="70"/>
        <v>#REF!</v>
      </c>
      <c r="J876" s="1644" t="e">
        <f t="shared" si="71"/>
        <v>#REF!</v>
      </c>
      <c r="M876" s="1545"/>
      <c r="N876" s="1545"/>
    </row>
    <row r="877" spans="1:93" ht="15.5">
      <c r="A877" s="1598">
        <v>22.623000000000001</v>
      </c>
      <c r="B877" s="1599" t="s">
        <v>2705</v>
      </c>
      <c r="C877" s="1643" t="e">
        <f>+SUMIF(#REF!,Final!A877,#REF!)</f>
        <v>#REF!</v>
      </c>
      <c r="D877" s="1597" t="e">
        <f>+SUMIF(#REF!,Final!A877,#REF!)</f>
        <v>#REF!</v>
      </c>
      <c r="E877" s="1643" t="e">
        <f>SUMIF(#REF!,Final!A877,#REF!)</f>
        <v>#REF!</v>
      </c>
      <c r="F877" s="1644" t="e">
        <f>SUMIF(#REF!,Final!A877,#REF!)</f>
        <v>#REF!</v>
      </c>
      <c r="G877" s="1597" t="e">
        <f t="shared" si="68"/>
        <v>#REF!</v>
      </c>
      <c r="H877" s="1644" t="e">
        <f t="shared" si="69"/>
        <v>#REF!</v>
      </c>
      <c r="I877" s="1597" t="e">
        <f t="shared" si="70"/>
        <v>#REF!</v>
      </c>
      <c r="J877" s="1644" t="e">
        <f t="shared" si="71"/>
        <v>#REF!</v>
      </c>
      <c r="M877" s="1545"/>
      <c r="N877" s="1545"/>
    </row>
    <row r="878" spans="1:93" ht="15.5">
      <c r="A878" s="1598">
        <v>22.623999999999999</v>
      </c>
      <c r="B878" s="1599" t="s">
        <v>2706</v>
      </c>
      <c r="C878" s="1643" t="e">
        <f>+SUMIF(#REF!,Final!A878,#REF!)</f>
        <v>#REF!</v>
      </c>
      <c r="D878" s="1597" t="e">
        <f>+SUMIF(#REF!,Final!A878,#REF!)</f>
        <v>#REF!</v>
      </c>
      <c r="E878" s="1643" t="e">
        <f>SUMIF(#REF!,Final!A878,#REF!)</f>
        <v>#REF!</v>
      </c>
      <c r="F878" s="1644" t="e">
        <f>SUMIF(#REF!,Final!A878,#REF!)</f>
        <v>#REF!</v>
      </c>
      <c r="G878" s="1597" t="e">
        <f t="shared" si="68"/>
        <v>#REF!</v>
      </c>
      <c r="H878" s="1644" t="e">
        <f t="shared" si="69"/>
        <v>#REF!</v>
      </c>
      <c r="I878" s="1597" t="e">
        <f t="shared" si="70"/>
        <v>#REF!</v>
      </c>
      <c r="J878" s="1644" t="e">
        <f t="shared" si="71"/>
        <v>#REF!</v>
      </c>
      <c r="M878" s="1545"/>
      <c r="N878" s="1545"/>
    </row>
    <row r="879" spans="1:93" ht="15.5">
      <c r="A879" s="1598">
        <v>22.625</v>
      </c>
      <c r="B879" s="1599" t="s">
        <v>2707</v>
      </c>
      <c r="C879" s="1643" t="e">
        <f>+SUMIF(#REF!,Final!A879,#REF!)</f>
        <v>#REF!</v>
      </c>
      <c r="D879" s="1597" t="e">
        <f>+SUMIF(#REF!,Final!A879,#REF!)</f>
        <v>#REF!</v>
      </c>
      <c r="E879" s="1643" t="e">
        <f>SUMIF(#REF!,Final!A879,#REF!)</f>
        <v>#REF!</v>
      </c>
      <c r="F879" s="1644" t="e">
        <f>SUMIF(#REF!,Final!A879,#REF!)</f>
        <v>#REF!</v>
      </c>
      <c r="G879" s="1597" t="e">
        <f t="shared" si="68"/>
        <v>#REF!</v>
      </c>
      <c r="H879" s="1644" t="e">
        <f t="shared" si="69"/>
        <v>#REF!</v>
      </c>
      <c r="I879" s="1597" t="e">
        <f t="shared" si="70"/>
        <v>#REF!</v>
      </c>
      <c r="J879" s="1644" t="e">
        <f t="shared" si="71"/>
        <v>#REF!</v>
      </c>
      <c r="M879" s="1545"/>
      <c r="N879" s="1545"/>
    </row>
    <row r="880" spans="1:93" ht="15.5">
      <c r="A880" s="1598">
        <v>22.626000000000001</v>
      </c>
      <c r="B880" s="1599" t="s">
        <v>2708</v>
      </c>
      <c r="C880" s="1643" t="e">
        <f>+SUMIF(#REF!,Final!A880,#REF!)</f>
        <v>#REF!</v>
      </c>
      <c r="D880" s="1597" t="e">
        <f>+SUMIF(#REF!,Final!A880,#REF!)</f>
        <v>#REF!</v>
      </c>
      <c r="E880" s="1643" t="e">
        <f>SUMIF(#REF!,Final!A880,#REF!)</f>
        <v>#REF!</v>
      </c>
      <c r="F880" s="1644" t="e">
        <f>SUMIF(#REF!,Final!A880,#REF!)</f>
        <v>#REF!</v>
      </c>
      <c r="G880" s="1597" t="e">
        <f t="shared" si="68"/>
        <v>#REF!</v>
      </c>
      <c r="H880" s="1644" t="e">
        <f t="shared" si="69"/>
        <v>#REF!</v>
      </c>
      <c r="I880" s="1597" t="e">
        <f t="shared" si="70"/>
        <v>#REF!</v>
      </c>
      <c r="J880" s="1644" t="e">
        <f t="shared" si="71"/>
        <v>#REF!</v>
      </c>
      <c r="M880" s="1545"/>
      <c r="N880" s="1545"/>
    </row>
    <row r="881" spans="1:14" ht="15.5">
      <c r="A881" s="1598">
        <v>22.626999999999999</v>
      </c>
      <c r="B881" s="1599" t="s">
        <v>2709</v>
      </c>
      <c r="C881" s="1643" t="e">
        <f>+SUMIF(#REF!,Final!A881,#REF!)</f>
        <v>#REF!</v>
      </c>
      <c r="D881" s="1597" t="e">
        <f>+SUMIF(#REF!,Final!A881,#REF!)</f>
        <v>#REF!</v>
      </c>
      <c r="E881" s="1643" t="e">
        <f>SUMIF(#REF!,Final!A881,#REF!)</f>
        <v>#REF!</v>
      </c>
      <c r="F881" s="1644" t="e">
        <f>SUMIF(#REF!,Final!A881,#REF!)</f>
        <v>#REF!</v>
      </c>
      <c r="G881" s="1597" t="e">
        <f t="shared" si="68"/>
        <v>#REF!</v>
      </c>
      <c r="H881" s="1644" t="e">
        <f t="shared" si="69"/>
        <v>#REF!</v>
      </c>
      <c r="I881" s="1597" t="e">
        <f t="shared" si="70"/>
        <v>#REF!</v>
      </c>
      <c r="J881" s="1644" t="e">
        <f t="shared" si="71"/>
        <v>#REF!</v>
      </c>
      <c r="M881" s="1545"/>
      <c r="N881" s="1545"/>
    </row>
    <row r="882" spans="1:14" ht="15.5">
      <c r="A882" s="1598">
        <v>22.628</v>
      </c>
      <c r="B882" s="1599" t="s">
        <v>2710</v>
      </c>
      <c r="C882" s="1643" t="e">
        <f>+SUMIF(#REF!,Final!A882,#REF!)</f>
        <v>#REF!</v>
      </c>
      <c r="D882" s="1597" t="e">
        <f>+SUMIF(#REF!,Final!A882,#REF!)</f>
        <v>#REF!</v>
      </c>
      <c r="E882" s="1643" t="e">
        <f>SUMIF(#REF!,Final!A882,#REF!)</f>
        <v>#REF!</v>
      </c>
      <c r="F882" s="1644" t="e">
        <f>SUMIF(#REF!,Final!A882,#REF!)</f>
        <v>#REF!</v>
      </c>
      <c r="G882" s="1597" t="e">
        <f t="shared" si="68"/>
        <v>#REF!</v>
      </c>
      <c r="H882" s="1644" t="e">
        <f t="shared" si="69"/>
        <v>#REF!</v>
      </c>
      <c r="I882" s="1597" t="e">
        <f t="shared" si="70"/>
        <v>#REF!</v>
      </c>
      <c r="J882" s="1644" t="e">
        <f t="shared" si="71"/>
        <v>#REF!</v>
      </c>
      <c r="M882" s="1545"/>
      <c r="N882" s="1545"/>
    </row>
    <row r="883" spans="1:14" ht="15.5">
      <c r="A883" s="1598">
        <v>22.629000000000001</v>
      </c>
      <c r="B883" s="1599" t="s">
        <v>2711</v>
      </c>
      <c r="C883" s="1643" t="e">
        <f>+SUMIF(#REF!,Final!A883,#REF!)</f>
        <v>#REF!</v>
      </c>
      <c r="D883" s="1597" t="e">
        <f>+SUMIF(#REF!,Final!A883,#REF!)</f>
        <v>#REF!</v>
      </c>
      <c r="E883" s="1643" t="e">
        <f>SUMIF(#REF!,Final!A883,#REF!)</f>
        <v>#REF!</v>
      </c>
      <c r="F883" s="1644" t="e">
        <f>SUMIF(#REF!,Final!A883,#REF!)</f>
        <v>#REF!</v>
      </c>
      <c r="G883" s="1597" t="e">
        <f t="shared" si="68"/>
        <v>#REF!</v>
      </c>
      <c r="H883" s="1644" t="e">
        <f t="shared" si="69"/>
        <v>#REF!</v>
      </c>
      <c r="I883" s="1597" t="e">
        <f t="shared" si="70"/>
        <v>#REF!</v>
      </c>
      <c r="J883" s="1644" t="e">
        <f t="shared" si="71"/>
        <v>#REF!</v>
      </c>
      <c r="M883" s="1545"/>
      <c r="N883" s="1545"/>
    </row>
    <row r="884" spans="1:14" ht="15.5">
      <c r="A884" s="1598">
        <v>22.63</v>
      </c>
      <c r="B884" s="1599" t="s">
        <v>2712</v>
      </c>
      <c r="C884" s="1643" t="e">
        <f>+SUMIF(#REF!,Final!A884,#REF!)</f>
        <v>#REF!</v>
      </c>
      <c r="D884" s="1597" t="e">
        <f>+SUMIF(#REF!,Final!A884,#REF!)</f>
        <v>#REF!</v>
      </c>
      <c r="E884" s="1643" t="e">
        <f>SUMIF(#REF!,Final!A884,#REF!)</f>
        <v>#REF!</v>
      </c>
      <c r="F884" s="1644" t="e">
        <f>SUMIF(#REF!,Final!A884,#REF!)</f>
        <v>#REF!</v>
      </c>
      <c r="G884" s="1597" t="e">
        <f t="shared" si="68"/>
        <v>#REF!</v>
      </c>
      <c r="H884" s="1644" t="e">
        <f t="shared" si="69"/>
        <v>#REF!</v>
      </c>
      <c r="I884" s="1597" t="e">
        <f t="shared" si="70"/>
        <v>#REF!</v>
      </c>
      <c r="J884" s="1644" t="e">
        <f t="shared" si="71"/>
        <v>#REF!</v>
      </c>
      <c r="M884" s="1545"/>
      <c r="N884" s="1545"/>
    </row>
    <row r="885" spans="1:14" ht="15.5">
      <c r="A885" s="1598">
        <v>22.632999999999999</v>
      </c>
      <c r="B885" s="1599" t="s">
        <v>2713</v>
      </c>
      <c r="C885" s="1643" t="e">
        <f>+SUMIF(#REF!,Final!A885,#REF!)</f>
        <v>#REF!</v>
      </c>
      <c r="D885" s="1597" t="e">
        <f>+SUMIF(#REF!,Final!A885,#REF!)</f>
        <v>#REF!</v>
      </c>
      <c r="E885" s="1643" t="e">
        <f>SUMIF(#REF!,Final!A885,#REF!)</f>
        <v>#REF!</v>
      </c>
      <c r="F885" s="1644" t="e">
        <f>SUMIF(#REF!,Final!A885,#REF!)</f>
        <v>#REF!</v>
      </c>
      <c r="G885" s="1597" t="e">
        <f t="shared" si="68"/>
        <v>#REF!</v>
      </c>
      <c r="H885" s="1644" t="e">
        <f t="shared" si="69"/>
        <v>#REF!</v>
      </c>
      <c r="I885" s="1597" t="e">
        <f t="shared" si="70"/>
        <v>#REF!</v>
      </c>
      <c r="J885" s="1644" t="e">
        <f t="shared" si="71"/>
        <v>#REF!</v>
      </c>
      <c r="M885" s="1545"/>
      <c r="N885" s="1545"/>
    </row>
    <row r="886" spans="1:14" ht="15.5">
      <c r="A886" s="1598">
        <v>22.638999999999999</v>
      </c>
      <c r="B886" s="1599" t="s">
        <v>2714</v>
      </c>
      <c r="C886" s="1643" t="e">
        <f>+SUMIF(#REF!,Final!A886,#REF!)</f>
        <v>#REF!</v>
      </c>
      <c r="D886" s="1597" t="e">
        <f>+SUMIF(#REF!,Final!A886,#REF!)</f>
        <v>#REF!</v>
      </c>
      <c r="E886" s="1643" t="e">
        <f>SUMIF(#REF!,Final!A886,#REF!)</f>
        <v>#REF!</v>
      </c>
      <c r="F886" s="1644" t="e">
        <f>SUMIF(#REF!,Final!A886,#REF!)</f>
        <v>#REF!</v>
      </c>
      <c r="G886" s="1597" t="e">
        <f t="shared" si="68"/>
        <v>#REF!</v>
      </c>
      <c r="H886" s="1644" t="e">
        <f t="shared" si="69"/>
        <v>#REF!</v>
      </c>
      <c r="I886" s="1597" t="e">
        <f t="shared" si="70"/>
        <v>#REF!</v>
      </c>
      <c r="J886" s="1644" t="e">
        <f t="shared" si="71"/>
        <v>#REF!</v>
      </c>
      <c r="M886" s="1545"/>
      <c r="N886" s="1545"/>
    </row>
    <row r="887" spans="1:14" ht="15.5">
      <c r="A887" s="1684" t="s">
        <v>4946</v>
      </c>
      <c r="B887" s="1703" t="s">
        <v>2704</v>
      </c>
      <c r="C887" s="1643" t="e">
        <f>+SUMIF(#REF!,Final!A887,#REF!)</f>
        <v>#REF!</v>
      </c>
      <c r="D887" s="1597" t="e">
        <f>+SUMIF(#REF!,Final!A887,#REF!)</f>
        <v>#REF!</v>
      </c>
      <c r="E887" s="1643" t="e">
        <f>SUMIF(#REF!,Final!A887,#REF!)</f>
        <v>#REF!</v>
      </c>
      <c r="F887" s="1644" t="e">
        <f>SUMIF(#REF!,Final!A887,#REF!)</f>
        <v>#REF!</v>
      </c>
      <c r="G887" s="1597" t="e">
        <f t="shared" si="68"/>
        <v>#REF!</v>
      </c>
      <c r="H887" s="1644" t="e">
        <f t="shared" si="69"/>
        <v>#REF!</v>
      </c>
      <c r="I887" s="1597" t="e">
        <f t="shared" si="70"/>
        <v>#REF!</v>
      </c>
      <c r="J887" s="1644" t="e">
        <f t="shared" si="71"/>
        <v>#REF!</v>
      </c>
      <c r="M887" s="1545"/>
      <c r="N887" s="1545"/>
    </row>
    <row r="888" spans="1:14" ht="15.5">
      <c r="A888" s="1684" t="s">
        <v>4947</v>
      </c>
      <c r="B888" s="1703" t="s">
        <v>2705</v>
      </c>
      <c r="C888" s="1643" t="e">
        <f>+SUMIF(#REF!,Final!A888,#REF!)</f>
        <v>#REF!</v>
      </c>
      <c r="D888" s="1597" t="e">
        <f>+SUMIF(#REF!,Final!A888,#REF!)</f>
        <v>#REF!</v>
      </c>
      <c r="E888" s="1643" t="e">
        <f>SUMIF(#REF!,Final!A888,#REF!)</f>
        <v>#REF!</v>
      </c>
      <c r="F888" s="1644" t="e">
        <f>SUMIF(#REF!,Final!A888,#REF!)</f>
        <v>#REF!</v>
      </c>
      <c r="G888" s="1597" t="e">
        <f t="shared" si="68"/>
        <v>#REF!</v>
      </c>
      <c r="H888" s="1644" t="e">
        <f t="shared" si="69"/>
        <v>#REF!</v>
      </c>
      <c r="I888" s="1597" t="e">
        <f t="shared" si="70"/>
        <v>#REF!</v>
      </c>
      <c r="J888" s="1644" t="e">
        <f t="shared" si="71"/>
        <v>#REF!</v>
      </c>
      <c r="M888" s="1545"/>
      <c r="N888" s="1545"/>
    </row>
    <row r="889" spans="1:14" ht="15.5">
      <c r="A889" s="1684" t="s">
        <v>4948</v>
      </c>
      <c r="B889" s="1703" t="s">
        <v>2706</v>
      </c>
      <c r="C889" s="1643" t="e">
        <f>+SUMIF(#REF!,Final!A889,#REF!)</f>
        <v>#REF!</v>
      </c>
      <c r="D889" s="1597" t="e">
        <f>+SUMIF(#REF!,Final!A889,#REF!)</f>
        <v>#REF!</v>
      </c>
      <c r="E889" s="1643" t="e">
        <f>SUMIF(#REF!,Final!A889,#REF!)</f>
        <v>#REF!</v>
      </c>
      <c r="F889" s="1644" t="e">
        <f>SUMIF(#REF!,Final!A889,#REF!)</f>
        <v>#REF!</v>
      </c>
      <c r="G889" s="1597" t="e">
        <f t="shared" si="68"/>
        <v>#REF!</v>
      </c>
      <c r="H889" s="1644" t="e">
        <f t="shared" si="69"/>
        <v>#REF!</v>
      </c>
      <c r="I889" s="1597" t="e">
        <f t="shared" si="70"/>
        <v>#REF!</v>
      </c>
      <c r="J889" s="1644" t="e">
        <f t="shared" si="71"/>
        <v>#REF!</v>
      </c>
      <c r="M889" s="1545"/>
      <c r="N889" s="1545"/>
    </row>
    <row r="890" spans="1:14" ht="15.5">
      <c r="A890" s="1684" t="s">
        <v>4949</v>
      </c>
      <c r="B890" s="1703" t="s">
        <v>2707</v>
      </c>
      <c r="C890" s="1643" t="e">
        <f>+SUMIF(#REF!,Final!A890,#REF!)</f>
        <v>#REF!</v>
      </c>
      <c r="D890" s="1597" t="e">
        <f>+SUMIF(#REF!,Final!A890,#REF!)</f>
        <v>#REF!</v>
      </c>
      <c r="E890" s="1643" t="e">
        <f>SUMIF(#REF!,Final!A890,#REF!)</f>
        <v>#REF!</v>
      </c>
      <c r="F890" s="1644" t="e">
        <f>SUMIF(#REF!,Final!A890,#REF!)</f>
        <v>#REF!</v>
      </c>
      <c r="G890" s="1597" t="e">
        <f t="shared" si="68"/>
        <v>#REF!</v>
      </c>
      <c r="H890" s="1644" t="e">
        <f t="shared" si="69"/>
        <v>#REF!</v>
      </c>
      <c r="I890" s="1597" t="e">
        <f t="shared" si="70"/>
        <v>#REF!</v>
      </c>
      <c r="J890" s="1644" t="e">
        <f t="shared" si="71"/>
        <v>#REF!</v>
      </c>
      <c r="M890" s="1545"/>
      <c r="N890" s="1545"/>
    </row>
    <row r="891" spans="1:14" ht="15.5">
      <c r="A891" s="1684" t="s">
        <v>4950</v>
      </c>
      <c r="B891" s="1703" t="s">
        <v>2708</v>
      </c>
      <c r="C891" s="1643" t="e">
        <f>+SUMIF(#REF!,Final!A891,#REF!)</f>
        <v>#REF!</v>
      </c>
      <c r="D891" s="1597" t="e">
        <f>+SUMIF(#REF!,Final!A891,#REF!)</f>
        <v>#REF!</v>
      </c>
      <c r="E891" s="1643" t="e">
        <f>SUMIF(#REF!,Final!A891,#REF!)</f>
        <v>#REF!</v>
      </c>
      <c r="F891" s="1644" t="e">
        <f>SUMIF(#REF!,Final!A891,#REF!)</f>
        <v>#REF!</v>
      </c>
      <c r="G891" s="1597" t="e">
        <f t="shared" si="68"/>
        <v>#REF!</v>
      </c>
      <c r="H891" s="1644" t="e">
        <f t="shared" si="69"/>
        <v>#REF!</v>
      </c>
      <c r="I891" s="1597" t="e">
        <f t="shared" si="70"/>
        <v>#REF!</v>
      </c>
      <c r="J891" s="1644" t="e">
        <f t="shared" si="71"/>
        <v>#REF!</v>
      </c>
      <c r="M891" s="1545"/>
      <c r="N891" s="1545"/>
    </row>
    <row r="892" spans="1:14" ht="15.5">
      <c r="A892" s="1684" t="s">
        <v>4951</v>
      </c>
      <c r="B892" s="1703" t="s">
        <v>2709</v>
      </c>
      <c r="C892" s="1643" t="e">
        <f>+SUMIF(#REF!,Final!A892,#REF!)</f>
        <v>#REF!</v>
      </c>
      <c r="D892" s="1597" t="e">
        <f>+SUMIF(#REF!,Final!A892,#REF!)</f>
        <v>#REF!</v>
      </c>
      <c r="E892" s="1643" t="e">
        <f>SUMIF(#REF!,Final!A892,#REF!)</f>
        <v>#REF!</v>
      </c>
      <c r="F892" s="1644" t="e">
        <f>SUMIF(#REF!,Final!A892,#REF!)</f>
        <v>#REF!</v>
      </c>
      <c r="G892" s="1597" t="e">
        <f t="shared" si="68"/>
        <v>#REF!</v>
      </c>
      <c r="H892" s="1644" t="e">
        <f t="shared" si="69"/>
        <v>#REF!</v>
      </c>
      <c r="I892" s="1597" t="e">
        <f t="shared" si="70"/>
        <v>#REF!</v>
      </c>
      <c r="J892" s="1644" t="e">
        <f t="shared" si="71"/>
        <v>#REF!</v>
      </c>
      <c r="M892" s="1545"/>
      <c r="N892" s="1545"/>
    </row>
    <row r="893" spans="1:14" ht="15.5">
      <c r="A893" s="1684" t="s">
        <v>4952</v>
      </c>
      <c r="B893" s="1703" t="s">
        <v>2710</v>
      </c>
      <c r="C893" s="1643" t="e">
        <f>+SUMIF(#REF!,Final!A893,#REF!)</f>
        <v>#REF!</v>
      </c>
      <c r="D893" s="1597" t="e">
        <f>+SUMIF(#REF!,Final!A893,#REF!)</f>
        <v>#REF!</v>
      </c>
      <c r="E893" s="1643" t="e">
        <f>SUMIF(#REF!,Final!A893,#REF!)</f>
        <v>#REF!</v>
      </c>
      <c r="F893" s="1644" t="e">
        <f>SUMIF(#REF!,Final!A893,#REF!)</f>
        <v>#REF!</v>
      </c>
      <c r="G893" s="1597" t="e">
        <f t="shared" si="68"/>
        <v>#REF!</v>
      </c>
      <c r="H893" s="1644" t="e">
        <f t="shared" si="69"/>
        <v>#REF!</v>
      </c>
      <c r="I893" s="1597" t="e">
        <f t="shared" si="70"/>
        <v>#REF!</v>
      </c>
      <c r="J893" s="1644" t="e">
        <f t="shared" si="71"/>
        <v>#REF!</v>
      </c>
      <c r="M893" s="1545"/>
      <c r="N893" s="1545"/>
    </row>
    <row r="894" spans="1:14" ht="15.5">
      <c r="A894" s="1684" t="s">
        <v>4953</v>
      </c>
      <c r="B894" s="1703" t="s">
        <v>2711</v>
      </c>
      <c r="C894" s="1643" t="e">
        <f>+SUMIF(#REF!,Final!A894,#REF!)</f>
        <v>#REF!</v>
      </c>
      <c r="D894" s="1597" t="e">
        <f>+SUMIF(#REF!,Final!A894,#REF!)</f>
        <v>#REF!</v>
      </c>
      <c r="E894" s="1643" t="e">
        <f>SUMIF(#REF!,Final!A894,#REF!)</f>
        <v>#REF!</v>
      </c>
      <c r="F894" s="1644" t="e">
        <f>SUMIF(#REF!,Final!A894,#REF!)</f>
        <v>#REF!</v>
      </c>
      <c r="G894" s="1597" t="e">
        <f t="shared" si="68"/>
        <v>#REF!</v>
      </c>
      <c r="H894" s="1644" t="e">
        <f t="shared" si="69"/>
        <v>#REF!</v>
      </c>
      <c r="I894" s="1597" t="e">
        <f t="shared" si="70"/>
        <v>#REF!</v>
      </c>
      <c r="J894" s="1644" t="e">
        <f t="shared" si="71"/>
        <v>#REF!</v>
      </c>
      <c r="M894" s="1545"/>
      <c r="N894" s="1545"/>
    </row>
    <row r="895" spans="1:14" ht="15.5">
      <c r="A895" s="1684" t="s">
        <v>4954</v>
      </c>
      <c r="B895" s="1703" t="s">
        <v>2712</v>
      </c>
      <c r="C895" s="1643" t="e">
        <f>+SUMIF(#REF!,Final!A895,#REF!)</f>
        <v>#REF!</v>
      </c>
      <c r="D895" s="1597" t="e">
        <f>+SUMIF(#REF!,Final!A895,#REF!)</f>
        <v>#REF!</v>
      </c>
      <c r="E895" s="1643" t="e">
        <f>SUMIF(#REF!,Final!A895,#REF!)</f>
        <v>#REF!</v>
      </c>
      <c r="F895" s="1644" t="e">
        <f>SUMIF(#REF!,Final!A895,#REF!)</f>
        <v>#REF!</v>
      </c>
      <c r="G895" s="1597" t="e">
        <f t="shared" si="68"/>
        <v>#REF!</v>
      </c>
      <c r="H895" s="1644" t="e">
        <f t="shared" si="69"/>
        <v>#REF!</v>
      </c>
      <c r="I895" s="1597" t="e">
        <f t="shared" si="70"/>
        <v>#REF!</v>
      </c>
      <c r="J895" s="1644" t="e">
        <f t="shared" si="71"/>
        <v>#REF!</v>
      </c>
      <c r="M895" s="1545"/>
      <c r="N895" s="1545"/>
    </row>
    <row r="896" spans="1:14" ht="15.5">
      <c r="A896" s="1684" t="s">
        <v>4955</v>
      </c>
      <c r="B896" s="1703" t="s">
        <v>2714</v>
      </c>
      <c r="C896" s="1643" t="e">
        <f>+SUMIF(#REF!,Final!A896,#REF!)</f>
        <v>#REF!</v>
      </c>
      <c r="D896" s="1597" t="e">
        <f>+SUMIF(#REF!,Final!A896,#REF!)</f>
        <v>#REF!</v>
      </c>
      <c r="E896" s="1643" t="e">
        <f>SUMIF(#REF!,Final!A896,#REF!)</f>
        <v>#REF!</v>
      </c>
      <c r="F896" s="1644" t="e">
        <f>SUMIF(#REF!,Final!A896,#REF!)</f>
        <v>#REF!</v>
      </c>
      <c r="G896" s="1597" t="e">
        <f t="shared" si="68"/>
        <v>#REF!</v>
      </c>
      <c r="H896" s="1644" t="e">
        <f t="shared" si="69"/>
        <v>#REF!</v>
      </c>
      <c r="I896" s="1597" t="e">
        <f t="shared" si="70"/>
        <v>#REF!</v>
      </c>
      <c r="J896" s="1644" t="e">
        <f t="shared" si="71"/>
        <v>#REF!</v>
      </c>
      <c r="M896" s="1545"/>
      <c r="N896" s="1545"/>
    </row>
    <row r="897" spans="1:93" ht="15.5">
      <c r="A897" s="1786" t="s">
        <v>5231</v>
      </c>
      <c r="B897" s="1787" t="s">
        <v>2704</v>
      </c>
      <c r="C897" s="1643" t="e">
        <f>+SUMIF(#REF!,Final!A897,#REF!)</f>
        <v>#REF!</v>
      </c>
      <c r="D897" s="1597" t="e">
        <f>+SUMIF(#REF!,Final!A897,#REF!)</f>
        <v>#REF!</v>
      </c>
      <c r="E897" s="1643" t="e">
        <f>SUMIF(#REF!,Final!A897,#REF!)</f>
        <v>#REF!</v>
      </c>
      <c r="F897" s="1644" t="e">
        <f>SUMIF(#REF!,Final!A897,#REF!)</f>
        <v>#REF!</v>
      </c>
      <c r="G897" s="1597" t="e">
        <f t="shared" ref="G897:G906" si="76">C897+E897</f>
        <v>#REF!</v>
      </c>
      <c r="H897" s="1644" t="e">
        <f t="shared" ref="H897:H906" si="77">D897+F897</f>
        <v>#REF!</v>
      </c>
      <c r="I897" s="1597" t="e">
        <f t="shared" ref="I897:I906" si="78">IF(G897&gt;H897,G897-H897,0)</f>
        <v>#REF!</v>
      </c>
      <c r="J897" s="1644" t="e">
        <f t="shared" ref="J897:J906" si="79">IF(H897&gt;G897,H897-G897,0)</f>
        <v>#REF!</v>
      </c>
      <c r="M897" s="1545"/>
      <c r="N897" s="1545"/>
    </row>
    <row r="898" spans="1:93" ht="15.5">
      <c r="A898" s="1786" t="s">
        <v>5232</v>
      </c>
      <c r="B898" s="1787" t="s">
        <v>2705</v>
      </c>
      <c r="C898" s="1643" t="e">
        <f>+SUMIF(#REF!,Final!A898,#REF!)</f>
        <v>#REF!</v>
      </c>
      <c r="D898" s="1597" t="e">
        <f>+SUMIF(#REF!,Final!A898,#REF!)</f>
        <v>#REF!</v>
      </c>
      <c r="E898" s="1643" t="e">
        <f>SUMIF(#REF!,Final!A898,#REF!)</f>
        <v>#REF!</v>
      </c>
      <c r="F898" s="1644" t="e">
        <f>SUMIF(#REF!,Final!A898,#REF!)</f>
        <v>#REF!</v>
      </c>
      <c r="G898" s="1597" t="e">
        <f t="shared" si="76"/>
        <v>#REF!</v>
      </c>
      <c r="H898" s="1644" t="e">
        <f t="shared" si="77"/>
        <v>#REF!</v>
      </c>
      <c r="I898" s="1597" t="e">
        <f t="shared" si="78"/>
        <v>#REF!</v>
      </c>
      <c r="J898" s="1644" t="e">
        <f t="shared" si="79"/>
        <v>#REF!</v>
      </c>
      <c r="M898" s="1545"/>
      <c r="N898" s="1545"/>
    </row>
    <row r="899" spans="1:93" ht="15.5">
      <c r="A899" s="1786" t="s">
        <v>5233</v>
      </c>
      <c r="B899" s="1787" t="s">
        <v>2706</v>
      </c>
      <c r="C899" s="1643" t="e">
        <f>+SUMIF(#REF!,Final!A899,#REF!)</f>
        <v>#REF!</v>
      </c>
      <c r="D899" s="1597" t="e">
        <f>+SUMIF(#REF!,Final!A899,#REF!)</f>
        <v>#REF!</v>
      </c>
      <c r="E899" s="1643" t="e">
        <f>SUMIF(#REF!,Final!A899,#REF!)</f>
        <v>#REF!</v>
      </c>
      <c r="F899" s="1644" t="e">
        <f>SUMIF(#REF!,Final!A899,#REF!)</f>
        <v>#REF!</v>
      </c>
      <c r="G899" s="1597" t="e">
        <f t="shared" si="76"/>
        <v>#REF!</v>
      </c>
      <c r="H899" s="1644" t="e">
        <f t="shared" si="77"/>
        <v>#REF!</v>
      </c>
      <c r="I899" s="1597" t="e">
        <f t="shared" si="78"/>
        <v>#REF!</v>
      </c>
      <c r="J899" s="1644" t="e">
        <f t="shared" si="79"/>
        <v>#REF!</v>
      </c>
      <c r="M899" s="1545"/>
      <c r="N899" s="1545"/>
    </row>
    <row r="900" spans="1:93" ht="15.5">
      <c r="A900" s="1786" t="s">
        <v>5234</v>
      </c>
      <c r="B900" s="1787" t="s">
        <v>2707</v>
      </c>
      <c r="C900" s="1643" t="e">
        <f>+SUMIF(#REF!,Final!A900,#REF!)</f>
        <v>#REF!</v>
      </c>
      <c r="D900" s="1597" t="e">
        <f>+SUMIF(#REF!,Final!A900,#REF!)</f>
        <v>#REF!</v>
      </c>
      <c r="E900" s="1643" t="e">
        <f>SUMIF(#REF!,Final!A900,#REF!)</f>
        <v>#REF!</v>
      </c>
      <c r="F900" s="1644" t="e">
        <f>SUMIF(#REF!,Final!A900,#REF!)</f>
        <v>#REF!</v>
      </c>
      <c r="G900" s="1597" t="e">
        <f t="shared" si="76"/>
        <v>#REF!</v>
      </c>
      <c r="H900" s="1644" t="e">
        <f t="shared" si="77"/>
        <v>#REF!</v>
      </c>
      <c r="I900" s="1597" t="e">
        <f t="shared" si="78"/>
        <v>#REF!</v>
      </c>
      <c r="J900" s="1644" t="e">
        <f t="shared" si="79"/>
        <v>#REF!</v>
      </c>
      <c r="M900" s="1545"/>
      <c r="N900" s="1545"/>
    </row>
    <row r="901" spans="1:93" ht="15.5">
      <c r="A901" s="1786" t="s">
        <v>5235</v>
      </c>
      <c r="B901" s="1787" t="s">
        <v>2708</v>
      </c>
      <c r="C901" s="1643" t="e">
        <f>+SUMIF(#REF!,Final!A901,#REF!)</f>
        <v>#REF!</v>
      </c>
      <c r="D901" s="1597" t="e">
        <f>+SUMIF(#REF!,Final!A901,#REF!)</f>
        <v>#REF!</v>
      </c>
      <c r="E901" s="1643" t="e">
        <f>SUMIF(#REF!,Final!A901,#REF!)</f>
        <v>#REF!</v>
      </c>
      <c r="F901" s="1644" t="e">
        <f>SUMIF(#REF!,Final!A901,#REF!)</f>
        <v>#REF!</v>
      </c>
      <c r="G901" s="1597" t="e">
        <f t="shared" si="76"/>
        <v>#REF!</v>
      </c>
      <c r="H901" s="1644" t="e">
        <f t="shared" si="77"/>
        <v>#REF!</v>
      </c>
      <c r="I901" s="1597" t="e">
        <f t="shared" si="78"/>
        <v>#REF!</v>
      </c>
      <c r="J901" s="1644" t="e">
        <f t="shared" si="79"/>
        <v>#REF!</v>
      </c>
      <c r="M901" s="1545"/>
      <c r="N901" s="1545"/>
    </row>
    <row r="902" spans="1:93" ht="15.5">
      <c r="A902" s="1786" t="s">
        <v>5236</v>
      </c>
      <c r="B902" s="1787" t="s">
        <v>2709</v>
      </c>
      <c r="C902" s="1643" t="e">
        <f>+SUMIF(#REF!,Final!A902,#REF!)</f>
        <v>#REF!</v>
      </c>
      <c r="D902" s="1597" t="e">
        <f>+SUMIF(#REF!,Final!A902,#REF!)</f>
        <v>#REF!</v>
      </c>
      <c r="E902" s="1643" t="e">
        <f>SUMIF(#REF!,Final!A902,#REF!)</f>
        <v>#REF!</v>
      </c>
      <c r="F902" s="1644" t="e">
        <f>SUMIF(#REF!,Final!A902,#REF!)</f>
        <v>#REF!</v>
      </c>
      <c r="G902" s="1597" t="e">
        <f t="shared" si="76"/>
        <v>#REF!</v>
      </c>
      <c r="H902" s="1644" t="e">
        <f t="shared" si="77"/>
        <v>#REF!</v>
      </c>
      <c r="I902" s="1597" t="e">
        <f t="shared" si="78"/>
        <v>#REF!</v>
      </c>
      <c r="J902" s="1644" t="e">
        <f t="shared" si="79"/>
        <v>#REF!</v>
      </c>
      <c r="M902" s="1545"/>
      <c r="N902" s="1545"/>
    </row>
    <row r="903" spans="1:93" ht="15.5">
      <c r="A903" s="1786" t="s">
        <v>5237</v>
      </c>
      <c r="B903" s="1787" t="s">
        <v>2710</v>
      </c>
      <c r="C903" s="1643" t="e">
        <f>+SUMIF(#REF!,Final!A903,#REF!)</f>
        <v>#REF!</v>
      </c>
      <c r="D903" s="1597" t="e">
        <f>+SUMIF(#REF!,Final!A903,#REF!)</f>
        <v>#REF!</v>
      </c>
      <c r="E903" s="1643" t="e">
        <f>SUMIF(#REF!,Final!A903,#REF!)</f>
        <v>#REF!</v>
      </c>
      <c r="F903" s="1644" t="e">
        <f>SUMIF(#REF!,Final!A903,#REF!)</f>
        <v>#REF!</v>
      </c>
      <c r="G903" s="1597" t="e">
        <f t="shared" si="76"/>
        <v>#REF!</v>
      </c>
      <c r="H903" s="1644" t="e">
        <f t="shared" si="77"/>
        <v>#REF!</v>
      </c>
      <c r="I903" s="1597" t="e">
        <f t="shared" si="78"/>
        <v>#REF!</v>
      </c>
      <c r="J903" s="1644" t="e">
        <f t="shared" si="79"/>
        <v>#REF!</v>
      </c>
      <c r="M903" s="1545"/>
      <c r="N903" s="1545"/>
    </row>
    <row r="904" spans="1:93" ht="15.5">
      <c r="A904" s="1786" t="s">
        <v>5238</v>
      </c>
      <c r="B904" s="1787" t="s">
        <v>2711</v>
      </c>
      <c r="C904" s="1643" t="e">
        <f>+SUMIF(#REF!,Final!A904,#REF!)</f>
        <v>#REF!</v>
      </c>
      <c r="D904" s="1597" t="e">
        <f>+SUMIF(#REF!,Final!A904,#REF!)</f>
        <v>#REF!</v>
      </c>
      <c r="E904" s="1643" t="e">
        <f>SUMIF(#REF!,Final!A904,#REF!)</f>
        <v>#REF!</v>
      </c>
      <c r="F904" s="1644" t="e">
        <f>SUMIF(#REF!,Final!A904,#REF!)</f>
        <v>#REF!</v>
      </c>
      <c r="G904" s="1597" t="e">
        <f t="shared" si="76"/>
        <v>#REF!</v>
      </c>
      <c r="H904" s="1644" t="e">
        <f t="shared" si="77"/>
        <v>#REF!</v>
      </c>
      <c r="I904" s="1597" t="e">
        <f t="shared" si="78"/>
        <v>#REF!</v>
      </c>
      <c r="J904" s="1644" t="e">
        <f t="shared" si="79"/>
        <v>#REF!</v>
      </c>
      <c r="M904" s="1545"/>
      <c r="N904" s="1545"/>
    </row>
    <row r="905" spans="1:93" ht="15.5">
      <c r="A905" s="1786" t="s">
        <v>5239</v>
      </c>
      <c r="B905" s="1787" t="s">
        <v>2712</v>
      </c>
      <c r="C905" s="1643" t="e">
        <f>+SUMIF(#REF!,Final!A905,#REF!)</f>
        <v>#REF!</v>
      </c>
      <c r="D905" s="1597" t="e">
        <f>+SUMIF(#REF!,Final!A905,#REF!)</f>
        <v>#REF!</v>
      </c>
      <c r="E905" s="1643" t="e">
        <f>SUMIF(#REF!,Final!A905,#REF!)</f>
        <v>#REF!</v>
      </c>
      <c r="F905" s="1644" t="e">
        <f>SUMIF(#REF!,Final!A905,#REF!)</f>
        <v>#REF!</v>
      </c>
      <c r="G905" s="1597" t="e">
        <f t="shared" si="76"/>
        <v>#REF!</v>
      </c>
      <c r="H905" s="1644" t="e">
        <f t="shared" si="77"/>
        <v>#REF!</v>
      </c>
      <c r="I905" s="1597" t="e">
        <f t="shared" si="78"/>
        <v>#REF!</v>
      </c>
      <c r="J905" s="1644" t="e">
        <f t="shared" si="79"/>
        <v>#REF!</v>
      </c>
      <c r="M905" s="1545"/>
      <c r="N905" s="1545"/>
    </row>
    <row r="906" spans="1:93" ht="15.5">
      <c r="A906" s="1786" t="s">
        <v>5240</v>
      </c>
      <c r="B906" s="1787" t="s">
        <v>2714</v>
      </c>
      <c r="C906" s="1643" t="e">
        <f>+SUMIF(#REF!,Final!A906,#REF!)</f>
        <v>#REF!</v>
      </c>
      <c r="D906" s="1597" t="e">
        <f>+SUMIF(#REF!,Final!A906,#REF!)</f>
        <v>#REF!</v>
      </c>
      <c r="E906" s="1643" t="e">
        <f>SUMIF(#REF!,Final!A906,#REF!)</f>
        <v>#REF!</v>
      </c>
      <c r="F906" s="1644" t="e">
        <f>SUMIF(#REF!,Final!A906,#REF!)</f>
        <v>#REF!</v>
      </c>
      <c r="G906" s="1597" t="e">
        <f t="shared" si="76"/>
        <v>#REF!</v>
      </c>
      <c r="H906" s="1644" t="e">
        <f t="shared" si="77"/>
        <v>#REF!</v>
      </c>
      <c r="I906" s="1597" t="e">
        <f t="shared" si="78"/>
        <v>#REF!</v>
      </c>
      <c r="J906" s="1644" t="e">
        <f t="shared" si="79"/>
        <v>#REF!</v>
      </c>
      <c r="M906" s="1545"/>
      <c r="N906" s="1545"/>
    </row>
    <row r="907" spans="1:93" s="1542" customFormat="1" ht="15.5">
      <c r="A907" s="1598" t="s">
        <v>543</v>
      </c>
      <c r="B907" s="1599" t="s">
        <v>2715</v>
      </c>
      <c r="C907" s="1643" t="e">
        <f>+SUMIF(#REF!,Final!A907,#REF!)</f>
        <v>#REF!</v>
      </c>
      <c r="D907" s="1597" t="e">
        <f>+SUMIF(#REF!,Final!A907,#REF!)</f>
        <v>#REF!</v>
      </c>
      <c r="E907" s="1643" t="e">
        <f>SUMIF(#REF!,Final!A907,#REF!)</f>
        <v>#REF!</v>
      </c>
      <c r="F907" s="1644" t="e">
        <f>SUMIF(#REF!,Final!A907,#REF!)</f>
        <v>#REF!</v>
      </c>
      <c r="G907" s="1597" t="e">
        <f t="shared" si="68"/>
        <v>#REF!</v>
      </c>
      <c r="H907" s="1644" t="e">
        <f t="shared" si="69"/>
        <v>#REF!</v>
      </c>
      <c r="I907" s="1597" t="e">
        <f t="shared" si="70"/>
        <v>#REF!</v>
      </c>
      <c r="J907" s="1644" t="e">
        <f t="shared" si="71"/>
        <v>#REF!</v>
      </c>
      <c r="K907" s="1539"/>
      <c r="L907" s="1539"/>
      <c r="M907" s="1545"/>
      <c r="N907" s="1545"/>
      <c r="O907" s="1539"/>
      <c r="P907" s="1539"/>
      <c r="Q907" s="1539"/>
      <c r="R907" s="1539"/>
      <c r="S907" s="1539"/>
      <c r="T907" s="1539"/>
      <c r="U907" s="1539"/>
      <c r="V907" s="1539"/>
      <c r="W907" s="1539"/>
      <c r="X907" s="1539"/>
      <c r="Y907" s="1539"/>
      <c r="Z907" s="1539"/>
      <c r="AA907" s="1539"/>
      <c r="AB907" s="1539"/>
      <c r="AC907" s="1539"/>
      <c r="AD907" s="1539"/>
      <c r="AE907" s="1539"/>
      <c r="AF907" s="1539"/>
      <c r="AG907" s="1539"/>
      <c r="AH907" s="1539"/>
      <c r="AI907" s="1539"/>
      <c r="AJ907" s="1539"/>
      <c r="AK907" s="1539"/>
      <c r="AL907" s="1539"/>
      <c r="AM907" s="1539"/>
      <c r="AN907" s="1539"/>
      <c r="AO907" s="1539"/>
      <c r="AP907" s="1539"/>
      <c r="AQ907" s="1539"/>
      <c r="AR907" s="1539"/>
      <c r="AS907" s="1539"/>
      <c r="AT907" s="1539"/>
      <c r="AU907" s="1539"/>
      <c r="AV907" s="1539"/>
      <c r="AW907" s="1539"/>
      <c r="AX907" s="1539"/>
      <c r="AY907" s="1539"/>
      <c r="AZ907" s="1539"/>
      <c r="BA907" s="1539"/>
      <c r="BB907" s="1539"/>
      <c r="BC907" s="1539"/>
      <c r="BD907" s="1539"/>
      <c r="BE907" s="1539"/>
      <c r="BF907" s="1539"/>
      <c r="BG907" s="1539"/>
      <c r="BH907" s="1539"/>
      <c r="BI907" s="1539"/>
      <c r="BJ907" s="1539"/>
      <c r="BK907" s="1539"/>
      <c r="BL907" s="1539"/>
      <c r="BM907" s="1539"/>
      <c r="BN907" s="1539"/>
      <c r="BO907" s="1539"/>
      <c r="BP907" s="1539"/>
      <c r="BQ907" s="1539"/>
      <c r="BR907" s="1539"/>
      <c r="BS907" s="1539"/>
      <c r="BT907" s="1539"/>
      <c r="BU907" s="1539"/>
      <c r="BV907" s="1539"/>
      <c r="BW907" s="1539"/>
      <c r="BX907" s="1539"/>
      <c r="BY907" s="1539"/>
      <c r="BZ907" s="1539"/>
      <c r="CA907" s="1539"/>
      <c r="CB907" s="1539"/>
      <c r="CC907" s="1539"/>
      <c r="CD907" s="1539"/>
      <c r="CE907" s="1539"/>
      <c r="CF907" s="1539"/>
      <c r="CG907" s="1539"/>
      <c r="CH907" s="1539"/>
      <c r="CI907" s="1539"/>
      <c r="CJ907" s="1539"/>
      <c r="CK907" s="1539"/>
      <c r="CL907" s="1539"/>
      <c r="CM907" s="1539"/>
      <c r="CN907" s="1539"/>
      <c r="CO907" s="1539"/>
    </row>
    <row r="908" spans="1:93" ht="15.5">
      <c r="A908" s="1600">
        <v>22.64</v>
      </c>
      <c r="B908" s="1599" t="s">
        <v>2716</v>
      </c>
      <c r="C908" s="1643" t="e">
        <f>+SUMIF(#REF!,Final!A908,#REF!)</f>
        <v>#REF!</v>
      </c>
      <c r="D908" s="1597" t="e">
        <f>+SUMIF(#REF!,Final!A908,#REF!)</f>
        <v>#REF!</v>
      </c>
      <c r="E908" s="1643" t="e">
        <f>SUMIF(#REF!,Final!A908,#REF!)</f>
        <v>#REF!</v>
      </c>
      <c r="F908" s="1644" t="e">
        <f>SUMIF(#REF!,Final!A908,#REF!)</f>
        <v>#REF!</v>
      </c>
      <c r="G908" s="1597" t="e">
        <f t="shared" si="68"/>
        <v>#REF!</v>
      </c>
      <c r="H908" s="1644" t="e">
        <f t="shared" si="69"/>
        <v>#REF!</v>
      </c>
      <c r="I908" s="1597" t="e">
        <f t="shared" si="70"/>
        <v>#REF!</v>
      </c>
      <c r="J908" s="1644" t="e">
        <f t="shared" si="71"/>
        <v>#REF!</v>
      </c>
      <c r="M908" s="1545"/>
      <c r="N908" s="1545"/>
    </row>
    <row r="909" spans="1:93" ht="15.5">
      <c r="A909" s="1684" t="s">
        <v>4956</v>
      </c>
      <c r="B909" s="1703" t="s">
        <v>2716</v>
      </c>
      <c r="C909" s="1643" t="e">
        <f>+SUMIF(#REF!,Final!A909,#REF!)</f>
        <v>#REF!</v>
      </c>
      <c r="D909" s="1597" t="e">
        <f>+SUMIF(#REF!,Final!A909,#REF!)</f>
        <v>#REF!</v>
      </c>
      <c r="E909" s="1643" t="e">
        <f>SUMIF(#REF!,Final!A909,#REF!)</f>
        <v>#REF!</v>
      </c>
      <c r="F909" s="1644" t="e">
        <f>SUMIF(#REF!,Final!A909,#REF!)</f>
        <v>#REF!</v>
      </c>
      <c r="G909" s="1597" t="e">
        <f t="shared" si="68"/>
        <v>#REF!</v>
      </c>
      <c r="H909" s="1644" t="e">
        <f t="shared" si="69"/>
        <v>#REF!</v>
      </c>
      <c r="I909" s="1597" t="e">
        <f t="shared" si="70"/>
        <v>#REF!</v>
      </c>
      <c r="J909" s="1644" t="e">
        <f t="shared" si="71"/>
        <v>#REF!</v>
      </c>
      <c r="M909" s="1545"/>
      <c r="N909" s="1545"/>
    </row>
    <row r="910" spans="1:93" ht="15.5">
      <c r="A910" s="1786" t="s">
        <v>5241</v>
      </c>
      <c r="B910" s="1787" t="s">
        <v>2716</v>
      </c>
      <c r="C910" s="1643" t="e">
        <f>+SUMIF(#REF!,Final!A910,#REF!)</f>
        <v>#REF!</v>
      </c>
      <c r="D910" s="1597" t="e">
        <f>+SUMIF(#REF!,Final!A910,#REF!)</f>
        <v>#REF!</v>
      </c>
      <c r="E910" s="1643" t="e">
        <f>SUMIF(#REF!,Final!A910,#REF!)</f>
        <v>#REF!</v>
      </c>
      <c r="F910" s="1644" t="e">
        <f>SUMIF(#REF!,Final!A910,#REF!)</f>
        <v>#REF!</v>
      </c>
      <c r="G910" s="1597" t="e">
        <f t="shared" ref="G910" si="80">C910+E910</f>
        <v>#REF!</v>
      </c>
      <c r="H910" s="1644" t="e">
        <f t="shared" ref="H910" si="81">D910+F910</f>
        <v>#REF!</v>
      </c>
      <c r="I910" s="1597" t="e">
        <f t="shared" ref="I910" si="82">IF(G910&gt;H910,G910-H910,0)</f>
        <v>#REF!</v>
      </c>
      <c r="J910" s="1644" t="e">
        <f t="shared" ref="J910" si="83">IF(H910&gt;G910,H910-G910,0)</f>
        <v>#REF!</v>
      </c>
      <c r="M910" s="1545"/>
      <c r="N910" s="1545"/>
    </row>
    <row r="911" spans="1:93" ht="15.5">
      <c r="A911" s="1687">
        <v>22.645</v>
      </c>
      <c r="B911" s="1704" t="s">
        <v>4957</v>
      </c>
      <c r="C911" s="1643" t="e">
        <f>+SUMIF(#REF!,Final!A911,#REF!)</f>
        <v>#REF!</v>
      </c>
      <c r="D911" s="1597" t="e">
        <f>+SUMIF(#REF!,Final!A911,#REF!)</f>
        <v>#REF!</v>
      </c>
      <c r="E911" s="1643" t="e">
        <f>SUMIF(#REF!,Final!A911,#REF!)</f>
        <v>#REF!</v>
      </c>
      <c r="F911" s="1644" t="e">
        <f>SUMIF(#REF!,Final!A911,#REF!)</f>
        <v>#REF!</v>
      </c>
      <c r="G911" s="1597" t="e">
        <f t="shared" si="68"/>
        <v>#REF!</v>
      </c>
      <c r="H911" s="1644" t="e">
        <f t="shared" si="69"/>
        <v>#REF!</v>
      </c>
      <c r="I911" s="1597" t="e">
        <f t="shared" si="70"/>
        <v>#REF!</v>
      </c>
      <c r="J911" s="1644" t="e">
        <f t="shared" si="71"/>
        <v>#REF!</v>
      </c>
      <c r="M911" s="1545"/>
      <c r="N911" s="1545"/>
    </row>
    <row r="912" spans="1:93" s="1552" customFormat="1" ht="15.5">
      <c r="A912" s="1598"/>
      <c r="B912" s="1599" t="s">
        <v>1747</v>
      </c>
      <c r="C912" s="1643" t="e">
        <f>+SUMIF(#REF!,Final!A912,#REF!)</f>
        <v>#REF!</v>
      </c>
      <c r="D912" s="1597" t="e">
        <f>+SUMIF(#REF!,Final!A912,#REF!)</f>
        <v>#REF!</v>
      </c>
      <c r="E912" s="1643" t="e">
        <f>SUMIF(#REF!,Final!A912,#REF!)</f>
        <v>#REF!</v>
      </c>
      <c r="F912" s="1644" t="e">
        <f>SUMIF(#REF!,Final!A912,#REF!)</f>
        <v>#REF!</v>
      </c>
      <c r="G912" s="1597" t="e">
        <f t="shared" si="68"/>
        <v>#REF!</v>
      </c>
      <c r="H912" s="1644" t="e">
        <f t="shared" si="69"/>
        <v>#REF!</v>
      </c>
      <c r="I912" s="1597" t="e">
        <f t="shared" si="70"/>
        <v>#REF!</v>
      </c>
      <c r="J912" s="1644" t="e">
        <f t="shared" si="71"/>
        <v>#REF!</v>
      </c>
      <c r="K912" s="1539"/>
      <c r="L912" s="1539"/>
      <c r="M912" s="1545"/>
      <c r="N912" s="1545"/>
      <c r="O912" s="1539"/>
      <c r="P912" s="1539"/>
      <c r="Q912" s="1539"/>
      <c r="R912" s="1539"/>
      <c r="S912" s="1539"/>
      <c r="T912" s="1539"/>
      <c r="U912" s="1539"/>
      <c r="V912" s="1539"/>
      <c r="W912" s="1539"/>
      <c r="X912" s="1539"/>
      <c r="Y912" s="1539"/>
      <c r="Z912" s="1539"/>
      <c r="AA912" s="1539"/>
      <c r="AB912" s="1539"/>
      <c r="AC912" s="1539"/>
      <c r="AD912" s="1539"/>
      <c r="AE912" s="1539"/>
      <c r="AF912" s="1539"/>
      <c r="AG912" s="1539"/>
      <c r="AH912" s="1539"/>
      <c r="AI912" s="1539"/>
      <c r="AJ912" s="1539"/>
      <c r="AK912" s="1539"/>
      <c r="AL912" s="1539"/>
      <c r="AM912" s="1539"/>
      <c r="AN912" s="1539"/>
      <c r="AO912" s="1539"/>
      <c r="AP912" s="1539"/>
      <c r="AQ912" s="1539"/>
      <c r="AR912" s="1539"/>
      <c r="AS912" s="1539"/>
      <c r="AT912" s="1539"/>
      <c r="AU912" s="1539"/>
      <c r="AV912" s="1539"/>
      <c r="AW912" s="1539"/>
      <c r="AX912" s="1539"/>
      <c r="AY912" s="1539"/>
      <c r="AZ912" s="1539"/>
      <c r="BA912" s="1539"/>
      <c r="BB912" s="1539"/>
      <c r="BC912" s="1539"/>
      <c r="BD912" s="1539"/>
      <c r="BE912" s="1539"/>
      <c r="BF912" s="1539"/>
      <c r="BG912" s="1539"/>
      <c r="BH912" s="1539"/>
      <c r="BI912" s="1539"/>
      <c r="BJ912" s="1539"/>
      <c r="BK912" s="1539"/>
      <c r="BL912" s="1539"/>
      <c r="BM912" s="1539"/>
      <c r="BN912" s="1539"/>
      <c r="BO912" s="1539"/>
      <c r="BP912" s="1539"/>
      <c r="BQ912" s="1539"/>
      <c r="BR912" s="1539"/>
      <c r="BS912" s="1539"/>
      <c r="BT912" s="1539"/>
      <c r="BU912" s="1539"/>
      <c r="BV912" s="1539"/>
      <c r="BW912" s="1539"/>
      <c r="BX912" s="1539"/>
      <c r="BY912" s="1539"/>
      <c r="BZ912" s="1539"/>
      <c r="CA912" s="1539"/>
      <c r="CB912" s="1539"/>
      <c r="CC912" s="1539"/>
      <c r="CD912" s="1539"/>
      <c r="CE912" s="1539"/>
      <c r="CF912" s="1539"/>
      <c r="CG912" s="1539"/>
      <c r="CH912" s="1539"/>
      <c r="CI912" s="1539"/>
      <c r="CJ912" s="1539"/>
      <c r="CK912" s="1539"/>
      <c r="CL912" s="1539"/>
      <c r="CM912" s="1539"/>
      <c r="CN912" s="1539"/>
      <c r="CO912" s="1539"/>
    </row>
    <row r="913" spans="1:93" s="1552" customFormat="1" ht="15.5">
      <c r="A913" s="1598"/>
      <c r="B913" s="1599" t="s">
        <v>1760</v>
      </c>
      <c r="C913" s="1643" t="e">
        <f>+SUMIF(#REF!,Final!A913,#REF!)</f>
        <v>#REF!</v>
      </c>
      <c r="D913" s="1597" t="e">
        <f>+SUMIF(#REF!,Final!A913,#REF!)</f>
        <v>#REF!</v>
      </c>
      <c r="E913" s="1643" t="e">
        <f>SUMIF(#REF!,Final!A913,#REF!)</f>
        <v>#REF!</v>
      </c>
      <c r="F913" s="1644" t="e">
        <f>SUMIF(#REF!,Final!A913,#REF!)</f>
        <v>#REF!</v>
      </c>
      <c r="G913" s="1597" t="e">
        <f t="shared" si="68"/>
        <v>#REF!</v>
      </c>
      <c r="H913" s="1644" t="e">
        <f t="shared" si="69"/>
        <v>#REF!</v>
      </c>
      <c r="I913" s="1597" t="e">
        <f t="shared" si="70"/>
        <v>#REF!</v>
      </c>
      <c r="J913" s="1644" t="e">
        <f t="shared" si="71"/>
        <v>#REF!</v>
      </c>
      <c r="K913" s="1539"/>
      <c r="L913" s="1539"/>
      <c r="M913" s="1545"/>
      <c r="N913" s="1545"/>
      <c r="O913" s="1539"/>
      <c r="P913" s="1539"/>
      <c r="Q913" s="1539"/>
      <c r="R913" s="1539"/>
      <c r="S913" s="1539"/>
      <c r="T913" s="1539"/>
      <c r="U913" s="1539"/>
      <c r="V913" s="1539"/>
      <c r="W913" s="1539"/>
      <c r="X913" s="1539"/>
      <c r="Y913" s="1539"/>
      <c r="Z913" s="1539"/>
      <c r="AA913" s="1539"/>
      <c r="AB913" s="1539"/>
      <c r="AC913" s="1539"/>
      <c r="AD913" s="1539"/>
      <c r="AE913" s="1539"/>
      <c r="AF913" s="1539"/>
      <c r="AG913" s="1539"/>
      <c r="AH913" s="1539"/>
      <c r="AI913" s="1539"/>
      <c r="AJ913" s="1539"/>
      <c r="AK913" s="1539"/>
      <c r="AL913" s="1539"/>
      <c r="AM913" s="1539"/>
      <c r="AN913" s="1539"/>
      <c r="AO913" s="1539"/>
      <c r="AP913" s="1539"/>
      <c r="AQ913" s="1539"/>
      <c r="AR913" s="1539"/>
      <c r="AS913" s="1539"/>
      <c r="AT913" s="1539"/>
      <c r="AU913" s="1539"/>
      <c r="AV913" s="1539"/>
      <c r="AW913" s="1539"/>
      <c r="AX913" s="1539"/>
      <c r="AY913" s="1539"/>
      <c r="AZ913" s="1539"/>
      <c r="BA913" s="1539"/>
      <c r="BB913" s="1539"/>
      <c r="BC913" s="1539"/>
      <c r="BD913" s="1539"/>
      <c r="BE913" s="1539"/>
      <c r="BF913" s="1539"/>
      <c r="BG913" s="1539"/>
      <c r="BH913" s="1539"/>
      <c r="BI913" s="1539"/>
      <c r="BJ913" s="1539"/>
      <c r="BK913" s="1539"/>
      <c r="BL913" s="1539"/>
      <c r="BM913" s="1539"/>
      <c r="BN913" s="1539"/>
      <c r="BO913" s="1539"/>
      <c r="BP913" s="1539"/>
      <c r="BQ913" s="1539"/>
      <c r="BR913" s="1539"/>
      <c r="BS913" s="1539"/>
      <c r="BT913" s="1539"/>
      <c r="BU913" s="1539"/>
      <c r="BV913" s="1539"/>
      <c r="BW913" s="1539"/>
      <c r="BX913" s="1539"/>
      <c r="BY913" s="1539"/>
      <c r="BZ913" s="1539"/>
      <c r="CA913" s="1539"/>
      <c r="CB913" s="1539"/>
      <c r="CC913" s="1539"/>
      <c r="CD913" s="1539"/>
      <c r="CE913" s="1539"/>
      <c r="CF913" s="1539"/>
      <c r="CG913" s="1539"/>
      <c r="CH913" s="1539"/>
      <c r="CI913" s="1539"/>
      <c r="CJ913" s="1539"/>
      <c r="CK913" s="1539"/>
      <c r="CL913" s="1539"/>
      <c r="CM913" s="1539"/>
      <c r="CN913" s="1539"/>
      <c r="CO913" s="1539"/>
    </row>
    <row r="914" spans="1:93" s="1542" customFormat="1" ht="15.5">
      <c r="A914" s="1598" t="s">
        <v>545</v>
      </c>
      <c r="B914" s="1599" t="s">
        <v>2717</v>
      </c>
      <c r="C914" s="1643" t="e">
        <f>+SUMIF(#REF!,Final!A914,#REF!)</f>
        <v>#REF!</v>
      </c>
      <c r="D914" s="1597" t="e">
        <f>+SUMIF(#REF!,Final!A914,#REF!)</f>
        <v>#REF!</v>
      </c>
      <c r="E914" s="1643" t="e">
        <f>SUMIF(#REF!,Final!A914,#REF!)</f>
        <v>#REF!</v>
      </c>
      <c r="F914" s="1644" t="e">
        <f>SUMIF(#REF!,Final!A914,#REF!)</f>
        <v>#REF!</v>
      </c>
      <c r="G914" s="1597" t="e">
        <f t="shared" si="68"/>
        <v>#REF!</v>
      </c>
      <c r="H914" s="1644" t="e">
        <f t="shared" si="69"/>
        <v>#REF!</v>
      </c>
      <c r="I914" s="1597" t="e">
        <f t="shared" si="70"/>
        <v>#REF!</v>
      </c>
      <c r="J914" s="1644" t="e">
        <f t="shared" si="71"/>
        <v>#REF!</v>
      </c>
      <c r="K914" s="1539"/>
      <c r="L914" s="1539"/>
      <c r="M914" s="1545"/>
      <c r="N914" s="1545"/>
      <c r="O914" s="1539"/>
      <c r="P914" s="1539"/>
      <c r="Q914" s="1539"/>
      <c r="R914" s="1539"/>
      <c r="S914" s="1539"/>
      <c r="T914" s="1539"/>
      <c r="U914" s="1539"/>
      <c r="V914" s="1539"/>
      <c r="W914" s="1539"/>
      <c r="X914" s="1539"/>
      <c r="Y914" s="1539"/>
      <c r="Z914" s="1539"/>
      <c r="AA914" s="1539"/>
      <c r="AB914" s="1539"/>
      <c r="AC914" s="1539"/>
      <c r="AD914" s="1539"/>
      <c r="AE914" s="1539"/>
      <c r="AF914" s="1539"/>
      <c r="AG914" s="1539"/>
      <c r="AH914" s="1539"/>
      <c r="AI914" s="1539"/>
      <c r="AJ914" s="1539"/>
      <c r="AK914" s="1539"/>
      <c r="AL914" s="1539"/>
      <c r="AM914" s="1539"/>
      <c r="AN914" s="1539"/>
      <c r="AO914" s="1539"/>
      <c r="AP914" s="1539"/>
      <c r="AQ914" s="1539"/>
      <c r="AR914" s="1539"/>
      <c r="AS914" s="1539"/>
      <c r="AT914" s="1539"/>
      <c r="AU914" s="1539"/>
      <c r="AV914" s="1539"/>
      <c r="AW914" s="1539"/>
      <c r="AX914" s="1539"/>
      <c r="AY914" s="1539"/>
      <c r="AZ914" s="1539"/>
      <c r="BA914" s="1539"/>
      <c r="BB914" s="1539"/>
      <c r="BC914" s="1539"/>
      <c r="BD914" s="1539"/>
      <c r="BE914" s="1539"/>
      <c r="BF914" s="1539"/>
      <c r="BG914" s="1539"/>
      <c r="BH914" s="1539"/>
      <c r="BI914" s="1539"/>
      <c r="BJ914" s="1539"/>
      <c r="BK914" s="1539"/>
      <c r="BL914" s="1539"/>
      <c r="BM914" s="1539"/>
      <c r="BN914" s="1539"/>
      <c r="BO914" s="1539"/>
      <c r="BP914" s="1539"/>
      <c r="BQ914" s="1539"/>
      <c r="BR914" s="1539"/>
      <c r="BS914" s="1539"/>
      <c r="BT914" s="1539"/>
      <c r="BU914" s="1539"/>
      <c r="BV914" s="1539"/>
      <c r="BW914" s="1539"/>
      <c r="BX914" s="1539"/>
      <c r="BY914" s="1539"/>
      <c r="BZ914" s="1539"/>
      <c r="CA914" s="1539"/>
      <c r="CB914" s="1539"/>
      <c r="CC914" s="1539"/>
      <c r="CD914" s="1539"/>
      <c r="CE914" s="1539"/>
      <c r="CF914" s="1539"/>
      <c r="CG914" s="1539"/>
      <c r="CH914" s="1539"/>
      <c r="CI914" s="1539"/>
      <c r="CJ914" s="1539"/>
      <c r="CK914" s="1539"/>
      <c r="CL914" s="1539"/>
      <c r="CM914" s="1539"/>
      <c r="CN914" s="1539"/>
      <c r="CO914" s="1539"/>
    </row>
    <row r="915" spans="1:93" ht="15.5">
      <c r="A915" s="1600">
        <v>22.65</v>
      </c>
      <c r="B915" s="1599" t="s">
        <v>2718</v>
      </c>
      <c r="C915" s="1643" t="e">
        <f>+SUMIF(#REF!,Final!A915,#REF!)</f>
        <v>#REF!</v>
      </c>
      <c r="D915" s="1597" t="e">
        <f>+SUMIF(#REF!,Final!A915,#REF!)</f>
        <v>#REF!</v>
      </c>
      <c r="E915" s="1643" t="e">
        <f>SUMIF(#REF!,Final!A915,#REF!)</f>
        <v>#REF!</v>
      </c>
      <c r="F915" s="1644" t="e">
        <f>SUMIF(#REF!,Final!A915,#REF!)</f>
        <v>#REF!</v>
      </c>
      <c r="G915" s="1597" t="e">
        <f t="shared" si="68"/>
        <v>#REF!</v>
      </c>
      <c r="H915" s="1644" t="e">
        <f t="shared" si="69"/>
        <v>#REF!</v>
      </c>
      <c r="I915" s="1597" t="e">
        <f t="shared" si="70"/>
        <v>#REF!</v>
      </c>
      <c r="J915" s="1644" t="e">
        <f t="shared" si="71"/>
        <v>#REF!</v>
      </c>
      <c r="M915" s="1545"/>
      <c r="N915" s="1545"/>
    </row>
    <row r="916" spans="1:93" ht="15.5">
      <c r="A916" s="1684" t="s">
        <v>4958</v>
      </c>
      <c r="B916" s="1703" t="s">
        <v>2718</v>
      </c>
      <c r="C916" s="1643" t="e">
        <f>+SUMIF(#REF!,Final!A916,#REF!)</f>
        <v>#REF!</v>
      </c>
      <c r="D916" s="1597" t="e">
        <f>+SUMIF(#REF!,Final!A916,#REF!)</f>
        <v>#REF!</v>
      </c>
      <c r="E916" s="1643" t="e">
        <f>SUMIF(#REF!,Final!A916,#REF!)</f>
        <v>#REF!</v>
      </c>
      <c r="F916" s="1644" t="e">
        <f>SUMIF(#REF!,Final!A916,#REF!)</f>
        <v>#REF!</v>
      </c>
      <c r="G916" s="1597" t="e">
        <f t="shared" si="68"/>
        <v>#REF!</v>
      </c>
      <c r="H916" s="1644" t="e">
        <f t="shared" si="69"/>
        <v>#REF!</v>
      </c>
      <c r="I916" s="1597" t="e">
        <f t="shared" si="70"/>
        <v>#REF!</v>
      </c>
      <c r="J916" s="1644" t="e">
        <f t="shared" si="71"/>
        <v>#REF!</v>
      </c>
      <c r="M916" s="1545"/>
      <c r="N916" s="1545"/>
    </row>
    <row r="917" spans="1:93" ht="15.5">
      <c r="A917" s="1788" t="s">
        <v>5242</v>
      </c>
      <c r="B917" s="1789" t="s">
        <v>2718</v>
      </c>
      <c r="C917" s="1643" t="e">
        <f>+SUMIF(#REF!,Final!A917,#REF!)</f>
        <v>#REF!</v>
      </c>
      <c r="D917" s="1597" t="e">
        <f>+SUMIF(#REF!,Final!A917,#REF!)</f>
        <v>#REF!</v>
      </c>
      <c r="E917" s="1643" t="e">
        <f>SUMIF(#REF!,Final!A917,#REF!)</f>
        <v>#REF!</v>
      </c>
      <c r="F917" s="1644" t="e">
        <f>SUMIF(#REF!,Final!A917,#REF!)</f>
        <v>#REF!</v>
      </c>
      <c r="G917" s="1597" t="e">
        <f t="shared" ref="G917" si="84">C917+E917</f>
        <v>#REF!</v>
      </c>
      <c r="H917" s="1644" t="e">
        <f t="shared" ref="H917" si="85">D917+F917</f>
        <v>#REF!</v>
      </c>
      <c r="I917" s="1597" t="e">
        <f t="shared" ref="I917" si="86">IF(G917&gt;H917,G917-H917,0)</f>
        <v>#REF!</v>
      </c>
      <c r="J917" s="1644" t="e">
        <f t="shared" ref="J917" si="87">IF(H917&gt;G917,H917-G917,0)</f>
        <v>#REF!</v>
      </c>
      <c r="M917" s="1545"/>
      <c r="N917" s="1545"/>
    </row>
    <row r="918" spans="1:93" s="1552" customFormat="1" ht="15.5">
      <c r="A918" s="1600"/>
      <c r="B918" s="1599" t="s">
        <v>1747</v>
      </c>
      <c r="C918" s="1643" t="e">
        <f>+SUMIF(#REF!,Final!A918,#REF!)</f>
        <v>#REF!</v>
      </c>
      <c r="D918" s="1597" t="e">
        <f>+SUMIF(#REF!,Final!A918,#REF!)</f>
        <v>#REF!</v>
      </c>
      <c r="E918" s="1643" t="e">
        <f>SUMIF(#REF!,Final!A918,#REF!)</f>
        <v>#REF!</v>
      </c>
      <c r="F918" s="1644" t="e">
        <f>SUMIF(#REF!,Final!A918,#REF!)</f>
        <v>#REF!</v>
      </c>
      <c r="G918" s="1597" t="e">
        <f t="shared" si="68"/>
        <v>#REF!</v>
      </c>
      <c r="H918" s="1644" t="e">
        <f t="shared" si="69"/>
        <v>#REF!</v>
      </c>
      <c r="I918" s="1597" t="e">
        <f t="shared" si="70"/>
        <v>#REF!</v>
      </c>
      <c r="J918" s="1644" t="e">
        <f t="shared" si="71"/>
        <v>#REF!</v>
      </c>
      <c r="K918" s="1539"/>
      <c r="L918" s="1539"/>
      <c r="M918" s="1545"/>
      <c r="N918" s="1545"/>
      <c r="O918" s="1539"/>
      <c r="P918" s="1539"/>
      <c r="Q918" s="1539"/>
      <c r="R918" s="1539"/>
      <c r="S918" s="1539"/>
      <c r="T918" s="1539"/>
      <c r="U918" s="1539"/>
      <c r="V918" s="1539"/>
      <c r="W918" s="1539"/>
      <c r="X918" s="1539"/>
      <c r="Y918" s="1539"/>
      <c r="Z918" s="1539"/>
      <c r="AA918" s="1539"/>
      <c r="AB918" s="1539"/>
      <c r="AC918" s="1539"/>
      <c r="AD918" s="1539"/>
      <c r="AE918" s="1539"/>
      <c r="AF918" s="1539"/>
      <c r="AG918" s="1539"/>
      <c r="AH918" s="1539"/>
      <c r="AI918" s="1539"/>
      <c r="AJ918" s="1539"/>
      <c r="AK918" s="1539"/>
      <c r="AL918" s="1539"/>
      <c r="AM918" s="1539"/>
      <c r="AN918" s="1539"/>
      <c r="AO918" s="1539"/>
      <c r="AP918" s="1539"/>
      <c r="AQ918" s="1539"/>
      <c r="AR918" s="1539"/>
      <c r="AS918" s="1539"/>
      <c r="AT918" s="1539"/>
      <c r="AU918" s="1539"/>
      <c r="AV918" s="1539"/>
      <c r="AW918" s="1539"/>
      <c r="AX918" s="1539"/>
      <c r="AY918" s="1539"/>
      <c r="AZ918" s="1539"/>
      <c r="BA918" s="1539"/>
      <c r="BB918" s="1539"/>
      <c r="BC918" s="1539"/>
      <c r="BD918" s="1539"/>
      <c r="BE918" s="1539"/>
      <c r="BF918" s="1539"/>
      <c r="BG918" s="1539"/>
      <c r="BH918" s="1539"/>
      <c r="BI918" s="1539"/>
      <c r="BJ918" s="1539"/>
      <c r="BK918" s="1539"/>
      <c r="BL918" s="1539"/>
      <c r="BM918" s="1539"/>
      <c r="BN918" s="1539"/>
      <c r="BO918" s="1539"/>
      <c r="BP918" s="1539"/>
      <c r="BQ918" s="1539"/>
      <c r="BR918" s="1539"/>
      <c r="BS918" s="1539"/>
      <c r="BT918" s="1539"/>
      <c r="BU918" s="1539"/>
      <c r="BV918" s="1539"/>
      <c r="BW918" s="1539"/>
      <c r="BX918" s="1539"/>
      <c r="BY918" s="1539"/>
      <c r="BZ918" s="1539"/>
      <c r="CA918" s="1539"/>
      <c r="CB918" s="1539"/>
      <c r="CC918" s="1539"/>
      <c r="CD918" s="1539"/>
      <c r="CE918" s="1539"/>
      <c r="CF918" s="1539"/>
      <c r="CG918" s="1539"/>
      <c r="CH918" s="1539"/>
      <c r="CI918" s="1539"/>
      <c r="CJ918" s="1539"/>
      <c r="CK918" s="1539"/>
      <c r="CL918" s="1539"/>
      <c r="CM918" s="1539"/>
      <c r="CN918" s="1539"/>
      <c r="CO918" s="1539"/>
    </row>
    <row r="919" spans="1:93" s="1552" customFormat="1" ht="15.5">
      <c r="A919" s="1600"/>
      <c r="B919" s="1599" t="s">
        <v>1760</v>
      </c>
      <c r="C919" s="1643" t="e">
        <f>+SUMIF(#REF!,Final!A919,#REF!)</f>
        <v>#REF!</v>
      </c>
      <c r="D919" s="1597" t="e">
        <f>+SUMIF(#REF!,Final!A919,#REF!)</f>
        <v>#REF!</v>
      </c>
      <c r="E919" s="1643" t="e">
        <f>SUMIF(#REF!,Final!A919,#REF!)</f>
        <v>#REF!</v>
      </c>
      <c r="F919" s="1644" t="e">
        <f>SUMIF(#REF!,Final!A919,#REF!)</f>
        <v>#REF!</v>
      </c>
      <c r="G919" s="1597" t="e">
        <f t="shared" ref="G919:G982" si="88">C919+E919</f>
        <v>#REF!</v>
      </c>
      <c r="H919" s="1644" t="e">
        <f t="shared" ref="H919:H982" si="89">D919+F919</f>
        <v>#REF!</v>
      </c>
      <c r="I919" s="1597" t="e">
        <f t="shared" ref="I919:I982" si="90">IF(G919&gt;H919,G919-H919,0)</f>
        <v>#REF!</v>
      </c>
      <c r="J919" s="1644" t="e">
        <f t="shared" ref="J919:J982" si="91">IF(H919&gt;G919,H919-G919,0)</f>
        <v>#REF!</v>
      </c>
      <c r="K919" s="1539"/>
      <c r="L919" s="1539"/>
      <c r="M919" s="1545"/>
      <c r="N919" s="1545"/>
      <c r="O919" s="1539"/>
      <c r="P919" s="1539"/>
      <c r="Q919" s="1539"/>
      <c r="R919" s="1539"/>
      <c r="S919" s="1539"/>
      <c r="T919" s="1539"/>
      <c r="U919" s="1539"/>
      <c r="V919" s="1539"/>
      <c r="W919" s="1539"/>
      <c r="X919" s="1539"/>
      <c r="Y919" s="1539"/>
      <c r="Z919" s="1539"/>
      <c r="AA919" s="1539"/>
      <c r="AB919" s="1539"/>
      <c r="AC919" s="1539"/>
      <c r="AD919" s="1539"/>
      <c r="AE919" s="1539"/>
      <c r="AF919" s="1539"/>
      <c r="AG919" s="1539"/>
      <c r="AH919" s="1539"/>
      <c r="AI919" s="1539"/>
      <c r="AJ919" s="1539"/>
      <c r="AK919" s="1539"/>
      <c r="AL919" s="1539"/>
      <c r="AM919" s="1539"/>
      <c r="AN919" s="1539"/>
      <c r="AO919" s="1539"/>
      <c r="AP919" s="1539"/>
      <c r="AQ919" s="1539"/>
      <c r="AR919" s="1539"/>
      <c r="AS919" s="1539"/>
      <c r="AT919" s="1539"/>
      <c r="AU919" s="1539"/>
      <c r="AV919" s="1539"/>
      <c r="AW919" s="1539"/>
      <c r="AX919" s="1539"/>
      <c r="AY919" s="1539"/>
      <c r="AZ919" s="1539"/>
      <c r="BA919" s="1539"/>
      <c r="BB919" s="1539"/>
      <c r="BC919" s="1539"/>
      <c r="BD919" s="1539"/>
      <c r="BE919" s="1539"/>
      <c r="BF919" s="1539"/>
      <c r="BG919" s="1539"/>
      <c r="BH919" s="1539"/>
      <c r="BI919" s="1539"/>
      <c r="BJ919" s="1539"/>
      <c r="BK919" s="1539"/>
      <c r="BL919" s="1539"/>
      <c r="BM919" s="1539"/>
      <c r="BN919" s="1539"/>
      <c r="BO919" s="1539"/>
      <c r="BP919" s="1539"/>
      <c r="BQ919" s="1539"/>
      <c r="BR919" s="1539"/>
      <c r="BS919" s="1539"/>
      <c r="BT919" s="1539"/>
      <c r="BU919" s="1539"/>
      <c r="BV919" s="1539"/>
      <c r="BW919" s="1539"/>
      <c r="BX919" s="1539"/>
      <c r="BY919" s="1539"/>
      <c r="BZ919" s="1539"/>
      <c r="CA919" s="1539"/>
      <c r="CB919" s="1539"/>
      <c r="CC919" s="1539"/>
      <c r="CD919" s="1539"/>
      <c r="CE919" s="1539"/>
      <c r="CF919" s="1539"/>
      <c r="CG919" s="1539"/>
      <c r="CH919" s="1539"/>
      <c r="CI919" s="1539"/>
      <c r="CJ919" s="1539"/>
      <c r="CK919" s="1539"/>
      <c r="CL919" s="1539"/>
      <c r="CM919" s="1539"/>
      <c r="CN919" s="1539"/>
      <c r="CO919" s="1539"/>
    </row>
    <row r="920" spans="1:93" s="1542" customFormat="1" ht="15.5">
      <c r="A920" s="1600" t="s">
        <v>1406</v>
      </c>
      <c r="B920" s="1599" t="s">
        <v>2719</v>
      </c>
      <c r="C920" s="1643" t="e">
        <f>+SUMIF(#REF!,Final!A920,#REF!)</f>
        <v>#REF!</v>
      </c>
      <c r="D920" s="1597" t="e">
        <f>+SUMIF(#REF!,Final!A920,#REF!)</f>
        <v>#REF!</v>
      </c>
      <c r="E920" s="1643" t="e">
        <f>SUMIF(#REF!,Final!A920,#REF!)</f>
        <v>#REF!</v>
      </c>
      <c r="F920" s="1644" t="e">
        <f>SUMIF(#REF!,Final!A920,#REF!)</f>
        <v>#REF!</v>
      </c>
      <c r="G920" s="1597" t="e">
        <f t="shared" si="88"/>
        <v>#REF!</v>
      </c>
      <c r="H920" s="1644" t="e">
        <f t="shared" si="89"/>
        <v>#REF!</v>
      </c>
      <c r="I920" s="1597" t="e">
        <f t="shared" si="90"/>
        <v>#REF!</v>
      </c>
      <c r="J920" s="1644" t="e">
        <f t="shared" si="91"/>
        <v>#REF!</v>
      </c>
      <c r="K920" s="1539"/>
      <c r="L920" s="1539"/>
      <c r="M920" s="1545"/>
      <c r="N920" s="1545"/>
      <c r="O920" s="1539"/>
      <c r="P920" s="1539"/>
      <c r="Q920" s="1539"/>
      <c r="R920" s="1539"/>
      <c r="S920" s="1539"/>
      <c r="T920" s="1539"/>
      <c r="U920" s="1539"/>
      <c r="V920" s="1539"/>
      <c r="W920" s="1539"/>
      <c r="X920" s="1539"/>
      <c r="Y920" s="1539"/>
      <c r="Z920" s="1539"/>
      <c r="AA920" s="1539"/>
      <c r="AB920" s="1539"/>
      <c r="AC920" s="1539"/>
      <c r="AD920" s="1539"/>
      <c r="AE920" s="1539"/>
      <c r="AF920" s="1539"/>
      <c r="AG920" s="1539"/>
      <c r="AH920" s="1539"/>
      <c r="AI920" s="1539"/>
      <c r="AJ920" s="1539"/>
      <c r="AK920" s="1539"/>
      <c r="AL920" s="1539"/>
      <c r="AM920" s="1539"/>
      <c r="AN920" s="1539"/>
      <c r="AO920" s="1539"/>
      <c r="AP920" s="1539"/>
      <c r="AQ920" s="1539"/>
      <c r="AR920" s="1539"/>
      <c r="AS920" s="1539"/>
      <c r="AT920" s="1539"/>
      <c r="AU920" s="1539"/>
      <c r="AV920" s="1539"/>
      <c r="AW920" s="1539"/>
      <c r="AX920" s="1539"/>
      <c r="AY920" s="1539"/>
      <c r="AZ920" s="1539"/>
      <c r="BA920" s="1539"/>
      <c r="BB920" s="1539"/>
      <c r="BC920" s="1539"/>
      <c r="BD920" s="1539"/>
      <c r="BE920" s="1539"/>
      <c r="BF920" s="1539"/>
      <c r="BG920" s="1539"/>
      <c r="BH920" s="1539"/>
      <c r="BI920" s="1539"/>
      <c r="BJ920" s="1539"/>
      <c r="BK920" s="1539"/>
      <c r="BL920" s="1539"/>
      <c r="BM920" s="1539"/>
      <c r="BN920" s="1539"/>
      <c r="BO920" s="1539"/>
      <c r="BP920" s="1539"/>
      <c r="BQ920" s="1539"/>
      <c r="BR920" s="1539"/>
      <c r="BS920" s="1539"/>
      <c r="BT920" s="1539"/>
      <c r="BU920" s="1539"/>
      <c r="BV920" s="1539"/>
      <c r="BW920" s="1539"/>
      <c r="BX920" s="1539"/>
      <c r="BY920" s="1539"/>
      <c r="BZ920" s="1539"/>
      <c r="CA920" s="1539"/>
      <c r="CB920" s="1539"/>
      <c r="CC920" s="1539"/>
      <c r="CD920" s="1539"/>
      <c r="CE920" s="1539"/>
      <c r="CF920" s="1539"/>
      <c r="CG920" s="1539"/>
      <c r="CH920" s="1539"/>
      <c r="CI920" s="1539"/>
      <c r="CJ920" s="1539"/>
      <c r="CK920" s="1539"/>
      <c r="CL920" s="1539"/>
      <c r="CM920" s="1539"/>
      <c r="CN920" s="1539"/>
      <c r="CO920" s="1539"/>
    </row>
    <row r="921" spans="1:93" ht="15.5">
      <c r="A921" s="1600">
        <v>22.68</v>
      </c>
      <c r="B921" s="1599" t="s">
        <v>2720</v>
      </c>
      <c r="C921" s="1643" t="e">
        <f>+SUMIF(#REF!,Final!A921,#REF!)</f>
        <v>#REF!</v>
      </c>
      <c r="D921" s="1597" t="e">
        <f>+SUMIF(#REF!,Final!A921,#REF!)</f>
        <v>#REF!</v>
      </c>
      <c r="E921" s="1643" t="e">
        <f>SUMIF(#REF!,Final!A921,#REF!)</f>
        <v>#REF!</v>
      </c>
      <c r="F921" s="1644" t="e">
        <f>SUMIF(#REF!,Final!A921,#REF!)</f>
        <v>#REF!</v>
      </c>
      <c r="G921" s="1597" t="e">
        <f t="shared" si="88"/>
        <v>#REF!</v>
      </c>
      <c r="H921" s="1644" t="e">
        <f t="shared" si="89"/>
        <v>#REF!</v>
      </c>
      <c r="I921" s="1597" t="e">
        <f t="shared" si="90"/>
        <v>#REF!</v>
      </c>
      <c r="J921" s="1644" t="e">
        <f t="shared" si="91"/>
        <v>#REF!</v>
      </c>
      <c r="M921" s="1545"/>
      <c r="N921" s="1545"/>
    </row>
    <row r="922" spans="1:93" ht="15.5">
      <c r="A922" s="1600">
        <v>22.69</v>
      </c>
      <c r="B922" s="1599" t="s">
        <v>2721</v>
      </c>
      <c r="C922" s="1643" t="e">
        <f>+SUMIF(#REF!,Final!A922,#REF!)</f>
        <v>#REF!</v>
      </c>
      <c r="D922" s="1597" t="e">
        <f>+SUMIF(#REF!,Final!A922,#REF!)</f>
        <v>#REF!</v>
      </c>
      <c r="E922" s="1643" t="e">
        <f>SUMIF(#REF!,Final!A922,#REF!)</f>
        <v>#REF!</v>
      </c>
      <c r="F922" s="1644" t="e">
        <f>SUMIF(#REF!,Final!A922,#REF!)</f>
        <v>#REF!</v>
      </c>
      <c r="G922" s="1597" t="e">
        <f t="shared" si="88"/>
        <v>#REF!</v>
      </c>
      <c r="H922" s="1644" t="e">
        <f t="shared" si="89"/>
        <v>#REF!</v>
      </c>
      <c r="I922" s="1597" t="e">
        <f t="shared" si="90"/>
        <v>#REF!</v>
      </c>
      <c r="J922" s="1644" t="e">
        <f t="shared" si="91"/>
        <v>#REF!</v>
      </c>
      <c r="M922" s="1545"/>
      <c r="N922" s="1545"/>
    </row>
    <row r="923" spans="1:93" s="1552" customFormat="1" ht="15.5">
      <c r="A923" s="1598"/>
      <c r="B923" s="1599" t="s">
        <v>1747</v>
      </c>
      <c r="C923" s="1643" t="e">
        <f>+SUMIF(#REF!,Final!A923,#REF!)</f>
        <v>#REF!</v>
      </c>
      <c r="D923" s="1597" t="e">
        <f>+SUMIF(#REF!,Final!A923,#REF!)</f>
        <v>#REF!</v>
      </c>
      <c r="E923" s="1643" t="e">
        <f>SUMIF(#REF!,Final!A923,#REF!)</f>
        <v>#REF!</v>
      </c>
      <c r="F923" s="1644" t="e">
        <f>SUMIF(#REF!,Final!A923,#REF!)</f>
        <v>#REF!</v>
      </c>
      <c r="G923" s="1597" t="e">
        <f t="shared" si="88"/>
        <v>#REF!</v>
      </c>
      <c r="H923" s="1644" t="e">
        <f t="shared" si="89"/>
        <v>#REF!</v>
      </c>
      <c r="I923" s="1597" t="e">
        <f t="shared" si="90"/>
        <v>#REF!</v>
      </c>
      <c r="J923" s="1644" t="e">
        <f t="shared" si="91"/>
        <v>#REF!</v>
      </c>
      <c r="K923" s="1539"/>
      <c r="L923" s="1539"/>
      <c r="M923" s="1545"/>
      <c r="N923" s="1545"/>
      <c r="O923" s="1539"/>
      <c r="P923" s="1539"/>
      <c r="Q923" s="1539"/>
      <c r="R923" s="1539"/>
      <c r="S923" s="1539"/>
      <c r="T923" s="1539"/>
      <c r="U923" s="1539"/>
      <c r="V923" s="1539"/>
      <c r="W923" s="1539"/>
      <c r="X923" s="1539"/>
      <c r="Y923" s="1539"/>
      <c r="Z923" s="1539"/>
      <c r="AA923" s="1539"/>
      <c r="AB923" s="1539"/>
      <c r="AC923" s="1539"/>
      <c r="AD923" s="1539"/>
      <c r="AE923" s="1539"/>
      <c r="AF923" s="1539"/>
      <c r="AG923" s="1539"/>
      <c r="AH923" s="1539"/>
      <c r="AI923" s="1539"/>
      <c r="AJ923" s="1539"/>
      <c r="AK923" s="1539"/>
      <c r="AL923" s="1539"/>
      <c r="AM923" s="1539"/>
      <c r="AN923" s="1539"/>
      <c r="AO923" s="1539"/>
      <c r="AP923" s="1539"/>
      <c r="AQ923" s="1539"/>
      <c r="AR923" s="1539"/>
      <c r="AS923" s="1539"/>
      <c r="AT923" s="1539"/>
      <c r="AU923" s="1539"/>
      <c r="AV923" s="1539"/>
      <c r="AW923" s="1539"/>
      <c r="AX923" s="1539"/>
      <c r="AY923" s="1539"/>
      <c r="AZ923" s="1539"/>
      <c r="BA923" s="1539"/>
      <c r="BB923" s="1539"/>
      <c r="BC923" s="1539"/>
      <c r="BD923" s="1539"/>
      <c r="BE923" s="1539"/>
      <c r="BF923" s="1539"/>
      <c r="BG923" s="1539"/>
      <c r="BH923" s="1539"/>
      <c r="BI923" s="1539"/>
      <c r="BJ923" s="1539"/>
      <c r="BK923" s="1539"/>
      <c r="BL923" s="1539"/>
      <c r="BM923" s="1539"/>
      <c r="BN923" s="1539"/>
      <c r="BO923" s="1539"/>
      <c r="BP923" s="1539"/>
      <c r="BQ923" s="1539"/>
      <c r="BR923" s="1539"/>
      <c r="BS923" s="1539"/>
      <c r="BT923" s="1539"/>
      <c r="BU923" s="1539"/>
      <c r="BV923" s="1539"/>
      <c r="BW923" s="1539"/>
      <c r="BX923" s="1539"/>
      <c r="BY923" s="1539"/>
      <c r="BZ923" s="1539"/>
      <c r="CA923" s="1539"/>
      <c r="CB923" s="1539"/>
      <c r="CC923" s="1539"/>
      <c r="CD923" s="1539"/>
      <c r="CE923" s="1539"/>
      <c r="CF923" s="1539"/>
      <c r="CG923" s="1539"/>
      <c r="CH923" s="1539"/>
      <c r="CI923" s="1539"/>
      <c r="CJ923" s="1539"/>
      <c r="CK923" s="1539"/>
      <c r="CL923" s="1539"/>
      <c r="CM923" s="1539"/>
      <c r="CN923" s="1539"/>
      <c r="CO923" s="1539"/>
    </row>
    <row r="924" spans="1:93" s="1552" customFormat="1" ht="15.5">
      <c r="A924" s="1598"/>
      <c r="B924" s="1599" t="s">
        <v>1760</v>
      </c>
      <c r="C924" s="1643" t="e">
        <f>+SUMIF(#REF!,Final!A924,#REF!)</f>
        <v>#REF!</v>
      </c>
      <c r="D924" s="1597" t="e">
        <f>+SUMIF(#REF!,Final!A924,#REF!)</f>
        <v>#REF!</v>
      </c>
      <c r="E924" s="1643" t="e">
        <f>SUMIF(#REF!,Final!A924,#REF!)</f>
        <v>#REF!</v>
      </c>
      <c r="F924" s="1644" t="e">
        <f>SUMIF(#REF!,Final!A924,#REF!)</f>
        <v>#REF!</v>
      </c>
      <c r="G924" s="1597" t="e">
        <f t="shared" si="88"/>
        <v>#REF!</v>
      </c>
      <c r="H924" s="1644" t="e">
        <f t="shared" si="89"/>
        <v>#REF!</v>
      </c>
      <c r="I924" s="1597" t="e">
        <f t="shared" si="90"/>
        <v>#REF!</v>
      </c>
      <c r="J924" s="1644" t="e">
        <f t="shared" si="91"/>
        <v>#REF!</v>
      </c>
      <c r="K924" s="1539"/>
      <c r="L924" s="1539"/>
      <c r="M924" s="1545"/>
      <c r="N924" s="1545"/>
      <c r="O924" s="1539"/>
      <c r="P924" s="1539"/>
      <c r="Q924" s="1539"/>
      <c r="R924" s="1539"/>
      <c r="S924" s="1539"/>
      <c r="T924" s="1539"/>
      <c r="U924" s="1539"/>
      <c r="V924" s="1539"/>
      <c r="W924" s="1539"/>
      <c r="X924" s="1539"/>
      <c r="Y924" s="1539"/>
      <c r="Z924" s="1539"/>
      <c r="AA924" s="1539"/>
      <c r="AB924" s="1539"/>
      <c r="AC924" s="1539"/>
      <c r="AD924" s="1539"/>
      <c r="AE924" s="1539"/>
      <c r="AF924" s="1539"/>
      <c r="AG924" s="1539"/>
      <c r="AH924" s="1539"/>
      <c r="AI924" s="1539"/>
      <c r="AJ924" s="1539"/>
      <c r="AK924" s="1539"/>
      <c r="AL924" s="1539"/>
      <c r="AM924" s="1539"/>
      <c r="AN924" s="1539"/>
      <c r="AO924" s="1539"/>
      <c r="AP924" s="1539"/>
      <c r="AQ924" s="1539"/>
      <c r="AR924" s="1539"/>
      <c r="AS924" s="1539"/>
      <c r="AT924" s="1539"/>
      <c r="AU924" s="1539"/>
      <c r="AV924" s="1539"/>
      <c r="AW924" s="1539"/>
      <c r="AX924" s="1539"/>
      <c r="AY924" s="1539"/>
      <c r="AZ924" s="1539"/>
      <c r="BA924" s="1539"/>
      <c r="BB924" s="1539"/>
      <c r="BC924" s="1539"/>
      <c r="BD924" s="1539"/>
      <c r="BE924" s="1539"/>
      <c r="BF924" s="1539"/>
      <c r="BG924" s="1539"/>
      <c r="BH924" s="1539"/>
      <c r="BI924" s="1539"/>
      <c r="BJ924" s="1539"/>
      <c r="BK924" s="1539"/>
      <c r="BL924" s="1539"/>
      <c r="BM924" s="1539"/>
      <c r="BN924" s="1539"/>
      <c r="BO924" s="1539"/>
      <c r="BP924" s="1539"/>
      <c r="BQ924" s="1539"/>
      <c r="BR924" s="1539"/>
      <c r="BS924" s="1539"/>
      <c r="BT924" s="1539"/>
      <c r="BU924" s="1539"/>
      <c r="BV924" s="1539"/>
      <c r="BW924" s="1539"/>
      <c r="BX924" s="1539"/>
      <c r="BY924" s="1539"/>
      <c r="BZ924" s="1539"/>
      <c r="CA924" s="1539"/>
      <c r="CB924" s="1539"/>
      <c r="CC924" s="1539"/>
      <c r="CD924" s="1539"/>
      <c r="CE924" s="1539"/>
      <c r="CF924" s="1539"/>
      <c r="CG924" s="1539"/>
      <c r="CH924" s="1539"/>
      <c r="CI924" s="1539"/>
      <c r="CJ924" s="1539"/>
      <c r="CK924" s="1539"/>
      <c r="CL924" s="1539"/>
      <c r="CM924" s="1539"/>
      <c r="CN924" s="1539"/>
      <c r="CO924" s="1539"/>
    </row>
    <row r="925" spans="1:93" s="1542" customFormat="1" ht="15.5">
      <c r="A925" s="1598" t="s">
        <v>1408</v>
      </c>
      <c r="B925" s="1599" t="s">
        <v>2722</v>
      </c>
      <c r="C925" s="1643" t="e">
        <f>+SUMIF(#REF!,Final!A925,#REF!)</f>
        <v>#REF!</v>
      </c>
      <c r="D925" s="1597" t="e">
        <f>+SUMIF(#REF!,Final!A925,#REF!)</f>
        <v>#REF!</v>
      </c>
      <c r="E925" s="1643" t="e">
        <f>SUMIF(#REF!,Final!A925,#REF!)</f>
        <v>#REF!</v>
      </c>
      <c r="F925" s="1644" t="e">
        <f>SUMIF(#REF!,Final!A925,#REF!)</f>
        <v>#REF!</v>
      </c>
      <c r="G925" s="1597" t="e">
        <f t="shared" si="88"/>
        <v>#REF!</v>
      </c>
      <c r="H925" s="1644" t="e">
        <f t="shared" si="89"/>
        <v>#REF!</v>
      </c>
      <c r="I925" s="1597" t="e">
        <f t="shared" si="90"/>
        <v>#REF!</v>
      </c>
      <c r="J925" s="1644" t="e">
        <f t="shared" si="91"/>
        <v>#REF!</v>
      </c>
      <c r="K925" s="1539"/>
      <c r="L925" s="1539"/>
      <c r="M925" s="1545"/>
      <c r="N925" s="1545"/>
      <c r="O925" s="1539"/>
      <c r="P925" s="1539"/>
      <c r="Q925" s="1539"/>
      <c r="R925" s="1539"/>
      <c r="S925" s="1539"/>
      <c r="T925" s="1539"/>
      <c r="U925" s="1539"/>
      <c r="V925" s="1539"/>
      <c r="W925" s="1539"/>
      <c r="X925" s="1539"/>
      <c r="Y925" s="1539"/>
      <c r="Z925" s="1539"/>
      <c r="AA925" s="1539"/>
      <c r="AB925" s="1539"/>
      <c r="AC925" s="1539"/>
      <c r="AD925" s="1539"/>
      <c r="AE925" s="1539"/>
      <c r="AF925" s="1539"/>
      <c r="AG925" s="1539"/>
      <c r="AH925" s="1539"/>
      <c r="AI925" s="1539"/>
      <c r="AJ925" s="1539"/>
      <c r="AK925" s="1539"/>
      <c r="AL925" s="1539"/>
      <c r="AM925" s="1539"/>
      <c r="AN925" s="1539"/>
      <c r="AO925" s="1539"/>
      <c r="AP925" s="1539"/>
      <c r="AQ925" s="1539"/>
      <c r="AR925" s="1539"/>
      <c r="AS925" s="1539"/>
      <c r="AT925" s="1539"/>
      <c r="AU925" s="1539"/>
      <c r="AV925" s="1539"/>
      <c r="AW925" s="1539"/>
      <c r="AX925" s="1539"/>
      <c r="AY925" s="1539"/>
      <c r="AZ925" s="1539"/>
      <c r="BA925" s="1539"/>
      <c r="BB925" s="1539"/>
      <c r="BC925" s="1539"/>
      <c r="BD925" s="1539"/>
      <c r="BE925" s="1539"/>
      <c r="BF925" s="1539"/>
      <c r="BG925" s="1539"/>
      <c r="BH925" s="1539"/>
      <c r="BI925" s="1539"/>
      <c r="BJ925" s="1539"/>
      <c r="BK925" s="1539"/>
      <c r="BL925" s="1539"/>
      <c r="BM925" s="1539"/>
      <c r="BN925" s="1539"/>
      <c r="BO925" s="1539"/>
      <c r="BP925" s="1539"/>
      <c r="BQ925" s="1539"/>
      <c r="BR925" s="1539"/>
      <c r="BS925" s="1539"/>
      <c r="BT925" s="1539"/>
      <c r="BU925" s="1539"/>
      <c r="BV925" s="1539"/>
      <c r="BW925" s="1539"/>
      <c r="BX925" s="1539"/>
      <c r="BY925" s="1539"/>
      <c r="BZ925" s="1539"/>
      <c r="CA925" s="1539"/>
      <c r="CB925" s="1539"/>
      <c r="CC925" s="1539"/>
      <c r="CD925" s="1539"/>
      <c r="CE925" s="1539"/>
      <c r="CF925" s="1539"/>
      <c r="CG925" s="1539"/>
      <c r="CH925" s="1539"/>
      <c r="CI925" s="1539"/>
      <c r="CJ925" s="1539"/>
      <c r="CK925" s="1539"/>
      <c r="CL925" s="1539"/>
      <c r="CM925" s="1539"/>
      <c r="CN925" s="1539"/>
      <c r="CO925" s="1539"/>
    </row>
    <row r="926" spans="1:93" ht="15.5">
      <c r="A926" s="1600">
        <v>22.77</v>
      </c>
      <c r="B926" s="1599" t="s">
        <v>2723</v>
      </c>
      <c r="C926" s="1643" t="e">
        <f>+SUMIF(#REF!,Final!A926,#REF!)</f>
        <v>#REF!</v>
      </c>
      <c r="D926" s="1597" t="e">
        <f>+SUMIF(#REF!,Final!A926,#REF!)</f>
        <v>#REF!</v>
      </c>
      <c r="E926" s="1643" t="e">
        <f>SUMIF(#REF!,Final!A926,#REF!)</f>
        <v>#REF!</v>
      </c>
      <c r="F926" s="1644" t="e">
        <f>SUMIF(#REF!,Final!A926,#REF!)</f>
        <v>#REF!</v>
      </c>
      <c r="G926" s="1597" t="e">
        <f t="shared" si="88"/>
        <v>#REF!</v>
      </c>
      <c r="H926" s="1644" t="e">
        <f t="shared" si="89"/>
        <v>#REF!</v>
      </c>
      <c r="I926" s="1597" t="e">
        <f t="shared" si="90"/>
        <v>#REF!</v>
      </c>
      <c r="J926" s="1644" t="e">
        <f t="shared" si="91"/>
        <v>#REF!</v>
      </c>
      <c r="M926" s="1545"/>
      <c r="N926" s="1545"/>
    </row>
    <row r="927" spans="1:93" s="1552" customFormat="1" ht="15.5">
      <c r="A927" s="1600"/>
      <c r="B927" s="1599" t="s">
        <v>1747</v>
      </c>
      <c r="C927" s="1643" t="e">
        <f>+SUMIF(#REF!,Final!A927,#REF!)</f>
        <v>#REF!</v>
      </c>
      <c r="D927" s="1597" t="e">
        <f>+SUMIF(#REF!,Final!A927,#REF!)</f>
        <v>#REF!</v>
      </c>
      <c r="E927" s="1643" t="e">
        <f>SUMIF(#REF!,Final!A927,#REF!)</f>
        <v>#REF!</v>
      </c>
      <c r="F927" s="1644" t="e">
        <f>SUMIF(#REF!,Final!A927,#REF!)</f>
        <v>#REF!</v>
      </c>
      <c r="G927" s="1597" t="e">
        <f t="shared" si="88"/>
        <v>#REF!</v>
      </c>
      <c r="H927" s="1644" t="e">
        <f t="shared" si="89"/>
        <v>#REF!</v>
      </c>
      <c r="I927" s="1597" t="e">
        <f t="shared" si="90"/>
        <v>#REF!</v>
      </c>
      <c r="J927" s="1644" t="e">
        <f t="shared" si="91"/>
        <v>#REF!</v>
      </c>
      <c r="K927" s="1539"/>
      <c r="L927" s="1539"/>
      <c r="M927" s="1545"/>
      <c r="N927" s="1545"/>
      <c r="O927" s="1539"/>
      <c r="P927" s="1539"/>
      <c r="Q927" s="1539"/>
      <c r="R927" s="1539"/>
      <c r="S927" s="1539"/>
      <c r="T927" s="1539"/>
      <c r="U927" s="1539"/>
      <c r="V927" s="1539"/>
      <c r="W927" s="1539"/>
      <c r="X927" s="1539"/>
      <c r="Y927" s="1539"/>
      <c r="Z927" s="1539"/>
      <c r="AA927" s="1539"/>
      <c r="AB927" s="1539"/>
      <c r="AC927" s="1539"/>
      <c r="AD927" s="1539"/>
      <c r="AE927" s="1539"/>
      <c r="AF927" s="1539"/>
      <c r="AG927" s="1539"/>
      <c r="AH927" s="1539"/>
      <c r="AI927" s="1539"/>
      <c r="AJ927" s="1539"/>
      <c r="AK927" s="1539"/>
      <c r="AL927" s="1539"/>
      <c r="AM927" s="1539"/>
      <c r="AN927" s="1539"/>
      <c r="AO927" s="1539"/>
      <c r="AP927" s="1539"/>
      <c r="AQ927" s="1539"/>
      <c r="AR927" s="1539"/>
      <c r="AS927" s="1539"/>
      <c r="AT927" s="1539"/>
      <c r="AU927" s="1539"/>
      <c r="AV927" s="1539"/>
      <c r="AW927" s="1539"/>
      <c r="AX927" s="1539"/>
      <c r="AY927" s="1539"/>
      <c r="AZ927" s="1539"/>
      <c r="BA927" s="1539"/>
      <c r="BB927" s="1539"/>
      <c r="BC927" s="1539"/>
      <c r="BD927" s="1539"/>
      <c r="BE927" s="1539"/>
      <c r="BF927" s="1539"/>
      <c r="BG927" s="1539"/>
      <c r="BH927" s="1539"/>
      <c r="BI927" s="1539"/>
      <c r="BJ927" s="1539"/>
      <c r="BK927" s="1539"/>
      <c r="BL927" s="1539"/>
      <c r="BM927" s="1539"/>
      <c r="BN927" s="1539"/>
      <c r="BO927" s="1539"/>
      <c r="BP927" s="1539"/>
      <c r="BQ927" s="1539"/>
      <c r="BR927" s="1539"/>
      <c r="BS927" s="1539"/>
      <c r="BT927" s="1539"/>
      <c r="BU927" s="1539"/>
      <c r="BV927" s="1539"/>
      <c r="BW927" s="1539"/>
      <c r="BX927" s="1539"/>
      <c r="BY927" s="1539"/>
      <c r="BZ927" s="1539"/>
      <c r="CA927" s="1539"/>
      <c r="CB927" s="1539"/>
      <c r="CC927" s="1539"/>
      <c r="CD927" s="1539"/>
      <c r="CE927" s="1539"/>
      <c r="CF927" s="1539"/>
      <c r="CG927" s="1539"/>
      <c r="CH927" s="1539"/>
      <c r="CI927" s="1539"/>
      <c r="CJ927" s="1539"/>
      <c r="CK927" s="1539"/>
      <c r="CL927" s="1539"/>
      <c r="CM927" s="1539"/>
      <c r="CN927" s="1539"/>
      <c r="CO927" s="1539"/>
    </row>
    <row r="928" spans="1:93" s="1552" customFormat="1" ht="15.5">
      <c r="A928" s="1600"/>
      <c r="B928" s="1599" t="s">
        <v>1760</v>
      </c>
      <c r="C928" s="1643" t="e">
        <f>+SUMIF(#REF!,Final!A928,#REF!)</f>
        <v>#REF!</v>
      </c>
      <c r="D928" s="1597" t="e">
        <f>+SUMIF(#REF!,Final!A928,#REF!)</f>
        <v>#REF!</v>
      </c>
      <c r="E928" s="1643" t="e">
        <f>SUMIF(#REF!,Final!A928,#REF!)</f>
        <v>#REF!</v>
      </c>
      <c r="F928" s="1644" t="e">
        <f>SUMIF(#REF!,Final!A928,#REF!)</f>
        <v>#REF!</v>
      </c>
      <c r="G928" s="1597" t="e">
        <f t="shared" si="88"/>
        <v>#REF!</v>
      </c>
      <c r="H928" s="1644" t="e">
        <f t="shared" si="89"/>
        <v>#REF!</v>
      </c>
      <c r="I928" s="1597" t="e">
        <f t="shared" si="90"/>
        <v>#REF!</v>
      </c>
      <c r="J928" s="1644" t="e">
        <f t="shared" si="91"/>
        <v>#REF!</v>
      </c>
      <c r="K928" s="1539"/>
      <c r="L928" s="1539"/>
      <c r="M928" s="1545"/>
      <c r="N928" s="1545"/>
      <c r="O928" s="1539"/>
      <c r="P928" s="1539"/>
      <c r="Q928" s="1539"/>
      <c r="R928" s="1539"/>
      <c r="S928" s="1539"/>
      <c r="T928" s="1539"/>
      <c r="U928" s="1539"/>
      <c r="V928" s="1539"/>
      <c r="W928" s="1539"/>
      <c r="X928" s="1539"/>
      <c r="Y928" s="1539"/>
      <c r="Z928" s="1539"/>
      <c r="AA928" s="1539"/>
      <c r="AB928" s="1539"/>
      <c r="AC928" s="1539"/>
      <c r="AD928" s="1539"/>
      <c r="AE928" s="1539"/>
      <c r="AF928" s="1539"/>
      <c r="AG928" s="1539"/>
      <c r="AH928" s="1539"/>
      <c r="AI928" s="1539"/>
      <c r="AJ928" s="1539"/>
      <c r="AK928" s="1539"/>
      <c r="AL928" s="1539"/>
      <c r="AM928" s="1539"/>
      <c r="AN928" s="1539"/>
      <c r="AO928" s="1539"/>
      <c r="AP928" s="1539"/>
      <c r="AQ928" s="1539"/>
      <c r="AR928" s="1539"/>
      <c r="AS928" s="1539"/>
      <c r="AT928" s="1539"/>
      <c r="AU928" s="1539"/>
      <c r="AV928" s="1539"/>
      <c r="AW928" s="1539"/>
      <c r="AX928" s="1539"/>
      <c r="AY928" s="1539"/>
      <c r="AZ928" s="1539"/>
      <c r="BA928" s="1539"/>
      <c r="BB928" s="1539"/>
      <c r="BC928" s="1539"/>
      <c r="BD928" s="1539"/>
      <c r="BE928" s="1539"/>
      <c r="BF928" s="1539"/>
      <c r="BG928" s="1539"/>
      <c r="BH928" s="1539"/>
      <c r="BI928" s="1539"/>
      <c r="BJ928" s="1539"/>
      <c r="BK928" s="1539"/>
      <c r="BL928" s="1539"/>
      <c r="BM928" s="1539"/>
      <c r="BN928" s="1539"/>
      <c r="BO928" s="1539"/>
      <c r="BP928" s="1539"/>
      <c r="BQ928" s="1539"/>
      <c r="BR928" s="1539"/>
      <c r="BS928" s="1539"/>
      <c r="BT928" s="1539"/>
      <c r="BU928" s="1539"/>
      <c r="BV928" s="1539"/>
      <c r="BW928" s="1539"/>
      <c r="BX928" s="1539"/>
      <c r="BY928" s="1539"/>
      <c r="BZ928" s="1539"/>
      <c r="CA928" s="1539"/>
      <c r="CB928" s="1539"/>
      <c r="CC928" s="1539"/>
      <c r="CD928" s="1539"/>
      <c r="CE928" s="1539"/>
      <c r="CF928" s="1539"/>
      <c r="CG928" s="1539"/>
      <c r="CH928" s="1539"/>
      <c r="CI928" s="1539"/>
      <c r="CJ928" s="1539"/>
      <c r="CK928" s="1539"/>
      <c r="CL928" s="1539"/>
      <c r="CM928" s="1539"/>
      <c r="CN928" s="1539"/>
      <c r="CO928" s="1539"/>
    </row>
    <row r="929" spans="1:93" s="1542" customFormat="1" ht="15.5">
      <c r="A929" s="1600" t="s">
        <v>1407</v>
      </c>
      <c r="B929" s="1599" t="s">
        <v>2724</v>
      </c>
      <c r="C929" s="1643" t="e">
        <f>+SUMIF(#REF!,Final!A929,#REF!)</f>
        <v>#REF!</v>
      </c>
      <c r="D929" s="1597" t="e">
        <f>+SUMIF(#REF!,Final!A929,#REF!)</f>
        <v>#REF!</v>
      </c>
      <c r="E929" s="1643" t="e">
        <f>SUMIF(#REF!,Final!A929,#REF!)</f>
        <v>#REF!</v>
      </c>
      <c r="F929" s="1644" t="e">
        <f>SUMIF(#REF!,Final!A929,#REF!)</f>
        <v>#REF!</v>
      </c>
      <c r="G929" s="1597" t="e">
        <f t="shared" si="88"/>
        <v>#REF!</v>
      </c>
      <c r="H929" s="1644" t="e">
        <f t="shared" si="89"/>
        <v>#REF!</v>
      </c>
      <c r="I929" s="1597" t="e">
        <f t="shared" si="90"/>
        <v>#REF!</v>
      </c>
      <c r="J929" s="1644" t="e">
        <f t="shared" si="91"/>
        <v>#REF!</v>
      </c>
      <c r="K929" s="1539"/>
      <c r="L929" s="1539"/>
      <c r="M929" s="1545"/>
      <c r="N929" s="1545"/>
      <c r="O929" s="1539"/>
      <c r="P929" s="1539"/>
      <c r="Q929" s="1539"/>
      <c r="R929" s="1539"/>
      <c r="S929" s="1539"/>
      <c r="T929" s="1539"/>
      <c r="U929" s="1539"/>
      <c r="V929" s="1539"/>
      <c r="W929" s="1539"/>
      <c r="X929" s="1539"/>
      <c r="Y929" s="1539"/>
      <c r="Z929" s="1539"/>
      <c r="AA929" s="1539"/>
      <c r="AB929" s="1539"/>
      <c r="AC929" s="1539"/>
      <c r="AD929" s="1539"/>
      <c r="AE929" s="1539"/>
      <c r="AF929" s="1539"/>
      <c r="AG929" s="1539"/>
      <c r="AH929" s="1539"/>
      <c r="AI929" s="1539"/>
      <c r="AJ929" s="1539"/>
      <c r="AK929" s="1539"/>
      <c r="AL929" s="1539"/>
      <c r="AM929" s="1539"/>
      <c r="AN929" s="1539"/>
      <c r="AO929" s="1539"/>
      <c r="AP929" s="1539"/>
      <c r="AQ929" s="1539"/>
      <c r="AR929" s="1539"/>
      <c r="AS929" s="1539"/>
      <c r="AT929" s="1539"/>
      <c r="AU929" s="1539"/>
      <c r="AV929" s="1539"/>
      <c r="AW929" s="1539"/>
      <c r="AX929" s="1539"/>
      <c r="AY929" s="1539"/>
      <c r="AZ929" s="1539"/>
      <c r="BA929" s="1539"/>
      <c r="BB929" s="1539"/>
      <c r="BC929" s="1539"/>
      <c r="BD929" s="1539"/>
      <c r="BE929" s="1539"/>
      <c r="BF929" s="1539"/>
      <c r="BG929" s="1539"/>
      <c r="BH929" s="1539"/>
      <c r="BI929" s="1539"/>
      <c r="BJ929" s="1539"/>
      <c r="BK929" s="1539"/>
      <c r="BL929" s="1539"/>
      <c r="BM929" s="1539"/>
      <c r="BN929" s="1539"/>
      <c r="BO929" s="1539"/>
      <c r="BP929" s="1539"/>
      <c r="BQ929" s="1539"/>
      <c r="BR929" s="1539"/>
      <c r="BS929" s="1539"/>
      <c r="BT929" s="1539"/>
      <c r="BU929" s="1539"/>
      <c r="BV929" s="1539"/>
      <c r="BW929" s="1539"/>
      <c r="BX929" s="1539"/>
      <c r="BY929" s="1539"/>
      <c r="BZ929" s="1539"/>
      <c r="CA929" s="1539"/>
      <c r="CB929" s="1539"/>
      <c r="CC929" s="1539"/>
      <c r="CD929" s="1539"/>
      <c r="CE929" s="1539"/>
      <c r="CF929" s="1539"/>
      <c r="CG929" s="1539"/>
      <c r="CH929" s="1539"/>
      <c r="CI929" s="1539"/>
      <c r="CJ929" s="1539"/>
      <c r="CK929" s="1539"/>
      <c r="CL929" s="1539"/>
      <c r="CM929" s="1539"/>
      <c r="CN929" s="1539"/>
      <c r="CO929" s="1539"/>
    </row>
    <row r="930" spans="1:93" ht="15.5">
      <c r="A930" s="1600">
        <v>22.78</v>
      </c>
      <c r="B930" s="1599" t="s">
        <v>2725</v>
      </c>
      <c r="C930" s="1643" t="e">
        <f>+SUMIF(#REF!,Final!A930,#REF!)</f>
        <v>#REF!</v>
      </c>
      <c r="D930" s="1597" t="e">
        <f>+SUMIF(#REF!,Final!A930,#REF!)</f>
        <v>#REF!</v>
      </c>
      <c r="E930" s="1643" t="e">
        <f>SUMIF(#REF!,Final!A930,#REF!)</f>
        <v>#REF!</v>
      </c>
      <c r="F930" s="1644" t="e">
        <f>SUMIF(#REF!,Final!A930,#REF!)</f>
        <v>#REF!</v>
      </c>
      <c r="G930" s="1597" t="e">
        <f t="shared" si="88"/>
        <v>#REF!</v>
      </c>
      <c r="H930" s="1644" t="e">
        <f t="shared" si="89"/>
        <v>#REF!</v>
      </c>
      <c r="I930" s="1597" t="e">
        <f t="shared" si="90"/>
        <v>#REF!</v>
      </c>
      <c r="J930" s="1644" t="e">
        <f t="shared" si="91"/>
        <v>#REF!</v>
      </c>
      <c r="M930" s="1545"/>
      <c r="N930" s="1545"/>
    </row>
    <row r="931" spans="1:93" s="1552" customFormat="1" ht="15.5">
      <c r="A931" s="1600"/>
      <c r="B931" s="1599" t="s">
        <v>1747</v>
      </c>
      <c r="C931" s="1643" t="e">
        <f>+SUMIF(#REF!,Final!A931,#REF!)</f>
        <v>#REF!</v>
      </c>
      <c r="D931" s="1597" t="e">
        <f>+SUMIF(#REF!,Final!A931,#REF!)</f>
        <v>#REF!</v>
      </c>
      <c r="E931" s="1643" t="e">
        <f>SUMIF(#REF!,Final!A931,#REF!)</f>
        <v>#REF!</v>
      </c>
      <c r="F931" s="1644" t="e">
        <f>SUMIF(#REF!,Final!A931,#REF!)</f>
        <v>#REF!</v>
      </c>
      <c r="G931" s="1597" t="e">
        <f t="shared" si="88"/>
        <v>#REF!</v>
      </c>
      <c r="H931" s="1644" t="e">
        <f t="shared" si="89"/>
        <v>#REF!</v>
      </c>
      <c r="I931" s="1597" t="e">
        <f t="shared" si="90"/>
        <v>#REF!</v>
      </c>
      <c r="J931" s="1644" t="e">
        <f t="shared" si="91"/>
        <v>#REF!</v>
      </c>
      <c r="K931" s="1539"/>
      <c r="L931" s="1539"/>
      <c r="M931" s="1545"/>
      <c r="N931" s="1545"/>
      <c r="O931" s="1539"/>
      <c r="P931" s="1539"/>
      <c r="Q931" s="1539"/>
      <c r="R931" s="1539"/>
      <c r="S931" s="1539"/>
      <c r="T931" s="1539"/>
      <c r="U931" s="1539"/>
      <c r="V931" s="1539"/>
      <c r="W931" s="1539"/>
      <c r="X931" s="1539"/>
      <c r="Y931" s="1539"/>
      <c r="Z931" s="1539"/>
      <c r="AA931" s="1539"/>
      <c r="AB931" s="1539"/>
      <c r="AC931" s="1539"/>
      <c r="AD931" s="1539"/>
      <c r="AE931" s="1539"/>
      <c r="AF931" s="1539"/>
      <c r="AG931" s="1539"/>
      <c r="AH931" s="1539"/>
      <c r="AI931" s="1539"/>
      <c r="AJ931" s="1539"/>
      <c r="AK931" s="1539"/>
      <c r="AL931" s="1539"/>
      <c r="AM931" s="1539"/>
      <c r="AN931" s="1539"/>
      <c r="AO931" s="1539"/>
      <c r="AP931" s="1539"/>
      <c r="AQ931" s="1539"/>
      <c r="AR931" s="1539"/>
      <c r="AS931" s="1539"/>
      <c r="AT931" s="1539"/>
      <c r="AU931" s="1539"/>
      <c r="AV931" s="1539"/>
      <c r="AW931" s="1539"/>
      <c r="AX931" s="1539"/>
      <c r="AY931" s="1539"/>
      <c r="AZ931" s="1539"/>
      <c r="BA931" s="1539"/>
      <c r="BB931" s="1539"/>
      <c r="BC931" s="1539"/>
      <c r="BD931" s="1539"/>
      <c r="BE931" s="1539"/>
      <c r="BF931" s="1539"/>
      <c r="BG931" s="1539"/>
      <c r="BH931" s="1539"/>
      <c r="BI931" s="1539"/>
      <c r="BJ931" s="1539"/>
      <c r="BK931" s="1539"/>
      <c r="BL931" s="1539"/>
      <c r="BM931" s="1539"/>
      <c r="BN931" s="1539"/>
      <c r="BO931" s="1539"/>
      <c r="BP931" s="1539"/>
      <c r="BQ931" s="1539"/>
      <c r="BR931" s="1539"/>
      <c r="BS931" s="1539"/>
      <c r="BT931" s="1539"/>
      <c r="BU931" s="1539"/>
      <c r="BV931" s="1539"/>
      <c r="BW931" s="1539"/>
      <c r="BX931" s="1539"/>
      <c r="BY931" s="1539"/>
      <c r="BZ931" s="1539"/>
      <c r="CA931" s="1539"/>
      <c r="CB931" s="1539"/>
      <c r="CC931" s="1539"/>
      <c r="CD931" s="1539"/>
      <c r="CE931" s="1539"/>
      <c r="CF931" s="1539"/>
      <c r="CG931" s="1539"/>
      <c r="CH931" s="1539"/>
      <c r="CI931" s="1539"/>
      <c r="CJ931" s="1539"/>
      <c r="CK931" s="1539"/>
      <c r="CL931" s="1539"/>
      <c r="CM931" s="1539"/>
      <c r="CN931" s="1539"/>
      <c r="CO931" s="1539"/>
    </row>
    <row r="932" spans="1:93" s="1552" customFormat="1" ht="15.5">
      <c r="A932" s="1600"/>
      <c r="B932" s="1599" t="s">
        <v>1760</v>
      </c>
      <c r="C932" s="1643" t="e">
        <f>+SUMIF(#REF!,Final!A932,#REF!)</f>
        <v>#REF!</v>
      </c>
      <c r="D932" s="1597" t="e">
        <f>+SUMIF(#REF!,Final!A932,#REF!)</f>
        <v>#REF!</v>
      </c>
      <c r="E932" s="1643" t="e">
        <f>SUMIF(#REF!,Final!A932,#REF!)</f>
        <v>#REF!</v>
      </c>
      <c r="F932" s="1644" t="e">
        <f>SUMIF(#REF!,Final!A932,#REF!)</f>
        <v>#REF!</v>
      </c>
      <c r="G932" s="1597" t="e">
        <f t="shared" si="88"/>
        <v>#REF!</v>
      </c>
      <c r="H932" s="1644" t="e">
        <f t="shared" si="89"/>
        <v>#REF!</v>
      </c>
      <c r="I932" s="1597" t="e">
        <f t="shared" si="90"/>
        <v>#REF!</v>
      </c>
      <c r="J932" s="1644" t="e">
        <f t="shared" si="91"/>
        <v>#REF!</v>
      </c>
      <c r="K932" s="1539"/>
      <c r="L932" s="1539"/>
      <c r="M932" s="1545"/>
      <c r="N932" s="1545"/>
      <c r="O932" s="1539"/>
      <c r="P932" s="1539"/>
      <c r="Q932" s="1539"/>
      <c r="R932" s="1539"/>
      <c r="S932" s="1539"/>
      <c r="T932" s="1539"/>
      <c r="U932" s="1539"/>
      <c r="V932" s="1539"/>
      <c r="W932" s="1539"/>
      <c r="X932" s="1539"/>
      <c r="Y932" s="1539"/>
      <c r="Z932" s="1539"/>
      <c r="AA932" s="1539"/>
      <c r="AB932" s="1539"/>
      <c r="AC932" s="1539"/>
      <c r="AD932" s="1539"/>
      <c r="AE932" s="1539"/>
      <c r="AF932" s="1539"/>
      <c r="AG932" s="1539"/>
      <c r="AH932" s="1539"/>
      <c r="AI932" s="1539"/>
      <c r="AJ932" s="1539"/>
      <c r="AK932" s="1539"/>
      <c r="AL932" s="1539"/>
      <c r="AM932" s="1539"/>
      <c r="AN932" s="1539"/>
      <c r="AO932" s="1539"/>
      <c r="AP932" s="1539"/>
      <c r="AQ932" s="1539"/>
      <c r="AR932" s="1539"/>
      <c r="AS932" s="1539"/>
      <c r="AT932" s="1539"/>
      <c r="AU932" s="1539"/>
      <c r="AV932" s="1539"/>
      <c r="AW932" s="1539"/>
      <c r="AX932" s="1539"/>
      <c r="AY932" s="1539"/>
      <c r="AZ932" s="1539"/>
      <c r="BA932" s="1539"/>
      <c r="BB932" s="1539"/>
      <c r="BC932" s="1539"/>
      <c r="BD932" s="1539"/>
      <c r="BE932" s="1539"/>
      <c r="BF932" s="1539"/>
      <c r="BG932" s="1539"/>
      <c r="BH932" s="1539"/>
      <c r="BI932" s="1539"/>
      <c r="BJ932" s="1539"/>
      <c r="BK932" s="1539"/>
      <c r="BL932" s="1539"/>
      <c r="BM932" s="1539"/>
      <c r="BN932" s="1539"/>
      <c r="BO932" s="1539"/>
      <c r="BP932" s="1539"/>
      <c r="BQ932" s="1539"/>
      <c r="BR932" s="1539"/>
      <c r="BS932" s="1539"/>
      <c r="BT932" s="1539"/>
      <c r="BU932" s="1539"/>
      <c r="BV932" s="1539"/>
      <c r="BW932" s="1539"/>
      <c r="BX932" s="1539"/>
      <c r="BY932" s="1539"/>
      <c r="BZ932" s="1539"/>
      <c r="CA932" s="1539"/>
      <c r="CB932" s="1539"/>
      <c r="CC932" s="1539"/>
      <c r="CD932" s="1539"/>
      <c r="CE932" s="1539"/>
      <c r="CF932" s="1539"/>
      <c r="CG932" s="1539"/>
      <c r="CH932" s="1539"/>
      <c r="CI932" s="1539"/>
      <c r="CJ932" s="1539"/>
      <c r="CK932" s="1539"/>
      <c r="CL932" s="1539"/>
      <c r="CM932" s="1539"/>
      <c r="CN932" s="1539"/>
      <c r="CO932" s="1539"/>
    </row>
    <row r="933" spans="1:93" s="1542" customFormat="1" ht="15.5">
      <c r="A933" s="1600" t="s">
        <v>1404</v>
      </c>
      <c r="B933" s="1599" t="s">
        <v>2726</v>
      </c>
      <c r="C933" s="1643" t="e">
        <f>+SUMIF(#REF!,Final!A933,#REF!)</f>
        <v>#REF!</v>
      </c>
      <c r="D933" s="1597" t="e">
        <f>+SUMIF(#REF!,Final!A933,#REF!)</f>
        <v>#REF!</v>
      </c>
      <c r="E933" s="1643" t="e">
        <f>SUMIF(#REF!,Final!A933,#REF!)</f>
        <v>#REF!</v>
      </c>
      <c r="F933" s="1644" t="e">
        <f>SUMIF(#REF!,Final!A933,#REF!)</f>
        <v>#REF!</v>
      </c>
      <c r="G933" s="1597" t="e">
        <f t="shared" si="88"/>
        <v>#REF!</v>
      </c>
      <c r="H933" s="1644" t="e">
        <f t="shared" si="89"/>
        <v>#REF!</v>
      </c>
      <c r="I933" s="1597" t="e">
        <f t="shared" si="90"/>
        <v>#REF!</v>
      </c>
      <c r="J933" s="1644" t="e">
        <f t="shared" si="91"/>
        <v>#REF!</v>
      </c>
      <c r="K933" s="1539"/>
      <c r="L933" s="1539"/>
      <c r="M933" s="1545"/>
      <c r="N933" s="1545"/>
      <c r="O933" s="1539"/>
      <c r="P933" s="1539"/>
      <c r="Q933" s="1539"/>
      <c r="R933" s="1539"/>
      <c r="S933" s="1539"/>
      <c r="T933" s="1539"/>
      <c r="U933" s="1539"/>
      <c r="V933" s="1539"/>
      <c r="W933" s="1539"/>
      <c r="X933" s="1539"/>
      <c r="Y933" s="1539"/>
      <c r="Z933" s="1539"/>
      <c r="AA933" s="1539"/>
      <c r="AB933" s="1539"/>
      <c r="AC933" s="1539"/>
      <c r="AD933" s="1539"/>
      <c r="AE933" s="1539"/>
      <c r="AF933" s="1539"/>
      <c r="AG933" s="1539"/>
      <c r="AH933" s="1539"/>
      <c r="AI933" s="1539"/>
      <c r="AJ933" s="1539"/>
      <c r="AK933" s="1539"/>
      <c r="AL933" s="1539"/>
      <c r="AM933" s="1539"/>
      <c r="AN933" s="1539"/>
      <c r="AO933" s="1539"/>
      <c r="AP933" s="1539"/>
      <c r="AQ933" s="1539"/>
      <c r="AR933" s="1539"/>
      <c r="AS933" s="1539"/>
      <c r="AT933" s="1539"/>
      <c r="AU933" s="1539"/>
      <c r="AV933" s="1539"/>
      <c r="AW933" s="1539"/>
      <c r="AX933" s="1539"/>
      <c r="AY933" s="1539"/>
      <c r="AZ933" s="1539"/>
      <c r="BA933" s="1539"/>
      <c r="BB933" s="1539"/>
      <c r="BC933" s="1539"/>
      <c r="BD933" s="1539"/>
      <c r="BE933" s="1539"/>
      <c r="BF933" s="1539"/>
      <c r="BG933" s="1539"/>
      <c r="BH933" s="1539"/>
      <c r="BI933" s="1539"/>
      <c r="BJ933" s="1539"/>
      <c r="BK933" s="1539"/>
      <c r="BL933" s="1539"/>
      <c r="BM933" s="1539"/>
      <c r="BN933" s="1539"/>
      <c r="BO933" s="1539"/>
      <c r="BP933" s="1539"/>
      <c r="BQ933" s="1539"/>
      <c r="BR933" s="1539"/>
      <c r="BS933" s="1539"/>
      <c r="BT933" s="1539"/>
      <c r="BU933" s="1539"/>
      <c r="BV933" s="1539"/>
      <c r="BW933" s="1539"/>
      <c r="BX933" s="1539"/>
      <c r="BY933" s="1539"/>
      <c r="BZ933" s="1539"/>
      <c r="CA933" s="1539"/>
      <c r="CB933" s="1539"/>
      <c r="CC933" s="1539"/>
      <c r="CD933" s="1539"/>
      <c r="CE933" s="1539"/>
      <c r="CF933" s="1539"/>
      <c r="CG933" s="1539"/>
      <c r="CH933" s="1539"/>
      <c r="CI933" s="1539"/>
      <c r="CJ933" s="1539"/>
      <c r="CK933" s="1539"/>
      <c r="CL933" s="1539"/>
      <c r="CM933" s="1539"/>
      <c r="CN933" s="1539"/>
      <c r="CO933" s="1539"/>
    </row>
    <row r="934" spans="1:93" ht="15.5">
      <c r="A934" s="1600">
        <v>22.81</v>
      </c>
      <c r="B934" s="1599" t="s">
        <v>2727</v>
      </c>
      <c r="C934" s="1643" t="e">
        <f>+SUMIF(#REF!,Final!A934,#REF!)</f>
        <v>#REF!</v>
      </c>
      <c r="D934" s="1597" t="e">
        <f>+SUMIF(#REF!,Final!A934,#REF!)</f>
        <v>#REF!</v>
      </c>
      <c r="E934" s="1643" t="e">
        <f>SUMIF(#REF!,Final!A934,#REF!)</f>
        <v>#REF!</v>
      </c>
      <c r="F934" s="1644" t="e">
        <f>SUMIF(#REF!,Final!A934,#REF!)</f>
        <v>#REF!</v>
      </c>
      <c r="G934" s="1597" t="e">
        <f t="shared" si="88"/>
        <v>#REF!</v>
      </c>
      <c r="H934" s="1644" t="e">
        <f t="shared" si="89"/>
        <v>#REF!</v>
      </c>
      <c r="I934" s="1597" t="e">
        <f t="shared" si="90"/>
        <v>#REF!</v>
      </c>
      <c r="J934" s="1644" t="e">
        <f t="shared" si="91"/>
        <v>#REF!</v>
      </c>
      <c r="M934" s="1545"/>
      <c r="N934" s="1545"/>
    </row>
    <row r="935" spans="1:93" ht="15.5">
      <c r="A935" s="1600">
        <v>22.83</v>
      </c>
      <c r="B935" s="1599" t="s">
        <v>2728</v>
      </c>
      <c r="C935" s="1643" t="e">
        <f>+SUMIF(#REF!,Final!A935,#REF!)</f>
        <v>#REF!</v>
      </c>
      <c r="D935" s="1597" t="e">
        <f>+SUMIF(#REF!,Final!A935,#REF!)</f>
        <v>#REF!</v>
      </c>
      <c r="E935" s="1643" t="e">
        <f>SUMIF(#REF!,Final!A935,#REF!)</f>
        <v>#REF!</v>
      </c>
      <c r="F935" s="1644" t="e">
        <f>SUMIF(#REF!,Final!A935,#REF!)</f>
        <v>#REF!</v>
      </c>
      <c r="G935" s="1597" t="e">
        <f t="shared" si="88"/>
        <v>#REF!</v>
      </c>
      <c r="H935" s="1644" t="e">
        <f t="shared" si="89"/>
        <v>#REF!</v>
      </c>
      <c r="I935" s="1597" t="e">
        <f t="shared" si="90"/>
        <v>#REF!</v>
      </c>
      <c r="J935" s="1644" t="e">
        <f t="shared" si="91"/>
        <v>#REF!</v>
      </c>
      <c r="M935" s="1545"/>
      <c r="N935" s="1545"/>
    </row>
    <row r="936" spans="1:93" ht="15.5">
      <c r="A936" s="1600">
        <v>22.85</v>
      </c>
      <c r="B936" s="1599" t="s">
        <v>2729</v>
      </c>
      <c r="C936" s="1643" t="e">
        <f>+SUMIF(#REF!,Final!A936,#REF!)</f>
        <v>#REF!</v>
      </c>
      <c r="D936" s="1597" t="e">
        <f>+SUMIF(#REF!,Final!A936,#REF!)</f>
        <v>#REF!</v>
      </c>
      <c r="E936" s="1643" t="e">
        <f>SUMIF(#REF!,Final!A936,#REF!)</f>
        <v>#REF!</v>
      </c>
      <c r="F936" s="1644" t="e">
        <f>SUMIF(#REF!,Final!A936,#REF!)</f>
        <v>#REF!</v>
      </c>
      <c r="G936" s="1597" t="e">
        <f t="shared" si="88"/>
        <v>#REF!</v>
      </c>
      <c r="H936" s="1644" t="e">
        <f t="shared" si="89"/>
        <v>#REF!</v>
      </c>
      <c r="I936" s="1597" t="e">
        <f t="shared" si="90"/>
        <v>#REF!</v>
      </c>
      <c r="J936" s="1644" t="e">
        <f t="shared" si="91"/>
        <v>#REF!</v>
      </c>
      <c r="M936" s="1545"/>
      <c r="N936" s="1545"/>
    </row>
    <row r="937" spans="1:93" ht="15.5">
      <c r="A937" s="1600">
        <v>22.86</v>
      </c>
      <c r="B937" s="1599" t="s">
        <v>2730</v>
      </c>
      <c r="C937" s="1643" t="e">
        <f>+SUMIF(#REF!,Final!A937,#REF!)</f>
        <v>#REF!</v>
      </c>
      <c r="D937" s="1597" t="e">
        <f>+SUMIF(#REF!,Final!A937,#REF!)</f>
        <v>#REF!</v>
      </c>
      <c r="E937" s="1643" t="e">
        <f>SUMIF(#REF!,Final!A937,#REF!)</f>
        <v>#REF!</v>
      </c>
      <c r="F937" s="1644" t="e">
        <f>SUMIF(#REF!,Final!A937,#REF!)</f>
        <v>#REF!</v>
      </c>
      <c r="G937" s="1597" t="e">
        <f t="shared" si="88"/>
        <v>#REF!</v>
      </c>
      <c r="H937" s="1644" t="e">
        <f t="shared" si="89"/>
        <v>#REF!</v>
      </c>
      <c r="I937" s="1597" t="e">
        <f t="shared" si="90"/>
        <v>#REF!</v>
      </c>
      <c r="J937" s="1644" t="e">
        <f t="shared" si="91"/>
        <v>#REF!</v>
      </c>
      <c r="M937" s="1545"/>
      <c r="N937" s="1545"/>
    </row>
    <row r="938" spans="1:93" s="1552" customFormat="1" ht="15.5">
      <c r="A938" s="1598"/>
      <c r="B938" s="1599" t="s">
        <v>1747</v>
      </c>
      <c r="C938" s="1643" t="e">
        <f>+SUMIF(#REF!,Final!A938,#REF!)</f>
        <v>#REF!</v>
      </c>
      <c r="D938" s="1597" t="e">
        <f>+SUMIF(#REF!,Final!A938,#REF!)</f>
        <v>#REF!</v>
      </c>
      <c r="E938" s="1643" t="e">
        <f>SUMIF(#REF!,Final!A938,#REF!)</f>
        <v>#REF!</v>
      </c>
      <c r="F938" s="1644" t="e">
        <f>SUMIF(#REF!,Final!A938,#REF!)</f>
        <v>#REF!</v>
      </c>
      <c r="G938" s="1597" t="e">
        <f t="shared" si="88"/>
        <v>#REF!</v>
      </c>
      <c r="H938" s="1644" t="e">
        <f t="shared" si="89"/>
        <v>#REF!</v>
      </c>
      <c r="I938" s="1597" t="e">
        <f t="shared" si="90"/>
        <v>#REF!</v>
      </c>
      <c r="J938" s="1644" t="e">
        <f t="shared" si="91"/>
        <v>#REF!</v>
      </c>
      <c r="K938" s="1539"/>
      <c r="L938" s="1539"/>
      <c r="M938" s="1545"/>
      <c r="N938" s="1545"/>
      <c r="O938" s="1539"/>
      <c r="P938" s="1539"/>
      <c r="Q938" s="1539"/>
      <c r="R938" s="1539"/>
      <c r="S938" s="1539"/>
      <c r="T938" s="1539"/>
      <c r="U938" s="1539"/>
      <c r="V938" s="1539"/>
      <c r="W938" s="1539"/>
      <c r="X938" s="1539"/>
      <c r="Y938" s="1539"/>
      <c r="Z938" s="1539"/>
      <c r="AA938" s="1539"/>
      <c r="AB938" s="1539"/>
      <c r="AC938" s="1539"/>
      <c r="AD938" s="1539"/>
      <c r="AE938" s="1539"/>
      <c r="AF938" s="1539"/>
      <c r="AG938" s="1539"/>
      <c r="AH938" s="1539"/>
      <c r="AI938" s="1539"/>
      <c r="AJ938" s="1539"/>
      <c r="AK938" s="1539"/>
      <c r="AL938" s="1539"/>
      <c r="AM938" s="1539"/>
      <c r="AN938" s="1539"/>
      <c r="AO938" s="1539"/>
      <c r="AP938" s="1539"/>
      <c r="AQ938" s="1539"/>
      <c r="AR938" s="1539"/>
      <c r="AS938" s="1539"/>
      <c r="AT938" s="1539"/>
      <c r="AU938" s="1539"/>
      <c r="AV938" s="1539"/>
      <c r="AW938" s="1539"/>
      <c r="AX938" s="1539"/>
      <c r="AY938" s="1539"/>
      <c r="AZ938" s="1539"/>
      <c r="BA938" s="1539"/>
      <c r="BB938" s="1539"/>
      <c r="BC938" s="1539"/>
      <c r="BD938" s="1539"/>
      <c r="BE938" s="1539"/>
      <c r="BF938" s="1539"/>
      <c r="BG938" s="1539"/>
      <c r="BH938" s="1539"/>
      <c r="BI938" s="1539"/>
      <c r="BJ938" s="1539"/>
      <c r="BK938" s="1539"/>
      <c r="BL938" s="1539"/>
      <c r="BM938" s="1539"/>
      <c r="BN938" s="1539"/>
      <c r="BO938" s="1539"/>
      <c r="BP938" s="1539"/>
      <c r="BQ938" s="1539"/>
      <c r="BR938" s="1539"/>
      <c r="BS938" s="1539"/>
      <c r="BT938" s="1539"/>
      <c r="BU938" s="1539"/>
      <c r="BV938" s="1539"/>
      <c r="BW938" s="1539"/>
      <c r="BX938" s="1539"/>
      <c r="BY938" s="1539"/>
      <c r="BZ938" s="1539"/>
      <c r="CA938" s="1539"/>
      <c r="CB938" s="1539"/>
      <c r="CC938" s="1539"/>
      <c r="CD938" s="1539"/>
      <c r="CE938" s="1539"/>
      <c r="CF938" s="1539"/>
      <c r="CG938" s="1539"/>
      <c r="CH938" s="1539"/>
      <c r="CI938" s="1539"/>
      <c r="CJ938" s="1539"/>
      <c r="CK938" s="1539"/>
      <c r="CL938" s="1539"/>
      <c r="CM938" s="1539"/>
      <c r="CN938" s="1539"/>
      <c r="CO938" s="1539"/>
    </row>
    <row r="939" spans="1:93" s="1552" customFormat="1" ht="15.5">
      <c r="A939" s="1598"/>
      <c r="B939" s="1599" t="s">
        <v>1760</v>
      </c>
      <c r="C939" s="1643" t="e">
        <f>+SUMIF(#REF!,Final!A939,#REF!)</f>
        <v>#REF!</v>
      </c>
      <c r="D939" s="1597" t="e">
        <f>+SUMIF(#REF!,Final!A939,#REF!)</f>
        <v>#REF!</v>
      </c>
      <c r="E939" s="1643" t="e">
        <f>SUMIF(#REF!,Final!A939,#REF!)</f>
        <v>#REF!</v>
      </c>
      <c r="F939" s="1644" t="e">
        <f>SUMIF(#REF!,Final!A939,#REF!)</f>
        <v>#REF!</v>
      </c>
      <c r="G939" s="1597" t="e">
        <f t="shared" si="88"/>
        <v>#REF!</v>
      </c>
      <c r="H939" s="1644" t="e">
        <f t="shared" si="89"/>
        <v>#REF!</v>
      </c>
      <c r="I939" s="1597" t="e">
        <f t="shared" si="90"/>
        <v>#REF!</v>
      </c>
      <c r="J939" s="1644" t="e">
        <f t="shared" si="91"/>
        <v>#REF!</v>
      </c>
      <c r="K939" s="1539"/>
      <c r="L939" s="1539"/>
      <c r="M939" s="1545"/>
      <c r="N939" s="1545"/>
      <c r="O939" s="1539"/>
      <c r="P939" s="1539"/>
      <c r="Q939" s="1539"/>
      <c r="R939" s="1539"/>
      <c r="S939" s="1539"/>
      <c r="T939" s="1539"/>
      <c r="U939" s="1539"/>
      <c r="V939" s="1539"/>
      <c r="W939" s="1539"/>
      <c r="X939" s="1539"/>
      <c r="Y939" s="1539"/>
      <c r="Z939" s="1539"/>
      <c r="AA939" s="1539"/>
      <c r="AB939" s="1539"/>
      <c r="AC939" s="1539"/>
      <c r="AD939" s="1539"/>
      <c r="AE939" s="1539"/>
      <c r="AF939" s="1539"/>
      <c r="AG939" s="1539"/>
      <c r="AH939" s="1539"/>
      <c r="AI939" s="1539"/>
      <c r="AJ939" s="1539"/>
      <c r="AK939" s="1539"/>
      <c r="AL939" s="1539"/>
      <c r="AM939" s="1539"/>
      <c r="AN939" s="1539"/>
      <c r="AO939" s="1539"/>
      <c r="AP939" s="1539"/>
      <c r="AQ939" s="1539"/>
      <c r="AR939" s="1539"/>
      <c r="AS939" s="1539"/>
      <c r="AT939" s="1539"/>
      <c r="AU939" s="1539"/>
      <c r="AV939" s="1539"/>
      <c r="AW939" s="1539"/>
      <c r="AX939" s="1539"/>
      <c r="AY939" s="1539"/>
      <c r="AZ939" s="1539"/>
      <c r="BA939" s="1539"/>
      <c r="BB939" s="1539"/>
      <c r="BC939" s="1539"/>
      <c r="BD939" s="1539"/>
      <c r="BE939" s="1539"/>
      <c r="BF939" s="1539"/>
      <c r="BG939" s="1539"/>
      <c r="BH939" s="1539"/>
      <c r="BI939" s="1539"/>
      <c r="BJ939" s="1539"/>
      <c r="BK939" s="1539"/>
      <c r="BL939" s="1539"/>
      <c r="BM939" s="1539"/>
      <c r="BN939" s="1539"/>
      <c r="BO939" s="1539"/>
      <c r="BP939" s="1539"/>
      <c r="BQ939" s="1539"/>
      <c r="BR939" s="1539"/>
      <c r="BS939" s="1539"/>
      <c r="BT939" s="1539"/>
      <c r="BU939" s="1539"/>
      <c r="BV939" s="1539"/>
      <c r="BW939" s="1539"/>
      <c r="BX939" s="1539"/>
      <c r="BY939" s="1539"/>
      <c r="BZ939" s="1539"/>
      <c r="CA939" s="1539"/>
      <c r="CB939" s="1539"/>
      <c r="CC939" s="1539"/>
      <c r="CD939" s="1539"/>
      <c r="CE939" s="1539"/>
      <c r="CF939" s="1539"/>
      <c r="CG939" s="1539"/>
      <c r="CH939" s="1539"/>
      <c r="CI939" s="1539"/>
      <c r="CJ939" s="1539"/>
      <c r="CK939" s="1539"/>
      <c r="CL939" s="1539"/>
      <c r="CM939" s="1539"/>
      <c r="CN939" s="1539"/>
      <c r="CO939" s="1539"/>
    </row>
    <row r="940" spans="1:93" s="1542" customFormat="1" ht="15.5">
      <c r="A940" s="1598" t="s">
        <v>1405</v>
      </c>
      <c r="B940" s="1599" t="s">
        <v>2731</v>
      </c>
      <c r="C940" s="1643" t="e">
        <f>+SUMIF(#REF!,Final!A940,#REF!)</f>
        <v>#REF!</v>
      </c>
      <c r="D940" s="1597" t="e">
        <f>+SUMIF(#REF!,Final!A940,#REF!)</f>
        <v>#REF!</v>
      </c>
      <c r="E940" s="1643" t="e">
        <f>SUMIF(#REF!,Final!A940,#REF!)</f>
        <v>#REF!</v>
      </c>
      <c r="F940" s="1644" t="e">
        <f>SUMIF(#REF!,Final!A940,#REF!)</f>
        <v>#REF!</v>
      </c>
      <c r="G940" s="1597" t="e">
        <f t="shared" si="88"/>
        <v>#REF!</v>
      </c>
      <c r="H940" s="1644" t="e">
        <f t="shared" si="89"/>
        <v>#REF!</v>
      </c>
      <c r="I940" s="1597" t="e">
        <f t="shared" si="90"/>
        <v>#REF!</v>
      </c>
      <c r="J940" s="1644" t="e">
        <f t="shared" si="91"/>
        <v>#REF!</v>
      </c>
      <c r="K940" s="1539"/>
      <c r="L940" s="1539"/>
      <c r="M940" s="1545"/>
      <c r="N940" s="1545"/>
      <c r="O940" s="1539"/>
      <c r="P940" s="1539"/>
      <c r="Q940" s="1539"/>
      <c r="R940" s="1539"/>
      <c r="S940" s="1539"/>
      <c r="T940" s="1539"/>
      <c r="U940" s="1539"/>
      <c r="V940" s="1539"/>
      <c r="W940" s="1539"/>
      <c r="X940" s="1539"/>
      <c r="Y940" s="1539"/>
      <c r="Z940" s="1539"/>
      <c r="AA940" s="1539"/>
      <c r="AB940" s="1539"/>
      <c r="AC940" s="1539"/>
      <c r="AD940" s="1539"/>
      <c r="AE940" s="1539"/>
      <c r="AF940" s="1539"/>
      <c r="AG940" s="1539"/>
      <c r="AH940" s="1539"/>
      <c r="AI940" s="1539"/>
      <c r="AJ940" s="1539"/>
      <c r="AK940" s="1539"/>
      <c r="AL940" s="1539"/>
      <c r="AM940" s="1539"/>
      <c r="AN940" s="1539"/>
      <c r="AO940" s="1539"/>
      <c r="AP940" s="1539"/>
      <c r="AQ940" s="1539"/>
      <c r="AR940" s="1539"/>
      <c r="AS940" s="1539"/>
      <c r="AT940" s="1539"/>
      <c r="AU940" s="1539"/>
      <c r="AV940" s="1539"/>
      <c r="AW940" s="1539"/>
      <c r="AX940" s="1539"/>
      <c r="AY940" s="1539"/>
      <c r="AZ940" s="1539"/>
      <c r="BA940" s="1539"/>
      <c r="BB940" s="1539"/>
      <c r="BC940" s="1539"/>
      <c r="BD940" s="1539"/>
      <c r="BE940" s="1539"/>
      <c r="BF940" s="1539"/>
      <c r="BG940" s="1539"/>
      <c r="BH940" s="1539"/>
      <c r="BI940" s="1539"/>
      <c r="BJ940" s="1539"/>
      <c r="BK940" s="1539"/>
      <c r="BL940" s="1539"/>
      <c r="BM940" s="1539"/>
      <c r="BN940" s="1539"/>
      <c r="BO940" s="1539"/>
      <c r="BP940" s="1539"/>
      <c r="BQ940" s="1539"/>
      <c r="BR940" s="1539"/>
      <c r="BS940" s="1539"/>
      <c r="BT940" s="1539"/>
      <c r="BU940" s="1539"/>
      <c r="BV940" s="1539"/>
      <c r="BW940" s="1539"/>
      <c r="BX940" s="1539"/>
      <c r="BY940" s="1539"/>
      <c r="BZ940" s="1539"/>
      <c r="CA940" s="1539"/>
      <c r="CB940" s="1539"/>
      <c r="CC940" s="1539"/>
      <c r="CD940" s="1539"/>
      <c r="CE940" s="1539"/>
      <c r="CF940" s="1539"/>
      <c r="CG940" s="1539"/>
      <c r="CH940" s="1539"/>
      <c r="CI940" s="1539"/>
      <c r="CJ940" s="1539"/>
      <c r="CK940" s="1539"/>
      <c r="CL940" s="1539"/>
      <c r="CM940" s="1539"/>
      <c r="CN940" s="1539"/>
      <c r="CO940" s="1539"/>
    </row>
    <row r="941" spans="1:93" ht="15.5">
      <c r="A941" s="1600">
        <v>22.89</v>
      </c>
      <c r="B941" s="1599" t="s">
        <v>2731</v>
      </c>
      <c r="C941" s="1643" t="e">
        <f>+SUMIF(#REF!,Final!A941,#REF!)</f>
        <v>#REF!</v>
      </c>
      <c r="D941" s="1597" t="e">
        <f>+SUMIF(#REF!,Final!A941,#REF!)</f>
        <v>#REF!</v>
      </c>
      <c r="E941" s="1643" t="e">
        <f>SUMIF(#REF!,Final!A941,#REF!)</f>
        <v>#REF!</v>
      </c>
      <c r="F941" s="1644" t="e">
        <f>SUMIF(#REF!,Final!A941,#REF!)</f>
        <v>#REF!</v>
      </c>
      <c r="G941" s="1597" t="e">
        <f t="shared" si="88"/>
        <v>#REF!</v>
      </c>
      <c r="H941" s="1644" t="e">
        <f t="shared" si="89"/>
        <v>#REF!</v>
      </c>
      <c r="I941" s="1597" t="e">
        <f t="shared" si="90"/>
        <v>#REF!</v>
      </c>
      <c r="J941" s="1644" t="e">
        <f t="shared" si="91"/>
        <v>#REF!</v>
      </c>
      <c r="M941" s="1545"/>
      <c r="N941" s="1545"/>
    </row>
    <row r="942" spans="1:93" s="1552" customFormat="1" ht="15.5">
      <c r="A942" s="1600"/>
      <c r="B942" s="1599" t="s">
        <v>1747</v>
      </c>
      <c r="C942" s="1643" t="e">
        <f>+SUMIF(#REF!,Final!A942,#REF!)</f>
        <v>#REF!</v>
      </c>
      <c r="D942" s="1597" t="e">
        <f>+SUMIF(#REF!,Final!A942,#REF!)</f>
        <v>#REF!</v>
      </c>
      <c r="E942" s="1643" t="e">
        <f>SUMIF(#REF!,Final!A942,#REF!)</f>
        <v>#REF!</v>
      </c>
      <c r="F942" s="1644" t="e">
        <f>SUMIF(#REF!,Final!A942,#REF!)</f>
        <v>#REF!</v>
      </c>
      <c r="G942" s="1597" t="e">
        <f t="shared" si="88"/>
        <v>#REF!</v>
      </c>
      <c r="H942" s="1644" t="e">
        <f t="shared" si="89"/>
        <v>#REF!</v>
      </c>
      <c r="I942" s="1597" t="e">
        <f t="shared" si="90"/>
        <v>#REF!</v>
      </c>
      <c r="J942" s="1644" t="e">
        <f t="shared" si="91"/>
        <v>#REF!</v>
      </c>
      <c r="K942" s="1539"/>
      <c r="L942" s="1539"/>
      <c r="M942" s="1545"/>
      <c r="N942" s="1545"/>
      <c r="O942" s="1539"/>
      <c r="P942" s="1539"/>
      <c r="Q942" s="1539"/>
      <c r="R942" s="1539"/>
      <c r="S942" s="1539"/>
      <c r="T942" s="1539"/>
      <c r="U942" s="1539"/>
      <c r="V942" s="1539"/>
      <c r="W942" s="1539"/>
      <c r="X942" s="1539"/>
      <c r="Y942" s="1539"/>
      <c r="Z942" s="1539"/>
      <c r="AA942" s="1539"/>
      <c r="AB942" s="1539"/>
      <c r="AC942" s="1539"/>
      <c r="AD942" s="1539"/>
      <c r="AE942" s="1539"/>
      <c r="AF942" s="1539"/>
      <c r="AG942" s="1539"/>
      <c r="AH942" s="1539"/>
      <c r="AI942" s="1539"/>
      <c r="AJ942" s="1539"/>
      <c r="AK942" s="1539"/>
      <c r="AL942" s="1539"/>
      <c r="AM942" s="1539"/>
      <c r="AN942" s="1539"/>
      <c r="AO942" s="1539"/>
      <c r="AP942" s="1539"/>
      <c r="AQ942" s="1539"/>
      <c r="AR942" s="1539"/>
      <c r="AS942" s="1539"/>
      <c r="AT942" s="1539"/>
      <c r="AU942" s="1539"/>
      <c r="AV942" s="1539"/>
      <c r="AW942" s="1539"/>
      <c r="AX942" s="1539"/>
      <c r="AY942" s="1539"/>
      <c r="AZ942" s="1539"/>
      <c r="BA942" s="1539"/>
      <c r="BB942" s="1539"/>
      <c r="BC942" s="1539"/>
      <c r="BD942" s="1539"/>
      <c r="BE942" s="1539"/>
      <c r="BF942" s="1539"/>
      <c r="BG942" s="1539"/>
      <c r="BH942" s="1539"/>
      <c r="BI942" s="1539"/>
      <c r="BJ942" s="1539"/>
      <c r="BK942" s="1539"/>
      <c r="BL942" s="1539"/>
      <c r="BM942" s="1539"/>
      <c r="BN942" s="1539"/>
      <c r="BO942" s="1539"/>
      <c r="BP942" s="1539"/>
      <c r="BQ942" s="1539"/>
      <c r="BR942" s="1539"/>
      <c r="BS942" s="1539"/>
      <c r="BT942" s="1539"/>
      <c r="BU942" s="1539"/>
      <c r="BV942" s="1539"/>
      <c r="BW942" s="1539"/>
      <c r="BX942" s="1539"/>
      <c r="BY942" s="1539"/>
      <c r="BZ942" s="1539"/>
      <c r="CA942" s="1539"/>
      <c r="CB942" s="1539"/>
      <c r="CC942" s="1539"/>
      <c r="CD942" s="1539"/>
      <c r="CE942" s="1539"/>
      <c r="CF942" s="1539"/>
      <c r="CG942" s="1539"/>
      <c r="CH942" s="1539"/>
      <c r="CI942" s="1539"/>
      <c r="CJ942" s="1539"/>
      <c r="CK942" s="1539"/>
      <c r="CL942" s="1539"/>
      <c r="CM942" s="1539"/>
      <c r="CN942" s="1539"/>
      <c r="CO942" s="1539"/>
    </row>
    <row r="943" spans="1:93" s="1552" customFormat="1" ht="15.5">
      <c r="A943" s="1600"/>
      <c r="B943" s="1599" t="s">
        <v>1760</v>
      </c>
      <c r="C943" s="1643" t="e">
        <f>+SUMIF(#REF!,Final!A943,#REF!)</f>
        <v>#REF!</v>
      </c>
      <c r="D943" s="1597" t="e">
        <f>+SUMIF(#REF!,Final!A943,#REF!)</f>
        <v>#REF!</v>
      </c>
      <c r="E943" s="1643" t="e">
        <f>SUMIF(#REF!,Final!A943,#REF!)</f>
        <v>#REF!</v>
      </c>
      <c r="F943" s="1644" t="e">
        <f>SUMIF(#REF!,Final!A943,#REF!)</f>
        <v>#REF!</v>
      </c>
      <c r="G943" s="1597" t="e">
        <f t="shared" si="88"/>
        <v>#REF!</v>
      </c>
      <c r="H943" s="1644" t="e">
        <f t="shared" si="89"/>
        <v>#REF!</v>
      </c>
      <c r="I943" s="1597" t="e">
        <f t="shared" si="90"/>
        <v>#REF!</v>
      </c>
      <c r="J943" s="1644" t="e">
        <f t="shared" si="91"/>
        <v>#REF!</v>
      </c>
      <c r="K943" s="1539"/>
      <c r="L943" s="1539"/>
      <c r="M943" s="1545"/>
      <c r="N943" s="1545"/>
      <c r="O943" s="1539"/>
      <c r="P943" s="1539"/>
      <c r="Q943" s="1539"/>
      <c r="R943" s="1539"/>
      <c r="S943" s="1539"/>
      <c r="T943" s="1539"/>
      <c r="U943" s="1539"/>
      <c r="V943" s="1539"/>
      <c r="W943" s="1539"/>
      <c r="X943" s="1539"/>
      <c r="Y943" s="1539"/>
      <c r="Z943" s="1539"/>
      <c r="AA943" s="1539"/>
      <c r="AB943" s="1539"/>
      <c r="AC943" s="1539"/>
      <c r="AD943" s="1539"/>
      <c r="AE943" s="1539"/>
      <c r="AF943" s="1539"/>
      <c r="AG943" s="1539"/>
      <c r="AH943" s="1539"/>
      <c r="AI943" s="1539"/>
      <c r="AJ943" s="1539"/>
      <c r="AK943" s="1539"/>
      <c r="AL943" s="1539"/>
      <c r="AM943" s="1539"/>
      <c r="AN943" s="1539"/>
      <c r="AO943" s="1539"/>
      <c r="AP943" s="1539"/>
      <c r="AQ943" s="1539"/>
      <c r="AR943" s="1539"/>
      <c r="AS943" s="1539"/>
      <c r="AT943" s="1539"/>
      <c r="AU943" s="1539"/>
      <c r="AV943" s="1539"/>
      <c r="AW943" s="1539"/>
      <c r="AX943" s="1539"/>
      <c r="AY943" s="1539"/>
      <c r="AZ943" s="1539"/>
      <c r="BA943" s="1539"/>
      <c r="BB943" s="1539"/>
      <c r="BC943" s="1539"/>
      <c r="BD943" s="1539"/>
      <c r="BE943" s="1539"/>
      <c r="BF943" s="1539"/>
      <c r="BG943" s="1539"/>
      <c r="BH943" s="1539"/>
      <c r="BI943" s="1539"/>
      <c r="BJ943" s="1539"/>
      <c r="BK943" s="1539"/>
      <c r="BL943" s="1539"/>
      <c r="BM943" s="1539"/>
      <c r="BN943" s="1539"/>
      <c r="BO943" s="1539"/>
      <c r="BP943" s="1539"/>
      <c r="BQ943" s="1539"/>
      <c r="BR943" s="1539"/>
      <c r="BS943" s="1539"/>
      <c r="BT943" s="1539"/>
      <c r="BU943" s="1539"/>
      <c r="BV943" s="1539"/>
      <c r="BW943" s="1539"/>
      <c r="BX943" s="1539"/>
      <c r="BY943" s="1539"/>
      <c r="BZ943" s="1539"/>
      <c r="CA943" s="1539"/>
      <c r="CB943" s="1539"/>
      <c r="CC943" s="1539"/>
      <c r="CD943" s="1539"/>
      <c r="CE943" s="1539"/>
      <c r="CF943" s="1539"/>
      <c r="CG943" s="1539"/>
      <c r="CH943" s="1539"/>
      <c r="CI943" s="1539"/>
      <c r="CJ943" s="1539"/>
      <c r="CK943" s="1539"/>
      <c r="CL943" s="1539"/>
      <c r="CM943" s="1539"/>
      <c r="CN943" s="1539"/>
      <c r="CO943" s="1539"/>
    </row>
    <row r="944" spans="1:93" s="1542" customFormat="1" ht="15.5">
      <c r="A944" s="1600" t="s">
        <v>1409</v>
      </c>
      <c r="B944" s="1599" t="s">
        <v>2732</v>
      </c>
      <c r="C944" s="1643" t="e">
        <f>+SUMIF(#REF!,Final!A944,#REF!)</f>
        <v>#REF!</v>
      </c>
      <c r="D944" s="1597" t="e">
        <f>+SUMIF(#REF!,Final!A944,#REF!)</f>
        <v>#REF!</v>
      </c>
      <c r="E944" s="1643" t="e">
        <f>SUMIF(#REF!,Final!A944,#REF!)</f>
        <v>#REF!</v>
      </c>
      <c r="F944" s="1644" t="e">
        <f>SUMIF(#REF!,Final!A944,#REF!)</f>
        <v>#REF!</v>
      </c>
      <c r="G944" s="1597" t="e">
        <f t="shared" si="88"/>
        <v>#REF!</v>
      </c>
      <c r="H944" s="1644" t="e">
        <f t="shared" si="89"/>
        <v>#REF!</v>
      </c>
      <c r="I944" s="1597" t="e">
        <f t="shared" si="90"/>
        <v>#REF!</v>
      </c>
      <c r="J944" s="1644" t="e">
        <f t="shared" si="91"/>
        <v>#REF!</v>
      </c>
      <c r="K944" s="1539"/>
      <c r="L944" s="1539"/>
      <c r="M944" s="1545"/>
      <c r="N944" s="1545"/>
      <c r="O944" s="1539"/>
      <c r="P944" s="1539"/>
      <c r="Q944" s="1539"/>
      <c r="R944" s="1539"/>
      <c r="S944" s="1539"/>
      <c r="T944" s="1539"/>
      <c r="U944" s="1539"/>
      <c r="V944" s="1539"/>
      <c r="W944" s="1539"/>
      <c r="X944" s="1539"/>
      <c r="Y944" s="1539"/>
      <c r="Z944" s="1539"/>
      <c r="AA944" s="1539"/>
      <c r="AB944" s="1539"/>
      <c r="AC944" s="1539"/>
      <c r="AD944" s="1539"/>
      <c r="AE944" s="1539"/>
      <c r="AF944" s="1539"/>
      <c r="AG944" s="1539"/>
      <c r="AH944" s="1539"/>
      <c r="AI944" s="1539"/>
      <c r="AJ944" s="1539"/>
      <c r="AK944" s="1539"/>
      <c r="AL944" s="1539"/>
      <c r="AM944" s="1539"/>
      <c r="AN944" s="1539"/>
      <c r="AO944" s="1539"/>
      <c r="AP944" s="1539"/>
      <c r="AQ944" s="1539"/>
      <c r="AR944" s="1539"/>
      <c r="AS944" s="1539"/>
      <c r="AT944" s="1539"/>
      <c r="AU944" s="1539"/>
      <c r="AV944" s="1539"/>
      <c r="AW944" s="1539"/>
      <c r="AX944" s="1539"/>
      <c r="AY944" s="1539"/>
      <c r="AZ944" s="1539"/>
      <c r="BA944" s="1539"/>
      <c r="BB944" s="1539"/>
      <c r="BC944" s="1539"/>
      <c r="BD944" s="1539"/>
      <c r="BE944" s="1539"/>
      <c r="BF944" s="1539"/>
      <c r="BG944" s="1539"/>
      <c r="BH944" s="1539"/>
      <c r="BI944" s="1539"/>
      <c r="BJ944" s="1539"/>
      <c r="BK944" s="1539"/>
      <c r="BL944" s="1539"/>
      <c r="BM944" s="1539"/>
      <c r="BN944" s="1539"/>
      <c r="BO944" s="1539"/>
      <c r="BP944" s="1539"/>
      <c r="BQ944" s="1539"/>
      <c r="BR944" s="1539"/>
      <c r="BS944" s="1539"/>
      <c r="BT944" s="1539"/>
      <c r="BU944" s="1539"/>
      <c r="BV944" s="1539"/>
      <c r="BW944" s="1539"/>
      <c r="BX944" s="1539"/>
      <c r="BY944" s="1539"/>
      <c r="BZ944" s="1539"/>
      <c r="CA944" s="1539"/>
      <c r="CB944" s="1539"/>
      <c r="CC944" s="1539"/>
      <c r="CD944" s="1539"/>
      <c r="CE944" s="1539"/>
      <c r="CF944" s="1539"/>
      <c r="CG944" s="1539"/>
      <c r="CH944" s="1539"/>
      <c r="CI944" s="1539"/>
      <c r="CJ944" s="1539"/>
      <c r="CK944" s="1539"/>
      <c r="CL944" s="1539"/>
      <c r="CM944" s="1539"/>
      <c r="CN944" s="1539"/>
      <c r="CO944" s="1539"/>
    </row>
    <row r="945" spans="1:93" ht="15.5">
      <c r="A945" s="1600">
        <v>22.890999999999998</v>
      </c>
      <c r="B945" s="1599" t="s">
        <v>2733</v>
      </c>
      <c r="C945" s="1643" t="e">
        <f>+SUMIF(#REF!,Final!A945,#REF!)</f>
        <v>#REF!</v>
      </c>
      <c r="D945" s="1597" t="e">
        <f>+SUMIF(#REF!,Final!A945,#REF!)</f>
        <v>#REF!</v>
      </c>
      <c r="E945" s="1643" t="e">
        <f>SUMIF(#REF!,Final!A945,#REF!)</f>
        <v>#REF!</v>
      </c>
      <c r="F945" s="1644" t="e">
        <f>SUMIF(#REF!,Final!A945,#REF!)</f>
        <v>#REF!</v>
      </c>
      <c r="G945" s="1597" t="e">
        <f t="shared" si="88"/>
        <v>#REF!</v>
      </c>
      <c r="H945" s="1644" t="e">
        <f t="shared" si="89"/>
        <v>#REF!</v>
      </c>
      <c r="I945" s="1597" t="e">
        <f t="shared" si="90"/>
        <v>#REF!</v>
      </c>
      <c r="J945" s="1644" t="e">
        <f t="shared" si="91"/>
        <v>#REF!</v>
      </c>
      <c r="M945" s="1545"/>
      <c r="N945" s="1545"/>
    </row>
    <row r="946" spans="1:93" s="1552" customFormat="1" ht="15.5">
      <c r="A946" s="1598"/>
      <c r="B946" s="1599" t="s">
        <v>1747</v>
      </c>
      <c r="C946" s="1643" t="e">
        <f>+SUMIF(#REF!,Final!A946,#REF!)</f>
        <v>#REF!</v>
      </c>
      <c r="D946" s="1597" t="e">
        <f>+SUMIF(#REF!,Final!A946,#REF!)</f>
        <v>#REF!</v>
      </c>
      <c r="E946" s="1643" t="e">
        <f>SUMIF(#REF!,Final!A946,#REF!)</f>
        <v>#REF!</v>
      </c>
      <c r="F946" s="1644" t="e">
        <f>SUMIF(#REF!,Final!A946,#REF!)</f>
        <v>#REF!</v>
      </c>
      <c r="G946" s="1597" t="e">
        <f t="shared" si="88"/>
        <v>#REF!</v>
      </c>
      <c r="H946" s="1644" t="e">
        <f t="shared" si="89"/>
        <v>#REF!</v>
      </c>
      <c r="I946" s="1597" t="e">
        <f t="shared" si="90"/>
        <v>#REF!</v>
      </c>
      <c r="J946" s="1644" t="e">
        <f t="shared" si="91"/>
        <v>#REF!</v>
      </c>
      <c r="K946" s="1539"/>
      <c r="L946" s="1539"/>
      <c r="M946" s="1545"/>
      <c r="N946" s="1545"/>
      <c r="O946" s="1539"/>
      <c r="P946" s="1539"/>
      <c r="Q946" s="1539"/>
      <c r="R946" s="1539"/>
      <c r="S946" s="1539"/>
      <c r="T946" s="1539"/>
      <c r="U946" s="1539"/>
      <c r="V946" s="1539"/>
      <c r="W946" s="1539"/>
      <c r="X946" s="1539"/>
      <c r="Y946" s="1539"/>
      <c r="Z946" s="1539"/>
      <c r="AA946" s="1539"/>
      <c r="AB946" s="1539"/>
      <c r="AC946" s="1539"/>
      <c r="AD946" s="1539"/>
      <c r="AE946" s="1539"/>
      <c r="AF946" s="1539"/>
      <c r="AG946" s="1539"/>
      <c r="AH946" s="1539"/>
      <c r="AI946" s="1539"/>
      <c r="AJ946" s="1539"/>
      <c r="AK946" s="1539"/>
      <c r="AL946" s="1539"/>
      <c r="AM946" s="1539"/>
      <c r="AN946" s="1539"/>
      <c r="AO946" s="1539"/>
      <c r="AP946" s="1539"/>
      <c r="AQ946" s="1539"/>
      <c r="AR946" s="1539"/>
      <c r="AS946" s="1539"/>
      <c r="AT946" s="1539"/>
      <c r="AU946" s="1539"/>
      <c r="AV946" s="1539"/>
      <c r="AW946" s="1539"/>
      <c r="AX946" s="1539"/>
      <c r="AY946" s="1539"/>
      <c r="AZ946" s="1539"/>
      <c r="BA946" s="1539"/>
      <c r="BB946" s="1539"/>
      <c r="BC946" s="1539"/>
      <c r="BD946" s="1539"/>
      <c r="BE946" s="1539"/>
      <c r="BF946" s="1539"/>
      <c r="BG946" s="1539"/>
      <c r="BH946" s="1539"/>
      <c r="BI946" s="1539"/>
      <c r="BJ946" s="1539"/>
      <c r="BK946" s="1539"/>
      <c r="BL946" s="1539"/>
      <c r="BM946" s="1539"/>
      <c r="BN946" s="1539"/>
      <c r="BO946" s="1539"/>
      <c r="BP946" s="1539"/>
      <c r="BQ946" s="1539"/>
      <c r="BR946" s="1539"/>
      <c r="BS946" s="1539"/>
      <c r="BT946" s="1539"/>
      <c r="BU946" s="1539"/>
      <c r="BV946" s="1539"/>
      <c r="BW946" s="1539"/>
      <c r="BX946" s="1539"/>
      <c r="BY946" s="1539"/>
      <c r="BZ946" s="1539"/>
      <c r="CA946" s="1539"/>
      <c r="CB946" s="1539"/>
      <c r="CC946" s="1539"/>
      <c r="CD946" s="1539"/>
      <c r="CE946" s="1539"/>
      <c r="CF946" s="1539"/>
      <c r="CG946" s="1539"/>
      <c r="CH946" s="1539"/>
      <c r="CI946" s="1539"/>
      <c r="CJ946" s="1539"/>
      <c r="CK946" s="1539"/>
      <c r="CL946" s="1539"/>
      <c r="CM946" s="1539"/>
      <c r="CN946" s="1539"/>
      <c r="CO946" s="1539"/>
    </row>
    <row r="947" spans="1:93" s="1552" customFormat="1" ht="15.5">
      <c r="A947" s="1598"/>
      <c r="B947" s="1599" t="s">
        <v>1760</v>
      </c>
      <c r="C947" s="1643" t="e">
        <f>+SUMIF(#REF!,Final!A947,#REF!)</f>
        <v>#REF!</v>
      </c>
      <c r="D947" s="1597" t="e">
        <f>+SUMIF(#REF!,Final!A947,#REF!)</f>
        <v>#REF!</v>
      </c>
      <c r="E947" s="1643" t="e">
        <f>SUMIF(#REF!,Final!A947,#REF!)</f>
        <v>#REF!</v>
      </c>
      <c r="F947" s="1644" t="e">
        <f>SUMIF(#REF!,Final!A947,#REF!)</f>
        <v>#REF!</v>
      </c>
      <c r="G947" s="1597" t="e">
        <f t="shared" si="88"/>
        <v>#REF!</v>
      </c>
      <c r="H947" s="1644" t="e">
        <f t="shared" si="89"/>
        <v>#REF!</v>
      </c>
      <c r="I947" s="1597" t="e">
        <f t="shared" si="90"/>
        <v>#REF!</v>
      </c>
      <c r="J947" s="1644" t="e">
        <f t="shared" si="91"/>
        <v>#REF!</v>
      </c>
      <c r="K947" s="1539"/>
      <c r="L947" s="1539"/>
      <c r="M947" s="1545"/>
      <c r="N947" s="1545"/>
      <c r="O947" s="1539"/>
      <c r="P947" s="1539"/>
      <c r="Q947" s="1539"/>
      <c r="R947" s="1539"/>
      <c r="S947" s="1539"/>
      <c r="T947" s="1539"/>
      <c r="U947" s="1539"/>
      <c r="V947" s="1539"/>
      <c r="W947" s="1539"/>
      <c r="X947" s="1539"/>
      <c r="Y947" s="1539"/>
      <c r="Z947" s="1539"/>
      <c r="AA947" s="1539"/>
      <c r="AB947" s="1539"/>
      <c r="AC947" s="1539"/>
      <c r="AD947" s="1539"/>
      <c r="AE947" s="1539"/>
      <c r="AF947" s="1539"/>
      <c r="AG947" s="1539"/>
      <c r="AH947" s="1539"/>
      <c r="AI947" s="1539"/>
      <c r="AJ947" s="1539"/>
      <c r="AK947" s="1539"/>
      <c r="AL947" s="1539"/>
      <c r="AM947" s="1539"/>
      <c r="AN947" s="1539"/>
      <c r="AO947" s="1539"/>
      <c r="AP947" s="1539"/>
      <c r="AQ947" s="1539"/>
      <c r="AR947" s="1539"/>
      <c r="AS947" s="1539"/>
      <c r="AT947" s="1539"/>
      <c r="AU947" s="1539"/>
      <c r="AV947" s="1539"/>
      <c r="AW947" s="1539"/>
      <c r="AX947" s="1539"/>
      <c r="AY947" s="1539"/>
      <c r="AZ947" s="1539"/>
      <c r="BA947" s="1539"/>
      <c r="BB947" s="1539"/>
      <c r="BC947" s="1539"/>
      <c r="BD947" s="1539"/>
      <c r="BE947" s="1539"/>
      <c r="BF947" s="1539"/>
      <c r="BG947" s="1539"/>
      <c r="BH947" s="1539"/>
      <c r="BI947" s="1539"/>
      <c r="BJ947" s="1539"/>
      <c r="BK947" s="1539"/>
      <c r="BL947" s="1539"/>
      <c r="BM947" s="1539"/>
      <c r="BN947" s="1539"/>
      <c r="BO947" s="1539"/>
      <c r="BP947" s="1539"/>
      <c r="BQ947" s="1539"/>
      <c r="BR947" s="1539"/>
      <c r="BS947" s="1539"/>
      <c r="BT947" s="1539"/>
      <c r="BU947" s="1539"/>
      <c r="BV947" s="1539"/>
      <c r="BW947" s="1539"/>
      <c r="BX947" s="1539"/>
      <c r="BY947" s="1539"/>
      <c r="BZ947" s="1539"/>
      <c r="CA947" s="1539"/>
      <c r="CB947" s="1539"/>
      <c r="CC947" s="1539"/>
      <c r="CD947" s="1539"/>
      <c r="CE947" s="1539"/>
      <c r="CF947" s="1539"/>
      <c r="CG947" s="1539"/>
      <c r="CH947" s="1539"/>
      <c r="CI947" s="1539"/>
      <c r="CJ947" s="1539"/>
      <c r="CK947" s="1539"/>
      <c r="CL947" s="1539"/>
      <c r="CM947" s="1539"/>
      <c r="CN947" s="1539"/>
      <c r="CO947" s="1539"/>
    </row>
    <row r="948" spans="1:93" s="1552" customFormat="1" ht="15.5">
      <c r="A948" s="1598"/>
      <c r="B948" s="1599" t="s">
        <v>2734</v>
      </c>
      <c r="C948" s="1643" t="e">
        <f>+SUMIF(#REF!,Final!A948,#REF!)</f>
        <v>#REF!</v>
      </c>
      <c r="D948" s="1597" t="e">
        <f>+SUMIF(#REF!,Final!A948,#REF!)</f>
        <v>#REF!</v>
      </c>
      <c r="E948" s="1643" t="e">
        <f>SUMIF(#REF!,Final!A948,#REF!)</f>
        <v>#REF!</v>
      </c>
      <c r="F948" s="1644" t="e">
        <f>SUMIF(#REF!,Final!A948,#REF!)</f>
        <v>#REF!</v>
      </c>
      <c r="G948" s="1597" t="e">
        <f t="shared" si="88"/>
        <v>#REF!</v>
      </c>
      <c r="H948" s="1644" t="e">
        <f t="shared" si="89"/>
        <v>#REF!</v>
      </c>
      <c r="I948" s="1597" t="e">
        <f t="shared" si="90"/>
        <v>#REF!</v>
      </c>
      <c r="J948" s="1644" t="e">
        <f t="shared" si="91"/>
        <v>#REF!</v>
      </c>
      <c r="K948" s="1539"/>
      <c r="L948" s="1539"/>
      <c r="M948" s="1545"/>
      <c r="N948" s="1545"/>
      <c r="O948" s="1539"/>
      <c r="P948" s="1539"/>
      <c r="Q948" s="1539"/>
      <c r="R948" s="1539"/>
      <c r="S948" s="1539"/>
      <c r="T948" s="1539"/>
      <c r="U948" s="1539"/>
      <c r="V948" s="1539"/>
      <c r="W948" s="1539"/>
      <c r="X948" s="1539"/>
      <c r="Y948" s="1539"/>
      <c r="Z948" s="1539"/>
      <c r="AA948" s="1539"/>
      <c r="AB948" s="1539"/>
      <c r="AC948" s="1539"/>
      <c r="AD948" s="1539"/>
      <c r="AE948" s="1539"/>
      <c r="AF948" s="1539"/>
      <c r="AG948" s="1539"/>
      <c r="AH948" s="1539"/>
      <c r="AI948" s="1539"/>
      <c r="AJ948" s="1539"/>
      <c r="AK948" s="1539"/>
      <c r="AL948" s="1539"/>
      <c r="AM948" s="1539"/>
      <c r="AN948" s="1539"/>
      <c r="AO948" s="1539"/>
      <c r="AP948" s="1539"/>
      <c r="AQ948" s="1539"/>
      <c r="AR948" s="1539"/>
      <c r="AS948" s="1539"/>
      <c r="AT948" s="1539"/>
      <c r="AU948" s="1539"/>
      <c r="AV948" s="1539"/>
      <c r="AW948" s="1539"/>
      <c r="AX948" s="1539"/>
      <c r="AY948" s="1539"/>
      <c r="AZ948" s="1539"/>
      <c r="BA948" s="1539"/>
      <c r="BB948" s="1539"/>
      <c r="BC948" s="1539"/>
      <c r="BD948" s="1539"/>
      <c r="BE948" s="1539"/>
      <c r="BF948" s="1539"/>
      <c r="BG948" s="1539"/>
      <c r="BH948" s="1539"/>
      <c r="BI948" s="1539"/>
      <c r="BJ948" s="1539"/>
      <c r="BK948" s="1539"/>
      <c r="BL948" s="1539"/>
      <c r="BM948" s="1539"/>
      <c r="BN948" s="1539"/>
      <c r="BO948" s="1539"/>
      <c r="BP948" s="1539"/>
      <c r="BQ948" s="1539"/>
      <c r="BR948" s="1539"/>
      <c r="BS948" s="1539"/>
      <c r="BT948" s="1539"/>
      <c r="BU948" s="1539"/>
      <c r="BV948" s="1539"/>
      <c r="BW948" s="1539"/>
      <c r="BX948" s="1539"/>
      <c r="BY948" s="1539"/>
      <c r="BZ948" s="1539"/>
      <c r="CA948" s="1539"/>
      <c r="CB948" s="1539"/>
      <c r="CC948" s="1539"/>
      <c r="CD948" s="1539"/>
      <c r="CE948" s="1539"/>
      <c r="CF948" s="1539"/>
      <c r="CG948" s="1539"/>
      <c r="CH948" s="1539"/>
      <c r="CI948" s="1539"/>
      <c r="CJ948" s="1539"/>
      <c r="CK948" s="1539"/>
      <c r="CL948" s="1539"/>
      <c r="CM948" s="1539"/>
      <c r="CN948" s="1539"/>
      <c r="CO948" s="1539"/>
    </row>
    <row r="949" spans="1:93" s="1552" customFormat="1" ht="15.5">
      <c r="A949" s="1598" t="s">
        <v>2735</v>
      </c>
      <c r="B949" s="1599" t="s">
        <v>2736</v>
      </c>
      <c r="C949" s="1643" t="e">
        <f>+SUMIF(#REF!,Final!A949,#REF!)</f>
        <v>#REF!</v>
      </c>
      <c r="D949" s="1597" t="e">
        <f>+SUMIF(#REF!,Final!A949,#REF!)</f>
        <v>#REF!</v>
      </c>
      <c r="E949" s="1643" t="e">
        <f>SUMIF(#REF!,Final!A949,#REF!)</f>
        <v>#REF!</v>
      </c>
      <c r="F949" s="1644" t="e">
        <f>SUMIF(#REF!,Final!A949,#REF!)</f>
        <v>#REF!</v>
      </c>
      <c r="G949" s="1597" t="e">
        <f t="shared" si="88"/>
        <v>#REF!</v>
      </c>
      <c r="H949" s="1644" t="e">
        <f t="shared" si="89"/>
        <v>#REF!</v>
      </c>
      <c r="I949" s="1597" t="e">
        <f t="shared" si="90"/>
        <v>#REF!</v>
      </c>
      <c r="J949" s="1644" t="e">
        <f t="shared" si="91"/>
        <v>#REF!</v>
      </c>
      <c r="K949" s="1539"/>
      <c r="L949" s="1539"/>
      <c r="M949" s="1545"/>
      <c r="N949" s="1545"/>
      <c r="O949" s="1539"/>
      <c r="P949" s="1539"/>
      <c r="Q949" s="1539"/>
      <c r="R949" s="1539"/>
      <c r="S949" s="1539"/>
      <c r="T949" s="1539"/>
      <c r="U949" s="1539"/>
      <c r="V949" s="1539"/>
      <c r="W949" s="1539"/>
      <c r="X949" s="1539"/>
      <c r="Y949" s="1539"/>
      <c r="Z949" s="1539"/>
      <c r="AA949" s="1539"/>
      <c r="AB949" s="1539"/>
      <c r="AC949" s="1539"/>
      <c r="AD949" s="1539"/>
      <c r="AE949" s="1539"/>
      <c r="AF949" s="1539"/>
      <c r="AG949" s="1539"/>
      <c r="AH949" s="1539"/>
      <c r="AI949" s="1539"/>
      <c r="AJ949" s="1539"/>
      <c r="AK949" s="1539"/>
      <c r="AL949" s="1539"/>
      <c r="AM949" s="1539"/>
      <c r="AN949" s="1539"/>
      <c r="AO949" s="1539"/>
      <c r="AP949" s="1539"/>
      <c r="AQ949" s="1539"/>
      <c r="AR949" s="1539"/>
      <c r="AS949" s="1539"/>
      <c r="AT949" s="1539"/>
      <c r="AU949" s="1539"/>
      <c r="AV949" s="1539"/>
      <c r="AW949" s="1539"/>
      <c r="AX949" s="1539"/>
      <c r="AY949" s="1539"/>
      <c r="AZ949" s="1539"/>
      <c r="BA949" s="1539"/>
      <c r="BB949" s="1539"/>
      <c r="BC949" s="1539"/>
      <c r="BD949" s="1539"/>
      <c r="BE949" s="1539"/>
      <c r="BF949" s="1539"/>
      <c r="BG949" s="1539"/>
      <c r="BH949" s="1539"/>
      <c r="BI949" s="1539"/>
      <c r="BJ949" s="1539"/>
      <c r="BK949" s="1539"/>
      <c r="BL949" s="1539"/>
      <c r="BM949" s="1539"/>
      <c r="BN949" s="1539"/>
      <c r="BO949" s="1539"/>
      <c r="BP949" s="1539"/>
      <c r="BQ949" s="1539"/>
      <c r="BR949" s="1539"/>
      <c r="BS949" s="1539"/>
      <c r="BT949" s="1539"/>
      <c r="BU949" s="1539"/>
      <c r="BV949" s="1539"/>
      <c r="BW949" s="1539"/>
      <c r="BX949" s="1539"/>
      <c r="BY949" s="1539"/>
      <c r="BZ949" s="1539"/>
      <c r="CA949" s="1539"/>
      <c r="CB949" s="1539"/>
      <c r="CC949" s="1539"/>
      <c r="CD949" s="1539"/>
      <c r="CE949" s="1539"/>
      <c r="CF949" s="1539"/>
      <c r="CG949" s="1539"/>
      <c r="CH949" s="1539"/>
      <c r="CI949" s="1539"/>
      <c r="CJ949" s="1539"/>
      <c r="CK949" s="1539"/>
      <c r="CL949" s="1539"/>
      <c r="CM949" s="1539"/>
      <c r="CN949" s="1539"/>
      <c r="CO949" s="1539"/>
    </row>
    <row r="950" spans="1:93" s="1542" customFormat="1" ht="15.5">
      <c r="A950" s="1598">
        <v>5</v>
      </c>
      <c r="B950" s="1599" t="s">
        <v>2737</v>
      </c>
      <c r="C950" s="1643" t="e">
        <f>+SUMIF(#REF!,Final!A950,#REF!)</f>
        <v>#REF!</v>
      </c>
      <c r="D950" s="1597" t="e">
        <f>+SUMIF(#REF!,Final!A950,#REF!)</f>
        <v>#REF!</v>
      </c>
      <c r="E950" s="1643" t="e">
        <f>SUMIF(#REF!,Final!A950,#REF!)</f>
        <v>#REF!</v>
      </c>
      <c r="F950" s="1644" t="e">
        <f>SUMIF(#REF!,Final!A950,#REF!)</f>
        <v>#REF!</v>
      </c>
      <c r="G950" s="1597" t="e">
        <f t="shared" si="88"/>
        <v>#REF!</v>
      </c>
      <c r="H950" s="1644" t="e">
        <f t="shared" si="89"/>
        <v>#REF!</v>
      </c>
      <c r="I950" s="1597" t="e">
        <f t="shared" si="90"/>
        <v>#REF!</v>
      </c>
      <c r="J950" s="1644" t="e">
        <f t="shared" si="91"/>
        <v>#REF!</v>
      </c>
      <c r="K950" s="1539"/>
      <c r="L950" s="1539"/>
      <c r="M950" s="1545"/>
      <c r="N950" s="1545"/>
      <c r="O950" s="1539"/>
      <c r="P950" s="1539"/>
      <c r="Q950" s="1539"/>
      <c r="R950" s="1539"/>
      <c r="S950" s="1539"/>
      <c r="T950" s="1539"/>
      <c r="U950" s="1539"/>
      <c r="V950" s="1539"/>
      <c r="W950" s="1539"/>
      <c r="X950" s="1539"/>
      <c r="Y950" s="1539"/>
      <c r="Z950" s="1539"/>
      <c r="AA950" s="1539"/>
      <c r="AB950" s="1539"/>
      <c r="AC950" s="1539"/>
      <c r="AD950" s="1539"/>
      <c r="AE950" s="1539"/>
      <c r="AF950" s="1539"/>
      <c r="AG950" s="1539"/>
      <c r="AH950" s="1539"/>
      <c r="AI950" s="1539"/>
      <c r="AJ950" s="1539"/>
      <c r="AK950" s="1539"/>
      <c r="AL950" s="1539"/>
      <c r="AM950" s="1539"/>
      <c r="AN950" s="1539"/>
      <c r="AO950" s="1539"/>
      <c r="AP950" s="1539"/>
      <c r="AQ950" s="1539"/>
      <c r="AR950" s="1539"/>
      <c r="AS950" s="1539"/>
      <c r="AT950" s="1539"/>
      <c r="AU950" s="1539"/>
      <c r="AV950" s="1539"/>
      <c r="AW950" s="1539"/>
      <c r="AX950" s="1539"/>
      <c r="AY950" s="1539"/>
      <c r="AZ950" s="1539"/>
      <c r="BA950" s="1539"/>
      <c r="BB950" s="1539"/>
      <c r="BC950" s="1539"/>
      <c r="BD950" s="1539"/>
      <c r="BE950" s="1539"/>
      <c r="BF950" s="1539"/>
      <c r="BG950" s="1539"/>
      <c r="BH950" s="1539"/>
      <c r="BI950" s="1539"/>
      <c r="BJ950" s="1539"/>
      <c r="BK950" s="1539"/>
      <c r="BL950" s="1539"/>
      <c r="BM950" s="1539"/>
      <c r="BN950" s="1539"/>
      <c r="BO950" s="1539"/>
      <c r="BP950" s="1539"/>
      <c r="BQ950" s="1539"/>
      <c r="BR950" s="1539"/>
      <c r="BS950" s="1539"/>
      <c r="BT950" s="1539"/>
      <c r="BU950" s="1539"/>
      <c r="BV950" s="1539"/>
      <c r="BW950" s="1539"/>
      <c r="BX950" s="1539"/>
      <c r="BY950" s="1539"/>
      <c r="BZ950" s="1539"/>
      <c r="CA950" s="1539"/>
      <c r="CB950" s="1539"/>
      <c r="CC950" s="1539"/>
      <c r="CD950" s="1539"/>
      <c r="CE950" s="1539"/>
      <c r="CF950" s="1539"/>
      <c r="CG950" s="1539"/>
      <c r="CH950" s="1539"/>
      <c r="CI950" s="1539"/>
      <c r="CJ950" s="1539"/>
      <c r="CK950" s="1539"/>
      <c r="CL950" s="1539"/>
      <c r="CM950" s="1539"/>
      <c r="CN950" s="1539"/>
      <c r="CO950" s="1539"/>
    </row>
    <row r="951" spans="1:93" s="1542" customFormat="1" ht="15.5">
      <c r="A951" s="1598" t="s">
        <v>1102</v>
      </c>
      <c r="B951" s="1599" t="s">
        <v>2738</v>
      </c>
      <c r="C951" s="1643" t="e">
        <f>+SUMIF(#REF!,Final!A951,#REF!)</f>
        <v>#REF!</v>
      </c>
      <c r="D951" s="1597" t="e">
        <f>+SUMIF(#REF!,Final!A951,#REF!)</f>
        <v>#REF!</v>
      </c>
      <c r="E951" s="1643" t="e">
        <f>SUMIF(#REF!,Final!A951,#REF!)</f>
        <v>#REF!</v>
      </c>
      <c r="F951" s="1644" t="e">
        <f>SUMIF(#REF!,Final!A951,#REF!)</f>
        <v>#REF!</v>
      </c>
      <c r="G951" s="1597" t="e">
        <f t="shared" si="88"/>
        <v>#REF!</v>
      </c>
      <c r="H951" s="1644" t="e">
        <f t="shared" si="89"/>
        <v>#REF!</v>
      </c>
      <c r="I951" s="1597" t="e">
        <f t="shared" si="90"/>
        <v>#REF!</v>
      </c>
      <c r="J951" s="1644" t="e">
        <f t="shared" si="91"/>
        <v>#REF!</v>
      </c>
      <c r="K951" s="1539"/>
      <c r="L951" s="1539"/>
      <c r="M951" s="1545"/>
      <c r="N951" s="1545"/>
      <c r="O951" s="1539"/>
      <c r="P951" s="1539"/>
      <c r="Q951" s="1539"/>
      <c r="R951" s="1539"/>
      <c r="S951" s="1539"/>
      <c r="T951" s="1539"/>
      <c r="U951" s="1539"/>
      <c r="V951" s="1539"/>
      <c r="W951" s="1539"/>
      <c r="X951" s="1539"/>
      <c r="Y951" s="1539"/>
      <c r="Z951" s="1539"/>
      <c r="AA951" s="1539"/>
      <c r="AB951" s="1539"/>
      <c r="AC951" s="1539"/>
      <c r="AD951" s="1539"/>
      <c r="AE951" s="1539"/>
      <c r="AF951" s="1539"/>
      <c r="AG951" s="1539"/>
      <c r="AH951" s="1539"/>
      <c r="AI951" s="1539"/>
      <c r="AJ951" s="1539"/>
      <c r="AK951" s="1539"/>
      <c r="AL951" s="1539"/>
      <c r="AM951" s="1539"/>
      <c r="AN951" s="1539"/>
      <c r="AO951" s="1539"/>
      <c r="AP951" s="1539"/>
      <c r="AQ951" s="1539"/>
      <c r="AR951" s="1539"/>
      <c r="AS951" s="1539"/>
      <c r="AT951" s="1539"/>
      <c r="AU951" s="1539"/>
      <c r="AV951" s="1539"/>
      <c r="AW951" s="1539"/>
      <c r="AX951" s="1539"/>
      <c r="AY951" s="1539"/>
      <c r="AZ951" s="1539"/>
      <c r="BA951" s="1539"/>
      <c r="BB951" s="1539"/>
      <c r="BC951" s="1539"/>
      <c r="BD951" s="1539"/>
      <c r="BE951" s="1539"/>
      <c r="BF951" s="1539"/>
      <c r="BG951" s="1539"/>
      <c r="BH951" s="1539"/>
      <c r="BI951" s="1539"/>
      <c r="BJ951" s="1539"/>
      <c r="BK951" s="1539"/>
      <c r="BL951" s="1539"/>
      <c r="BM951" s="1539"/>
      <c r="BN951" s="1539"/>
      <c r="BO951" s="1539"/>
      <c r="BP951" s="1539"/>
      <c r="BQ951" s="1539"/>
      <c r="BR951" s="1539"/>
      <c r="BS951" s="1539"/>
      <c r="BT951" s="1539"/>
      <c r="BU951" s="1539"/>
      <c r="BV951" s="1539"/>
      <c r="BW951" s="1539"/>
      <c r="BX951" s="1539"/>
      <c r="BY951" s="1539"/>
      <c r="BZ951" s="1539"/>
      <c r="CA951" s="1539"/>
      <c r="CB951" s="1539"/>
      <c r="CC951" s="1539"/>
      <c r="CD951" s="1539"/>
      <c r="CE951" s="1539"/>
      <c r="CF951" s="1539"/>
      <c r="CG951" s="1539"/>
      <c r="CH951" s="1539"/>
      <c r="CI951" s="1539"/>
      <c r="CJ951" s="1539"/>
      <c r="CK951" s="1539"/>
      <c r="CL951" s="1539"/>
      <c r="CM951" s="1539"/>
      <c r="CN951" s="1539"/>
      <c r="CO951" s="1539"/>
    </row>
    <row r="952" spans="1:93" s="1542" customFormat="1" ht="15.5">
      <c r="A952" s="1598" t="s">
        <v>970</v>
      </c>
      <c r="B952" s="1599" t="s">
        <v>2739</v>
      </c>
      <c r="C952" s="1643" t="e">
        <f>+SUMIF(#REF!,Final!A952,#REF!)</f>
        <v>#REF!</v>
      </c>
      <c r="D952" s="1597" t="e">
        <f>+SUMIF(#REF!,Final!A952,#REF!)</f>
        <v>#REF!</v>
      </c>
      <c r="E952" s="1643" t="e">
        <f>SUMIF(#REF!,Final!A952,#REF!)</f>
        <v>#REF!</v>
      </c>
      <c r="F952" s="1644" t="e">
        <f>SUMIF(#REF!,Final!A952,#REF!)</f>
        <v>#REF!</v>
      </c>
      <c r="G952" s="1597" t="e">
        <f t="shared" si="88"/>
        <v>#REF!</v>
      </c>
      <c r="H952" s="1644" t="e">
        <f t="shared" si="89"/>
        <v>#REF!</v>
      </c>
      <c r="I952" s="1597" t="e">
        <f t="shared" si="90"/>
        <v>#REF!</v>
      </c>
      <c r="J952" s="1644" t="e">
        <f t="shared" si="91"/>
        <v>#REF!</v>
      </c>
      <c r="K952" s="1539"/>
      <c r="L952" s="1539"/>
      <c r="M952" s="1545"/>
      <c r="N952" s="1545"/>
      <c r="O952" s="1539"/>
      <c r="P952" s="1539"/>
      <c r="Q952" s="1539"/>
      <c r="R952" s="1539"/>
      <c r="S952" s="1539"/>
      <c r="T952" s="1539"/>
      <c r="U952" s="1539"/>
      <c r="V952" s="1539"/>
      <c r="W952" s="1539"/>
      <c r="X952" s="1539"/>
      <c r="Y952" s="1539"/>
      <c r="Z952" s="1539"/>
      <c r="AA952" s="1539"/>
      <c r="AB952" s="1539"/>
      <c r="AC952" s="1539"/>
      <c r="AD952" s="1539"/>
      <c r="AE952" s="1539"/>
      <c r="AF952" s="1539"/>
      <c r="AG952" s="1539"/>
      <c r="AH952" s="1539"/>
      <c r="AI952" s="1539"/>
      <c r="AJ952" s="1539"/>
      <c r="AK952" s="1539"/>
      <c r="AL952" s="1539"/>
      <c r="AM952" s="1539"/>
      <c r="AN952" s="1539"/>
      <c r="AO952" s="1539"/>
      <c r="AP952" s="1539"/>
      <c r="AQ952" s="1539"/>
      <c r="AR952" s="1539"/>
      <c r="AS952" s="1539"/>
      <c r="AT952" s="1539"/>
      <c r="AU952" s="1539"/>
      <c r="AV952" s="1539"/>
      <c r="AW952" s="1539"/>
      <c r="AX952" s="1539"/>
      <c r="AY952" s="1539"/>
      <c r="AZ952" s="1539"/>
      <c r="BA952" s="1539"/>
      <c r="BB952" s="1539"/>
      <c r="BC952" s="1539"/>
      <c r="BD952" s="1539"/>
      <c r="BE952" s="1539"/>
      <c r="BF952" s="1539"/>
      <c r="BG952" s="1539"/>
      <c r="BH952" s="1539"/>
      <c r="BI952" s="1539"/>
      <c r="BJ952" s="1539"/>
      <c r="BK952" s="1539"/>
      <c r="BL952" s="1539"/>
      <c r="BM952" s="1539"/>
      <c r="BN952" s="1539"/>
      <c r="BO952" s="1539"/>
      <c r="BP952" s="1539"/>
      <c r="BQ952" s="1539"/>
      <c r="BR952" s="1539"/>
      <c r="BS952" s="1539"/>
      <c r="BT952" s="1539"/>
      <c r="BU952" s="1539"/>
      <c r="BV952" s="1539"/>
      <c r="BW952" s="1539"/>
      <c r="BX952" s="1539"/>
      <c r="BY952" s="1539"/>
      <c r="BZ952" s="1539"/>
      <c r="CA952" s="1539"/>
      <c r="CB952" s="1539"/>
      <c r="CC952" s="1539"/>
      <c r="CD952" s="1539"/>
      <c r="CE952" s="1539"/>
      <c r="CF952" s="1539"/>
      <c r="CG952" s="1539"/>
      <c r="CH952" s="1539"/>
      <c r="CI952" s="1539"/>
      <c r="CJ952" s="1539"/>
      <c r="CK952" s="1539"/>
      <c r="CL952" s="1539"/>
      <c r="CM952" s="1539"/>
      <c r="CN952" s="1539"/>
      <c r="CO952" s="1539"/>
    </row>
    <row r="953" spans="1:93" ht="15.5">
      <c r="A953" s="1598">
        <v>23.100999999999999</v>
      </c>
      <c r="B953" s="1599" t="s">
        <v>666</v>
      </c>
      <c r="C953" s="1643" t="e">
        <f>+SUMIF(#REF!,Final!A953,#REF!)</f>
        <v>#REF!</v>
      </c>
      <c r="D953" s="1597" t="e">
        <f>+SUMIF(#REF!,Final!A953,#REF!)</f>
        <v>#REF!</v>
      </c>
      <c r="E953" s="1643" t="e">
        <f>SUMIF(#REF!,Final!A953,#REF!)</f>
        <v>#REF!</v>
      </c>
      <c r="F953" s="1644" t="e">
        <f>SUMIF(#REF!,Final!A953,#REF!)</f>
        <v>#REF!</v>
      </c>
      <c r="G953" s="1597" t="e">
        <f t="shared" si="88"/>
        <v>#REF!</v>
      </c>
      <c r="H953" s="1644" t="e">
        <f t="shared" si="89"/>
        <v>#REF!</v>
      </c>
      <c r="I953" s="1597" t="e">
        <f t="shared" si="90"/>
        <v>#REF!</v>
      </c>
      <c r="J953" s="1644" t="e">
        <f t="shared" si="91"/>
        <v>#REF!</v>
      </c>
      <c r="M953" s="1545"/>
      <c r="N953" s="1545"/>
    </row>
    <row r="954" spans="1:93" ht="15.5">
      <c r="A954" s="1598">
        <v>23.102</v>
      </c>
      <c r="B954" s="1599" t="s">
        <v>1335</v>
      </c>
      <c r="C954" s="1643" t="e">
        <f>+SUMIF(#REF!,Final!A954,#REF!)</f>
        <v>#REF!</v>
      </c>
      <c r="D954" s="1597" t="e">
        <f>+SUMIF(#REF!,Final!A954,#REF!)</f>
        <v>#REF!</v>
      </c>
      <c r="E954" s="1643" t="e">
        <f>SUMIF(#REF!,Final!A954,#REF!)</f>
        <v>#REF!</v>
      </c>
      <c r="F954" s="1644" t="e">
        <f>SUMIF(#REF!,Final!A954,#REF!)</f>
        <v>#REF!</v>
      </c>
      <c r="G954" s="1597" t="e">
        <f t="shared" si="88"/>
        <v>#REF!</v>
      </c>
      <c r="H954" s="1644" t="e">
        <f t="shared" si="89"/>
        <v>#REF!</v>
      </c>
      <c r="I954" s="1597" t="e">
        <f t="shared" si="90"/>
        <v>#REF!</v>
      </c>
      <c r="J954" s="1644" t="e">
        <f t="shared" si="91"/>
        <v>#REF!</v>
      </c>
      <c r="M954" s="1545"/>
      <c r="N954" s="1545"/>
    </row>
    <row r="955" spans="1:93" ht="15.5">
      <c r="A955" s="1598">
        <v>23.103000000000002</v>
      </c>
      <c r="B955" s="1599" t="s">
        <v>1899</v>
      </c>
      <c r="C955" s="1643" t="e">
        <f>+SUMIF(#REF!,Final!A955,#REF!)</f>
        <v>#REF!</v>
      </c>
      <c r="D955" s="1597" t="e">
        <f>+SUMIF(#REF!,Final!A955,#REF!)</f>
        <v>#REF!</v>
      </c>
      <c r="E955" s="1643" t="e">
        <f>SUMIF(#REF!,Final!A955,#REF!)</f>
        <v>#REF!</v>
      </c>
      <c r="F955" s="1644" t="e">
        <f>SUMIF(#REF!,Final!A955,#REF!)</f>
        <v>#REF!</v>
      </c>
      <c r="G955" s="1597" t="e">
        <f t="shared" si="88"/>
        <v>#REF!</v>
      </c>
      <c r="H955" s="1644" t="e">
        <f t="shared" si="89"/>
        <v>#REF!</v>
      </c>
      <c r="I955" s="1597" t="e">
        <f t="shared" si="90"/>
        <v>#REF!</v>
      </c>
      <c r="J955" s="1644" t="e">
        <f t="shared" si="91"/>
        <v>#REF!</v>
      </c>
      <c r="M955" s="1545"/>
      <c r="N955" s="1545"/>
    </row>
    <row r="956" spans="1:93" s="1542" customFormat="1" ht="15.5">
      <c r="A956" s="1598">
        <v>23.103999999999999</v>
      </c>
      <c r="B956" s="1599" t="s">
        <v>1900</v>
      </c>
      <c r="C956" s="1643" t="e">
        <f>+SUMIF(#REF!,Final!A956,#REF!)</f>
        <v>#REF!</v>
      </c>
      <c r="D956" s="1597" t="e">
        <f>+SUMIF(#REF!,Final!A956,#REF!)</f>
        <v>#REF!</v>
      </c>
      <c r="E956" s="1643" t="e">
        <f>SUMIF(#REF!,Final!A956,#REF!)</f>
        <v>#REF!</v>
      </c>
      <c r="F956" s="1644" t="e">
        <f>SUMIF(#REF!,Final!A956,#REF!)</f>
        <v>#REF!</v>
      </c>
      <c r="G956" s="1597" t="e">
        <f t="shared" si="88"/>
        <v>#REF!</v>
      </c>
      <c r="H956" s="1644" t="e">
        <f t="shared" si="89"/>
        <v>#REF!</v>
      </c>
      <c r="I956" s="1597" t="e">
        <f t="shared" si="90"/>
        <v>#REF!</v>
      </c>
      <c r="J956" s="1644" t="e">
        <f t="shared" si="91"/>
        <v>#REF!</v>
      </c>
      <c r="K956" s="1539"/>
      <c r="L956" s="1539"/>
      <c r="M956" s="1545"/>
      <c r="N956" s="1545"/>
      <c r="O956" s="1539"/>
      <c r="P956" s="1539"/>
      <c r="Q956" s="1539"/>
      <c r="R956" s="1539"/>
      <c r="S956" s="1539"/>
      <c r="T956" s="1539"/>
      <c r="U956" s="1539"/>
      <c r="V956" s="1539"/>
      <c r="W956" s="1539"/>
      <c r="X956" s="1539"/>
      <c r="Y956" s="1539"/>
      <c r="Z956" s="1539"/>
      <c r="AA956" s="1539"/>
      <c r="AB956" s="1539"/>
      <c r="AC956" s="1539"/>
      <c r="AD956" s="1539"/>
      <c r="AE956" s="1539"/>
      <c r="AF956" s="1539"/>
      <c r="AG956" s="1539"/>
      <c r="AH956" s="1539"/>
      <c r="AI956" s="1539"/>
      <c r="AJ956" s="1539"/>
      <c r="AK956" s="1539"/>
      <c r="AL956" s="1539"/>
      <c r="AM956" s="1539"/>
      <c r="AN956" s="1539"/>
      <c r="AO956" s="1539"/>
      <c r="AP956" s="1539"/>
      <c r="AQ956" s="1539"/>
      <c r="AR956" s="1539"/>
      <c r="AS956" s="1539"/>
      <c r="AT956" s="1539"/>
      <c r="AU956" s="1539"/>
      <c r="AV956" s="1539"/>
      <c r="AW956" s="1539"/>
      <c r="AX956" s="1539"/>
      <c r="AY956" s="1539"/>
      <c r="AZ956" s="1539"/>
      <c r="BA956" s="1539"/>
      <c r="BB956" s="1539"/>
      <c r="BC956" s="1539"/>
      <c r="BD956" s="1539"/>
      <c r="BE956" s="1539"/>
      <c r="BF956" s="1539"/>
      <c r="BG956" s="1539"/>
      <c r="BH956" s="1539"/>
      <c r="BI956" s="1539"/>
      <c r="BJ956" s="1539"/>
      <c r="BK956" s="1539"/>
      <c r="BL956" s="1539"/>
      <c r="BM956" s="1539"/>
      <c r="BN956" s="1539"/>
      <c r="BO956" s="1539"/>
      <c r="BP956" s="1539"/>
      <c r="BQ956" s="1539"/>
      <c r="BR956" s="1539"/>
      <c r="BS956" s="1539"/>
      <c r="BT956" s="1539"/>
      <c r="BU956" s="1539"/>
      <c r="BV956" s="1539"/>
      <c r="BW956" s="1539"/>
      <c r="BX956" s="1539"/>
      <c r="BY956" s="1539"/>
      <c r="BZ956" s="1539"/>
      <c r="CA956" s="1539"/>
      <c r="CB956" s="1539"/>
      <c r="CC956" s="1539"/>
      <c r="CD956" s="1539"/>
      <c r="CE956" s="1539"/>
      <c r="CF956" s="1539"/>
      <c r="CG956" s="1539"/>
      <c r="CH956" s="1539"/>
      <c r="CI956" s="1539"/>
      <c r="CJ956" s="1539"/>
      <c r="CK956" s="1539"/>
      <c r="CL956" s="1539"/>
      <c r="CM956" s="1539"/>
      <c r="CN956" s="1539"/>
      <c r="CO956" s="1539"/>
    </row>
    <row r="957" spans="1:93" ht="15.5">
      <c r="A957" s="1598">
        <v>23.105</v>
      </c>
      <c r="B957" s="1599" t="s">
        <v>890</v>
      </c>
      <c r="C957" s="1643" t="e">
        <f>+SUMIF(#REF!,Final!A957,#REF!)</f>
        <v>#REF!</v>
      </c>
      <c r="D957" s="1597" t="e">
        <f>+SUMIF(#REF!,Final!A957,#REF!)</f>
        <v>#REF!</v>
      </c>
      <c r="E957" s="1643" t="e">
        <f>SUMIF(#REF!,Final!A957,#REF!)</f>
        <v>#REF!</v>
      </c>
      <c r="F957" s="1644" t="e">
        <f>SUMIF(#REF!,Final!A957,#REF!)</f>
        <v>#REF!</v>
      </c>
      <c r="G957" s="1597" t="e">
        <f t="shared" si="88"/>
        <v>#REF!</v>
      </c>
      <c r="H957" s="1644" t="e">
        <f t="shared" si="89"/>
        <v>#REF!</v>
      </c>
      <c r="I957" s="1597" t="e">
        <f t="shared" si="90"/>
        <v>#REF!</v>
      </c>
      <c r="J957" s="1644" t="e">
        <f t="shared" si="91"/>
        <v>#REF!</v>
      </c>
      <c r="M957" s="1545"/>
      <c r="N957" s="1545"/>
    </row>
    <row r="958" spans="1:93" ht="15.5">
      <c r="A958" s="1598">
        <v>23.106000000000002</v>
      </c>
      <c r="B958" s="1599" t="s">
        <v>892</v>
      </c>
      <c r="C958" s="1643" t="e">
        <f>+SUMIF(#REF!,Final!A958,#REF!)</f>
        <v>#REF!</v>
      </c>
      <c r="D958" s="1597" t="e">
        <f>+SUMIF(#REF!,Final!A958,#REF!)</f>
        <v>#REF!</v>
      </c>
      <c r="E958" s="1643" t="e">
        <f>SUMIF(#REF!,Final!A958,#REF!)</f>
        <v>#REF!</v>
      </c>
      <c r="F958" s="1644" t="e">
        <f>SUMIF(#REF!,Final!A958,#REF!)</f>
        <v>#REF!</v>
      </c>
      <c r="G958" s="1597" t="e">
        <f t="shared" si="88"/>
        <v>#REF!</v>
      </c>
      <c r="H958" s="1644" t="e">
        <f t="shared" si="89"/>
        <v>#REF!</v>
      </c>
      <c r="I958" s="1597" t="e">
        <f t="shared" si="90"/>
        <v>#REF!</v>
      </c>
      <c r="J958" s="1644" t="e">
        <f t="shared" si="91"/>
        <v>#REF!</v>
      </c>
      <c r="M958" s="1545"/>
      <c r="N958" s="1545"/>
    </row>
    <row r="959" spans="1:93" ht="15.5">
      <c r="A959" s="1598">
        <v>23.106999999999999</v>
      </c>
      <c r="B959" s="1599" t="s">
        <v>893</v>
      </c>
      <c r="C959" s="1643" t="e">
        <f>+SUMIF(#REF!,Final!A959,#REF!)</f>
        <v>#REF!</v>
      </c>
      <c r="D959" s="1597" t="e">
        <f>+SUMIF(#REF!,Final!A959,#REF!)</f>
        <v>#REF!</v>
      </c>
      <c r="E959" s="1643" t="e">
        <f>SUMIF(#REF!,Final!A959,#REF!)</f>
        <v>#REF!</v>
      </c>
      <c r="F959" s="1644" t="e">
        <f>SUMIF(#REF!,Final!A959,#REF!)</f>
        <v>#REF!</v>
      </c>
      <c r="G959" s="1597" t="e">
        <f t="shared" si="88"/>
        <v>#REF!</v>
      </c>
      <c r="H959" s="1644" t="e">
        <f t="shared" si="89"/>
        <v>#REF!</v>
      </c>
      <c r="I959" s="1597" t="e">
        <f t="shared" si="90"/>
        <v>#REF!</v>
      </c>
      <c r="J959" s="1644" t="e">
        <f t="shared" si="91"/>
        <v>#REF!</v>
      </c>
      <c r="M959" s="1545"/>
      <c r="N959" s="1545"/>
    </row>
    <row r="960" spans="1:93" ht="15.5">
      <c r="A960" s="1598">
        <v>23.108000000000001</v>
      </c>
      <c r="B960" s="1599" t="s">
        <v>539</v>
      </c>
      <c r="C960" s="1643" t="e">
        <f>+SUMIF(#REF!,Final!A960,#REF!)</f>
        <v>#REF!</v>
      </c>
      <c r="D960" s="1597" t="e">
        <f>+SUMIF(#REF!,Final!A960,#REF!)</f>
        <v>#REF!</v>
      </c>
      <c r="E960" s="1643" t="e">
        <f>SUMIF(#REF!,Final!A960,#REF!)</f>
        <v>#REF!</v>
      </c>
      <c r="F960" s="1644" t="e">
        <f>SUMIF(#REF!,Final!A960,#REF!)</f>
        <v>#REF!</v>
      </c>
      <c r="G960" s="1597" t="e">
        <f t="shared" si="88"/>
        <v>#REF!</v>
      </c>
      <c r="H960" s="1644" t="e">
        <f t="shared" si="89"/>
        <v>#REF!</v>
      </c>
      <c r="I960" s="1597" t="e">
        <f t="shared" si="90"/>
        <v>#REF!</v>
      </c>
      <c r="J960" s="1644" t="e">
        <f t="shared" si="91"/>
        <v>#REF!</v>
      </c>
      <c r="M960" s="1545"/>
      <c r="N960" s="1545"/>
    </row>
    <row r="961" spans="1:93" ht="15.5">
      <c r="A961" s="1598">
        <v>23.109000000000002</v>
      </c>
      <c r="B961" s="1599" t="s">
        <v>540</v>
      </c>
      <c r="C961" s="1643" t="e">
        <f>+SUMIF(#REF!,Final!A961,#REF!)</f>
        <v>#REF!</v>
      </c>
      <c r="D961" s="1597" t="e">
        <f>+SUMIF(#REF!,Final!A961,#REF!)</f>
        <v>#REF!</v>
      </c>
      <c r="E961" s="1643" t="e">
        <f>SUMIF(#REF!,Final!A961,#REF!)</f>
        <v>#REF!</v>
      </c>
      <c r="F961" s="1644" t="e">
        <f>SUMIF(#REF!,Final!A961,#REF!)</f>
        <v>#REF!</v>
      </c>
      <c r="G961" s="1597" t="e">
        <f t="shared" si="88"/>
        <v>#REF!</v>
      </c>
      <c r="H961" s="1644" t="e">
        <f t="shared" si="89"/>
        <v>#REF!</v>
      </c>
      <c r="I961" s="1597" t="e">
        <f t="shared" si="90"/>
        <v>#REF!</v>
      </c>
      <c r="J961" s="1644" t="e">
        <f t="shared" si="91"/>
        <v>#REF!</v>
      </c>
      <c r="M961" s="1545"/>
      <c r="N961" s="1545"/>
    </row>
    <row r="962" spans="1:93" ht="15.5">
      <c r="A962" s="1598">
        <v>23.11</v>
      </c>
      <c r="B962" s="1599" t="s">
        <v>1901</v>
      </c>
      <c r="C962" s="1643" t="e">
        <f>+SUMIF(#REF!,Final!A962,#REF!)</f>
        <v>#REF!</v>
      </c>
      <c r="D962" s="1597" t="e">
        <f>+SUMIF(#REF!,Final!A962,#REF!)</f>
        <v>#REF!</v>
      </c>
      <c r="E962" s="1643" t="e">
        <f>SUMIF(#REF!,Final!A962,#REF!)</f>
        <v>#REF!</v>
      </c>
      <c r="F962" s="1644" t="e">
        <f>SUMIF(#REF!,Final!A962,#REF!)</f>
        <v>#REF!</v>
      </c>
      <c r="G962" s="1597" t="e">
        <f t="shared" si="88"/>
        <v>#REF!</v>
      </c>
      <c r="H962" s="1644" t="e">
        <f t="shared" si="89"/>
        <v>#REF!</v>
      </c>
      <c r="I962" s="1597" t="e">
        <f t="shared" si="90"/>
        <v>#REF!</v>
      </c>
      <c r="J962" s="1644" t="e">
        <f t="shared" si="91"/>
        <v>#REF!</v>
      </c>
      <c r="M962" s="1545"/>
      <c r="N962" s="1545"/>
    </row>
    <row r="963" spans="1:93" ht="15.5">
      <c r="A963" s="1598">
        <v>23.111000000000001</v>
      </c>
      <c r="B963" s="1599" t="s">
        <v>1902</v>
      </c>
      <c r="C963" s="1643" t="e">
        <f>+SUMIF(#REF!,Final!A963,#REF!)</f>
        <v>#REF!</v>
      </c>
      <c r="D963" s="1597" t="e">
        <f>+SUMIF(#REF!,Final!A963,#REF!)</f>
        <v>#REF!</v>
      </c>
      <c r="E963" s="1643" t="e">
        <f>SUMIF(#REF!,Final!A963,#REF!)</f>
        <v>#REF!</v>
      </c>
      <c r="F963" s="1644" t="e">
        <f>SUMIF(#REF!,Final!A963,#REF!)</f>
        <v>#REF!</v>
      </c>
      <c r="G963" s="1597" t="e">
        <f t="shared" si="88"/>
        <v>#REF!</v>
      </c>
      <c r="H963" s="1644" t="e">
        <f t="shared" si="89"/>
        <v>#REF!</v>
      </c>
      <c r="I963" s="1597" t="e">
        <f t="shared" si="90"/>
        <v>#REF!</v>
      </c>
      <c r="J963" s="1644" t="e">
        <f t="shared" si="91"/>
        <v>#REF!</v>
      </c>
      <c r="M963" s="1545"/>
      <c r="N963" s="1545"/>
    </row>
    <row r="964" spans="1:93" ht="15.5">
      <c r="A964" s="1598">
        <v>23.111999999999998</v>
      </c>
      <c r="B964" s="1599" t="s">
        <v>2740</v>
      </c>
      <c r="C964" s="1643" t="e">
        <f>+SUMIF(#REF!,Final!A964,#REF!)</f>
        <v>#REF!</v>
      </c>
      <c r="D964" s="1597" t="e">
        <f>+SUMIF(#REF!,Final!A964,#REF!)</f>
        <v>#REF!</v>
      </c>
      <c r="E964" s="1643" t="e">
        <f>SUMIF(#REF!,Final!A964,#REF!)</f>
        <v>#REF!</v>
      </c>
      <c r="F964" s="1644" t="e">
        <f>SUMIF(#REF!,Final!A964,#REF!)</f>
        <v>#REF!</v>
      </c>
      <c r="G964" s="1597" t="e">
        <f t="shared" si="88"/>
        <v>#REF!</v>
      </c>
      <c r="H964" s="1644" t="e">
        <f t="shared" si="89"/>
        <v>#REF!</v>
      </c>
      <c r="I964" s="1597" t="e">
        <f t="shared" si="90"/>
        <v>#REF!</v>
      </c>
      <c r="J964" s="1644" t="e">
        <f t="shared" si="91"/>
        <v>#REF!</v>
      </c>
      <c r="M964" s="1545"/>
      <c r="N964" s="1545"/>
    </row>
    <row r="965" spans="1:93" ht="15.5">
      <c r="A965" s="1598">
        <v>23.113</v>
      </c>
      <c r="B965" s="1599" t="s">
        <v>2741</v>
      </c>
      <c r="C965" s="1643" t="e">
        <f>+SUMIF(#REF!,Final!A965,#REF!)</f>
        <v>#REF!</v>
      </c>
      <c r="D965" s="1597" t="e">
        <f>+SUMIF(#REF!,Final!A965,#REF!)</f>
        <v>#REF!</v>
      </c>
      <c r="E965" s="1643" t="e">
        <f>SUMIF(#REF!,Final!A965,#REF!)</f>
        <v>#REF!</v>
      </c>
      <c r="F965" s="1644" t="e">
        <f>SUMIF(#REF!,Final!A965,#REF!)</f>
        <v>#REF!</v>
      </c>
      <c r="G965" s="1597" t="e">
        <f t="shared" si="88"/>
        <v>#REF!</v>
      </c>
      <c r="H965" s="1644" t="e">
        <f t="shared" si="89"/>
        <v>#REF!</v>
      </c>
      <c r="I965" s="1597" t="e">
        <f t="shared" si="90"/>
        <v>#REF!</v>
      </c>
      <c r="J965" s="1644" t="e">
        <f t="shared" si="91"/>
        <v>#REF!</v>
      </c>
      <c r="M965" s="1545"/>
      <c r="N965" s="1545"/>
    </row>
    <row r="966" spans="1:93" ht="15.5">
      <c r="A966" s="1598">
        <v>23.114000000000001</v>
      </c>
      <c r="B966" s="1599" t="s">
        <v>2742</v>
      </c>
      <c r="C966" s="1643" t="e">
        <f>+SUMIF(#REF!,Final!A966,#REF!)</f>
        <v>#REF!</v>
      </c>
      <c r="D966" s="1597" t="e">
        <f>+SUMIF(#REF!,Final!A966,#REF!)</f>
        <v>#REF!</v>
      </c>
      <c r="E966" s="1643" t="e">
        <f>SUMIF(#REF!,Final!A966,#REF!)</f>
        <v>#REF!</v>
      </c>
      <c r="F966" s="1644" t="e">
        <f>SUMIF(#REF!,Final!A966,#REF!)</f>
        <v>#REF!</v>
      </c>
      <c r="G966" s="1597" t="e">
        <f t="shared" si="88"/>
        <v>#REF!</v>
      </c>
      <c r="H966" s="1644" t="e">
        <f t="shared" si="89"/>
        <v>#REF!</v>
      </c>
      <c r="I966" s="1597" t="e">
        <f t="shared" si="90"/>
        <v>#REF!</v>
      </c>
      <c r="J966" s="1644" t="e">
        <f t="shared" si="91"/>
        <v>#REF!</v>
      </c>
      <c r="M966" s="1545"/>
      <c r="N966" s="1545"/>
    </row>
    <row r="967" spans="1:93" ht="15.5">
      <c r="A967" s="1598">
        <v>23.114999999999998</v>
      </c>
      <c r="B967" s="1599" t="s">
        <v>669</v>
      </c>
      <c r="C967" s="1643" t="e">
        <f>+SUMIF(#REF!,Final!A967,#REF!)</f>
        <v>#REF!</v>
      </c>
      <c r="D967" s="1597" t="e">
        <f>+SUMIF(#REF!,Final!A967,#REF!)</f>
        <v>#REF!</v>
      </c>
      <c r="E967" s="1643" t="e">
        <f>SUMIF(#REF!,Final!A967,#REF!)</f>
        <v>#REF!</v>
      </c>
      <c r="F967" s="1644" t="e">
        <f>SUMIF(#REF!,Final!A967,#REF!)</f>
        <v>#REF!</v>
      </c>
      <c r="G967" s="1597" t="e">
        <f t="shared" si="88"/>
        <v>#REF!</v>
      </c>
      <c r="H967" s="1644" t="e">
        <f t="shared" si="89"/>
        <v>#REF!</v>
      </c>
      <c r="I967" s="1597" t="e">
        <f t="shared" si="90"/>
        <v>#REF!</v>
      </c>
      <c r="J967" s="1644" t="e">
        <f t="shared" si="91"/>
        <v>#REF!</v>
      </c>
      <c r="M967" s="1545"/>
      <c r="N967" s="1545"/>
    </row>
    <row r="968" spans="1:93" s="1543" customFormat="1" ht="15.5">
      <c r="A968" s="1598">
        <v>23.116</v>
      </c>
      <c r="B968" s="1599" t="s">
        <v>423</v>
      </c>
      <c r="C968" s="1643" t="e">
        <f>+SUMIF(#REF!,Final!A968,#REF!)</f>
        <v>#REF!</v>
      </c>
      <c r="D968" s="1597" t="e">
        <f>+SUMIF(#REF!,Final!A968,#REF!)</f>
        <v>#REF!</v>
      </c>
      <c r="E968" s="1643" t="e">
        <f>SUMIF(#REF!,Final!A968,#REF!)</f>
        <v>#REF!</v>
      </c>
      <c r="F968" s="1644" t="e">
        <f>SUMIF(#REF!,Final!A968,#REF!)</f>
        <v>#REF!</v>
      </c>
      <c r="G968" s="1597" t="e">
        <f t="shared" si="88"/>
        <v>#REF!</v>
      </c>
      <c r="H968" s="1644" t="e">
        <f t="shared" si="89"/>
        <v>#REF!</v>
      </c>
      <c r="I968" s="1597" t="e">
        <f t="shared" si="90"/>
        <v>#REF!</v>
      </c>
      <c r="J968" s="1644" t="e">
        <f t="shared" si="91"/>
        <v>#REF!</v>
      </c>
      <c r="K968" s="1539"/>
      <c r="L968" s="1539"/>
      <c r="M968" s="1545"/>
      <c r="N968" s="1545"/>
      <c r="O968" s="1539"/>
      <c r="P968" s="1539"/>
      <c r="Q968" s="1539"/>
      <c r="R968" s="1539"/>
      <c r="S968" s="1539"/>
      <c r="T968" s="1539"/>
      <c r="U968" s="1539"/>
      <c r="V968" s="1539"/>
      <c r="W968" s="1539"/>
      <c r="X968" s="1539"/>
      <c r="Y968" s="1539"/>
      <c r="Z968" s="1539"/>
      <c r="AA968" s="1539"/>
      <c r="AB968" s="1539"/>
      <c r="AC968" s="1539"/>
      <c r="AD968" s="1539"/>
      <c r="AE968" s="1539"/>
      <c r="AF968" s="1539"/>
      <c r="AG968" s="1539"/>
      <c r="AH968" s="1539"/>
      <c r="AI968" s="1539"/>
      <c r="AJ968" s="1539"/>
      <c r="AK968" s="1539"/>
      <c r="AL968" s="1539"/>
      <c r="AM968" s="1539"/>
      <c r="AN968" s="1539"/>
      <c r="AO968" s="1539"/>
      <c r="AP968" s="1539"/>
      <c r="AQ968" s="1539"/>
      <c r="AR968" s="1539"/>
      <c r="AS968" s="1539"/>
      <c r="AT968" s="1539"/>
      <c r="AU968" s="1539"/>
      <c r="AV968" s="1539"/>
      <c r="AW968" s="1539"/>
      <c r="AX968" s="1539"/>
      <c r="AY968" s="1539"/>
      <c r="AZ968" s="1539"/>
      <c r="BA968" s="1539"/>
      <c r="BB968" s="1539"/>
      <c r="BC968" s="1539"/>
      <c r="BD968" s="1539"/>
      <c r="BE968" s="1539"/>
      <c r="BF968" s="1539"/>
      <c r="BG968" s="1539"/>
      <c r="BH968" s="1539"/>
      <c r="BI968" s="1539"/>
      <c r="BJ968" s="1539"/>
      <c r="BK968" s="1539"/>
      <c r="BL968" s="1539"/>
      <c r="BM968" s="1539"/>
      <c r="BN968" s="1539"/>
      <c r="BO968" s="1539"/>
      <c r="BP968" s="1539"/>
      <c r="BQ968" s="1539"/>
      <c r="BR968" s="1539"/>
      <c r="BS968" s="1539"/>
      <c r="BT968" s="1539"/>
      <c r="BU968" s="1539"/>
      <c r="BV968" s="1539"/>
      <c r="BW968" s="1539"/>
      <c r="BX968" s="1539"/>
      <c r="BY968" s="1539"/>
      <c r="BZ968" s="1539"/>
      <c r="CA968" s="1539"/>
      <c r="CB968" s="1539"/>
      <c r="CC968" s="1539"/>
      <c r="CD968" s="1539"/>
      <c r="CE968" s="1539"/>
      <c r="CF968" s="1539"/>
      <c r="CG968" s="1539"/>
      <c r="CH968" s="1539"/>
      <c r="CI968" s="1539"/>
      <c r="CJ968" s="1539"/>
      <c r="CK968" s="1539"/>
      <c r="CL968" s="1539"/>
      <c r="CM968" s="1539"/>
      <c r="CN968" s="1539"/>
      <c r="CO968" s="1539"/>
    </row>
    <row r="969" spans="1:93" s="1543" customFormat="1" ht="15.5">
      <c r="A969" s="1598">
        <v>23.117000000000001</v>
      </c>
      <c r="B969" s="1599" t="s">
        <v>1905</v>
      </c>
      <c r="C969" s="1643" t="e">
        <f>+SUMIF(#REF!,Final!A969,#REF!)</f>
        <v>#REF!</v>
      </c>
      <c r="D969" s="1597" t="e">
        <f>+SUMIF(#REF!,Final!A969,#REF!)</f>
        <v>#REF!</v>
      </c>
      <c r="E969" s="1643" t="e">
        <f>SUMIF(#REF!,Final!A969,#REF!)</f>
        <v>#REF!</v>
      </c>
      <c r="F969" s="1644" t="e">
        <f>SUMIF(#REF!,Final!A969,#REF!)</f>
        <v>#REF!</v>
      </c>
      <c r="G969" s="1597" t="e">
        <f t="shared" si="88"/>
        <v>#REF!</v>
      </c>
      <c r="H969" s="1644" t="e">
        <f t="shared" si="89"/>
        <v>#REF!</v>
      </c>
      <c r="I969" s="1597" t="e">
        <f t="shared" si="90"/>
        <v>#REF!</v>
      </c>
      <c r="J969" s="1644" t="e">
        <f t="shared" si="91"/>
        <v>#REF!</v>
      </c>
      <c r="K969" s="1539"/>
      <c r="L969" s="1539"/>
      <c r="M969" s="1545"/>
      <c r="N969" s="1545"/>
      <c r="O969" s="1539"/>
      <c r="P969" s="1539"/>
      <c r="Q969" s="1539"/>
      <c r="R969" s="1539"/>
      <c r="S969" s="1539"/>
      <c r="T969" s="1539"/>
      <c r="U969" s="1539"/>
      <c r="V969" s="1539"/>
      <c r="W969" s="1539"/>
      <c r="X969" s="1539"/>
      <c r="Y969" s="1539"/>
      <c r="Z969" s="1539"/>
      <c r="AA969" s="1539"/>
      <c r="AB969" s="1539"/>
      <c r="AC969" s="1539"/>
      <c r="AD969" s="1539"/>
      <c r="AE969" s="1539"/>
      <c r="AF969" s="1539"/>
      <c r="AG969" s="1539"/>
      <c r="AH969" s="1539"/>
      <c r="AI969" s="1539"/>
      <c r="AJ969" s="1539"/>
      <c r="AK969" s="1539"/>
      <c r="AL969" s="1539"/>
      <c r="AM969" s="1539"/>
      <c r="AN969" s="1539"/>
      <c r="AO969" s="1539"/>
      <c r="AP969" s="1539"/>
      <c r="AQ969" s="1539"/>
      <c r="AR969" s="1539"/>
      <c r="AS969" s="1539"/>
      <c r="AT969" s="1539"/>
      <c r="AU969" s="1539"/>
      <c r="AV969" s="1539"/>
      <c r="AW969" s="1539"/>
      <c r="AX969" s="1539"/>
      <c r="AY969" s="1539"/>
      <c r="AZ969" s="1539"/>
      <c r="BA969" s="1539"/>
      <c r="BB969" s="1539"/>
      <c r="BC969" s="1539"/>
      <c r="BD969" s="1539"/>
      <c r="BE969" s="1539"/>
      <c r="BF969" s="1539"/>
      <c r="BG969" s="1539"/>
      <c r="BH969" s="1539"/>
      <c r="BI969" s="1539"/>
      <c r="BJ969" s="1539"/>
      <c r="BK969" s="1539"/>
      <c r="BL969" s="1539"/>
      <c r="BM969" s="1539"/>
      <c r="BN969" s="1539"/>
      <c r="BO969" s="1539"/>
      <c r="BP969" s="1539"/>
      <c r="BQ969" s="1539"/>
      <c r="BR969" s="1539"/>
      <c r="BS969" s="1539"/>
      <c r="BT969" s="1539"/>
      <c r="BU969" s="1539"/>
      <c r="BV969" s="1539"/>
      <c r="BW969" s="1539"/>
      <c r="BX969" s="1539"/>
      <c r="BY969" s="1539"/>
      <c r="BZ969" s="1539"/>
      <c r="CA969" s="1539"/>
      <c r="CB969" s="1539"/>
      <c r="CC969" s="1539"/>
      <c r="CD969" s="1539"/>
      <c r="CE969" s="1539"/>
      <c r="CF969" s="1539"/>
      <c r="CG969" s="1539"/>
      <c r="CH969" s="1539"/>
      <c r="CI969" s="1539"/>
      <c r="CJ969" s="1539"/>
      <c r="CK969" s="1539"/>
      <c r="CL969" s="1539"/>
      <c r="CM969" s="1539"/>
      <c r="CN969" s="1539"/>
      <c r="CO969" s="1539"/>
    </row>
    <row r="970" spans="1:93" s="1552" customFormat="1" ht="15.5">
      <c r="A970" s="1598"/>
      <c r="B970" s="1599" t="s">
        <v>1747</v>
      </c>
      <c r="C970" s="1643" t="e">
        <f>+SUMIF(#REF!,Final!A970,#REF!)</f>
        <v>#REF!</v>
      </c>
      <c r="D970" s="1597" t="e">
        <f>+SUMIF(#REF!,Final!A970,#REF!)</f>
        <v>#REF!</v>
      </c>
      <c r="E970" s="1643" t="e">
        <f>SUMIF(#REF!,Final!A970,#REF!)</f>
        <v>#REF!</v>
      </c>
      <c r="F970" s="1644" t="e">
        <f>SUMIF(#REF!,Final!A970,#REF!)</f>
        <v>#REF!</v>
      </c>
      <c r="G970" s="1597" t="e">
        <f t="shared" si="88"/>
        <v>#REF!</v>
      </c>
      <c r="H970" s="1644" t="e">
        <f t="shared" si="89"/>
        <v>#REF!</v>
      </c>
      <c r="I970" s="1597" t="e">
        <f t="shared" si="90"/>
        <v>#REF!</v>
      </c>
      <c r="J970" s="1644" t="e">
        <f t="shared" si="91"/>
        <v>#REF!</v>
      </c>
      <c r="K970" s="1539"/>
      <c r="L970" s="1539"/>
      <c r="M970" s="1545"/>
      <c r="N970" s="1545"/>
      <c r="O970" s="1539"/>
      <c r="P970" s="1539"/>
      <c r="Q970" s="1539"/>
      <c r="R970" s="1539"/>
      <c r="S970" s="1539"/>
      <c r="T970" s="1539"/>
      <c r="U970" s="1539"/>
      <c r="V970" s="1539"/>
      <c r="W970" s="1539"/>
      <c r="X970" s="1539"/>
      <c r="Y970" s="1539"/>
      <c r="Z970" s="1539"/>
      <c r="AA970" s="1539"/>
      <c r="AB970" s="1539"/>
      <c r="AC970" s="1539"/>
      <c r="AD970" s="1539"/>
      <c r="AE970" s="1539"/>
      <c r="AF970" s="1539"/>
      <c r="AG970" s="1539"/>
      <c r="AH970" s="1539"/>
      <c r="AI970" s="1539"/>
      <c r="AJ970" s="1539"/>
      <c r="AK970" s="1539"/>
      <c r="AL970" s="1539"/>
      <c r="AM970" s="1539"/>
      <c r="AN970" s="1539"/>
      <c r="AO970" s="1539"/>
      <c r="AP970" s="1539"/>
      <c r="AQ970" s="1539"/>
      <c r="AR970" s="1539"/>
      <c r="AS970" s="1539"/>
      <c r="AT970" s="1539"/>
      <c r="AU970" s="1539"/>
      <c r="AV970" s="1539"/>
      <c r="AW970" s="1539"/>
      <c r="AX970" s="1539"/>
      <c r="AY970" s="1539"/>
      <c r="AZ970" s="1539"/>
      <c r="BA970" s="1539"/>
      <c r="BB970" s="1539"/>
      <c r="BC970" s="1539"/>
      <c r="BD970" s="1539"/>
      <c r="BE970" s="1539"/>
      <c r="BF970" s="1539"/>
      <c r="BG970" s="1539"/>
      <c r="BH970" s="1539"/>
      <c r="BI970" s="1539"/>
      <c r="BJ970" s="1539"/>
      <c r="BK970" s="1539"/>
      <c r="BL970" s="1539"/>
      <c r="BM970" s="1539"/>
      <c r="BN970" s="1539"/>
      <c r="BO970" s="1539"/>
      <c r="BP970" s="1539"/>
      <c r="BQ970" s="1539"/>
      <c r="BR970" s="1539"/>
      <c r="BS970" s="1539"/>
      <c r="BT970" s="1539"/>
      <c r="BU970" s="1539"/>
      <c r="BV970" s="1539"/>
      <c r="BW970" s="1539"/>
      <c r="BX970" s="1539"/>
      <c r="BY970" s="1539"/>
      <c r="BZ970" s="1539"/>
      <c r="CA970" s="1539"/>
      <c r="CB970" s="1539"/>
      <c r="CC970" s="1539"/>
      <c r="CD970" s="1539"/>
      <c r="CE970" s="1539"/>
      <c r="CF970" s="1539"/>
      <c r="CG970" s="1539"/>
      <c r="CH970" s="1539"/>
      <c r="CI970" s="1539"/>
      <c r="CJ970" s="1539"/>
      <c r="CK970" s="1539"/>
      <c r="CL970" s="1539"/>
      <c r="CM970" s="1539"/>
      <c r="CN970" s="1539"/>
      <c r="CO970" s="1539"/>
    </row>
    <row r="971" spans="1:93" s="1552" customFormat="1" ht="15.5">
      <c r="A971" s="1598"/>
      <c r="B971" s="1599" t="s">
        <v>1760</v>
      </c>
      <c r="C971" s="1643" t="e">
        <f>+SUMIF(#REF!,Final!A971,#REF!)</f>
        <v>#REF!</v>
      </c>
      <c r="D971" s="1597" t="e">
        <f>+SUMIF(#REF!,Final!A971,#REF!)</f>
        <v>#REF!</v>
      </c>
      <c r="E971" s="1643" t="e">
        <f>SUMIF(#REF!,Final!A971,#REF!)</f>
        <v>#REF!</v>
      </c>
      <c r="F971" s="1644" t="e">
        <f>SUMIF(#REF!,Final!A971,#REF!)</f>
        <v>#REF!</v>
      </c>
      <c r="G971" s="1597" t="e">
        <f t="shared" si="88"/>
        <v>#REF!</v>
      </c>
      <c r="H971" s="1644" t="e">
        <f t="shared" si="89"/>
        <v>#REF!</v>
      </c>
      <c r="I971" s="1597" t="e">
        <f t="shared" si="90"/>
        <v>#REF!</v>
      </c>
      <c r="J971" s="1644" t="e">
        <f t="shared" si="91"/>
        <v>#REF!</v>
      </c>
      <c r="K971" s="1539"/>
      <c r="L971" s="1539"/>
      <c r="M971" s="1545"/>
      <c r="N971" s="1545"/>
      <c r="O971" s="1539"/>
      <c r="P971" s="1539"/>
      <c r="Q971" s="1539"/>
      <c r="R971" s="1539"/>
      <c r="S971" s="1539"/>
      <c r="T971" s="1539"/>
      <c r="U971" s="1539"/>
      <c r="V971" s="1539"/>
      <c r="W971" s="1539"/>
      <c r="X971" s="1539"/>
      <c r="Y971" s="1539"/>
      <c r="Z971" s="1539"/>
      <c r="AA971" s="1539"/>
      <c r="AB971" s="1539"/>
      <c r="AC971" s="1539"/>
      <c r="AD971" s="1539"/>
      <c r="AE971" s="1539"/>
      <c r="AF971" s="1539"/>
      <c r="AG971" s="1539"/>
      <c r="AH971" s="1539"/>
      <c r="AI971" s="1539"/>
      <c r="AJ971" s="1539"/>
      <c r="AK971" s="1539"/>
      <c r="AL971" s="1539"/>
      <c r="AM971" s="1539"/>
      <c r="AN971" s="1539"/>
      <c r="AO971" s="1539"/>
      <c r="AP971" s="1539"/>
      <c r="AQ971" s="1539"/>
      <c r="AR971" s="1539"/>
      <c r="AS971" s="1539"/>
      <c r="AT971" s="1539"/>
      <c r="AU971" s="1539"/>
      <c r="AV971" s="1539"/>
      <c r="AW971" s="1539"/>
      <c r="AX971" s="1539"/>
      <c r="AY971" s="1539"/>
      <c r="AZ971" s="1539"/>
      <c r="BA971" s="1539"/>
      <c r="BB971" s="1539"/>
      <c r="BC971" s="1539"/>
      <c r="BD971" s="1539"/>
      <c r="BE971" s="1539"/>
      <c r="BF971" s="1539"/>
      <c r="BG971" s="1539"/>
      <c r="BH971" s="1539"/>
      <c r="BI971" s="1539"/>
      <c r="BJ971" s="1539"/>
      <c r="BK971" s="1539"/>
      <c r="BL971" s="1539"/>
      <c r="BM971" s="1539"/>
      <c r="BN971" s="1539"/>
      <c r="BO971" s="1539"/>
      <c r="BP971" s="1539"/>
      <c r="BQ971" s="1539"/>
      <c r="BR971" s="1539"/>
      <c r="BS971" s="1539"/>
      <c r="BT971" s="1539"/>
      <c r="BU971" s="1539"/>
      <c r="BV971" s="1539"/>
      <c r="BW971" s="1539"/>
      <c r="BX971" s="1539"/>
      <c r="BY971" s="1539"/>
      <c r="BZ971" s="1539"/>
      <c r="CA971" s="1539"/>
      <c r="CB971" s="1539"/>
      <c r="CC971" s="1539"/>
      <c r="CD971" s="1539"/>
      <c r="CE971" s="1539"/>
      <c r="CF971" s="1539"/>
      <c r="CG971" s="1539"/>
      <c r="CH971" s="1539"/>
      <c r="CI971" s="1539"/>
      <c r="CJ971" s="1539"/>
      <c r="CK971" s="1539"/>
      <c r="CL971" s="1539"/>
      <c r="CM971" s="1539"/>
      <c r="CN971" s="1539"/>
      <c r="CO971" s="1539"/>
    </row>
    <row r="972" spans="1:93" s="1542" customFormat="1" ht="15.5">
      <c r="A972" s="1598" t="s">
        <v>544</v>
      </c>
      <c r="B972" s="1599" t="s">
        <v>2743</v>
      </c>
      <c r="C972" s="1643" t="e">
        <f>+SUMIF(#REF!,Final!A972,#REF!)</f>
        <v>#REF!</v>
      </c>
      <c r="D972" s="1597" t="e">
        <f>+SUMIF(#REF!,Final!A972,#REF!)</f>
        <v>#REF!</v>
      </c>
      <c r="E972" s="1643" t="e">
        <f>SUMIF(#REF!,Final!A972,#REF!)</f>
        <v>#REF!</v>
      </c>
      <c r="F972" s="1644" t="e">
        <f>SUMIF(#REF!,Final!A972,#REF!)</f>
        <v>#REF!</v>
      </c>
      <c r="G972" s="1597" t="e">
        <f t="shared" si="88"/>
        <v>#REF!</v>
      </c>
      <c r="H972" s="1644" t="e">
        <f t="shared" si="89"/>
        <v>#REF!</v>
      </c>
      <c r="I972" s="1597" t="e">
        <f t="shared" si="90"/>
        <v>#REF!</v>
      </c>
      <c r="J972" s="1644" t="e">
        <f t="shared" si="91"/>
        <v>#REF!</v>
      </c>
      <c r="K972" s="1539"/>
      <c r="L972" s="1539"/>
      <c r="M972" s="1545"/>
      <c r="N972" s="1545"/>
      <c r="O972" s="1539"/>
      <c r="P972" s="1539"/>
      <c r="Q972" s="1539"/>
      <c r="R972" s="1539"/>
      <c r="S972" s="1539"/>
      <c r="T972" s="1539"/>
      <c r="U972" s="1539"/>
      <c r="V972" s="1539"/>
      <c r="W972" s="1539"/>
      <c r="X972" s="1539"/>
      <c r="Y972" s="1539"/>
      <c r="Z972" s="1539"/>
      <c r="AA972" s="1539"/>
      <c r="AB972" s="1539"/>
      <c r="AC972" s="1539"/>
      <c r="AD972" s="1539"/>
      <c r="AE972" s="1539"/>
      <c r="AF972" s="1539"/>
      <c r="AG972" s="1539"/>
      <c r="AH972" s="1539"/>
      <c r="AI972" s="1539"/>
      <c r="AJ972" s="1539"/>
      <c r="AK972" s="1539"/>
      <c r="AL972" s="1539"/>
      <c r="AM972" s="1539"/>
      <c r="AN972" s="1539"/>
      <c r="AO972" s="1539"/>
      <c r="AP972" s="1539"/>
      <c r="AQ972" s="1539"/>
      <c r="AR972" s="1539"/>
      <c r="AS972" s="1539"/>
      <c r="AT972" s="1539"/>
      <c r="AU972" s="1539"/>
      <c r="AV972" s="1539"/>
      <c r="AW972" s="1539"/>
      <c r="AX972" s="1539"/>
      <c r="AY972" s="1539"/>
      <c r="AZ972" s="1539"/>
      <c r="BA972" s="1539"/>
      <c r="BB972" s="1539"/>
      <c r="BC972" s="1539"/>
      <c r="BD972" s="1539"/>
      <c r="BE972" s="1539"/>
      <c r="BF972" s="1539"/>
      <c r="BG972" s="1539"/>
      <c r="BH972" s="1539"/>
      <c r="BI972" s="1539"/>
      <c r="BJ972" s="1539"/>
      <c r="BK972" s="1539"/>
      <c r="BL972" s="1539"/>
      <c r="BM972" s="1539"/>
      <c r="BN972" s="1539"/>
      <c r="BO972" s="1539"/>
      <c r="BP972" s="1539"/>
      <c r="BQ972" s="1539"/>
      <c r="BR972" s="1539"/>
      <c r="BS972" s="1539"/>
      <c r="BT972" s="1539"/>
      <c r="BU972" s="1539"/>
      <c r="BV972" s="1539"/>
      <c r="BW972" s="1539"/>
      <c r="BX972" s="1539"/>
      <c r="BY972" s="1539"/>
      <c r="BZ972" s="1539"/>
      <c r="CA972" s="1539"/>
      <c r="CB972" s="1539"/>
      <c r="CC972" s="1539"/>
      <c r="CD972" s="1539"/>
      <c r="CE972" s="1539"/>
      <c r="CF972" s="1539"/>
      <c r="CG972" s="1539"/>
      <c r="CH972" s="1539"/>
      <c r="CI972" s="1539"/>
      <c r="CJ972" s="1539"/>
      <c r="CK972" s="1539"/>
      <c r="CL972" s="1539"/>
      <c r="CM972" s="1539"/>
      <c r="CN972" s="1539"/>
      <c r="CO972" s="1539"/>
    </row>
    <row r="973" spans="1:93" s="1542" customFormat="1" ht="15.5">
      <c r="A973" s="1598" t="s">
        <v>970</v>
      </c>
      <c r="B973" s="1599" t="s">
        <v>2744</v>
      </c>
      <c r="C973" s="1643" t="e">
        <f>+SUMIF(#REF!,Final!A973,#REF!)</f>
        <v>#REF!</v>
      </c>
      <c r="D973" s="1597" t="e">
        <f>+SUMIF(#REF!,Final!A973,#REF!)</f>
        <v>#REF!</v>
      </c>
      <c r="E973" s="1643" t="e">
        <f>SUMIF(#REF!,Final!A973,#REF!)</f>
        <v>#REF!</v>
      </c>
      <c r="F973" s="1644" t="e">
        <f>SUMIF(#REF!,Final!A973,#REF!)</f>
        <v>#REF!</v>
      </c>
      <c r="G973" s="1597" t="e">
        <f t="shared" si="88"/>
        <v>#REF!</v>
      </c>
      <c r="H973" s="1644" t="e">
        <f t="shared" si="89"/>
        <v>#REF!</v>
      </c>
      <c r="I973" s="1597" t="e">
        <f t="shared" si="90"/>
        <v>#REF!</v>
      </c>
      <c r="J973" s="1644" t="e">
        <f t="shared" si="91"/>
        <v>#REF!</v>
      </c>
      <c r="K973" s="1539"/>
      <c r="L973" s="1539"/>
      <c r="M973" s="1545"/>
      <c r="N973" s="1545"/>
      <c r="O973" s="1539"/>
      <c r="P973" s="1539"/>
      <c r="Q973" s="1539"/>
      <c r="R973" s="1539"/>
      <c r="S973" s="1539"/>
      <c r="T973" s="1539"/>
      <c r="U973" s="1539"/>
      <c r="V973" s="1539"/>
      <c r="W973" s="1539"/>
      <c r="X973" s="1539"/>
      <c r="Y973" s="1539"/>
      <c r="Z973" s="1539"/>
      <c r="AA973" s="1539"/>
      <c r="AB973" s="1539"/>
      <c r="AC973" s="1539"/>
      <c r="AD973" s="1539"/>
      <c r="AE973" s="1539"/>
      <c r="AF973" s="1539"/>
      <c r="AG973" s="1539"/>
      <c r="AH973" s="1539"/>
      <c r="AI973" s="1539"/>
      <c r="AJ973" s="1539"/>
      <c r="AK973" s="1539"/>
      <c r="AL973" s="1539"/>
      <c r="AM973" s="1539"/>
      <c r="AN973" s="1539"/>
      <c r="AO973" s="1539"/>
      <c r="AP973" s="1539"/>
      <c r="AQ973" s="1539"/>
      <c r="AR973" s="1539"/>
      <c r="AS973" s="1539"/>
      <c r="AT973" s="1539"/>
      <c r="AU973" s="1539"/>
      <c r="AV973" s="1539"/>
      <c r="AW973" s="1539"/>
      <c r="AX973" s="1539"/>
      <c r="AY973" s="1539"/>
      <c r="AZ973" s="1539"/>
      <c r="BA973" s="1539"/>
      <c r="BB973" s="1539"/>
      <c r="BC973" s="1539"/>
      <c r="BD973" s="1539"/>
      <c r="BE973" s="1539"/>
      <c r="BF973" s="1539"/>
      <c r="BG973" s="1539"/>
      <c r="BH973" s="1539"/>
      <c r="BI973" s="1539"/>
      <c r="BJ973" s="1539"/>
      <c r="BK973" s="1539"/>
      <c r="BL973" s="1539"/>
      <c r="BM973" s="1539"/>
      <c r="BN973" s="1539"/>
      <c r="BO973" s="1539"/>
      <c r="BP973" s="1539"/>
      <c r="BQ973" s="1539"/>
      <c r="BR973" s="1539"/>
      <c r="BS973" s="1539"/>
      <c r="BT973" s="1539"/>
      <c r="BU973" s="1539"/>
      <c r="BV973" s="1539"/>
      <c r="BW973" s="1539"/>
      <c r="BX973" s="1539"/>
      <c r="BY973" s="1539"/>
      <c r="BZ973" s="1539"/>
      <c r="CA973" s="1539"/>
      <c r="CB973" s="1539"/>
      <c r="CC973" s="1539"/>
      <c r="CD973" s="1539"/>
      <c r="CE973" s="1539"/>
      <c r="CF973" s="1539"/>
      <c r="CG973" s="1539"/>
      <c r="CH973" s="1539"/>
      <c r="CI973" s="1539"/>
      <c r="CJ973" s="1539"/>
      <c r="CK973" s="1539"/>
      <c r="CL973" s="1539"/>
      <c r="CM973" s="1539"/>
      <c r="CN973" s="1539"/>
      <c r="CO973" s="1539"/>
    </row>
    <row r="974" spans="1:93" ht="15.5">
      <c r="A974" s="1598">
        <v>23.201000000000001</v>
      </c>
      <c r="B974" s="1599" t="s">
        <v>666</v>
      </c>
      <c r="C974" s="1643" t="e">
        <f>+SUMIF(#REF!,Final!A974,#REF!)</f>
        <v>#REF!</v>
      </c>
      <c r="D974" s="1597" t="e">
        <f>+SUMIF(#REF!,Final!A974,#REF!)</f>
        <v>#REF!</v>
      </c>
      <c r="E974" s="1643" t="e">
        <f>SUMIF(#REF!,Final!A974,#REF!)</f>
        <v>#REF!</v>
      </c>
      <c r="F974" s="1644" t="e">
        <f>SUMIF(#REF!,Final!A974,#REF!)</f>
        <v>#REF!</v>
      </c>
      <c r="G974" s="1597" t="e">
        <f t="shared" si="88"/>
        <v>#REF!</v>
      </c>
      <c r="H974" s="1644" t="e">
        <f t="shared" si="89"/>
        <v>#REF!</v>
      </c>
      <c r="I974" s="1597" t="e">
        <f t="shared" si="90"/>
        <v>#REF!</v>
      </c>
      <c r="J974" s="1644" t="e">
        <f t="shared" si="91"/>
        <v>#REF!</v>
      </c>
      <c r="M974" s="1545"/>
      <c r="N974" s="1545"/>
    </row>
    <row r="975" spans="1:93" ht="15.5">
      <c r="A975" s="1598">
        <v>23.202000000000002</v>
      </c>
      <c r="B975" s="1599" t="s">
        <v>1335</v>
      </c>
      <c r="C975" s="1643" t="e">
        <f>+SUMIF(#REF!,Final!A975,#REF!)</f>
        <v>#REF!</v>
      </c>
      <c r="D975" s="1597" t="e">
        <f>+SUMIF(#REF!,Final!A975,#REF!)</f>
        <v>#REF!</v>
      </c>
      <c r="E975" s="1643" t="e">
        <f>SUMIF(#REF!,Final!A975,#REF!)</f>
        <v>#REF!</v>
      </c>
      <c r="F975" s="1644" t="e">
        <f>SUMIF(#REF!,Final!A975,#REF!)</f>
        <v>#REF!</v>
      </c>
      <c r="G975" s="1597" t="e">
        <f t="shared" si="88"/>
        <v>#REF!</v>
      </c>
      <c r="H975" s="1644" t="e">
        <f t="shared" si="89"/>
        <v>#REF!</v>
      </c>
      <c r="I975" s="1597" t="e">
        <f t="shared" si="90"/>
        <v>#REF!</v>
      </c>
      <c r="J975" s="1644" t="e">
        <f t="shared" si="91"/>
        <v>#REF!</v>
      </c>
      <c r="M975" s="1545"/>
      <c r="N975" s="1545"/>
    </row>
    <row r="976" spans="1:93" s="1542" customFormat="1" ht="15.5">
      <c r="A976" s="1598">
        <v>23.202999999999999</v>
      </c>
      <c r="B976" s="1599" t="s">
        <v>1899</v>
      </c>
      <c r="C976" s="1643" t="e">
        <f>+SUMIF(#REF!,Final!A976,#REF!)</f>
        <v>#REF!</v>
      </c>
      <c r="D976" s="1597" t="e">
        <f>+SUMIF(#REF!,Final!A976,#REF!)</f>
        <v>#REF!</v>
      </c>
      <c r="E976" s="1643" t="e">
        <f>SUMIF(#REF!,Final!A976,#REF!)</f>
        <v>#REF!</v>
      </c>
      <c r="F976" s="1644" t="e">
        <f>SUMIF(#REF!,Final!A976,#REF!)</f>
        <v>#REF!</v>
      </c>
      <c r="G976" s="1597" t="e">
        <f t="shared" si="88"/>
        <v>#REF!</v>
      </c>
      <c r="H976" s="1644" t="e">
        <f t="shared" si="89"/>
        <v>#REF!</v>
      </c>
      <c r="I976" s="1597" t="e">
        <f t="shared" si="90"/>
        <v>#REF!</v>
      </c>
      <c r="J976" s="1644" t="e">
        <f t="shared" si="91"/>
        <v>#REF!</v>
      </c>
      <c r="K976" s="1539"/>
      <c r="L976" s="1539"/>
      <c r="M976" s="1545"/>
      <c r="N976" s="1545"/>
      <c r="O976" s="1539"/>
      <c r="P976" s="1539"/>
      <c r="Q976" s="1539"/>
      <c r="R976" s="1539"/>
      <c r="S976" s="1539"/>
      <c r="T976" s="1539"/>
      <c r="U976" s="1539"/>
      <c r="V976" s="1539"/>
      <c r="W976" s="1539"/>
      <c r="X976" s="1539"/>
      <c r="Y976" s="1539"/>
      <c r="Z976" s="1539"/>
      <c r="AA976" s="1539"/>
      <c r="AB976" s="1539"/>
      <c r="AC976" s="1539"/>
      <c r="AD976" s="1539"/>
      <c r="AE976" s="1539"/>
      <c r="AF976" s="1539"/>
      <c r="AG976" s="1539"/>
      <c r="AH976" s="1539"/>
      <c r="AI976" s="1539"/>
      <c r="AJ976" s="1539"/>
      <c r="AK976" s="1539"/>
      <c r="AL976" s="1539"/>
      <c r="AM976" s="1539"/>
      <c r="AN976" s="1539"/>
      <c r="AO976" s="1539"/>
      <c r="AP976" s="1539"/>
      <c r="AQ976" s="1539"/>
      <c r="AR976" s="1539"/>
      <c r="AS976" s="1539"/>
      <c r="AT976" s="1539"/>
      <c r="AU976" s="1539"/>
      <c r="AV976" s="1539"/>
      <c r="AW976" s="1539"/>
      <c r="AX976" s="1539"/>
      <c r="AY976" s="1539"/>
      <c r="AZ976" s="1539"/>
      <c r="BA976" s="1539"/>
      <c r="BB976" s="1539"/>
      <c r="BC976" s="1539"/>
      <c r="BD976" s="1539"/>
      <c r="BE976" s="1539"/>
      <c r="BF976" s="1539"/>
      <c r="BG976" s="1539"/>
      <c r="BH976" s="1539"/>
      <c r="BI976" s="1539"/>
      <c r="BJ976" s="1539"/>
      <c r="BK976" s="1539"/>
      <c r="BL976" s="1539"/>
      <c r="BM976" s="1539"/>
      <c r="BN976" s="1539"/>
      <c r="BO976" s="1539"/>
      <c r="BP976" s="1539"/>
      <c r="BQ976" s="1539"/>
      <c r="BR976" s="1539"/>
      <c r="BS976" s="1539"/>
      <c r="BT976" s="1539"/>
      <c r="BU976" s="1539"/>
      <c r="BV976" s="1539"/>
      <c r="BW976" s="1539"/>
      <c r="BX976" s="1539"/>
      <c r="BY976" s="1539"/>
      <c r="BZ976" s="1539"/>
      <c r="CA976" s="1539"/>
      <c r="CB976" s="1539"/>
      <c r="CC976" s="1539"/>
      <c r="CD976" s="1539"/>
      <c r="CE976" s="1539"/>
      <c r="CF976" s="1539"/>
      <c r="CG976" s="1539"/>
      <c r="CH976" s="1539"/>
      <c r="CI976" s="1539"/>
      <c r="CJ976" s="1539"/>
      <c r="CK976" s="1539"/>
      <c r="CL976" s="1539"/>
      <c r="CM976" s="1539"/>
      <c r="CN976" s="1539"/>
      <c r="CO976" s="1539"/>
    </row>
    <row r="977" spans="1:93" ht="15.5">
      <c r="A977" s="1598">
        <v>23.204000000000001</v>
      </c>
      <c r="B977" s="1599" t="s">
        <v>1900</v>
      </c>
      <c r="C977" s="1643" t="e">
        <f>+SUMIF(#REF!,Final!A977,#REF!)</f>
        <v>#REF!</v>
      </c>
      <c r="D977" s="1597" t="e">
        <f>+SUMIF(#REF!,Final!A977,#REF!)</f>
        <v>#REF!</v>
      </c>
      <c r="E977" s="1643" t="e">
        <f>SUMIF(#REF!,Final!A977,#REF!)</f>
        <v>#REF!</v>
      </c>
      <c r="F977" s="1644" t="e">
        <f>SUMIF(#REF!,Final!A977,#REF!)</f>
        <v>#REF!</v>
      </c>
      <c r="G977" s="1597" t="e">
        <f t="shared" si="88"/>
        <v>#REF!</v>
      </c>
      <c r="H977" s="1644" t="e">
        <f t="shared" si="89"/>
        <v>#REF!</v>
      </c>
      <c r="I977" s="1597" t="e">
        <f t="shared" si="90"/>
        <v>#REF!</v>
      </c>
      <c r="J977" s="1644" t="e">
        <f t="shared" si="91"/>
        <v>#REF!</v>
      </c>
      <c r="M977" s="1545"/>
      <c r="N977" s="1545"/>
    </row>
    <row r="978" spans="1:93" ht="15.5">
      <c r="A978" s="1598">
        <v>23.204999999999998</v>
      </c>
      <c r="B978" s="1599" t="s">
        <v>890</v>
      </c>
      <c r="C978" s="1643" t="e">
        <f>+SUMIF(#REF!,Final!A978,#REF!)</f>
        <v>#REF!</v>
      </c>
      <c r="D978" s="1597" t="e">
        <f>+SUMIF(#REF!,Final!A978,#REF!)</f>
        <v>#REF!</v>
      </c>
      <c r="E978" s="1643" t="e">
        <f>SUMIF(#REF!,Final!A978,#REF!)</f>
        <v>#REF!</v>
      </c>
      <c r="F978" s="1644" t="e">
        <f>SUMIF(#REF!,Final!A978,#REF!)</f>
        <v>#REF!</v>
      </c>
      <c r="G978" s="1597" t="e">
        <f t="shared" si="88"/>
        <v>#REF!</v>
      </c>
      <c r="H978" s="1644" t="e">
        <f t="shared" si="89"/>
        <v>#REF!</v>
      </c>
      <c r="I978" s="1597" t="e">
        <f t="shared" si="90"/>
        <v>#REF!</v>
      </c>
      <c r="J978" s="1644" t="e">
        <f t="shared" si="91"/>
        <v>#REF!</v>
      </c>
      <c r="M978" s="1545"/>
      <c r="N978" s="1545"/>
    </row>
    <row r="979" spans="1:93" ht="15.5">
      <c r="A979" s="1598">
        <v>23.206</v>
      </c>
      <c r="B979" s="1599" t="s">
        <v>892</v>
      </c>
      <c r="C979" s="1643" t="e">
        <f>+SUMIF(#REF!,Final!A979,#REF!)</f>
        <v>#REF!</v>
      </c>
      <c r="D979" s="1597" t="e">
        <f>+SUMIF(#REF!,Final!A979,#REF!)</f>
        <v>#REF!</v>
      </c>
      <c r="E979" s="1643" t="e">
        <f>SUMIF(#REF!,Final!A979,#REF!)</f>
        <v>#REF!</v>
      </c>
      <c r="F979" s="1644" t="e">
        <f>SUMIF(#REF!,Final!A979,#REF!)</f>
        <v>#REF!</v>
      </c>
      <c r="G979" s="1597" t="e">
        <f t="shared" si="88"/>
        <v>#REF!</v>
      </c>
      <c r="H979" s="1644" t="e">
        <f t="shared" si="89"/>
        <v>#REF!</v>
      </c>
      <c r="I979" s="1597" t="e">
        <f t="shared" si="90"/>
        <v>#REF!</v>
      </c>
      <c r="J979" s="1644" t="e">
        <f t="shared" si="91"/>
        <v>#REF!</v>
      </c>
      <c r="M979" s="1545"/>
      <c r="N979" s="1545"/>
    </row>
    <row r="980" spans="1:93" ht="15.5">
      <c r="A980" s="1598">
        <v>23.207000000000001</v>
      </c>
      <c r="B980" s="1599" t="s">
        <v>893</v>
      </c>
      <c r="C980" s="1643" t="e">
        <f>+SUMIF(#REF!,Final!A980,#REF!)</f>
        <v>#REF!</v>
      </c>
      <c r="D980" s="1597" t="e">
        <f>+SUMIF(#REF!,Final!A980,#REF!)</f>
        <v>#REF!</v>
      </c>
      <c r="E980" s="1643" t="e">
        <f>SUMIF(#REF!,Final!A980,#REF!)</f>
        <v>#REF!</v>
      </c>
      <c r="F980" s="1644" t="e">
        <f>SUMIF(#REF!,Final!A980,#REF!)</f>
        <v>#REF!</v>
      </c>
      <c r="G980" s="1597" t="e">
        <f t="shared" si="88"/>
        <v>#REF!</v>
      </c>
      <c r="H980" s="1644" t="e">
        <f t="shared" si="89"/>
        <v>#REF!</v>
      </c>
      <c r="I980" s="1597" t="e">
        <f t="shared" si="90"/>
        <v>#REF!</v>
      </c>
      <c r="J980" s="1644" t="e">
        <f t="shared" si="91"/>
        <v>#REF!</v>
      </c>
      <c r="M980" s="1545"/>
      <c r="N980" s="1545"/>
    </row>
    <row r="981" spans="1:93" ht="15.5">
      <c r="A981" s="1598">
        <v>23.207999999999998</v>
      </c>
      <c r="B981" s="1599" t="s">
        <v>539</v>
      </c>
      <c r="C981" s="1643" t="e">
        <f>+SUMIF(#REF!,Final!A981,#REF!)</f>
        <v>#REF!</v>
      </c>
      <c r="D981" s="1597" t="e">
        <f>+SUMIF(#REF!,Final!A981,#REF!)</f>
        <v>#REF!</v>
      </c>
      <c r="E981" s="1643" t="e">
        <f>SUMIF(#REF!,Final!A981,#REF!)</f>
        <v>#REF!</v>
      </c>
      <c r="F981" s="1644" t="e">
        <f>SUMIF(#REF!,Final!A981,#REF!)</f>
        <v>#REF!</v>
      </c>
      <c r="G981" s="1597" t="e">
        <f t="shared" si="88"/>
        <v>#REF!</v>
      </c>
      <c r="H981" s="1644" t="e">
        <f t="shared" si="89"/>
        <v>#REF!</v>
      </c>
      <c r="I981" s="1597" t="e">
        <f t="shared" si="90"/>
        <v>#REF!</v>
      </c>
      <c r="J981" s="1644" t="e">
        <f t="shared" si="91"/>
        <v>#REF!</v>
      </c>
      <c r="M981" s="1545"/>
      <c r="N981" s="1545"/>
    </row>
    <row r="982" spans="1:93" ht="15.5">
      <c r="A982" s="1598">
        <v>23.209</v>
      </c>
      <c r="B982" s="1599" t="s">
        <v>540</v>
      </c>
      <c r="C982" s="1643" t="e">
        <f>+SUMIF(#REF!,Final!A982,#REF!)</f>
        <v>#REF!</v>
      </c>
      <c r="D982" s="1597" t="e">
        <f>+SUMIF(#REF!,Final!A982,#REF!)</f>
        <v>#REF!</v>
      </c>
      <c r="E982" s="1643" t="e">
        <f>SUMIF(#REF!,Final!A982,#REF!)</f>
        <v>#REF!</v>
      </c>
      <c r="F982" s="1644" t="e">
        <f>SUMIF(#REF!,Final!A982,#REF!)</f>
        <v>#REF!</v>
      </c>
      <c r="G982" s="1597" t="e">
        <f t="shared" si="88"/>
        <v>#REF!</v>
      </c>
      <c r="H982" s="1644" t="e">
        <f t="shared" si="89"/>
        <v>#REF!</v>
      </c>
      <c r="I982" s="1597" t="e">
        <f t="shared" si="90"/>
        <v>#REF!</v>
      </c>
      <c r="J982" s="1644" t="e">
        <f t="shared" si="91"/>
        <v>#REF!</v>
      </c>
      <c r="M982" s="1545"/>
      <c r="N982" s="1545"/>
    </row>
    <row r="983" spans="1:93" ht="15.5">
      <c r="A983" s="1598">
        <v>23.21</v>
      </c>
      <c r="B983" s="1599" t="s">
        <v>1901</v>
      </c>
      <c r="C983" s="1643" t="e">
        <f>+SUMIF(#REF!,Final!A983,#REF!)</f>
        <v>#REF!</v>
      </c>
      <c r="D983" s="1597" t="e">
        <f>+SUMIF(#REF!,Final!A983,#REF!)</f>
        <v>#REF!</v>
      </c>
      <c r="E983" s="1643" t="e">
        <f>SUMIF(#REF!,Final!A983,#REF!)</f>
        <v>#REF!</v>
      </c>
      <c r="F983" s="1644" t="e">
        <f>SUMIF(#REF!,Final!A983,#REF!)</f>
        <v>#REF!</v>
      </c>
      <c r="G983" s="1597" t="e">
        <f t="shared" ref="G983:G1046" si="92">C983+E983</f>
        <v>#REF!</v>
      </c>
      <c r="H983" s="1644" t="e">
        <f t="shared" ref="H983:H1046" si="93">D983+F983</f>
        <v>#REF!</v>
      </c>
      <c r="I983" s="1597" t="e">
        <f t="shared" ref="I983:I1046" si="94">IF(G983&gt;H983,G983-H983,0)</f>
        <v>#REF!</v>
      </c>
      <c r="J983" s="1644" t="e">
        <f t="shared" ref="J983:J1046" si="95">IF(H983&gt;G983,H983-G983,0)</f>
        <v>#REF!</v>
      </c>
      <c r="M983" s="1545"/>
      <c r="N983" s="1545"/>
    </row>
    <row r="984" spans="1:93" ht="15.5">
      <c r="A984" s="1598">
        <v>23.210999999999999</v>
      </c>
      <c r="B984" s="1599" t="s">
        <v>1902</v>
      </c>
      <c r="C984" s="1643" t="e">
        <f>+SUMIF(#REF!,Final!A984,#REF!)</f>
        <v>#REF!</v>
      </c>
      <c r="D984" s="1597" t="e">
        <f>+SUMIF(#REF!,Final!A984,#REF!)</f>
        <v>#REF!</v>
      </c>
      <c r="E984" s="1643" t="e">
        <f>SUMIF(#REF!,Final!A984,#REF!)</f>
        <v>#REF!</v>
      </c>
      <c r="F984" s="1644" t="e">
        <f>SUMIF(#REF!,Final!A984,#REF!)</f>
        <v>#REF!</v>
      </c>
      <c r="G984" s="1597" t="e">
        <f t="shared" si="92"/>
        <v>#REF!</v>
      </c>
      <c r="H984" s="1644" t="e">
        <f t="shared" si="93"/>
        <v>#REF!</v>
      </c>
      <c r="I984" s="1597" t="e">
        <f t="shared" si="94"/>
        <v>#REF!</v>
      </c>
      <c r="J984" s="1644" t="e">
        <f t="shared" si="95"/>
        <v>#REF!</v>
      </c>
      <c r="M984" s="1545"/>
      <c r="N984" s="1545"/>
    </row>
    <row r="985" spans="1:93" ht="15.5">
      <c r="A985" s="1598">
        <v>23.212</v>
      </c>
      <c r="B985" s="1599" t="s">
        <v>2740</v>
      </c>
      <c r="C985" s="1643" t="e">
        <f>+SUMIF(#REF!,Final!A985,#REF!)</f>
        <v>#REF!</v>
      </c>
      <c r="D985" s="1597" t="e">
        <f>+SUMIF(#REF!,Final!A985,#REF!)</f>
        <v>#REF!</v>
      </c>
      <c r="E985" s="1643" t="e">
        <f>SUMIF(#REF!,Final!A985,#REF!)</f>
        <v>#REF!</v>
      </c>
      <c r="F985" s="1644" t="e">
        <f>SUMIF(#REF!,Final!A985,#REF!)</f>
        <v>#REF!</v>
      </c>
      <c r="G985" s="1597" t="e">
        <f t="shared" si="92"/>
        <v>#REF!</v>
      </c>
      <c r="H985" s="1644" t="e">
        <f t="shared" si="93"/>
        <v>#REF!</v>
      </c>
      <c r="I985" s="1597" t="e">
        <f t="shared" si="94"/>
        <v>#REF!</v>
      </c>
      <c r="J985" s="1644" t="e">
        <f t="shared" si="95"/>
        <v>#REF!</v>
      </c>
      <c r="M985" s="1545"/>
      <c r="N985" s="1545"/>
    </row>
    <row r="986" spans="1:93" ht="15.5">
      <c r="A986" s="1598">
        <v>23.213000000000001</v>
      </c>
      <c r="B986" s="1599" t="s">
        <v>2741</v>
      </c>
      <c r="C986" s="1643" t="e">
        <f>+SUMIF(#REF!,Final!A986,#REF!)</f>
        <v>#REF!</v>
      </c>
      <c r="D986" s="1597" t="e">
        <f>+SUMIF(#REF!,Final!A986,#REF!)</f>
        <v>#REF!</v>
      </c>
      <c r="E986" s="1643" t="e">
        <f>SUMIF(#REF!,Final!A986,#REF!)</f>
        <v>#REF!</v>
      </c>
      <c r="F986" s="1644" t="e">
        <f>SUMIF(#REF!,Final!A986,#REF!)</f>
        <v>#REF!</v>
      </c>
      <c r="G986" s="1597" t="e">
        <f t="shared" si="92"/>
        <v>#REF!</v>
      </c>
      <c r="H986" s="1644" t="e">
        <f t="shared" si="93"/>
        <v>#REF!</v>
      </c>
      <c r="I986" s="1597" t="e">
        <f t="shared" si="94"/>
        <v>#REF!</v>
      </c>
      <c r="J986" s="1644" t="e">
        <f t="shared" si="95"/>
        <v>#REF!</v>
      </c>
      <c r="M986" s="1545"/>
      <c r="N986" s="1545"/>
    </row>
    <row r="987" spans="1:93" ht="15.5">
      <c r="A987" s="1598">
        <v>23.213999999999999</v>
      </c>
      <c r="B987" s="1599" t="s">
        <v>2742</v>
      </c>
      <c r="C987" s="1643" t="e">
        <f>+SUMIF(#REF!,Final!A987,#REF!)</f>
        <v>#REF!</v>
      </c>
      <c r="D987" s="1597" t="e">
        <f>+SUMIF(#REF!,Final!A987,#REF!)</f>
        <v>#REF!</v>
      </c>
      <c r="E987" s="1643" t="e">
        <f>SUMIF(#REF!,Final!A987,#REF!)</f>
        <v>#REF!</v>
      </c>
      <c r="F987" s="1644" t="e">
        <f>SUMIF(#REF!,Final!A987,#REF!)</f>
        <v>#REF!</v>
      </c>
      <c r="G987" s="1597" t="e">
        <f t="shared" si="92"/>
        <v>#REF!</v>
      </c>
      <c r="H987" s="1644" t="e">
        <f t="shared" si="93"/>
        <v>#REF!</v>
      </c>
      <c r="I987" s="1597" t="e">
        <f t="shared" si="94"/>
        <v>#REF!</v>
      </c>
      <c r="J987" s="1644" t="e">
        <f t="shared" si="95"/>
        <v>#REF!</v>
      </c>
      <c r="M987" s="1545"/>
      <c r="N987" s="1545"/>
    </row>
    <row r="988" spans="1:93" ht="15.5">
      <c r="A988" s="1598">
        <v>23.215</v>
      </c>
      <c r="B988" s="1599" t="s">
        <v>669</v>
      </c>
      <c r="C988" s="1643" t="e">
        <f>+SUMIF(#REF!,Final!A988,#REF!)</f>
        <v>#REF!</v>
      </c>
      <c r="D988" s="1597" t="e">
        <f>+SUMIF(#REF!,Final!A988,#REF!)</f>
        <v>#REF!</v>
      </c>
      <c r="E988" s="1643" t="e">
        <f>SUMIF(#REF!,Final!A988,#REF!)</f>
        <v>#REF!</v>
      </c>
      <c r="F988" s="1644" t="e">
        <f>SUMIF(#REF!,Final!A988,#REF!)</f>
        <v>#REF!</v>
      </c>
      <c r="G988" s="1597" t="e">
        <f t="shared" si="92"/>
        <v>#REF!</v>
      </c>
      <c r="H988" s="1644" t="e">
        <f t="shared" si="93"/>
        <v>#REF!</v>
      </c>
      <c r="I988" s="1597" t="e">
        <f t="shared" si="94"/>
        <v>#REF!</v>
      </c>
      <c r="J988" s="1644" t="e">
        <f t="shared" si="95"/>
        <v>#REF!</v>
      </c>
      <c r="M988" s="1545"/>
      <c r="N988" s="1545"/>
    </row>
    <row r="989" spans="1:93" s="1543" customFormat="1" ht="15.5">
      <c r="A989" s="1598">
        <v>23.216000000000001</v>
      </c>
      <c r="B989" s="1599" t="s">
        <v>423</v>
      </c>
      <c r="C989" s="1643" t="e">
        <f>+SUMIF(#REF!,Final!A989,#REF!)</f>
        <v>#REF!</v>
      </c>
      <c r="D989" s="1597" t="e">
        <f>+SUMIF(#REF!,Final!A989,#REF!)</f>
        <v>#REF!</v>
      </c>
      <c r="E989" s="1643" t="e">
        <f>SUMIF(#REF!,Final!A989,#REF!)</f>
        <v>#REF!</v>
      </c>
      <c r="F989" s="1644" t="e">
        <f>SUMIF(#REF!,Final!A989,#REF!)</f>
        <v>#REF!</v>
      </c>
      <c r="G989" s="1597" t="e">
        <f t="shared" si="92"/>
        <v>#REF!</v>
      </c>
      <c r="H989" s="1644" t="e">
        <f t="shared" si="93"/>
        <v>#REF!</v>
      </c>
      <c r="I989" s="1597" t="e">
        <f t="shared" si="94"/>
        <v>#REF!</v>
      </c>
      <c r="J989" s="1644" t="e">
        <f t="shared" si="95"/>
        <v>#REF!</v>
      </c>
      <c r="K989" s="1539"/>
      <c r="L989" s="1539"/>
      <c r="M989" s="1545"/>
      <c r="N989" s="1545"/>
      <c r="O989" s="1539"/>
      <c r="P989" s="1539"/>
      <c r="Q989" s="1539"/>
      <c r="R989" s="1539"/>
      <c r="S989" s="1539"/>
      <c r="T989" s="1539"/>
      <c r="U989" s="1539"/>
      <c r="V989" s="1539"/>
      <c r="W989" s="1539"/>
      <c r="X989" s="1539"/>
      <c r="Y989" s="1539"/>
      <c r="Z989" s="1539"/>
      <c r="AA989" s="1539"/>
      <c r="AB989" s="1539"/>
      <c r="AC989" s="1539"/>
      <c r="AD989" s="1539"/>
      <c r="AE989" s="1539"/>
      <c r="AF989" s="1539"/>
      <c r="AG989" s="1539"/>
      <c r="AH989" s="1539"/>
      <c r="AI989" s="1539"/>
      <c r="AJ989" s="1539"/>
      <c r="AK989" s="1539"/>
      <c r="AL989" s="1539"/>
      <c r="AM989" s="1539"/>
      <c r="AN989" s="1539"/>
      <c r="AO989" s="1539"/>
      <c r="AP989" s="1539"/>
      <c r="AQ989" s="1539"/>
      <c r="AR989" s="1539"/>
      <c r="AS989" s="1539"/>
      <c r="AT989" s="1539"/>
      <c r="AU989" s="1539"/>
      <c r="AV989" s="1539"/>
      <c r="AW989" s="1539"/>
      <c r="AX989" s="1539"/>
      <c r="AY989" s="1539"/>
      <c r="AZ989" s="1539"/>
      <c r="BA989" s="1539"/>
      <c r="BB989" s="1539"/>
      <c r="BC989" s="1539"/>
      <c r="BD989" s="1539"/>
      <c r="BE989" s="1539"/>
      <c r="BF989" s="1539"/>
      <c r="BG989" s="1539"/>
      <c r="BH989" s="1539"/>
      <c r="BI989" s="1539"/>
      <c r="BJ989" s="1539"/>
      <c r="BK989" s="1539"/>
      <c r="BL989" s="1539"/>
      <c r="BM989" s="1539"/>
      <c r="BN989" s="1539"/>
      <c r="BO989" s="1539"/>
      <c r="BP989" s="1539"/>
      <c r="BQ989" s="1539"/>
      <c r="BR989" s="1539"/>
      <c r="BS989" s="1539"/>
      <c r="BT989" s="1539"/>
      <c r="BU989" s="1539"/>
      <c r="BV989" s="1539"/>
      <c r="BW989" s="1539"/>
      <c r="BX989" s="1539"/>
      <c r="BY989" s="1539"/>
      <c r="BZ989" s="1539"/>
      <c r="CA989" s="1539"/>
      <c r="CB989" s="1539"/>
      <c r="CC989" s="1539"/>
      <c r="CD989" s="1539"/>
      <c r="CE989" s="1539"/>
      <c r="CF989" s="1539"/>
      <c r="CG989" s="1539"/>
      <c r="CH989" s="1539"/>
      <c r="CI989" s="1539"/>
      <c r="CJ989" s="1539"/>
      <c r="CK989" s="1539"/>
      <c r="CL989" s="1539"/>
      <c r="CM989" s="1539"/>
      <c r="CN989" s="1539"/>
      <c r="CO989" s="1539"/>
    </row>
    <row r="990" spans="1:93" s="1543" customFormat="1" ht="15.5">
      <c r="A990" s="1598">
        <v>23.216999999999999</v>
      </c>
      <c r="B990" s="1599" t="s">
        <v>1905</v>
      </c>
      <c r="C990" s="1643" t="e">
        <f>+SUMIF(#REF!,Final!A990,#REF!)</f>
        <v>#REF!</v>
      </c>
      <c r="D990" s="1597" t="e">
        <f>+SUMIF(#REF!,Final!A990,#REF!)</f>
        <v>#REF!</v>
      </c>
      <c r="E990" s="1643" t="e">
        <f>SUMIF(#REF!,Final!A990,#REF!)</f>
        <v>#REF!</v>
      </c>
      <c r="F990" s="1644" t="e">
        <f>SUMIF(#REF!,Final!A990,#REF!)</f>
        <v>#REF!</v>
      </c>
      <c r="G990" s="1597" t="e">
        <f t="shared" si="92"/>
        <v>#REF!</v>
      </c>
      <c r="H990" s="1644" t="e">
        <f t="shared" si="93"/>
        <v>#REF!</v>
      </c>
      <c r="I990" s="1597" t="e">
        <f t="shared" si="94"/>
        <v>#REF!</v>
      </c>
      <c r="J990" s="1644" t="e">
        <f t="shared" si="95"/>
        <v>#REF!</v>
      </c>
      <c r="K990" s="1539"/>
      <c r="L990" s="1539"/>
      <c r="M990" s="1545"/>
      <c r="N990" s="1545"/>
      <c r="O990" s="1539"/>
      <c r="P990" s="1539"/>
      <c r="Q990" s="1539"/>
      <c r="R990" s="1539"/>
      <c r="S990" s="1539"/>
      <c r="T990" s="1539"/>
      <c r="U990" s="1539"/>
      <c r="V990" s="1539"/>
      <c r="W990" s="1539"/>
      <c r="X990" s="1539"/>
      <c r="Y990" s="1539"/>
      <c r="Z990" s="1539"/>
      <c r="AA990" s="1539"/>
      <c r="AB990" s="1539"/>
      <c r="AC990" s="1539"/>
      <c r="AD990" s="1539"/>
      <c r="AE990" s="1539"/>
      <c r="AF990" s="1539"/>
      <c r="AG990" s="1539"/>
      <c r="AH990" s="1539"/>
      <c r="AI990" s="1539"/>
      <c r="AJ990" s="1539"/>
      <c r="AK990" s="1539"/>
      <c r="AL990" s="1539"/>
      <c r="AM990" s="1539"/>
      <c r="AN990" s="1539"/>
      <c r="AO990" s="1539"/>
      <c r="AP990" s="1539"/>
      <c r="AQ990" s="1539"/>
      <c r="AR990" s="1539"/>
      <c r="AS990" s="1539"/>
      <c r="AT990" s="1539"/>
      <c r="AU990" s="1539"/>
      <c r="AV990" s="1539"/>
      <c r="AW990" s="1539"/>
      <c r="AX990" s="1539"/>
      <c r="AY990" s="1539"/>
      <c r="AZ990" s="1539"/>
      <c r="BA990" s="1539"/>
      <c r="BB990" s="1539"/>
      <c r="BC990" s="1539"/>
      <c r="BD990" s="1539"/>
      <c r="BE990" s="1539"/>
      <c r="BF990" s="1539"/>
      <c r="BG990" s="1539"/>
      <c r="BH990" s="1539"/>
      <c r="BI990" s="1539"/>
      <c r="BJ990" s="1539"/>
      <c r="BK990" s="1539"/>
      <c r="BL990" s="1539"/>
      <c r="BM990" s="1539"/>
      <c r="BN990" s="1539"/>
      <c r="BO990" s="1539"/>
      <c r="BP990" s="1539"/>
      <c r="BQ990" s="1539"/>
      <c r="BR990" s="1539"/>
      <c r="BS990" s="1539"/>
      <c r="BT990" s="1539"/>
      <c r="BU990" s="1539"/>
      <c r="BV990" s="1539"/>
      <c r="BW990" s="1539"/>
      <c r="BX990" s="1539"/>
      <c r="BY990" s="1539"/>
      <c r="BZ990" s="1539"/>
      <c r="CA990" s="1539"/>
      <c r="CB990" s="1539"/>
      <c r="CC990" s="1539"/>
      <c r="CD990" s="1539"/>
      <c r="CE990" s="1539"/>
      <c r="CF990" s="1539"/>
      <c r="CG990" s="1539"/>
      <c r="CH990" s="1539"/>
      <c r="CI990" s="1539"/>
      <c r="CJ990" s="1539"/>
      <c r="CK990" s="1539"/>
      <c r="CL990" s="1539"/>
      <c r="CM990" s="1539"/>
      <c r="CN990" s="1539"/>
      <c r="CO990" s="1539"/>
    </row>
    <row r="991" spans="1:93" s="1552" customFormat="1" ht="15.5">
      <c r="A991" s="1598"/>
      <c r="B991" s="1599" t="s">
        <v>1747</v>
      </c>
      <c r="C991" s="1643" t="e">
        <f>+SUMIF(#REF!,Final!A991,#REF!)</f>
        <v>#REF!</v>
      </c>
      <c r="D991" s="1597" t="e">
        <f>+SUMIF(#REF!,Final!A991,#REF!)</f>
        <v>#REF!</v>
      </c>
      <c r="E991" s="1643" t="e">
        <f>SUMIF(#REF!,Final!A991,#REF!)</f>
        <v>#REF!</v>
      </c>
      <c r="F991" s="1644" t="e">
        <f>SUMIF(#REF!,Final!A991,#REF!)</f>
        <v>#REF!</v>
      </c>
      <c r="G991" s="1597" t="e">
        <f t="shared" si="92"/>
        <v>#REF!</v>
      </c>
      <c r="H991" s="1644" t="e">
        <f t="shared" si="93"/>
        <v>#REF!</v>
      </c>
      <c r="I991" s="1597" t="e">
        <f t="shared" si="94"/>
        <v>#REF!</v>
      </c>
      <c r="J991" s="1644" t="e">
        <f t="shared" si="95"/>
        <v>#REF!</v>
      </c>
      <c r="K991" s="1539"/>
      <c r="L991" s="1539"/>
      <c r="M991" s="1545"/>
      <c r="N991" s="1545"/>
      <c r="O991" s="1539"/>
      <c r="P991" s="1539"/>
      <c r="Q991" s="1539"/>
      <c r="R991" s="1539"/>
      <c r="S991" s="1539"/>
      <c r="T991" s="1539"/>
      <c r="U991" s="1539"/>
      <c r="V991" s="1539"/>
      <c r="W991" s="1539"/>
      <c r="X991" s="1539"/>
      <c r="Y991" s="1539"/>
      <c r="Z991" s="1539"/>
      <c r="AA991" s="1539"/>
      <c r="AB991" s="1539"/>
      <c r="AC991" s="1539"/>
      <c r="AD991" s="1539"/>
      <c r="AE991" s="1539"/>
      <c r="AF991" s="1539"/>
      <c r="AG991" s="1539"/>
      <c r="AH991" s="1539"/>
      <c r="AI991" s="1539"/>
      <c r="AJ991" s="1539"/>
      <c r="AK991" s="1539"/>
      <c r="AL991" s="1539"/>
      <c r="AM991" s="1539"/>
      <c r="AN991" s="1539"/>
      <c r="AO991" s="1539"/>
      <c r="AP991" s="1539"/>
      <c r="AQ991" s="1539"/>
      <c r="AR991" s="1539"/>
      <c r="AS991" s="1539"/>
      <c r="AT991" s="1539"/>
      <c r="AU991" s="1539"/>
      <c r="AV991" s="1539"/>
      <c r="AW991" s="1539"/>
      <c r="AX991" s="1539"/>
      <c r="AY991" s="1539"/>
      <c r="AZ991" s="1539"/>
      <c r="BA991" s="1539"/>
      <c r="BB991" s="1539"/>
      <c r="BC991" s="1539"/>
      <c r="BD991" s="1539"/>
      <c r="BE991" s="1539"/>
      <c r="BF991" s="1539"/>
      <c r="BG991" s="1539"/>
      <c r="BH991" s="1539"/>
      <c r="BI991" s="1539"/>
      <c r="BJ991" s="1539"/>
      <c r="BK991" s="1539"/>
      <c r="BL991" s="1539"/>
      <c r="BM991" s="1539"/>
      <c r="BN991" s="1539"/>
      <c r="BO991" s="1539"/>
      <c r="BP991" s="1539"/>
      <c r="BQ991" s="1539"/>
      <c r="BR991" s="1539"/>
      <c r="BS991" s="1539"/>
      <c r="BT991" s="1539"/>
      <c r="BU991" s="1539"/>
      <c r="BV991" s="1539"/>
      <c r="BW991" s="1539"/>
      <c r="BX991" s="1539"/>
      <c r="BY991" s="1539"/>
      <c r="BZ991" s="1539"/>
      <c r="CA991" s="1539"/>
      <c r="CB991" s="1539"/>
      <c r="CC991" s="1539"/>
      <c r="CD991" s="1539"/>
      <c r="CE991" s="1539"/>
      <c r="CF991" s="1539"/>
      <c r="CG991" s="1539"/>
      <c r="CH991" s="1539"/>
      <c r="CI991" s="1539"/>
      <c r="CJ991" s="1539"/>
      <c r="CK991" s="1539"/>
      <c r="CL991" s="1539"/>
      <c r="CM991" s="1539"/>
      <c r="CN991" s="1539"/>
      <c r="CO991" s="1539"/>
    </row>
    <row r="992" spans="1:93" s="1552" customFormat="1" ht="15.5">
      <c r="A992" s="1598"/>
      <c r="B992" s="1599" t="s">
        <v>1760</v>
      </c>
      <c r="C992" s="1643" t="e">
        <f>+SUMIF(#REF!,Final!A992,#REF!)</f>
        <v>#REF!</v>
      </c>
      <c r="D992" s="1597" t="e">
        <f>+SUMIF(#REF!,Final!A992,#REF!)</f>
        <v>#REF!</v>
      </c>
      <c r="E992" s="1643" t="e">
        <f>SUMIF(#REF!,Final!A992,#REF!)</f>
        <v>#REF!</v>
      </c>
      <c r="F992" s="1644" t="e">
        <f>SUMIF(#REF!,Final!A992,#REF!)</f>
        <v>#REF!</v>
      </c>
      <c r="G992" s="1597" t="e">
        <f t="shared" si="92"/>
        <v>#REF!</v>
      </c>
      <c r="H992" s="1644" t="e">
        <f t="shared" si="93"/>
        <v>#REF!</v>
      </c>
      <c r="I992" s="1597" t="e">
        <f t="shared" si="94"/>
        <v>#REF!</v>
      </c>
      <c r="J992" s="1644" t="e">
        <f t="shared" si="95"/>
        <v>#REF!</v>
      </c>
      <c r="K992" s="1539"/>
      <c r="L992" s="1539"/>
      <c r="M992" s="1545"/>
      <c r="N992" s="1545"/>
      <c r="O992" s="1539"/>
      <c r="P992" s="1539"/>
      <c r="Q992" s="1539"/>
      <c r="R992" s="1539"/>
      <c r="S992" s="1539"/>
      <c r="T992" s="1539"/>
      <c r="U992" s="1539"/>
      <c r="V992" s="1539"/>
      <c r="W992" s="1539"/>
      <c r="X992" s="1539"/>
      <c r="Y992" s="1539"/>
      <c r="Z992" s="1539"/>
      <c r="AA992" s="1539"/>
      <c r="AB992" s="1539"/>
      <c r="AC992" s="1539"/>
      <c r="AD992" s="1539"/>
      <c r="AE992" s="1539"/>
      <c r="AF992" s="1539"/>
      <c r="AG992" s="1539"/>
      <c r="AH992" s="1539"/>
      <c r="AI992" s="1539"/>
      <c r="AJ992" s="1539"/>
      <c r="AK992" s="1539"/>
      <c r="AL992" s="1539"/>
      <c r="AM992" s="1539"/>
      <c r="AN992" s="1539"/>
      <c r="AO992" s="1539"/>
      <c r="AP992" s="1539"/>
      <c r="AQ992" s="1539"/>
      <c r="AR992" s="1539"/>
      <c r="AS992" s="1539"/>
      <c r="AT992" s="1539"/>
      <c r="AU992" s="1539"/>
      <c r="AV992" s="1539"/>
      <c r="AW992" s="1539"/>
      <c r="AX992" s="1539"/>
      <c r="AY992" s="1539"/>
      <c r="AZ992" s="1539"/>
      <c r="BA992" s="1539"/>
      <c r="BB992" s="1539"/>
      <c r="BC992" s="1539"/>
      <c r="BD992" s="1539"/>
      <c r="BE992" s="1539"/>
      <c r="BF992" s="1539"/>
      <c r="BG992" s="1539"/>
      <c r="BH992" s="1539"/>
      <c r="BI992" s="1539"/>
      <c r="BJ992" s="1539"/>
      <c r="BK992" s="1539"/>
      <c r="BL992" s="1539"/>
      <c r="BM992" s="1539"/>
      <c r="BN992" s="1539"/>
      <c r="BO992" s="1539"/>
      <c r="BP992" s="1539"/>
      <c r="BQ992" s="1539"/>
      <c r="BR992" s="1539"/>
      <c r="BS992" s="1539"/>
      <c r="BT992" s="1539"/>
      <c r="BU992" s="1539"/>
      <c r="BV992" s="1539"/>
      <c r="BW992" s="1539"/>
      <c r="BX992" s="1539"/>
      <c r="BY992" s="1539"/>
      <c r="BZ992" s="1539"/>
      <c r="CA992" s="1539"/>
      <c r="CB992" s="1539"/>
      <c r="CC992" s="1539"/>
      <c r="CD992" s="1539"/>
      <c r="CE992" s="1539"/>
      <c r="CF992" s="1539"/>
      <c r="CG992" s="1539"/>
      <c r="CH992" s="1539"/>
      <c r="CI992" s="1539"/>
      <c r="CJ992" s="1539"/>
      <c r="CK992" s="1539"/>
      <c r="CL992" s="1539"/>
      <c r="CM992" s="1539"/>
      <c r="CN992" s="1539"/>
      <c r="CO992" s="1539"/>
    </row>
    <row r="993" spans="1:93" s="1542" customFormat="1" ht="15.5">
      <c r="A993" s="1598" t="s">
        <v>1102</v>
      </c>
      <c r="B993" s="1599" t="s">
        <v>2738</v>
      </c>
      <c r="C993" s="1643" t="e">
        <f>+SUMIF(#REF!,Final!A993,#REF!)</f>
        <v>#REF!</v>
      </c>
      <c r="D993" s="1597" t="e">
        <f>+SUMIF(#REF!,Final!A993,#REF!)</f>
        <v>#REF!</v>
      </c>
      <c r="E993" s="1643" t="e">
        <f>SUMIF(#REF!,Final!A993,#REF!)</f>
        <v>#REF!</v>
      </c>
      <c r="F993" s="1644" t="e">
        <f>SUMIF(#REF!,Final!A993,#REF!)</f>
        <v>#REF!</v>
      </c>
      <c r="G993" s="1597" t="e">
        <f t="shared" si="92"/>
        <v>#REF!</v>
      </c>
      <c r="H993" s="1644" t="e">
        <f t="shared" si="93"/>
        <v>#REF!</v>
      </c>
      <c r="I993" s="1597" t="e">
        <f t="shared" si="94"/>
        <v>#REF!</v>
      </c>
      <c r="J993" s="1644" t="e">
        <f t="shared" si="95"/>
        <v>#REF!</v>
      </c>
      <c r="K993" s="1539"/>
      <c r="L993" s="1539"/>
      <c r="M993" s="1545"/>
      <c r="N993" s="1545"/>
      <c r="O993" s="1539"/>
      <c r="P993" s="1539"/>
      <c r="Q993" s="1539"/>
      <c r="R993" s="1539"/>
      <c r="S993" s="1539"/>
      <c r="T993" s="1539"/>
      <c r="U993" s="1539"/>
      <c r="V993" s="1539"/>
      <c r="W993" s="1539"/>
      <c r="X993" s="1539"/>
      <c r="Y993" s="1539"/>
      <c r="Z993" s="1539"/>
      <c r="AA993" s="1539"/>
      <c r="AB993" s="1539"/>
      <c r="AC993" s="1539"/>
      <c r="AD993" s="1539"/>
      <c r="AE993" s="1539"/>
      <c r="AF993" s="1539"/>
      <c r="AG993" s="1539"/>
      <c r="AH993" s="1539"/>
      <c r="AI993" s="1539"/>
      <c r="AJ993" s="1539"/>
      <c r="AK993" s="1539"/>
      <c r="AL993" s="1539"/>
      <c r="AM993" s="1539"/>
      <c r="AN993" s="1539"/>
      <c r="AO993" s="1539"/>
      <c r="AP993" s="1539"/>
      <c r="AQ993" s="1539"/>
      <c r="AR993" s="1539"/>
      <c r="AS993" s="1539"/>
      <c r="AT993" s="1539"/>
      <c r="AU993" s="1539"/>
      <c r="AV993" s="1539"/>
      <c r="AW993" s="1539"/>
      <c r="AX993" s="1539"/>
      <c r="AY993" s="1539"/>
      <c r="AZ993" s="1539"/>
      <c r="BA993" s="1539"/>
      <c r="BB993" s="1539"/>
      <c r="BC993" s="1539"/>
      <c r="BD993" s="1539"/>
      <c r="BE993" s="1539"/>
      <c r="BF993" s="1539"/>
      <c r="BG993" s="1539"/>
      <c r="BH993" s="1539"/>
      <c r="BI993" s="1539"/>
      <c r="BJ993" s="1539"/>
      <c r="BK993" s="1539"/>
      <c r="BL993" s="1539"/>
      <c r="BM993" s="1539"/>
      <c r="BN993" s="1539"/>
      <c r="BO993" s="1539"/>
      <c r="BP993" s="1539"/>
      <c r="BQ993" s="1539"/>
      <c r="BR993" s="1539"/>
      <c r="BS993" s="1539"/>
      <c r="BT993" s="1539"/>
      <c r="BU993" s="1539"/>
      <c r="BV993" s="1539"/>
      <c r="BW993" s="1539"/>
      <c r="BX993" s="1539"/>
      <c r="BY993" s="1539"/>
      <c r="BZ993" s="1539"/>
      <c r="CA993" s="1539"/>
      <c r="CB993" s="1539"/>
      <c r="CC993" s="1539"/>
      <c r="CD993" s="1539"/>
      <c r="CE993" s="1539"/>
      <c r="CF993" s="1539"/>
      <c r="CG993" s="1539"/>
      <c r="CH993" s="1539"/>
      <c r="CI993" s="1539"/>
      <c r="CJ993" s="1539"/>
      <c r="CK993" s="1539"/>
      <c r="CL993" s="1539"/>
      <c r="CM993" s="1539"/>
      <c r="CN993" s="1539"/>
      <c r="CO993" s="1539"/>
    </row>
    <row r="994" spans="1:93" s="1542" customFormat="1" ht="15.5">
      <c r="A994" s="1598" t="s">
        <v>441</v>
      </c>
      <c r="B994" s="1599" t="s">
        <v>2745</v>
      </c>
      <c r="C994" s="1643" t="e">
        <f>+SUMIF(#REF!,Final!A994,#REF!)</f>
        <v>#REF!</v>
      </c>
      <c r="D994" s="1597" t="e">
        <f>+SUMIF(#REF!,Final!A994,#REF!)</f>
        <v>#REF!</v>
      </c>
      <c r="E994" s="1643" t="e">
        <f>SUMIF(#REF!,Final!A994,#REF!)</f>
        <v>#REF!</v>
      </c>
      <c r="F994" s="1644" t="e">
        <f>SUMIF(#REF!,Final!A994,#REF!)</f>
        <v>#REF!</v>
      </c>
      <c r="G994" s="1597" t="e">
        <f t="shared" si="92"/>
        <v>#REF!</v>
      </c>
      <c r="H994" s="1644" t="e">
        <f t="shared" si="93"/>
        <v>#REF!</v>
      </c>
      <c r="I994" s="1597" t="e">
        <f t="shared" si="94"/>
        <v>#REF!</v>
      </c>
      <c r="J994" s="1644" t="e">
        <f t="shared" si="95"/>
        <v>#REF!</v>
      </c>
      <c r="K994" s="1539"/>
      <c r="L994" s="1539"/>
      <c r="M994" s="1545"/>
      <c r="N994" s="1545"/>
      <c r="O994" s="1539"/>
      <c r="P994" s="1539"/>
      <c r="Q994" s="1539"/>
      <c r="R994" s="1539"/>
      <c r="S994" s="1539"/>
      <c r="T994" s="1539"/>
      <c r="U994" s="1539"/>
      <c r="V994" s="1539"/>
      <c r="W994" s="1539"/>
      <c r="X994" s="1539"/>
      <c r="Y994" s="1539"/>
      <c r="Z994" s="1539"/>
      <c r="AA994" s="1539"/>
      <c r="AB994" s="1539"/>
      <c r="AC994" s="1539"/>
      <c r="AD994" s="1539"/>
      <c r="AE994" s="1539"/>
      <c r="AF994" s="1539"/>
      <c r="AG994" s="1539"/>
      <c r="AH994" s="1539"/>
      <c r="AI994" s="1539"/>
      <c r="AJ994" s="1539"/>
      <c r="AK994" s="1539"/>
      <c r="AL994" s="1539"/>
      <c r="AM994" s="1539"/>
      <c r="AN994" s="1539"/>
      <c r="AO994" s="1539"/>
      <c r="AP994" s="1539"/>
      <c r="AQ994" s="1539"/>
      <c r="AR994" s="1539"/>
      <c r="AS994" s="1539"/>
      <c r="AT994" s="1539"/>
      <c r="AU994" s="1539"/>
      <c r="AV994" s="1539"/>
      <c r="AW994" s="1539"/>
      <c r="AX994" s="1539"/>
      <c r="AY994" s="1539"/>
      <c r="AZ994" s="1539"/>
      <c r="BA994" s="1539"/>
      <c r="BB994" s="1539"/>
      <c r="BC994" s="1539"/>
      <c r="BD994" s="1539"/>
      <c r="BE994" s="1539"/>
      <c r="BF994" s="1539"/>
      <c r="BG994" s="1539"/>
      <c r="BH994" s="1539"/>
      <c r="BI994" s="1539"/>
      <c r="BJ994" s="1539"/>
      <c r="BK994" s="1539"/>
      <c r="BL994" s="1539"/>
      <c r="BM994" s="1539"/>
      <c r="BN994" s="1539"/>
      <c r="BO994" s="1539"/>
      <c r="BP994" s="1539"/>
      <c r="BQ994" s="1539"/>
      <c r="BR994" s="1539"/>
      <c r="BS994" s="1539"/>
      <c r="BT994" s="1539"/>
      <c r="BU994" s="1539"/>
      <c r="BV994" s="1539"/>
      <c r="BW994" s="1539"/>
      <c r="BX994" s="1539"/>
      <c r="BY994" s="1539"/>
      <c r="BZ994" s="1539"/>
      <c r="CA994" s="1539"/>
      <c r="CB994" s="1539"/>
      <c r="CC994" s="1539"/>
      <c r="CD994" s="1539"/>
      <c r="CE994" s="1539"/>
      <c r="CF994" s="1539"/>
      <c r="CG994" s="1539"/>
      <c r="CH994" s="1539"/>
      <c r="CI994" s="1539"/>
      <c r="CJ994" s="1539"/>
      <c r="CK994" s="1539"/>
      <c r="CL994" s="1539"/>
      <c r="CM994" s="1539"/>
      <c r="CN994" s="1539"/>
      <c r="CO994" s="1539"/>
    </row>
    <row r="995" spans="1:93" s="1542" customFormat="1" ht="15.5">
      <c r="A995" s="1598">
        <v>23.300999999999998</v>
      </c>
      <c r="B995" s="1599" t="s">
        <v>666</v>
      </c>
      <c r="C995" s="1643" t="e">
        <f>+SUMIF(#REF!,Final!A995,#REF!)</f>
        <v>#REF!</v>
      </c>
      <c r="D995" s="1597" t="e">
        <f>+SUMIF(#REF!,Final!A995,#REF!)</f>
        <v>#REF!</v>
      </c>
      <c r="E995" s="1643" t="e">
        <f>SUMIF(#REF!,Final!A995,#REF!)</f>
        <v>#REF!</v>
      </c>
      <c r="F995" s="1644" t="e">
        <f>SUMIF(#REF!,Final!A995,#REF!)</f>
        <v>#REF!</v>
      </c>
      <c r="G995" s="1597" t="e">
        <f t="shared" si="92"/>
        <v>#REF!</v>
      </c>
      <c r="H995" s="1644" t="e">
        <f t="shared" si="93"/>
        <v>#REF!</v>
      </c>
      <c r="I995" s="1597" t="e">
        <f t="shared" si="94"/>
        <v>#REF!</v>
      </c>
      <c r="J995" s="1644" t="e">
        <f t="shared" si="95"/>
        <v>#REF!</v>
      </c>
      <c r="K995" s="1539"/>
      <c r="L995" s="1539"/>
      <c r="M995" s="1545"/>
      <c r="N995" s="1545"/>
      <c r="O995" s="1539"/>
      <c r="P995" s="1539"/>
      <c r="Q995" s="1539"/>
      <c r="R995" s="1539"/>
      <c r="S995" s="1539"/>
      <c r="T995" s="1539"/>
      <c r="U995" s="1539"/>
      <c r="V995" s="1539"/>
      <c r="W995" s="1539"/>
      <c r="X995" s="1539"/>
      <c r="Y995" s="1539"/>
      <c r="Z995" s="1539"/>
      <c r="AA995" s="1539"/>
      <c r="AB995" s="1539"/>
      <c r="AC995" s="1539"/>
      <c r="AD995" s="1539"/>
      <c r="AE995" s="1539"/>
      <c r="AF995" s="1539"/>
      <c r="AG995" s="1539"/>
      <c r="AH995" s="1539"/>
      <c r="AI995" s="1539"/>
      <c r="AJ995" s="1539"/>
      <c r="AK995" s="1539"/>
      <c r="AL995" s="1539"/>
      <c r="AM995" s="1539"/>
      <c r="AN995" s="1539"/>
      <c r="AO995" s="1539"/>
      <c r="AP995" s="1539"/>
      <c r="AQ995" s="1539"/>
      <c r="AR995" s="1539"/>
      <c r="AS995" s="1539"/>
      <c r="AT995" s="1539"/>
      <c r="AU995" s="1539"/>
      <c r="AV995" s="1539"/>
      <c r="AW995" s="1539"/>
      <c r="AX995" s="1539"/>
      <c r="AY995" s="1539"/>
      <c r="AZ995" s="1539"/>
      <c r="BA995" s="1539"/>
      <c r="BB995" s="1539"/>
      <c r="BC995" s="1539"/>
      <c r="BD995" s="1539"/>
      <c r="BE995" s="1539"/>
      <c r="BF995" s="1539"/>
      <c r="BG995" s="1539"/>
      <c r="BH995" s="1539"/>
      <c r="BI995" s="1539"/>
      <c r="BJ995" s="1539"/>
      <c r="BK995" s="1539"/>
      <c r="BL995" s="1539"/>
      <c r="BM995" s="1539"/>
      <c r="BN995" s="1539"/>
      <c r="BO995" s="1539"/>
      <c r="BP995" s="1539"/>
      <c r="BQ995" s="1539"/>
      <c r="BR995" s="1539"/>
      <c r="BS995" s="1539"/>
      <c r="BT995" s="1539"/>
      <c r="BU995" s="1539"/>
      <c r="BV995" s="1539"/>
      <c r="BW995" s="1539"/>
      <c r="BX995" s="1539"/>
      <c r="BY995" s="1539"/>
      <c r="BZ995" s="1539"/>
      <c r="CA995" s="1539"/>
      <c r="CB995" s="1539"/>
      <c r="CC995" s="1539"/>
      <c r="CD995" s="1539"/>
      <c r="CE995" s="1539"/>
      <c r="CF995" s="1539"/>
      <c r="CG995" s="1539"/>
      <c r="CH995" s="1539"/>
      <c r="CI995" s="1539"/>
      <c r="CJ995" s="1539"/>
      <c r="CK995" s="1539"/>
      <c r="CL995" s="1539"/>
      <c r="CM995" s="1539"/>
      <c r="CN995" s="1539"/>
      <c r="CO995" s="1539"/>
    </row>
    <row r="996" spans="1:93" ht="15.5">
      <c r="A996" s="1598">
        <v>23.302</v>
      </c>
      <c r="B996" s="1599" t="s">
        <v>1335</v>
      </c>
      <c r="C996" s="1643" t="e">
        <f>+SUMIF(#REF!,Final!A996,#REF!)</f>
        <v>#REF!</v>
      </c>
      <c r="D996" s="1597" t="e">
        <f>+SUMIF(#REF!,Final!A996,#REF!)</f>
        <v>#REF!</v>
      </c>
      <c r="E996" s="1643" t="e">
        <f>SUMIF(#REF!,Final!A996,#REF!)</f>
        <v>#REF!</v>
      </c>
      <c r="F996" s="1644" t="e">
        <f>SUMIF(#REF!,Final!A996,#REF!)</f>
        <v>#REF!</v>
      </c>
      <c r="G996" s="1597" t="e">
        <f t="shared" si="92"/>
        <v>#REF!</v>
      </c>
      <c r="H996" s="1644" t="e">
        <f t="shared" si="93"/>
        <v>#REF!</v>
      </c>
      <c r="I996" s="1597" t="e">
        <f t="shared" si="94"/>
        <v>#REF!</v>
      </c>
      <c r="J996" s="1644" t="e">
        <f t="shared" si="95"/>
        <v>#REF!</v>
      </c>
      <c r="M996" s="1545"/>
      <c r="N996" s="1545"/>
    </row>
    <row r="997" spans="1:93" ht="15.5">
      <c r="A997" s="1598">
        <v>23.303000000000001</v>
      </c>
      <c r="B997" s="1599" t="s">
        <v>1899</v>
      </c>
      <c r="C997" s="1643" t="e">
        <f>+SUMIF(#REF!,Final!A997,#REF!)</f>
        <v>#REF!</v>
      </c>
      <c r="D997" s="1597" t="e">
        <f>+SUMIF(#REF!,Final!A997,#REF!)</f>
        <v>#REF!</v>
      </c>
      <c r="E997" s="1643" t="e">
        <f>SUMIF(#REF!,Final!A997,#REF!)</f>
        <v>#REF!</v>
      </c>
      <c r="F997" s="1644" t="e">
        <f>SUMIF(#REF!,Final!A997,#REF!)</f>
        <v>#REF!</v>
      </c>
      <c r="G997" s="1597" t="e">
        <f t="shared" si="92"/>
        <v>#REF!</v>
      </c>
      <c r="H997" s="1644" t="e">
        <f t="shared" si="93"/>
        <v>#REF!</v>
      </c>
      <c r="I997" s="1597" t="e">
        <f t="shared" si="94"/>
        <v>#REF!</v>
      </c>
      <c r="J997" s="1644" t="e">
        <f t="shared" si="95"/>
        <v>#REF!</v>
      </c>
      <c r="M997" s="1545"/>
      <c r="N997" s="1545"/>
    </row>
    <row r="998" spans="1:93" ht="15.5">
      <c r="A998" s="1598">
        <v>23.303999999999998</v>
      </c>
      <c r="B998" s="1599" t="s">
        <v>1900</v>
      </c>
      <c r="C998" s="1643" t="e">
        <f>+SUMIF(#REF!,Final!A998,#REF!)</f>
        <v>#REF!</v>
      </c>
      <c r="D998" s="1597" t="e">
        <f>+SUMIF(#REF!,Final!A998,#REF!)</f>
        <v>#REF!</v>
      </c>
      <c r="E998" s="1643" t="e">
        <f>SUMIF(#REF!,Final!A998,#REF!)</f>
        <v>#REF!</v>
      </c>
      <c r="F998" s="1644" t="e">
        <f>SUMIF(#REF!,Final!A998,#REF!)</f>
        <v>#REF!</v>
      </c>
      <c r="G998" s="1597" t="e">
        <f t="shared" si="92"/>
        <v>#REF!</v>
      </c>
      <c r="H998" s="1644" t="e">
        <f t="shared" si="93"/>
        <v>#REF!</v>
      </c>
      <c r="I998" s="1597" t="e">
        <f t="shared" si="94"/>
        <v>#REF!</v>
      </c>
      <c r="J998" s="1644" t="e">
        <f t="shared" si="95"/>
        <v>#REF!</v>
      </c>
      <c r="M998" s="1545"/>
      <c r="N998" s="1545"/>
    </row>
    <row r="999" spans="1:93" ht="15.5">
      <c r="A999" s="1598">
        <v>23.305</v>
      </c>
      <c r="B999" s="1599" t="s">
        <v>890</v>
      </c>
      <c r="C999" s="1643" t="e">
        <f>+SUMIF(#REF!,Final!A999,#REF!)</f>
        <v>#REF!</v>
      </c>
      <c r="D999" s="1597" t="e">
        <f>+SUMIF(#REF!,Final!A999,#REF!)</f>
        <v>#REF!</v>
      </c>
      <c r="E999" s="1643" t="e">
        <f>SUMIF(#REF!,Final!A999,#REF!)</f>
        <v>#REF!</v>
      </c>
      <c r="F999" s="1644" t="e">
        <f>SUMIF(#REF!,Final!A999,#REF!)</f>
        <v>#REF!</v>
      </c>
      <c r="G999" s="1597" t="e">
        <f t="shared" si="92"/>
        <v>#REF!</v>
      </c>
      <c r="H999" s="1644" t="e">
        <f t="shared" si="93"/>
        <v>#REF!</v>
      </c>
      <c r="I999" s="1597" t="e">
        <f t="shared" si="94"/>
        <v>#REF!</v>
      </c>
      <c r="J999" s="1644" t="e">
        <f t="shared" si="95"/>
        <v>#REF!</v>
      </c>
      <c r="M999" s="1545"/>
      <c r="N999" s="1545"/>
    </row>
    <row r="1000" spans="1:93" ht="15.5">
      <c r="A1000" s="1598">
        <v>23.306000000000001</v>
      </c>
      <c r="B1000" s="1599" t="s">
        <v>892</v>
      </c>
      <c r="C1000" s="1643" t="e">
        <f>+SUMIF(#REF!,Final!A1000,#REF!)</f>
        <v>#REF!</v>
      </c>
      <c r="D1000" s="1597" t="e">
        <f>+SUMIF(#REF!,Final!A1000,#REF!)</f>
        <v>#REF!</v>
      </c>
      <c r="E1000" s="1643" t="e">
        <f>SUMIF(#REF!,Final!A1000,#REF!)</f>
        <v>#REF!</v>
      </c>
      <c r="F1000" s="1644" t="e">
        <f>SUMIF(#REF!,Final!A1000,#REF!)</f>
        <v>#REF!</v>
      </c>
      <c r="G1000" s="1597" t="e">
        <f t="shared" si="92"/>
        <v>#REF!</v>
      </c>
      <c r="H1000" s="1644" t="e">
        <f t="shared" si="93"/>
        <v>#REF!</v>
      </c>
      <c r="I1000" s="1597" t="e">
        <f t="shared" si="94"/>
        <v>#REF!</v>
      </c>
      <c r="J1000" s="1644" t="e">
        <f t="shared" si="95"/>
        <v>#REF!</v>
      </c>
      <c r="M1000" s="1545"/>
      <c r="N1000" s="1545"/>
    </row>
    <row r="1001" spans="1:93" ht="15.5">
      <c r="A1001" s="1598">
        <v>23.306999999999999</v>
      </c>
      <c r="B1001" s="1599" t="s">
        <v>893</v>
      </c>
      <c r="C1001" s="1643" t="e">
        <f>+SUMIF(#REF!,Final!A1001,#REF!)</f>
        <v>#REF!</v>
      </c>
      <c r="D1001" s="1597" t="e">
        <f>+SUMIF(#REF!,Final!A1001,#REF!)</f>
        <v>#REF!</v>
      </c>
      <c r="E1001" s="1643" t="e">
        <f>SUMIF(#REF!,Final!A1001,#REF!)</f>
        <v>#REF!</v>
      </c>
      <c r="F1001" s="1644" t="e">
        <f>SUMIF(#REF!,Final!A1001,#REF!)</f>
        <v>#REF!</v>
      </c>
      <c r="G1001" s="1597" t="e">
        <f t="shared" si="92"/>
        <v>#REF!</v>
      </c>
      <c r="H1001" s="1644" t="e">
        <f t="shared" si="93"/>
        <v>#REF!</v>
      </c>
      <c r="I1001" s="1597" t="e">
        <f t="shared" si="94"/>
        <v>#REF!</v>
      </c>
      <c r="J1001" s="1644" t="e">
        <f t="shared" si="95"/>
        <v>#REF!</v>
      </c>
      <c r="M1001" s="1545"/>
      <c r="N1001" s="1545"/>
    </row>
    <row r="1002" spans="1:93" ht="15.5">
      <c r="A1002" s="1598">
        <v>23.308</v>
      </c>
      <c r="B1002" s="1599" t="s">
        <v>539</v>
      </c>
      <c r="C1002" s="1643" t="e">
        <f>+SUMIF(#REF!,Final!A1002,#REF!)</f>
        <v>#REF!</v>
      </c>
      <c r="D1002" s="1597" t="e">
        <f>+SUMIF(#REF!,Final!A1002,#REF!)</f>
        <v>#REF!</v>
      </c>
      <c r="E1002" s="1643" t="e">
        <f>SUMIF(#REF!,Final!A1002,#REF!)</f>
        <v>#REF!</v>
      </c>
      <c r="F1002" s="1644" t="e">
        <f>SUMIF(#REF!,Final!A1002,#REF!)</f>
        <v>#REF!</v>
      </c>
      <c r="G1002" s="1597" t="e">
        <f t="shared" si="92"/>
        <v>#REF!</v>
      </c>
      <c r="H1002" s="1644" t="e">
        <f t="shared" si="93"/>
        <v>#REF!</v>
      </c>
      <c r="I1002" s="1597" t="e">
        <f t="shared" si="94"/>
        <v>#REF!</v>
      </c>
      <c r="J1002" s="1644" t="e">
        <f t="shared" si="95"/>
        <v>#REF!</v>
      </c>
      <c r="M1002" s="1545"/>
      <c r="N1002" s="1545"/>
    </row>
    <row r="1003" spans="1:93" ht="15.5">
      <c r="A1003" s="1598">
        <v>23.309000000000001</v>
      </c>
      <c r="B1003" s="1599" t="s">
        <v>540</v>
      </c>
      <c r="C1003" s="1643" t="e">
        <f>+SUMIF(#REF!,Final!A1003,#REF!)</f>
        <v>#REF!</v>
      </c>
      <c r="D1003" s="1597" t="e">
        <f>+SUMIF(#REF!,Final!A1003,#REF!)</f>
        <v>#REF!</v>
      </c>
      <c r="E1003" s="1643" t="e">
        <f>SUMIF(#REF!,Final!A1003,#REF!)</f>
        <v>#REF!</v>
      </c>
      <c r="F1003" s="1644" t="e">
        <f>SUMIF(#REF!,Final!A1003,#REF!)</f>
        <v>#REF!</v>
      </c>
      <c r="G1003" s="1597" t="e">
        <f t="shared" si="92"/>
        <v>#REF!</v>
      </c>
      <c r="H1003" s="1644" t="e">
        <f t="shared" si="93"/>
        <v>#REF!</v>
      </c>
      <c r="I1003" s="1597" t="e">
        <f t="shared" si="94"/>
        <v>#REF!</v>
      </c>
      <c r="J1003" s="1644" t="e">
        <f t="shared" si="95"/>
        <v>#REF!</v>
      </c>
      <c r="M1003" s="1545"/>
      <c r="N1003" s="1545"/>
    </row>
    <row r="1004" spans="1:93" ht="15.5">
      <c r="A1004" s="1598">
        <v>23.31</v>
      </c>
      <c r="B1004" s="1599" t="s">
        <v>1901</v>
      </c>
      <c r="C1004" s="1643" t="e">
        <f>+SUMIF(#REF!,Final!A1004,#REF!)</f>
        <v>#REF!</v>
      </c>
      <c r="D1004" s="1597" t="e">
        <f>+SUMIF(#REF!,Final!A1004,#REF!)</f>
        <v>#REF!</v>
      </c>
      <c r="E1004" s="1643" t="e">
        <f>SUMIF(#REF!,Final!A1004,#REF!)</f>
        <v>#REF!</v>
      </c>
      <c r="F1004" s="1644" t="e">
        <f>SUMIF(#REF!,Final!A1004,#REF!)</f>
        <v>#REF!</v>
      </c>
      <c r="G1004" s="1597" t="e">
        <f t="shared" si="92"/>
        <v>#REF!</v>
      </c>
      <c r="H1004" s="1644" t="e">
        <f t="shared" si="93"/>
        <v>#REF!</v>
      </c>
      <c r="I1004" s="1597" t="e">
        <f t="shared" si="94"/>
        <v>#REF!</v>
      </c>
      <c r="J1004" s="1644" t="e">
        <f t="shared" si="95"/>
        <v>#REF!</v>
      </c>
      <c r="M1004" s="1545"/>
      <c r="N1004" s="1545"/>
    </row>
    <row r="1005" spans="1:93" ht="15.5">
      <c r="A1005" s="1598">
        <v>23.311</v>
      </c>
      <c r="B1005" s="1599" t="s">
        <v>1902</v>
      </c>
      <c r="C1005" s="1643" t="e">
        <f>+SUMIF(#REF!,Final!A1005,#REF!)</f>
        <v>#REF!</v>
      </c>
      <c r="D1005" s="1597" t="e">
        <f>+SUMIF(#REF!,Final!A1005,#REF!)</f>
        <v>#REF!</v>
      </c>
      <c r="E1005" s="1643" t="e">
        <f>SUMIF(#REF!,Final!A1005,#REF!)</f>
        <v>#REF!</v>
      </c>
      <c r="F1005" s="1644" t="e">
        <f>SUMIF(#REF!,Final!A1005,#REF!)</f>
        <v>#REF!</v>
      </c>
      <c r="G1005" s="1597" t="e">
        <f t="shared" si="92"/>
        <v>#REF!</v>
      </c>
      <c r="H1005" s="1644" t="e">
        <f t="shared" si="93"/>
        <v>#REF!</v>
      </c>
      <c r="I1005" s="1597" t="e">
        <f t="shared" si="94"/>
        <v>#REF!</v>
      </c>
      <c r="J1005" s="1644" t="e">
        <f t="shared" si="95"/>
        <v>#REF!</v>
      </c>
      <c r="M1005" s="1545"/>
      <c r="N1005" s="1545"/>
    </row>
    <row r="1006" spans="1:93" ht="15.5">
      <c r="A1006" s="1598">
        <v>23.312000000000001</v>
      </c>
      <c r="B1006" s="1599" t="s">
        <v>2740</v>
      </c>
      <c r="C1006" s="1643" t="e">
        <f>+SUMIF(#REF!,Final!A1006,#REF!)</f>
        <v>#REF!</v>
      </c>
      <c r="D1006" s="1597" t="e">
        <f>+SUMIF(#REF!,Final!A1006,#REF!)</f>
        <v>#REF!</v>
      </c>
      <c r="E1006" s="1643" t="e">
        <f>SUMIF(#REF!,Final!A1006,#REF!)</f>
        <v>#REF!</v>
      </c>
      <c r="F1006" s="1644" t="e">
        <f>SUMIF(#REF!,Final!A1006,#REF!)</f>
        <v>#REF!</v>
      </c>
      <c r="G1006" s="1597" t="e">
        <f t="shared" si="92"/>
        <v>#REF!</v>
      </c>
      <c r="H1006" s="1644" t="e">
        <f t="shared" si="93"/>
        <v>#REF!</v>
      </c>
      <c r="I1006" s="1597" t="e">
        <f t="shared" si="94"/>
        <v>#REF!</v>
      </c>
      <c r="J1006" s="1644" t="e">
        <f t="shared" si="95"/>
        <v>#REF!</v>
      </c>
      <c r="M1006" s="1545"/>
      <c r="N1006" s="1545"/>
    </row>
    <row r="1007" spans="1:93" ht="15.5">
      <c r="A1007" s="1598">
        <v>23.312999999999999</v>
      </c>
      <c r="B1007" s="1599" t="s">
        <v>2741</v>
      </c>
      <c r="C1007" s="1643" t="e">
        <f>+SUMIF(#REF!,Final!A1007,#REF!)</f>
        <v>#REF!</v>
      </c>
      <c r="D1007" s="1597" t="e">
        <f>+SUMIF(#REF!,Final!A1007,#REF!)</f>
        <v>#REF!</v>
      </c>
      <c r="E1007" s="1643" t="e">
        <f>SUMIF(#REF!,Final!A1007,#REF!)</f>
        <v>#REF!</v>
      </c>
      <c r="F1007" s="1644" t="e">
        <f>SUMIF(#REF!,Final!A1007,#REF!)</f>
        <v>#REF!</v>
      </c>
      <c r="G1007" s="1597" t="e">
        <f t="shared" si="92"/>
        <v>#REF!</v>
      </c>
      <c r="H1007" s="1644" t="e">
        <f t="shared" si="93"/>
        <v>#REF!</v>
      </c>
      <c r="I1007" s="1597" t="e">
        <f t="shared" si="94"/>
        <v>#REF!</v>
      </c>
      <c r="J1007" s="1644" t="e">
        <f t="shared" si="95"/>
        <v>#REF!</v>
      </c>
      <c r="M1007" s="1545"/>
      <c r="N1007" s="1545"/>
    </row>
    <row r="1008" spans="1:93" ht="15.5">
      <c r="A1008" s="1598">
        <v>23.314</v>
      </c>
      <c r="B1008" s="1599" t="s">
        <v>2742</v>
      </c>
      <c r="C1008" s="1643" t="e">
        <f>+SUMIF(#REF!,Final!A1008,#REF!)</f>
        <v>#REF!</v>
      </c>
      <c r="D1008" s="1597" t="e">
        <f>+SUMIF(#REF!,Final!A1008,#REF!)</f>
        <v>#REF!</v>
      </c>
      <c r="E1008" s="1643" t="e">
        <f>SUMIF(#REF!,Final!A1008,#REF!)</f>
        <v>#REF!</v>
      </c>
      <c r="F1008" s="1644" t="e">
        <f>SUMIF(#REF!,Final!A1008,#REF!)</f>
        <v>#REF!</v>
      </c>
      <c r="G1008" s="1597" t="e">
        <f t="shared" si="92"/>
        <v>#REF!</v>
      </c>
      <c r="H1008" s="1644" t="e">
        <f t="shared" si="93"/>
        <v>#REF!</v>
      </c>
      <c r="I1008" s="1597" t="e">
        <f t="shared" si="94"/>
        <v>#REF!</v>
      </c>
      <c r="J1008" s="1644" t="e">
        <f t="shared" si="95"/>
        <v>#REF!</v>
      </c>
      <c r="M1008" s="1545"/>
      <c r="N1008" s="1545"/>
    </row>
    <row r="1009" spans="1:93" ht="15.5">
      <c r="A1009" s="1598">
        <v>23.315000000000001</v>
      </c>
      <c r="B1009" s="1599" t="s">
        <v>669</v>
      </c>
      <c r="C1009" s="1643" t="e">
        <f>+SUMIF(#REF!,Final!A1009,#REF!)</f>
        <v>#REF!</v>
      </c>
      <c r="D1009" s="1597" t="e">
        <f>+SUMIF(#REF!,Final!A1009,#REF!)</f>
        <v>#REF!</v>
      </c>
      <c r="E1009" s="1643" t="e">
        <f>SUMIF(#REF!,Final!A1009,#REF!)</f>
        <v>#REF!</v>
      </c>
      <c r="F1009" s="1644" t="e">
        <f>SUMIF(#REF!,Final!A1009,#REF!)</f>
        <v>#REF!</v>
      </c>
      <c r="G1009" s="1597" t="e">
        <f t="shared" si="92"/>
        <v>#REF!</v>
      </c>
      <c r="H1009" s="1644" t="e">
        <f t="shared" si="93"/>
        <v>#REF!</v>
      </c>
      <c r="I1009" s="1597" t="e">
        <f t="shared" si="94"/>
        <v>#REF!</v>
      </c>
      <c r="J1009" s="1644" t="e">
        <f t="shared" si="95"/>
        <v>#REF!</v>
      </c>
      <c r="M1009" s="1545"/>
      <c r="N1009" s="1545"/>
    </row>
    <row r="1010" spans="1:93" s="1543" customFormat="1" ht="15.5">
      <c r="A1010" s="1598">
        <v>23.315999999999999</v>
      </c>
      <c r="B1010" s="1599" t="s">
        <v>423</v>
      </c>
      <c r="C1010" s="1643" t="e">
        <f>+SUMIF(#REF!,Final!A1010,#REF!)</f>
        <v>#REF!</v>
      </c>
      <c r="D1010" s="1597" t="e">
        <f>+SUMIF(#REF!,Final!A1010,#REF!)</f>
        <v>#REF!</v>
      </c>
      <c r="E1010" s="1643" t="e">
        <f>SUMIF(#REF!,Final!A1010,#REF!)</f>
        <v>#REF!</v>
      </c>
      <c r="F1010" s="1644" t="e">
        <f>SUMIF(#REF!,Final!A1010,#REF!)</f>
        <v>#REF!</v>
      </c>
      <c r="G1010" s="1597" t="e">
        <f t="shared" si="92"/>
        <v>#REF!</v>
      </c>
      <c r="H1010" s="1644" t="e">
        <f t="shared" si="93"/>
        <v>#REF!</v>
      </c>
      <c r="I1010" s="1597" t="e">
        <f t="shared" si="94"/>
        <v>#REF!</v>
      </c>
      <c r="J1010" s="1644" t="e">
        <f t="shared" si="95"/>
        <v>#REF!</v>
      </c>
      <c r="K1010" s="1539"/>
      <c r="L1010" s="1539"/>
      <c r="M1010" s="1545"/>
      <c r="N1010" s="1545"/>
      <c r="O1010" s="1539"/>
      <c r="P1010" s="1539"/>
      <c r="Q1010" s="1539"/>
      <c r="R1010" s="1539"/>
      <c r="S1010" s="1539"/>
      <c r="T1010" s="1539"/>
      <c r="U1010" s="1539"/>
      <c r="V1010" s="1539"/>
      <c r="W1010" s="1539"/>
      <c r="X1010" s="1539"/>
      <c r="Y1010" s="1539"/>
      <c r="Z1010" s="1539"/>
      <c r="AA1010" s="1539"/>
      <c r="AB1010" s="1539"/>
      <c r="AC1010" s="1539"/>
      <c r="AD1010" s="1539"/>
      <c r="AE1010" s="1539"/>
      <c r="AF1010" s="1539"/>
      <c r="AG1010" s="1539"/>
      <c r="AH1010" s="1539"/>
      <c r="AI1010" s="1539"/>
      <c r="AJ1010" s="1539"/>
      <c r="AK1010" s="1539"/>
      <c r="AL1010" s="1539"/>
      <c r="AM1010" s="1539"/>
      <c r="AN1010" s="1539"/>
      <c r="AO1010" s="1539"/>
      <c r="AP1010" s="1539"/>
      <c r="AQ1010" s="1539"/>
      <c r="AR1010" s="1539"/>
      <c r="AS1010" s="1539"/>
      <c r="AT1010" s="1539"/>
      <c r="AU1010" s="1539"/>
      <c r="AV1010" s="1539"/>
      <c r="AW1010" s="1539"/>
      <c r="AX1010" s="1539"/>
      <c r="AY1010" s="1539"/>
      <c r="AZ1010" s="1539"/>
      <c r="BA1010" s="1539"/>
      <c r="BB1010" s="1539"/>
      <c r="BC1010" s="1539"/>
      <c r="BD1010" s="1539"/>
      <c r="BE1010" s="1539"/>
      <c r="BF1010" s="1539"/>
      <c r="BG1010" s="1539"/>
      <c r="BH1010" s="1539"/>
      <c r="BI1010" s="1539"/>
      <c r="BJ1010" s="1539"/>
      <c r="BK1010" s="1539"/>
      <c r="BL1010" s="1539"/>
      <c r="BM1010" s="1539"/>
      <c r="BN1010" s="1539"/>
      <c r="BO1010" s="1539"/>
      <c r="BP1010" s="1539"/>
      <c r="BQ1010" s="1539"/>
      <c r="BR1010" s="1539"/>
      <c r="BS1010" s="1539"/>
      <c r="BT1010" s="1539"/>
      <c r="BU1010" s="1539"/>
      <c r="BV1010" s="1539"/>
      <c r="BW1010" s="1539"/>
      <c r="BX1010" s="1539"/>
      <c r="BY1010" s="1539"/>
      <c r="BZ1010" s="1539"/>
      <c r="CA1010" s="1539"/>
      <c r="CB1010" s="1539"/>
      <c r="CC1010" s="1539"/>
      <c r="CD1010" s="1539"/>
      <c r="CE1010" s="1539"/>
      <c r="CF1010" s="1539"/>
      <c r="CG1010" s="1539"/>
      <c r="CH1010" s="1539"/>
      <c r="CI1010" s="1539"/>
      <c r="CJ1010" s="1539"/>
      <c r="CK1010" s="1539"/>
      <c r="CL1010" s="1539"/>
      <c r="CM1010" s="1539"/>
      <c r="CN1010" s="1539"/>
      <c r="CO1010" s="1539"/>
    </row>
    <row r="1011" spans="1:93" s="1543" customFormat="1" ht="15.5">
      <c r="A1011" s="1598">
        <v>23.317</v>
      </c>
      <c r="B1011" s="1599" t="s">
        <v>1905</v>
      </c>
      <c r="C1011" s="1643" t="e">
        <f>+SUMIF(#REF!,Final!A1011,#REF!)</f>
        <v>#REF!</v>
      </c>
      <c r="D1011" s="1597" t="e">
        <f>+SUMIF(#REF!,Final!A1011,#REF!)</f>
        <v>#REF!</v>
      </c>
      <c r="E1011" s="1643" t="e">
        <f>SUMIF(#REF!,Final!A1011,#REF!)</f>
        <v>#REF!</v>
      </c>
      <c r="F1011" s="1644" t="e">
        <f>SUMIF(#REF!,Final!A1011,#REF!)</f>
        <v>#REF!</v>
      </c>
      <c r="G1011" s="1597" t="e">
        <f t="shared" si="92"/>
        <v>#REF!</v>
      </c>
      <c r="H1011" s="1644" t="e">
        <f t="shared" si="93"/>
        <v>#REF!</v>
      </c>
      <c r="I1011" s="1597" t="e">
        <f t="shared" si="94"/>
        <v>#REF!</v>
      </c>
      <c r="J1011" s="1644" t="e">
        <f t="shared" si="95"/>
        <v>#REF!</v>
      </c>
      <c r="K1011" s="1539"/>
      <c r="L1011" s="1539"/>
      <c r="M1011" s="1545"/>
      <c r="N1011" s="1545"/>
      <c r="O1011" s="1539"/>
      <c r="P1011" s="1539"/>
      <c r="Q1011" s="1539"/>
      <c r="R1011" s="1539"/>
      <c r="S1011" s="1539"/>
      <c r="T1011" s="1539"/>
      <c r="U1011" s="1539"/>
      <c r="V1011" s="1539"/>
      <c r="W1011" s="1539"/>
      <c r="X1011" s="1539"/>
      <c r="Y1011" s="1539"/>
      <c r="Z1011" s="1539"/>
      <c r="AA1011" s="1539"/>
      <c r="AB1011" s="1539"/>
      <c r="AC1011" s="1539"/>
      <c r="AD1011" s="1539"/>
      <c r="AE1011" s="1539"/>
      <c r="AF1011" s="1539"/>
      <c r="AG1011" s="1539"/>
      <c r="AH1011" s="1539"/>
      <c r="AI1011" s="1539"/>
      <c r="AJ1011" s="1539"/>
      <c r="AK1011" s="1539"/>
      <c r="AL1011" s="1539"/>
      <c r="AM1011" s="1539"/>
      <c r="AN1011" s="1539"/>
      <c r="AO1011" s="1539"/>
      <c r="AP1011" s="1539"/>
      <c r="AQ1011" s="1539"/>
      <c r="AR1011" s="1539"/>
      <c r="AS1011" s="1539"/>
      <c r="AT1011" s="1539"/>
      <c r="AU1011" s="1539"/>
      <c r="AV1011" s="1539"/>
      <c r="AW1011" s="1539"/>
      <c r="AX1011" s="1539"/>
      <c r="AY1011" s="1539"/>
      <c r="AZ1011" s="1539"/>
      <c r="BA1011" s="1539"/>
      <c r="BB1011" s="1539"/>
      <c r="BC1011" s="1539"/>
      <c r="BD1011" s="1539"/>
      <c r="BE1011" s="1539"/>
      <c r="BF1011" s="1539"/>
      <c r="BG1011" s="1539"/>
      <c r="BH1011" s="1539"/>
      <c r="BI1011" s="1539"/>
      <c r="BJ1011" s="1539"/>
      <c r="BK1011" s="1539"/>
      <c r="BL1011" s="1539"/>
      <c r="BM1011" s="1539"/>
      <c r="BN1011" s="1539"/>
      <c r="BO1011" s="1539"/>
      <c r="BP1011" s="1539"/>
      <c r="BQ1011" s="1539"/>
      <c r="BR1011" s="1539"/>
      <c r="BS1011" s="1539"/>
      <c r="BT1011" s="1539"/>
      <c r="BU1011" s="1539"/>
      <c r="BV1011" s="1539"/>
      <c r="BW1011" s="1539"/>
      <c r="BX1011" s="1539"/>
      <c r="BY1011" s="1539"/>
      <c r="BZ1011" s="1539"/>
      <c r="CA1011" s="1539"/>
      <c r="CB1011" s="1539"/>
      <c r="CC1011" s="1539"/>
      <c r="CD1011" s="1539"/>
      <c r="CE1011" s="1539"/>
      <c r="CF1011" s="1539"/>
      <c r="CG1011" s="1539"/>
      <c r="CH1011" s="1539"/>
      <c r="CI1011" s="1539"/>
      <c r="CJ1011" s="1539"/>
      <c r="CK1011" s="1539"/>
      <c r="CL1011" s="1539"/>
      <c r="CM1011" s="1539"/>
      <c r="CN1011" s="1539"/>
      <c r="CO1011" s="1539"/>
    </row>
    <row r="1012" spans="1:93" s="1552" customFormat="1" ht="15.5">
      <c r="A1012" s="1598"/>
      <c r="B1012" s="1599" t="s">
        <v>1747</v>
      </c>
      <c r="C1012" s="1643" t="e">
        <f>+SUMIF(#REF!,Final!A1012,#REF!)</f>
        <v>#REF!</v>
      </c>
      <c r="D1012" s="1597" t="e">
        <f>+SUMIF(#REF!,Final!A1012,#REF!)</f>
        <v>#REF!</v>
      </c>
      <c r="E1012" s="1643" t="e">
        <f>SUMIF(#REF!,Final!A1012,#REF!)</f>
        <v>#REF!</v>
      </c>
      <c r="F1012" s="1644" t="e">
        <f>SUMIF(#REF!,Final!A1012,#REF!)</f>
        <v>#REF!</v>
      </c>
      <c r="G1012" s="1597" t="e">
        <f t="shared" si="92"/>
        <v>#REF!</v>
      </c>
      <c r="H1012" s="1644" t="e">
        <f t="shared" si="93"/>
        <v>#REF!</v>
      </c>
      <c r="I1012" s="1597" t="e">
        <f t="shared" si="94"/>
        <v>#REF!</v>
      </c>
      <c r="J1012" s="1644" t="e">
        <f t="shared" si="95"/>
        <v>#REF!</v>
      </c>
      <c r="K1012" s="1539"/>
      <c r="L1012" s="1539"/>
      <c r="M1012" s="1545"/>
      <c r="N1012" s="1545"/>
      <c r="O1012" s="1539"/>
      <c r="P1012" s="1539"/>
      <c r="Q1012" s="1539"/>
      <c r="R1012" s="1539"/>
      <c r="S1012" s="1539"/>
      <c r="T1012" s="1539"/>
      <c r="U1012" s="1539"/>
      <c r="V1012" s="1539"/>
      <c r="W1012" s="1539"/>
      <c r="X1012" s="1539"/>
      <c r="Y1012" s="1539"/>
      <c r="Z1012" s="1539"/>
      <c r="AA1012" s="1539"/>
      <c r="AB1012" s="1539"/>
      <c r="AC1012" s="1539"/>
      <c r="AD1012" s="1539"/>
      <c r="AE1012" s="1539"/>
      <c r="AF1012" s="1539"/>
      <c r="AG1012" s="1539"/>
      <c r="AH1012" s="1539"/>
      <c r="AI1012" s="1539"/>
      <c r="AJ1012" s="1539"/>
      <c r="AK1012" s="1539"/>
      <c r="AL1012" s="1539"/>
      <c r="AM1012" s="1539"/>
      <c r="AN1012" s="1539"/>
      <c r="AO1012" s="1539"/>
      <c r="AP1012" s="1539"/>
      <c r="AQ1012" s="1539"/>
      <c r="AR1012" s="1539"/>
      <c r="AS1012" s="1539"/>
      <c r="AT1012" s="1539"/>
      <c r="AU1012" s="1539"/>
      <c r="AV1012" s="1539"/>
      <c r="AW1012" s="1539"/>
      <c r="AX1012" s="1539"/>
      <c r="AY1012" s="1539"/>
      <c r="AZ1012" s="1539"/>
      <c r="BA1012" s="1539"/>
      <c r="BB1012" s="1539"/>
      <c r="BC1012" s="1539"/>
      <c r="BD1012" s="1539"/>
      <c r="BE1012" s="1539"/>
      <c r="BF1012" s="1539"/>
      <c r="BG1012" s="1539"/>
      <c r="BH1012" s="1539"/>
      <c r="BI1012" s="1539"/>
      <c r="BJ1012" s="1539"/>
      <c r="BK1012" s="1539"/>
      <c r="BL1012" s="1539"/>
      <c r="BM1012" s="1539"/>
      <c r="BN1012" s="1539"/>
      <c r="BO1012" s="1539"/>
      <c r="BP1012" s="1539"/>
      <c r="BQ1012" s="1539"/>
      <c r="BR1012" s="1539"/>
      <c r="BS1012" s="1539"/>
      <c r="BT1012" s="1539"/>
      <c r="BU1012" s="1539"/>
      <c r="BV1012" s="1539"/>
      <c r="BW1012" s="1539"/>
      <c r="BX1012" s="1539"/>
      <c r="BY1012" s="1539"/>
      <c r="BZ1012" s="1539"/>
      <c r="CA1012" s="1539"/>
      <c r="CB1012" s="1539"/>
      <c r="CC1012" s="1539"/>
      <c r="CD1012" s="1539"/>
      <c r="CE1012" s="1539"/>
      <c r="CF1012" s="1539"/>
      <c r="CG1012" s="1539"/>
      <c r="CH1012" s="1539"/>
      <c r="CI1012" s="1539"/>
      <c r="CJ1012" s="1539"/>
      <c r="CK1012" s="1539"/>
      <c r="CL1012" s="1539"/>
      <c r="CM1012" s="1539"/>
      <c r="CN1012" s="1539"/>
      <c r="CO1012" s="1539"/>
    </row>
    <row r="1013" spans="1:93" s="1552" customFormat="1" ht="15.5">
      <c r="A1013" s="1598"/>
      <c r="B1013" s="1599" t="s">
        <v>1760</v>
      </c>
      <c r="C1013" s="1643" t="e">
        <f>+SUMIF(#REF!,Final!A1013,#REF!)</f>
        <v>#REF!</v>
      </c>
      <c r="D1013" s="1597" t="e">
        <f>+SUMIF(#REF!,Final!A1013,#REF!)</f>
        <v>#REF!</v>
      </c>
      <c r="E1013" s="1643" t="e">
        <f>SUMIF(#REF!,Final!A1013,#REF!)</f>
        <v>#REF!</v>
      </c>
      <c r="F1013" s="1644" t="e">
        <f>SUMIF(#REF!,Final!A1013,#REF!)</f>
        <v>#REF!</v>
      </c>
      <c r="G1013" s="1597" t="e">
        <f t="shared" si="92"/>
        <v>#REF!</v>
      </c>
      <c r="H1013" s="1644" t="e">
        <f t="shared" si="93"/>
        <v>#REF!</v>
      </c>
      <c r="I1013" s="1597" t="e">
        <f t="shared" si="94"/>
        <v>#REF!</v>
      </c>
      <c r="J1013" s="1644" t="e">
        <f t="shared" si="95"/>
        <v>#REF!</v>
      </c>
      <c r="K1013" s="1539"/>
      <c r="L1013" s="1539"/>
      <c r="M1013" s="1545"/>
      <c r="N1013" s="1545"/>
      <c r="O1013" s="1539"/>
      <c r="P1013" s="1539"/>
      <c r="Q1013" s="1539"/>
      <c r="R1013" s="1539"/>
      <c r="S1013" s="1539"/>
      <c r="T1013" s="1539"/>
      <c r="U1013" s="1539"/>
      <c r="V1013" s="1539"/>
      <c r="W1013" s="1539"/>
      <c r="X1013" s="1539"/>
      <c r="Y1013" s="1539"/>
      <c r="Z1013" s="1539"/>
      <c r="AA1013" s="1539"/>
      <c r="AB1013" s="1539"/>
      <c r="AC1013" s="1539"/>
      <c r="AD1013" s="1539"/>
      <c r="AE1013" s="1539"/>
      <c r="AF1013" s="1539"/>
      <c r="AG1013" s="1539"/>
      <c r="AH1013" s="1539"/>
      <c r="AI1013" s="1539"/>
      <c r="AJ1013" s="1539"/>
      <c r="AK1013" s="1539"/>
      <c r="AL1013" s="1539"/>
      <c r="AM1013" s="1539"/>
      <c r="AN1013" s="1539"/>
      <c r="AO1013" s="1539"/>
      <c r="AP1013" s="1539"/>
      <c r="AQ1013" s="1539"/>
      <c r="AR1013" s="1539"/>
      <c r="AS1013" s="1539"/>
      <c r="AT1013" s="1539"/>
      <c r="AU1013" s="1539"/>
      <c r="AV1013" s="1539"/>
      <c r="AW1013" s="1539"/>
      <c r="AX1013" s="1539"/>
      <c r="AY1013" s="1539"/>
      <c r="AZ1013" s="1539"/>
      <c r="BA1013" s="1539"/>
      <c r="BB1013" s="1539"/>
      <c r="BC1013" s="1539"/>
      <c r="BD1013" s="1539"/>
      <c r="BE1013" s="1539"/>
      <c r="BF1013" s="1539"/>
      <c r="BG1013" s="1539"/>
      <c r="BH1013" s="1539"/>
      <c r="BI1013" s="1539"/>
      <c r="BJ1013" s="1539"/>
      <c r="BK1013" s="1539"/>
      <c r="BL1013" s="1539"/>
      <c r="BM1013" s="1539"/>
      <c r="BN1013" s="1539"/>
      <c r="BO1013" s="1539"/>
      <c r="BP1013" s="1539"/>
      <c r="BQ1013" s="1539"/>
      <c r="BR1013" s="1539"/>
      <c r="BS1013" s="1539"/>
      <c r="BT1013" s="1539"/>
      <c r="BU1013" s="1539"/>
      <c r="BV1013" s="1539"/>
      <c r="BW1013" s="1539"/>
      <c r="BX1013" s="1539"/>
      <c r="BY1013" s="1539"/>
      <c r="BZ1013" s="1539"/>
      <c r="CA1013" s="1539"/>
      <c r="CB1013" s="1539"/>
      <c r="CC1013" s="1539"/>
      <c r="CD1013" s="1539"/>
      <c r="CE1013" s="1539"/>
      <c r="CF1013" s="1539"/>
      <c r="CG1013" s="1539"/>
      <c r="CH1013" s="1539"/>
      <c r="CI1013" s="1539"/>
      <c r="CJ1013" s="1539"/>
      <c r="CK1013" s="1539"/>
      <c r="CL1013" s="1539"/>
      <c r="CM1013" s="1539"/>
      <c r="CN1013" s="1539"/>
      <c r="CO1013" s="1539"/>
    </row>
    <row r="1014" spans="1:93" s="1542" customFormat="1" ht="15.5">
      <c r="A1014" s="1598" t="s">
        <v>544</v>
      </c>
      <c r="B1014" s="1599" t="s">
        <v>2743</v>
      </c>
      <c r="C1014" s="1643" t="e">
        <f>+SUMIF(#REF!,Final!A1014,#REF!)</f>
        <v>#REF!</v>
      </c>
      <c r="D1014" s="1597" t="e">
        <f>+SUMIF(#REF!,Final!A1014,#REF!)</f>
        <v>#REF!</v>
      </c>
      <c r="E1014" s="1643" t="e">
        <f>SUMIF(#REF!,Final!A1014,#REF!)</f>
        <v>#REF!</v>
      </c>
      <c r="F1014" s="1644" t="e">
        <f>SUMIF(#REF!,Final!A1014,#REF!)</f>
        <v>#REF!</v>
      </c>
      <c r="G1014" s="1597" t="e">
        <f t="shared" si="92"/>
        <v>#REF!</v>
      </c>
      <c r="H1014" s="1644" t="e">
        <f t="shared" si="93"/>
        <v>#REF!</v>
      </c>
      <c r="I1014" s="1597" t="e">
        <f t="shared" si="94"/>
        <v>#REF!</v>
      </c>
      <c r="J1014" s="1644" t="e">
        <f t="shared" si="95"/>
        <v>#REF!</v>
      </c>
      <c r="K1014" s="1539"/>
      <c r="L1014" s="1539"/>
      <c r="M1014" s="1545"/>
      <c r="N1014" s="1545"/>
      <c r="O1014" s="1539"/>
      <c r="P1014" s="1539"/>
      <c r="Q1014" s="1539"/>
      <c r="R1014" s="1539"/>
      <c r="S1014" s="1539"/>
      <c r="T1014" s="1539"/>
      <c r="U1014" s="1539"/>
      <c r="V1014" s="1539"/>
      <c r="W1014" s="1539"/>
      <c r="X1014" s="1539"/>
      <c r="Y1014" s="1539"/>
      <c r="Z1014" s="1539"/>
      <c r="AA1014" s="1539"/>
      <c r="AB1014" s="1539"/>
      <c r="AC1014" s="1539"/>
      <c r="AD1014" s="1539"/>
      <c r="AE1014" s="1539"/>
      <c r="AF1014" s="1539"/>
      <c r="AG1014" s="1539"/>
      <c r="AH1014" s="1539"/>
      <c r="AI1014" s="1539"/>
      <c r="AJ1014" s="1539"/>
      <c r="AK1014" s="1539"/>
      <c r="AL1014" s="1539"/>
      <c r="AM1014" s="1539"/>
      <c r="AN1014" s="1539"/>
      <c r="AO1014" s="1539"/>
      <c r="AP1014" s="1539"/>
      <c r="AQ1014" s="1539"/>
      <c r="AR1014" s="1539"/>
      <c r="AS1014" s="1539"/>
      <c r="AT1014" s="1539"/>
      <c r="AU1014" s="1539"/>
      <c r="AV1014" s="1539"/>
      <c r="AW1014" s="1539"/>
      <c r="AX1014" s="1539"/>
      <c r="AY1014" s="1539"/>
      <c r="AZ1014" s="1539"/>
      <c r="BA1014" s="1539"/>
      <c r="BB1014" s="1539"/>
      <c r="BC1014" s="1539"/>
      <c r="BD1014" s="1539"/>
      <c r="BE1014" s="1539"/>
      <c r="BF1014" s="1539"/>
      <c r="BG1014" s="1539"/>
      <c r="BH1014" s="1539"/>
      <c r="BI1014" s="1539"/>
      <c r="BJ1014" s="1539"/>
      <c r="BK1014" s="1539"/>
      <c r="BL1014" s="1539"/>
      <c r="BM1014" s="1539"/>
      <c r="BN1014" s="1539"/>
      <c r="BO1014" s="1539"/>
      <c r="BP1014" s="1539"/>
      <c r="BQ1014" s="1539"/>
      <c r="BR1014" s="1539"/>
      <c r="BS1014" s="1539"/>
      <c r="BT1014" s="1539"/>
      <c r="BU1014" s="1539"/>
      <c r="BV1014" s="1539"/>
      <c r="BW1014" s="1539"/>
      <c r="BX1014" s="1539"/>
      <c r="BY1014" s="1539"/>
      <c r="BZ1014" s="1539"/>
      <c r="CA1014" s="1539"/>
      <c r="CB1014" s="1539"/>
      <c r="CC1014" s="1539"/>
      <c r="CD1014" s="1539"/>
      <c r="CE1014" s="1539"/>
      <c r="CF1014" s="1539"/>
      <c r="CG1014" s="1539"/>
      <c r="CH1014" s="1539"/>
      <c r="CI1014" s="1539"/>
      <c r="CJ1014" s="1539"/>
      <c r="CK1014" s="1539"/>
      <c r="CL1014" s="1539"/>
      <c r="CM1014" s="1539"/>
      <c r="CN1014" s="1539"/>
      <c r="CO1014" s="1539"/>
    </row>
    <row r="1015" spans="1:93" s="1542" customFormat="1" ht="15.5">
      <c r="A1015" s="1598" t="s">
        <v>441</v>
      </c>
      <c r="B1015" s="1599" t="s">
        <v>2746</v>
      </c>
      <c r="C1015" s="1643" t="e">
        <f>+SUMIF(#REF!,Final!A1015,#REF!)</f>
        <v>#REF!</v>
      </c>
      <c r="D1015" s="1597" t="e">
        <f>+SUMIF(#REF!,Final!A1015,#REF!)</f>
        <v>#REF!</v>
      </c>
      <c r="E1015" s="1643" t="e">
        <f>SUMIF(#REF!,Final!A1015,#REF!)</f>
        <v>#REF!</v>
      </c>
      <c r="F1015" s="1644" t="e">
        <f>SUMIF(#REF!,Final!A1015,#REF!)</f>
        <v>#REF!</v>
      </c>
      <c r="G1015" s="1597" t="e">
        <f t="shared" si="92"/>
        <v>#REF!</v>
      </c>
      <c r="H1015" s="1644" t="e">
        <f t="shared" si="93"/>
        <v>#REF!</v>
      </c>
      <c r="I1015" s="1597" t="e">
        <f t="shared" si="94"/>
        <v>#REF!</v>
      </c>
      <c r="J1015" s="1644" t="e">
        <f t="shared" si="95"/>
        <v>#REF!</v>
      </c>
      <c r="K1015" s="1539"/>
      <c r="L1015" s="1539"/>
      <c r="M1015" s="1545"/>
      <c r="N1015" s="1545"/>
      <c r="O1015" s="1539"/>
      <c r="P1015" s="1539"/>
      <c r="Q1015" s="1539"/>
      <c r="R1015" s="1539"/>
      <c r="S1015" s="1539"/>
      <c r="T1015" s="1539"/>
      <c r="U1015" s="1539"/>
      <c r="V1015" s="1539"/>
      <c r="W1015" s="1539"/>
      <c r="X1015" s="1539"/>
      <c r="Y1015" s="1539"/>
      <c r="Z1015" s="1539"/>
      <c r="AA1015" s="1539"/>
      <c r="AB1015" s="1539"/>
      <c r="AC1015" s="1539"/>
      <c r="AD1015" s="1539"/>
      <c r="AE1015" s="1539"/>
      <c r="AF1015" s="1539"/>
      <c r="AG1015" s="1539"/>
      <c r="AH1015" s="1539"/>
      <c r="AI1015" s="1539"/>
      <c r="AJ1015" s="1539"/>
      <c r="AK1015" s="1539"/>
      <c r="AL1015" s="1539"/>
      <c r="AM1015" s="1539"/>
      <c r="AN1015" s="1539"/>
      <c r="AO1015" s="1539"/>
      <c r="AP1015" s="1539"/>
      <c r="AQ1015" s="1539"/>
      <c r="AR1015" s="1539"/>
      <c r="AS1015" s="1539"/>
      <c r="AT1015" s="1539"/>
      <c r="AU1015" s="1539"/>
      <c r="AV1015" s="1539"/>
      <c r="AW1015" s="1539"/>
      <c r="AX1015" s="1539"/>
      <c r="AY1015" s="1539"/>
      <c r="AZ1015" s="1539"/>
      <c r="BA1015" s="1539"/>
      <c r="BB1015" s="1539"/>
      <c r="BC1015" s="1539"/>
      <c r="BD1015" s="1539"/>
      <c r="BE1015" s="1539"/>
      <c r="BF1015" s="1539"/>
      <c r="BG1015" s="1539"/>
      <c r="BH1015" s="1539"/>
      <c r="BI1015" s="1539"/>
      <c r="BJ1015" s="1539"/>
      <c r="BK1015" s="1539"/>
      <c r="BL1015" s="1539"/>
      <c r="BM1015" s="1539"/>
      <c r="BN1015" s="1539"/>
      <c r="BO1015" s="1539"/>
      <c r="BP1015" s="1539"/>
      <c r="BQ1015" s="1539"/>
      <c r="BR1015" s="1539"/>
      <c r="BS1015" s="1539"/>
      <c r="BT1015" s="1539"/>
      <c r="BU1015" s="1539"/>
      <c r="BV1015" s="1539"/>
      <c r="BW1015" s="1539"/>
      <c r="BX1015" s="1539"/>
      <c r="BY1015" s="1539"/>
      <c r="BZ1015" s="1539"/>
      <c r="CA1015" s="1539"/>
      <c r="CB1015" s="1539"/>
      <c r="CC1015" s="1539"/>
      <c r="CD1015" s="1539"/>
      <c r="CE1015" s="1539"/>
      <c r="CF1015" s="1539"/>
      <c r="CG1015" s="1539"/>
      <c r="CH1015" s="1539"/>
      <c r="CI1015" s="1539"/>
      <c r="CJ1015" s="1539"/>
      <c r="CK1015" s="1539"/>
      <c r="CL1015" s="1539"/>
      <c r="CM1015" s="1539"/>
      <c r="CN1015" s="1539"/>
      <c r="CO1015" s="1539"/>
    </row>
    <row r="1016" spans="1:93" ht="15.5">
      <c r="A1016" s="1598">
        <v>23.321000000000002</v>
      </c>
      <c r="B1016" s="1599" t="s">
        <v>666</v>
      </c>
      <c r="C1016" s="1643" t="e">
        <f>+SUMIF(#REF!,Final!A1016,#REF!)</f>
        <v>#REF!</v>
      </c>
      <c r="D1016" s="1597" t="e">
        <f>+SUMIF(#REF!,Final!A1016,#REF!)</f>
        <v>#REF!</v>
      </c>
      <c r="E1016" s="1643" t="e">
        <f>SUMIF(#REF!,Final!A1016,#REF!)</f>
        <v>#REF!</v>
      </c>
      <c r="F1016" s="1644" t="e">
        <f>SUMIF(#REF!,Final!A1016,#REF!)</f>
        <v>#REF!</v>
      </c>
      <c r="G1016" s="1597" t="e">
        <f t="shared" si="92"/>
        <v>#REF!</v>
      </c>
      <c r="H1016" s="1644" t="e">
        <f t="shared" si="93"/>
        <v>#REF!</v>
      </c>
      <c r="I1016" s="1597" t="e">
        <f t="shared" si="94"/>
        <v>#REF!</v>
      </c>
      <c r="J1016" s="1644" t="e">
        <f t="shared" si="95"/>
        <v>#REF!</v>
      </c>
      <c r="M1016" s="1545"/>
      <c r="N1016" s="1545"/>
    </row>
    <row r="1017" spans="1:93" ht="15.5">
      <c r="A1017" s="1598">
        <v>23.321999999999999</v>
      </c>
      <c r="B1017" s="1599" t="s">
        <v>1335</v>
      </c>
      <c r="C1017" s="1643" t="e">
        <f>+SUMIF(#REF!,Final!A1017,#REF!)</f>
        <v>#REF!</v>
      </c>
      <c r="D1017" s="1597" t="e">
        <f>+SUMIF(#REF!,Final!A1017,#REF!)</f>
        <v>#REF!</v>
      </c>
      <c r="E1017" s="1643" t="e">
        <f>SUMIF(#REF!,Final!A1017,#REF!)</f>
        <v>#REF!</v>
      </c>
      <c r="F1017" s="1644" t="e">
        <f>SUMIF(#REF!,Final!A1017,#REF!)</f>
        <v>#REF!</v>
      </c>
      <c r="G1017" s="1597" t="e">
        <f t="shared" si="92"/>
        <v>#REF!</v>
      </c>
      <c r="H1017" s="1644" t="e">
        <f t="shared" si="93"/>
        <v>#REF!</v>
      </c>
      <c r="I1017" s="1597" t="e">
        <f t="shared" si="94"/>
        <v>#REF!</v>
      </c>
      <c r="J1017" s="1644" t="e">
        <f t="shared" si="95"/>
        <v>#REF!</v>
      </c>
      <c r="M1017" s="1545"/>
      <c r="N1017" s="1545"/>
    </row>
    <row r="1018" spans="1:93" s="1542" customFormat="1" ht="15.5">
      <c r="A1018" s="1598">
        <v>23.323</v>
      </c>
      <c r="B1018" s="1599" t="s">
        <v>1899</v>
      </c>
      <c r="C1018" s="1643" t="e">
        <f>+SUMIF(#REF!,Final!A1018,#REF!)</f>
        <v>#REF!</v>
      </c>
      <c r="D1018" s="1597" t="e">
        <f>+SUMIF(#REF!,Final!A1018,#REF!)</f>
        <v>#REF!</v>
      </c>
      <c r="E1018" s="1643" t="e">
        <f>SUMIF(#REF!,Final!A1018,#REF!)</f>
        <v>#REF!</v>
      </c>
      <c r="F1018" s="1644" t="e">
        <f>SUMIF(#REF!,Final!A1018,#REF!)</f>
        <v>#REF!</v>
      </c>
      <c r="G1018" s="1597" t="e">
        <f t="shared" si="92"/>
        <v>#REF!</v>
      </c>
      <c r="H1018" s="1644" t="e">
        <f t="shared" si="93"/>
        <v>#REF!</v>
      </c>
      <c r="I1018" s="1597" t="e">
        <f t="shared" si="94"/>
        <v>#REF!</v>
      </c>
      <c r="J1018" s="1644" t="e">
        <f t="shared" si="95"/>
        <v>#REF!</v>
      </c>
      <c r="K1018" s="1539"/>
      <c r="L1018" s="1539"/>
      <c r="M1018" s="1545"/>
      <c r="N1018" s="1545"/>
      <c r="O1018" s="1539"/>
      <c r="P1018" s="1539"/>
      <c r="Q1018" s="1539"/>
      <c r="R1018" s="1539"/>
      <c r="S1018" s="1539"/>
      <c r="T1018" s="1539"/>
      <c r="U1018" s="1539"/>
      <c r="V1018" s="1539"/>
      <c r="W1018" s="1539"/>
      <c r="X1018" s="1539"/>
      <c r="Y1018" s="1539"/>
      <c r="Z1018" s="1539"/>
      <c r="AA1018" s="1539"/>
      <c r="AB1018" s="1539"/>
      <c r="AC1018" s="1539"/>
      <c r="AD1018" s="1539"/>
      <c r="AE1018" s="1539"/>
      <c r="AF1018" s="1539"/>
      <c r="AG1018" s="1539"/>
      <c r="AH1018" s="1539"/>
      <c r="AI1018" s="1539"/>
      <c r="AJ1018" s="1539"/>
      <c r="AK1018" s="1539"/>
      <c r="AL1018" s="1539"/>
      <c r="AM1018" s="1539"/>
      <c r="AN1018" s="1539"/>
      <c r="AO1018" s="1539"/>
      <c r="AP1018" s="1539"/>
      <c r="AQ1018" s="1539"/>
      <c r="AR1018" s="1539"/>
      <c r="AS1018" s="1539"/>
      <c r="AT1018" s="1539"/>
      <c r="AU1018" s="1539"/>
      <c r="AV1018" s="1539"/>
      <c r="AW1018" s="1539"/>
      <c r="AX1018" s="1539"/>
      <c r="AY1018" s="1539"/>
      <c r="AZ1018" s="1539"/>
      <c r="BA1018" s="1539"/>
      <c r="BB1018" s="1539"/>
      <c r="BC1018" s="1539"/>
      <c r="BD1018" s="1539"/>
      <c r="BE1018" s="1539"/>
      <c r="BF1018" s="1539"/>
      <c r="BG1018" s="1539"/>
      <c r="BH1018" s="1539"/>
      <c r="BI1018" s="1539"/>
      <c r="BJ1018" s="1539"/>
      <c r="BK1018" s="1539"/>
      <c r="BL1018" s="1539"/>
      <c r="BM1018" s="1539"/>
      <c r="BN1018" s="1539"/>
      <c r="BO1018" s="1539"/>
      <c r="BP1018" s="1539"/>
      <c r="BQ1018" s="1539"/>
      <c r="BR1018" s="1539"/>
      <c r="BS1018" s="1539"/>
      <c r="BT1018" s="1539"/>
      <c r="BU1018" s="1539"/>
      <c r="BV1018" s="1539"/>
      <c r="BW1018" s="1539"/>
      <c r="BX1018" s="1539"/>
      <c r="BY1018" s="1539"/>
      <c r="BZ1018" s="1539"/>
      <c r="CA1018" s="1539"/>
      <c r="CB1018" s="1539"/>
      <c r="CC1018" s="1539"/>
      <c r="CD1018" s="1539"/>
      <c r="CE1018" s="1539"/>
      <c r="CF1018" s="1539"/>
      <c r="CG1018" s="1539"/>
      <c r="CH1018" s="1539"/>
      <c r="CI1018" s="1539"/>
      <c r="CJ1018" s="1539"/>
      <c r="CK1018" s="1539"/>
      <c r="CL1018" s="1539"/>
      <c r="CM1018" s="1539"/>
      <c r="CN1018" s="1539"/>
      <c r="CO1018" s="1539"/>
    </row>
    <row r="1019" spans="1:93" ht="15.5">
      <c r="A1019" s="1598">
        <v>23.324000000000002</v>
      </c>
      <c r="B1019" s="1599" t="s">
        <v>1900</v>
      </c>
      <c r="C1019" s="1643" t="e">
        <f>+SUMIF(#REF!,Final!A1019,#REF!)</f>
        <v>#REF!</v>
      </c>
      <c r="D1019" s="1597" t="e">
        <f>+SUMIF(#REF!,Final!A1019,#REF!)</f>
        <v>#REF!</v>
      </c>
      <c r="E1019" s="1643" t="e">
        <f>SUMIF(#REF!,Final!A1019,#REF!)</f>
        <v>#REF!</v>
      </c>
      <c r="F1019" s="1644" t="e">
        <f>SUMIF(#REF!,Final!A1019,#REF!)</f>
        <v>#REF!</v>
      </c>
      <c r="G1019" s="1597" t="e">
        <f t="shared" si="92"/>
        <v>#REF!</v>
      </c>
      <c r="H1019" s="1644" t="e">
        <f t="shared" si="93"/>
        <v>#REF!</v>
      </c>
      <c r="I1019" s="1597" t="e">
        <f t="shared" si="94"/>
        <v>#REF!</v>
      </c>
      <c r="J1019" s="1644" t="e">
        <f t="shared" si="95"/>
        <v>#REF!</v>
      </c>
      <c r="M1019" s="1545"/>
      <c r="N1019" s="1545"/>
    </row>
    <row r="1020" spans="1:93" ht="15.5">
      <c r="A1020" s="1598">
        <v>23.324999999999999</v>
      </c>
      <c r="B1020" s="1599" t="s">
        <v>890</v>
      </c>
      <c r="C1020" s="1643" t="e">
        <f>+SUMIF(#REF!,Final!A1020,#REF!)</f>
        <v>#REF!</v>
      </c>
      <c r="D1020" s="1597" t="e">
        <f>+SUMIF(#REF!,Final!A1020,#REF!)</f>
        <v>#REF!</v>
      </c>
      <c r="E1020" s="1643" t="e">
        <f>SUMIF(#REF!,Final!A1020,#REF!)</f>
        <v>#REF!</v>
      </c>
      <c r="F1020" s="1644" t="e">
        <f>SUMIF(#REF!,Final!A1020,#REF!)</f>
        <v>#REF!</v>
      </c>
      <c r="G1020" s="1597" t="e">
        <f t="shared" si="92"/>
        <v>#REF!</v>
      </c>
      <c r="H1020" s="1644" t="e">
        <f t="shared" si="93"/>
        <v>#REF!</v>
      </c>
      <c r="I1020" s="1597" t="e">
        <f t="shared" si="94"/>
        <v>#REF!</v>
      </c>
      <c r="J1020" s="1644" t="e">
        <f t="shared" si="95"/>
        <v>#REF!</v>
      </c>
      <c r="M1020" s="1545"/>
      <c r="N1020" s="1545"/>
    </row>
    <row r="1021" spans="1:93" ht="15.5">
      <c r="A1021" s="1598">
        <v>23.326000000000001</v>
      </c>
      <c r="B1021" s="1599" t="s">
        <v>892</v>
      </c>
      <c r="C1021" s="1643" t="e">
        <f>+SUMIF(#REF!,Final!A1021,#REF!)</f>
        <v>#REF!</v>
      </c>
      <c r="D1021" s="1597" t="e">
        <f>+SUMIF(#REF!,Final!A1021,#REF!)</f>
        <v>#REF!</v>
      </c>
      <c r="E1021" s="1643" t="e">
        <f>SUMIF(#REF!,Final!A1021,#REF!)</f>
        <v>#REF!</v>
      </c>
      <c r="F1021" s="1644" t="e">
        <f>SUMIF(#REF!,Final!A1021,#REF!)</f>
        <v>#REF!</v>
      </c>
      <c r="G1021" s="1597" t="e">
        <f t="shared" si="92"/>
        <v>#REF!</v>
      </c>
      <c r="H1021" s="1644" t="e">
        <f t="shared" si="93"/>
        <v>#REF!</v>
      </c>
      <c r="I1021" s="1597" t="e">
        <f t="shared" si="94"/>
        <v>#REF!</v>
      </c>
      <c r="J1021" s="1644" t="e">
        <f t="shared" si="95"/>
        <v>#REF!</v>
      </c>
      <c r="M1021" s="1545"/>
      <c r="N1021" s="1545"/>
    </row>
    <row r="1022" spans="1:93" ht="15.5">
      <c r="A1022" s="1598">
        <v>23.327000000000002</v>
      </c>
      <c r="B1022" s="1599" t="s">
        <v>893</v>
      </c>
      <c r="C1022" s="1643" t="e">
        <f>+SUMIF(#REF!,Final!A1022,#REF!)</f>
        <v>#REF!</v>
      </c>
      <c r="D1022" s="1597" t="e">
        <f>+SUMIF(#REF!,Final!A1022,#REF!)</f>
        <v>#REF!</v>
      </c>
      <c r="E1022" s="1643" t="e">
        <f>SUMIF(#REF!,Final!A1022,#REF!)</f>
        <v>#REF!</v>
      </c>
      <c r="F1022" s="1644" t="e">
        <f>SUMIF(#REF!,Final!A1022,#REF!)</f>
        <v>#REF!</v>
      </c>
      <c r="G1022" s="1597" t="e">
        <f t="shared" si="92"/>
        <v>#REF!</v>
      </c>
      <c r="H1022" s="1644" t="e">
        <f t="shared" si="93"/>
        <v>#REF!</v>
      </c>
      <c r="I1022" s="1597" t="e">
        <f t="shared" si="94"/>
        <v>#REF!</v>
      </c>
      <c r="J1022" s="1644" t="e">
        <f t="shared" si="95"/>
        <v>#REF!</v>
      </c>
      <c r="M1022" s="1545"/>
      <c r="N1022" s="1545"/>
    </row>
    <row r="1023" spans="1:93" ht="15.5">
      <c r="A1023" s="1598">
        <v>23.327999999999999</v>
      </c>
      <c r="B1023" s="1599" t="s">
        <v>539</v>
      </c>
      <c r="C1023" s="1643" t="e">
        <f>+SUMIF(#REF!,Final!A1023,#REF!)</f>
        <v>#REF!</v>
      </c>
      <c r="D1023" s="1597" t="e">
        <f>+SUMIF(#REF!,Final!A1023,#REF!)</f>
        <v>#REF!</v>
      </c>
      <c r="E1023" s="1643" t="e">
        <f>SUMIF(#REF!,Final!A1023,#REF!)</f>
        <v>#REF!</v>
      </c>
      <c r="F1023" s="1644" t="e">
        <f>SUMIF(#REF!,Final!A1023,#REF!)</f>
        <v>#REF!</v>
      </c>
      <c r="G1023" s="1597" t="e">
        <f t="shared" si="92"/>
        <v>#REF!</v>
      </c>
      <c r="H1023" s="1644" t="e">
        <f t="shared" si="93"/>
        <v>#REF!</v>
      </c>
      <c r="I1023" s="1597" t="e">
        <f t="shared" si="94"/>
        <v>#REF!</v>
      </c>
      <c r="J1023" s="1644" t="e">
        <f t="shared" si="95"/>
        <v>#REF!</v>
      </c>
      <c r="M1023" s="1545"/>
      <c r="N1023" s="1545"/>
    </row>
    <row r="1024" spans="1:93" ht="15.5">
      <c r="A1024" s="1598">
        <v>23.329000000000001</v>
      </c>
      <c r="B1024" s="1599" t="s">
        <v>540</v>
      </c>
      <c r="C1024" s="1643" t="e">
        <f>+SUMIF(#REF!,Final!A1024,#REF!)</f>
        <v>#REF!</v>
      </c>
      <c r="D1024" s="1597" t="e">
        <f>+SUMIF(#REF!,Final!A1024,#REF!)</f>
        <v>#REF!</v>
      </c>
      <c r="E1024" s="1643" t="e">
        <f>SUMIF(#REF!,Final!A1024,#REF!)</f>
        <v>#REF!</v>
      </c>
      <c r="F1024" s="1644" t="e">
        <f>SUMIF(#REF!,Final!A1024,#REF!)</f>
        <v>#REF!</v>
      </c>
      <c r="G1024" s="1597" t="e">
        <f t="shared" si="92"/>
        <v>#REF!</v>
      </c>
      <c r="H1024" s="1644" t="e">
        <f t="shared" si="93"/>
        <v>#REF!</v>
      </c>
      <c r="I1024" s="1597" t="e">
        <f t="shared" si="94"/>
        <v>#REF!</v>
      </c>
      <c r="J1024" s="1644" t="e">
        <f t="shared" si="95"/>
        <v>#REF!</v>
      </c>
      <c r="M1024" s="1545"/>
      <c r="N1024" s="1545"/>
    </row>
    <row r="1025" spans="1:93" ht="15.5">
      <c r="A1025" s="1598">
        <v>23.33</v>
      </c>
      <c r="B1025" s="1599" t="s">
        <v>1901</v>
      </c>
      <c r="C1025" s="1643" t="e">
        <f>+SUMIF(#REF!,Final!A1025,#REF!)</f>
        <v>#REF!</v>
      </c>
      <c r="D1025" s="1597" t="e">
        <f>+SUMIF(#REF!,Final!A1025,#REF!)</f>
        <v>#REF!</v>
      </c>
      <c r="E1025" s="1643" t="e">
        <f>SUMIF(#REF!,Final!A1025,#REF!)</f>
        <v>#REF!</v>
      </c>
      <c r="F1025" s="1644" t="e">
        <f>SUMIF(#REF!,Final!A1025,#REF!)</f>
        <v>#REF!</v>
      </c>
      <c r="G1025" s="1597" t="e">
        <f t="shared" si="92"/>
        <v>#REF!</v>
      </c>
      <c r="H1025" s="1644" t="e">
        <f t="shared" si="93"/>
        <v>#REF!</v>
      </c>
      <c r="I1025" s="1597" t="e">
        <f t="shared" si="94"/>
        <v>#REF!</v>
      </c>
      <c r="J1025" s="1644" t="e">
        <f t="shared" si="95"/>
        <v>#REF!</v>
      </c>
      <c r="M1025" s="1545"/>
      <c r="N1025" s="1545"/>
    </row>
    <row r="1026" spans="1:93" ht="15.5">
      <c r="A1026" s="1598">
        <v>23.331</v>
      </c>
      <c r="B1026" s="1599" t="s">
        <v>1902</v>
      </c>
      <c r="C1026" s="1643" t="e">
        <f>+SUMIF(#REF!,Final!A1026,#REF!)</f>
        <v>#REF!</v>
      </c>
      <c r="D1026" s="1597" t="e">
        <f>+SUMIF(#REF!,Final!A1026,#REF!)</f>
        <v>#REF!</v>
      </c>
      <c r="E1026" s="1643" t="e">
        <f>SUMIF(#REF!,Final!A1026,#REF!)</f>
        <v>#REF!</v>
      </c>
      <c r="F1026" s="1644" t="e">
        <f>SUMIF(#REF!,Final!A1026,#REF!)</f>
        <v>#REF!</v>
      </c>
      <c r="G1026" s="1597" t="e">
        <f t="shared" si="92"/>
        <v>#REF!</v>
      </c>
      <c r="H1026" s="1644" t="e">
        <f t="shared" si="93"/>
        <v>#REF!</v>
      </c>
      <c r="I1026" s="1597" t="e">
        <f t="shared" si="94"/>
        <v>#REF!</v>
      </c>
      <c r="J1026" s="1644" t="e">
        <f t="shared" si="95"/>
        <v>#REF!</v>
      </c>
      <c r="M1026" s="1545"/>
      <c r="N1026" s="1545"/>
    </row>
    <row r="1027" spans="1:93" ht="15.5">
      <c r="A1027" s="1598">
        <v>23.332000000000001</v>
      </c>
      <c r="B1027" s="1599" t="s">
        <v>2740</v>
      </c>
      <c r="C1027" s="1643" t="e">
        <f>+SUMIF(#REF!,Final!A1027,#REF!)</f>
        <v>#REF!</v>
      </c>
      <c r="D1027" s="1597" t="e">
        <f>+SUMIF(#REF!,Final!A1027,#REF!)</f>
        <v>#REF!</v>
      </c>
      <c r="E1027" s="1643" t="e">
        <f>SUMIF(#REF!,Final!A1027,#REF!)</f>
        <v>#REF!</v>
      </c>
      <c r="F1027" s="1644" t="e">
        <f>SUMIF(#REF!,Final!A1027,#REF!)</f>
        <v>#REF!</v>
      </c>
      <c r="G1027" s="1597" t="e">
        <f t="shared" si="92"/>
        <v>#REF!</v>
      </c>
      <c r="H1027" s="1644" t="e">
        <f t="shared" si="93"/>
        <v>#REF!</v>
      </c>
      <c r="I1027" s="1597" t="e">
        <f t="shared" si="94"/>
        <v>#REF!</v>
      </c>
      <c r="J1027" s="1644" t="e">
        <f t="shared" si="95"/>
        <v>#REF!</v>
      </c>
      <c r="M1027" s="1545"/>
      <c r="N1027" s="1545"/>
    </row>
    <row r="1028" spans="1:93" ht="15.5">
      <c r="A1028" s="1598">
        <v>23.332999999999998</v>
      </c>
      <c r="B1028" s="1599" t="s">
        <v>2741</v>
      </c>
      <c r="C1028" s="1643" t="e">
        <f>+SUMIF(#REF!,Final!A1028,#REF!)</f>
        <v>#REF!</v>
      </c>
      <c r="D1028" s="1597" t="e">
        <f>+SUMIF(#REF!,Final!A1028,#REF!)</f>
        <v>#REF!</v>
      </c>
      <c r="E1028" s="1643" t="e">
        <f>SUMIF(#REF!,Final!A1028,#REF!)</f>
        <v>#REF!</v>
      </c>
      <c r="F1028" s="1644" t="e">
        <f>SUMIF(#REF!,Final!A1028,#REF!)</f>
        <v>#REF!</v>
      </c>
      <c r="G1028" s="1597" t="e">
        <f t="shared" si="92"/>
        <v>#REF!</v>
      </c>
      <c r="H1028" s="1644" t="e">
        <f t="shared" si="93"/>
        <v>#REF!</v>
      </c>
      <c r="I1028" s="1597" t="e">
        <f t="shared" si="94"/>
        <v>#REF!</v>
      </c>
      <c r="J1028" s="1644" t="e">
        <f t="shared" si="95"/>
        <v>#REF!</v>
      </c>
      <c r="M1028" s="1545"/>
      <c r="N1028" s="1545"/>
    </row>
    <row r="1029" spans="1:93" s="1542" customFormat="1" ht="15.5">
      <c r="A1029" s="1598">
        <v>23.334</v>
      </c>
      <c r="B1029" s="1599" t="s">
        <v>2742</v>
      </c>
      <c r="C1029" s="1643" t="e">
        <f>+SUMIF(#REF!,Final!A1029,#REF!)</f>
        <v>#REF!</v>
      </c>
      <c r="D1029" s="1597" t="e">
        <f>+SUMIF(#REF!,Final!A1029,#REF!)</f>
        <v>#REF!</v>
      </c>
      <c r="E1029" s="1643" t="e">
        <f>SUMIF(#REF!,Final!A1029,#REF!)</f>
        <v>#REF!</v>
      </c>
      <c r="F1029" s="1644" t="e">
        <f>SUMIF(#REF!,Final!A1029,#REF!)</f>
        <v>#REF!</v>
      </c>
      <c r="G1029" s="1597" t="e">
        <f t="shared" si="92"/>
        <v>#REF!</v>
      </c>
      <c r="H1029" s="1644" t="e">
        <f t="shared" si="93"/>
        <v>#REF!</v>
      </c>
      <c r="I1029" s="1597" t="e">
        <f t="shared" si="94"/>
        <v>#REF!</v>
      </c>
      <c r="J1029" s="1644" t="e">
        <f t="shared" si="95"/>
        <v>#REF!</v>
      </c>
      <c r="K1029" s="1539"/>
      <c r="L1029" s="1539"/>
      <c r="M1029" s="1545"/>
      <c r="N1029" s="1545"/>
      <c r="O1029" s="1539"/>
      <c r="P1029" s="1539"/>
      <c r="Q1029" s="1539"/>
      <c r="R1029" s="1539"/>
      <c r="S1029" s="1539"/>
      <c r="T1029" s="1539"/>
      <c r="U1029" s="1539"/>
      <c r="V1029" s="1539"/>
      <c r="W1029" s="1539"/>
      <c r="X1029" s="1539"/>
      <c r="Y1029" s="1539"/>
      <c r="Z1029" s="1539"/>
      <c r="AA1029" s="1539"/>
      <c r="AB1029" s="1539"/>
      <c r="AC1029" s="1539"/>
      <c r="AD1029" s="1539"/>
      <c r="AE1029" s="1539"/>
      <c r="AF1029" s="1539"/>
      <c r="AG1029" s="1539"/>
      <c r="AH1029" s="1539"/>
      <c r="AI1029" s="1539"/>
      <c r="AJ1029" s="1539"/>
      <c r="AK1029" s="1539"/>
      <c r="AL1029" s="1539"/>
      <c r="AM1029" s="1539"/>
      <c r="AN1029" s="1539"/>
      <c r="AO1029" s="1539"/>
      <c r="AP1029" s="1539"/>
      <c r="AQ1029" s="1539"/>
      <c r="AR1029" s="1539"/>
      <c r="AS1029" s="1539"/>
      <c r="AT1029" s="1539"/>
      <c r="AU1029" s="1539"/>
      <c r="AV1029" s="1539"/>
      <c r="AW1029" s="1539"/>
      <c r="AX1029" s="1539"/>
      <c r="AY1029" s="1539"/>
      <c r="AZ1029" s="1539"/>
      <c r="BA1029" s="1539"/>
      <c r="BB1029" s="1539"/>
      <c r="BC1029" s="1539"/>
      <c r="BD1029" s="1539"/>
      <c r="BE1029" s="1539"/>
      <c r="BF1029" s="1539"/>
      <c r="BG1029" s="1539"/>
      <c r="BH1029" s="1539"/>
      <c r="BI1029" s="1539"/>
      <c r="BJ1029" s="1539"/>
      <c r="BK1029" s="1539"/>
      <c r="BL1029" s="1539"/>
      <c r="BM1029" s="1539"/>
      <c r="BN1029" s="1539"/>
      <c r="BO1029" s="1539"/>
      <c r="BP1029" s="1539"/>
      <c r="BQ1029" s="1539"/>
      <c r="BR1029" s="1539"/>
      <c r="BS1029" s="1539"/>
      <c r="BT1029" s="1539"/>
      <c r="BU1029" s="1539"/>
      <c r="BV1029" s="1539"/>
      <c r="BW1029" s="1539"/>
      <c r="BX1029" s="1539"/>
      <c r="BY1029" s="1539"/>
      <c r="BZ1029" s="1539"/>
      <c r="CA1029" s="1539"/>
      <c r="CB1029" s="1539"/>
      <c r="CC1029" s="1539"/>
      <c r="CD1029" s="1539"/>
      <c r="CE1029" s="1539"/>
      <c r="CF1029" s="1539"/>
      <c r="CG1029" s="1539"/>
      <c r="CH1029" s="1539"/>
      <c r="CI1029" s="1539"/>
      <c r="CJ1029" s="1539"/>
      <c r="CK1029" s="1539"/>
      <c r="CL1029" s="1539"/>
      <c r="CM1029" s="1539"/>
      <c r="CN1029" s="1539"/>
      <c r="CO1029" s="1539"/>
    </row>
    <row r="1030" spans="1:93" ht="15.5">
      <c r="A1030" s="1598">
        <v>23.335000000000001</v>
      </c>
      <c r="B1030" s="1599" t="s">
        <v>669</v>
      </c>
      <c r="C1030" s="1643" t="e">
        <f>+SUMIF(#REF!,Final!A1030,#REF!)</f>
        <v>#REF!</v>
      </c>
      <c r="D1030" s="1597" t="e">
        <f>+SUMIF(#REF!,Final!A1030,#REF!)</f>
        <v>#REF!</v>
      </c>
      <c r="E1030" s="1643" t="e">
        <f>SUMIF(#REF!,Final!A1030,#REF!)</f>
        <v>#REF!</v>
      </c>
      <c r="F1030" s="1644" t="e">
        <f>SUMIF(#REF!,Final!A1030,#REF!)</f>
        <v>#REF!</v>
      </c>
      <c r="G1030" s="1597" t="e">
        <f t="shared" si="92"/>
        <v>#REF!</v>
      </c>
      <c r="H1030" s="1644" t="e">
        <f t="shared" si="93"/>
        <v>#REF!</v>
      </c>
      <c r="I1030" s="1597" t="e">
        <f t="shared" si="94"/>
        <v>#REF!</v>
      </c>
      <c r="J1030" s="1644" t="e">
        <f t="shared" si="95"/>
        <v>#REF!</v>
      </c>
      <c r="M1030" s="1545"/>
      <c r="N1030" s="1545"/>
    </row>
    <row r="1031" spans="1:93" s="1543" customFormat="1" ht="15.5">
      <c r="A1031" s="1598">
        <v>23.335999999999999</v>
      </c>
      <c r="B1031" s="1599" t="s">
        <v>423</v>
      </c>
      <c r="C1031" s="1643" t="e">
        <f>+SUMIF(#REF!,Final!A1031,#REF!)</f>
        <v>#REF!</v>
      </c>
      <c r="D1031" s="1597" t="e">
        <f>+SUMIF(#REF!,Final!A1031,#REF!)</f>
        <v>#REF!</v>
      </c>
      <c r="E1031" s="1643" t="e">
        <f>SUMIF(#REF!,Final!A1031,#REF!)</f>
        <v>#REF!</v>
      </c>
      <c r="F1031" s="1644" t="e">
        <f>SUMIF(#REF!,Final!A1031,#REF!)</f>
        <v>#REF!</v>
      </c>
      <c r="G1031" s="1597" t="e">
        <f t="shared" si="92"/>
        <v>#REF!</v>
      </c>
      <c r="H1031" s="1644" t="e">
        <f t="shared" si="93"/>
        <v>#REF!</v>
      </c>
      <c r="I1031" s="1597" t="e">
        <f t="shared" si="94"/>
        <v>#REF!</v>
      </c>
      <c r="J1031" s="1644" t="e">
        <f t="shared" si="95"/>
        <v>#REF!</v>
      </c>
      <c r="K1031" s="1539"/>
      <c r="L1031" s="1539"/>
      <c r="M1031" s="1545"/>
      <c r="N1031" s="1545"/>
      <c r="O1031" s="1539"/>
      <c r="P1031" s="1539"/>
      <c r="Q1031" s="1539"/>
      <c r="R1031" s="1539"/>
      <c r="S1031" s="1539"/>
      <c r="T1031" s="1539"/>
      <c r="U1031" s="1539"/>
      <c r="V1031" s="1539"/>
      <c r="W1031" s="1539"/>
      <c r="X1031" s="1539"/>
      <c r="Y1031" s="1539"/>
      <c r="Z1031" s="1539"/>
      <c r="AA1031" s="1539"/>
      <c r="AB1031" s="1539"/>
      <c r="AC1031" s="1539"/>
      <c r="AD1031" s="1539"/>
      <c r="AE1031" s="1539"/>
      <c r="AF1031" s="1539"/>
      <c r="AG1031" s="1539"/>
      <c r="AH1031" s="1539"/>
      <c r="AI1031" s="1539"/>
      <c r="AJ1031" s="1539"/>
      <c r="AK1031" s="1539"/>
      <c r="AL1031" s="1539"/>
      <c r="AM1031" s="1539"/>
      <c r="AN1031" s="1539"/>
      <c r="AO1031" s="1539"/>
      <c r="AP1031" s="1539"/>
      <c r="AQ1031" s="1539"/>
      <c r="AR1031" s="1539"/>
      <c r="AS1031" s="1539"/>
      <c r="AT1031" s="1539"/>
      <c r="AU1031" s="1539"/>
      <c r="AV1031" s="1539"/>
      <c r="AW1031" s="1539"/>
      <c r="AX1031" s="1539"/>
      <c r="AY1031" s="1539"/>
      <c r="AZ1031" s="1539"/>
      <c r="BA1031" s="1539"/>
      <c r="BB1031" s="1539"/>
      <c r="BC1031" s="1539"/>
      <c r="BD1031" s="1539"/>
      <c r="BE1031" s="1539"/>
      <c r="BF1031" s="1539"/>
      <c r="BG1031" s="1539"/>
      <c r="BH1031" s="1539"/>
      <c r="BI1031" s="1539"/>
      <c r="BJ1031" s="1539"/>
      <c r="BK1031" s="1539"/>
      <c r="BL1031" s="1539"/>
      <c r="BM1031" s="1539"/>
      <c r="BN1031" s="1539"/>
      <c r="BO1031" s="1539"/>
      <c r="BP1031" s="1539"/>
      <c r="BQ1031" s="1539"/>
      <c r="BR1031" s="1539"/>
      <c r="BS1031" s="1539"/>
      <c r="BT1031" s="1539"/>
      <c r="BU1031" s="1539"/>
      <c r="BV1031" s="1539"/>
      <c r="BW1031" s="1539"/>
      <c r="BX1031" s="1539"/>
      <c r="BY1031" s="1539"/>
      <c r="BZ1031" s="1539"/>
      <c r="CA1031" s="1539"/>
      <c r="CB1031" s="1539"/>
      <c r="CC1031" s="1539"/>
      <c r="CD1031" s="1539"/>
      <c r="CE1031" s="1539"/>
      <c r="CF1031" s="1539"/>
      <c r="CG1031" s="1539"/>
      <c r="CH1031" s="1539"/>
      <c r="CI1031" s="1539"/>
      <c r="CJ1031" s="1539"/>
      <c r="CK1031" s="1539"/>
      <c r="CL1031" s="1539"/>
      <c r="CM1031" s="1539"/>
      <c r="CN1031" s="1539"/>
      <c r="CO1031" s="1539"/>
    </row>
    <row r="1032" spans="1:93" s="1543" customFormat="1" ht="15.5">
      <c r="A1032" s="1598">
        <v>23.337</v>
      </c>
      <c r="B1032" s="1599" t="s">
        <v>1905</v>
      </c>
      <c r="C1032" s="1643" t="e">
        <f>+SUMIF(#REF!,Final!A1032,#REF!)</f>
        <v>#REF!</v>
      </c>
      <c r="D1032" s="1597" t="e">
        <f>+SUMIF(#REF!,Final!A1032,#REF!)</f>
        <v>#REF!</v>
      </c>
      <c r="E1032" s="1643" t="e">
        <f>SUMIF(#REF!,Final!A1032,#REF!)</f>
        <v>#REF!</v>
      </c>
      <c r="F1032" s="1644" t="e">
        <f>SUMIF(#REF!,Final!A1032,#REF!)</f>
        <v>#REF!</v>
      </c>
      <c r="G1032" s="1597" t="e">
        <f t="shared" si="92"/>
        <v>#REF!</v>
      </c>
      <c r="H1032" s="1644" t="e">
        <f t="shared" si="93"/>
        <v>#REF!</v>
      </c>
      <c r="I1032" s="1597" t="e">
        <f t="shared" si="94"/>
        <v>#REF!</v>
      </c>
      <c r="J1032" s="1644" t="e">
        <f t="shared" si="95"/>
        <v>#REF!</v>
      </c>
      <c r="K1032" s="1539"/>
      <c r="L1032" s="1539"/>
      <c r="M1032" s="1545"/>
      <c r="N1032" s="1545"/>
      <c r="O1032" s="1539"/>
      <c r="P1032" s="1539"/>
      <c r="Q1032" s="1539"/>
      <c r="R1032" s="1539"/>
      <c r="S1032" s="1539"/>
      <c r="T1032" s="1539"/>
      <c r="U1032" s="1539"/>
      <c r="V1032" s="1539"/>
      <c r="W1032" s="1539"/>
      <c r="X1032" s="1539"/>
      <c r="Y1032" s="1539"/>
      <c r="Z1032" s="1539"/>
      <c r="AA1032" s="1539"/>
      <c r="AB1032" s="1539"/>
      <c r="AC1032" s="1539"/>
      <c r="AD1032" s="1539"/>
      <c r="AE1032" s="1539"/>
      <c r="AF1032" s="1539"/>
      <c r="AG1032" s="1539"/>
      <c r="AH1032" s="1539"/>
      <c r="AI1032" s="1539"/>
      <c r="AJ1032" s="1539"/>
      <c r="AK1032" s="1539"/>
      <c r="AL1032" s="1539"/>
      <c r="AM1032" s="1539"/>
      <c r="AN1032" s="1539"/>
      <c r="AO1032" s="1539"/>
      <c r="AP1032" s="1539"/>
      <c r="AQ1032" s="1539"/>
      <c r="AR1032" s="1539"/>
      <c r="AS1032" s="1539"/>
      <c r="AT1032" s="1539"/>
      <c r="AU1032" s="1539"/>
      <c r="AV1032" s="1539"/>
      <c r="AW1032" s="1539"/>
      <c r="AX1032" s="1539"/>
      <c r="AY1032" s="1539"/>
      <c r="AZ1032" s="1539"/>
      <c r="BA1032" s="1539"/>
      <c r="BB1032" s="1539"/>
      <c r="BC1032" s="1539"/>
      <c r="BD1032" s="1539"/>
      <c r="BE1032" s="1539"/>
      <c r="BF1032" s="1539"/>
      <c r="BG1032" s="1539"/>
      <c r="BH1032" s="1539"/>
      <c r="BI1032" s="1539"/>
      <c r="BJ1032" s="1539"/>
      <c r="BK1032" s="1539"/>
      <c r="BL1032" s="1539"/>
      <c r="BM1032" s="1539"/>
      <c r="BN1032" s="1539"/>
      <c r="BO1032" s="1539"/>
      <c r="BP1032" s="1539"/>
      <c r="BQ1032" s="1539"/>
      <c r="BR1032" s="1539"/>
      <c r="BS1032" s="1539"/>
      <c r="BT1032" s="1539"/>
      <c r="BU1032" s="1539"/>
      <c r="BV1032" s="1539"/>
      <c r="BW1032" s="1539"/>
      <c r="BX1032" s="1539"/>
      <c r="BY1032" s="1539"/>
      <c r="BZ1032" s="1539"/>
      <c r="CA1032" s="1539"/>
      <c r="CB1032" s="1539"/>
      <c r="CC1032" s="1539"/>
      <c r="CD1032" s="1539"/>
      <c r="CE1032" s="1539"/>
      <c r="CF1032" s="1539"/>
      <c r="CG1032" s="1539"/>
      <c r="CH1032" s="1539"/>
      <c r="CI1032" s="1539"/>
      <c r="CJ1032" s="1539"/>
      <c r="CK1032" s="1539"/>
      <c r="CL1032" s="1539"/>
      <c r="CM1032" s="1539"/>
      <c r="CN1032" s="1539"/>
      <c r="CO1032" s="1539"/>
    </row>
    <row r="1033" spans="1:93" s="1552" customFormat="1" ht="15.5">
      <c r="A1033" s="1598"/>
      <c r="B1033" s="1599" t="s">
        <v>1747</v>
      </c>
      <c r="C1033" s="1643" t="e">
        <f>+SUMIF(#REF!,Final!A1033,#REF!)</f>
        <v>#REF!</v>
      </c>
      <c r="D1033" s="1597" t="e">
        <f>+SUMIF(#REF!,Final!A1033,#REF!)</f>
        <v>#REF!</v>
      </c>
      <c r="E1033" s="1643" t="e">
        <f>SUMIF(#REF!,Final!A1033,#REF!)</f>
        <v>#REF!</v>
      </c>
      <c r="F1033" s="1644" t="e">
        <f>SUMIF(#REF!,Final!A1033,#REF!)</f>
        <v>#REF!</v>
      </c>
      <c r="G1033" s="1597" t="e">
        <f t="shared" si="92"/>
        <v>#REF!</v>
      </c>
      <c r="H1033" s="1644" t="e">
        <f t="shared" si="93"/>
        <v>#REF!</v>
      </c>
      <c r="I1033" s="1597" t="e">
        <f t="shared" si="94"/>
        <v>#REF!</v>
      </c>
      <c r="J1033" s="1644" t="e">
        <f t="shared" si="95"/>
        <v>#REF!</v>
      </c>
      <c r="K1033" s="1539"/>
      <c r="L1033" s="1539"/>
      <c r="M1033" s="1545"/>
      <c r="N1033" s="1545"/>
      <c r="O1033" s="1539"/>
      <c r="P1033" s="1539"/>
      <c r="Q1033" s="1539"/>
      <c r="R1033" s="1539"/>
      <c r="S1033" s="1539"/>
      <c r="T1033" s="1539"/>
      <c r="U1033" s="1539"/>
      <c r="V1033" s="1539"/>
      <c r="W1033" s="1539"/>
      <c r="X1033" s="1539"/>
      <c r="Y1033" s="1539"/>
      <c r="Z1033" s="1539"/>
      <c r="AA1033" s="1539"/>
      <c r="AB1033" s="1539"/>
      <c r="AC1033" s="1539"/>
      <c r="AD1033" s="1539"/>
      <c r="AE1033" s="1539"/>
      <c r="AF1033" s="1539"/>
      <c r="AG1033" s="1539"/>
      <c r="AH1033" s="1539"/>
      <c r="AI1033" s="1539"/>
      <c r="AJ1033" s="1539"/>
      <c r="AK1033" s="1539"/>
      <c r="AL1033" s="1539"/>
      <c r="AM1033" s="1539"/>
      <c r="AN1033" s="1539"/>
      <c r="AO1033" s="1539"/>
      <c r="AP1033" s="1539"/>
      <c r="AQ1033" s="1539"/>
      <c r="AR1033" s="1539"/>
      <c r="AS1033" s="1539"/>
      <c r="AT1033" s="1539"/>
      <c r="AU1033" s="1539"/>
      <c r="AV1033" s="1539"/>
      <c r="AW1033" s="1539"/>
      <c r="AX1033" s="1539"/>
      <c r="AY1033" s="1539"/>
      <c r="AZ1033" s="1539"/>
      <c r="BA1033" s="1539"/>
      <c r="BB1033" s="1539"/>
      <c r="BC1033" s="1539"/>
      <c r="BD1033" s="1539"/>
      <c r="BE1033" s="1539"/>
      <c r="BF1033" s="1539"/>
      <c r="BG1033" s="1539"/>
      <c r="BH1033" s="1539"/>
      <c r="BI1033" s="1539"/>
      <c r="BJ1033" s="1539"/>
      <c r="BK1033" s="1539"/>
      <c r="BL1033" s="1539"/>
      <c r="BM1033" s="1539"/>
      <c r="BN1033" s="1539"/>
      <c r="BO1033" s="1539"/>
      <c r="BP1033" s="1539"/>
      <c r="BQ1033" s="1539"/>
      <c r="BR1033" s="1539"/>
      <c r="BS1033" s="1539"/>
      <c r="BT1033" s="1539"/>
      <c r="BU1033" s="1539"/>
      <c r="BV1033" s="1539"/>
      <c r="BW1033" s="1539"/>
      <c r="BX1033" s="1539"/>
      <c r="BY1033" s="1539"/>
      <c r="BZ1033" s="1539"/>
      <c r="CA1033" s="1539"/>
      <c r="CB1033" s="1539"/>
      <c r="CC1033" s="1539"/>
      <c r="CD1033" s="1539"/>
      <c r="CE1033" s="1539"/>
      <c r="CF1033" s="1539"/>
      <c r="CG1033" s="1539"/>
      <c r="CH1033" s="1539"/>
      <c r="CI1033" s="1539"/>
      <c r="CJ1033" s="1539"/>
      <c r="CK1033" s="1539"/>
      <c r="CL1033" s="1539"/>
      <c r="CM1033" s="1539"/>
      <c r="CN1033" s="1539"/>
      <c r="CO1033" s="1539"/>
    </row>
    <row r="1034" spans="1:93" s="1552" customFormat="1" ht="15.5">
      <c r="A1034" s="1598"/>
      <c r="B1034" s="1599" t="s">
        <v>1760</v>
      </c>
      <c r="C1034" s="1643" t="e">
        <f>+SUMIF(#REF!,Final!A1034,#REF!)</f>
        <v>#REF!</v>
      </c>
      <c r="D1034" s="1597" t="e">
        <f>+SUMIF(#REF!,Final!A1034,#REF!)</f>
        <v>#REF!</v>
      </c>
      <c r="E1034" s="1643" t="e">
        <f>SUMIF(#REF!,Final!A1034,#REF!)</f>
        <v>#REF!</v>
      </c>
      <c r="F1034" s="1644" t="e">
        <f>SUMIF(#REF!,Final!A1034,#REF!)</f>
        <v>#REF!</v>
      </c>
      <c r="G1034" s="1597" t="e">
        <f t="shared" si="92"/>
        <v>#REF!</v>
      </c>
      <c r="H1034" s="1644" t="e">
        <f t="shared" si="93"/>
        <v>#REF!</v>
      </c>
      <c r="I1034" s="1597" t="e">
        <f t="shared" si="94"/>
        <v>#REF!</v>
      </c>
      <c r="J1034" s="1644" t="e">
        <f t="shared" si="95"/>
        <v>#REF!</v>
      </c>
      <c r="K1034" s="1539"/>
      <c r="L1034" s="1539"/>
      <c r="M1034" s="1545"/>
      <c r="N1034" s="1545"/>
      <c r="O1034" s="1539"/>
      <c r="P1034" s="1539"/>
      <c r="Q1034" s="1539"/>
      <c r="R1034" s="1539"/>
      <c r="S1034" s="1539"/>
      <c r="T1034" s="1539"/>
      <c r="U1034" s="1539"/>
      <c r="V1034" s="1539"/>
      <c r="W1034" s="1539"/>
      <c r="X1034" s="1539"/>
      <c r="Y1034" s="1539"/>
      <c r="Z1034" s="1539"/>
      <c r="AA1034" s="1539"/>
      <c r="AB1034" s="1539"/>
      <c r="AC1034" s="1539"/>
      <c r="AD1034" s="1539"/>
      <c r="AE1034" s="1539"/>
      <c r="AF1034" s="1539"/>
      <c r="AG1034" s="1539"/>
      <c r="AH1034" s="1539"/>
      <c r="AI1034" s="1539"/>
      <c r="AJ1034" s="1539"/>
      <c r="AK1034" s="1539"/>
      <c r="AL1034" s="1539"/>
      <c r="AM1034" s="1539"/>
      <c r="AN1034" s="1539"/>
      <c r="AO1034" s="1539"/>
      <c r="AP1034" s="1539"/>
      <c r="AQ1034" s="1539"/>
      <c r="AR1034" s="1539"/>
      <c r="AS1034" s="1539"/>
      <c r="AT1034" s="1539"/>
      <c r="AU1034" s="1539"/>
      <c r="AV1034" s="1539"/>
      <c r="AW1034" s="1539"/>
      <c r="AX1034" s="1539"/>
      <c r="AY1034" s="1539"/>
      <c r="AZ1034" s="1539"/>
      <c r="BA1034" s="1539"/>
      <c r="BB1034" s="1539"/>
      <c r="BC1034" s="1539"/>
      <c r="BD1034" s="1539"/>
      <c r="BE1034" s="1539"/>
      <c r="BF1034" s="1539"/>
      <c r="BG1034" s="1539"/>
      <c r="BH1034" s="1539"/>
      <c r="BI1034" s="1539"/>
      <c r="BJ1034" s="1539"/>
      <c r="BK1034" s="1539"/>
      <c r="BL1034" s="1539"/>
      <c r="BM1034" s="1539"/>
      <c r="BN1034" s="1539"/>
      <c r="BO1034" s="1539"/>
      <c r="BP1034" s="1539"/>
      <c r="BQ1034" s="1539"/>
      <c r="BR1034" s="1539"/>
      <c r="BS1034" s="1539"/>
      <c r="BT1034" s="1539"/>
      <c r="BU1034" s="1539"/>
      <c r="BV1034" s="1539"/>
      <c r="BW1034" s="1539"/>
      <c r="BX1034" s="1539"/>
      <c r="BY1034" s="1539"/>
      <c r="BZ1034" s="1539"/>
      <c r="CA1034" s="1539"/>
      <c r="CB1034" s="1539"/>
      <c r="CC1034" s="1539"/>
      <c r="CD1034" s="1539"/>
      <c r="CE1034" s="1539"/>
      <c r="CF1034" s="1539"/>
      <c r="CG1034" s="1539"/>
      <c r="CH1034" s="1539"/>
      <c r="CI1034" s="1539"/>
      <c r="CJ1034" s="1539"/>
      <c r="CK1034" s="1539"/>
      <c r="CL1034" s="1539"/>
      <c r="CM1034" s="1539"/>
      <c r="CN1034" s="1539"/>
      <c r="CO1034" s="1539"/>
    </row>
    <row r="1035" spans="1:93" s="1542" customFormat="1" ht="15.5">
      <c r="A1035" s="1598" t="s">
        <v>1102</v>
      </c>
      <c r="B1035" s="1599" t="s">
        <v>2738</v>
      </c>
      <c r="C1035" s="1643" t="e">
        <f>+SUMIF(#REF!,Final!A1035,#REF!)</f>
        <v>#REF!</v>
      </c>
      <c r="D1035" s="1597" t="e">
        <f>+SUMIF(#REF!,Final!A1035,#REF!)</f>
        <v>#REF!</v>
      </c>
      <c r="E1035" s="1643" t="e">
        <f>SUMIF(#REF!,Final!A1035,#REF!)</f>
        <v>#REF!</v>
      </c>
      <c r="F1035" s="1644" t="e">
        <f>SUMIF(#REF!,Final!A1035,#REF!)</f>
        <v>#REF!</v>
      </c>
      <c r="G1035" s="1597" t="e">
        <f t="shared" si="92"/>
        <v>#REF!</v>
      </c>
      <c r="H1035" s="1644" t="e">
        <f t="shared" si="93"/>
        <v>#REF!</v>
      </c>
      <c r="I1035" s="1597" t="e">
        <f t="shared" si="94"/>
        <v>#REF!</v>
      </c>
      <c r="J1035" s="1644" t="e">
        <f t="shared" si="95"/>
        <v>#REF!</v>
      </c>
      <c r="K1035" s="1539"/>
      <c r="L1035" s="1539"/>
      <c r="M1035" s="1545"/>
      <c r="N1035" s="1545"/>
      <c r="O1035" s="1539"/>
      <c r="P1035" s="1539"/>
      <c r="Q1035" s="1539"/>
      <c r="R1035" s="1539"/>
      <c r="S1035" s="1539"/>
      <c r="T1035" s="1539"/>
      <c r="U1035" s="1539"/>
      <c r="V1035" s="1539"/>
      <c r="W1035" s="1539"/>
      <c r="X1035" s="1539"/>
      <c r="Y1035" s="1539"/>
      <c r="Z1035" s="1539"/>
      <c r="AA1035" s="1539"/>
      <c r="AB1035" s="1539"/>
      <c r="AC1035" s="1539"/>
      <c r="AD1035" s="1539"/>
      <c r="AE1035" s="1539"/>
      <c r="AF1035" s="1539"/>
      <c r="AG1035" s="1539"/>
      <c r="AH1035" s="1539"/>
      <c r="AI1035" s="1539"/>
      <c r="AJ1035" s="1539"/>
      <c r="AK1035" s="1539"/>
      <c r="AL1035" s="1539"/>
      <c r="AM1035" s="1539"/>
      <c r="AN1035" s="1539"/>
      <c r="AO1035" s="1539"/>
      <c r="AP1035" s="1539"/>
      <c r="AQ1035" s="1539"/>
      <c r="AR1035" s="1539"/>
      <c r="AS1035" s="1539"/>
      <c r="AT1035" s="1539"/>
      <c r="AU1035" s="1539"/>
      <c r="AV1035" s="1539"/>
      <c r="AW1035" s="1539"/>
      <c r="AX1035" s="1539"/>
      <c r="AY1035" s="1539"/>
      <c r="AZ1035" s="1539"/>
      <c r="BA1035" s="1539"/>
      <c r="BB1035" s="1539"/>
      <c r="BC1035" s="1539"/>
      <c r="BD1035" s="1539"/>
      <c r="BE1035" s="1539"/>
      <c r="BF1035" s="1539"/>
      <c r="BG1035" s="1539"/>
      <c r="BH1035" s="1539"/>
      <c r="BI1035" s="1539"/>
      <c r="BJ1035" s="1539"/>
      <c r="BK1035" s="1539"/>
      <c r="BL1035" s="1539"/>
      <c r="BM1035" s="1539"/>
      <c r="BN1035" s="1539"/>
      <c r="BO1035" s="1539"/>
      <c r="BP1035" s="1539"/>
      <c r="BQ1035" s="1539"/>
      <c r="BR1035" s="1539"/>
      <c r="BS1035" s="1539"/>
      <c r="BT1035" s="1539"/>
      <c r="BU1035" s="1539"/>
      <c r="BV1035" s="1539"/>
      <c r="BW1035" s="1539"/>
      <c r="BX1035" s="1539"/>
      <c r="BY1035" s="1539"/>
      <c r="BZ1035" s="1539"/>
      <c r="CA1035" s="1539"/>
      <c r="CB1035" s="1539"/>
      <c r="CC1035" s="1539"/>
      <c r="CD1035" s="1539"/>
      <c r="CE1035" s="1539"/>
      <c r="CF1035" s="1539"/>
      <c r="CG1035" s="1539"/>
      <c r="CH1035" s="1539"/>
      <c r="CI1035" s="1539"/>
      <c r="CJ1035" s="1539"/>
      <c r="CK1035" s="1539"/>
      <c r="CL1035" s="1539"/>
      <c r="CM1035" s="1539"/>
      <c r="CN1035" s="1539"/>
      <c r="CO1035" s="1539"/>
    </row>
    <row r="1036" spans="1:93" s="1542" customFormat="1" ht="15.5">
      <c r="A1036" s="1598" t="s">
        <v>448</v>
      </c>
      <c r="B1036" s="1599" t="s">
        <v>2747</v>
      </c>
      <c r="C1036" s="1643" t="e">
        <f>+SUMIF(#REF!,Final!A1036,#REF!)</f>
        <v>#REF!</v>
      </c>
      <c r="D1036" s="1597" t="e">
        <f>+SUMIF(#REF!,Final!A1036,#REF!)</f>
        <v>#REF!</v>
      </c>
      <c r="E1036" s="1643" t="e">
        <f>SUMIF(#REF!,Final!A1036,#REF!)</f>
        <v>#REF!</v>
      </c>
      <c r="F1036" s="1644" t="e">
        <f>SUMIF(#REF!,Final!A1036,#REF!)</f>
        <v>#REF!</v>
      </c>
      <c r="G1036" s="1597" t="e">
        <f t="shared" si="92"/>
        <v>#REF!</v>
      </c>
      <c r="H1036" s="1644" t="e">
        <f t="shared" si="93"/>
        <v>#REF!</v>
      </c>
      <c r="I1036" s="1597" t="e">
        <f t="shared" si="94"/>
        <v>#REF!</v>
      </c>
      <c r="J1036" s="1644" t="e">
        <f t="shared" si="95"/>
        <v>#REF!</v>
      </c>
      <c r="K1036" s="1539"/>
      <c r="L1036" s="1539"/>
      <c r="M1036" s="1545"/>
      <c r="N1036" s="1545"/>
      <c r="O1036" s="1539"/>
      <c r="P1036" s="1539"/>
      <c r="Q1036" s="1539"/>
      <c r="R1036" s="1539"/>
      <c r="S1036" s="1539"/>
      <c r="T1036" s="1539"/>
      <c r="U1036" s="1539"/>
      <c r="V1036" s="1539"/>
      <c r="W1036" s="1539"/>
      <c r="X1036" s="1539"/>
      <c r="Y1036" s="1539"/>
      <c r="Z1036" s="1539"/>
      <c r="AA1036" s="1539"/>
      <c r="AB1036" s="1539"/>
      <c r="AC1036" s="1539"/>
      <c r="AD1036" s="1539"/>
      <c r="AE1036" s="1539"/>
      <c r="AF1036" s="1539"/>
      <c r="AG1036" s="1539"/>
      <c r="AH1036" s="1539"/>
      <c r="AI1036" s="1539"/>
      <c r="AJ1036" s="1539"/>
      <c r="AK1036" s="1539"/>
      <c r="AL1036" s="1539"/>
      <c r="AM1036" s="1539"/>
      <c r="AN1036" s="1539"/>
      <c r="AO1036" s="1539"/>
      <c r="AP1036" s="1539"/>
      <c r="AQ1036" s="1539"/>
      <c r="AR1036" s="1539"/>
      <c r="AS1036" s="1539"/>
      <c r="AT1036" s="1539"/>
      <c r="AU1036" s="1539"/>
      <c r="AV1036" s="1539"/>
      <c r="AW1036" s="1539"/>
      <c r="AX1036" s="1539"/>
      <c r="AY1036" s="1539"/>
      <c r="AZ1036" s="1539"/>
      <c r="BA1036" s="1539"/>
      <c r="BB1036" s="1539"/>
      <c r="BC1036" s="1539"/>
      <c r="BD1036" s="1539"/>
      <c r="BE1036" s="1539"/>
      <c r="BF1036" s="1539"/>
      <c r="BG1036" s="1539"/>
      <c r="BH1036" s="1539"/>
      <c r="BI1036" s="1539"/>
      <c r="BJ1036" s="1539"/>
      <c r="BK1036" s="1539"/>
      <c r="BL1036" s="1539"/>
      <c r="BM1036" s="1539"/>
      <c r="BN1036" s="1539"/>
      <c r="BO1036" s="1539"/>
      <c r="BP1036" s="1539"/>
      <c r="BQ1036" s="1539"/>
      <c r="BR1036" s="1539"/>
      <c r="BS1036" s="1539"/>
      <c r="BT1036" s="1539"/>
      <c r="BU1036" s="1539"/>
      <c r="BV1036" s="1539"/>
      <c r="BW1036" s="1539"/>
      <c r="BX1036" s="1539"/>
      <c r="BY1036" s="1539"/>
      <c r="BZ1036" s="1539"/>
      <c r="CA1036" s="1539"/>
      <c r="CB1036" s="1539"/>
      <c r="CC1036" s="1539"/>
      <c r="CD1036" s="1539"/>
      <c r="CE1036" s="1539"/>
      <c r="CF1036" s="1539"/>
      <c r="CG1036" s="1539"/>
      <c r="CH1036" s="1539"/>
      <c r="CI1036" s="1539"/>
      <c r="CJ1036" s="1539"/>
      <c r="CK1036" s="1539"/>
      <c r="CL1036" s="1539"/>
      <c r="CM1036" s="1539"/>
      <c r="CN1036" s="1539"/>
      <c r="CO1036" s="1539"/>
    </row>
    <row r="1037" spans="1:93" ht="15.5">
      <c r="A1037" s="1598">
        <v>23.34</v>
      </c>
      <c r="B1037" s="1599" t="s">
        <v>2748</v>
      </c>
      <c r="C1037" s="1643" t="e">
        <f>+SUMIF(#REF!,Final!A1037,#REF!)</f>
        <v>#REF!</v>
      </c>
      <c r="D1037" s="1597" t="e">
        <f>+SUMIF(#REF!,Final!A1037,#REF!)</f>
        <v>#REF!</v>
      </c>
      <c r="E1037" s="1643" t="e">
        <f>SUMIF(#REF!,Final!A1037,#REF!)</f>
        <v>#REF!</v>
      </c>
      <c r="F1037" s="1644" t="e">
        <f>SUMIF(#REF!,Final!A1037,#REF!)</f>
        <v>#REF!</v>
      </c>
      <c r="G1037" s="1597" t="e">
        <f t="shared" si="92"/>
        <v>#REF!</v>
      </c>
      <c r="H1037" s="1644" t="e">
        <f t="shared" si="93"/>
        <v>#REF!</v>
      </c>
      <c r="I1037" s="1597" t="e">
        <f t="shared" si="94"/>
        <v>#REF!</v>
      </c>
      <c r="J1037" s="1644" t="e">
        <f t="shared" si="95"/>
        <v>#REF!</v>
      </c>
      <c r="M1037" s="1545"/>
      <c r="N1037" s="1545"/>
    </row>
    <row r="1038" spans="1:93" ht="15.5">
      <c r="A1038" s="1598">
        <v>23.341000000000001</v>
      </c>
      <c r="B1038" s="1599" t="s">
        <v>2749</v>
      </c>
      <c r="C1038" s="1643" t="e">
        <f>+SUMIF(#REF!,Final!A1038,#REF!)</f>
        <v>#REF!</v>
      </c>
      <c r="D1038" s="1597" t="e">
        <f>+SUMIF(#REF!,Final!A1038,#REF!)</f>
        <v>#REF!</v>
      </c>
      <c r="E1038" s="1643" t="e">
        <f>SUMIF(#REF!,Final!A1038,#REF!)</f>
        <v>#REF!</v>
      </c>
      <c r="F1038" s="1644" t="e">
        <f>SUMIF(#REF!,Final!A1038,#REF!)</f>
        <v>#REF!</v>
      </c>
      <c r="G1038" s="1597" t="e">
        <f t="shared" si="92"/>
        <v>#REF!</v>
      </c>
      <c r="H1038" s="1644" t="e">
        <f t="shared" si="93"/>
        <v>#REF!</v>
      </c>
      <c r="I1038" s="1597" t="e">
        <f t="shared" si="94"/>
        <v>#REF!</v>
      </c>
      <c r="J1038" s="1644" t="e">
        <f t="shared" si="95"/>
        <v>#REF!</v>
      </c>
      <c r="M1038" s="1545"/>
      <c r="N1038" s="1545"/>
    </row>
    <row r="1039" spans="1:93" ht="15.5">
      <c r="A1039" s="1598">
        <v>23.346</v>
      </c>
      <c r="B1039" s="1599" t="s">
        <v>1216</v>
      </c>
      <c r="C1039" s="1643" t="e">
        <f>+SUMIF(#REF!,Final!A1039,#REF!)</f>
        <v>#REF!</v>
      </c>
      <c r="D1039" s="1597" t="e">
        <f>+SUMIF(#REF!,Final!A1039,#REF!)</f>
        <v>#REF!</v>
      </c>
      <c r="E1039" s="1643" t="e">
        <f>SUMIF(#REF!,Final!A1039,#REF!)</f>
        <v>#REF!</v>
      </c>
      <c r="F1039" s="1644" t="e">
        <f>SUMIF(#REF!,Final!A1039,#REF!)</f>
        <v>#REF!</v>
      </c>
      <c r="G1039" s="1597" t="e">
        <f t="shared" si="92"/>
        <v>#REF!</v>
      </c>
      <c r="H1039" s="1644" t="e">
        <f t="shared" si="93"/>
        <v>#REF!</v>
      </c>
      <c r="I1039" s="1597" t="e">
        <f t="shared" si="94"/>
        <v>#REF!</v>
      </c>
      <c r="J1039" s="1644" t="e">
        <f t="shared" si="95"/>
        <v>#REF!</v>
      </c>
      <c r="M1039" s="1545"/>
      <c r="N1039" s="1545"/>
    </row>
    <row r="1040" spans="1:93" ht="15.5">
      <c r="A1040" s="1598">
        <v>23.35</v>
      </c>
      <c r="B1040" s="1599" t="s">
        <v>4747</v>
      </c>
      <c r="C1040" s="1643" t="e">
        <f>+SUMIF(#REF!,Final!A1040,#REF!)</f>
        <v>#REF!</v>
      </c>
      <c r="D1040" s="1597" t="e">
        <f>+SUMIF(#REF!,Final!A1040,#REF!)</f>
        <v>#REF!</v>
      </c>
      <c r="E1040" s="1643" t="e">
        <f>SUMIF(#REF!,Final!A1040,#REF!)</f>
        <v>#REF!</v>
      </c>
      <c r="F1040" s="1644" t="e">
        <f>SUMIF(#REF!,Final!A1040,#REF!)</f>
        <v>#REF!</v>
      </c>
      <c r="G1040" s="1597" t="e">
        <f t="shared" si="92"/>
        <v>#REF!</v>
      </c>
      <c r="H1040" s="1644" t="e">
        <f t="shared" si="93"/>
        <v>#REF!</v>
      </c>
      <c r="I1040" s="1597" t="e">
        <f t="shared" si="94"/>
        <v>#REF!</v>
      </c>
      <c r="J1040" s="1644" t="e">
        <f t="shared" si="95"/>
        <v>#REF!</v>
      </c>
      <c r="M1040" s="1545"/>
      <c r="N1040" s="1545"/>
    </row>
    <row r="1041" spans="1:93" ht="15.5">
      <c r="A1041" s="1598">
        <v>23.347999999999999</v>
      </c>
      <c r="B1041" s="1599" t="s">
        <v>2750</v>
      </c>
      <c r="C1041" s="1643" t="e">
        <f>+SUMIF(#REF!,Final!A1041,#REF!)</f>
        <v>#REF!</v>
      </c>
      <c r="D1041" s="1597" t="e">
        <f>+SUMIF(#REF!,Final!A1041,#REF!)</f>
        <v>#REF!</v>
      </c>
      <c r="E1041" s="1643" t="e">
        <f>SUMIF(#REF!,Final!A1041,#REF!)</f>
        <v>#REF!</v>
      </c>
      <c r="F1041" s="1644" t="e">
        <f>SUMIF(#REF!,Final!A1041,#REF!)</f>
        <v>#REF!</v>
      </c>
      <c r="G1041" s="1597" t="e">
        <f t="shared" si="92"/>
        <v>#REF!</v>
      </c>
      <c r="H1041" s="1644" t="e">
        <f t="shared" si="93"/>
        <v>#REF!</v>
      </c>
      <c r="I1041" s="1597" t="e">
        <f t="shared" si="94"/>
        <v>#REF!</v>
      </c>
      <c r="J1041" s="1644" t="e">
        <f t="shared" si="95"/>
        <v>#REF!</v>
      </c>
      <c r="M1041" s="1545"/>
      <c r="N1041" s="1545"/>
    </row>
    <row r="1042" spans="1:93" s="1552" customFormat="1" ht="15.5">
      <c r="A1042" s="1598"/>
      <c r="B1042" s="1599" t="s">
        <v>1747</v>
      </c>
      <c r="C1042" s="1643" t="e">
        <f>+SUMIF(#REF!,Final!A1042,#REF!)</f>
        <v>#REF!</v>
      </c>
      <c r="D1042" s="1597" t="e">
        <f>+SUMIF(#REF!,Final!A1042,#REF!)</f>
        <v>#REF!</v>
      </c>
      <c r="E1042" s="1643" t="e">
        <f>SUMIF(#REF!,Final!A1042,#REF!)</f>
        <v>#REF!</v>
      </c>
      <c r="F1042" s="1644" t="e">
        <f>SUMIF(#REF!,Final!A1042,#REF!)</f>
        <v>#REF!</v>
      </c>
      <c r="G1042" s="1597" t="e">
        <f t="shared" si="92"/>
        <v>#REF!</v>
      </c>
      <c r="H1042" s="1644" t="e">
        <f t="shared" si="93"/>
        <v>#REF!</v>
      </c>
      <c r="I1042" s="1597" t="e">
        <f t="shared" si="94"/>
        <v>#REF!</v>
      </c>
      <c r="J1042" s="1644" t="e">
        <f t="shared" si="95"/>
        <v>#REF!</v>
      </c>
      <c r="K1042" s="1539"/>
      <c r="L1042" s="1539"/>
      <c r="M1042" s="1545"/>
      <c r="N1042" s="1545"/>
      <c r="O1042" s="1539"/>
      <c r="P1042" s="1539"/>
      <c r="Q1042" s="1539"/>
      <c r="R1042" s="1539"/>
      <c r="S1042" s="1539"/>
      <c r="T1042" s="1539"/>
      <c r="U1042" s="1539"/>
      <c r="V1042" s="1539"/>
      <c r="W1042" s="1539"/>
      <c r="X1042" s="1539"/>
      <c r="Y1042" s="1539"/>
      <c r="Z1042" s="1539"/>
      <c r="AA1042" s="1539"/>
      <c r="AB1042" s="1539"/>
      <c r="AC1042" s="1539"/>
      <c r="AD1042" s="1539"/>
      <c r="AE1042" s="1539"/>
      <c r="AF1042" s="1539"/>
      <c r="AG1042" s="1539"/>
      <c r="AH1042" s="1539"/>
      <c r="AI1042" s="1539"/>
      <c r="AJ1042" s="1539"/>
      <c r="AK1042" s="1539"/>
      <c r="AL1042" s="1539"/>
      <c r="AM1042" s="1539"/>
      <c r="AN1042" s="1539"/>
      <c r="AO1042" s="1539"/>
      <c r="AP1042" s="1539"/>
      <c r="AQ1042" s="1539"/>
      <c r="AR1042" s="1539"/>
      <c r="AS1042" s="1539"/>
      <c r="AT1042" s="1539"/>
      <c r="AU1042" s="1539"/>
      <c r="AV1042" s="1539"/>
      <c r="AW1042" s="1539"/>
      <c r="AX1042" s="1539"/>
      <c r="AY1042" s="1539"/>
      <c r="AZ1042" s="1539"/>
      <c r="BA1042" s="1539"/>
      <c r="BB1042" s="1539"/>
      <c r="BC1042" s="1539"/>
      <c r="BD1042" s="1539"/>
      <c r="BE1042" s="1539"/>
      <c r="BF1042" s="1539"/>
      <c r="BG1042" s="1539"/>
      <c r="BH1042" s="1539"/>
      <c r="BI1042" s="1539"/>
      <c r="BJ1042" s="1539"/>
      <c r="BK1042" s="1539"/>
      <c r="BL1042" s="1539"/>
      <c r="BM1042" s="1539"/>
      <c r="BN1042" s="1539"/>
      <c r="BO1042" s="1539"/>
      <c r="BP1042" s="1539"/>
      <c r="BQ1042" s="1539"/>
      <c r="BR1042" s="1539"/>
      <c r="BS1042" s="1539"/>
      <c r="BT1042" s="1539"/>
      <c r="BU1042" s="1539"/>
      <c r="BV1042" s="1539"/>
      <c r="BW1042" s="1539"/>
      <c r="BX1042" s="1539"/>
      <c r="BY1042" s="1539"/>
      <c r="BZ1042" s="1539"/>
      <c r="CA1042" s="1539"/>
      <c r="CB1042" s="1539"/>
      <c r="CC1042" s="1539"/>
      <c r="CD1042" s="1539"/>
      <c r="CE1042" s="1539"/>
      <c r="CF1042" s="1539"/>
      <c r="CG1042" s="1539"/>
      <c r="CH1042" s="1539"/>
      <c r="CI1042" s="1539"/>
      <c r="CJ1042" s="1539"/>
      <c r="CK1042" s="1539"/>
      <c r="CL1042" s="1539"/>
      <c r="CM1042" s="1539"/>
      <c r="CN1042" s="1539"/>
      <c r="CO1042" s="1539"/>
    </row>
    <row r="1043" spans="1:93" s="1552" customFormat="1" ht="15.5">
      <c r="A1043" s="1598"/>
      <c r="B1043" s="1599" t="s">
        <v>1760</v>
      </c>
      <c r="C1043" s="1643" t="e">
        <f>+SUMIF(#REF!,Final!A1043,#REF!)</f>
        <v>#REF!</v>
      </c>
      <c r="D1043" s="1597" t="e">
        <f>+SUMIF(#REF!,Final!A1043,#REF!)</f>
        <v>#REF!</v>
      </c>
      <c r="E1043" s="1643" t="e">
        <f>SUMIF(#REF!,Final!A1043,#REF!)</f>
        <v>#REF!</v>
      </c>
      <c r="F1043" s="1644" t="e">
        <f>SUMIF(#REF!,Final!A1043,#REF!)</f>
        <v>#REF!</v>
      </c>
      <c r="G1043" s="1597" t="e">
        <f t="shared" si="92"/>
        <v>#REF!</v>
      </c>
      <c r="H1043" s="1644" t="e">
        <f t="shared" si="93"/>
        <v>#REF!</v>
      </c>
      <c r="I1043" s="1597" t="e">
        <f t="shared" si="94"/>
        <v>#REF!</v>
      </c>
      <c r="J1043" s="1644" t="e">
        <f t="shared" si="95"/>
        <v>#REF!</v>
      </c>
      <c r="K1043" s="1539"/>
      <c r="L1043" s="1539"/>
      <c r="M1043" s="1545"/>
      <c r="N1043" s="1545"/>
      <c r="O1043" s="1539"/>
      <c r="P1043" s="1539"/>
      <c r="Q1043" s="1539"/>
      <c r="R1043" s="1539"/>
      <c r="S1043" s="1539"/>
      <c r="T1043" s="1539"/>
      <c r="U1043" s="1539"/>
      <c r="V1043" s="1539"/>
      <c r="W1043" s="1539"/>
      <c r="X1043" s="1539"/>
      <c r="Y1043" s="1539"/>
      <c r="Z1043" s="1539"/>
      <c r="AA1043" s="1539"/>
      <c r="AB1043" s="1539"/>
      <c r="AC1043" s="1539"/>
      <c r="AD1043" s="1539"/>
      <c r="AE1043" s="1539"/>
      <c r="AF1043" s="1539"/>
      <c r="AG1043" s="1539"/>
      <c r="AH1043" s="1539"/>
      <c r="AI1043" s="1539"/>
      <c r="AJ1043" s="1539"/>
      <c r="AK1043" s="1539"/>
      <c r="AL1043" s="1539"/>
      <c r="AM1043" s="1539"/>
      <c r="AN1043" s="1539"/>
      <c r="AO1043" s="1539"/>
      <c r="AP1043" s="1539"/>
      <c r="AQ1043" s="1539"/>
      <c r="AR1043" s="1539"/>
      <c r="AS1043" s="1539"/>
      <c r="AT1043" s="1539"/>
      <c r="AU1043" s="1539"/>
      <c r="AV1043" s="1539"/>
      <c r="AW1043" s="1539"/>
      <c r="AX1043" s="1539"/>
      <c r="AY1043" s="1539"/>
      <c r="AZ1043" s="1539"/>
      <c r="BA1043" s="1539"/>
      <c r="BB1043" s="1539"/>
      <c r="BC1043" s="1539"/>
      <c r="BD1043" s="1539"/>
      <c r="BE1043" s="1539"/>
      <c r="BF1043" s="1539"/>
      <c r="BG1043" s="1539"/>
      <c r="BH1043" s="1539"/>
      <c r="BI1043" s="1539"/>
      <c r="BJ1043" s="1539"/>
      <c r="BK1043" s="1539"/>
      <c r="BL1043" s="1539"/>
      <c r="BM1043" s="1539"/>
      <c r="BN1043" s="1539"/>
      <c r="BO1043" s="1539"/>
      <c r="BP1043" s="1539"/>
      <c r="BQ1043" s="1539"/>
      <c r="BR1043" s="1539"/>
      <c r="BS1043" s="1539"/>
      <c r="BT1043" s="1539"/>
      <c r="BU1043" s="1539"/>
      <c r="BV1043" s="1539"/>
      <c r="BW1043" s="1539"/>
      <c r="BX1043" s="1539"/>
      <c r="BY1043" s="1539"/>
      <c r="BZ1043" s="1539"/>
      <c r="CA1043" s="1539"/>
      <c r="CB1043" s="1539"/>
      <c r="CC1043" s="1539"/>
      <c r="CD1043" s="1539"/>
      <c r="CE1043" s="1539"/>
      <c r="CF1043" s="1539"/>
      <c r="CG1043" s="1539"/>
      <c r="CH1043" s="1539"/>
      <c r="CI1043" s="1539"/>
      <c r="CJ1043" s="1539"/>
      <c r="CK1043" s="1539"/>
      <c r="CL1043" s="1539"/>
      <c r="CM1043" s="1539"/>
      <c r="CN1043" s="1539"/>
      <c r="CO1043" s="1539"/>
    </row>
    <row r="1044" spans="1:93" s="1542" customFormat="1" ht="15.5">
      <c r="A1044" s="1598" t="s">
        <v>1102</v>
      </c>
      <c r="B1044" s="1599" t="s">
        <v>2738</v>
      </c>
      <c r="C1044" s="1643" t="e">
        <f>+SUMIF(#REF!,Final!A1044,#REF!)</f>
        <v>#REF!</v>
      </c>
      <c r="D1044" s="1597" t="e">
        <f>+SUMIF(#REF!,Final!A1044,#REF!)</f>
        <v>#REF!</v>
      </c>
      <c r="E1044" s="1643" t="e">
        <f>SUMIF(#REF!,Final!A1044,#REF!)</f>
        <v>#REF!</v>
      </c>
      <c r="F1044" s="1644" t="e">
        <f>SUMIF(#REF!,Final!A1044,#REF!)</f>
        <v>#REF!</v>
      </c>
      <c r="G1044" s="1597" t="e">
        <f t="shared" si="92"/>
        <v>#REF!</v>
      </c>
      <c r="H1044" s="1644" t="e">
        <f t="shared" si="93"/>
        <v>#REF!</v>
      </c>
      <c r="I1044" s="1597" t="e">
        <f t="shared" si="94"/>
        <v>#REF!</v>
      </c>
      <c r="J1044" s="1644" t="e">
        <f t="shared" si="95"/>
        <v>#REF!</v>
      </c>
      <c r="K1044" s="1539"/>
      <c r="L1044" s="1539"/>
      <c r="M1044" s="1545"/>
      <c r="N1044" s="1545"/>
      <c r="O1044" s="1539"/>
      <c r="P1044" s="1539"/>
      <c r="Q1044" s="1539"/>
      <c r="R1044" s="1539"/>
      <c r="S1044" s="1539"/>
      <c r="T1044" s="1539"/>
      <c r="U1044" s="1539"/>
      <c r="V1044" s="1539"/>
      <c r="W1044" s="1539"/>
      <c r="X1044" s="1539"/>
      <c r="Y1044" s="1539"/>
      <c r="Z1044" s="1539"/>
      <c r="AA1044" s="1539"/>
      <c r="AB1044" s="1539"/>
      <c r="AC1044" s="1539"/>
      <c r="AD1044" s="1539"/>
      <c r="AE1044" s="1539"/>
      <c r="AF1044" s="1539"/>
      <c r="AG1044" s="1539"/>
      <c r="AH1044" s="1539"/>
      <c r="AI1044" s="1539"/>
      <c r="AJ1044" s="1539"/>
      <c r="AK1044" s="1539"/>
      <c r="AL1044" s="1539"/>
      <c r="AM1044" s="1539"/>
      <c r="AN1044" s="1539"/>
      <c r="AO1044" s="1539"/>
      <c r="AP1044" s="1539"/>
      <c r="AQ1044" s="1539"/>
      <c r="AR1044" s="1539"/>
      <c r="AS1044" s="1539"/>
      <c r="AT1044" s="1539"/>
      <c r="AU1044" s="1539"/>
      <c r="AV1044" s="1539"/>
      <c r="AW1044" s="1539"/>
      <c r="AX1044" s="1539"/>
      <c r="AY1044" s="1539"/>
      <c r="AZ1044" s="1539"/>
      <c r="BA1044" s="1539"/>
      <c r="BB1044" s="1539"/>
      <c r="BC1044" s="1539"/>
      <c r="BD1044" s="1539"/>
      <c r="BE1044" s="1539"/>
      <c r="BF1044" s="1539"/>
      <c r="BG1044" s="1539"/>
      <c r="BH1044" s="1539"/>
      <c r="BI1044" s="1539"/>
      <c r="BJ1044" s="1539"/>
      <c r="BK1044" s="1539"/>
      <c r="BL1044" s="1539"/>
      <c r="BM1044" s="1539"/>
      <c r="BN1044" s="1539"/>
      <c r="BO1044" s="1539"/>
      <c r="BP1044" s="1539"/>
      <c r="BQ1044" s="1539"/>
      <c r="BR1044" s="1539"/>
      <c r="BS1044" s="1539"/>
      <c r="BT1044" s="1539"/>
      <c r="BU1044" s="1539"/>
      <c r="BV1044" s="1539"/>
      <c r="BW1044" s="1539"/>
      <c r="BX1044" s="1539"/>
      <c r="BY1044" s="1539"/>
      <c r="BZ1044" s="1539"/>
      <c r="CA1044" s="1539"/>
      <c r="CB1044" s="1539"/>
      <c r="CC1044" s="1539"/>
      <c r="CD1044" s="1539"/>
      <c r="CE1044" s="1539"/>
      <c r="CF1044" s="1539"/>
      <c r="CG1044" s="1539"/>
      <c r="CH1044" s="1539"/>
      <c r="CI1044" s="1539"/>
      <c r="CJ1044" s="1539"/>
      <c r="CK1044" s="1539"/>
      <c r="CL1044" s="1539"/>
      <c r="CM1044" s="1539"/>
      <c r="CN1044" s="1539"/>
      <c r="CO1044" s="1539"/>
    </row>
    <row r="1045" spans="1:93" s="1542" customFormat="1" ht="15.5">
      <c r="A1045" s="1598" t="s">
        <v>827</v>
      </c>
      <c r="B1045" s="1599" t="s">
        <v>2751</v>
      </c>
      <c r="C1045" s="1643" t="e">
        <f>+SUMIF(#REF!,Final!A1045,#REF!)</f>
        <v>#REF!</v>
      </c>
      <c r="D1045" s="1597" t="e">
        <f>+SUMIF(#REF!,Final!A1045,#REF!)</f>
        <v>#REF!</v>
      </c>
      <c r="E1045" s="1643" t="e">
        <f>SUMIF(#REF!,Final!A1045,#REF!)</f>
        <v>#REF!</v>
      </c>
      <c r="F1045" s="1644" t="e">
        <f>SUMIF(#REF!,Final!A1045,#REF!)</f>
        <v>#REF!</v>
      </c>
      <c r="G1045" s="1597" t="e">
        <f t="shared" si="92"/>
        <v>#REF!</v>
      </c>
      <c r="H1045" s="1644" t="e">
        <f t="shared" si="93"/>
        <v>#REF!</v>
      </c>
      <c r="I1045" s="1597" t="e">
        <f t="shared" si="94"/>
        <v>#REF!</v>
      </c>
      <c r="J1045" s="1644" t="e">
        <f t="shared" si="95"/>
        <v>#REF!</v>
      </c>
      <c r="K1045" s="1539"/>
      <c r="L1045" s="1539"/>
      <c r="M1045" s="1545"/>
      <c r="N1045" s="1545"/>
      <c r="O1045" s="1539"/>
      <c r="P1045" s="1539"/>
      <c r="Q1045" s="1539"/>
      <c r="R1045" s="1539"/>
      <c r="S1045" s="1539"/>
      <c r="T1045" s="1539"/>
      <c r="U1045" s="1539"/>
      <c r="V1045" s="1539"/>
      <c r="W1045" s="1539"/>
      <c r="X1045" s="1539"/>
      <c r="Y1045" s="1539"/>
      <c r="Z1045" s="1539"/>
      <c r="AA1045" s="1539"/>
      <c r="AB1045" s="1539"/>
      <c r="AC1045" s="1539"/>
      <c r="AD1045" s="1539"/>
      <c r="AE1045" s="1539"/>
      <c r="AF1045" s="1539"/>
      <c r="AG1045" s="1539"/>
      <c r="AH1045" s="1539"/>
      <c r="AI1045" s="1539"/>
      <c r="AJ1045" s="1539"/>
      <c r="AK1045" s="1539"/>
      <c r="AL1045" s="1539"/>
      <c r="AM1045" s="1539"/>
      <c r="AN1045" s="1539"/>
      <c r="AO1045" s="1539"/>
      <c r="AP1045" s="1539"/>
      <c r="AQ1045" s="1539"/>
      <c r="AR1045" s="1539"/>
      <c r="AS1045" s="1539"/>
      <c r="AT1045" s="1539"/>
      <c r="AU1045" s="1539"/>
      <c r="AV1045" s="1539"/>
      <c r="AW1045" s="1539"/>
      <c r="AX1045" s="1539"/>
      <c r="AY1045" s="1539"/>
      <c r="AZ1045" s="1539"/>
      <c r="BA1045" s="1539"/>
      <c r="BB1045" s="1539"/>
      <c r="BC1045" s="1539"/>
      <c r="BD1045" s="1539"/>
      <c r="BE1045" s="1539"/>
      <c r="BF1045" s="1539"/>
      <c r="BG1045" s="1539"/>
      <c r="BH1045" s="1539"/>
      <c r="BI1045" s="1539"/>
      <c r="BJ1045" s="1539"/>
      <c r="BK1045" s="1539"/>
      <c r="BL1045" s="1539"/>
      <c r="BM1045" s="1539"/>
      <c r="BN1045" s="1539"/>
      <c r="BO1045" s="1539"/>
      <c r="BP1045" s="1539"/>
      <c r="BQ1045" s="1539"/>
      <c r="BR1045" s="1539"/>
      <c r="BS1045" s="1539"/>
      <c r="BT1045" s="1539"/>
      <c r="BU1045" s="1539"/>
      <c r="BV1045" s="1539"/>
      <c r="BW1045" s="1539"/>
      <c r="BX1045" s="1539"/>
      <c r="BY1045" s="1539"/>
      <c r="BZ1045" s="1539"/>
      <c r="CA1045" s="1539"/>
      <c r="CB1045" s="1539"/>
      <c r="CC1045" s="1539"/>
      <c r="CD1045" s="1539"/>
      <c r="CE1045" s="1539"/>
      <c r="CF1045" s="1539"/>
      <c r="CG1045" s="1539"/>
      <c r="CH1045" s="1539"/>
      <c r="CI1045" s="1539"/>
      <c r="CJ1045" s="1539"/>
      <c r="CK1045" s="1539"/>
      <c r="CL1045" s="1539"/>
      <c r="CM1045" s="1539"/>
      <c r="CN1045" s="1539"/>
      <c r="CO1045" s="1539"/>
    </row>
    <row r="1046" spans="1:93" ht="15.5">
      <c r="A1046" s="1598">
        <v>23.349</v>
      </c>
      <c r="B1046" s="1599" t="s">
        <v>2752</v>
      </c>
      <c r="C1046" s="1643" t="e">
        <f>+SUMIF(#REF!,Final!A1046,#REF!)</f>
        <v>#REF!</v>
      </c>
      <c r="D1046" s="1597" t="e">
        <f>+SUMIF(#REF!,Final!A1046,#REF!)</f>
        <v>#REF!</v>
      </c>
      <c r="E1046" s="1643" t="e">
        <f>SUMIF(#REF!,Final!A1046,#REF!)</f>
        <v>#REF!</v>
      </c>
      <c r="F1046" s="1644" t="e">
        <f>SUMIF(#REF!,Final!A1046,#REF!)</f>
        <v>#REF!</v>
      </c>
      <c r="G1046" s="1597" t="e">
        <f t="shared" si="92"/>
        <v>#REF!</v>
      </c>
      <c r="H1046" s="1644" t="e">
        <f t="shared" si="93"/>
        <v>#REF!</v>
      </c>
      <c r="I1046" s="1597" t="e">
        <f t="shared" si="94"/>
        <v>#REF!</v>
      </c>
      <c r="J1046" s="1644" t="e">
        <f t="shared" si="95"/>
        <v>#REF!</v>
      </c>
      <c r="M1046" s="1545"/>
      <c r="N1046" s="1545"/>
    </row>
    <row r="1047" spans="1:93" s="1552" customFormat="1" ht="15.5">
      <c r="A1047" s="1598"/>
      <c r="B1047" s="1599" t="s">
        <v>1747</v>
      </c>
      <c r="C1047" s="1643" t="e">
        <f>+SUMIF(#REF!,Final!A1047,#REF!)</f>
        <v>#REF!</v>
      </c>
      <c r="D1047" s="1597" t="e">
        <f>+SUMIF(#REF!,Final!A1047,#REF!)</f>
        <v>#REF!</v>
      </c>
      <c r="E1047" s="1643" t="e">
        <f>SUMIF(#REF!,Final!A1047,#REF!)</f>
        <v>#REF!</v>
      </c>
      <c r="F1047" s="1644" t="e">
        <f>SUMIF(#REF!,Final!A1047,#REF!)</f>
        <v>#REF!</v>
      </c>
      <c r="G1047" s="1597" t="e">
        <f t="shared" ref="G1047:G1110" si="96">C1047+E1047</f>
        <v>#REF!</v>
      </c>
      <c r="H1047" s="1644" t="e">
        <f t="shared" ref="H1047:H1110" si="97">D1047+F1047</f>
        <v>#REF!</v>
      </c>
      <c r="I1047" s="1597" t="e">
        <f t="shared" ref="I1047:I1110" si="98">IF(G1047&gt;H1047,G1047-H1047,0)</f>
        <v>#REF!</v>
      </c>
      <c r="J1047" s="1644" t="e">
        <f t="shared" ref="J1047:J1110" si="99">IF(H1047&gt;G1047,H1047-G1047,0)</f>
        <v>#REF!</v>
      </c>
      <c r="K1047" s="1539"/>
      <c r="L1047" s="1539"/>
      <c r="M1047" s="1545"/>
      <c r="N1047" s="1545"/>
      <c r="O1047" s="1539"/>
      <c r="P1047" s="1539"/>
      <c r="Q1047" s="1539"/>
      <c r="R1047" s="1539"/>
      <c r="S1047" s="1539"/>
      <c r="T1047" s="1539"/>
      <c r="U1047" s="1539"/>
      <c r="V1047" s="1539"/>
      <c r="W1047" s="1539"/>
      <c r="X1047" s="1539"/>
      <c r="Y1047" s="1539"/>
      <c r="Z1047" s="1539"/>
      <c r="AA1047" s="1539"/>
      <c r="AB1047" s="1539"/>
      <c r="AC1047" s="1539"/>
      <c r="AD1047" s="1539"/>
      <c r="AE1047" s="1539"/>
      <c r="AF1047" s="1539"/>
      <c r="AG1047" s="1539"/>
      <c r="AH1047" s="1539"/>
      <c r="AI1047" s="1539"/>
      <c r="AJ1047" s="1539"/>
      <c r="AK1047" s="1539"/>
      <c r="AL1047" s="1539"/>
      <c r="AM1047" s="1539"/>
      <c r="AN1047" s="1539"/>
      <c r="AO1047" s="1539"/>
      <c r="AP1047" s="1539"/>
      <c r="AQ1047" s="1539"/>
      <c r="AR1047" s="1539"/>
      <c r="AS1047" s="1539"/>
      <c r="AT1047" s="1539"/>
      <c r="AU1047" s="1539"/>
      <c r="AV1047" s="1539"/>
      <c r="AW1047" s="1539"/>
      <c r="AX1047" s="1539"/>
      <c r="AY1047" s="1539"/>
      <c r="AZ1047" s="1539"/>
      <c r="BA1047" s="1539"/>
      <c r="BB1047" s="1539"/>
      <c r="BC1047" s="1539"/>
      <c r="BD1047" s="1539"/>
      <c r="BE1047" s="1539"/>
      <c r="BF1047" s="1539"/>
      <c r="BG1047" s="1539"/>
      <c r="BH1047" s="1539"/>
      <c r="BI1047" s="1539"/>
      <c r="BJ1047" s="1539"/>
      <c r="BK1047" s="1539"/>
      <c r="BL1047" s="1539"/>
      <c r="BM1047" s="1539"/>
      <c r="BN1047" s="1539"/>
      <c r="BO1047" s="1539"/>
      <c r="BP1047" s="1539"/>
      <c r="BQ1047" s="1539"/>
      <c r="BR1047" s="1539"/>
      <c r="BS1047" s="1539"/>
      <c r="BT1047" s="1539"/>
      <c r="BU1047" s="1539"/>
      <c r="BV1047" s="1539"/>
      <c r="BW1047" s="1539"/>
      <c r="BX1047" s="1539"/>
      <c r="BY1047" s="1539"/>
      <c r="BZ1047" s="1539"/>
      <c r="CA1047" s="1539"/>
      <c r="CB1047" s="1539"/>
      <c r="CC1047" s="1539"/>
      <c r="CD1047" s="1539"/>
      <c r="CE1047" s="1539"/>
      <c r="CF1047" s="1539"/>
      <c r="CG1047" s="1539"/>
      <c r="CH1047" s="1539"/>
      <c r="CI1047" s="1539"/>
      <c r="CJ1047" s="1539"/>
      <c r="CK1047" s="1539"/>
      <c r="CL1047" s="1539"/>
      <c r="CM1047" s="1539"/>
      <c r="CN1047" s="1539"/>
      <c r="CO1047" s="1539"/>
    </row>
    <row r="1048" spans="1:93" s="1552" customFormat="1" ht="15.5">
      <c r="A1048" s="1598"/>
      <c r="B1048" s="1599" t="s">
        <v>1760</v>
      </c>
      <c r="C1048" s="1643" t="e">
        <f>+SUMIF(#REF!,Final!A1048,#REF!)</f>
        <v>#REF!</v>
      </c>
      <c r="D1048" s="1597" t="e">
        <f>+SUMIF(#REF!,Final!A1048,#REF!)</f>
        <v>#REF!</v>
      </c>
      <c r="E1048" s="1643" t="e">
        <f>SUMIF(#REF!,Final!A1048,#REF!)</f>
        <v>#REF!</v>
      </c>
      <c r="F1048" s="1644" t="e">
        <f>SUMIF(#REF!,Final!A1048,#REF!)</f>
        <v>#REF!</v>
      </c>
      <c r="G1048" s="1597" t="e">
        <f t="shared" si="96"/>
        <v>#REF!</v>
      </c>
      <c r="H1048" s="1644" t="e">
        <f t="shared" si="97"/>
        <v>#REF!</v>
      </c>
      <c r="I1048" s="1597" t="e">
        <f t="shared" si="98"/>
        <v>#REF!</v>
      </c>
      <c r="J1048" s="1644" t="e">
        <f t="shared" si="99"/>
        <v>#REF!</v>
      </c>
      <c r="K1048" s="1539"/>
      <c r="L1048" s="1539"/>
      <c r="M1048" s="1545"/>
      <c r="N1048" s="1545"/>
      <c r="O1048" s="1539"/>
      <c r="P1048" s="1539"/>
      <c r="Q1048" s="1539"/>
      <c r="R1048" s="1539"/>
      <c r="S1048" s="1539"/>
      <c r="T1048" s="1539"/>
      <c r="U1048" s="1539"/>
      <c r="V1048" s="1539"/>
      <c r="W1048" s="1539"/>
      <c r="X1048" s="1539"/>
      <c r="Y1048" s="1539"/>
      <c r="Z1048" s="1539"/>
      <c r="AA1048" s="1539"/>
      <c r="AB1048" s="1539"/>
      <c r="AC1048" s="1539"/>
      <c r="AD1048" s="1539"/>
      <c r="AE1048" s="1539"/>
      <c r="AF1048" s="1539"/>
      <c r="AG1048" s="1539"/>
      <c r="AH1048" s="1539"/>
      <c r="AI1048" s="1539"/>
      <c r="AJ1048" s="1539"/>
      <c r="AK1048" s="1539"/>
      <c r="AL1048" s="1539"/>
      <c r="AM1048" s="1539"/>
      <c r="AN1048" s="1539"/>
      <c r="AO1048" s="1539"/>
      <c r="AP1048" s="1539"/>
      <c r="AQ1048" s="1539"/>
      <c r="AR1048" s="1539"/>
      <c r="AS1048" s="1539"/>
      <c r="AT1048" s="1539"/>
      <c r="AU1048" s="1539"/>
      <c r="AV1048" s="1539"/>
      <c r="AW1048" s="1539"/>
      <c r="AX1048" s="1539"/>
      <c r="AY1048" s="1539"/>
      <c r="AZ1048" s="1539"/>
      <c r="BA1048" s="1539"/>
      <c r="BB1048" s="1539"/>
      <c r="BC1048" s="1539"/>
      <c r="BD1048" s="1539"/>
      <c r="BE1048" s="1539"/>
      <c r="BF1048" s="1539"/>
      <c r="BG1048" s="1539"/>
      <c r="BH1048" s="1539"/>
      <c r="BI1048" s="1539"/>
      <c r="BJ1048" s="1539"/>
      <c r="BK1048" s="1539"/>
      <c r="BL1048" s="1539"/>
      <c r="BM1048" s="1539"/>
      <c r="BN1048" s="1539"/>
      <c r="BO1048" s="1539"/>
      <c r="BP1048" s="1539"/>
      <c r="BQ1048" s="1539"/>
      <c r="BR1048" s="1539"/>
      <c r="BS1048" s="1539"/>
      <c r="BT1048" s="1539"/>
      <c r="BU1048" s="1539"/>
      <c r="BV1048" s="1539"/>
      <c r="BW1048" s="1539"/>
      <c r="BX1048" s="1539"/>
      <c r="BY1048" s="1539"/>
      <c r="BZ1048" s="1539"/>
      <c r="CA1048" s="1539"/>
      <c r="CB1048" s="1539"/>
      <c r="CC1048" s="1539"/>
      <c r="CD1048" s="1539"/>
      <c r="CE1048" s="1539"/>
      <c r="CF1048" s="1539"/>
      <c r="CG1048" s="1539"/>
      <c r="CH1048" s="1539"/>
      <c r="CI1048" s="1539"/>
      <c r="CJ1048" s="1539"/>
      <c r="CK1048" s="1539"/>
      <c r="CL1048" s="1539"/>
      <c r="CM1048" s="1539"/>
      <c r="CN1048" s="1539"/>
      <c r="CO1048" s="1539"/>
    </row>
    <row r="1049" spans="1:93" s="1542" customFormat="1" ht="15.5">
      <c r="A1049" s="1598" t="s">
        <v>1102</v>
      </c>
      <c r="B1049" s="1599" t="s">
        <v>2738</v>
      </c>
      <c r="C1049" s="1643" t="e">
        <f>+SUMIF(#REF!,Final!A1049,#REF!)</f>
        <v>#REF!</v>
      </c>
      <c r="D1049" s="1597" t="e">
        <f>+SUMIF(#REF!,Final!A1049,#REF!)</f>
        <v>#REF!</v>
      </c>
      <c r="E1049" s="1643" t="e">
        <f>SUMIF(#REF!,Final!A1049,#REF!)</f>
        <v>#REF!</v>
      </c>
      <c r="F1049" s="1644" t="e">
        <f>SUMIF(#REF!,Final!A1049,#REF!)</f>
        <v>#REF!</v>
      </c>
      <c r="G1049" s="1597" t="e">
        <f t="shared" si="96"/>
        <v>#REF!</v>
      </c>
      <c r="H1049" s="1644" t="e">
        <f t="shared" si="97"/>
        <v>#REF!</v>
      </c>
      <c r="I1049" s="1597" t="e">
        <f t="shared" si="98"/>
        <v>#REF!</v>
      </c>
      <c r="J1049" s="1644" t="e">
        <f t="shared" si="99"/>
        <v>#REF!</v>
      </c>
      <c r="K1049" s="1539"/>
      <c r="L1049" s="1539"/>
      <c r="M1049" s="1545"/>
      <c r="N1049" s="1545"/>
      <c r="O1049" s="1539"/>
      <c r="P1049" s="1539"/>
      <c r="Q1049" s="1539"/>
      <c r="R1049" s="1539"/>
      <c r="S1049" s="1539"/>
      <c r="T1049" s="1539"/>
      <c r="U1049" s="1539"/>
      <c r="V1049" s="1539"/>
      <c r="W1049" s="1539"/>
      <c r="X1049" s="1539"/>
      <c r="Y1049" s="1539"/>
      <c r="Z1049" s="1539"/>
      <c r="AA1049" s="1539"/>
      <c r="AB1049" s="1539"/>
      <c r="AC1049" s="1539"/>
      <c r="AD1049" s="1539"/>
      <c r="AE1049" s="1539"/>
      <c r="AF1049" s="1539"/>
      <c r="AG1049" s="1539"/>
      <c r="AH1049" s="1539"/>
      <c r="AI1049" s="1539"/>
      <c r="AJ1049" s="1539"/>
      <c r="AK1049" s="1539"/>
      <c r="AL1049" s="1539"/>
      <c r="AM1049" s="1539"/>
      <c r="AN1049" s="1539"/>
      <c r="AO1049" s="1539"/>
      <c r="AP1049" s="1539"/>
      <c r="AQ1049" s="1539"/>
      <c r="AR1049" s="1539"/>
      <c r="AS1049" s="1539"/>
      <c r="AT1049" s="1539"/>
      <c r="AU1049" s="1539"/>
      <c r="AV1049" s="1539"/>
      <c r="AW1049" s="1539"/>
      <c r="AX1049" s="1539"/>
      <c r="AY1049" s="1539"/>
      <c r="AZ1049" s="1539"/>
      <c r="BA1049" s="1539"/>
      <c r="BB1049" s="1539"/>
      <c r="BC1049" s="1539"/>
      <c r="BD1049" s="1539"/>
      <c r="BE1049" s="1539"/>
      <c r="BF1049" s="1539"/>
      <c r="BG1049" s="1539"/>
      <c r="BH1049" s="1539"/>
      <c r="BI1049" s="1539"/>
      <c r="BJ1049" s="1539"/>
      <c r="BK1049" s="1539"/>
      <c r="BL1049" s="1539"/>
      <c r="BM1049" s="1539"/>
      <c r="BN1049" s="1539"/>
      <c r="BO1049" s="1539"/>
      <c r="BP1049" s="1539"/>
      <c r="BQ1049" s="1539"/>
      <c r="BR1049" s="1539"/>
      <c r="BS1049" s="1539"/>
      <c r="BT1049" s="1539"/>
      <c r="BU1049" s="1539"/>
      <c r="BV1049" s="1539"/>
      <c r="BW1049" s="1539"/>
      <c r="BX1049" s="1539"/>
      <c r="BY1049" s="1539"/>
      <c r="BZ1049" s="1539"/>
      <c r="CA1049" s="1539"/>
      <c r="CB1049" s="1539"/>
      <c r="CC1049" s="1539"/>
      <c r="CD1049" s="1539"/>
      <c r="CE1049" s="1539"/>
      <c r="CF1049" s="1539"/>
      <c r="CG1049" s="1539"/>
      <c r="CH1049" s="1539"/>
      <c r="CI1049" s="1539"/>
      <c r="CJ1049" s="1539"/>
      <c r="CK1049" s="1539"/>
      <c r="CL1049" s="1539"/>
      <c r="CM1049" s="1539"/>
      <c r="CN1049" s="1539"/>
      <c r="CO1049" s="1539"/>
    </row>
    <row r="1050" spans="1:93" s="1542" customFormat="1" ht="15.5">
      <c r="A1050" s="1598" t="s">
        <v>443</v>
      </c>
      <c r="B1050" s="1599" t="s">
        <v>2753</v>
      </c>
      <c r="C1050" s="1643" t="e">
        <f>+SUMIF(#REF!,Final!A1050,#REF!)</f>
        <v>#REF!</v>
      </c>
      <c r="D1050" s="1597" t="e">
        <f>+SUMIF(#REF!,Final!A1050,#REF!)</f>
        <v>#REF!</v>
      </c>
      <c r="E1050" s="1643" t="e">
        <f>SUMIF(#REF!,Final!A1050,#REF!)</f>
        <v>#REF!</v>
      </c>
      <c r="F1050" s="1644" t="e">
        <f>SUMIF(#REF!,Final!A1050,#REF!)</f>
        <v>#REF!</v>
      </c>
      <c r="G1050" s="1597" t="e">
        <f t="shared" si="96"/>
        <v>#REF!</v>
      </c>
      <c r="H1050" s="1644" t="e">
        <f t="shared" si="97"/>
        <v>#REF!</v>
      </c>
      <c r="I1050" s="1597" t="e">
        <f t="shared" si="98"/>
        <v>#REF!</v>
      </c>
      <c r="J1050" s="1644" t="e">
        <f t="shared" si="99"/>
        <v>#REF!</v>
      </c>
      <c r="K1050" s="1539"/>
      <c r="L1050" s="1539"/>
      <c r="M1050" s="1545"/>
      <c r="N1050" s="1545"/>
      <c r="O1050" s="1539"/>
      <c r="P1050" s="1539"/>
      <c r="Q1050" s="1539"/>
      <c r="R1050" s="1539"/>
      <c r="S1050" s="1539"/>
      <c r="T1050" s="1539"/>
      <c r="U1050" s="1539"/>
      <c r="V1050" s="1539"/>
      <c r="W1050" s="1539"/>
      <c r="X1050" s="1539"/>
      <c r="Y1050" s="1539"/>
      <c r="Z1050" s="1539"/>
      <c r="AA1050" s="1539"/>
      <c r="AB1050" s="1539"/>
      <c r="AC1050" s="1539"/>
      <c r="AD1050" s="1539"/>
      <c r="AE1050" s="1539"/>
      <c r="AF1050" s="1539"/>
      <c r="AG1050" s="1539"/>
      <c r="AH1050" s="1539"/>
      <c r="AI1050" s="1539"/>
      <c r="AJ1050" s="1539"/>
      <c r="AK1050" s="1539"/>
      <c r="AL1050" s="1539"/>
      <c r="AM1050" s="1539"/>
      <c r="AN1050" s="1539"/>
      <c r="AO1050" s="1539"/>
      <c r="AP1050" s="1539"/>
      <c r="AQ1050" s="1539"/>
      <c r="AR1050" s="1539"/>
      <c r="AS1050" s="1539"/>
      <c r="AT1050" s="1539"/>
      <c r="AU1050" s="1539"/>
      <c r="AV1050" s="1539"/>
      <c r="AW1050" s="1539"/>
      <c r="AX1050" s="1539"/>
      <c r="AY1050" s="1539"/>
      <c r="AZ1050" s="1539"/>
      <c r="BA1050" s="1539"/>
      <c r="BB1050" s="1539"/>
      <c r="BC1050" s="1539"/>
      <c r="BD1050" s="1539"/>
      <c r="BE1050" s="1539"/>
      <c r="BF1050" s="1539"/>
      <c r="BG1050" s="1539"/>
      <c r="BH1050" s="1539"/>
      <c r="BI1050" s="1539"/>
      <c r="BJ1050" s="1539"/>
      <c r="BK1050" s="1539"/>
      <c r="BL1050" s="1539"/>
      <c r="BM1050" s="1539"/>
      <c r="BN1050" s="1539"/>
      <c r="BO1050" s="1539"/>
      <c r="BP1050" s="1539"/>
      <c r="BQ1050" s="1539"/>
      <c r="BR1050" s="1539"/>
      <c r="BS1050" s="1539"/>
      <c r="BT1050" s="1539"/>
      <c r="BU1050" s="1539"/>
      <c r="BV1050" s="1539"/>
      <c r="BW1050" s="1539"/>
      <c r="BX1050" s="1539"/>
      <c r="BY1050" s="1539"/>
      <c r="BZ1050" s="1539"/>
      <c r="CA1050" s="1539"/>
      <c r="CB1050" s="1539"/>
      <c r="CC1050" s="1539"/>
      <c r="CD1050" s="1539"/>
      <c r="CE1050" s="1539"/>
      <c r="CF1050" s="1539"/>
      <c r="CG1050" s="1539"/>
      <c r="CH1050" s="1539"/>
      <c r="CI1050" s="1539"/>
      <c r="CJ1050" s="1539"/>
      <c r="CK1050" s="1539"/>
      <c r="CL1050" s="1539"/>
      <c r="CM1050" s="1539"/>
      <c r="CN1050" s="1539"/>
      <c r="CO1050" s="1539"/>
    </row>
    <row r="1051" spans="1:93" ht="15.5">
      <c r="A1051" s="1598">
        <v>23.350999999999999</v>
      </c>
      <c r="B1051" s="1599" t="s">
        <v>666</v>
      </c>
      <c r="C1051" s="1643" t="e">
        <f>+SUMIF(#REF!,Final!A1051,#REF!)</f>
        <v>#REF!</v>
      </c>
      <c r="D1051" s="1597" t="e">
        <f>+SUMIF(#REF!,Final!A1051,#REF!)</f>
        <v>#REF!</v>
      </c>
      <c r="E1051" s="1643" t="e">
        <f>SUMIF(#REF!,Final!A1051,#REF!)</f>
        <v>#REF!</v>
      </c>
      <c r="F1051" s="1644" t="e">
        <f>SUMIF(#REF!,Final!A1051,#REF!)</f>
        <v>#REF!</v>
      </c>
      <c r="G1051" s="1597" t="e">
        <f t="shared" si="96"/>
        <v>#REF!</v>
      </c>
      <c r="H1051" s="1644" t="e">
        <f t="shared" si="97"/>
        <v>#REF!</v>
      </c>
      <c r="I1051" s="1597" t="e">
        <f t="shared" si="98"/>
        <v>#REF!</v>
      </c>
      <c r="J1051" s="1644" t="e">
        <f t="shared" si="99"/>
        <v>#REF!</v>
      </c>
      <c r="M1051" s="1545"/>
      <c r="N1051" s="1545"/>
    </row>
    <row r="1052" spans="1:93" ht="15.5">
      <c r="A1052" s="1598">
        <v>23.352</v>
      </c>
      <c r="B1052" s="1599" t="s">
        <v>1335</v>
      </c>
      <c r="C1052" s="1643" t="e">
        <f>+SUMIF(#REF!,Final!A1052,#REF!)</f>
        <v>#REF!</v>
      </c>
      <c r="D1052" s="1597" t="e">
        <f>+SUMIF(#REF!,Final!A1052,#REF!)</f>
        <v>#REF!</v>
      </c>
      <c r="E1052" s="1643" t="e">
        <f>SUMIF(#REF!,Final!A1052,#REF!)</f>
        <v>#REF!</v>
      </c>
      <c r="F1052" s="1644" t="e">
        <f>SUMIF(#REF!,Final!A1052,#REF!)</f>
        <v>#REF!</v>
      </c>
      <c r="G1052" s="1597" t="e">
        <f t="shared" si="96"/>
        <v>#REF!</v>
      </c>
      <c r="H1052" s="1644" t="e">
        <f t="shared" si="97"/>
        <v>#REF!</v>
      </c>
      <c r="I1052" s="1597" t="e">
        <f t="shared" si="98"/>
        <v>#REF!</v>
      </c>
      <c r="J1052" s="1644" t="e">
        <f t="shared" si="99"/>
        <v>#REF!</v>
      </c>
      <c r="M1052" s="1545"/>
      <c r="N1052" s="1545"/>
    </row>
    <row r="1053" spans="1:93" ht="15.5">
      <c r="A1053" s="1598">
        <v>23.353000000000002</v>
      </c>
      <c r="B1053" s="1599" t="s">
        <v>1899</v>
      </c>
      <c r="C1053" s="1643" t="e">
        <f>+SUMIF(#REF!,Final!A1053,#REF!)</f>
        <v>#REF!</v>
      </c>
      <c r="D1053" s="1597" t="e">
        <f>+SUMIF(#REF!,Final!A1053,#REF!)</f>
        <v>#REF!</v>
      </c>
      <c r="E1053" s="1643" t="e">
        <f>SUMIF(#REF!,Final!A1053,#REF!)</f>
        <v>#REF!</v>
      </c>
      <c r="F1053" s="1644" t="e">
        <f>SUMIF(#REF!,Final!A1053,#REF!)</f>
        <v>#REF!</v>
      </c>
      <c r="G1053" s="1597" t="e">
        <f t="shared" si="96"/>
        <v>#REF!</v>
      </c>
      <c r="H1053" s="1644" t="e">
        <f t="shared" si="97"/>
        <v>#REF!</v>
      </c>
      <c r="I1053" s="1597" t="e">
        <f t="shared" si="98"/>
        <v>#REF!</v>
      </c>
      <c r="J1053" s="1644" t="e">
        <f t="shared" si="99"/>
        <v>#REF!</v>
      </c>
      <c r="M1053" s="1545"/>
      <c r="N1053" s="1545"/>
    </row>
    <row r="1054" spans="1:93" ht="15.5">
      <c r="A1054" s="1598">
        <v>23.353999999999999</v>
      </c>
      <c r="B1054" s="1599" t="s">
        <v>1900</v>
      </c>
      <c r="C1054" s="1643" t="e">
        <f>+SUMIF(#REF!,Final!A1054,#REF!)</f>
        <v>#REF!</v>
      </c>
      <c r="D1054" s="1597" t="e">
        <f>+SUMIF(#REF!,Final!A1054,#REF!)</f>
        <v>#REF!</v>
      </c>
      <c r="E1054" s="1643" t="e">
        <f>SUMIF(#REF!,Final!A1054,#REF!)</f>
        <v>#REF!</v>
      </c>
      <c r="F1054" s="1644" t="e">
        <f>SUMIF(#REF!,Final!A1054,#REF!)</f>
        <v>#REF!</v>
      </c>
      <c r="G1054" s="1597" t="e">
        <f t="shared" si="96"/>
        <v>#REF!</v>
      </c>
      <c r="H1054" s="1644" t="e">
        <f t="shared" si="97"/>
        <v>#REF!</v>
      </c>
      <c r="I1054" s="1597" t="e">
        <f t="shared" si="98"/>
        <v>#REF!</v>
      </c>
      <c r="J1054" s="1644" t="e">
        <f t="shared" si="99"/>
        <v>#REF!</v>
      </c>
      <c r="M1054" s="1545"/>
      <c r="N1054" s="1545"/>
    </row>
    <row r="1055" spans="1:93" ht="15.5">
      <c r="A1055" s="1598">
        <v>23.355</v>
      </c>
      <c r="B1055" s="1599" t="s">
        <v>890</v>
      </c>
      <c r="C1055" s="1643" t="e">
        <f>+SUMIF(#REF!,Final!A1055,#REF!)</f>
        <v>#REF!</v>
      </c>
      <c r="D1055" s="1597" t="e">
        <f>+SUMIF(#REF!,Final!A1055,#REF!)</f>
        <v>#REF!</v>
      </c>
      <c r="E1055" s="1643" t="e">
        <f>SUMIF(#REF!,Final!A1055,#REF!)</f>
        <v>#REF!</v>
      </c>
      <c r="F1055" s="1644" t="e">
        <f>SUMIF(#REF!,Final!A1055,#REF!)</f>
        <v>#REF!</v>
      </c>
      <c r="G1055" s="1597" t="e">
        <f t="shared" si="96"/>
        <v>#REF!</v>
      </c>
      <c r="H1055" s="1644" t="e">
        <f t="shared" si="97"/>
        <v>#REF!</v>
      </c>
      <c r="I1055" s="1597" t="e">
        <f t="shared" si="98"/>
        <v>#REF!</v>
      </c>
      <c r="J1055" s="1644" t="e">
        <f t="shared" si="99"/>
        <v>#REF!</v>
      </c>
      <c r="M1055" s="1545"/>
      <c r="N1055" s="1545"/>
    </row>
    <row r="1056" spans="1:93" ht="15.5">
      <c r="A1056" s="1598">
        <v>23.356000000000002</v>
      </c>
      <c r="B1056" s="1599" t="s">
        <v>892</v>
      </c>
      <c r="C1056" s="1643" t="e">
        <f>+SUMIF(#REF!,Final!A1056,#REF!)</f>
        <v>#REF!</v>
      </c>
      <c r="D1056" s="1597" t="e">
        <f>+SUMIF(#REF!,Final!A1056,#REF!)</f>
        <v>#REF!</v>
      </c>
      <c r="E1056" s="1643" t="e">
        <f>SUMIF(#REF!,Final!A1056,#REF!)</f>
        <v>#REF!</v>
      </c>
      <c r="F1056" s="1644" t="e">
        <f>SUMIF(#REF!,Final!A1056,#REF!)</f>
        <v>#REF!</v>
      </c>
      <c r="G1056" s="1597" t="e">
        <f t="shared" si="96"/>
        <v>#REF!</v>
      </c>
      <c r="H1056" s="1644" t="e">
        <f t="shared" si="97"/>
        <v>#REF!</v>
      </c>
      <c r="I1056" s="1597" t="e">
        <f t="shared" si="98"/>
        <v>#REF!</v>
      </c>
      <c r="J1056" s="1644" t="e">
        <f t="shared" si="99"/>
        <v>#REF!</v>
      </c>
      <c r="M1056" s="1545"/>
      <c r="N1056" s="1545"/>
    </row>
    <row r="1057" spans="1:93" ht="15.5">
      <c r="A1057" s="1598">
        <v>23.356999999999999</v>
      </c>
      <c r="B1057" s="1599" t="s">
        <v>893</v>
      </c>
      <c r="C1057" s="1643" t="e">
        <f>+SUMIF(#REF!,Final!A1057,#REF!)</f>
        <v>#REF!</v>
      </c>
      <c r="D1057" s="1597" t="e">
        <f>+SUMIF(#REF!,Final!A1057,#REF!)</f>
        <v>#REF!</v>
      </c>
      <c r="E1057" s="1643" t="e">
        <f>SUMIF(#REF!,Final!A1057,#REF!)</f>
        <v>#REF!</v>
      </c>
      <c r="F1057" s="1644" t="e">
        <f>SUMIF(#REF!,Final!A1057,#REF!)</f>
        <v>#REF!</v>
      </c>
      <c r="G1057" s="1597" t="e">
        <f t="shared" si="96"/>
        <v>#REF!</v>
      </c>
      <c r="H1057" s="1644" t="e">
        <f t="shared" si="97"/>
        <v>#REF!</v>
      </c>
      <c r="I1057" s="1597" t="e">
        <f t="shared" si="98"/>
        <v>#REF!</v>
      </c>
      <c r="J1057" s="1644" t="e">
        <f t="shared" si="99"/>
        <v>#REF!</v>
      </c>
      <c r="M1057" s="1545"/>
      <c r="N1057" s="1545"/>
    </row>
    <row r="1058" spans="1:93" ht="15.5">
      <c r="A1058" s="1598">
        <v>23.358000000000001</v>
      </c>
      <c r="B1058" s="1599" t="s">
        <v>539</v>
      </c>
      <c r="C1058" s="1643" t="e">
        <f>+SUMIF(#REF!,Final!A1058,#REF!)</f>
        <v>#REF!</v>
      </c>
      <c r="D1058" s="1597" t="e">
        <f>+SUMIF(#REF!,Final!A1058,#REF!)</f>
        <v>#REF!</v>
      </c>
      <c r="E1058" s="1643" t="e">
        <f>SUMIF(#REF!,Final!A1058,#REF!)</f>
        <v>#REF!</v>
      </c>
      <c r="F1058" s="1644" t="e">
        <f>SUMIF(#REF!,Final!A1058,#REF!)</f>
        <v>#REF!</v>
      </c>
      <c r="G1058" s="1597" t="e">
        <f t="shared" si="96"/>
        <v>#REF!</v>
      </c>
      <c r="H1058" s="1644" t="e">
        <f t="shared" si="97"/>
        <v>#REF!</v>
      </c>
      <c r="I1058" s="1597" t="e">
        <f t="shared" si="98"/>
        <v>#REF!</v>
      </c>
      <c r="J1058" s="1644" t="e">
        <f t="shared" si="99"/>
        <v>#REF!</v>
      </c>
      <c r="M1058" s="1545"/>
      <c r="N1058" s="1545"/>
    </row>
    <row r="1059" spans="1:93" ht="15.5">
      <c r="A1059" s="1598">
        <v>23.359000000000002</v>
      </c>
      <c r="B1059" s="1599" t="s">
        <v>540</v>
      </c>
      <c r="C1059" s="1643" t="e">
        <f>+SUMIF(#REF!,Final!A1059,#REF!)</f>
        <v>#REF!</v>
      </c>
      <c r="D1059" s="1597" t="e">
        <f>+SUMIF(#REF!,Final!A1059,#REF!)</f>
        <v>#REF!</v>
      </c>
      <c r="E1059" s="1643" t="e">
        <f>SUMIF(#REF!,Final!A1059,#REF!)</f>
        <v>#REF!</v>
      </c>
      <c r="F1059" s="1644" t="e">
        <f>SUMIF(#REF!,Final!A1059,#REF!)</f>
        <v>#REF!</v>
      </c>
      <c r="G1059" s="1597" t="e">
        <f t="shared" si="96"/>
        <v>#REF!</v>
      </c>
      <c r="H1059" s="1644" t="e">
        <f t="shared" si="97"/>
        <v>#REF!</v>
      </c>
      <c r="I1059" s="1597" t="e">
        <f t="shared" si="98"/>
        <v>#REF!</v>
      </c>
      <c r="J1059" s="1644" t="e">
        <f t="shared" si="99"/>
        <v>#REF!</v>
      </c>
      <c r="M1059" s="1545"/>
      <c r="N1059" s="1545"/>
    </row>
    <row r="1060" spans="1:93" ht="15.5">
      <c r="A1060" s="1598">
        <v>23.36</v>
      </c>
      <c r="B1060" s="1599" t="s">
        <v>1901</v>
      </c>
      <c r="C1060" s="1643" t="e">
        <f>+SUMIF(#REF!,Final!A1060,#REF!)</f>
        <v>#REF!</v>
      </c>
      <c r="D1060" s="1597" t="e">
        <f>+SUMIF(#REF!,Final!A1060,#REF!)</f>
        <v>#REF!</v>
      </c>
      <c r="E1060" s="1643" t="e">
        <f>SUMIF(#REF!,Final!A1060,#REF!)</f>
        <v>#REF!</v>
      </c>
      <c r="F1060" s="1644" t="e">
        <f>SUMIF(#REF!,Final!A1060,#REF!)</f>
        <v>#REF!</v>
      </c>
      <c r="G1060" s="1597" t="e">
        <f t="shared" si="96"/>
        <v>#REF!</v>
      </c>
      <c r="H1060" s="1644" t="e">
        <f t="shared" si="97"/>
        <v>#REF!</v>
      </c>
      <c r="I1060" s="1597" t="e">
        <f t="shared" si="98"/>
        <v>#REF!</v>
      </c>
      <c r="J1060" s="1644" t="e">
        <f t="shared" si="99"/>
        <v>#REF!</v>
      </c>
      <c r="M1060" s="1545"/>
      <c r="N1060" s="1545"/>
    </row>
    <row r="1061" spans="1:93" ht="15.5">
      <c r="A1061" s="1598">
        <v>23.361000000000001</v>
      </c>
      <c r="B1061" s="1599" t="s">
        <v>1902</v>
      </c>
      <c r="C1061" s="1643" t="e">
        <f>+SUMIF(#REF!,Final!A1061,#REF!)</f>
        <v>#REF!</v>
      </c>
      <c r="D1061" s="1597" t="e">
        <f>+SUMIF(#REF!,Final!A1061,#REF!)</f>
        <v>#REF!</v>
      </c>
      <c r="E1061" s="1643" t="e">
        <f>SUMIF(#REF!,Final!A1061,#REF!)</f>
        <v>#REF!</v>
      </c>
      <c r="F1061" s="1644" t="e">
        <f>SUMIF(#REF!,Final!A1061,#REF!)</f>
        <v>#REF!</v>
      </c>
      <c r="G1061" s="1597" t="e">
        <f t="shared" si="96"/>
        <v>#REF!</v>
      </c>
      <c r="H1061" s="1644" t="e">
        <f t="shared" si="97"/>
        <v>#REF!</v>
      </c>
      <c r="I1061" s="1597" t="e">
        <f t="shared" si="98"/>
        <v>#REF!</v>
      </c>
      <c r="J1061" s="1644" t="e">
        <f t="shared" si="99"/>
        <v>#REF!</v>
      </c>
      <c r="M1061" s="1545"/>
      <c r="N1061" s="1545"/>
    </row>
    <row r="1062" spans="1:93" ht="15.5">
      <c r="A1062" s="1598">
        <v>23.361999999999998</v>
      </c>
      <c r="B1062" s="1599" t="s">
        <v>2740</v>
      </c>
      <c r="C1062" s="1643" t="e">
        <f>+SUMIF(#REF!,Final!A1062,#REF!)</f>
        <v>#REF!</v>
      </c>
      <c r="D1062" s="1597" t="e">
        <f>+SUMIF(#REF!,Final!A1062,#REF!)</f>
        <v>#REF!</v>
      </c>
      <c r="E1062" s="1643" t="e">
        <f>SUMIF(#REF!,Final!A1062,#REF!)</f>
        <v>#REF!</v>
      </c>
      <c r="F1062" s="1644" t="e">
        <f>SUMIF(#REF!,Final!A1062,#REF!)</f>
        <v>#REF!</v>
      </c>
      <c r="G1062" s="1597" t="e">
        <f t="shared" si="96"/>
        <v>#REF!</v>
      </c>
      <c r="H1062" s="1644" t="e">
        <f t="shared" si="97"/>
        <v>#REF!</v>
      </c>
      <c r="I1062" s="1597" t="e">
        <f t="shared" si="98"/>
        <v>#REF!</v>
      </c>
      <c r="J1062" s="1644" t="e">
        <f t="shared" si="99"/>
        <v>#REF!</v>
      </c>
      <c r="M1062" s="1545"/>
      <c r="N1062" s="1545"/>
    </row>
    <row r="1063" spans="1:93" ht="15.5">
      <c r="A1063" s="1598">
        <v>23.363</v>
      </c>
      <c r="B1063" s="1599" t="s">
        <v>2741</v>
      </c>
      <c r="C1063" s="1643" t="e">
        <f>+SUMIF(#REF!,Final!A1063,#REF!)</f>
        <v>#REF!</v>
      </c>
      <c r="D1063" s="1597" t="e">
        <f>+SUMIF(#REF!,Final!A1063,#REF!)</f>
        <v>#REF!</v>
      </c>
      <c r="E1063" s="1643" t="e">
        <f>SUMIF(#REF!,Final!A1063,#REF!)</f>
        <v>#REF!</v>
      </c>
      <c r="F1063" s="1644" t="e">
        <f>SUMIF(#REF!,Final!A1063,#REF!)</f>
        <v>#REF!</v>
      </c>
      <c r="G1063" s="1597" t="e">
        <f t="shared" si="96"/>
        <v>#REF!</v>
      </c>
      <c r="H1063" s="1644" t="e">
        <f t="shared" si="97"/>
        <v>#REF!</v>
      </c>
      <c r="I1063" s="1597" t="e">
        <f t="shared" si="98"/>
        <v>#REF!</v>
      </c>
      <c r="J1063" s="1644" t="e">
        <f t="shared" si="99"/>
        <v>#REF!</v>
      </c>
      <c r="M1063" s="1545"/>
      <c r="N1063" s="1545"/>
    </row>
    <row r="1064" spans="1:93" ht="15.5">
      <c r="A1064" s="1598">
        <v>23.364000000000001</v>
      </c>
      <c r="B1064" s="1599" t="s">
        <v>2742</v>
      </c>
      <c r="C1064" s="1643" t="e">
        <f>+SUMIF(#REF!,Final!A1064,#REF!)</f>
        <v>#REF!</v>
      </c>
      <c r="D1064" s="1597" t="e">
        <f>+SUMIF(#REF!,Final!A1064,#REF!)</f>
        <v>#REF!</v>
      </c>
      <c r="E1064" s="1643" t="e">
        <f>SUMIF(#REF!,Final!A1064,#REF!)</f>
        <v>#REF!</v>
      </c>
      <c r="F1064" s="1644" t="e">
        <f>SUMIF(#REF!,Final!A1064,#REF!)</f>
        <v>#REF!</v>
      </c>
      <c r="G1064" s="1597" t="e">
        <f t="shared" si="96"/>
        <v>#REF!</v>
      </c>
      <c r="H1064" s="1644" t="e">
        <f t="shared" si="97"/>
        <v>#REF!</v>
      </c>
      <c r="I1064" s="1597" t="e">
        <f t="shared" si="98"/>
        <v>#REF!</v>
      </c>
      <c r="J1064" s="1644" t="e">
        <f t="shared" si="99"/>
        <v>#REF!</v>
      </c>
      <c r="M1064" s="1545"/>
      <c r="N1064" s="1545"/>
    </row>
    <row r="1065" spans="1:93" ht="15.5">
      <c r="A1065" s="1598">
        <v>23.364999999999998</v>
      </c>
      <c r="B1065" s="1599" t="s">
        <v>669</v>
      </c>
      <c r="C1065" s="1643" t="e">
        <f>+SUMIF(#REF!,Final!A1065,#REF!)</f>
        <v>#REF!</v>
      </c>
      <c r="D1065" s="1597" t="e">
        <f>+SUMIF(#REF!,Final!A1065,#REF!)</f>
        <v>#REF!</v>
      </c>
      <c r="E1065" s="1643" t="e">
        <f>SUMIF(#REF!,Final!A1065,#REF!)</f>
        <v>#REF!</v>
      </c>
      <c r="F1065" s="1644" t="e">
        <f>SUMIF(#REF!,Final!A1065,#REF!)</f>
        <v>#REF!</v>
      </c>
      <c r="G1065" s="1597" t="e">
        <f t="shared" si="96"/>
        <v>#REF!</v>
      </c>
      <c r="H1065" s="1644" t="e">
        <f t="shared" si="97"/>
        <v>#REF!</v>
      </c>
      <c r="I1065" s="1597" t="e">
        <f t="shared" si="98"/>
        <v>#REF!</v>
      </c>
      <c r="J1065" s="1644" t="e">
        <f t="shared" si="99"/>
        <v>#REF!</v>
      </c>
      <c r="M1065" s="1545"/>
      <c r="N1065" s="1545"/>
    </row>
    <row r="1066" spans="1:93" s="1543" customFormat="1" ht="15.5">
      <c r="A1066" s="1598">
        <v>23.366</v>
      </c>
      <c r="B1066" s="1599" t="s">
        <v>423</v>
      </c>
      <c r="C1066" s="1643" t="e">
        <f>+SUMIF(#REF!,Final!A1066,#REF!)</f>
        <v>#REF!</v>
      </c>
      <c r="D1066" s="1597" t="e">
        <f>+SUMIF(#REF!,Final!A1066,#REF!)</f>
        <v>#REF!</v>
      </c>
      <c r="E1066" s="1643" t="e">
        <f>SUMIF(#REF!,Final!A1066,#REF!)</f>
        <v>#REF!</v>
      </c>
      <c r="F1066" s="1644" t="e">
        <f>SUMIF(#REF!,Final!A1066,#REF!)</f>
        <v>#REF!</v>
      </c>
      <c r="G1066" s="1597" t="e">
        <f t="shared" si="96"/>
        <v>#REF!</v>
      </c>
      <c r="H1066" s="1644" t="e">
        <f t="shared" si="97"/>
        <v>#REF!</v>
      </c>
      <c r="I1066" s="1597" t="e">
        <f t="shared" si="98"/>
        <v>#REF!</v>
      </c>
      <c r="J1066" s="1644" t="e">
        <f t="shared" si="99"/>
        <v>#REF!</v>
      </c>
      <c r="K1066" s="1539"/>
      <c r="L1066" s="1539"/>
      <c r="M1066" s="1545"/>
      <c r="N1066" s="1545"/>
      <c r="O1066" s="1539"/>
      <c r="P1066" s="1539"/>
      <c r="Q1066" s="1539"/>
      <c r="R1066" s="1539"/>
      <c r="S1066" s="1539"/>
      <c r="T1066" s="1539"/>
      <c r="U1066" s="1539"/>
      <c r="V1066" s="1539"/>
      <c r="W1066" s="1539"/>
      <c r="X1066" s="1539"/>
      <c r="Y1066" s="1539"/>
      <c r="Z1066" s="1539"/>
      <c r="AA1066" s="1539"/>
      <c r="AB1066" s="1539"/>
      <c r="AC1066" s="1539"/>
      <c r="AD1066" s="1539"/>
      <c r="AE1066" s="1539"/>
      <c r="AF1066" s="1539"/>
      <c r="AG1066" s="1539"/>
      <c r="AH1066" s="1539"/>
      <c r="AI1066" s="1539"/>
      <c r="AJ1066" s="1539"/>
      <c r="AK1066" s="1539"/>
      <c r="AL1066" s="1539"/>
      <c r="AM1066" s="1539"/>
      <c r="AN1066" s="1539"/>
      <c r="AO1066" s="1539"/>
      <c r="AP1066" s="1539"/>
      <c r="AQ1066" s="1539"/>
      <c r="AR1066" s="1539"/>
      <c r="AS1066" s="1539"/>
      <c r="AT1066" s="1539"/>
      <c r="AU1066" s="1539"/>
      <c r="AV1066" s="1539"/>
      <c r="AW1066" s="1539"/>
      <c r="AX1066" s="1539"/>
      <c r="AY1066" s="1539"/>
      <c r="AZ1066" s="1539"/>
      <c r="BA1066" s="1539"/>
      <c r="BB1066" s="1539"/>
      <c r="BC1066" s="1539"/>
      <c r="BD1066" s="1539"/>
      <c r="BE1066" s="1539"/>
      <c r="BF1066" s="1539"/>
      <c r="BG1066" s="1539"/>
      <c r="BH1066" s="1539"/>
      <c r="BI1066" s="1539"/>
      <c r="BJ1066" s="1539"/>
      <c r="BK1066" s="1539"/>
      <c r="BL1066" s="1539"/>
      <c r="BM1066" s="1539"/>
      <c r="BN1066" s="1539"/>
      <c r="BO1066" s="1539"/>
      <c r="BP1066" s="1539"/>
      <c r="BQ1066" s="1539"/>
      <c r="BR1066" s="1539"/>
      <c r="BS1066" s="1539"/>
      <c r="BT1066" s="1539"/>
      <c r="BU1066" s="1539"/>
      <c r="BV1066" s="1539"/>
      <c r="BW1066" s="1539"/>
      <c r="BX1066" s="1539"/>
      <c r="BY1066" s="1539"/>
      <c r="BZ1066" s="1539"/>
      <c r="CA1066" s="1539"/>
      <c r="CB1066" s="1539"/>
      <c r="CC1066" s="1539"/>
      <c r="CD1066" s="1539"/>
      <c r="CE1066" s="1539"/>
      <c r="CF1066" s="1539"/>
      <c r="CG1066" s="1539"/>
      <c r="CH1066" s="1539"/>
      <c r="CI1066" s="1539"/>
      <c r="CJ1066" s="1539"/>
      <c r="CK1066" s="1539"/>
      <c r="CL1066" s="1539"/>
      <c r="CM1066" s="1539"/>
      <c r="CN1066" s="1539"/>
      <c r="CO1066" s="1539"/>
    </row>
    <row r="1067" spans="1:93" s="1543" customFormat="1" ht="15.5">
      <c r="A1067" s="1598">
        <v>23.367000000000001</v>
      </c>
      <c r="B1067" s="1599" t="s">
        <v>1905</v>
      </c>
      <c r="C1067" s="1643" t="e">
        <f>+SUMIF(#REF!,Final!A1067,#REF!)</f>
        <v>#REF!</v>
      </c>
      <c r="D1067" s="1597" t="e">
        <f>+SUMIF(#REF!,Final!A1067,#REF!)</f>
        <v>#REF!</v>
      </c>
      <c r="E1067" s="1643" t="e">
        <f>SUMIF(#REF!,Final!A1067,#REF!)</f>
        <v>#REF!</v>
      </c>
      <c r="F1067" s="1644" t="e">
        <f>SUMIF(#REF!,Final!A1067,#REF!)</f>
        <v>#REF!</v>
      </c>
      <c r="G1067" s="1597" t="e">
        <f t="shared" si="96"/>
        <v>#REF!</v>
      </c>
      <c r="H1067" s="1644" t="e">
        <f t="shared" si="97"/>
        <v>#REF!</v>
      </c>
      <c r="I1067" s="1597" t="e">
        <f t="shared" si="98"/>
        <v>#REF!</v>
      </c>
      <c r="J1067" s="1644" t="e">
        <f t="shared" si="99"/>
        <v>#REF!</v>
      </c>
      <c r="K1067" s="1539"/>
      <c r="L1067" s="1539"/>
      <c r="M1067" s="1545"/>
      <c r="N1067" s="1545"/>
      <c r="O1067" s="1539"/>
      <c r="P1067" s="1539"/>
      <c r="Q1067" s="1539"/>
      <c r="R1067" s="1539"/>
      <c r="S1067" s="1539"/>
      <c r="T1067" s="1539"/>
      <c r="U1067" s="1539"/>
      <c r="V1067" s="1539"/>
      <c r="W1067" s="1539"/>
      <c r="X1067" s="1539"/>
      <c r="Y1067" s="1539"/>
      <c r="Z1067" s="1539"/>
      <c r="AA1067" s="1539"/>
      <c r="AB1067" s="1539"/>
      <c r="AC1067" s="1539"/>
      <c r="AD1067" s="1539"/>
      <c r="AE1067" s="1539"/>
      <c r="AF1067" s="1539"/>
      <c r="AG1067" s="1539"/>
      <c r="AH1067" s="1539"/>
      <c r="AI1067" s="1539"/>
      <c r="AJ1067" s="1539"/>
      <c r="AK1067" s="1539"/>
      <c r="AL1067" s="1539"/>
      <c r="AM1067" s="1539"/>
      <c r="AN1067" s="1539"/>
      <c r="AO1067" s="1539"/>
      <c r="AP1067" s="1539"/>
      <c r="AQ1067" s="1539"/>
      <c r="AR1067" s="1539"/>
      <c r="AS1067" s="1539"/>
      <c r="AT1067" s="1539"/>
      <c r="AU1067" s="1539"/>
      <c r="AV1067" s="1539"/>
      <c r="AW1067" s="1539"/>
      <c r="AX1067" s="1539"/>
      <c r="AY1067" s="1539"/>
      <c r="AZ1067" s="1539"/>
      <c r="BA1067" s="1539"/>
      <c r="BB1067" s="1539"/>
      <c r="BC1067" s="1539"/>
      <c r="BD1067" s="1539"/>
      <c r="BE1067" s="1539"/>
      <c r="BF1067" s="1539"/>
      <c r="BG1067" s="1539"/>
      <c r="BH1067" s="1539"/>
      <c r="BI1067" s="1539"/>
      <c r="BJ1067" s="1539"/>
      <c r="BK1067" s="1539"/>
      <c r="BL1067" s="1539"/>
      <c r="BM1067" s="1539"/>
      <c r="BN1067" s="1539"/>
      <c r="BO1067" s="1539"/>
      <c r="BP1067" s="1539"/>
      <c r="BQ1067" s="1539"/>
      <c r="BR1067" s="1539"/>
      <c r="BS1067" s="1539"/>
      <c r="BT1067" s="1539"/>
      <c r="BU1067" s="1539"/>
      <c r="BV1067" s="1539"/>
      <c r="BW1067" s="1539"/>
      <c r="BX1067" s="1539"/>
      <c r="BY1067" s="1539"/>
      <c r="BZ1067" s="1539"/>
      <c r="CA1067" s="1539"/>
      <c r="CB1067" s="1539"/>
      <c r="CC1067" s="1539"/>
      <c r="CD1067" s="1539"/>
      <c r="CE1067" s="1539"/>
      <c r="CF1067" s="1539"/>
      <c r="CG1067" s="1539"/>
      <c r="CH1067" s="1539"/>
      <c r="CI1067" s="1539"/>
      <c r="CJ1067" s="1539"/>
      <c r="CK1067" s="1539"/>
      <c r="CL1067" s="1539"/>
      <c r="CM1067" s="1539"/>
      <c r="CN1067" s="1539"/>
      <c r="CO1067" s="1539"/>
    </row>
    <row r="1068" spans="1:93" s="1552" customFormat="1" ht="15.5">
      <c r="A1068" s="1598"/>
      <c r="B1068" s="1599" t="s">
        <v>1747</v>
      </c>
      <c r="C1068" s="1643" t="e">
        <f>+SUMIF(#REF!,Final!A1068,#REF!)</f>
        <v>#REF!</v>
      </c>
      <c r="D1068" s="1597" t="e">
        <f>+SUMIF(#REF!,Final!A1068,#REF!)</f>
        <v>#REF!</v>
      </c>
      <c r="E1068" s="1643" t="e">
        <f>SUMIF(#REF!,Final!A1068,#REF!)</f>
        <v>#REF!</v>
      </c>
      <c r="F1068" s="1644" t="e">
        <f>SUMIF(#REF!,Final!A1068,#REF!)</f>
        <v>#REF!</v>
      </c>
      <c r="G1068" s="1597" t="e">
        <f t="shared" si="96"/>
        <v>#REF!</v>
      </c>
      <c r="H1068" s="1644" t="e">
        <f t="shared" si="97"/>
        <v>#REF!</v>
      </c>
      <c r="I1068" s="1597" t="e">
        <f t="shared" si="98"/>
        <v>#REF!</v>
      </c>
      <c r="J1068" s="1644" t="e">
        <f t="shared" si="99"/>
        <v>#REF!</v>
      </c>
      <c r="K1068" s="1539"/>
      <c r="L1068" s="1539"/>
      <c r="M1068" s="1545"/>
      <c r="N1068" s="1545"/>
      <c r="O1068" s="1539"/>
      <c r="P1068" s="1539"/>
      <c r="Q1068" s="1539"/>
      <c r="R1068" s="1539"/>
      <c r="S1068" s="1539"/>
      <c r="T1068" s="1539"/>
      <c r="U1068" s="1539"/>
      <c r="V1068" s="1539"/>
      <c r="W1068" s="1539"/>
      <c r="X1068" s="1539"/>
      <c r="Y1068" s="1539"/>
      <c r="Z1068" s="1539"/>
      <c r="AA1068" s="1539"/>
      <c r="AB1068" s="1539"/>
      <c r="AC1068" s="1539"/>
      <c r="AD1068" s="1539"/>
      <c r="AE1068" s="1539"/>
      <c r="AF1068" s="1539"/>
      <c r="AG1068" s="1539"/>
      <c r="AH1068" s="1539"/>
      <c r="AI1068" s="1539"/>
      <c r="AJ1068" s="1539"/>
      <c r="AK1068" s="1539"/>
      <c r="AL1068" s="1539"/>
      <c r="AM1068" s="1539"/>
      <c r="AN1068" s="1539"/>
      <c r="AO1068" s="1539"/>
      <c r="AP1068" s="1539"/>
      <c r="AQ1068" s="1539"/>
      <c r="AR1068" s="1539"/>
      <c r="AS1068" s="1539"/>
      <c r="AT1068" s="1539"/>
      <c r="AU1068" s="1539"/>
      <c r="AV1068" s="1539"/>
      <c r="AW1068" s="1539"/>
      <c r="AX1068" s="1539"/>
      <c r="AY1068" s="1539"/>
      <c r="AZ1068" s="1539"/>
      <c r="BA1068" s="1539"/>
      <c r="BB1068" s="1539"/>
      <c r="BC1068" s="1539"/>
      <c r="BD1068" s="1539"/>
      <c r="BE1068" s="1539"/>
      <c r="BF1068" s="1539"/>
      <c r="BG1068" s="1539"/>
      <c r="BH1068" s="1539"/>
      <c r="BI1068" s="1539"/>
      <c r="BJ1068" s="1539"/>
      <c r="BK1068" s="1539"/>
      <c r="BL1068" s="1539"/>
      <c r="BM1068" s="1539"/>
      <c r="BN1068" s="1539"/>
      <c r="BO1068" s="1539"/>
      <c r="BP1068" s="1539"/>
      <c r="BQ1068" s="1539"/>
      <c r="BR1068" s="1539"/>
      <c r="BS1068" s="1539"/>
      <c r="BT1068" s="1539"/>
      <c r="BU1068" s="1539"/>
      <c r="BV1068" s="1539"/>
      <c r="BW1068" s="1539"/>
      <c r="BX1068" s="1539"/>
      <c r="BY1068" s="1539"/>
      <c r="BZ1068" s="1539"/>
      <c r="CA1068" s="1539"/>
      <c r="CB1068" s="1539"/>
      <c r="CC1068" s="1539"/>
      <c r="CD1068" s="1539"/>
      <c r="CE1068" s="1539"/>
      <c r="CF1068" s="1539"/>
      <c r="CG1068" s="1539"/>
      <c r="CH1068" s="1539"/>
      <c r="CI1068" s="1539"/>
      <c r="CJ1068" s="1539"/>
      <c r="CK1068" s="1539"/>
      <c r="CL1068" s="1539"/>
      <c r="CM1068" s="1539"/>
      <c r="CN1068" s="1539"/>
      <c r="CO1068" s="1539"/>
    </row>
    <row r="1069" spans="1:93" s="1552" customFormat="1" ht="15.5">
      <c r="A1069" s="1598"/>
      <c r="B1069" s="1599" t="s">
        <v>1760</v>
      </c>
      <c r="C1069" s="1643" t="e">
        <f>+SUMIF(#REF!,Final!A1069,#REF!)</f>
        <v>#REF!</v>
      </c>
      <c r="D1069" s="1597" t="e">
        <f>+SUMIF(#REF!,Final!A1069,#REF!)</f>
        <v>#REF!</v>
      </c>
      <c r="E1069" s="1643" t="e">
        <f>SUMIF(#REF!,Final!A1069,#REF!)</f>
        <v>#REF!</v>
      </c>
      <c r="F1069" s="1644" t="e">
        <f>SUMIF(#REF!,Final!A1069,#REF!)</f>
        <v>#REF!</v>
      </c>
      <c r="G1069" s="1597" t="e">
        <f t="shared" si="96"/>
        <v>#REF!</v>
      </c>
      <c r="H1069" s="1644" t="e">
        <f t="shared" si="97"/>
        <v>#REF!</v>
      </c>
      <c r="I1069" s="1597" t="e">
        <f t="shared" si="98"/>
        <v>#REF!</v>
      </c>
      <c r="J1069" s="1644" t="e">
        <f t="shared" si="99"/>
        <v>#REF!</v>
      </c>
      <c r="K1069" s="1539"/>
      <c r="L1069" s="1539"/>
      <c r="M1069" s="1545"/>
      <c r="N1069" s="1545"/>
      <c r="O1069" s="1539"/>
      <c r="P1069" s="1539"/>
      <c r="Q1069" s="1539"/>
      <c r="R1069" s="1539"/>
      <c r="S1069" s="1539"/>
      <c r="T1069" s="1539"/>
      <c r="U1069" s="1539"/>
      <c r="V1069" s="1539"/>
      <c r="W1069" s="1539"/>
      <c r="X1069" s="1539"/>
      <c r="Y1069" s="1539"/>
      <c r="Z1069" s="1539"/>
      <c r="AA1069" s="1539"/>
      <c r="AB1069" s="1539"/>
      <c r="AC1069" s="1539"/>
      <c r="AD1069" s="1539"/>
      <c r="AE1069" s="1539"/>
      <c r="AF1069" s="1539"/>
      <c r="AG1069" s="1539"/>
      <c r="AH1069" s="1539"/>
      <c r="AI1069" s="1539"/>
      <c r="AJ1069" s="1539"/>
      <c r="AK1069" s="1539"/>
      <c r="AL1069" s="1539"/>
      <c r="AM1069" s="1539"/>
      <c r="AN1069" s="1539"/>
      <c r="AO1069" s="1539"/>
      <c r="AP1069" s="1539"/>
      <c r="AQ1069" s="1539"/>
      <c r="AR1069" s="1539"/>
      <c r="AS1069" s="1539"/>
      <c r="AT1069" s="1539"/>
      <c r="AU1069" s="1539"/>
      <c r="AV1069" s="1539"/>
      <c r="AW1069" s="1539"/>
      <c r="AX1069" s="1539"/>
      <c r="AY1069" s="1539"/>
      <c r="AZ1069" s="1539"/>
      <c r="BA1069" s="1539"/>
      <c r="BB1069" s="1539"/>
      <c r="BC1069" s="1539"/>
      <c r="BD1069" s="1539"/>
      <c r="BE1069" s="1539"/>
      <c r="BF1069" s="1539"/>
      <c r="BG1069" s="1539"/>
      <c r="BH1069" s="1539"/>
      <c r="BI1069" s="1539"/>
      <c r="BJ1069" s="1539"/>
      <c r="BK1069" s="1539"/>
      <c r="BL1069" s="1539"/>
      <c r="BM1069" s="1539"/>
      <c r="BN1069" s="1539"/>
      <c r="BO1069" s="1539"/>
      <c r="BP1069" s="1539"/>
      <c r="BQ1069" s="1539"/>
      <c r="BR1069" s="1539"/>
      <c r="BS1069" s="1539"/>
      <c r="BT1069" s="1539"/>
      <c r="BU1069" s="1539"/>
      <c r="BV1069" s="1539"/>
      <c r="BW1069" s="1539"/>
      <c r="BX1069" s="1539"/>
      <c r="BY1069" s="1539"/>
      <c r="BZ1069" s="1539"/>
      <c r="CA1069" s="1539"/>
      <c r="CB1069" s="1539"/>
      <c r="CC1069" s="1539"/>
      <c r="CD1069" s="1539"/>
      <c r="CE1069" s="1539"/>
      <c r="CF1069" s="1539"/>
      <c r="CG1069" s="1539"/>
      <c r="CH1069" s="1539"/>
      <c r="CI1069" s="1539"/>
      <c r="CJ1069" s="1539"/>
      <c r="CK1069" s="1539"/>
      <c r="CL1069" s="1539"/>
      <c r="CM1069" s="1539"/>
      <c r="CN1069" s="1539"/>
      <c r="CO1069" s="1539"/>
    </row>
    <row r="1070" spans="1:93" s="1542" customFormat="1" ht="15.5">
      <c r="A1070" s="1598" t="s">
        <v>544</v>
      </c>
      <c r="B1070" s="1599" t="s">
        <v>2743</v>
      </c>
      <c r="C1070" s="1643" t="e">
        <f>+SUMIF(#REF!,Final!A1070,#REF!)</f>
        <v>#REF!</v>
      </c>
      <c r="D1070" s="1597" t="e">
        <f>+SUMIF(#REF!,Final!A1070,#REF!)</f>
        <v>#REF!</v>
      </c>
      <c r="E1070" s="1643" t="e">
        <f>SUMIF(#REF!,Final!A1070,#REF!)</f>
        <v>#REF!</v>
      </c>
      <c r="F1070" s="1644" t="e">
        <f>SUMIF(#REF!,Final!A1070,#REF!)</f>
        <v>#REF!</v>
      </c>
      <c r="G1070" s="1597" t="e">
        <f t="shared" si="96"/>
        <v>#REF!</v>
      </c>
      <c r="H1070" s="1644" t="e">
        <f t="shared" si="97"/>
        <v>#REF!</v>
      </c>
      <c r="I1070" s="1597" t="e">
        <f t="shared" si="98"/>
        <v>#REF!</v>
      </c>
      <c r="J1070" s="1644" t="e">
        <f t="shared" si="99"/>
        <v>#REF!</v>
      </c>
      <c r="K1070" s="1539"/>
      <c r="L1070" s="1539"/>
      <c r="M1070" s="1545"/>
      <c r="N1070" s="1545"/>
      <c r="O1070" s="1539"/>
      <c r="P1070" s="1539"/>
      <c r="Q1070" s="1539"/>
      <c r="R1070" s="1539"/>
      <c r="S1070" s="1539"/>
      <c r="T1070" s="1539"/>
      <c r="U1070" s="1539"/>
      <c r="V1070" s="1539"/>
      <c r="W1070" s="1539"/>
      <c r="X1070" s="1539"/>
      <c r="Y1070" s="1539"/>
      <c r="Z1070" s="1539"/>
      <c r="AA1070" s="1539"/>
      <c r="AB1070" s="1539"/>
      <c r="AC1070" s="1539"/>
      <c r="AD1070" s="1539"/>
      <c r="AE1070" s="1539"/>
      <c r="AF1070" s="1539"/>
      <c r="AG1070" s="1539"/>
      <c r="AH1070" s="1539"/>
      <c r="AI1070" s="1539"/>
      <c r="AJ1070" s="1539"/>
      <c r="AK1070" s="1539"/>
      <c r="AL1070" s="1539"/>
      <c r="AM1070" s="1539"/>
      <c r="AN1070" s="1539"/>
      <c r="AO1070" s="1539"/>
      <c r="AP1070" s="1539"/>
      <c r="AQ1070" s="1539"/>
      <c r="AR1070" s="1539"/>
      <c r="AS1070" s="1539"/>
      <c r="AT1070" s="1539"/>
      <c r="AU1070" s="1539"/>
      <c r="AV1070" s="1539"/>
      <c r="AW1070" s="1539"/>
      <c r="AX1070" s="1539"/>
      <c r="AY1070" s="1539"/>
      <c r="AZ1070" s="1539"/>
      <c r="BA1070" s="1539"/>
      <c r="BB1070" s="1539"/>
      <c r="BC1070" s="1539"/>
      <c r="BD1070" s="1539"/>
      <c r="BE1070" s="1539"/>
      <c r="BF1070" s="1539"/>
      <c r="BG1070" s="1539"/>
      <c r="BH1070" s="1539"/>
      <c r="BI1070" s="1539"/>
      <c r="BJ1070" s="1539"/>
      <c r="BK1070" s="1539"/>
      <c r="BL1070" s="1539"/>
      <c r="BM1070" s="1539"/>
      <c r="BN1070" s="1539"/>
      <c r="BO1070" s="1539"/>
      <c r="BP1070" s="1539"/>
      <c r="BQ1070" s="1539"/>
      <c r="BR1070" s="1539"/>
      <c r="BS1070" s="1539"/>
      <c r="BT1070" s="1539"/>
      <c r="BU1070" s="1539"/>
      <c r="BV1070" s="1539"/>
      <c r="BW1070" s="1539"/>
      <c r="BX1070" s="1539"/>
      <c r="BY1070" s="1539"/>
      <c r="BZ1070" s="1539"/>
      <c r="CA1070" s="1539"/>
      <c r="CB1070" s="1539"/>
      <c r="CC1070" s="1539"/>
      <c r="CD1070" s="1539"/>
      <c r="CE1070" s="1539"/>
      <c r="CF1070" s="1539"/>
      <c r="CG1070" s="1539"/>
      <c r="CH1070" s="1539"/>
      <c r="CI1070" s="1539"/>
      <c r="CJ1070" s="1539"/>
      <c r="CK1070" s="1539"/>
      <c r="CL1070" s="1539"/>
      <c r="CM1070" s="1539"/>
      <c r="CN1070" s="1539"/>
      <c r="CO1070" s="1539"/>
    </row>
    <row r="1071" spans="1:93" s="1542" customFormat="1" ht="15.5">
      <c r="A1071" s="1598" t="s">
        <v>443</v>
      </c>
      <c r="B1071" s="1599" t="s">
        <v>2754</v>
      </c>
      <c r="C1071" s="1643" t="e">
        <f>+SUMIF(#REF!,Final!A1071,#REF!)</f>
        <v>#REF!</v>
      </c>
      <c r="D1071" s="1597" t="e">
        <f>+SUMIF(#REF!,Final!A1071,#REF!)</f>
        <v>#REF!</v>
      </c>
      <c r="E1071" s="1643" t="e">
        <f>SUMIF(#REF!,Final!A1071,#REF!)</f>
        <v>#REF!</v>
      </c>
      <c r="F1071" s="1644" t="e">
        <f>SUMIF(#REF!,Final!A1071,#REF!)</f>
        <v>#REF!</v>
      </c>
      <c r="G1071" s="1597" t="e">
        <f t="shared" si="96"/>
        <v>#REF!</v>
      </c>
      <c r="H1071" s="1644" t="e">
        <f t="shared" si="97"/>
        <v>#REF!</v>
      </c>
      <c r="I1071" s="1597" t="e">
        <f t="shared" si="98"/>
        <v>#REF!</v>
      </c>
      <c r="J1071" s="1644" t="e">
        <f t="shared" si="99"/>
        <v>#REF!</v>
      </c>
      <c r="K1071" s="1539"/>
      <c r="L1071" s="1539"/>
      <c r="M1071" s="1545"/>
      <c r="N1071" s="1545"/>
      <c r="O1071" s="1539"/>
      <c r="P1071" s="1539"/>
      <c r="Q1071" s="1539"/>
      <c r="R1071" s="1539"/>
      <c r="S1071" s="1539"/>
      <c r="T1071" s="1539"/>
      <c r="U1071" s="1539"/>
      <c r="V1071" s="1539"/>
      <c r="W1071" s="1539"/>
      <c r="X1071" s="1539"/>
      <c r="Y1071" s="1539"/>
      <c r="Z1071" s="1539"/>
      <c r="AA1071" s="1539"/>
      <c r="AB1071" s="1539"/>
      <c r="AC1071" s="1539"/>
      <c r="AD1071" s="1539"/>
      <c r="AE1071" s="1539"/>
      <c r="AF1071" s="1539"/>
      <c r="AG1071" s="1539"/>
      <c r="AH1071" s="1539"/>
      <c r="AI1071" s="1539"/>
      <c r="AJ1071" s="1539"/>
      <c r="AK1071" s="1539"/>
      <c r="AL1071" s="1539"/>
      <c r="AM1071" s="1539"/>
      <c r="AN1071" s="1539"/>
      <c r="AO1071" s="1539"/>
      <c r="AP1071" s="1539"/>
      <c r="AQ1071" s="1539"/>
      <c r="AR1071" s="1539"/>
      <c r="AS1071" s="1539"/>
      <c r="AT1071" s="1539"/>
      <c r="AU1071" s="1539"/>
      <c r="AV1071" s="1539"/>
      <c r="AW1071" s="1539"/>
      <c r="AX1071" s="1539"/>
      <c r="AY1071" s="1539"/>
      <c r="AZ1071" s="1539"/>
      <c r="BA1071" s="1539"/>
      <c r="BB1071" s="1539"/>
      <c r="BC1071" s="1539"/>
      <c r="BD1071" s="1539"/>
      <c r="BE1071" s="1539"/>
      <c r="BF1071" s="1539"/>
      <c r="BG1071" s="1539"/>
      <c r="BH1071" s="1539"/>
      <c r="BI1071" s="1539"/>
      <c r="BJ1071" s="1539"/>
      <c r="BK1071" s="1539"/>
      <c r="BL1071" s="1539"/>
      <c r="BM1071" s="1539"/>
      <c r="BN1071" s="1539"/>
      <c r="BO1071" s="1539"/>
      <c r="BP1071" s="1539"/>
      <c r="BQ1071" s="1539"/>
      <c r="BR1071" s="1539"/>
      <c r="BS1071" s="1539"/>
      <c r="BT1071" s="1539"/>
      <c r="BU1071" s="1539"/>
      <c r="BV1071" s="1539"/>
      <c r="BW1071" s="1539"/>
      <c r="BX1071" s="1539"/>
      <c r="BY1071" s="1539"/>
      <c r="BZ1071" s="1539"/>
      <c r="CA1071" s="1539"/>
      <c r="CB1071" s="1539"/>
      <c r="CC1071" s="1539"/>
      <c r="CD1071" s="1539"/>
      <c r="CE1071" s="1539"/>
      <c r="CF1071" s="1539"/>
      <c r="CG1071" s="1539"/>
      <c r="CH1071" s="1539"/>
      <c r="CI1071" s="1539"/>
      <c r="CJ1071" s="1539"/>
      <c r="CK1071" s="1539"/>
      <c r="CL1071" s="1539"/>
      <c r="CM1071" s="1539"/>
      <c r="CN1071" s="1539"/>
      <c r="CO1071" s="1539"/>
    </row>
    <row r="1072" spans="1:93" ht="15.5">
      <c r="A1072" s="1598">
        <v>23.370999999999999</v>
      </c>
      <c r="B1072" s="1599" t="s">
        <v>666</v>
      </c>
      <c r="C1072" s="1643" t="e">
        <f>+SUMIF(#REF!,Final!A1072,#REF!)</f>
        <v>#REF!</v>
      </c>
      <c r="D1072" s="1597" t="e">
        <f>+SUMIF(#REF!,Final!A1072,#REF!)</f>
        <v>#REF!</v>
      </c>
      <c r="E1072" s="1643" t="e">
        <f>SUMIF(#REF!,Final!A1072,#REF!)</f>
        <v>#REF!</v>
      </c>
      <c r="F1072" s="1644" t="e">
        <f>SUMIF(#REF!,Final!A1072,#REF!)</f>
        <v>#REF!</v>
      </c>
      <c r="G1072" s="1597" t="e">
        <f t="shared" si="96"/>
        <v>#REF!</v>
      </c>
      <c r="H1072" s="1644" t="e">
        <f t="shared" si="97"/>
        <v>#REF!</v>
      </c>
      <c r="I1072" s="1597" t="e">
        <f t="shared" si="98"/>
        <v>#REF!</v>
      </c>
      <c r="J1072" s="1644" t="e">
        <f t="shared" si="99"/>
        <v>#REF!</v>
      </c>
      <c r="M1072" s="1545"/>
      <c r="N1072" s="1545"/>
    </row>
    <row r="1073" spans="1:93" ht="15.5">
      <c r="A1073" s="1598">
        <v>23.372</v>
      </c>
      <c r="B1073" s="1599" t="s">
        <v>1335</v>
      </c>
      <c r="C1073" s="1643" t="e">
        <f>+SUMIF(#REF!,Final!A1073,#REF!)</f>
        <v>#REF!</v>
      </c>
      <c r="D1073" s="1597" t="e">
        <f>+SUMIF(#REF!,Final!A1073,#REF!)</f>
        <v>#REF!</v>
      </c>
      <c r="E1073" s="1643" t="e">
        <f>SUMIF(#REF!,Final!A1073,#REF!)</f>
        <v>#REF!</v>
      </c>
      <c r="F1073" s="1644" t="e">
        <f>SUMIF(#REF!,Final!A1073,#REF!)</f>
        <v>#REF!</v>
      </c>
      <c r="G1073" s="1597" t="e">
        <f t="shared" si="96"/>
        <v>#REF!</v>
      </c>
      <c r="H1073" s="1644" t="e">
        <f t="shared" si="97"/>
        <v>#REF!</v>
      </c>
      <c r="I1073" s="1597" t="e">
        <f t="shared" si="98"/>
        <v>#REF!</v>
      </c>
      <c r="J1073" s="1644" t="e">
        <f t="shared" si="99"/>
        <v>#REF!</v>
      </c>
      <c r="M1073" s="1545"/>
      <c r="N1073" s="1545"/>
    </row>
    <row r="1074" spans="1:93" ht="15.5">
      <c r="A1074" s="1598">
        <v>23.373000000000001</v>
      </c>
      <c r="B1074" s="1599" t="s">
        <v>1899</v>
      </c>
      <c r="C1074" s="1643" t="e">
        <f>+SUMIF(#REF!,Final!A1074,#REF!)</f>
        <v>#REF!</v>
      </c>
      <c r="D1074" s="1597" t="e">
        <f>+SUMIF(#REF!,Final!A1074,#REF!)</f>
        <v>#REF!</v>
      </c>
      <c r="E1074" s="1643" t="e">
        <f>SUMIF(#REF!,Final!A1074,#REF!)</f>
        <v>#REF!</v>
      </c>
      <c r="F1074" s="1644" t="e">
        <f>SUMIF(#REF!,Final!A1074,#REF!)</f>
        <v>#REF!</v>
      </c>
      <c r="G1074" s="1597" t="e">
        <f t="shared" si="96"/>
        <v>#REF!</v>
      </c>
      <c r="H1074" s="1644" t="e">
        <f t="shared" si="97"/>
        <v>#REF!</v>
      </c>
      <c r="I1074" s="1597" t="e">
        <f t="shared" si="98"/>
        <v>#REF!</v>
      </c>
      <c r="J1074" s="1644" t="e">
        <f t="shared" si="99"/>
        <v>#REF!</v>
      </c>
      <c r="M1074" s="1545"/>
      <c r="N1074" s="1545"/>
    </row>
    <row r="1075" spans="1:93" ht="15.5">
      <c r="A1075" s="1598">
        <v>23.373999999999999</v>
      </c>
      <c r="B1075" s="1599" t="s">
        <v>1900</v>
      </c>
      <c r="C1075" s="1643" t="e">
        <f>+SUMIF(#REF!,Final!A1075,#REF!)</f>
        <v>#REF!</v>
      </c>
      <c r="D1075" s="1597" t="e">
        <f>+SUMIF(#REF!,Final!A1075,#REF!)</f>
        <v>#REF!</v>
      </c>
      <c r="E1075" s="1643" t="e">
        <f>SUMIF(#REF!,Final!A1075,#REF!)</f>
        <v>#REF!</v>
      </c>
      <c r="F1075" s="1644" t="e">
        <f>SUMIF(#REF!,Final!A1075,#REF!)</f>
        <v>#REF!</v>
      </c>
      <c r="G1075" s="1597" t="e">
        <f t="shared" si="96"/>
        <v>#REF!</v>
      </c>
      <c r="H1075" s="1644" t="e">
        <f t="shared" si="97"/>
        <v>#REF!</v>
      </c>
      <c r="I1075" s="1597" t="e">
        <f t="shared" si="98"/>
        <v>#REF!</v>
      </c>
      <c r="J1075" s="1644" t="e">
        <f t="shared" si="99"/>
        <v>#REF!</v>
      </c>
      <c r="M1075" s="1545"/>
      <c r="N1075" s="1545"/>
    </row>
    <row r="1076" spans="1:93" ht="15.5">
      <c r="A1076" s="1598">
        <v>23.375</v>
      </c>
      <c r="B1076" s="1599" t="s">
        <v>890</v>
      </c>
      <c r="C1076" s="1643" t="e">
        <f>+SUMIF(#REF!,Final!A1076,#REF!)</f>
        <v>#REF!</v>
      </c>
      <c r="D1076" s="1597" t="e">
        <f>+SUMIF(#REF!,Final!A1076,#REF!)</f>
        <v>#REF!</v>
      </c>
      <c r="E1076" s="1643" t="e">
        <f>SUMIF(#REF!,Final!A1076,#REF!)</f>
        <v>#REF!</v>
      </c>
      <c r="F1076" s="1644" t="e">
        <f>SUMIF(#REF!,Final!A1076,#REF!)</f>
        <v>#REF!</v>
      </c>
      <c r="G1076" s="1597" t="e">
        <f t="shared" si="96"/>
        <v>#REF!</v>
      </c>
      <c r="H1076" s="1644" t="e">
        <f t="shared" si="97"/>
        <v>#REF!</v>
      </c>
      <c r="I1076" s="1597" t="e">
        <f t="shared" si="98"/>
        <v>#REF!</v>
      </c>
      <c r="J1076" s="1644" t="e">
        <f t="shared" si="99"/>
        <v>#REF!</v>
      </c>
      <c r="M1076" s="1545"/>
      <c r="N1076" s="1545"/>
    </row>
    <row r="1077" spans="1:93" ht="15.5">
      <c r="A1077" s="1598">
        <v>23.376000000000001</v>
      </c>
      <c r="B1077" s="1599" t="s">
        <v>892</v>
      </c>
      <c r="C1077" s="1643" t="e">
        <f>+SUMIF(#REF!,Final!A1077,#REF!)</f>
        <v>#REF!</v>
      </c>
      <c r="D1077" s="1597" t="e">
        <f>+SUMIF(#REF!,Final!A1077,#REF!)</f>
        <v>#REF!</v>
      </c>
      <c r="E1077" s="1643" t="e">
        <f>SUMIF(#REF!,Final!A1077,#REF!)</f>
        <v>#REF!</v>
      </c>
      <c r="F1077" s="1644" t="e">
        <f>SUMIF(#REF!,Final!A1077,#REF!)</f>
        <v>#REF!</v>
      </c>
      <c r="G1077" s="1597" t="e">
        <f t="shared" si="96"/>
        <v>#REF!</v>
      </c>
      <c r="H1077" s="1644" t="e">
        <f t="shared" si="97"/>
        <v>#REF!</v>
      </c>
      <c r="I1077" s="1597" t="e">
        <f t="shared" si="98"/>
        <v>#REF!</v>
      </c>
      <c r="J1077" s="1644" t="e">
        <f t="shared" si="99"/>
        <v>#REF!</v>
      </c>
      <c r="M1077" s="1545"/>
      <c r="N1077" s="1545"/>
    </row>
    <row r="1078" spans="1:93" ht="15.5">
      <c r="A1078" s="1598">
        <v>23.376999999999999</v>
      </c>
      <c r="B1078" s="1599" t="s">
        <v>893</v>
      </c>
      <c r="C1078" s="1643" t="e">
        <f>+SUMIF(#REF!,Final!A1078,#REF!)</f>
        <v>#REF!</v>
      </c>
      <c r="D1078" s="1597" t="e">
        <f>+SUMIF(#REF!,Final!A1078,#REF!)</f>
        <v>#REF!</v>
      </c>
      <c r="E1078" s="1643" t="e">
        <f>SUMIF(#REF!,Final!A1078,#REF!)</f>
        <v>#REF!</v>
      </c>
      <c r="F1078" s="1644" t="e">
        <f>SUMIF(#REF!,Final!A1078,#REF!)</f>
        <v>#REF!</v>
      </c>
      <c r="G1078" s="1597" t="e">
        <f t="shared" si="96"/>
        <v>#REF!</v>
      </c>
      <c r="H1078" s="1644" t="e">
        <f t="shared" si="97"/>
        <v>#REF!</v>
      </c>
      <c r="I1078" s="1597" t="e">
        <f t="shared" si="98"/>
        <v>#REF!</v>
      </c>
      <c r="J1078" s="1644" t="e">
        <f t="shared" si="99"/>
        <v>#REF!</v>
      </c>
      <c r="M1078" s="1545"/>
      <c r="N1078" s="1545"/>
    </row>
    <row r="1079" spans="1:93" s="1542" customFormat="1" ht="15.5">
      <c r="A1079" s="1598">
        <v>23.378</v>
      </c>
      <c r="B1079" s="1599" t="s">
        <v>539</v>
      </c>
      <c r="C1079" s="1643" t="e">
        <f>+SUMIF(#REF!,Final!A1079,#REF!)</f>
        <v>#REF!</v>
      </c>
      <c r="D1079" s="1597" t="e">
        <f>+SUMIF(#REF!,Final!A1079,#REF!)</f>
        <v>#REF!</v>
      </c>
      <c r="E1079" s="1643" t="e">
        <f>SUMIF(#REF!,Final!A1079,#REF!)</f>
        <v>#REF!</v>
      </c>
      <c r="F1079" s="1644" t="e">
        <f>SUMIF(#REF!,Final!A1079,#REF!)</f>
        <v>#REF!</v>
      </c>
      <c r="G1079" s="1597" t="e">
        <f t="shared" si="96"/>
        <v>#REF!</v>
      </c>
      <c r="H1079" s="1644" t="e">
        <f t="shared" si="97"/>
        <v>#REF!</v>
      </c>
      <c r="I1079" s="1597" t="e">
        <f t="shared" si="98"/>
        <v>#REF!</v>
      </c>
      <c r="J1079" s="1644" t="e">
        <f t="shared" si="99"/>
        <v>#REF!</v>
      </c>
      <c r="K1079" s="1539"/>
      <c r="L1079" s="1539"/>
      <c r="M1079" s="1545"/>
      <c r="N1079" s="1545"/>
      <c r="O1079" s="1539"/>
      <c r="P1079" s="1539"/>
      <c r="Q1079" s="1539"/>
      <c r="R1079" s="1539"/>
      <c r="S1079" s="1539"/>
      <c r="T1079" s="1539"/>
      <c r="U1079" s="1539"/>
      <c r="V1079" s="1539"/>
      <c r="W1079" s="1539"/>
      <c r="X1079" s="1539"/>
      <c r="Y1079" s="1539"/>
      <c r="Z1079" s="1539"/>
      <c r="AA1079" s="1539"/>
      <c r="AB1079" s="1539"/>
      <c r="AC1079" s="1539"/>
      <c r="AD1079" s="1539"/>
      <c r="AE1079" s="1539"/>
      <c r="AF1079" s="1539"/>
      <c r="AG1079" s="1539"/>
      <c r="AH1079" s="1539"/>
      <c r="AI1079" s="1539"/>
      <c r="AJ1079" s="1539"/>
      <c r="AK1079" s="1539"/>
      <c r="AL1079" s="1539"/>
      <c r="AM1079" s="1539"/>
      <c r="AN1079" s="1539"/>
      <c r="AO1079" s="1539"/>
      <c r="AP1079" s="1539"/>
      <c r="AQ1079" s="1539"/>
      <c r="AR1079" s="1539"/>
      <c r="AS1079" s="1539"/>
      <c r="AT1079" s="1539"/>
      <c r="AU1079" s="1539"/>
      <c r="AV1079" s="1539"/>
      <c r="AW1079" s="1539"/>
      <c r="AX1079" s="1539"/>
      <c r="AY1079" s="1539"/>
      <c r="AZ1079" s="1539"/>
      <c r="BA1079" s="1539"/>
      <c r="BB1079" s="1539"/>
      <c r="BC1079" s="1539"/>
      <c r="BD1079" s="1539"/>
      <c r="BE1079" s="1539"/>
      <c r="BF1079" s="1539"/>
      <c r="BG1079" s="1539"/>
      <c r="BH1079" s="1539"/>
      <c r="BI1079" s="1539"/>
      <c r="BJ1079" s="1539"/>
      <c r="BK1079" s="1539"/>
      <c r="BL1079" s="1539"/>
      <c r="BM1079" s="1539"/>
      <c r="BN1079" s="1539"/>
      <c r="BO1079" s="1539"/>
      <c r="BP1079" s="1539"/>
      <c r="BQ1079" s="1539"/>
      <c r="BR1079" s="1539"/>
      <c r="BS1079" s="1539"/>
      <c r="BT1079" s="1539"/>
      <c r="BU1079" s="1539"/>
      <c r="BV1079" s="1539"/>
      <c r="BW1079" s="1539"/>
      <c r="BX1079" s="1539"/>
      <c r="BY1079" s="1539"/>
      <c r="BZ1079" s="1539"/>
      <c r="CA1079" s="1539"/>
      <c r="CB1079" s="1539"/>
      <c r="CC1079" s="1539"/>
      <c r="CD1079" s="1539"/>
      <c r="CE1079" s="1539"/>
      <c r="CF1079" s="1539"/>
      <c r="CG1079" s="1539"/>
      <c r="CH1079" s="1539"/>
      <c r="CI1079" s="1539"/>
      <c r="CJ1079" s="1539"/>
      <c r="CK1079" s="1539"/>
      <c r="CL1079" s="1539"/>
      <c r="CM1079" s="1539"/>
      <c r="CN1079" s="1539"/>
      <c r="CO1079" s="1539"/>
    </row>
    <row r="1080" spans="1:93" ht="15.5">
      <c r="A1080" s="1598">
        <v>23.379000000000001</v>
      </c>
      <c r="B1080" s="1599" t="s">
        <v>540</v>
      </c>
      <c r="C1080" s="1643" t="e">
        <f>+SUMIF(#REF!,Final!A1080,#REF!)</f>
        <v>#REF!</v>
      </c>
      <c r="D1080" s="1597" t="e">
        <f>+SUMIF(#REF!,Final!A1080,#REF!)</f>
        <v>#REF!</v>
      </c>
      <c r="E1080" s="1643" t="e">
        <f>SUMIF(#REF!,Final!A1080,#REF!)</f>
        <v>#REF!</v>
      </c>
      <c r="F1080" s="1644" t="e">
        <f>SUMIF(#REF!,Final!A1080,#REF!)</f>
        <v>#REF!</v>
      </c>
      <c r="G1080" s="1597" t="e">
        <f t="shared" si="96"/>
        <v>#REF!</v>
      </c>
      <c r="H1080" s="1644" t="e">
        <f t="shared" si="97"/>
        <v>#REF!</v>
      </c>
      <c r="I1080" s="1597" t="e">
        <f t="shared" si="98"/>
        <v>#REF!</v>
      </c>
      <c r="J1080" s="1644" t="e">
        <f t="shared" si="99"/>
        <v>#REF!</v>
      </c>
      <c r="M1080" s="1545"/>
      <c r="N1080" s="1545"/>
    </row>
    <row r="1081" spans="1:93" ht="15.5">
      <c r="A1081" s="1598">
        <v>23.38</v>
      </c>
      <c r="B1081" s="1599" t="s">
        <v>1901</v>
      </c>
      <c r="C1081" s="1643" t="e">
        <f>+SUMIF(#REF!,Final!A1081,#REF!)</f>
        <v>#REF!</v>
      </c>
      <c r="D1081" s="1597" t="e">
        <f>+SUMIF(#REF!,Final!A1081,#REF!)</f>
        <v>#REF!</v>
      </c>
      <c r="E1081" s="1643" t="e">
        <f>SUMIF(#REF!,Final!A1081,#REF!)</f>
        <v>#REF!</v>
      </c>
      <c r="F1081" s="1644" t="e">
        <f>SUMIF(#REF!,Final!A1081,#REF!)</f>
        <v>#REF!</v>
      </c>
      <c r="G1081" s="1597" t="e">
        <f t="shared" si="96"/>
        <v>#REF!</v>
      </c>
      <c r="H1081" s="1644" t="e">
        <f t="shared" si="97"/>
        <v>#REF!</v>
      </c>
      <c r="I1081" s="1597" t="e">
        <f t="shared" si="98"/>
        <v>#REF!</v>
      </c>
      <c r="J1081" s="1644" t="e">
        <f t="shared" si="99"/>
        <v>#REF!</v>
      </c>
      <c r="M1081" s="1545"/>
      <c r="N1081" s="1545"/>
    </row>
    <row r="1082" spans="1:93" ht="15.5">
      <c r="A1082" s="1598">
        <v>23.381</v>
      </c>
      <c r="B1082" s="1599" t="s">
        <v>1902</v>
      </c>
      <c r="C1082" s="1643" t="e">
        <f>+SUMIF(#REF!,Final!A1082,#REF!)</f>
        <v>#REF!</v>
      </c>
      <c r="D1082" s="1597" t="e">
        <f>+SUMIF(#REF!,Final!A1082,#REF!)</f>
        <v>#REF!</v>
      </c>
      <c r="E1082" s="1643" t="e">
        <f>SUMIF(#REF!,Final!A1082,#REF!)</f>
        <v>#REF!</v>
      </c>
      <c r="F1082" s="1644" t="e">
        <f>SUMIF(#REF!,Final!A1082,#REF!)</f>
        <v>#REF!</v>
      </c>
      <c r="G1082" s="1597" t="e">
        <f t="shared" si="96"/>
        <v>#REF!</v>
      </c>
      <c r="H1082" s="1644" t="e">
        <f t="shared" si="97"/>
        <v>#REF!</v>
      </c>
      <c r="I1082" s="1597" t="e">
        <f t="shared" si="98"/>
        <v>#REF!</v>
      </c>
      <c r="J1082" s="1644" t="e">
        <f t="shared" si="99"/>
        <v>#REF!</v>
      </c>
      <c r="M1082" s="1545"/>
      <c r="N1082" s="1545"/>
    </row>
    <row r="1083" spans="1:93" ht="15.5">
      <c r="A1083" s="1598">
        <v>23.382000000000001</v>
      </c>
      <c r="B1083" s="1599" t="s">
        <v>2740</v>
      </c>
      <c r="C1083" s="1643" t="e">
        <f>+SUMIF(#REF!,Final!A1083,#REF!)</f>
        <v>#REF!</v>
      </c>
      <c r="D1083" s="1597" t="e">
        <f>+SUMIF(#REF!,Final!A1083,#REF!)</f>
        <v>#REF!</v>
      </c>
      <c r="E1083" s="1643" t="e">
        <f>SUMIF(#REF!,Final!A1083,#REF!)</f>
        <v>#REF!</v>
      </c>
      <c r="F1083" s="1644" t="e">
        <f>SUMIF(#REF!,Final!A1083,#REF!)</f>
        <v>#REF!</v>
      </c>
      <c r="G1083" s="1597" t="e">
        <f t="shared" si="96"/>
        <v>#REF!</v>
      </c>
      <c r="H1083" s="1644" t="e">
        <f t="shared" si="97"/>
        <v>#REF!</v>
      </c>
      <c r="I1083" s="1597" t="e">
        <f t="shared" si="98"/>
        <v>#REF!</v>
      </c>
      <c r="J1083" s="1644" t="e">
        <f t="shared" si="99"/>
        <v>#REF!</v>
      </c>
      <c r="M1083" s="1545"/>
      <c r="N1083" s="1545"/>
    </row>
    <row r="1084" spans="1:93" ht="15.5">
      <c r="A1084" s="1598">
        <v>23.382999999999999</v>
      </c>
      <c r="B1084" s="1599" t="s">
        <v>2741</v>
      </c>
      <c r="C1084" s="1643" t="e">
        <f>+SUMIF(#REF!,Final!A1084,#REF!)</f>
        <v>#REF!</v>
      </c>
      <c r="D1084" s="1597" t="e">
        <f>+SUMIF(#REF!,Final!A1084,#REF!)</f>
        <v>#REF!</v>
      </c>
      <c r="E1084" s="1643" t="e">
        <f>SUMIF(#REF!,Final!A1084,#REF!)</f>
        <v>#REF!</v>
      </c>
      <c r="F1084" s="1644" t="e">
        <f>SUMIF(#REF!,Final!A1084,#REF!)</f>
        <v>#REF!</v>
      </c>
      <c r="G1084" s="1597" t="e">
        <f t="shared" si="96"/>
        <v>#REF!</v>
      </c>
      <c r="H1084" s="1644" t="e">
        <f t="shared" si="97"/>
        <v>#REF!</v>
      </c>
      <c r="I1084" s="1597" t="e">
        <f t="shared" si="98"/>
        <v>#REF!</v>
      </c>
      <c r="J1084" s="1644" t="e">
        <f t="shared" si="99"/>
        <v>#REF!</v>
      </c>
      <c r="M1084" s="1545"/>
      <c r="N1084" s="1545"/>
    </row>
    <row r="1085" spans="1:93" ht="15.5">
      <c r="A1085" s="1598">
        <v>23.384</v>
      </c>
      <c r="B1085" s="1599" t="s">
        <v>2742</v>
      </c>
      <c r="C1085" s="1643" t="e">
        <f>+SUMIF(#REF!,Final!A1085,#REF!)</f>
        <v>#REF!</v>
      </c>
      <c r="D1085" s="1597" t="e">
        <f>+SUMIF(#REF!,Final!A1085,#REF!)</f>
        <v>#REF!</v>
      </c>
      <c r="E1085" s="1643" t="e">
        <f>SUMIF(#REF!,Final!A1085,#REF!)</f>
        <v>#REF!</v>
      </c>
      <c r="F1085" s="1644" t="e">
        <f>SUMIF(#REF!,Final!A1085,#REF!)</f>
        <v>#REF!</v>
      </c>
      <c r="G1085" s="1597" t="e">
        <f t="shared" si="96"/>
        <v>#REF!</v>
      </c>
      <c r="H1085" s="1644" t="e">
        <f t="shared" si="97"/>
        <v>#REF!</v>
      </c>
      <c r="I1085" s="1597" t="e">
        <f t="shared" si="98"/>
        <v>#REF!</v>
      </c>
      <c r="J1085" s="1644" t="e">
        <f t="shared" si="99"/>
        <v>#REF!</v>
      </c>
      <c r="M1085" s="1545"/>
      <c r="N1085" s="1545"/>
    </row>
    <row r="1086" spans="1:93" ht="15.5">
      <c r="A1086" s="1598">
        <v>23.385000000000002</v>
      </c>
      <c r="B1086" s="1599" t="s">
        <v>669</v>
      </c>
      <c r="C1086" s="1643" t="e">
        <f>+SUMIF(#REF!,Final!A1086,#REF!)</f>
        <v>#REF!</v>
      </c>
      <c r="D1086" s="1597" t="e">
        <f>+SUMIF(#REF!,Final!A1086,#REF!)</f>
        <v>#REF!</v>
      </c>
      <c r="E1086" s="1643" t="e">
        <f>SUMIF(#REF!,Final!A1086,#REF!)</f>
        <v>#REF!</v>
      </c>
      <c r="F1086" s="1644" t="e">
        <f>SUMIF(#REF!,Final!A1086,#REF!)</f>
        <v>#REF!</v>
      </c>
      <c r="G1086" s="1597" t="e">
        <f t="shared" si="96"/>
        <v>#REF!</v>
      </c>
      <c r="H1086" s="1644" t="e">
        <f t="shared" si="97"/>
        <v>#REF!</v>
      </c>
      <c r="I1086" s="1597" t="e">
        <f t="shared" si="98"/>
        <v>#REF!</v>
      </c>
      <c r="J1086" s="1644" t="e">
        <f t="shared" si="99"/>
        <v>#REF!</v>
      </c>
      <c r="M1086" s="1545"/>
      <c r="N1086" s="1545"/>
    </row>
    <row r="1087" spans="1:93" s="1543" customFormat="1" ht="15.5">
      <c r="A1087" s="1598">
        <v>23.385999999999999</v>
      </c>
      <c r="B1087" s="1599" t="s">
        <v>423</v>
      </c>
      <c r="C1087" s="1643" t="e">
        <f>+SUMIF(#REF!,Final!A1087,#REF!)</f>
        <v>#REF!</v>
      </c>
      <c r="D1087" s="1597" t="e">
        <f>+SUMIF(#REF!,Final!A1087,#REF!)</f>
        <v>#REF!</v>
      </c>
      <c r="E1087" s="1643" t="e">
        <f>SUMIF(#REF!,Final!A1087,#REF!)</f>
        <v>#REF!</v>
      </c>
      <c r="F1087" s="1644" t="e">
        <f>SUMIF(#REF!,Final!A1087,#REF!)</f>
        <v>#REF!</v>
      </c>
      <c r="G1087" s="1597" t="e">
        <f t="shared" si="96"/>
        <v>#REF!</v>
      </c>
      <c r="H1087" s="1644" t="e">
        <f t="shared" si="97"/>
        <v>#REF!</v>
      </c>
      <c r="I1087" s="1597" t="e">
        <f t="shared" si="98"/>
        <v>#REF!</v>
      </c>
      <c r="J1087" s="1644" t="e">
        <f t="shared" si="99"/>
        <v>#REF!</v>
      </c>
      <c r="K1087" s="1539"/>
      <c r="L1087" s="1539"/>
      <c r="M1087" s="1545"/>
      <c r="N1087" s="1545"/>
      <c r="O1087" s="1539"/>
      <c r="P1087" s="1539"/>
      <c r="Q1087" s="1539"/>
      <c r="R1087" s="1539"/>
      <c r="S1087" s="1539"/>
      <c r="T1087" s="1539"/>
      <c r="U1087" s="1539"/>
      <c r="V1087" s="1539"/>
      <c r="W1087" s="1539"/>
      <c r="X1087" s="1539"/>
      <c r="Y1087" s="1539"/>
      <c r="Z1087" s="1539"/>
      <c r="AA1087" s="1539"/>
      <c r="AB1087" s="1539"/>
      <c r="AC1087" s="1539"/>
      <c r="AD1087" s="1539"/>
      <c r="AE1087" s="1539"/>
      <c r="AF1087" s="1539"/>
      <c r="AG1087" s="1539"/>
      <c r="AH1087" s="1539"/>
      <c r="AI1087" s="1539"/>
      <c r="AJ1087" s="1539"/>
      <c r="AK1087" s="1539"/>
      <c r="AL1087" s="1539"/>
      <c r="AM1087" s="1539"/>
      <c r="AN1087" s="1539"/>
      <c r="AO1087" s="1539"/>
      <c r="AP1087" s="1539"/>
      <c r="AQ1087" s="1539"/>
      <c r="AR1087" s="1539"/>
      <c r="AS1087" s="1539"/>
      <c r="AT1087" s="1539"/>
      <c r="AU1087" s="1539"/>
      <c r="AV1087" s="1539"/>
      <c r="AW1087" s="1539"/>
      <c r="AX1087" s="1539"/>
      <c r="AY1087" s="1539"/>
      <c r="AZ1087" s="1539"/>
      <c r="BA1087" s="1539"/>
      <c r="BB1087" s="1539"/>
      <c r="BC1087" s="1539"/>
      <c r="BD1087" s="1539"/>
      <c r="BE1087" s="1539"/>
      <c r="BF1087" s="1539"/>
      <c r="BG1087" s="1539"/>
      <c r="BH1087" s="1539"/>
      <c r="BI1087" s="1539"/>
      <c r="BJ1087" s="1539"/>
      <c r="BK1087" s="1539"/>
      <c r="BL1087" s="1539"/>
      <c r="BM1087" s="1539"/>
      <c r="BN1087" s="1539"/>
      <c r="BO1087" s="1539"/>
      <c r="BP1087" s="1539"/>
      <c r="BQ1087" s="1539"/>
      <c r="BR1087" s="1539"/>
      <c r="BS1087" s="1539"/>
      <c r="BT1087" s="1539"/>
      <c r="BU1087" s="1539"/>
      <c r="BV1087" s="1539"/>
      <c r="BW1087" s="1539"/>
      <c r="BX1087" s="1539"/>
      <c r="BY1087" s="1539"/>
      <c r="BZ1087" s="1539"/>
      <c r="CA1087" s="1539"/>
      <c r="CB1087" s="1539"/>
      <c r="CC1087" s="1539"/>
      <c r="CD1087" s="1539"/>
      <c r="CE1087" s="1539"/>
      <c r="CF1087" s="1539"/>
      <c r="CG1087" s="1539"/>
      <c r="CH1087" s="1539"/>
      <c r="CI1087" s="1539"/>
      <c r="CJ1087" s="1539"/>
      <c r="CK1087" s="1539"/>
      <c r="CL1087" s="1539"/>
      <c r="CM1087" s="1539"/>
      <c r="CN1087" s="1539"/>
      <c r="CO1087" s="1539"/>
    </row>
    <row r="1088" spans="1:93" s="1543" customFormat="1" ht="15.5">
      <c r="A1088" s="1598">
        <v>23.387</v>
      </c>
      <c r="B1088" s="1599" t="s">
        <v>1905</v>
      </c>
      <c r="C1088" s="1643" t="e">
        <f>+SUMIF(#REF!,Final!A1088,#REF!)</f>
        <v>#REF!</v>
      </c>
      <c r="D1088" s="1597" t="e">
        <f>+SUMIF(#REF!,Final!A1088,#REF!)</f>
        <v>#REF!</v>
      </c>
      <c r="E1088" s="1643" t="e">
        <f>SUMIF(#REF!,Final!A1088,#REF!)</f>
        <v>#REF!</v>
      </c>
      <c r="F1088" s="1644" t="e">
        <f>SUMIF(#REF!,Final!A1088,#REF!)</f>
        <v>#REF!</v>
      </c>
      <c r="G1088" s="1597" t="e">
        <f t="shared" si="96"/>
        <v>#REF!</v>
      </c>
      <c r="H1088" s="1644" t="e">
        <f t="shared" si="97"/>
        <v>#REF!</v>
      </c>
      <c r="I1088" s="1597" t="e">
        <f t="shared" si="98"/>
        <v>#REF!</v>
      </c>
      <c r="J1088" s="1644" t="e">
        <f t="shared" si="99"/>
        <v>#REF!</v>
      </c>
      <c r="K1088" s="1539"/>
      <c r="L1088" s="1539"/>
      <c r="M1088" s="1545"/>
      <c r="N1088" s="1545"/>
      <c r="O1088" s="1539"/>
      <c r="P1088" s="1539"/>
      <c r="Q1088" s="1539"/>
      <c r="R1088" s="1539"/>
      <c r="S1088" s="1539"/>
      <c r="T1088" s="1539"/>
      <c r="U1088" s="1539"/>
      <c r="V1088" s="1539"/>
      <c r="W1088" s="1539"/>
      <c r="X1088" s="1539"/>
      <c r="Y1088" s="1539"/>
      <c r="Z1088" s="1539"/>
      <c r="AA1088" s="1539"/>
      <c r="AB1088" s="1539"/>
      <c r="AC1088" s="1539"/>
      <c r="AD1088" s="1539"/>
      <c r="AE1088" s="1539"/>
      <c r="AF1088" s="1539"/>
      <c r="AG1088" s="1539"/>
      <c r="AH1088" s="1539"/>
      <c r="AI1088" s="1539"/>
      <c r="AJ1088" s="1539"/>
      <c r="AK1088" s="1539"/>
      <c r="AL1088" s="1539"/>
      <c r="AM1088" s="1539"/>
      <c r="AN1088" s="1539"/>
      <c r="AO1088" s="1539"/>
      <c r="AP1088" s="1539"/>
      <c r="AQ1088" s="1539"/>
      <c r="AR1088" s="1539"/>
      <c r="AS1088" s="1539"/>
      <c r="AT1088" s="1539"/>
      <c r="AU1088" s="1539"/>
      <c r="AV1088" s="1539"/>
      <c r="AW1088" s="1539"/>
      <c r="AX1088" s="1539"/>
      <c r="AY1088" s="1539"/>
      <c r="AZ1088" s="1539"/>
      <c r="BA1088" s="1539"/>
      <c r="BB1088" s="1539"/>
      <c r="BC1088" s="1539"/>
      <c r="BD1088" s="1539"/>
      <c r="BE1088" s="1539"/>
      <c r="BF1088" s="1539"/>
      <c r="BG1088" s="1539"/>
      <c r="BH1088" s="1539"/>
      <c r="BI1088" s="1539"/>
      <c r="BJ1088" s="1539"/>
      <c r="BK1088" s="1539"/>
      <c r="BL1088" s="1539"/>
      <c r="BM1088" s="1539"/>
      <c r="BN1088" s="1539"/>
      <c r="BO1088" s="1539"/>
      <c r="BP1088" s="1539"/>
      <c r="BQ1088" s="1539"/>
      <c r="BR1088" s="1539"/>
      <c r="BS1088" s="1539"/>
      <c r="BT1088" s="1539"/>
      <c r="BU1088" s="1539"/>
      <c r="BV1088" s="1539"/>
      <c r="BW1088" s="1539"/>
      <c r="BX1088" s="1539"/>
      <c r="BY1088" s="1539"/>
      <c r="BZ1088" s="1539"/>
      <c r="CA1088" s="1539"/>
      <c r="CB1088" s="1539"/>
      <c r="CC1088" s="1539"/>
      <c r="CD1088" s="1539"/>
      <c r="CE1088" s="1539"/>
      <c r="CF1088" s="1539"/>
      <c r="CG1088" s="1539"/>
      <c r="CH1088" s="1539"/>
      <c r="CI1088" s="1539"/>
      <c r="CJ1088" s="1539"/>
      <c r="CK1088" s="1539"/>
      <c r="CL1088" s="1539"/>
      <c r="CM1088" s="1539"/>
      <c r="CN1088" s="1539"/>
      <c r="CO1088" s="1539"/>
    </row>
    <row r="1089" spans="1:93" s="1552" customFormat="1" ht="15.5">
      <c r="A1089" s="1598"/>
      <c r="B1089" s="1599" t="s">
        <v>1747</v>
      </c>
      <c r="C1089" s="1643" t="e">
        <f>+SUMIF(#REF!,Final!A1089,#REF!)</f>
        <v>#REF!</v>
      </c>
      <c r="D1089" s="1597" t="e">
        <f>+SUMIF(#REF!,Final!A1089,#REF!)</f>
        <v>#REF!</v>
      </c>
      <c r="E1089" s="1643" t="e">
        <f>SUMIF(#REF!,Final!A1089,#REF!)</f>
        <v>#REF!</v>
      </c>
      <c r="F1089" s="1644" t="e">
        <f>SUMIF(#REF!,Final!A1089,#REF!)</f>
        <v>#REF!</v>
      </c>
      <c r="G1089" s="1597" t="e">
        <f t="shared" si="96"/>
        <v>#REF!</v>
      </c>
      <c r="H1089" s="1644" t="e">
        <f t="shared" si="97"/>
        <v>#REF!</v>
      </c>
      <c r="I1089" s="1597" t="e">
        <f t="shared" si="98"/>
        <v>#REF!</v>
      </c>
      <c r="J1089" s="1644" t="e">
        <f t="shared" si="99"/>
        <v>#REF!</v>
      </c>
      <c r="K1089" s="1539"/>
      <c r="L1089" s="1539"/>
      <c r="M1089" s="1545"/>
      <c r="N1089" s="1545"/>
      <c r="O1089" s="1539"/>
      <c r="P1089" s="1539"/>
      <c r="Q1089" s="1539"/>
      <c r="R1089" s="1539"/>
      <c r="S1089" s="1539"/>
      <c r="T1089" s="1539"/>
      <c r="U1089" s="1539"/>
      <c r="V1089" s="1539"/>
      <c r="W1089" s="1539"/>
      <c r="X1089" s="1539"/>
      <c r="Y1089" s="1539"/>
      <c r="Z1089" s="1539"/>
      <c r="AA1089" s="1539"/>
      <c r="AB1089" s="1539"/>
      <c r="AC1089" s="1539"/>
      <c r="AD1089" s="1539"/>
      <c r="AE1089" s="1539"/>
      <c r="AF1089" s="1539"/>
      <c r="AG1089" s="1539"/>
      <c r="AH1089" s="1539"/>
      <c r="AI1089" s="1539"/>
      <c r="AJ1089" s="1539"/>
      <c r="AK1089" s="1539"/>
      <c r="AL1089" s="1539"/>
      <c r="AM1089" s="1539"/>
      <c r="AN1089" s="1539"/>
      <c r="AO1089" s="1539"/>
      <c r="AP1089" s="1539"/>
      <c r="AQ1089" s="1539"/>
      <c r="AR1089" s="1539"/>
      <c r="AS1089" s="1539"/>
      <c r="AT1089" s="1539"/>
      <c r="AU1089" s="1539"/>
      <c r="AV1089" s="1539"/>
      <c r="AW1089" s="1539"/>
      <c r="AX1089" s="1539"/>
      <c r="AY1089" s="1539"/>
      <c r="AZ1089" s="1539"/>
      <c r="BA1089" s="1539"/>
      <c r="BB1089" s="1539"/>
      <c r="BC1089" s="1539"/>
      <c r="BD1089" s="1539"/>
      <c r="BE1089" s="1539"/>
      <c r="BF1089" s="1539"/>
      <c r="BG1089" s="1539"/>
      <c r="BH1089" s="1539"/>
      <c r="BI1089" s="1539"/>
      <c r="BJ1089" s="1539"/>
      <c r="BK1089" s="1539"/>
      <c r="BL1089" s="1539"/>
      <c r="BM1089" s="1539"/>
      <c r="BN1089" s="1539"/>
      <c r="BO1089" s="1539"/>
      <c r="BP1089" s="1539"/>
      <c r="BQ1089" s="1539"/>
      <c r="BR1089" s="1539"/>
      <c r="BS1089" s="1539"/>
      <c r="BT1089" s="1539"/>
      <c r="BU1089" s="1539"/>
      <c r="BV1089" s="1539"/>
      <c r="BW1089" s="1539"/>
      <c r="BX1089" s="1539"/>
      <c r="BY1089" s="1539"/>
      <c r="BZ1089" s="1539"/>
      <c r="CA1089" s="1539"/>
      <c r="CB1089" s="1539"/>
      <c r="CC1089" s="1539"/>
      <c r="CD1089" s="1539"/>
      <c r="CE1089" s="1539"/>
      <c r="CF1089" s="1539"/>
      <c r="CG1089" s="1539"/>
      <c r="CH1089" s="1539"/>
      <c r="CI1089" s="1539"/>
      <c r="CJ1089" s="1539"/>
      <c r="CK1089" s="1539"/>
      <c r="CL1089" s="1539"/>
      <c r="CM1089" s="1539"/>
      <c r="CN1089" s="1539"/>
      <c r="CO1089" s="1539"/>
    </row>
    <row r="1090" spans="1:93" s="1552" customFormat="1" ht="15.5">
      <c r="A1090" s="1598"/>
      <c r="B1090" s="1599" t="s">
        <v>1760</v>
      </c>
      <c r="C1090" s="1643" t="e">
        <f>+SUMIF(#REF!,Final!A1090,#REF!)</f>
        <v>#REF!</v>
      </c>
      <c r="D1090" s="1597" t="e">
        <f>+SUMIF(#REF!,Final!A1090,#REF!)</f>
        <v>#REF!</v>
      </c>
      <c r="E1090" s="1643" t="e">
        <f>SUMIF(#REF!,Final!A1090,#REF!)</f>
        <v>#REF!</v>
      </c>
      <c r="F1090" s="1644" t="e">
        <f>SUMIF(#REF!,Final!A1090,#REF!)</f>
        <v>#REF!</v>
      </c>
      <c r="G1090" s="1597" t="e">
        <f t="shared" si="96"/>
        <v>#REF!</v>
      </c>
      <c r="H1090" s="1644" t="e">
        <f t="shared" si="97"/>
        <v>#REF!</v>
      </c>
      <c r="I1090" s="1597" t="e">
        <f t="shared" si="98"/>
        <v>#REF!</v>
      </c>
      <c r="J1090" s="1644" t="e">
        <f t="shared" si="99"/>
        <v>#REF!</v>
      </c>
      <c r="K1090" s="1539"/>
      <c r="L1090" s="1539"/>
      <c r="M1090" s="1545"/>
      <c r="N1090" s="1545"/>
      <c r="O1090" s="1539"/>
      <c r="P1090" s="1539"/>
      <c r="Q1090" s="1539"/>
      <c r="R1090" s="1539"/>
      <c r="S1090" s="1539"/>
      <c r="T1090" s="1539"/>
      <c r="U1090" s="1539"/>
      <c r="V1090" s="1539"/>
      <c r="W1090" s="1539"/>
      <c r="X1090" s="1539"/>
      <c r="Y1090" s="1539"/>
      <c r="Z1090" s="1539"/>
      <c r="AA1090" s="1539"/>
      <c r="AB1090" s="1539"/>
      <c r="AC1090" s="1539"/>
      <c r="AD1090" s="1539"/>
      <c r="AE1090" s="1539"/>
      <c r="AF1090" s="1539"/>
      <c r="AG1090" s="1539"/>
      <c r="AH1090" s="1539"/>
      <c r="AI1090" s="1539"/>
      <c r="AJ1090" s="1539"/>
      <c r="AK1090" s="1539"/>
      <c r="AL1090" s="1539"/>
      <c r="AM1090" s="1539"/>
      <c r="AN1090" s="1539"/>
      <c r="AO1090" s="1539"/>
      <c r="AP1090" s="1539"/>
      <c r="AQ1090" s="1539"/>
      <c r="AR1090" s="1539"/>
      <c r="AS1090" s="1539"/>
      <c r="AT1090" s="1539"/>
      <c r="AU1090" s="1539"/>
      <c r="AV1090" s="1539"/>
      <c r="AW1090" s="1539"/>
      <c r="AX1090" s="1539"/>
      <c r="AY1090" s="1539"/>
      <c r="AZ1090" s="1539"/>
      <c r="BA1090" s="1539"/>
      <c r="BB1090" s="1539"/>
      <c r="BC1090" s="1539"/>
      <c r="BD1090" s="1539"/>
      <c r="BE1090" s="1539"/>
      <c r="BF1090" s="1539"/>
      <c r="BG1090" s="1539"/>
      <c r="BH1090" s="1539"/>
      <c r="BI1090" s="1539"/>
      <c r="BJ1090" s="1539"/>
      <c r="BK1090" s="1539"/>
      <c r="BL1090" s="1539"/>
      <c r="BM1090" s="1539"/>
      <c r="BN1090" s="1539"/>
      <c r="BO1090" s="1539"/>
      <c r="BP1090" s="1539"/>
      <c r="BQ1090" s="1539"/>
      <c r="BR1090" s="1539"/>
      <c r="BS1090" s="1539"/>
      <c r="BT1090" s="1539"/>
      <c r="BU1090" s="1539"/>
      <c r="BV1090" s="1539"/>
      <c r="BW1090" s="1539"/>
      <c r="BX1090" s="1539"/>
      <c r="BY1090" s="1539"/>
      <c r="BZ1090" s="1539"/>
      <c r="CA1090" s="1539"/>
      <c r="CB1090" s="1539"/>
      <c r="CC1090" s="1539"/>
      <c r="CD1090" s="1539"/>
      <c r="CE1090" s="1539"/>
      <c r="CF1090" s="1539"/>
      <c r="CG1090" s="1539"/>
      <c r="CH1090" s="1539"/>
      <c r="CI1090" s="1539"/>
      <c r="CJ1090" s="1539"/>
      <c r="CK1090" s="1539"/>
      <c r="CL1090" s="1539"/>
      <c r="CM1090" s="1539"/>
      <c r="CN1090" s="1539"/>
      <c r="CO1090" s="1539"/>
    </row>
    <row r="1091" spans="1:93" s="1542" customFormat="1" ht="15.5">
      <c r="A1091" s="1598" t="s">
        <v>1102</v>
      </c>
      <c r="B1091" s="1599" t="s">
        <v>2738</v>
      </c>
      <c r="C1091" s="1643" t="e">
        <f>+SUMIF(#REF!,Final!A1091,#REF!)</f>
        <v>#REF!</v>
      </c>
      <c r="D1091" s="1597" t="e">
        <f>+SUMIF(#REF!,Final!A1091,#REF!)</f>
        <v>#REF!</v>
      </c>
      <c r="E1091" s="1643" t="e">
        <f>SUMIF(#REF!,Final!A1091,#REF!)</f>
        <v>#REF!</v>
      </c>
      <c r="F1091" s="1644" t="e">
        <f>SUMIF(#REF!,Final!A1091,#REF!)</f>
        <v>#REF!</v>
      </c>
      <c r="G1091" s="1597" t="e">
        <f t="shared" si="96"/>
        <v>#REF!</v>
      </c>
      <c r="H1091" s="1644" t="e">
        <f t="shared" si="97"/>
        <v>#REF!</v>
      </c>
      <c r="I1091" s="1597" t="e">
        <f t="shared" si="98"/>
        <v>#REF!</v>
      </c>
      <c r="J1091" s="1644" t="e">
        <f t="shared" si="99"/>
        <v>#REF!</v>
      </c>
      <c r="K1091" s="1539"/>
      <c r="L1091" s="1539"/>
      <c r="M1091" s="1545"/>
      <c r="N1091" s="1545"/>
      <c r="O1091" s="1539"/>
      <c r="P1091" s="1539"/>
      <c r="Q1091" s="1539"/>
      <c r="R1091" s="1539"/>
      <c r="S1091" s="1539"/>
      <c r="T1091" s="1539"/>
      <c r="U1091" s="1539"/>
      <c r="V1091" s="1539"/>
      <c r="W1091" s="1539"/>
      <c r="X1091" s="1539"/>
      <c r="Y1091" s="1539"/>
      <c r="Z1091" s="1539"/>
      <c r="AA1091" s="1539"/>
      <c r="AB1091" s="1539"/>
      <c r="AC1091" s="1539"/>
      <c r="AD1091" s="1539"/>
      <c r="AE1091" s="1539"/>
      <c r="AF1091" s="1539"/>
      <c r="AG1091" s="1539"/>
      <c r="AH1091" s="1539"/>
      <c r="AI1091" s="1539"/>
      <c r="AJ1091" s="1539"/>
      <c r="AK1091" s="1539"/>
      <c r="AL1091" s="1539"/>
      <c r="AM1091" s="1539"/>
      <c r="AN1091" s="1539"/>
      <c r="AO1091" s="1539"/>
      <c r="AP1091" s="1539"/>
      <c r="AQ1091" s="1539"/>
      <c r="AR1091" s="1539"/>
      <c r="AS1091" s="1539"/>
      <c r="AT1091" s="1539"/>
      <c r="AU1091" s="1539"/>
      <c r="AV1091" s="1539"/>
      <c r="AW1091" s="1539"/>
      <c r="AX1091" s="1539"/>
      <c r="AY1091" s="1539"/>
      <c r="AZ1091" s="1539"/>
      <c r="BA1091" s="1539"/>
      <c r="BB1091" s="1539"/>
      <c r="BC1091" s="1539"/>
      <c r="BD1091" s="1539"/>
      <c r="BE1091" s="1539"/>
      <c r="BF1091" s="1539"/>
      <c r="BG1091" s="1539"/>
      <c r="BH1091" s="1539"/>
      <c r="BI1091" s="1539"/>
      <c r="BJ1091" s="1539"/>
      <c r="BK1091" s="1539"/>
      <c r="BL1091" s="1539"/>
      <c r="BM1091" s="1539"/>
      <c r="BN1091" s="1539"/>
      <c r="BO1091" s="1539"/>
      <c r="BP1091" s="1539"/>
      <c r="BQ1091" s="1539"/>
      <c r="BR1091" s="1539"/>
      <c r="BS1091" s="1539"/>
      <c r="BT1091" s="1539"/>
      <c r="BU1091" s="1539"/>
      <c r="BV1091" s="1539"/>
      <c r="BW1091" s="1539"/>
      <c r="BX1091" s="1539"/>
      <c r="BY1091" s="1539"/>
      <c r="BZ1091" s="1539"/>
      <c r="CA1091" s="1539"/>
      <c r="CB1091" s="1539"/>
      <c r="CC1091" s="1539"/>
      <c r="CD1091" s="1539"/>
      <c r="CE1091" s="1539"/>
      <c r="CF1091" s="1539"/>
      <c r="CG1091" s="1539"/>
      <c r="CH1091" s="1539"/>
      <c r="CI1091" s="1539"/>
      <c r="CJ1091" s="1539"/>
      <c r="CK1091" s="1539"/>
      <c r="CL1091" s="1539"/>
      <c r="CM1091" s="1539"/>
      <c r="CN1091" s="1539"/>
      <c r="CO1091" s="1539"/>
    </row>
    <row r="1092" spans="1:93" s="1542" customFormat="1" ht="15.5">
      <c r="A1092" s="1598" t="s">
        <v>450</v>
      </c>
      <c r="B1092" s="1599" t="s">
        <v>2755</v>
      </c>
      <c r="C1092" s="1643" t="e">
        <f>+SUMIF(#REF!,Final!A1092,#REF!)</f>
        <v>#REF!</v>
      </c>
      <c r="D1092" s="1597" t="e">
        <f>+SUMIF(#REF!,Final!A1092,#REF!)</f>
        <v>#REF!</v>
      </c>
      <c r="E1092" s="1643" t="e">
        <f>SUMIF(#REF!,Final!A1092,#REF!)</f>
        <v>#REF!</v>
      </c>
      <c r="F1092" s="1644" t="e">
        <f>SUMIF(#REF!,Final!A1092,#REF!)</f>
        <v>#REF!</v>
      </c>
      <c r="G1092" s="1597" t="e">
        <f t="shared" si="96"/>
        <v>#REF!</v>
      </c>
      <c r="H1092" s="1644" t="e">
        <f t="shared" si="97"/>
        <v>#REF!</v>
      </c>
      <c r="I1092" s="1597" t="e">
        <f t="shared" si="98"/>
        <v>#REF!</v>
      </c>
      <c r="J1092" s="1644" t="e">
        <f t="shared" si="99"/>
        <v>#REF!</v>
      </c>
      <c r="K1092" s="1539"/>
      <c r="L1092" s="1539"/>
      <c r="M1092" s="1545"/>
      <c r="N1092" s="1545"/>
      <c r="O1092" s="1539"/>
      <c r="P1092" s="1539"/>
      <c r="Q1092" s="1539"/>
      <c r="R1092" s="1539"/>
      <c r="S1092" s="1539"/>
      <c r="T1092" s="1539"/>
      <c r="U1092" s="1539"/>
      <c r="V1092" s="1539"/>
      <c r="W1092" s="1539"/>
      <c r="X1092" s="1539"/>
      <c r="Y1092" s="1539"/>
      <c r="Z1092" s="1539"/>
      <c r="AA1092" s="1539"/>
      <c r="AB1092" s="1539"/>
      <c r="AC1092" s="1539"/>
      <c r="AD1092" s="1539"/>
      <c r="AE1092" s="1539"/>
      <c r="AF1092" s="1539"/>
      <c r="AG1092" s="1539"/>
      <c r="AH1092" s="1539"/>
      <c r="AI1092" s="1539"/>
      <c r="AJ1092" s="1539"/>
      <c r="AK1092" s="1539"/>
      <c r="AL1092" s="1539"/>
      <c r="AM1092" s="1539"/>
      <c r="AN1092" s="1539"/>
      <c r="AO1092" s="1539"/>
      <c r="AP1092" s="1539"/>
      <c r="AQ1092" s="1539"/>
      <c r="AR1092" s="1539"/>
      <c r="AS1092" s="1539"/>
      <c r="AT1092" s="1539"/>
      <c r="AU1092" s="1539"/>
      <c r="AV1092" s="1539"/>
      <c r="AW1092" s="1539"/>
      <c r="AX1092" s="1539"/>
      <c r="AY1092" s="1539"/>
      <c r="AZ1092" s="1539"/>
      <c r="BA1092" s="1539"/>
      <c r="BB1092" s="1539"/>
      <c r="BC1092" s="1539"/>
      <c r="BD1092" s="1539"/>
      <c r="BE1092" s="1539"/>
      <c r="BF1092" s="1539"/>
      <c r="BG1092" s="1539"/>
      <c r="BH1092" s="1539"/>
      <c r="BI1092" s="1539"/>
      <c r="BJ1092" s="1539"/>
      <c r="BK1092" s="1539"/>
      <c r="BL1092" s="1539"/>
      <c r="BM1092" s="1539"/>
      <c r="BN1092" s="1539"/>
      <c r="BO1092" s="1539"/>
      <c r="BP1092" s="1539"/>
      <c r="BQ1092" s="1539"/>
      <c r="BR1092" s="1539"/>
      <c r="BS1092" s="1539"/>
      <c r="BT1092" s="1539"/>
      <c r="BU1092" s="1539"/>
      <c r="BV1092" s="1539"/>
      <c r="BW1092" s="1539"/>
      <c r="BX1092" s="1539"/>
      <c r="BY1092" s="1539"/>
      <c r="BZ1092" s="1539"/>
      <c r="CA1092" s="1539"/>
      <c r="CB1092" s="1539"/>
      <c r="CC1092" s="1539"/>
      <c r="CD1092" s="1539"/>
      <c r="CE1092" s="1539"/>
      <c r="CF1092" s="1539"/>
      <c r="CG1092" s="1539"/>
      <c r="CH1092" s="1539"/>
      <c r="CI1092" s="1539"/>
      <c r="CJ1092" s="1539"/>
      <c r="CK1092" s="1539"/>
      <c r="CL1092" s="1539"/>
      <c r="CM1092" s="1539"/>
      <c r="CN1092" s="1539"/>
      <c r="CO1092" s="1539"/>
    </row>
    <row r="1093" spans="1:93" ht="15.5">
      <c r="A1093" s="1598">
        <v>23.39</v>
      </c>
      <c r="B1093" s="1599" t="s">
        <v>2748</v>
      </c>
      <c r="C1093" s="1643" t="e">
        <f>+SUMIF(#REF!,Final!A1093,#REF!)</f>
        <v>#REF!</v>
      </c>
      <c r="D1093" s="1597" t="e">
        <f>+SUMIF(#REF!,Final!A1093,#REF!)</f>
        <v>#REF!</v>
      </c>
      <c r="E1093" s="1643" t="e">
        <f>SUMIF(#REF!,Final!A1093,#REF!)</f>
        <v>#REF!</v>
      </c>
      <c r="F1093" s="1644" t="e">
        <f>SUMIF(#REF!,Final!A1093,#REF!)</f>
        <v>#REF!</v>
      </c>
      <c r="G1093" s="1597" t="e">
        <f t="shared" si="96"/>
        <v>#REF!</v>
      </c>
      <c r="H1093" s="1644" t="e">
        <f t="shared" si="97"/>
        <v>#REF!</v>
      </c>
      <c r="I1093" s="1597" t="e">
        <f t="shared" si="98"/>
        <v>#REF!</v>
      </c>
      <c r="J1093" s="1644" t="e">
        <f t="shared" si="99"/>
        <v>#REF!</v>
      </c>
      <c r="M1093" s="1545"/>
      <c r="N1093" s="1545"/>
    </row>
    <row r="1094" spans="1:93" ht="15.5">
      <c r="A1094" s="1598">
        <v>23.390999999999998</v>
      </c>
      <c r="B1094" s="1599" t="s">
        <v>2749</v>
      </c>
      <c r="C1094" s="1643" t="e">
        <f>+SUMIF(#REF!,Final!A1094,#REF!)</f>
        <v>#REF!</v>
      </c>
      <c r="D1094" s="1597" t="e">
        <f>+SUMIF(#REF!,Final!A1094,#REF!)</f>
        <v>#REF!</v>
      </c>
      <c r="E1094" s="1643" t="e">
        <f>SUMIF(#REF!,Final!A1094,#REF!)</f>
        <v>#REF!</v>
      </c>
      <c r="F1094" s="1644" t="e">
        <f>SUMIF(#REF!,Final!A1094,#REF!)</f>
        <v>#REF!</v>
      </c>
      <c r="G1094" s="1597" t="e">
        <f t="shared" si="96"/>
        <v>#REF!</v>
      </c>
      <c r="H1094" s="1644" t="e">
        <f t="shared" si="97"/>
        <v>#REF!</v>
      </c>
      <c r="I1094" s="1597" t="e">
        <f t="shared" si="98"/>
        <v>#REF!</v>
      </c>
      <c r="J1094" s="1644" t="e">
        <f t="shared" si="99"/>
        <v>#REF!</v>
      </c>
      <c r="M1094" s="1545"/>
      <c r="N1094" s="1545"/>
    </row>
    <row r="1095" spans="1:93" ht="15.5">
      <c r="A1095" s="1598">
        <v>23.396000000000001</v>
      </c>
      <c r="B1095" s="1599" t="s">
        <v>1216</v>
      </c>
      <c r="C1095" s="1643" t="e">
        <f>+SUMIF(#REF!,Final!A1095,#REF!)</f>
        <v>#REF!</v>
      </c>
      <c r="D1095" s="1597" t="e">
        <f>+SUMIF(#REF!,Final!A1095,#REF!)</f>
        <v>#REF!</v>
      </c>
      <c r="E1095" s="1643" t="e">
        <f>SUMIF(#REF!,Final!A1095,#REF!)</f>
        <v>#REF!</v>
      </c>
      <c r="F1095" s="1644" t="e">
        <f>SUMIF(#REF!,Final!A1095,#REF!)</f>
        <v>#REF!</v>
      </c>
      <c r="G1095" s="1597" t="e">
        <f t="shared" si="96"/>
        <v>#REF!</v>
      </c>
      <c r="H1095" s="1644" t="e">
        <f t="shared" si="97"/>
        <v>#REF!</v>
      </c>
      <c r="I1095" s="1597" t="e">
        <f t="shared" si="98"/>
        <v>#REF!</v>
      </c>
      <c r="J1095" s="1644" t="e">
        <f t="shared" si="99"/>
        <v>#REF!</v>
      </c>
      <c r="M1095" s="1545"/>
      <c r="N1095" s="1545"/>
    </row>
    <row r="1096" spans="1:93" ht="15.5">
      <c r="A1096" s="1598">
        <v>23.398</v>
      </c>
      <c r="B1096" s="1599" t="s">
        <v>2750</v>
      </c>
      <c r="C1096" s="1643" t="e">
        <f>+SUMIF(#REF!,Final!A1096,#REF!)</f>
        <v>#REF!</v>
      </c>
      <c r="D1096" s="1597" t="e">
        <f>+SUMIF(#REF!,Final!A1096,#REF!)</f>
        <v>#REF!</v>
      </c>
      <c r="E1096" s="1643" t="e">
        <f>SUMIF(#REF!,Final!A1096,#REF!)</f>
        <v>#REF!</v>
      </c>
      <c r="F1096" s="1644" t="e">
        <f>SUMIF(#REF!,Final!A1096,#REF!)</f>
        <v>#REF!</v>
      </c>
      <c r="G1096" s="1597" t="e">
        <f t="shared" si="96"/>
        <v>#REF!</v>
      </c>
      <c r="H1096" s="1644" t="e">
        <f t="shared" si="97"/>
        <v>#REF!</v>
      </c>
      <c r="I1096" s="1597" t="e">
        <f t="shared" si="98"/>
        <v>#REF!</v>
      </c>
      <c r="J1096" s="1644" t="e">
        <f t="shared" si="99"/>
        <v>#REF!</v>
      </c>
      <c r="M1096" s="1545"/>
      <c r="N1096" s="1545"/>
    </row>
    <row r="1097" spans="1:93" ht="15.5">
      <c r="A1097" s="1598">
        <v>23.4</v>
      </c>
      <c r="B1097" s="1599" t="s">
        <v>4747</v>
      </c>
      <c r="C1097" s="1643" t="e">
        <f>+SUMIF(#REF!,Final!A1097,#REF!)</f>
        <v>#REF!</v>
      </c>
      <c r="D1097" s="1597" t="e">
        <f>+SUMIF(#REF!,Final!A1097,#REF!)</f>
        <v>#REF!</v>
      </c>
      <c r="E1097" s="1643" t="e">
        <f>SUMIF(#REF!,Final!A1097,#REF!)</f>
        <v>#REF!</v>
      </c>
      <c r="F1097" s="1644" t="e">
        <f>SUMIF(#REF!,Final!A1097,#REF!)</f>
        <v>#REF!</v>
      </c>
      <c r="G1097" s="1597" t="e">
        <f t="shared" si="96"/>
        <v>#REF!</v>
      </c>
      <c r="H1097" s="1644" t="e">
        <f t="shared" si="97"/>
        <v>#REF!</v>
      </c>
      <c r="I1097" s="1597" t="e">
        <f t="shared" si="98"/>
        <v>#REF!</v>
      </c>
      <c r="J1097" s="1644" t="e">
        <f t="shared" si="99"/>
        <v>#REF!</v>
      </c>
      <c r="M1097" s="1545"/>
      <c r="N1097" s="1545"/>
    </row>
    <row r="1098" spans="1:93" s="1552" customFormat="1" ht="15.5">
      <c r="A1098" s="1598"/>
      <c r="B1098" s="1599" t="s">
        <v>1747</v>
      </c>
      <c r="C1098" s="1643" t="e">
        <f>+SUMIF(#REF!,Final!A1098,#REF!)</f>
        <v>#REF!</v>
      </c>
      <c r="D1098" s="1597" t="e">
        <f>+SUMIF(#REF!,Final!A1098,#REF!)</f>
        <v>#REF!</v>
      </c>
      <c r="E1098" s="1643" t="e">
        <f>SUMIF(#REF!,Final!A1098,#REF!)</f>
        <v>#REF!</v>
      </c>
      <c r="F1098" s="1644" t="e">
        <f>SUMIF(#REF!,Final!A1098,#REF!)</f>
        <v>#REF!</v>
      </c>
      <c r="G1098" s="1597" t="e">
        <f t="shared" si="96"/>
        <v>#REF!</v>
      </c>
      <c r="H1098" s="1644" t="e">
        <f t="shared" si="97"/>
        <v>#REF!</v>
      </c>
      <c r="I1098" s="1597" t="e">
        <f t="shared" si="98"/>
        <v>#REF!</v>
      </c>
      <c r="J1098" s="1644" t="e">
        <f t="shared" si="99"/>
        <v>#REF!</v>
      </c>
      <c r="K1098" s="1539"/>
      <c r="L1098" s="1539"/>
      <c r="M1098" s="1545"/>
      <c r="N1098" s="1545"/>
      <c r="O1098" s="1539"/>
      <c r="P1098" s="1539"/>
      <c r="Q1098" s="1539"/>
      <c r="R1098" s="1539"/>
      <c r="S1098" s="1539"/>
      <c r="T1098" s="1539"/>
      <c r="U1098" s="1539"/>
      <c r="V1098" s="1539"/>
      <c r="W1098" s="1539"/>
      <c r="X1098" s="1539"/>
      <c r="Y1098" s="1539"/>
      <c r="Z1098" s="1539"/>
      <c r="AA1098" s="1539"/>
      <c r="AB1098" s="1539"/>
      <c r="AC1098" s="1539"/>
      <c r="AD1098" s="1539"/>
      <c r="AE1098" s="1539"/>
      <c r="AF1098" s="1539"/>
      <c r="AG1098" s="1539"/>
      <c r="AH1098" s="1539"/>
      <c r="AI1098" s="1539"/>
      <c r="AJ1098" s="1539"/>
      <c r="AK1098" s="1539"/>
      <c r="AL1098" s="1539"/>
      <c r="AM1098" s="1539"/>
      <c r="AN1098" s="1539"/>
      <c r="AO1098" s="1539"/>
      <c r="AP1098" s="1539"/>
      <c r="AQ1098" s="1539"/>
      <c r="AR1098" s="1539"/>
      <c r="AS1098" s="1539"/>
      <c r="AT1098" s="1539"/>
      <c r="AU1098" s="1539"/>
      <c r="AV1098" s="1539"/>
      <c r="AW1098" s="1539"/>
      <c r="AX1098" s="1539"/>
      <c r="AY1098" s="1539"/>
      <c r="AZ1098" s="1539"/>
      <c r="BA1098" s="1539"/>
      <c r="BB1098" s="1539"/>
      <c r="BC1098" s="1539"/>
      <c r="BD1098" s="1539"/>
      <c r="BE1098" s="1539"/>
      <c r="BF1098" s="1539"/>
      <c r="BG1098" s="1539"/>
      <c r="BH1098" s="1539"/>
      <c r="BI1098" s="1539"/>
      <c r="BJ1098" s="1539"/>
      <c r="BK1098" s="1539"/>
      <c r="BL1098" s="1539"/>
      <c r="BM1098" s="1539"/>
      <c r="BN1098" s="1539"/>
      <c r="BO1098" s="1539"/>
      <c r="BP1098" s="1539"/>
      <c r="BQ1098" s="1539"/>
      <c r="BR1098" s="1539"/>
      <c r="BS1098" s="1539"/>
      <c r="BT1098" s="1539"/>
      <c r="BU1098" s="1539"/>
      <c r="BV1098" s="1539"/>
      <c r="BW1098" s="1539"/>
      <c r="BX1098" s="1539"/>
      <c r="BY1098" s="1539"/>
      <c r="BZ1098" s="1539"/>
      <c r="CA1098" s="1539"/>
      <c r="CB1098" s="1539"/>
      <c r="CC1098" s="1539"/>
      <c r="CD1098" s="1539"/>
      <c r="CE1098" s="1539"/>
      <c r="CF1098" s="1539"/>
      <c r="CG1098" s="1539"/>
      <c r="CH1098" s="1539"/>
      <c r="CI1098" s="1539"/>
      <c r="CJ1098" s="1539"/>
      <c r="CK1098" s="1539"/>
      <c r="CL1098" s="1539"/>
      <c r="CM1098" s="1539"/>
      <c r="CN1098" s="1539"/>
      <c r="CO1098" s="1539"/>
    </row>
    <row r="1099" spans="1:93" s="1552" customFormat="1" ht="15.5">
      <c r="A1099" s="1598"/>
      <c r="B1099" s="1599" t="s">
        <v>1760</v>
      </c>
      <c r="C1099" s="1643" t="e">
        <f>+SUMIF(#REF!,Final!A1099,#REF!)</f>
        <v>#REF!</v>
      </c>
      <c r="D1099" s="1597" t="e">
        <f>+SUMIF(#REF!,Final!A1099,#REF!)</f>
        <v>#REF!</v>
      </c>
      <c r="E1099" s="1643" t="e">
        <f>SUMIF(#REF!,Final!A1099,#REF!)</f>
        <v>#REF!</v>
      </c>
      <c r="F1099" s="1644" t="e">
        <f>SUMIF(#REF!,Final!A1099,#REF!)</f>
        <v>#REF!</v>
      </c>
      <c r="G1099" s="1597" t="e">
        <f t="shared" si="96"/>
        <v>#REF!</v>
      </c>
      <c r="H1099" s="1644" t="e">
        <f t="shared" si="97"/>
        <v>#REF!</v>
      </c>
      <c r="I1099" s="1597" t="e">
        <f t="shared" si="98"/>
        <v>#REF!</v>
      </c>
      <c r="J1099" s="1644" t="e">
        <f t="shared" si="99"/>
        <v>#REF!</v>
      </c>
      <c r="K1099" s="1539"/>
      <c r="L1099" s="1539"/>
      <c r="M1099" s="1545"/>
      <c r="N1099" s="1545"/>
      <c r="O1099" s="1539"/>
      <c r="P1099" s="1539"/>
      <c r="Q1099" s="1539"/>
      <c r="R1099" s="1539"/>
      <c r="S1099" s="1539"/>
      <c r="T1099" s="1539"/>
      <c r="U1099" s="1539"/>
      <c r="V1099" s="1539"/>
      <c r="W1099" s="1539"/>
      <c r="X1099" s="1539"/>
      <c r="Y1099" s="1539"/>
      <c r="Z1099" s="1539"/>
      <c r="AA1099" s="1539"/>
      <c r="AB1099" s="1539"/>
      <c r="AC1099" s="1539"/>
      <c r="AD1099" s="1539"/>
      <c r="AE1099" s="1539"/>
      <c r="AF1099" s="1539"/>
      <c r="AG1099" s="1539"/>
      <c r="AH1099" s="1539"/>
      <c r="AI1099" s="1539"/>
      <c r="AJ1099" s="1539"/>
      <c r="AK1099" s="1539"/>
      <c r="AL1099" s="1539"/>
      <c r="AM1099" s="1539"/>
      <c r="AN1099" s="1539"/>
      <c r="AO1099" s="1539"/>
      <c r="AP1099" s="1539"/>
      <c r="AQ1099" s="1539"/>
      <c r="AR1099" s="1539"/>
      <c r="AS1099" s="1539"/>
      <c r="AT1099" s="1539"/>
      <c r="AU1099" s="1539"/>
      <c r="AV1099" s="1539"/>
      <c r="AW1099" s="1539"/>
      <c r="AX1099" s="1539"/>
      <c r="AY1099" s="1539"/>
      <c r="AZ1099" s="1539"/>
      <c r="BA1099" s="1539"/>
      <c r="BB1099" s="1539"/>
      <c r="BC1099" s="1539"/>
      <c r="BD1099" s="1539"/>
      <c r="BE1099" s="1539"/>
      <c r="BF1099" s="1539"/>
      <c r="BG1099" s="1539"/>
      <c r="BH1099" s="1539"/>
      <c r="BI1099" s="1539"/>
      <c r="BJ1099" s="1539"/>
      <c r="BK1099" s="1539"/>
      <c r="BL1099" s="1539"/>
      <c r="BM1099" s="1539"/>
      <c r="BN1099" s="1539"/>
      <c r="BO1099" s="1539"/>
      <c r="BP1099" s="1539"/>
      <c r="BQ1099" s="1539"/>
      <c r="BR1099" s="1539"/>
      <c r="BS1099" s="1539"/>
      <c r="BT1099" s="1539"/>
      <c r="BU1099" s="1539"/>
      <c r="BV1099" s="1539"/>
      <c r="BW1099" s="1539"/>
      <c r="BX1099" s="1539"/>
      <c r="BY1099" s="1539"/>
      <c r="BZ1099" s="1539"/>
      <c r="CA1099" s="1539"/>
      <c r="CB1099" s="1539"/>
      <c r="CC1099" s="1539"/>
      <c r="CD1099" s="1539"/>
      <c r="CE1099" s="1539"/>
      <c r="CF1099" s="1539"/>
      <c r="CG1099" s="1539"/>
      <c r="CH1099" s="1539"/>
      <c r="CI1099" s="1539"/>
      <c r="CJ1099" s="1539"/>
      <c r="CK1099" s="1539"/>
      <c r="CL1099" s="1539"/>
      <c r="CM1099" s="1539"/>
      <c r="CN1099" s="1539"/>
      <c r="CO1099" s="1539"/>
    </row>
    <row r="1100" spans="1:93" s="1542" customFormat="1" ht="15.5">
      <c r="A1100" s="1598" t="s">
        <v>1102</v>
      </c>
      <c r="B1100" s="1599" t="s">
        <v>2738</v>
      </c>
      <c r="C1100" s="1643" t="e">
        <f>+SUMIF(#REF!,Final!A1100,#REF!)</f>
        <v>#REF!</v>
      </c>
      <c r="D1100" s="1597" t="e">
        <f>+SUMIF(#REF!,Final!A1100,#REF!)</f>
        <v>#REF!</v>
      </c>
      <c r="E1100" s="1643" t="e">
        <f>SUMIF(#REF!,Final!A1100,#REF!)</f>
        <v>#REF!</v>
      </c>
      <c r="F1100" s="1644" t="e">
        <f>SUMIF(#REF!,Final!A1100,#REF!)</f>
        <v>#REF!</v>
      </c>
      <c r="G1100" s="1597" t="e">
        <f t="shared" si="96"/>
        <v>#REF!</v>
      </c>
      <c r="H1100" s="1644" t="e">
        <f t="shared" si="97"/>
        <v>#REF!</v>
      </c>
      <c r="I1100" s="1597" t="e">
        <f t="shared" si="98"/>
        <v>#REF!</v>
      </c>
      <c r="J1100" s="1644" t="e">
        <f t="shared" si="99"/>
        <v>#REF!</v>
      </c>
      <c r="K1100" s="1539"/>
      <c r="L1100" s="1539"/>
      <c r="M1100" s="1545"/>
      <c r="N1100" s="1545"/>
      <c r="O1100" s="1539"/>
      <c r="P1100" s="1539"/>
      <c r="Q1100" s="1539"/>
      <c r="R1100" s="1539"/>
      <c r="S1100" s="1539"/>
      <c r="T1100" s="1539"/>
      <c r="U1100" s="1539"/>
      <c r="V1100" s="1539"/>
      <c r="W1100" s="1539"/>
      <c r="X1100" s="1539"/>
      <c r="Y1100" s="1539"/>
      <c r="Z1100" s="1539"/>
      <c r="AA1100" s="1539"/>
      <c r="AB1100" s="1539"/>
      <c r="AC1100" s="1539"/>
      <c r="AD1100" s="1539"/>
      <c r="AE1100" s="1539"/>
      <c r="AF1100" s="1539"/>
      <c r="AG1100" s="1539"/>
      <c r="AH1100" s="1539"/>
      <c r="AI1100" s="1539"/>
      <c r="AJ1100" s="1539"/>
      <c r="AK1100" s="1539"/>
      <c r="AL1100" s="1539"/>
      <c r="AM1100" s="1539"/>
      <c r="AN1100" s="1539"/>
      <c r="AO1100" s="1539"/>
      <c r="AP1100" s="1539"/>
      <c r="AQ1100" s="1539"/>
      <c r="AR1100" s="1539"/>
      <c r="AS1100" s="1539"/>
      <c r="AT1100" s="1539"/>
      <c r="AU1100" s="1539"/>
      <c r="AV1100" s="1539"/>
      <c r="AW1100" s="1539"/>
      <c r="AX1100" s="1539"/>
      <c r="AY1100" s="1539"/>
      <c r="AZ1100" s="1539"/>
      <c r="BA1100" s="1539"/>
      <c r="BB1100" s="1539"/>
      <c r="BC1100" s="1539"/>
      <c r="BD1100" s="1539"/>
      <c r="BE1100" s="1539"/>
      <c r="BF1100" s="1539"/>
      <c r="BG1100" s="1539"/>
      <c r="BH1100" s="1539"/>
      <c r="BI1100" s="1539"/>
      <c r="BJ1100" s="1539"/>
      <c r="BK1100" s="1539"/>
      <c r="BL1100" s="1539"/>
      <c r="BM1100" s="1539"/>
      <c r="BN1100" s="1539"/>
      <c r="BO1100" s="1539"/>
      <c r="BP1100" s="1539"/>
      <c r="BQ1100" s="1539"/>
      <c r="BR1100" s="1539"/>
      <c r="BS1100" s="1539"/>
      <c r="BT1100" s="1539"/>
      <c r="BU1100" s="1539"/>
      <c r="BV1100" s="1539"/>
      <c r="BW1100" s="1539"/>
      <c r="BX1100" s="1539"/>
      <c r="BY1100" s="1539"/>
      <c r="BZ1100" s="1539"/>
      <c r="CA1100" s="1539"/>
      <c r="CB1100" s="1539"/>
      <c r="CC1100" s="1539"/>
      <c r="CD1100" s="1539"/>
      <c r="CE1100" s="1539"/>
      <c r="CF1100" s="1539"/>
      <c r="CG1100" s="1539"/>
      <c r="CH1100" s="1539"/>
      <c r="CI1100" s="1539"/>
      <c r="CJ1100" s="1539"/>
      <c r="CK1100" s="1539"/>
      <c r="CL1100" s="1539"/>
      <c r="CM1100" s="1539"/>
      <c r="CN1100" s="1539"/>
      <c r="CO1100" s="1539"/>
    </row>
    <row r="1101" spans="1:93" s="1542" customFormat="1" ht="15.5">
      <c r="A1101" s="1598" t="s">
        <v>444</v>
      </c>
      <c r="B1101" s="1599" t="s">
        <v>2756</v>
      </c>
      <c r="C1101" s="1643" t="e">
        <f>+SUMIF(#REF!,Final!A1101,#REF!)</f>
        <v>#REF!</v>
      </c>
      <c r="D1101" s="1597" t="e">
        <f>+SUMIF(#REF!,Final!A1101,#REF!)</f>
        <v>#REF!</v>
      </c>
      <c r="E1101" s="1643" t="e">
        <f>SUMIF(#REF!,Final!A1101,#REF!)</f>
        <v>#REF!</v>
      </c>
      <c r="F1101" s="1644" t="e">
        <f>SUMIF(#REF!,Final!A1101,#REF!)</f>
        <v>#REF!</v>
      </c>
      <c r="G1101" s="1597" t="e">
        <f t="shared" si="96"/>
        <v>#REF!</v>
      </c>
      <c r="H1101" s="1644" t="e">
        <f t="shared" si="97"/>
        <v>#REF!</v>
      </c>
      <c r="I1101" s="1597" t="e">
        <f t="shared" si="98"/>
        <v>#REF!</v>
      </c>
      <c r="J1101" s="1644" t="e">
        <f t="shared" si="99"/>
        <v>#REF!</v>
      </c>
      <c r="K1101" s="1539"/>
      <c r="L1101" s="1539"/>
      <c r="M1101" s="1545"/>
      <c r="N1101" s="1545"/>
      <c r="O1101" s="1539"/>
      <c r="P1101" s="1539"/>
      <c r="Q1101" s="1539"/>
      <c r="R1101" s="1539"/>
      <c r="S1101" s="1539"/>
      <c r="T1101" s="1539"/>
      <c r="U1101" s="1539"/>
      <c r="V1101" s="1539"/>
      <c r="W1101" s="1539"/>
      <c r="X1101" s="1539"/>
      <c r="Y1101" s="1539"/>
      <c r="Z1101" s="1539"/>
      <c r="AA1101" s="1539"/>
      <c r="AB1101" s="1539"/>
      <c r="AC1101" s="1539"/>
      <c r="AD1101" s="1539"/>
      <c r="AE1101" s="1539"/>
      <c r="AF1101" s="1539"/>
      <c r="AG1101" s="1539"/>
      <c r="AH1101" s="1539"/>
      <c r="AI1101" s="1539"/>
      <c r="AJ1101" s="1539"/>
      <c r="AK1101" s="1539"/>
      <c r="AL1101" s="1539"/>
      <c r="AM1101" s="1539"/>
      <c r="AN1101" s="1539"/>
      <c r="AO1101" s="1539"/>
      <c r="AP1101" s="1539"/>
      <c r="AQ1101" s="1539"/>
      <c r="AR1101" s="1539"/>
      <c r="AS1101" s="1539"/>
      <c r="AT1101" s="1539"/>
      <c r="AU1101" s="1539"/>
      <c r="AV1101" s="1539"/>
      <c r="AW1101" s="1539"/>
      <c r="AX1101" s="1539"/>
      <c r="AY1101" s="1539"/>
      <c r="AZ1101" s="1539"/>
      <c r="BA1101" s="1539"/>
      <c r="BB1101" s="1539"/>
      <c r="BC1101" s="1539"/>
      <c r="BD1101" s="1539"/>
      <c r="BE1101" s="1539"/>
      <c r="BF1101" s="1539"/>
      <c r="BG1101" s="1539"/>
      <c r="BH1101" s="1539"/>
      <c r="BI1101" s="1539"/>
      <c r="BJ1101" s="1539"/>
      <c r="BK1101" s="1539"/>
      <c r="BL1101" s="1539"/>
      <c r="BM1101" s="1539"/>
      <c r="BN1101" s="1539"/>
      <c r="BO1101" s="1539"/>
      <c r="BP1101" s="1539"/>
      <c r="BQ1101" s="1539"/>
      <c r="BR1101" s="1539"/>
      <c r="BS1101" s="1539"/>
      <c r="BT1101" s="1539"/>
      <c r="BU1101" s="1539"/>
      <c r="BV1101" s="1539"/>
      <c r="BW1101" s="1539"/>
      <c r="BX1101" s="1539"/>
      <c r="BY1101" s="1539"/>
      <c r="BZ1101" s="1539"/>
      <c r="CA1101" s="1539"/>
      <c r="CB1101" s="1539"/>
      <c r="CC1101" s="1539"/>
      <c r="CD1101" s="1539"/>
      <c r="CE1101" s="1539"/>
      <c r="CF1101" s="1539"/>
      <c r="CG1101" s="1539"/>
      <c r="CH1101" s="1539"/>
      <c r="CI1101" s="1539"/>
      <c r="CJ1101" s="1539"/>
      <c r="CK1101" s="1539"/>
      <c r="CL1101" s="1539"/>
      <c r="CM1101" s="1539"/>
      <c r="CN1101" s="1539"/>
      <c r="CO1101" s="1539"/>
    </row>
    <row r="1102" spans="1:93" ht="15.5">
      <c r="A1102" s="1598">
        <v>23.401</v>
      </c>
      <c r="B1102" s="1599" t="s">
        <v>666</v>
      </c>
      <c r="C1102" s="1643" t="e">
        <f>+SUMIF(#REF!,Final!A1102,#REF!)</f>
        <v>#REF!</v>
      </c>
      <c r="D1102" s="1597" t="e">
        <f>+SUMIF(#REF!,Final!A1102,#REF!)</f>
        <v>#REF!</v>
      </c>
      <c r="E1102" s="1643" t="e">
        <f>SUMIF(#REF!,Final!A1102,#REF!)</f>
        <v>#REF!</v>
      </c>
      <c r="F1102" s="1644" t="e">
        <f>SUMIF(#REF!,Final!A1102,#REF!)</f>
        <v>#REF!</v>
      </c>
      <c r="G1102" s="1597" t="e">
        <f t="shared" si="96"/>
        <v>#REF!</v>
      </c>
      <c r="H1102" s="1644" t="e">
        <f t="shared" si="97"/>
        <v>#REF!</v>
      </c>
      <c r="I1102" s="1597" t="e">
        <f t="shared" si="98"/>
        <v>#REF!</v>
      </c>
      <c r="J1102" s="1644" t="e">
        <f t="shared" si="99"/>
        <v>#REF!</v>
      </c>
      <c r="M1102" s="1545"/>
      <c r="N1102" s="1545"/>
    </row>
    <row r="1103" spans="1:93" ht="15.5">
      <c r="A1103" s="1598">
        <v>23.402000000000001</v>
      </c>
      <c r="B1103" s="1599" t="s">
        <v>1335</v>
      </c>
      <c r="C1103" s="1643" t="e">
        <f>+SUMIF(#REF!,Final!A1103,#REF!)</f>
        <v>#REF!</v>
      </c>
      <c r="D1103" s="1597" t="e">
        <f>+SUMIF(#REF!,Final!A1103,#REF!)</f>
        <v>#REF!</v>
      </c>
      <c r="E1103" s="1643" t="e">
        <f>SUMIF(#REF!,Final!A1103,#REF!)</f>
        <v>#REF!</v>
      </c>
      <c r="F1103" s="1644" t="e">
        <f>SUMIF(#REF!,Final!A1103,#REF!)</f>
        <v>#REF!</v>
      </c>
      <c r="G1103" s="1597" t="e">
        <f t="shared" si="96"/>
        <v>#REF!</v>
      </c>
      <c r="H1103" s="1644" t="e">
        <f t="shared" si="97"/>
        <v>#REF!</v>
      </c>
      <c r="I1103" s="1597" t="e">
        <f t="shared" si="98"/>
        <v>#REF!</v>
      </c>
      <c r="J1103" s="1644" t="e">
        <f t="shared" si="99"/>
        <v>#REF!</v>
      </c>
      <c r="M1103" s="1545"/>
      <c r="N1103" s="1545"/>
    </row>
    <row r="1104" spans="1:93" ht="15.5">
      <c r="A1104" s="1598">
        <v>23.402999999999999</v>
      </c>
      <c r="B1104" s="1599" t="s">
        <v>1899</v>
      </c>
      <c r="C1104" s="1643" t="e">
        <f>+SUMIF(#REF!,Final!A1104,#REF!)</f>
        <v>#REF!</v>
      </c>
      <c r="D1104" s="1597" t="e">
        <f>+SUMIF(#REF!,Final!A1104,#REF!)</f>
        <v>#REF!</v>
      </c>
      <c r="E1104" s="1643" t="e">
        <f>SUMIF(#REF!,Final!A1104,#REF!)</f>
        <v>#REF!</v>
      </c>
      <c r="F1104" s="1644" t="e">
        <f>SUMIF(#REF!,Final!A1104,#REF!)</f>
        <v>#REF!</v>
      </c>
      <c r="G1104" s="1597" t="e">
        <f t="shared" si="96"/>
        <v>#REF!</v>
      </c>
      <c r="H1104" s="1644" t="e">
        <f t="shared" si="97"/>
        <v>#REF!</v>
      </c>
      <c r="I1104" s="1597" t="e">
        <f t="shared" si="98"/>
        <v>#REF!</v>
      </c>
      <c r="J1104" s="1644" t="e">
        <f t="shared" si="99"/>
        <v>#REF!</v>
      </c>
      <c r="M1104" s="1545"/>
      <c r="N1104" s="1545"/>
    </row>
    <row r="1105" spans="1:93" ht="15.5">
      <c r="A1105" s="1598">
        <v>23.404</v>
      </c>
      <c r="B1105" s="1599" t="s">
        <v>1900</v>
      </c>
      <c r="C1105" s="1643" t="e">
        <f>+SUMIF(#REF!,Final!A1105,#REF!)</f>
        <v>#REF!</v>
      </c>
      <c r="D1105" s="1597" t="e">
        <f>+SUMIF(#REF!,Final!A1105,#REF!)</f>
        <v>#REF!</v>
      </c>
      <c r="E1105" s="1643" t="e">
        <f>SUMIF(#REF!,Final!A1105,#REF!)</f>
        <v>#REF!</v>
      </c>
      <c r="F1105" s="1644" t="e">
        <f>SUMIF(#REF!,Final!A1105,#REF!)</f>
        <v>#REF!</v>
      </c>
      <c r="G1105" s="1597" t="e">
        <f t="shared" si="96"/>
        <v>#REF!</v>
      </c>
      <c r="H1105" s="1644" t="e">
        <f t="shared" si="97"/>
        <v>#REF!</v>
      </c>
      <c r="I1105" s="1597" t="e">
        <f t="shared" si="98"/>
        <v>#REF!</v>
      </c>
      <c r="J1105" s="1644" t="e">
        <f t="shared" si="99"/>
        <v>#REF!</v>
      </c>
      <c r="M1105" s="1545"/>
      <c r="N1105" s="1545"/>
    </row>
    <row r="1106" spans="1:93" ht="15.5">
      <c r="A1106" s="1598">
        <v>23.405000000000001</v>
      </c>
      <c r="B1106" s="1599" t="s">
        <v>890</v>
      </c>
      <c r="C1106" s="1643" t="e">
        <f>+SUMIF(#REF!,Final!A1106,#REF!)</f>
        <v>#REF!</v>
      </c>
      <c r="D1106" s="1597" t="e">
        <f>+SUMIF(#REF!,Final!A1106,#REF!)</f>
        <v>#REF!</v>
      </c>
      <c r="E1106" s="1643" t="e">
        <f>SUMIF(#REF!,Final!A1106,#REF!)</f>
        <v>#REF!</v>
      </c>
      <c r="F1106" s="1644" t="e">
        <f>SUMIF(#REF!,Final!A1106,#REF!)</f>
        <v>#REF!</v>
      </c>
      <c r="G1106" s="1597" t="e">
        <f t="shared" si="96"/>
        <v>#REF!</v>
      </c>
      <c r="H1106" s="1644" t="e">
        <f t="shared" si="97"/>
        <v>#REF!</v>
      </c>
      <c r="I1106" s="1597" t="e">
        <f t="shared" si="98"/>
        <v>#REF!</v>
      </c>
      <c r="J1106" s="1644" t="e">
        <f t="shared" si="99"/>
        <v>#REF!</v>
      </c>
      <c r="M1106" s="1545"/>
      <c r="N1106" s="1545"/>
    </row>
    <row r="1107" spans="1:93" ht="15.5">
      <c r="A1107" s="1598">
        <v>23.405999999999999</v>
      </c>
      <c r="B1107" s="1599" t="s">
        <v>892</v>
      </c>
      <c r="C1107" s="1643" t="e">
        <f>+SUMIF(#REF!,Final!A1107,#REF!)</f>
        <v>#REF!</v>
      </c>
      <c r="D1107" s="1597" t="e">
        <f>+SUMIF(#REF!,Final!A1107,#REF!)</f>
        <v>#REF!</v>
      </c>
      <c r="E1107" s="1643" t="e">
        <f>SUMIF(#REF!,Final!A1107,#REF!)</f>
        <v>#REF!</v>
      </c>
      <c r="F1107" s="1644" t="e">
        <f>SUMIF(#REF!,Final!A1107,#REF!)</f>
        <v>#REF!</v>
      </c>
      <c r="G1107" s="1597" t="e">
        <f t="shared" si="96"/>
        <v>#REF!</v>
      </c>
      <c r="H1107" s="1644" t="e">
        <f t="shared" si="97"/>
        <v>#REF!</v>
      </c>
      <c r="I1107" s="1597" t="e">
        <f t="shared" si="98"/>
        <v>#REF!</v>
      </c>
      <c r="J1107" s="1644" t="e">
        <f t="shared" si="99"/>
        <v>#REF!</v>
      </c>
      <c r="M1107" s="1545"/>
      <c r="N1107" s="1545"/>
    </row>
    <row r="1108" spans="1:93" ht="15.5">
      <c r="A1108" s="1598">
        <v>23.407</v>
      </c>
      <c r="B1108" s="1599" t="s">
        <v>893</v>
      </c>
      <c r="C1108" s="1643" t="e">
        <f>+SUMIF(#REF!,Final!A1108,#REF!)</f>
        <v>#REF!</v>
      </c>
      <c r="D1108" s="1597" t="e">
        <f>+SUMIF(#REF!,Final!A1108,#REF!)</f>
        <v>#REF!</v>
      </c>
      <c r="E1108" s="1643" t="e">
        <f>SUMIF(#REF!,Final!A1108,#REF!)</f>
        <v>#REF!</v>
      </c>
      <c r="F1108" s="1644" t="e">
        <f>SUMIF(#REF!,Final!A1108,#REF!)</f>
        <v>#REF!</v>
      </c>
      <c r="G1108" s="1597" t="e">
        <f t="shared" si="96"/>
        <v>#REF!</v>
      </c>
      <c r="H1108" s="1644" t="e">
        <f t="shared" si="97"/>
        <v>#REF!</v>
      </c>
      <c r="I1108" s="1597" t="e">
        <f t="shared" si="98"/>
        <v>#REF!</v>
      </c>
      <c r="J1108" s="1644" t="e">
        <f t="shared" si="99"/>
        <v>#REF!</v>
      </c>
      <c r="M1108" s="1545"/>
      <c r="N1108" s="1545"/>
    </row>
    <row r="1109" spans="1:93" ht="15.5">
      <c r="A1109" s="1598">
        <v>23.408000000000001</v>
      </c>
      <c r="B1109" s="1599" t="s">
        <v>539</v>
      </c>
      <c r="C1109" s="1643" t="e">
        <f>+SUMIF(#REF!,Final!A1109,#REF!)</f>
        <v>#REF!</v>
      </c>
      <c r="D1109" s="1597" t="e">
        <f>+SUMIF(#REF!,Final!A1109,#REF!)</f>
        <v>#REF!</v>
      </c>
      <c r="E1109" s="1643" t="e">
        <f>SUMIF(#REF!,Final!A1109,#REF!)</f>
        <v>#REF!</v>
      </c>
      <c r="F1109" s="1644" t="e">
        <f>SUMIF(#REF!,Final!A1109,#REF!)</f>
        <v>#REF!</v>
      </c>
      <c r="G1109" s="1597" t="e">
        <f t="shared" si="96"/>
        <v>#REF!</v>
      </c>
      <c r="H1109" s="1644" t="e">
        <f t="shared" si="97"/>
        <v>#REF!</v>
      </c>
      <c r="I1109" s="1597" t="e">
        <f t="shared" si="98"/>
        <v>#REF!</v>
      </c>
      <c r="J1109" s="1644" t="e">
        <f t="shared" si="99"/>
        <v>#REF!</v>
      </c>
      <c r="M1109" s="1545"/>
      <c r="N1109" s="1545"/>
    </row>
    <row r="1110" spans="1:93" ht="15.5">
      <c r="A1110" s="1598">
        <v>23.408999999999999</v>
      </c>
      <c r="B1110" s="1599" t="s">
        <v>540</v>
      </c>
      <c r="C1110" s="1643" t="e">
        <f>+SUMIF(#REF!,Final!A1110,#REF!)</f>
        <v>#REF!</v>
      </c>
      <c r="D1110" s="1597" t="e">
        <f>+SUMIF(#REF!,Final!A1110,#REF!)</f>
        <v>#REF!</v>
      </c>
      <c r="E1110" s="1643" t="e">
        <f>SUMIF(#REF!,Final!A1110,#REF!)</f>
        <v>#REF!</v>
      </c>
      <c r="F1110" s="1644" t="e">
        <f>SUMIF(#REF!,Final!A1110,#REF!)</f>
        <v>#REF!</v>
      </c>
      <c r="G1110" s="1597" t="e">
        <f t="shared" si="96"/>
        <v>#REF!</v>
      </c>
      <c r="H1110" s="1644" t="e">
        <f t="shared" si="97"/>
        <v>#REF!</v>
      </c>
      <c r="I1110" s="1597" t="e">
        <f t="shared" si="98"/>
        <v>#REF!</v>
      </c>
      <c r="J1110" s="1644" t="e">
        <f t="shared" si="99"/>
        <v>#REF!</v>
      </c>
      <c r="M1110" s="1545"/>
      <c r="N1110" s="1545"/>
    </row>
    <row r="1111" spans="1:93" ht="15.5">
      <c r="A1111" s="1598">
        <v>23.41</v>
      </c>
      <c r="B1111" s="1599" t="s">
        <v>1901</v>
      </c>
      <c r="C1111" s="1643" t="e">
        <f>+SUMIF(#REF!,Final!A1111,#REF!)</f>
        <v>#REF!</v>
      </c>
      <c r="D1111" s="1597" t="e">
        <f>+SUMIF(#REF!,Final!A1111,#REF!)</f>
        <v>#REF!</v>
      </c>
      <c r="E1111" s="1643" t="e">
        <f>SUMIF(#REF!,Final!A1111,#REF!)</f>
        <v>#REF!</v>
      </c>
      <c r="F1111" s="1644" t="e">
        <f>SUMIF(#REF!,Final!A1111,#REF!)</f>
        <v>#REF!</v>
      </c>
      <c r="G1111" s="1597" t="e">
        <f t="shared" ref="G1111:G1174" si="100">C1111+E1111</f>
        <v>#REF!</v>
      </c>
      <c r="H1111" s="1644" t="e">
        <f t="shared" ref="H1111:H1174" si="101">D1111+F1111</f>
        <v>#REF!</v>
      </c>
      <c r="I1111" s="1597" t="e">
        <f t="shared" ref="I1111:I1174" si="102">IF(G1111&gt;H1111,G1111-H1111,0)</f>
        <v>#REF!</v>
      </c>
      <c r="J1111" s="1644" t="e">
        <f t="shared" ref="J1111:J1174" si="103">IF(H1111&gt;G1111,H1111-G1111,0)</f>
        <v>#REF!</v>
      </c>
      <c r="M1111" s="1545"/>
      <c r="N1111" s="1545"/>
    </row>
    <row r="1112" spans="1:93" ht="15.5">
      <c r="A1112" s="1598">
        <v>23.411000000000001</v>
      </c>
      <c r="B1112" s="1599" t="s">
        <v>1902</v>
      </c>
      <c r="C1112" s="1643" t="e">
        <f>+SUMIF(#REF!,Final!A1112,#REF!)</f>
        <v>#REF!</v>
      </c>
      <c r="D1112" s="1597" t="e">
        <f>+SUMIF(#REF!,Final!A1112,#REF!)</f>
        <v>#REF!</v>
      </c>
      <c r="E1112" s="1643" t="e">
        <f>SUMIF(#REF!,Final!A1112,#REF!)</f>
        <v>#REF!</v>
      </c>
      <c r="F1112" s="1644" t="e">
        <f>SUMIF(#REF!,Final!A1112,#REF!)</f>
        <v>#REF!</v>
      </c>
      <c r="G1112" s="1597" t="e">
        <f t="shared" si="100"/>
        <v>#REF!</v>
      </c>
      <c r="H1112" s="1644" t="e">
        <f t="shared" si="101"/>
        <v>#REF!</v>
      </c>
      <c r="I1112" s="1597" t="e">
        <f t="shared" si="102"/>
        <v>#REF!</v>
      </c>
      <c r="J1112" s="1644" t="e">
        <f t="shared" si="103"/>
        <v>#REF!</v>
      </c>
      <c r="M1112" s="1545"/>
      <c r="N1112" s="1545"/>
    </row>
    <row r="1113" spans="1:93" ht="15.5">
      <c r="A1113" s="1598">
        <v>23.411999999999999</v>
      </c>
      <c r="B1113" s="1599" t="s">
        <v>2740</v>
      </c>
      <c r="C1113" s="1643" t="e">
        <f>+SUMIF(#REF!,Final!A1113,#REF!)</f>
        <v>#REF!</v>
      </c>
      <c r="D1113" s="1597" t="e">
        <f>+SUMIF(#REF!,Final!A1113,#REF!)</f>
        <v>#REF!</v>
      </c>
      <c r="E1113" s="1643" t="e">
        <f>SUMIF(#REF!,Final!A1113,#REF!)</f>
        <v>#REF!</v>
      </c>
      <c r="F1113" s="1644" t="e">
        <f>SUMIF(#REF!,Final!A1113,#REF!)</f>
        <v>#REF!</v>
      </c>
      <c r="G1113" s="1597" t="e">
        <f t="shared" si="100"/>
        <v>#REF!</v>
      </c>
      <c r="H1113" s="1644" t="e">
        <f t="shared" si="101"/>
        <v>#REF!</v>
      </c>
      <c r="I1113" s="1597" t="e">
        <f t="shared" si="102"/>
        <v>#REF!</v>
      </c>
      <c r="J1113" s="1644" t="e">
        <f t="shared" si="103"/>
        <v>#REF!</v>
      </c>
      <c r="M1113" s="1545"/>
      <c r="N1113" s="1545"/>
    </row>
    <row r="1114" spans="1:93" ht="15.5">
      <c r="A1114" s="1598">
        <v>23.413</v>
      </c>
      <c r="B1114" s="1599" t="s">
        <v>2741</v>
      </c>
      <c r="C1114" s="1643" t="e">
        <f>+SUMIF(#REF!,Final!A1114,#REF!)</f>
        <v>#REF!</v>
      </c>
      <c r="D1114" s="1597" t="e">
        <f>+SUMIF(#REF!,Final!A1114,#REF!)</f>
        <v>#REF!</v>
      </c>
      <c r="E1114" s="1643" t="e">
        <f>SUMIF(#REF!,Final!A1114,#REF!)</f>
        <v>#REF!</v>
      </c>
      <c r="F1114" s="1644" t="e">
        <f>SUMIF(#REF!,Final!A1114,#REF!)</f>
        <v>#REF!</v>
      </c>
      <c r="G1114" s="1597" t="e">
        <f t="shared" si="100"/>
        <v>#REF!</v>
      </c>
      <c r="H1114" s="1644" t="e">
        <f t="shared" si="101"/>
        <v>#REF!</v>
      </c>
      <c r="I1114" s="1597" t="e">
        <f t="shared" si="102"/>
        <v>#REF!</v>
      </c>
      <c r="J1114" s="1644" t="e">
        <f t="shared" si="103"/>
        <v>#REF!</v>
      </c>
      <c r="M1114" s="1545"/>
      <c r="N1114" s="1545"/>
    </row>
    <row r="1115" spans="1:93" ht="15.5">
      <c r="A1115" s="1598">
        <v>23.414000000000001</v>
      </c>
      <c r="B1115" s="1599" t="s">
        <v>2742</v>
      </c>
      <c r="C1115" s="1643" t="e">
        <f>+SUMIF(#REF!,Final!A1115,#REF!)</f>
        <v>#REF!</v>
      </c>
      <c r="D1115" s="1597" t="e">
        <f>+SUMIF(#REF!,Final!A1115,#REF!)</f>
        <v>#REF!</v>
      </c>
      <c r="E1115" s="1643" t="e">
        <f>SUMIF(#REF!,Final!A1115,#REF!)</f>
        <v>#REF!</v>
      </c>
      <c r="F1115" s="1644" t="e">
        <f>SUMIF(#REF!,Final!A1115,#REF!)</f>
        <v>#REF!</v>
      </c>
      <c r="G1115" s="1597" t="e">
        <f t="shared" si="100"/>
        <v>#REF!</v>
      </c>
      <c r="H1115" s="1644" t="e">
        <f t="shared" si="101"/>
        <v>#REF!</v>
      </c>
      <c r="I1115" s="1597" t="e">
        <f t="shared" si="102"/>
        <v>#REF!</v>
      </c>
      <c r="J1115" s="1644" t="e">
        <f t="shared" si="103"/>
        <v>#REF!</v>
      </c>
      <c r="M1115" s="1545"/>
      <c r="N1115" s="1545"/>
    </row>
    <row r="1116" spans="1:93" ht="15.5">
      <c r="A1116" s="1598">
        <v>23.414999999999999</v>
      </c>
      <c r="B1116" s="1599" t="s">
        <v>669</v>
      </c>
      <c r="C1116" s="1643" t="e">
        <f>+SUMIF(#REF!,Final!A1116,#REF!)</f>
        <v>#REF!</v>
      </c>
      <c r="D1116" s="1597" t="e">
        <f>+SUMIF(#REF!,Final!A1116,#REF!)</f>
        <v>#REF!</v>
      </c>
      <c r="E1116" s="1643" t="e">
        <f>SUMIF(#REF!,Final!A1116,#REF!)</f>
        <v>#REF!</v>
      </c>
      <c r="F1116" s="1644" t="e">
        <f>SUMIF(#REF!,Final!A1116,#REF!)</f>
        <v>#REF!</v>
      </c>
      <c r="G1116" s="1597" t="e">
        <f t="shared" si="100"/>
        <v>#REF!</v>
      </c>
      <c r="H1116" s="1644" t="e">
        <f t="shared" si="101"/>
        <v>#REF!</v>
      </c>
      <c r="I1116" s="1597" t="e">
        <f t="shared" si="102"/>
        <v>#REF!</v>
      </c>
      <c r="J1116" s="1644" t="e">
        <f t="shared" si="103"/>
        <v>#REF!</v>
      </c>
      <c r="M1116" s="1545"/>
      <c r="N1116" s="1545"/>
    </row>
    <row r="1117" spans="1:93" s="1543" customFormat="1" ht="15.5">
      <c r="A1117" s="1598">
        <v>23.416</v>
      </c>
      <c r="B1117" s="1599" t="s">
        <v>423</v>
      </c>
      <c r="C1117" s="1643" t="e">
        <f>+SUMIF(#REF!,Final!A1117,#REF!)</f>
        <v>#REF!</v>
      </c>
      <c r="D1117" s="1597" t="e">
        <f>+SUMIF(#REF!,Final!A1117,#REF!)</f>
        <v>#REF!</v>
      </c>
      <c r="E1117" s="1643" t="e">
        <f>SUMIF(#REF!,Final!A1117,#REF!)</f>
        <v>#REF!</v>
      </c>
      <c r="F1117" s="1644" t="e">
        <f>SUMIF(#REF!,Final!A1117,#REF!)</f>
        <v>#REF!</v>
      </c>
      <c r="G1117" s="1597" t="e">
        <f t="shared" si="100"/>
        <v>#REF!</v>
      </c>
      <c r="H1117" s="1644" t="e">
        <f t="shared" si="101"/>
        <v>#REF!</v>
      </c>
      <c r="I1117" s="1597" t="e">
        <f t="shared" si="102"/>
        <v>#REF!</v>
      </c>
      <c r="J1117" s="1644" t="e">
        <f t="shared" si="103"/>
        <v>#REF!</v>
      </c>
      <c r="K1117" s="1539"/>
      <c r="L1117" s="1539"/>
      <c r="M1117" s="1545"/>
      <c r="N1117" s="1545"/>
      <c r="O1117" s="1539"/>
      <c r="P1117" s="1539"/>
      <c r="Q1117" s="1539"/>
      <c r="R1117" s="1539"/>
      <c r="S1117" s="1539"/>
      <c r="T1117" s="1539"/>
      <c r="U1117" s="1539"/>
      <c r="V1117" s="1539"/>
      <c r="W1117" s="1539"/>
      <c r="X1117" s="1539"/>
      <c r="Y1117" s="1539"/>
      <c r="Z1117" s="1539"/>
      <c r="AA1117" s="1539"/>
      <c r="AB1117" s="1539"/>
      <c r="AC1117" s="1539"/>
      <c r="AD1117" s="1539"/>
      <c r="AE1117" s="1539"/>
      <c r="AF1117" s="1539"/>
      <c r="AG1117" s="1539"/>
      <c r="AH1117" s="1539"/>
      <c r="AI1117" s="1539"/>
      <c r="AJ1117" s="1539"/>
      <c r="AK1117" s="1539"/>
      <c r="AL1117" s="1539"/>
      <c r="AM1117" s="1539"/>
      <c r="AN1117" s="1539"/>
      <c r="AO1117" s="1539"/>
      <c r="AP1117" s="1539"/>
      <c r="AQ1117" s="1539"/>
      <c r="AR1117" s="1539"/>
      <c r="AS1117" s="1539"/>
      <c r="AT1117" s="1539"/>
      <c r="AU1117" s="1539"/>
      <c r="AV1117" s="1539"/>
      <c r="AW1117" s="1539"/>
      <c r="AX1117" s="1539"/>
      <c r="AY1117" s="1539"/>
      <c r="AZ1117" s="1539"/>
      <c r="BA1117" s="1539"/>
      <c r="BB1117" s="1539"/>
      <c r="BC1117" s="1539"/>
      <c r="BD1117" s="1539"/>
      <c r="BE1117" s="1539"/>
      <c r="BF1117" s="1539"/>
      <c r="BG1117" s="1539"/>
      <c r="BH1117" s="1539"/>
      <c r="BI1117" s="1539"/>
      <c r="BJ1117" s="1539"/>
      <c r="BK1117" s="1539"/>
      <c r="BL1117" s="1539"/>
      <c r="BM1117" s="1539"/>
      <c r="BN1117" s="1539"/>
      <c r="BO1117" s="1539"/>
      <c r="BP1117" s="1539"/>
      <c r="BQ1117" s="1539"/>
      <c r="BR1117" s="1539"/>
      <c r="BS1117" s="1539"/>
      <c r="BT1117" s="1539"/>
      <c r="BU1117" s="1539"/>
      <c r="BV1117" s="1539"/>
      <c r="BW1117" s="1539"/>
      <c r="BX1117" s="1539"/>
      <c r="BY1117" s="1539"/>
      <c r="BZ1117" s="1539"/>
      <c r="CA1117" s="1539"/>
      <c r="CB1117" s="1539"/>
      <c r="CC1117" s="1539"/>
      <c r="CD1117" s="1539"/>
      <c r="CE1117" s="1539"/>
      <c r="CF1117" s="1539"/>
      <c r="CG1117" s="1539"/>
      <c r="CH1117" s="1539"/>
      <c r="CI1117" s="1539"/>
      <c r="CJ1117" s="1539"/>
      <c r="CK1117" s="1539"/>
      <c r="CL1117" s="1539"/>
      <c r="CM1117" s="1539"/>
      <c r="CN1117" s="1539"/>
      <c r="CO1117" s="1539"/>
    </row>
    <row r="1118" spans="1:93" s="1543" customFormat="1" ht="15.5">
      <c r="A1118" s="1598">
        <v>23.417000000000002</v>
      </c>
      <c r="B1118" s="1599" t="s">
        <v>1905</v>
      </c>
      <c r="C1118" s="1643" t="e">
        <f>+SUMIF(#REF!,Final!A1118,#REF!)</f>
        <v>#REF!</v>
      </c>
      <c r="D1118" s="1597" t="e">
        <f>+SUMIF(#REF!,Final!A1118,#REF!)</f>
        <v>#REF!</v>
      </c>
      <c r="E1118" s="1643" t="e">
        <f>SUMIF(#REF!,Final!A1118,#REF!)</f>
        <v>#REF!</v>
      </c>
      <c r="F1118" s="1644" t="e">
        <f>SUMIF(#REF!,Final!A1118,#REF!)</f>
        <v>#REF!</v>
      </c>
      <c r="G1118" s="1597" t="e">
        <f t="shared" si="100"/>
        <v>#REF!</v>
      </c>
      <c r="H1118" s="1644" t="e">
        <f t="shared" si="101"/>
        <v>#REF!</v>
      </c>
      <c r="I1118" s="1597" t="e">
        <f t="shared" si="102"/>
        <v>#REF!</v>
      </c>
      <c r="J1118" s="1644" t="e">
        <f t="shared" si="103"/>
        <v>#REF!</v>
      </c>
      <c r="K1118" s="1539"/>
      <c r="L1118" s="1539"/>
      <c r="M1118" s="1545"/>
      <c r="N1118" s="1545"/>
      <c r="O1118" s="1539"/>
      <c r="P1118" s="1539"/>
      <c r="Q1118" s="1539"/>
      <c r="R1118" s="1539"/>
      <c r="S1118" s="1539"/>
      <c r="T1118" s="1539"/>
      <c r="U1118" s="1539"/>
      <c r="V1118" s="1539"/>
      <c r="W1118" s="1539"/>
      <c r="X1118" s="1539"/>
      <c r="Y1118" s="1539"/>
      <c r="Z1118" s="1539"/>
      <c r="AA1118" s="1539"/>
      <c r="AB1118" s="1539"/>
      <c r="AC1118" s="1539"/>
      <c r="AD1118" s="1539"/>
      <c r="AE1118" s="1539"/>
      <c r="AF1118" s="1539"/>
      <c r="AG1118" s="1539"/>
      <c r="AH1118" s="1539"/>
      <c r="AI1118" s="1539"/>
      <c r="AJ1118" s="1539"/>
      <c r="AK1118" s="1539"/>
      <c r="AL1118" s="1539"/>
      <c r="AM1118" s="1539"/>
      <c r="AN1118" s="1539"/>
      <c r="AO1118" s="1539"/>
      <c r="AP1118" s="1539"/>
      <c r="AQ1118" s="1539"/>
      <c r="AR1118" s="1539"/>
      <c r="AS1118" s="1539"/>
      <c r="AT1118" s="1539"/>
      <c r="AU1118" s="1539"/>
      <c r="AV1118" s="1539"/>
      <c r="AW1118" s="1539"/>
      <c r="AX1118" s="1539"/>
      <c r="AY1118" s="1539"/>
      <c r="AZ1118" s="1539"/>
      <c r="BA1118" s="1539"/>
      <c r="BB1118" s="1539"/>
      <c r="BC1118" s="1539"/>
      <c r="BD1118" s="1539"/>
      <c r="BE1118" s="1539"/>
      <c r="BF1118" s="1539"/>
      <c r="BG1118" s="1539"/>
      <c r="BH1118" s="1539"/>
      <c r="BI1118" s="1539"/>
      <c r="BJ1118" s="1539"/>
      <c r="BK1118" s="1539"/>
      <c r="BL1118" s="1539"/>
      <c r="BM1118" s="1539"/>
      <c r="BN1118" s="1539"/>
      <c r="BO1118" s="1539"/>
      <c r="BP1118" s="1539"/>
      <c r="BQ1118" s="1539"/>
      <c r="BR1118" s="1539"/>
      <c r="BS1118" s="1539"/>
      <c r="BT1118" s="1539"/>
      <c r="BU1118" s="1539"/>
      <c r="BV1118" s="1539"/>
      <c r="BW1118" s="1539"/>
      <c r="BX1118" s="1539"/>
      <c r="BY1118" s="1539"/>
      <c r="BZ1118" s="1539"/>
      <c r="CA1118" s="1539"/>
      <c r="CB1118" s="1539"/>
      <c r="CC1118" s="1539"/>
      <c r="CD1118" s="1539"/>
      <c r="CE1118" s="1539"/>
      <c r="CF1118" s="1539"/>
      <c r="CG1118" s="1539"/>
      <c r="CH1118" s="1539"/>
      <c r="CI1118" s="1539"/>
      <c r="CJ1118" s="1539"/>
      <c r="CK1118" s="1539"/>
      <c r="CL1118" s="1539"/>
      <c r="CM1118" s="1539"/>
      <c r="CN1118" s="1539"/>
      <c r="CO1118" s="1539"/>
    </row>
    <row r="1119" spans="1:93" s="1552" customFormat="1" ht="15.5">
      <c r="A1119" s="1598"/>
      <c r="B1119" s="1599" t="s">
        <v>1747</v>
      </c>
      <c r="C1119" s="1643" t="e">
        <f>+SUMIF(#REF!,Final!A1119,#REF!)</f>
        <v>#REF!</v>
      </c>
      <c r="D1119" s="1597" t="e">
        <f>+SUMIF(#REF!,Final!A1119,#REF!)</f>
        <v>#REF!</v>
      </c>
      <c r="E1119" s="1643" t="e">
        <f>SUMIF(#REF!,Final!A1119,#REF!)</f>
        <v>#REF!</v>
      </c>
      <c r="F1119" s="1644" t="e">
        <f>SUMIF(#REF!,Final!A1119,#REF!)</f>
        <v>#REF!</v>
      </c>
      <c r="G1119" s="1597" t="e">
        <f t="shared" si="100"/>
        <v>#REF!</v>
      </c>
      <c r="H1119" s="1644" t="e">
        <f t="shared" si="101"/>
        <v>#REF!</v>
      </c>
      <c r="I1119" s="1597" t="e">
        <f t="shared" si="102"/>
        <v>#REF!</v>
      </c>
      <c r="J1119" s="1644" t="e">
        <f t="shared" si="103"/>
        <v>#REF!</v>
      </c>
      <c r="K1119" s="1539"/>
      <c r="L1119" s="1539"/>
      <c r="M1119" s="1545"/>
      <c r="N1119" s="1545"/>
      <c r="O1119" s="1539"/>
      <c r="P1119" s="1539"/>
      <c r="Q1119" s="1539"/>
      <c r="R1119" s="1539"/>
      <c r="S1119" s="1539"/>
      <c r="T1119" s="1539"/>
      <c r="U1119" s="1539"/>
      <c r="V1119" s="1539"/>
      <c r="W1119" s="1539"/>
      <c r="X1119" s="1539"/>
      <c r="Y1119" s="1539"/>
      <c r="Z1119" s="1539"/>
      <c r="AA1119" s="1539"/>
      <c r="AB1119" s="1539"/>
      <c r="AC1119" s="1539"/>
      <c r="AD1119" s="1539"/>
      <c r="AE1119" s="1539"/>
      <c r="AF1119" s="1539"/>
      <c r="AG1119" s="1539"/>
      <c r="AH1119" s="1539"/>
      <c r="AI1119" s="1539"/>
      <c r="AJ1119" s="1539"/>
      <c r="AK1119" s="1539"/>
      <c r="AL1119" s="1539"/>
      <c r="AM1119" s="1539"/>
      <c r="AN1119" s="1539"/>
      <c r="AO1119" s="1539"/>
      <c r="AP1119" s="1539"/>
      <c r="AQ1119" s="1539"/>
      <c r="AR1119" s="1539"/>
      <c r="AS1119" s="1539"/>
      <c r="AT1119" s="1539"/>
      <c r="AU1119" s="1539"/>
      <c r="AV1119" s="1539"/>
      <c r="AW1119" s="1539"/>
      <c r="AX1119" s="1539"/>
      <c r="AY1119" s="1539"/>
      <c r="AZ1119" s="1539"/>
      <c r="BA1119" s="1539"/>
      <c r="BB1119" s="1539"/>
      <c r="BC1119" s="1539"/>
      <c r="BD1119" s="1539"/>
      <c r="BE1119" s="1539"/>
      <c r="BF1119" s="1539"/>
      <c r="BG1119" s="1539"/>
      <c r="BH1119" s="1539"/>
      <c r="BI1119" s="1539"/>
      <c r="BJ1119" s="1539"/>
      <c r="BK1119" s="1539"/>
      <c r="BL1119" s="1539"/>
      <c r="BM1119" s="1539"/>
      <c r="BN1119" s="1539"/>
      <c r="BO1119" s="1539"/>
      <c r="BP1119" s="1539"/>
      <c r="BQ1119" s="1539"/>
      <c r="BR1119" s="1539"/>
      <c r="BS1119" s="1539"/>
      <c r="BT1119" s="1539"/>
      <c r="BU1119" s="1539"/>
      <c r="BV1119" s="1539"/>
      <c r="BW1119" s="1539"/>
      <c r="BX1119" s="1539"/>
      <c r="BY1119" s="1539"/>
      <c r="BZ1119" s="1539"/>
      <c r="CA1119" s="1539"/>
      <c r="CB1119" s="1539"/>
      <c r="CC1119" s="1539"/>
      <c r="CD1119" s="1539"/>
      <c r="CE1119" s="1539"/>
      <c r="CF1119" s="1539"/>
      <c r="CG1119" s="1539"/>
      <c r="CH1119" s="1539"/>
      <c r="CI1119" s="1539"/>
      <c r="CJ1119" s="1539"/>
      <c r="CK1119" s="1539"/>
      <c r="CL1119" s="1539"/>
      <c r="CM1119" s="1539"/>
      <c r="CN1119" s="1539"/>
      <c r="CO1119" s="1539"/>
    </row>
    <row r="1120" spans="1:93" s="1552" customFormat="1" ht="15.5">
      <c r="A1120" s="1598"/>
      <c r="B1120" s="1599" t="s">
        <v>1760</v>
      </c>
      <c r="C1120" s="1643" t="e">
        <f>+SUMIF(#REF!,Final!A1120,#REF!)</f>
        <v>#REF!</v>
      </c>
      <c r="D1120" s="1597" t="e">
        <f>+SUMIF(#REF!,Final!A1120,#REF!)</f>
        <v>#REF!</v>
      </c>
      <c r="E1120" s="1643" t="e">
        <f>SUMIF(#REF!,Final!A1120,#REF!)</f>
        <v>#REF!</v>
      </c>
      <c r="F1120" s="1644" t="e">
        <f>SUMIF(#REF!,Final!A1120,#REF!)</f>
        <v>#REF!</v>
      </c>
      <c r="G1120" s="1597" t="e">
        <f t="shared" si="100"/>
        <v>#REF!</v>
      </c>
      <c r="H1120" s="1644" t="e">
        <f t="shared" si="101"/>
        <v>#REF!</v>
      </c>
      <c r="I1120" s="1597" t="e">
        <f t="shared" si="102"/>
        <v>#REF!</v>
      </c>
      <c r="J1120" s="1644" t="e">
        <f t="shared" si="103"/>
        <v>#REF!</v>
      </c>
      <c r="K1120" s="1539"/>
      <c r="L1120" s="1539"/>
      <c r="M1120" s="1545"/>
      <c r="N1120" s="1545"/>
      <c r="O1120" s="1539"/>
      <c r="P1120" s="1539"/>
      <c r="Q1120" s="1539"/>
      <c r="R1120" s="1539"/>
      <c r="S1120" s="1539"/>
      <c r="T1120" s="1539"/>
      <c r="U1120" s="1539"/>
      <c r="V1120" s="1539"/>
      <c r="W1120" s="1539"/>
      <c r="X1120" s="1539"/>
      <c r="Y1120" s="1539"/>
      <c r="Z1120" s="1539"/>
      <c r="AA1120" s="1539"/>
      <c r="AB1120" s="1539"/>
      <c r="AC1120" s="1539"/>
      <c r="AD1120" s="1539"/>
      <c r="AE1120" s="1539"/>
      <c r="AF1120" s="1539"/>
      <c r="AG1120" s="1539"/>
      <c r="AH1120" s="1539"/>
      <c r="AI1120" s="1539"/>
      <c r="AJ1120" s="1539"/>
      <c r="AK1120" s="1539"/>
      <c r="AL1120" s="1539"/>
      <c r="AM1120" s="1539"/>
      <c r="AN1120" s="1539"/>
      <c r="AO1120" s="1539"/>
      <c r="AP1120" s="1539"/>
      <c r="AQ1120" s="1539"/>
      <c r="AR1120" s="1539"/>
      <c r="AS1120" s="1539"/>
      <c r="AT1120" s="1539"/>
      <c r="AU1120" s="1539"/>
      <c r="AV1120" s="1539"/>
      <c r="AW1120" s="1539"/>
      <c r="AX1120" s="1539"/>
      <c r="AY1120" s="1539"/>
      <c r="AZ1120" s="1539"/>
      <c r="BA1120" s="1539"/>
      <c r="BB1120" s="1539"/>
      <c r="BC1120" s="1539"/>
      <c r="BD1120" s="1539"/>
      <c r="BE1120" s="1539"/>
      <c r="BF1120" s="1539"/>
      <c r="BG1120" s="1539"/>
      <c r="BH1120" s="1539"/>
      <c r="BI1120" s="1539"/>
      <c r="BJ1120" s="1539"/>
      <c r="BK1120" s="1539"/>
      <c r="BL1120" s="1539"/>
      <c r="BM1120" s="1539"/>
      <c r="BN1120" s="1539"/>
      <c r="BO1120" s="1539"/>
      <c r="BP1120" s="1539"/>
      <c r="BQ1120" s="1539"/>
      <c r="BR1120" s="1539"/>
      <c r="BS1120" s="1539"/>
      <c r="BT1120" s="1539"/>
      <c r="BU1120" s="1539"/>
      <c r="BV1120" s="1539"/>
      <c r="BW1120" s="1539"/>
      <c r="BX1120" s="1539"/>
      <c r="BY1120" s="1539"/>
      <c r="BZ1120" s="1539"/>
      <c r="CA1120" s="1539"/>
      <c r="CB1120" s="1539"/>
      <c r="CC1120" s="1539"/>
      <c r="CD1120" s="1539"/>
      <c r="CE1120" s="1539"/>
      <c r="CF1120" s="1539"/>
      <c r="CG1120" s="1539"/>
      <c r="CH1120" s="1539"/>
      <c r="CI1120" s="1539"/>
      <c r="CJ1120" s="1539"/>
      <c r="CK1120" s="1539"/>
      <c r="CL1120" s="1539"/>
      <c r="CM1120" s="1539"/>
      <c r="CN1120" s="1539"/>
      <c r="CO1120" s="1539"/>
    </row>
    <row r="1121" spans="1:93" s="1542" customFormat="1" ht="15.5">
      <c r="A1121" s="1598" t="s">
        <v>544</v>
      </c>
      <c r="B1121" s="1599" t="s">
        <v>2743</v>
      </c>
      <c r="C1121" s="1643" t="e">
        <f>+SUMIF(#REF!,Final!A1121,#REF!)</f>
        <v>#REF!</v>
      </c>
      <c r="D1121" s="1597" t="e">
        <f>+SUMIF(#REF!,Final!A1121,#REF!)</f>
        <v>#REF!</v>
      </c>
      <c r="E1121" s="1643" t="e">
        <f>SUMIF(#REF!,Final!A1121,#REF!)</f>
        <v>#REF!</v>
      </c>
      <c r="F1121" s="1644" t="e">
        <f>SUMIF(#REF!,Final!A1121,#REF!)</f>
        <v>#REF!</v>
      </c>
      <c r="G1121" s="1597" t="e">
        <f t="shared" si="100"/>
        <v>#REF!</v>
      </c>
      <c r="H1121" s="1644" t="e">
        <f t="shared" si="101"/>
        <v>#REF!</v>
      </c>
      <c r="I1121" s="1597" t="e">
        <f t="shared" si="102"/>
        <v>#REF!</v>
      </c>
      <c r="J1121" s="1644" t="e">
        <f t="shared" si="103"/>
        <v>#REF!</v>
      </c>
      <c r="K1121" s="1539"/>
      <c r="L1121" s="1539"/>
      <c r="M1121" s="1545"/>
      <c r="N1121" s="1545"/>
      <c r="O1121" s="1539"/>
      <c r="P1121" s="1539"/>
      <c r="Q1121" s="1539"/>
      <c r="R1121" s="1539"/>
      <c r="S1121" s="1539"/>
      <c r="T1121" s="1539"/>
      <c r="U1121" s="1539"/>
      <c r="V1121" s="1539"/>
      <c r="W1121" s="1539"/>
      <c r="X1121" s="1539"/>
      <c r="Y1121" s="1539"/>
      <c r="Z1121" s="1539"/>
      <c r="AA1121" s="1539"/>
      <c r="AB1121" s="1539"/>
      <c r="AC1121" s="1539"/>
      <c r="AD1121" s="1539"/>
      <c r="AE1121" s="1539"/>
      <c r="AF1121" s="1539"/>
      <c r="AG1121" s="1539"/>
      <c r="AH1121" s="1539"/>
      <c r="AI1121" s="1539"/>
      <c r="AJ1121" s="1539"/>
      <c r="AK1121" s="1539"/>
      <c r="AL1121" s="1539"/>
      <c r="AM1121" s="1539"/>
      <c r="AN1121" s="1539"/>
      <c r="AO1121" s="1539"/>
      <c r="AP1121" s="1539"/>
      <c r="AQ1121" s="1539"/>
      <c r="AR1121" s="1539"/>
      <c r="AS1121" s="1539"/>
      <c r="AT1121" s="1539"/>
      <c r="AU1121" s="1539"/>
      <c r="AV1121" s="1539"/>
      <c r="AW1121" s="1539"/>
      <c r="AX1121" s="1539"/>
      <c r="AY1121" s="1539"/>
      <c r="AZ1121" s="1539"/>
      <c r="BA1121" s="1539"/>
      <c r="BB1121" s="1539"/>
      <c r="BC1121" s="1539"/>
      <c r="BD1121" s="1539"/>
      <c r="BE1121" s="1539"/>
      <c r="BF1121" s="1539"/>
      <c r="BG1121" s="1539"/>
      <c r="BH1121" s="1539"/>
      <c r="BI1121" s="1539"/>
      <c r="BJ1121" s="1539"/>
      <c r="BK1121" s="1539"/>
      <c r="BL1121" s="1539"/>
      <c r="BM1121" s="1539"/>
      <c r="BN1121" s="1539"/>
      <c r="BO1121" s="1539"/>
      <c r="BP1121" s="1539"/>
      <c r="BQ1121" s="1539"/>
      <c r="BR1121" s="1539"/>
      <c r="BS1121" s="1539"/>
      <c r="BT1121" s="1539"/>
      <c r="BU1121" s="1539"/>
      <c r="BV1121" s="1539"/>
      <c r="BW1121" s="1539"/>
      <c r="BX1121" s="1539"/>
      <c r="BY1121" s="1539"/>
      <c r="BZ1121" s="1539"/>
      <c r="CA1121" s="1539"/>
      <c r="CB1121" s="1539"/>
      <c r="CC1121" s="1539"/>
      <c r="CD1121" s="1539"/>
      <c r="CE1121" s="1539"/>
      <c r="CF1121" s="1539"/>
      <c r="CG1121" s="1539"/>
      <c r="CH1121" s="1539"/>
      <c r="CI1121" s="1539"/>
      <c r="CJ1121" s="1539"/>
      <c r="CK1121" s="1539"/>
      <c r="CL1121" s="1539"/>
      <c r="CM1121" s="1539"/>
      <c r="CN1121" s="1539"/>
      <c r="CO1121" s="1539"/>
    </row>
    <row r="1122" spans="1:93" s="1542" customFormat="1" ht="15.5">
      <c r="A1122" s="1598" t="s">
        <v>444</v>
      </c>
      <c r="B1122" s="1599" t="s">
        <v>2756</v>
      </c>
      <c r="C1122" s="1643" t="e">
        <f>+SUMIF(#REF!,Final!A1122,#REF!)</f>
        <v>#REF!</v>
      </c>
      <c r="D1122" s="1597" t="e">
        <f>+SUMIF(#REF!,Final!A1122,#REF!)</f>
        <v>#REF!</v>
      </c>
      <c r="E1122" s="1643" t="e">
        <f>SUMIF(#REF!,Final!A1122,#REF!)</f>
        <v>#REF!</v>
      </c>
      <c r="F1122" s="1644" t="e">
        <f>SUMIF(#REF!,Final!A1122,#REF!)</f>
        <v>#REF!</v>
      </c>
      <c r="G1122" s="1597" t="e">
        <f t="shared" si="100"/>
        <v>#REF!</v>
      </c>
      <c r="H1122" s="1644" t="e">
        <f t="shared" si="101"/>
        <v>#REF!</v>
      </c>
      <c r="I1122" s="1597" t="e">
        <f t="shared" si="102"/>
        <v>#REF!</v>
      </c>
      <c r="J1122" s="1644" t="e">
        <f t="shared" si="103"/>
        <v>#REF!</v>
      </c>
      <c r="K1122" s="1539"/>
      <c r="L1122" s="1539"/>
      <c r="M1122" s="1545"/>
      <c r="N1122" s="1545"/>
      <c r="O1122" s="1539"/>
      <c r="P1122" s="1539"/>
      <c r="Q1122" s="1539"/>
      <c r="R1122" s="1539"/>
      <c r="S1122" s="1539"/>
      <c r="T1122" s="1539"/>
      <c r="U1122" s="1539"/>
      <c r="V1122" s="1539"/>
      <c r="W1122" s="1539"/>
      <c r="X1122" s="1539"/>
      <c r="Y1122" s="1539"/>
      <c r="Z1122" s="1539"/>
      <c r="AA1122" s="1539"/>
      <c r="AB1122" s="1539"/>
      <c r="AC1122" s="1539"/>
      <c r="AD1122" s="1539"/>
      <c r="AE1122" s="1539"/>
      <c r="AF1122" s="1539"/>
      <c r="AG1122" s="1539"/>
      <c r="AH1122" s="1539"/>
      <c r="AI1122" s="1539"/>
      <c r="AJ1122" s="1539"/>
      <c r="AK1122" s="1539"/>
      <c r="AL1122" s="1539"/>
      <c r="AM1122" s="1539"/>
      <c r="AN1122" s="1539"/>
      <c r="AO1122" s="1539"/>
      <c r="AP1122" s="1539"/>
      <c r="AQ1122" s="1539"/>
      <c r="AR1122" s="1539"/>
      <c r="AS1122" s="1539"/>
      <c r="AT1122" s="1539"/>
      <c r="AU1122" s="1539"/>
      <c r="AV1122" s="1539"/>
      <c r="AW1122" s="1539"/>
      <c r="AX1122" s="1539"/>
      <c r="AY1122" s="1539"/>
      <c r="AZ1122" s="1539"/>
      <c r="BA1122" s="1539"/>
      <c r="BB1122" s="1539"/>
      <c r="BC1122" s="1539"/>
      <c r="BD1122" s="1539"/>
      <c r="BE1122" s="1539"/>
      <c r="BF1122" s="1539"/>
      <c r="BG1122" s="1539"/>
      <c r="BH1122" s="1539"/>
      <c r="BI1122" s="1539"/>
      <c r="BJ1122" s="1539"/>
      <c r="BK1122" s="1539"/>
      <c r="BL1122" s="1539"/>
      <c r="BM1122" s="1539"/>
      <c r="BN1122" s="1539"/>
      <c r="BO1122" s="1539"/>
      <c r="BP1122" s="1539"/>
      <c r="BQ1122" s="1539"/>
      <c r="BR1122" s="1539"/>
      <c r="BS1122" s="1539"/>
      <c r="BT1122" s="1539"/>
      <c r="BU1122" s="1539"/>
      <c r="BV1122" s="1539"/>
      <c r="BW1122" s="1539"/>
      <c r="BX1122" s="1539"/>
      <c r="BY1122" s="1539"/>
      <c r="BZ1122" s="1539"/>
      <c r="CA1122" s="1539"/>
      <c r="CB1122" s="1539"/>
      <c r="CC1122" s="1539"/>
      <c r="CD1122" s="1539"/>
      <c r="CE1122" s="1539"/>
      <c r="CF1122" s="1539"/>
      <c r="CG1122" s="1539"/>
      <c r="CH1122" s="1539"/>
      <c r="CI1122" s="1539"/>
      <c r="CJ1122" s="1539"/>
      <c r="CK1122" s="1539"/>
      <c r="CL1122" s="1539"/>
      <c r="CM1122" s="1539"/>
      <c r="CN1122" s="1539"/>
      <c r="CO1122" s="1539"/>
    </row>
    <row r="1123" spans="1:93" ht="15.5">
      <c r="A1123" s="1598">
        <v>23.460999999999999</v>
      </c>
      <c r="B1123" s="1599" t="s">
        <v>2757</v>
      </c>
      <c r="C1123" s="1643" t="e">
        <f>+SUMIF(#REF!,Final!A1123,#REF!)</f>
        <v>#REF!</v>
      </c>
      <c r="D1123" s="1597" t="e">
        <f>+SUMIF(#REF!,Final!A1123,#REF!)</f>
        <v>#REF!</v>
      </c>
      <c r="E1123" s="1643" t="e">
        <f>SUMIF(#REF!,Final!A1123,#REF!)</f>
        <v>#REF!</v>
      </c>
      <c r="F1123" s="1644" t="e">
        <f>SUMIF(#REF!,Final!A1123,#REF!)</f>
        <v>#REF!</v>
      </c>
      <c r="G1123" s="1597" t="e">
        <f t="shared" si="100"/>
        <v>#REF!</v>
      </c>
      <c r="H1123" s="1644" t="e">
        <f t="shared" si="101"/>
        <v>#REF!</v>
      </c>
      <c r="I1123" s="1597" t="e">
        <f t="shared" si="102"/>
        <v>#REF!</v>
      </c>
      <c r="J1123" s="1644" t="e">
        <f t="shared" si="103"/>
        <v>#REF!</v>
      </c>
      <c r="M1123" s="1545"/>
      <c r="N1123" s="1545"/>
    </row>
    <row r="1124" spans="1:93" ht="15.5">
      <c r="A1124" s="1598">
        <v>23.462</v>
      </c>
      <c r="B1124" s="1599" t="s">
        <v>2758</v>
      </c>
      <c r="C1124" s="1643" t="e">
        <f>+SUMIF(#REF!,Final!A1124,#REF!)</f>
        <v>#REF!</v>
      </c>
      <c r="D1124" s="1597" t="e">
        <f>+SUMIF(#REF!,Final!A1124,#REF!)</f>
        <v>#REF!</v>
      </c>
      <c r="E1124" s="1643" t="e">
        <f>SUMIF(#REF!,Final!A1124,#REF!)</f>
        <v>#REF!</v>
      </c>
      <c r="F1124" s="1644" t="e">
        <f>SUMIF(#REF!,Final!A1124,#REF!)</f>
        <v>#REF!</v>
      </c>
      <c r="G1124" s="1597" t="e">
        <f t="shared" si="100"/>
        <v>#REF!</v>
      </c>
      <c r="H1124" s="1644" t="e">
        <f t="shared" si="101"/>
        <v>#REF!</v>
      </c>
      <c r="I1124" s="1597" t="e">
        <f t="shared" si="102"/>
        <v>#REF!</v>
      </c>
      <c r="J1124" s="1644" t="e">
        <f t="shared" si="103"/>
        <v>#REF!</v>
      </c>
      <c r="M1124" s="1545"/>
      <c r="N1124" s="1545"/>
    </row>
    <row r="1125" spans="1:93" s="1542" customFormat="1" ht="15.5">
      <c r="A1125" s="1598">
        <v>23.463000000000001</v>
      </c>
      <c r="B1125" s="1599" t="s">
        <v>2759</v>
      </c>
      <c r="C1125" s="1643" t="e">
        <f>+SUMIF(#REF!,Final!A1125,#REF!)</f>
        <v>#REF!</v>
      </c>
      <c r="D1125" s="1597" t="e">
        <f>+SUMIF(#REF!,Final!A1125,#REF!)</f>
        <v>#REF!</v>
      </c>
      <c r="E1125" s="1643" t="e">
        <f>SUMIF(#REF!,Final!A1125,#REF!)</f>
        <v>#REF!</v>
      </c>
      <c r="F1125" s="1644" t="e">
        <f>SUMIF(#REF!,Final!A1125,#REF!)</f>
        <v>#REF!</v>
      </c>
      <c r="G1125" s="1597" t="e">
        <f t="shared" si="100"/>
        <v>#REF!</v>
      </c>
      <c r="H1125" s="1644" t="e">
        <f t="shared" si="101"/>
        <v>#REF!</v>
      </c>
      <c r="I1125" s="1597" t="e">
        <f t="shared" si="102"/>
        <v>#REF!</v>
      </c>
      <c r="J1125" s="1644" t="e">
        <f t="shared" si="103"/>
        <v>#REF!</v>
      </c>
      <c r="K1125" s="1539"/>
      <c r="L1125" s="1539"/>
      <c r="M1125" s="1545"/>
      <c r="N1125" s="1545"/>
      <c r="O1125" s="1539"/>
      <c r="P1125" s="1539"/>
      <c r="Q1125" s="1539"/>
      <c r="R1125" s="1539"/>
      <c r="S1125" s="1539"/>
      <c r="T1125" s="1539"/>
      <c r="U1125" s="1539"/>
      <c r="V1125" s="1539"/>
      <c r="W1125" s="1539"/>
      <c r="X1125" s="1539"/>
      <c r="Y1125" s="1539"/>
      <c r="Z1125" s="1539"/>
      <c r="AA1125" s="1539"/>
      <c r="AB1125" s="1539"/>
      <c r="AC1125" s="1539"/>
      <c r="AD1125" s="1539"/>
      <c r="AE1125" s="1539"/>
      <c r="AF1125" s="1539"/>
      <c r="AG1125" s="1539"/>
      <c r="AH1125" s="1539"/>
      <c r="AI1125" s="1539"/>
      <c r="AJ1125" s="1539"/>
      <c r="AK1125" s="1539"/>
      <c r="AL1125" s="1539"/>
      <c r="AM1125" s="1539"/>
      <c r="AN1125" s="1539"/>
      <c r="AO1125" s="1539"/>
      <c r="AP1125" s="1539"/>
      <c r="AQ1125" s="1539"/>
      <c r="AR1125" s="1539"/>
      <c r="AS1125" s="1539"/>
      <c r="AT1125" s="1539"/>
      <c r="AU1125" s="1539"/>
      <c r="AV1125" s="1539"/>
      <c r="AW1125" s="1539"/>
      <c r="AX1125" s="1539"/>
      <c r="AY1125" s="1539"/>
      <c r="AZ1125" s="1539"/>
      <c r="BA1125" s="1539"/>
      <c r="BB1125" s="1539"/>
      <c r="BC1125" s="1539"/>
      <c r="BD1125" s="1539"/>
      <c r="BE1125" s="1539"/>
      <c r="BF1125" s="1539"/>
      <c r="BG1125" s="1539"/>
      <c r="BH1125" s="1539"/>
      <c r="BI1125" s="1539"/>
      <c r="BJ1125" s="1539"/>
      <c r="BK1125" s="1539"/>
      <c r="BL1125" s="1539"/>
      <c r="BM1125" s="1539"/>
      <c r="BN1125" s="1539"/>
      <c r="BO1125" s="1539"/>
      <c r="BP1125" s="1539"/>
      <c r="BQ1125" s="1539"/>
      <c r="BR1125" s="1539"/>
      <c r="BS1125" s="1539"/>
      <c r="BT1125" s="1539"/>
      <c r="BU1125" s="1539"/>
      <c r="BV1125" s="1539"/>
      <c r="BW1125" s="1539"/>
      <c r="BX1125" s="1539"/>
      <c r="BY1125" s="1539"/>
      <c r="BZ1125" s="1539"/>
      <c r="CA1125" s="1539"/>
      <c r="CB1125" s="1539"/>
      <c r="CC1125" s="1539"/>
      <c r="CD1125" s="1539"/>
      <c r="CE1125" s="1539"/>
      <c r="CF1125" s="1539"/>
      <c r="CG1125" s="1539"/>
      <c r="CH1125" s="1539"/>
      <c r="CI1125" s="1539"/>
      <c r="CJ1125" s="1539"/>
      <c r="CK1125" s="1539"/>
      <c r="CL1125" s="1539"/>
      <c r="CM1125" s="1539"/>
      <c r="CN1125" s="1539"/>
      <c r="CO1125" s="1539"/>
    </row>
    <row r="1126" spans="1:93" s="1552" customFormat="1" ht="15.5">
      <c r="A1126" s="1598"/>
      <c r="B1126" s="1599" t="s">
        <v>1747</v>
      </c>
      <c r="C1126" s="1643" t="e">
        <f>+SUMIF(#REF!,Final!A1126,#REF!)</f>
        <v>#REF!</v>
      </c>
      <c r="D1126" s="1597" t="e">
        <f>+SUMIF(#REF!,Final!A1126,#REF!)</f>
        <v>#REF!</v>
      </c>
      <c r="E1126" s="1643" t="e">
        <f>SUMIF(#REF!,Final!A1126,#REF!)</f>
        <v>#REF!</v>
      </c>
      <c r="F1126" s="1644" t="e">
        <f>SUMIF(#REF!,Final!A1126,#REF!)</f>
        <v>#REF!</v>
      </c>
      <c r="G1126" s="1597" t="e">
        <f t="shared" si="100"/>
        <v>#REF!</v>
      </c>
      <c r="H1126" s="1644" t="e">
        <f t="shared" si="101"/>
        <v>#REF!</v>
      </c>
      <c r="I1126" s="1597" t="e">
        <f t="shared" si="102"/>
        <v>#REF!</v>
      </c>
      <c r="J1126" s="1644" t="e">
        <f t="shared" si="103"/>
        <v>#REF!</v>
      </c>
      <c r="K1126" s="1539"/>
      <c r="L1126" s="1539"/>
      <c r="M1126" s="1545"/>
      <c r="N1126" s="1545"/>
      <c r="O1126" s="1539"/>
      <c r="P1126" s="1539"/>
      <c r="Q1126" s="1539"/>
      <c r="R1126" s="1539"/>
      <c r="S1126" s="1539"/>
      <c r="T1126" s="1539"/>
      <c r="U1126" s="1539"/>
      <c r="V1126" s="1539"/>
      <c r="W1126" s="1539"/>
      <c r="X1126" s="1539"/>
      <c r="Y1126" s="1539"/>
      <c r="Z1126" s="1539"/>
      <c r="AA1126" s="1539"/>
      <c r="AB1126" s="1539"/>
      <c r="AC1126" s="1539"/>
      <c r="AD1126" s="1539"/>
      <c r="AE1126" s="1539"/>
      <c r="AF1126" s="1539"/>
      <c r="AG1126" s="1539"/>
      <c r="AH1126" s="1539"/>
      <c r="AI1126" s="1539"/>
      <c r="AJ1126" s="1539"/>
      <c r="AK1126" s="1539"/>
      <c r="AL1126" s="1539"/>
      <c r="AM1126" s="1539"/>
      <c r="AN1126" s="1539"/>
      <c r="AO1126" s="1539"/>
      <c r="AP1126" s="1539"/>
      <c r="AQ1126" s="1539"/>
      <c r="AR1126" s="1539"/>
      <c r="AS1126" s="1539"/>
      <c r="AT1126" s="1539"/>
      <c r="AU1126" s="1539"/>
      <c r="AV1126" s="1539"/>
      <c r="AW1126" s="1539"/>
      <c r="AX1126" s="1539"/>
      <c r="AY1126" s="1539"/>
      <c r="AZ1126" s="1539"/>
      <c r="BA1126" s="1539"/>
      <c r="BB1126" s="1539"/>
      <c r="BC1126" s="1539"/>
      <c r="BD1126" s="1539"/>
      <c r="BE1126" s="1539"/>
      <c r="BF1126" s="1539"/>
      <c r="BG1126" s="1539"/>
      <c r="BH1126" s="1539"/>
      <c r="BI1126" s="1539"/>
      <c r="BJ1126" s="1539"/>
      <c r="BK1126" s="1539"/>
      <c r="BL1126" s="1539"/>
      <c r="BM1126" s="1539"/>
      <c r="BN1126" s="1539"/>
      <c r="BO1126" s="1539"/>
      <c r="BP1126" s="1539"/>
      <c r="BQ1126" s="1539"/>
      <c r="BR1126" s="1539"/>
      <c r="BS1126" s="1539"/>
      <c r="BT1126" s="1539"/>
      <c r="BU1126" s="1539"/>
      <c r="BV1126" s="1539"/>
      <c r="BW1126" s="1539"/>
      <c r="BX1126" s="1539"/>
      <c r="BY1126" s="1539"/>
      <c r="BZ1126" s="1539"/>
      <c r="CA1126" s="1539"/>
      <c r="CB1126" s="1539"/>
      <c r="CC1126" s="1539"/>
      <c r="CD1126" s="1539"/>
      <c r="CE1126" s="1539"/>
      <c r="CF1126" s="1539"/>
      <c r="CG1126" s="1539"/>
      <c r="CH1126" s="1539"/>
      <c r="CI1126" s="1539"/>
      <c r="CJ1126" s="1539"/>
      <c r="CK1126" s="1539"/>
      <c r="CL1126" s="1539"/>
      <c r="CM1126" s="1539"/>
      <c r="CN1126" s="1539"/>
      <c r="CO1126" s="1539"/>
    </row>
    <row r="1127" spans="1:93" s="1552" customFormat="1" ht="15.5">
      <c r="A1127" s="1598"/>
      <c r="B1127" s="1599" t="s">
        <v>1760</v>
      </c>
      <c r="C1127" s="1643" t="e">
        <f>+SUMIF(#REF!,Final!A1127,#REF!)</f>
        <v>#REF!</v>
      </c>
      <c r="D1127" s="1597" t="e">
        <f>+SUMIF(#REF!,Final!A1127,#REF!)</f>
        <v>#REF!</v>
      </c>
      <c r="E1127" s="1643" t="e">
        <f>SUMIF(#REF!,Final!A1127,#REF!)</f>
        <v>#REF!</v>
      </c>
      <c r="F1127" s="1644" t="e">
        <f>SUMIF(#REF!,Final!A1127,#REF!)</f>
        <v>#REF!</v>
      </c>
      <c r="G1127" s="1597" t="e">
        <f t="shared" si="100"/>
        <v>#REF!</v>
      </c>
      <c r="H1127" s="1644" t="e">
        <f t="shared" si="101"/>
        <v>#REF!</v>
      </c>
      <c r="I1127" s="1597" t="e">
        <f t="shared" si="102"/>
        <v>#REF!</v>
      </c>
      <c r="J1127" s="1644" t="e">
        <f t="shared" si="103"/>
        <v>#REF!</v>
      </c>
      <c r="K1127" s="1539"/>
      <c r="L1127" s="1539"/>
      <c r="M1127" s="1545"/>
      <c r="N1127" s="1545"/>
      <c r="O1127" s="1539"/>
      <c r="P1127" s="1539"/>
      <c r="Q1127" s="1539"/>
      <c r="R1127" s="1539"/>
      <c r="S1127" s="1539"/>
      <c r="T1127" s="1539"/>
      <c r="U1127" s="1539"/>
      <c r="V1127" s="1539"/>
      <c r="W1127" s="1539"/>
      <c r="X1127" s="1539"/>
      <c r="Y1127" s="1539"/>
      <c r="Z1127" s="1539"/>
      <c r="AA1127" s="1539"/>
      <c r="AB1127" s="1539"/>
      <c r="AC1127" s="1539"/>
      <c r="AD1127" s="1539"/>
      <c r="AE1127" s="1539"/>
      <c r="AF1127" s="1539"/>
      <c r="AG1127" s="1539"/>
      <c r="AH1127" s="1539"/>
      <c r="AI1127" s="1539"/>
      <c r="AJ1127" s="1539"/>
      <c r="AK1127" s="1539"/>
      <c r="AL1127" s="1539"/>
      <c r="AM1127" s="1539"/>
      <c r="AN1127" s="1539"/>
      <c r="AO1127" s="1539"/>
      <c r="AP1127" s="1539"/>
      <c r="AQ1127" s="1539"/>
      <c r="AR1127" s="1539"/>
      <c r="AS1127" s="1539"/>
      <c r="AT1127" s="1539"/>
      <c r="AU1127" s="1539"/>
      <c r="AV1127" s="1539"/>
      <c r="AW1127" s="1539"/>
      <c r="AX1127" s="1539"/>
      <c r="AY1127" s="1539"/>
      <c r="AZ1127" s="1539"/>
      <c r="BA1127" s="1539"/>
      <c r="BB1127" s="1539"/>
      <c r="BC1127" s="1539"/>
      <c r="BD1127" s="1539"/>
      <c r="BE1127" s="1539"/>
      <c r="BF1127" s="1539"/>
      <c r="BG1127" s="1539"/>
      <c r="BH1127" s="1539"/>
      <c r="BI1127" s="1539"/>
      <c r="BJ1127" s="1539"/>
      <c r="BK1127" s="1539"/>
      <c r="BL1127" s="1539"/>
      <c r="BM1127" s="1539"/>
      <c r="BN1127" s="1539"/>
      <c r="BO1127" s="1539"/>
      <c r="BP1127" s="1539"/>
      <c r="BQ1127" s="1539"/>
      <c r="BR1127" s="1539"/>
      <c r="BS1127" s="1539"/>
      <c r="BT1127" s="1539"/>
      <c r="BU1127" s="1539"/>
      <c r="BV1127" s="1539"/>
      <c r="BW1127" s="1539"/>
      <c r="BX1127" s="1539"/>
      <c r="BY1127" s="1539"/>
      <c r="BZ1127" s="1539"/>
      <c r="CA1127" s="1539"/>
      <c r="CB1127" s="1539"/>
      <c r="CC1127" s="1539"/>
      <c r="CD1127" s="1539"/>
      <c r="CE1127" s="1539"/>
      <c r="CF1127" s="1539"/>
      <c r="CG1127" s="1539"/>
      <c r="CH1127" s="1539"/>
      <c r="CI1127" s="1539"/>
      <c r="CJ1127" s="1539"/>
      <c r="CK1127" s="1539"/>
      <c r="CL1127" s="1539"/>
      <c r="CM1127" s="1539"/>
      <c r="CN1127" s="1539"/>
      <c r="CO1127" s="1539"/>
    </row>
    <row r="1128" spans="1:93" s="1542" customFormat="1" ht="15.5">
      <c r="A1128" s="1598" t="s">
        <v>1102</v>
      </c>
      <c r="B1128" s="1599" t="s">
        <v>2738</v>
      </c>
      <c r="C1128" s="1643" t="e">
        <f>+SUMIF(#REF!,Final!A1128,#REF!)</f>
        <v>#REF!</v>
      </c>
      <c r="D1128" s="1597" t="e">
        <f>+SUMIF(#REF!,Final!A1128,#REF!)</f>
        <v>#REF!</v>
      </c>
      <c r="E1128" s="1643" t="e">
        <f>SUMIF(#REF!,Final!A1128,#REF!)</f>
        <v>#REF!</v>
      </c>
      <c r="F1128" s="1644" t="e">
        <f>SUMIF(#REF!,Final!A1128,#REF!)</f>
        <v>#REF!</v>
      </c>
      <c r="G1128" s="1597" t="e">
        <f t="shared" si="100"/>
        <v>#REF!</v>
      </c>
      <c r="H1128" s="1644" t="e">
        <f t="shared" si="101"/>
        <v>#REF!</v>
      </c>
      <c r="I1128" s="1597" t="e">
        <f t="shared" si="102"/>
        <v>#REF!</v>
      </c>
      <c r="J1128" s="1644" t="e">
        <f t="shared" si="103"/>
        <v>#REF!</v>
      </c>
      <c r="K1128" s="1539"/>
      <c r="L1128" s="1539"/>
      <c r="M1128" s="1545"/>
      <c r="N1128" s="1545"/>
      <c r="O1128" s="1539"/>
      <c r="P1128" s="1539"/>
      <c r="Q1128" s="1539"/>
      <c r="R1128" s="1539"/>
      <c r="S1128" s="1539"/>
      <c r="T1128" s="1539"/>
      <c r="U1128" s="1539"/>
      <c r="V1128" s="1539"/>
      <c r="W1128" s="1539"/>
      <c r="X1128" s="1539"/>
      <c r="Y1128" s="1539"/>
      <c r="Z1128" s="1539"/>
      <c r="AA1128" s="1539"/>
      <c r="AB1128" s="1539"/>
      <c r="AC1128" s="1539"/>
      <c r="AD1128" s="1539"/>
      <c r="AE1128" s="1539"/>
      <c r="AF1128" s="1539"/>
      <c r="AG1128" s="1539"/>
      <c r="AH1128" s="1539"/>
      <c r="AI1128" s="1539"/>
      <c r="AJ1128" s="1539"/>
      <c r="AK1128" s="1539"/>
      <c r="AL1128" s="1539"/>
      <c r="AM1128" s="1539"/>
      <c r="AN1128" s="1539"/>
      <c r="AO1128" s="1539"/>
      <c r="AP1128" s="1539"/>
      <c r="AQ1128" s="1539"/>
      <c r="AR1128" s="1539"/>
      <c r="AS1128" s="1539"/>
      <c r="AT1128" s="1539"/>
      <c r="AU1128" s="1539"/>
      <c r="AV1128" s="1539"/>
      <c r="AW1128" s="1539"/>
      <c r="AX1128" s="1539"/>
      <c r="AY1128" s="1539"/>
      <c r="AZ1128" s="1539"/>
      <c r="BA1128" s="1539"/>
      <c r="BB1128" s="1539"/>
      <c r="BC1128" s="1539"/>
      <c r="BD1128" s="1539"/>
      <c r="BE1128" s="1539"/>
      <c r="BF1128" s="1539"/>
      <c r="BG1128" s="1539"/>
      <c r="BH1128" s="1539"/>
      <c r="BI1128" s="1539"/>
      <c r="BJ1128" s="1539"/>
      <c r="BK1128" s="1539"/>
      <c r="BL1128" s="1539"/>
      <c r="BM1128" s="1539"/>
      <c r="BN1128" s="1539"/>
      <c r="BO1128" s="1539"/>
      <c r="BP1128" s="1539"/>
      <c r="BQ1128" s="1539"/>
      <c r="BR1128" s="1539"/>
      <c r="BS1128" s="1539"/>
      <c r="BT1128" s="1539"/>
      <c r="BU1128" s="1539"/>
      <c r="BV1128" s="1539"/>
      <c r="BW1128" s="1539"/>
      <c r="BX1128" s="1539"/>
      <c r="BY1128" s="1539"/>
      <c r="BZ1128" s="1539"/>
      <c r="CA1128" s="1539"/>
      <c r="CB1128" s="1539"/>
      <c r="CC1128" s="1539"/>
      <c r="CD1128" s="1539"/>
      <c r="CE1128" s="1539"/>
      <c r="CF1128" s="1539"/>
      <c r="CG1128" s="1539"/>
      <c r="CH1128" s="1539"/>
      <c r="CI1128" s="1539"/>
      <c r="CJ1128" s="1539"/>
      <c r="CK1128" s="1539"/>
      <c r="CL1128" s="1539"/>
      <c r="CM1128" s="1539"/>
      <c r="CN1128" s="1539"/>
      <c r="CO1128" s="1539"/>
    </row>
    <row r="1129" spans="1:93" s="1542" customFormat="1" ht="15.5">
      <c r="A1129" s="1598" t="s">
        <v>594</v>
      </c>
      <c r="B1129" s="1599" t="s">
        <v>2756</v>
      </c>
      <c r="C1129" s="1643" t="e">
        <f>+SUMIF(#REF!,Final!A1129,#REF!)</f>
        <v>#REF!</v>
      </c>
      <c r="D1129" s="1597" t="e">
        <f>+SUMIF(#REF!,Final!A1129,#REF!)</f>
        <v>#REF!</v>
      </c>
      <c r="E1129" s="1643" t="e">
        <f>SUMIF(#REF!,Final!A1129,#REF!)</f>
        <v>#REF!</v>
      </c>
      <c r="F1129" s="1644" t="e">
        <f>SUMIF(#REF!,Final!A1129,#REF!)</f>
        <v>#REF!</v>
      </c>
      <c r="G1129" s="1597" t="e">
        <f t="shared" si="100"/>
        <v>#REF!</v>
      </c>
      <c r="H1129" s="1644" t="e">
        <f t="shared" si="101"/>
        <v>#REF!</v>
      </c>
      <c r="I1129" s="1597" t="e">
        <f t="shared" si="102"/>
        <v>#REF!</v>
      </c>
      <c r="J1129" s="1644" t="e">
        <f t="shared" si="103"/>
        <v>#REF!</v>
      </c>
      <c r="K1129" s="1539"/>
      <c r="L1129" s="1539"/>
      <c r="M1129" s="1545"/>
      <c r="N1129" s="1545"/>
      <c r="O1129" s="1539"/>
      <c r="P1129" s="1539"/>
      <c r="Q1129" s="1539"/>
      <c r="R1129" s="1539"/>
      <c r="S1129" s="1539"/>
      <c r="T1129" s="1539"/>
      <c r="U1129" s="1539"/>
      <c r="V1129" s="1539"/>
      <c r="W1129" s="1539"/>
      <c r="X1129" s="1539"/>
      <c r="Y1129" s="1539"/>
      <c r="Z1129" s="1539"/>
      <c r="AA1129" s="1539"/>
      <c r="AB1129" s="1539"/>
      <c r="AC1129" s="1539"/>
      <c r="AD1129" s="1539"/>
      <c r="AE1129" s="1539"/>
      <c r="AF1129" s="1539"/>
      <c r="AG1129" s="1539"/>
      <c r="AH1129" s="1539"/>
      <c r="AI1129" s="1539"/>
      <c r="AJ1129" s="1539"/>
      <c r="AK1129" s="1539"/>
      <c r="AL1129" s="1539"/>
      <c r="AM1129" s="1539"/>
      <c r="AN1129" s="1539"/>
      <c r="AO1129" s="1539"/>
      <c r="AP1129" s="1539"/>
      <c r="AQ1129" s="1539"/>
      <c r="AR1129" s="1539"/>
      <c r="AS1129" s="1539"/>
      <c r="AT1129" s="1539"/>
      <c r="AU1129" s="1539"/>
      <c r="AV1129" s="1539"/>
      <c r="AW1129" s="1539"/>
      <c r="AX1129" s="1539"/>
      <c r="AY1129" s="1539"/>
      <c r="AZ1129" s="1539"/>
      <c r="BA1129" s="1539"/>
      <c r="BB1129" s="1539"/>
      <c r="BC1129" s="1539"/>
      <c r="BD1129" s="1539"/>
      <c r="BE1129" s="1539"/>
      <c r="BF1129" s="1539"/>
      <c r="BG1129" s="1539"/>
      <c r="BH1129" s="1539"/>
      <c r="BI1129" s="1539"/>
      <c r="BJ1129" s="1539"/>
      <c r="BK1129" s="1539"/>
      <c r="BL1129" s="1539"/>
      <c r="BM1129" s="1539"/>
      <c r="BN1129" s="1539"/>
      <c r="BO1129" s="1539"/>
      <c r="BP1129" s="1539"/>
      <c r="BQ1129" s="1539"/>
      <c r="BR1129" s="1539"/>
      <c r="BS1129" s="1539"/>
      <c r="BT1129" s="1539"/>
      <c r="BU1129" s="1539"/>
      <c r="BV1129" s="1539"/>
      <c r="BW1129" s="1539"/>
      <c r="BX1129" s="1539"/>
      <c r="BY1129" s="1539"/>
      <c r="BZ1129" s="1539"/>
      <c r="CA1129" s="1539"/>
      <c r="CB1129" s="1539"/>
      <c r="CC1129" s="1539"/>
      <c r="CD1129" s="1539"/>
      <c r="CE1129" s="1539"/>
      <c r="CF1129" s="1539"/>
      <c r="CG1129" s="1539"/>
      <c r="CH1129" s="1539"/>
      <c r="CI1129" s="1539"/>
      <c r="CJ1129" s="1539"/>
      <c r="CK1129" s="1539"/>
      <c r="CL1129" s="1539"/>
      <c r="CM1129" s="1539"/>
      <c r="CN1129" s="1539"/>
      <c r="CO1129" s="1539"/>
    </row>
    <row r="1130" spans="1:93" ht="15.5">
      <c r="A1130" s="1598">
        <v>23.465</v>
      </c>
      <c r="B1130" s="1599" t="s">
        <v>2760</v>
      </c>
      <c r="C1130" s="1643" t="e">
        <f>+SUMIF(#REF!,Final!A1130,#REF!)</f>
        <v>#REF!</v>
      </c>
      <c r="D1130" s="1597" t="e">
        <f>+SUMIF(#REF!,Final!A1130,#REF!)</f>
        <v>#REF!</v>
      </c>
      <c r="E1130" s="1643" t="e">
        <f>SUMIF(#REF!,Final!A1130,#REF!)</f>
        <v>#REF!</v>
      </c>
      <c r="F1130" s="1644" t="e">
        <f>SUMIF(#REF!,Final!A1130,#REF!)</f>
        <v>#REF!</v>
      </c>
      <c r="G1130" s="1597" t="e">
        <f t="shared" si="100"/>
        <v>#REF!</v>
      </c>
      <c r="H1130" s="1644" t="e">
        <f t="shared" si="101"/>
        <v>#REF!</v>
      </c>
      <c r="I1130" s="1597" t="e">
        <f t="shared" si="102"/>
        <v>#REF!</v>
      </c>
      <c r="J1130" s="1644" t="e">
        <f t="shared" si="103"/>
        <v>#REF!</v>
      </c>
      <c r="M1130" s="1545"/>
      <c r="N1130" s="1545"/>
    </row>
    <row r="1131" spans="1:93" ht="15.5">
      <c r="A1131" s="1598">
        <v>23.466000000000001</v>
      </c>
      <c r="B1131" s="1599" t="s">
        <v>2761</v>
      </c>
      <c r="C1131" s="1643" t="e">
        <f>+SUMIF(#REF!,Final!A1131,#REF!)</f>
        <v>#REF!</v>
      </c>
      <c r="D1131" s="1597" t="e">
        <f>+SUMIF(#REF!,Final!A1131,#REF!)</f>
        <v>#REF!</v>
      </c>
      <c r="E1131" s="1643" t="e">
        <f>SUMIF(#REF!,Final!A1131,#REF!)</f>
        <v>#REF!</v>
      </c>
      <c r="F1131" s="1644" t="e">
        <f>SUMIF(#REF!,Final!A1131,#REF!)</f>
        <v>#REF!</v>
      </c>
      <c r="G1131" s="1597" t="e">
        <f t="shared" si="100"/>
        <v>#REF!</v>
      </c>
      <c r="H1131" s="1644" t="e">
        <f t="shared" si="101"/>
        <v>#REF!</v>
      </c>
      <c r="I1131" s="1597" t="e">
        <f t="shared" si="102"/>
        <v>#REF!</v>
      </c>
      <c r="J1131" s="1644" t="e">
        <f t="shared" si="103"/>
        <v>#REF!</v>
      </c>
      <c r="M1131" s="1545"/>
      <c r="N1131" s="1545"/>
    </row>
    <row r="1132" spans="1:93" ht="15.5">
      <c r="A1132" s="1598">
        <v>23.466999999999999</v>
      </c>
      <c r="B1132" s="1599" t="s">
        <v>2762</v>
      </c>
      <c r="C1132" s="1643" t="e">
        <f>+SUMIF(#REF!,Final!A1132,#REF!)</f>
        <v>#REF!</v>
      </c>
      <c r="D1132" s="1597" t="e">
        <f>+SUMIF(#REF!,Final!A1132,#REF!)</f>
        <v>#REF!</v>
      </c>
      <c r="E1132" s="1643" t="e">
        <f>SUMIF(#REF!,Final!A1132,#REF!)</f>
        <v>#REF!</v>
      </c>
      <c r="F1132" s="1644" t="e">
        <f>SUMIF(#REF!,Final!A1132,#REF!)</f>
        <v>#REF!</v>
      </c>
      <c r="G1132" s="1597" t="e">
        <f t="shared" si="100"/>
        <v>#REF!</v>
      </c>
      <c r="H1132" s="1644" t="e">
        <f t="shared" si="101"/>
        <v>#REF!</v>
      </c>
      <c r="I1132" s="1597" t="e">
        <f t="shared" si="102"/>
        <v>#REF!</v>
      </c>
      <c r="J1132" s="1644" t="e">
        <f t="shared" si="103"/>
        <v>#REF!</v>
      </c>
      <c r="M1132" s="1545"/>
      <c r="N1132" s="1545"/>
    </row>
    <row r="1133" spans="1:93" s="1552" customFormat="1" ht="15.5">
      <c r="A1133" s="1598"/>
      <c r="B1133" s="1599" t="s">
        <v>1747</v>
      </c>
      <c r="C1133" s="1643" t="e">
        <f>+SUMIF(#REF!,Final!A1133,#REF!)</f>
        <v>#REF!</v>
      </c>
      <c r="D1133" s="1597" t="e">
        <f>+SUMIF(#REF!,Final!A1133,#REF!)</f>
        <v>#REF!</v>
      </c>
      <c r="E1133" s="1643" t="e">
        <f>SUMIF(#REF!,Final!A1133,#REF!)</f>
        <v>#REF!</v>
      </c>
      <c r="F1133" s="1644" t="e">
        <f>SUMIF(#REF!,Final!A1133,#REF!)</f>
        <v>#REF!</v>
      </c>
      <c r="G1133" s="1597" t="e">
        <f t="shared" si="100"/>
        <v>#REF!</v>
      </c>
      <c r="H1133" s="1644" t="e">
        <f t="shared" si="101"/>
        <v>#REF!</v>
      </c>
      <c r="I1133" s="1597" t="e">
        <f t="shared" si="102"/>
        <v>#REF!</v>
      </c>
      <c r="J1133" s="1644" t="e">
        <f t="shared" si="103"/>
        <v>#REF!</v>
      </c>
      <c r="K1133" s="1539"/>
      <c r="L1133" s="1539"/>
      <c r="M1133" s="1545"/>
      <c r="N1133" s="1545"/>
      <c r="O1133" s="1539"/>
      <c r="P1133" s="1539"/>
      <c r="Q1133" s="1539"/>
      <c r="R1133" s="1539"/>
      <c r="S1133" s="1539"/>
      <c r="T1133" s="1539"/>
      <c r="U1133" s="1539"/>
      <c r="V1133" s="1539"/>
      <c r="W1133" s="1539"/>
      <c r="X1133" s="1539"/>
      <c r="Y1133" s="1539"/>
      <c r="Z1133" s="1539"/>
      <c r="AA1133" s="1539"/>
      <c r="AB1133" s="1539"/>
      <c r="AC1133" s="1539"/>
      <c r="AD1133" s="1539"/>
      <c r="AE1133" s="1539"/>
      <c r="AF1133" s="1539"/>
      <c r="AG1133" s="1539"/>
      <c r="AH1133" s="1539"/>
      <c r="AI1133" s="1539"/>
      <c r="AJ1133" s="1539"/>
      <c r="AK1133" s="1539"/>
      <c r="AL1133" s="1539"/>
      <c r="AM1133" s="1539"/>
      <c r="AN1133" s="1539"/>
      <c r="AO1133" s="1539"/>
      <c r="AP1133" s="1539"/>
      <c r="AQ1133" s="1539"/>
      <c r="AR1133" s="1539"/>
      <c r="AS1133" s="1539"/>
      <c r="AT1133" s="1539"/>
      <c r="AU1133" s="1539"/>
      <c r="AV1133" s="1539"/>
      <c r="AW1133" s="1539"/>
      <c r="AX1133" s="1539"/>
      <c r="AY1133" s="1539"/>
      <c r="AZ1133" s="1539"/>
      <c r="BA1133" s="1539"/>
      <c r="BB1133" s="1539"/>
      <c r="BC1133" s="1539"/>
      <c r="BD1133" s="1539"/>
      <c r="BE1133" s="1539"/>
      <c r="BF1133" s="1539"/>
      <c r="BG1133" s="1539"/>
      <c r="BH1133" s="1539"/>
      <c r="BI1133" s="1539"/>
      <c r="BJ1133" s="1539"/>
      <c r="BK1133" s="1539"/>
      <c r="BL1133" s="1539"/>
      <c r="BM1133" s="1539"/>
      <c r="BN1133" s="1539"/>
      <c r="BO1133" s="1539"/>
      <c r="BP1133" s="1539"/>
      <c r="BQ1133" s="1539"/>
      <c r="BR1133" s="1539"/>
      <c r="BS1133" s="1539"/>
      <c r="BT1133" s="1539"/>
      <c r="BU1133" s="1539"/>
      <c r="BV1133" s="1539"/>
      <c r="BW1133" s="1539"/>
      <c r="BX1133" s="1539"/>
      <c r="BY1133" s="1539"/>
      <c r="BZ1133" s="1539"/>
      <c r="CA1133" s="1539"/>
      <c r="CB1133" s="1539"/>
      <c r="CC1133" s="1539"/>
      <c r="CD1133" s="1539"/>
      <c r="CE1133" s="1539"/>
      <c r="CF1133" s="1539"/>
      <c r="CG1133" s="1539"/>
      <c r="CH1133" s="1539"/>
      <c r="CI1133" s="1539"/>
      <c r="CJ1133" s="1539"/>
      <c r="CK1133" s="1539"/>
      <c r="CL1133" s="1539"/>
      <c r="CM1133" s="1539"/>
      <c r="CN1133" s="1539"/>
      <c r="CO1133" s="1539"/>
    </row>
    <row r="1134" spans="1:93" s="1552" customFormat="1" ht="15.5">
      <c r="A1134" s="1598"/>
      <c r="B1134" s="1599" t="s">
        <v>1760</v>
      </c>
      <c r="C1134" s="1643" t="e">
        <f>+SUMIF(#REF!,Final!A1134,#REF!)</f>
        <v>#REF!</v>
      </c>
      <c r="D1134" s="1597" t="e">
        <f>+SUMIF(#REF!,Final!A1134,#REF!)</f>
        <v>#REF!</v>
      </c>
      <c r="E1134" s="1643" t="e">
        <f>SUMIF(#REF!,Final!A1134,#REF!)</f>
        <v>#REF!</v>
      </c>
      <c r="F1134" s="1644" t="e">
        <f>SUMIF(#REF!,Final!A1134,#REF!)</f>
        <v>#REF!</v>
      </c>
      <c r="G1134" s="1597" t="e">
        <f t="shared" si="100"/>
        <v>#REF!</v>
      </c>
      <c r="H1134" s="1644" t="e">
        <f t="shared" si="101"/>
        <v>#REF!</v>
      </c>
      <c r="I1134" s="1597" t="e">
        <f t="shared" si="102"/>
        <v>#REF!</v>
      </c>
      <c r="J1134" s="1644" t="e">
        <f t="shared" si="103"/>
        <v>#REF!</v>
      </c>
      <c r="K1134" s="1539"/>
      <c r="L1134" s="1539"/>
      <c r="M1134" s="1545"/>
      <c r="N1134" s="1545"/>
      <c r="O1134" s="1539"/>
      <c r="P1134" s="1539"/>
      <c r="Q1134" s="1539"/>
      <c r="R1134" s="1539"/>
      <c r="S1134" s="1539"/>
      <c r="T1134" s="1539"/>
      <c r="U1134" s="1539"/>
      <c r="V1134" s="1539"/>
      <c r="W1134" s="1539"/>
      <c r="X1134" s="1539"/>
      <c r="Y1134" s="1539"/>
      <c r="Z1134" s="1539"/>
      <c r="AA1134" s="1539"/>
      <c r="AB1134" s="1539"/>
      <c r="AC1134" s="1539"/>
      <c r="AD1134" s="1539"/>
      <c r="AE1134" s="1539"/>
      <c r="AF1134" s="1539"/>
      <c r="AG1134" s="1539"/>
      <c r="AH1134" s="1539"/>
      <c r="AI1134" s="1539"/>
      <c r="AJ1134" s="1539"/>
      <c r="AK1134" s="1539"/>
      <c r="AL1134" s="1539"/>
      <c r="AM1134" s="1539"/>
      <c r="AN1134" s="1539"/>
      <c r="AO1134" s="1539"/>
      <c r="AP1134" s="1539"/>
      <c r="AQ1134" s="1539"/>
      <c r="AR1134" s="1539"/>
      <c r="AS1134" s="1539"/>
      <c r="AT1134" s="1539"/>
      <c r="AU1134" s="1539"/>
      <c r="AV1134" s="1539"/>
      <c r="AW1134" s="1539"/>
      <c r="AX1134" s="1539"/>
      <c r="AY1134" s="1539"/>
      <c r="AZ1134" s="1539"/>
      <c r="BA1134" s="1539"/>
      <c r="BB1134" s="1539"/>
      <c r="BC1134" s="1539"/>
      <c r="BD1134" s="1539"/>
      <c r="BE1134" s="1539"/>
      <c r="BF1134" s="1539"/>
      <c r="BG1134" s="1539"/>
      <c r="BH1134" s="1539"/>
      <c r="BI1134" s="1539"/>
      <c r="BJ1134" s="1539"/>
      <c r="BK1134" s="1539"/>
      <c r="BL1134" s="1539"/>
      <c r="BM1134" s="1539"/>
      <c r="BN1134" s="1539"/>
      <c r="BO1134" s="1539"/>
      <c r="BP1134" s="1539"/>
      <c r="BQ1134" s="1539"/>
      <c r="BR1134" s="1539"/>
      <c r="BS1134" s="1539"/>
      <c r="BT1134" s="1539"/>
      <c r="BU1134" s="1539"/>
      <c r="BV1134" s="1539"/>
      <c r="BW1134" s="1539"/>
      <c r="BX1134" s="1539"/>
      <c r="BY1134" s="1539"/>
      <c r="BZ1134" s="1539"/>
      <c r="CA1134" s="1539"/>
      <c r="CB1134" s="1539"/>
      <c r="CC1134" s="1539"/>
      <c r="CD1134" s="1539"/>
      <c r="CE1134" s="1539"/>
      <c r="CF1134" s="1539"/>
      <c r="CG1134" s="1539"/>
      <c r="CH1134" s="1539"/>
      <c r="CI1134" s="1539"/>
      <c r="CJ1134" s="1539"/>
      <c r="CK1134" s="1539"/>
      <c r="CL1134" s="1539"/>
      <c r="CM1134" s="1539"/>
      <c r="CN1134" s="1539"/>
      <c r="CO1134" s="1539"/>
    </row>
    <row r="1135" spans="1:93" s="1542" customFormat="1" ht="15.5">
      <c r="A1135" s="1598" t="s">
        <v>1102</v>
      </c>
      <c r="B1135" s="1599" t="s">
        <v>2738</v>
      </c>
      <c r="C1135" s="1643" t="e">
        <f>+SUMIF(#REF!,Final!A1135,#REF!)</f>
        <v>#REF!</v>
      </c>
      <c r="D1135" s="1597" t="e">
        <f>+SUMIF(#REF!,Final!A1135,#REF!)</f>
        <v>#REF!</v>
      </c>
      <c r="E1135" s="1643" t="e">
        <f>SUMIF(#REF!,Final!A1135,#REF!)</f>
        <v>#REF!</v>
      </c>
      <c r="F1135" s="1644" t="e">
        <f>SUMIF(#REF!,Final!A1135,#REF!)</f>
        <v>#REF!</v>
      </c>
      <c r="G1135" s="1597" t="e">
        <f t="shared" si="100"/>
        <v>#REF!</v>
      </c>
      <c r="H1135" s="1644" t="e">
        <f t="shared" si="101"/>
        <v>#REF!</v>
      </c>
      <c r="I1135" s="1597" t="e">
        <f t="shared" si="102"/>
        <v>#REF!</v>
      </c>
      <c r="J1135" s="1644" t="e">
        <f t="shared" si="103"/>
        <v>#REF!</v>
      </c>
      <c r="K1135" s="1539"/>
      <c r="L1135" s="1539"/>
      <c r="M1135" s="1545"/>
      <c r="N1135" s="1545"/>
      <c r="O1135" s="1539"/>
      <c r="P1135" s="1539"/>
      <c r="Q1135" s="1539"/>
      <c r="R1135" s="1539"/>
      <c r="S1135" s="1539"/>
      <c r="T1135" s="1539"/>
      <c r="U1135" s="1539"/>
      <c r="V1135" s="1539"/>
      <c r="W1135" s="1539"/>
      <c r="X1135" s="1539"/>
      <c r="Y1135" s="1539"/>
      <c r="Z1135" s="1539"/>
      <c r="AA1135" s="1539"/>
      <c r="AB1135" s="1539"/>
      <c r="AC1135" s="1539"/>
      <c r="AD1135" s="1539"/>
      <c r="AE1135" s="1539"/>
      <c r="AF1135" s="1539"/>
      <c r="AG1135" s="1539"/>
      <c r="AH1135" s="1539"/>
      <c r="AI1135" s="1539"/>
      <c r="AJ1135" s="1539"/>
      <c r="AK1135" s="1539"/>
      <c r="AL1135" s="1539"/>
      <c r="AM1135" s="1539"/>
      <c r="AN1135" s="1539"/>
      <c r="AO1135" s="1539"/>
      <c r="AP1135" s="1539"/>
      <c r="AQ1135" s="1539"/>
      <c r="AR1135" s="1539"/>
      <c r="AS1135" s="1539"/>
      <c r="AT1135" s="1539"/>
      <c r="AU1135" s="1539"/>
      <c r="AV1135" s="1539"/>
      <c r="AW1135" s="1539"/>
      <c r="AX1135" s="1539"/>
      <c r="AY1135" s="1539"/>
      <c r="AZ1135" s="1539"/>
      <c r="BA1135" s="1539"/>
      <c r="BB1135" s="1539"/>
      <c r="BC1135" s="1539"/>
      <c r="BD1135" s="1539"/>
      <c r="BE1135" s="1539"/>
      <c r="BF1135" s="1539"/>
      <c r="BG1135" s="1539"/>
      <c r="BH1135" s="1539"/>
      <c r="BI1135" s="1539"/>
      <c r="BJ1135" s="1539"/>
      <c r="BK1135" s="1539"/>
      <c r="BL1135" s="1539"/>
      <c r="BM1135" s="1539"/>
      <c r="BN1135" s="1539"/>
      <c r="BO1135" s="1539"/>
      <c r="BP1135" s="1539"/>
      <c r="BQ1135" s="1539"/>
      <c r="BR1135" s="1539"/>
      <c r="BS1135" s="1539"/>
      <c r="BT1135" s="1539"/>
      <c r="BU1135" s="1539"/>
      <c r="BV1135" s="1539"/>
      <c r="BW1135" s="1539"/>
      <c r="BX1135" s="1539"/>
      <c r="BY1135" s="1539"/>
      <c r="BZ1135" s="1539"/>
      <c r="CA1135" s="1539"/>
      <c r="CB1135" s="1539"/>
      <c r="CC1135" s="1539"/>
      <c r="CD1135" s="1539"/>
      <c r="CE1135" s="1539"/>
      <c r="CF1135" s="1539"/>
      <c r="CG1135" s="1539"/>
      <c r="CH1135" s="1539"/>
      <c r="CI1135" s="1539"/>
      <c r="CJ1135" s="1539"/>
      <c r="CK1135" s="1539"/>
      <c r="CL1135" s="1539"/>
      <c r="CM1135" s="1539"/>
      <c r="CN1135" s="1539"/>
      <c r="CO1135" s="1539"/>
    </row>
    <row r="1136" spans="1:93" s="1542" customFormat="1" ht="15.5">
      <c r="A1136" s="1598" t="s">
        <v>446</v>
      </c>
      <c r="B1136" s="1599" t="s">
        <v>2763</v>
      </c>
      <c r="C1136" s="1643" t="e">
        <f>+SUMIF(#REF!,Final!A1136,#REF!)</f>
        <v>#REF!</v>
      </c>
      <c r="D1136" s="1597" t="e">
        <f>+SUMIF(#REF!,Final!A1136,#REF!)</f>
        <v>#REF!</v>
      </c>
      <c r="E1136" s="1643" t="e">
        <f>SUMIF(#REF!,Final!A1136,#REF!)</f>
        <v>#REF!</v>
      </c>
      <c r="F1136" s="1644" t="e">
        <f>SUMIF(#REF!,Final!A1136,#REF!)</f>
        <v>#REF!</v>
      </c>
      <c r="G1136" s="1597" t="e">
        <f t="shared" si="100"/>
        <v>#REF!</v>
      </c>
      <c r="H1136" s="1644" t="e">
        <f t="shared" si="101"/>
        <v>#REF!</v>
      </c>
      <c r="I1136" s="1597" t="e">
        <f t="shared" si="102"/>
        <v>#REF!</v>
      </c>
      <c r="J1136" s="1644" t="e">
        <f t="shared" si="103"/>
        <v>#REF!</v>
      </c>
      <c r="K1136" s="1539"/>
      <c r="L1136" s="1539"/>
      <c r="M1136" s="1545"/>
      <c r="N1136" s="1545"/>
      <c r="O1136" s="1539"/>
      <c r="P1136" s="1539"/>
      <c r="Q1136" s="1539"/>
      <c r="R1136" s="1539"/>
      <c r="S1136" s="1539"/>
      <c r="T1136" s="1539"/>
      <c r="U1136" s="1539"/>
      <c r="V1136" s="1539"/>
      <c r="W1136" s="1539"/>
      <c r="X1136" s="1539"/>
      <c r="Y1136" s="1539"/>
      <c r="Z1136" s="1539"/>
      <c r="AA1136" s="1539"/>
      <c r="AB1136" s="1539"/>
      <c r="AC1136" s="1539"/>
      <c r="AD1136" s="1539"/>
      <c r="AE1136" s="1539"/>
      <c r="AF1136" s="1539"/>
      <c r="AG1136" s="1539"/>
      <c r="AH1136" s="1539"/>
      <c r="AI1136" s="1539"/>
      <c r="AJ1136" s="1539"/>
      <c r="AK1136" s="1539"/>
      <c r="AL1136" s="1539"/>
      <c r="AM1136" s="1539"/>
      <c r="AN1136" s="1539"/>
      <c r="AO1136" s="1539"/>
      <c r="AP1136" s="1539"/>
      <c r="AQ1136" s="1539"/>
      <c r="AR1136" s="1539"/>
      <c r="AS1136" s="1539"/>
      <c r="AT1136" s="1539"/>
      <c r="AU1136" s="1539"/>
      <c r="AV1136" s="1539"/>
      <c r="AW1136" s="1539"/>
      <c r="AX1136" s="1539"/>
      <c r="AY1136" s="1539"/>
      <c r="AZ1136" s="1539"/>
      <c r="BA1136" s="1539"/>
      <c r="BB1136" s="1539"/>
      <c r="BC1136" s="1539"/>
      <c r="BD1136" s="1539"/>
      <c r="BE1136" s="1539"/>
      <c r="BF1136" s="1539"/>
      <c r="BG1136" s="1539"/>
      <c r="BH1136" s="1539"/>
      <c r="BI1136" s="1539"/>
      <c r="BJ1136" s="1539"/>
      <c r="BK1136" s="1539"/>
      <c r="BL1136" s="1539"/>
      <c r="BM1136" s="1539"/>
      <c r="BN1136" s="1539"/>
      <c r="BO1136" s="1539"/>
      <c r="BP1136" s="1539"/>
      <c r="BQ1136" s="1539"/>
      <c r="BR1136" s="1539"/>
      <c r="BS1136" s="1539"/>
      <c r="BT1136" s="1539"/>
      <c r="BU1136" s="1539"/>
      <c r="BV1136" s="1539"/>
      <c r="BW1136" s="1539"/>
      <c r="BX1136" s="1539"/>
      <c r="BY1136" s="1539"/>
      <c r="BZ1136" s="1539"/>
      <c r="CA1136" s="1539"/>
      <c r="CB1136" s="1539"/>
      <c r="CC1136" s="1539"/>
      <c r="CD1136" s="1539"/>
      <c r="CE1136" s="1539"/>
      <c r="CF1136" s="1539"/>
      <c r="CG1136" s="1539"/>
      <c r="CH1136" s="1539"/>
      <c r="CI1136" s="1539"/>
      <c r="CJ1136" s="1539"/>
      <c r="CK1136" s="1539"/>
      <c r="CL1136" s="1539"/>
      <c r="CM1136" s="1539"/>
      <c r="CN1136" s="1539"/>
      <c r="CO1136" s="1539"/>
    </row>
    <row r="1137" spans="1:93" ht="15.5">
      <c r="A1137" s="1598">
        <v>23.501000000000001</v>
      </c>
      <c r="B1137" s="1599" t="s">
        <v>666</v>
      </c>
      <c r="C1137" s="1643" t="e">
        <f>+SUMIF(#REF!,Final!A1137,#REF!)</f>
        <v>#REF!</v>
      </c>
      <c r="D1137" s="1597" t="e">
        <f>+SUMIF(#REF!,Final!A1137,#REF!)</f>
        <v>#REF!</v>
      </c>
      <c r="E1137" s="1643" t="e">
        <f>SUMIF(#REF!,Final!A1137,#REF!)</f>
        <v>#REF!</v>
      </c>
      <c r="F1137" s="1644" t="e">
        <f>SUMIF(#REF!,Final!A1137,#REF!)</f>
        <v>#REF!</v>
      </c>
      <c r="G1137" s="1597" t="e">
        <f t="shared" si="100"/>
        <v>#REF!</v>
      </c>
      <c r="H1137" s="1644" t="e">
        <f t="shared" si="101"/>
        <v>#REF!</v>
      </c>
      <c r="I1137" s="1597" t="e">
        <f t="shared" si="102"/>
        <v>#REF!</v>
      </c>
      <c r="J1137" s="1644" t="e">
        <f t="shared" si="103"/>
        <v>#REF!</v>
      </c>
      <c r="M1137" s="1545"/>
      <c r="N1137" s="1545"/>
    </row>
    <row r="1138" spans="1:93" ht="15.5">
      <c r="A1138" s="1598">
        <v>23.501999999999999</v>
      </c>
      <c r="B1138" s="1599" t="s">
        <v>1335</v>
      </c>
      <c r="C1138" s="1643" t="e">
        <f>+SUMIF(#REF!,Final!A1138,#REF!)</f>
        <v>#REF!</v>
      </c>
      <c r="D1138" s="1597" t="e">
        <f>+SUMIF(#REF!,Final!A1138,#REF!)</f>
        <v>#REF!</v>
      </c>
      <c r="E1138" s="1643" t="e">
        <f>SUMIF(#REF!,Final!A1138,#REF!)</f>
        <v>#REF!</v>
      </c>
      <c r="F1138" s="1644" t="e">
        <f>SUMIF(#REF!,Final!A1138,#REF!)</f>
        <v>#REF!</v>
      </c>
      <c r="G1138" s="1597" t="e">
        <f t="shared" si="100"/>
        <v>#REF!</v>
      </c>
      <c r="H1138" s="1644" t="e">
        <f t="shared" si="101"/>
        <v>#REF!</v>
      </c>
      <c r="I1138" s="1597" t="e">
        <f t="shared" si="102"/>
        <v>#REF!</v>
      </c>
      <c r="J1138" s="1644" t="e">
        <f t="shared" si="103"/>
        <v>#REF!</v>
      </c>
      <c r="M1138" s="1545"/>
      <c r="N1138" s="1545"/>
    </row>
    <row r="1139" spans="1:93" ht="15.5">
      <c r="A1139" s="1598">
        <v>23.503</v>
      </c>
      <c r="B1139" s="1599" t="s">
        <v>1899</v>
      </c>
      <c r="C1139" s="1643" t="e">
        <f>+SUMIF(#REF!,Final!A1139,#REF!)</f>
        <v>#REF!</v>
      </c>
      <c r="D1139" s="1597" t="e">
        <f>+SUMIF(#REF!,Final!A1139,#REF!)</f>
        <v>#REF!</v>
      </c>
      <c r="E1139" s="1643" t="e">
        <f>SUMIF(#REF!,Final!A1139,#REF!)</f>
        <v>#REF!</v>
      </c>
      <c r="F1139" s="1644" t="e">
        <f>SUMIF(#REF!,Final!A1139,#REF!)</f>
        <v>#REF!</v>
      </c>
      <c r="G1139" s="1597" t="e">
        <f t="shared" si="100"/>
        <v>#REF!</v>
      </c>
      <c r="H1139" s="1644" t="e">
        <f t="shared" si="101"/>
        <v>#REF!</v>
      </c>
      <c r="I1139" s="1597" t="e">
        <f t="shared" si="102"/>
        <v>#REF!</v>
      </c>
      <c r="J1139" s="1644" t="e">
        <f t="shared" si="103"/>
        <v>#REF!</v>
      </c>
      <c r="M1139" s="1545"/>
      <c r="N1139" s="1545"/>
    </row>
    <row r="1140" spans="1:93" ht="15.5">
      <c r="A1140" s="1598">
        <v>23.504000000000001</v>
      </c>
      <c r="B1140" s="1599" t="s">
        <v>1900</v>
      </c>
      <c r="C1140" s="1643" t="e">
        <f>+SUMIF(#REF!,Final!A1140,#REF!)</f>
        <v>#REF!</v>
      </c>
      <c r="D1140" s="1597" t="e">
        <f>+SUMIF(#REF!,Final!A1140,#REF!)</f>
        <v>#REF!</v>
      </c>
      <c r="E1140" s="1643" t="e">
        <f>SUMIF(#REF!,Final!A1140,#REF!)</f>
        <v>#REF!</v>
      </c>
      <c r="F1140" s="1644" t="e">
        <f>SUMIF(#REF!,Final!A1140,#REF!)</f>
        <v>#REF!</v>
      </c>
      <c r="G1140" s="1597" t="e">
        <f t="shared" si="100"/>
        <v>#REF!</v>
      </c>
      <c r="H1140" s="1644" t="e">
        <f t="shared" si="101"/>
        <v>#REF!</v>
      </c>
      <c r="I1140" s="1597" t="e">
        <f t="shared" si="102"/>
        <v>#REF!</v>
      </c>
      <c r="J1140" s="1644" t="e">
        <f t="shared" si="103"/>
        <v>#REF!</v>
      </c>
      <c r="M1140" s="1545"/>
      <c r="N1140" s="1545"/>
    </row>
    <row r="1141" spans="1:93" ht="15.5">
      <c r="A1141" s="1598">
        <v>23.504999999999999</v>
      </c>
      <c r="B1141" s="1599" t="s">
        <v>890</v>
      </c>
      <c r="C1141" s="1643" t="e">
        <f>+SUMIF(#REF!,Final!A1141,#REF!)</f>
        <v>#REF!</v>
      </c>
      <c r="D1141" s="1597" t="e">
        <f>+SUMIF(#REF!,Final!A1141,#REF!)</f>
        <v>#REF!</v>
      </c>
      <c r="E1141" s="1643" t="e">
        <f>SUMIF(#REF!,Final!A1141,#REF!)</f>
        <v>#REF!</v>
      </c>
      <c r="F1141" s="1644" t="e">
        <f>SUMIF(#REF!,Final!A1141,#REF!)</f>
        <v>#REF!</v>
      </c>
      <c r="G1141" s="1597" t="e">
        <f t="shared" si="100"/>
        <v>#REF!</v>
      </c>
      <c r="H1141" s="1644" t="e">
        <f t="shared" si="101"/>
        <v>#REF!</v>
      </c>
      <c r="I1141" s="1597" t="e">
        <f t="shared" si="102"/>
        <v>#REF!</v>
      </c>
      <c r="J1141" s="1644" t="e">
        <f t="shared" si="103"/>
        <v>#REF!</v>
      </c>
      <c r="M1141" s="1545"/>
      <c r="N1141" s="1545"/>
    </row>
    <row r="1142" spans="1:93" ht="15.5">
      <c r="A1142" s="1598">
        <v>23.506</v>
      </c>
      <c r="B1142" s="1599" t="s">
        <v>892</v>
      </c>
      <c r="C1142" s="1643" t="e">
        <f>+SUMIF(#REF!,Final!A1142,#REF!)</f>
        <v>#REF!</v>
      </c>
      <c r="D1142" s="1597" t="e">
        <f>+SUMIF(#REF!,Final!A1142,#REF!)</f>
        <v>#REF!</v>
      </c>
      <c r="E1142" s="1643" t="e">
        <f>SUMIF(#REF!,Final!A1142,#REF!)</f>
        <v>#REF!</v>
      </c>
      <c r="F1142" s="1644" t="e">
        <f>SUMIF(#REF!,Final!A1142,#REF!)</f>
        <v>#REF!</v>
      </c>
      <c r="G1142" s="1597" t="e">
        <f t="shared" si="100"/>
        <v>#REF!</v>
      </c>
      <c r="H1142" s="1644" t="e">
        <f t="shared" si="101"/>
        <v>#REF!</v>
      </c>
      <c r="I1142" s="1597" t="e">
        <f t="shared" si="102"/>
        <v>#REF!</v>
      </c>
      <c r="J1142" s="1644" t="e">
        <f t="shared" si="103"/>
        <v>#REF!</v>
      </c>
      <c r="M1142" s="1545"/>
      <c r="N1142" s="1545"/>
    </row>
    <row r="1143" spans="1:93" ht="15.5">
      <c r="A1143" s="1598">
        <v>23.507000000000001</v>
      </c>
      <c r="B1143" s="1599" t="s">
        <v>893</v>
      </c>
      <c r="C1143" s="1643" t="e">
        <f>+SUMIF(#REF!,Final!A1143,#REF!)</f>
        <v>#REF!</v>
      </c>
      <c r="D1143" s="1597" t="e">
        <f>+SUMIF(#REF!,Final!A1143,#REF!)</f>
        <v>#REF!</v>
      </c>
      <c r="E1143" s="1643" t="e">
        <f>SUMIF(#REF!,Final!A1143,#REF!)</f>
        <v>#REF!</v>
      </c>
      <c r="F1143" s="1644" t="e">
        <f>SUMIF(#REF!,Final!A1143,#REF!)</f>
        <v>#REF!</v>
      </c>
      <c r="G1143" s="1597" t="e">
        <f t="shared" si="100"/>
        <v>#REF!</v>
      </c>
      <c r="H1143" s="1644" t="e">
        <f t="shared" si="101"/>
        <v>#REF!</v>
      </c>
      <c r="I1143" s="1597" t="e">
        <f t="shared" si="102"/>
        <v>#REF!</v>
      </c>
      <c r="J1143" s="1644" t="e">
        <f t="shared" si="103"/>
        <v>#REF!</v>
      </c>
      <c r="M1143" s="1545"/>
      <c r="N1143" s="1545"/>
    </row>
    <row r="1144" spans="1:93" ht="15.5">
      <c r="A1144" s="1598">
        <v>23.507999999999999</v>
      </c>
      <c r="B1144" s="1599" t="s">
        <v>539</v>
      </c>
      <c r="C1144" s="1643" t="e">
        <f>+SUMIF(#REF!,Final!A1144,#REF!)</f>
        <v>#REF!</v>
      </c>
      <c r="D1144" s="1597" t="e">
        <f>+SUMIF(#REF!,Final!A1144,#REF!)</f>
        <v>#REF!</v>
      </c>
      <c r="E1144" s="1643" t="e">
        <f>SUMIF(#REF!,Final!A1144,#REF!)</f>
        <v>#REF!</v>
      </c>
      <c r="F1144" s="1644" t="e">
        <f>SUMIF(#REF!,Final!A1144,#REF!)</f>
        <v>#REF!</v>
      </c>
      <c r="G1144" s="1597" t="e">
        <f t="shared" si="100"/>
        <v>#REF!</v>
      </c>
      <c r="H1144" s="1644" t="e">
        <f t="shared" si="101"/>
        <v>#REF!</v>
      </c>
      <c r="I1144" s="1597" t="e">
        <f t="shared" si="102"/>
        <v>#REF!</v>
      </c>
      <c r="J1144" s="1644" t="e">
        <f t="shared" si="103"/>
        <v>#REF!</v>
      </c>
      <c r="M1144" s="1545"/>
      <c r="N1144" s="1545"/>
    </row>
    <row r="1145" spans="1:93" ht="15.5">
      <c r="A1145" s="1598">
        <v>23.509</v>
      </c>
      <c r="B1145" s="1599" t="s">
        <v>540</v>
      </c>
      <c r="C1145" s="1643" t="e">
        <f>+SUMIF(#REF!,Final!A1145,#REF!)</f>
        <v>#REF!</v>
      </c>
      <c r="D1145" s="1597" t="e">
        <f>+SUMIF(#REF!,Final!A1145,#REF!)</f>
        <v>#REF!</v>
      </c>
      <c r="E1145" s="1643" t="e">
        <f>SUMIF(#REF!,Final!A1145,#REF!)</f>
        <v>#REF!</v>
      </c>
      <c r="F1145" s="1644" t="e">
        <f>SUMIF(#REF!,Final!A1145,#REF!)</f>
        <v>#REF!</v>
      </c>
      <c r="G1145" s="1597" t="e">
        <f t="shared" si="100"/>
        <v>#REF!</v>
      </c>
      <c r="H1145" s="1644" t="e">
        <f t="shared" si="101"/>
        <v>#REF!</v>
      </c>
      <c r="I1145" s="1597" t="e">
        <f t="shared" si="102"/>
        <v>#REF!</v>
      </c>
      <c r="J1145" s="1644" t="e">
        <f t="shared" si="103"/>
        <v>#REF!</v>
      </c>
      <c r="M1145" s="1545"/>
      <c r="N1145" s="1545"/>
    </row>
    <row r="1146" spans="1:93" ht="15.5">
      <c r="A1146" s="1598">
        <v>23.51</v>
      </c>
      <c r="B1146" s="1599" t="s">
        <v>1901</v>
      </c>
      <c r="C1146" s="1643" t="e">
        <f>+SUMIF(#REF!,Final!A1146,#REF!)</f>
        <v>#REF!</v>
      </c>
      <c r="D1146" s="1597" t="e">
        <f>+SUMIF(#REF!,Final!A1146,#REF!)</f>
        <v>#REF!</v>
      </c>
      <c r="E1146" s="1643" t="e">
        <f>SUMIF(#REF!,Final!A1146,#REF!)</f>
        <v>#REF!</v>
      </c>
      <c r="F1146" s="1644" t="e">
        <f>SUMIF(#REF!,Final!A1146,#REF!)</f>
        <v>#REF!</v>
      </c>
      <c r="G1146" s="1597" t="e">
        <f t="shared" si="100"/>
        <v>#REF!</v>
      </c>
      <c r="H1146" s="1644" t="e">
        <f t="shared" si="101"/>
        <v>#REF!</v>
      </c>
      <c r="I1146" s="1597" t="e">
        <f t="shared" si="102"/>
        <v>#REF!</v>
      </c>
      <c r="J1146" s="1644" t="e">
        <f t="shared" si="103"/>
        <v>#REF!</v>
      </c>
      <c r="M1146" s="1545"/>
      <c r="N1146" s="1545"/>
    </row>
    <row r="1147" spans="1:93" ht="15.5">
      <c r="A1147" s="1598">
        <v>23.510999999999999</v>
      </c>
      <c r="B1147" s="1599" t="s">
        <v>1902</v>
      </c>
      <c r="C1147" s="1643" t="e">
        <f>+SUMIF(#REF!,Final!A1147,#REF!)</f>
        <v>#REF!</v>
      </c>
      <c r="D1147" s="1597" t="e">
        <f>+SUMIF(#REF!,Final!A1147,#REF!)</f>
        <v>#REF!</v>
      </c>
      <c r="E1147" s="1643" t="e">
        <f>SUMIF(#REF!,Final!A1147,#REF!)</f>
        <v>#REF!</v>
      </c>
      <c r="F1147" s="1644" t="e">
        <f>SUMIF(#REF!,Final!A1147,#REF!)</f>
        <v>#REF!</v>
      </c>
      <c r="G1147" s="1597" t="e">
        <f t="shared" si="100"/>
        <v>#REF!</v>
      </c>
      <c r="H1147" s="1644" t="e">
        <f t="shared" si="101"/>
        <v>#REF!</v>
      </c>
      <c r="I1147" s="1597" t="e">
        <f t="shared" si="102"/>
        <v>#REF!</v>
      </c>
      <c r="J1147" s="1644" t="e">
        <f t="shared" si="103"/>
        <v>#REF!</v>
      </c>
      <c r="M1147" s="1545"/>
      <c r="N1147" s="1545"/>
    </row>
    <row r="1148" spans="1:93" ht="15.5">
      <c r="A1148" s="1598">
        <v>23.512</v>
      </c>
      <c r="B1148" s="1599" t="s">
        <v>2740</v>
      </c>
      <c r="C1148" s="1643" t="e">
        <f>+SUMIF(#REF!,Final!A1148,#REF!)</f>
        <v>#REF!</v>
      </c>
      <c r="D1148" s="1597" t="e">
        <f>+SUMIF(#REF!,Final!A1148,#REF!)</f>
        <v>#REF!</v>
      </c>
      <c r="E1148" s="1643" t="e">
        <f>SUMIF(#REF!,Final!A1148,#REF!)</f>
        <v>#REF!</v>
      </c>
      <c r="F1148" s="1644" t="e">
        <f>SUMIF(#REF!,Final!A1148,#REF!)</f>
        <v>#REF!</v>
      </c>
      <c r="G1148" s="1597" t="e">
        <f t="shared" si="100"/>
        <v>#REF!</v>
      </c>
      <c r="H1148" s="1644" t="e">
        <f t="shared" si="101"/>
        <v>#REF!</v>
      </c>
      <c r="I1148" s="1597" t="e">
        <f t="shared" si="102"/>
        <v>#REF!</v>
      </c>
      <c r="J1148" s="1644" t="e">
        <f t="shared" si="103"/>
        <v>#REF!</v>
      </c>
      <c r="M1148" s="1545"/>
      <c r="N1148" s="1545"/>
    </row>
    <row r="1149" spans="1:93" ht="15.5">
      <c r="A1149" s="1598">
        <v>23.513000000000002</v>
      </c>
      <c r="B1149" s="1599" t="s">
        <v>2741</v>
      </c>
      <c r="C1149" s="1643" t="e">
        <f>+SUMIF(#REF!,Final!A1149,#REF!)</f>
        <v>#REF!</v>
      </c>
      <c r="D1149" s="1597" t="e">
        <f>+SUMIF(#REF!,Final!A1149,#REF!)</f>
        <v>#REF!</v>
      </c>
      <c r="E1149" s="1643" t="e">
        <f>SUMIF(#REF!,Final!A1149,#REF!)</f>
        <v>#REF!</v>
      </c>
      <c r="F1149" s="1644" t="e">
        <f>SUMIF(#REF!,Final!A1149,#REF!)</f>
        <v>#REF!</v>
      </c>
      <c r="G1149" s="1597" t="e">
        <f t="shared" si="100"/>
        <v>#REF!</v>
      </c>
      <c r="H1149" s="1644" t="e">
        <f t="shared" si="101"/>
        <v>#REF!</v>
      </c>
      <c r="I1149" s="1597" t="e">
        <f t="shared" si="102"/>
        <v>#REF!</v>
      </c>
      <c r="J1149" s="1644" t="e">
        <f t="shared" si="103"/>
        <v>#REF!</v>
      </c>
      <c r="M1149" s="1545"/>
      <c r="N1149" s="1545"/>
    </row>
    <row r="1150" spans="1:93" ht="15.5">
      <c r="A1150" s="1598">
        <v>23.513999999999999</v>
      </c>
      <c r="B1150" s="1599" t="s">
        <v>2742</v>
      </c>
      <c r="C1150" s="1643" t="e">
        <f>+SUMIF(#REF!,Final!A1150,#REF!)</f>
        <v>#REF!</v>
      </c>
      <c r="D1150" s="1597" t="e">
        <f>+SUMIF(#REF!,Final!A1150,#REF!)</f>
        <v>#REF!</v>
      </c>
      <c r="E1150" s="1643" t="e">
        <f>SUMIF(#REF!,Final!A1150,#REF!)</f>
        <v>#REF!</v>
      </c>
      <c r="F1150" s="1644" t="e">
        <f>SUMIF(#REF!,Final!A1150,#REF!)</f>
        <v>#REF!</v>
      </c>
      <c r="G1150" s="1597" t="e">
        <f t="shared" si="100"/>
        <v>#REF!</v>
      </c>
      <c r="H1150" s="1644" t="e">
        <f t="shared" si="101"/>
        <v>#REF!</v>
      </c>
      <c r="I1150" s="1597" t="e">
        <f t="shared" si="102"/>
        <v>#REF!</v>
      </c>
      <c r="J1150" s="1644" t="e">
        <f t="shared" si="103"/>
        <v>#REF!</v>
      </c>
      <c r="M1150" s="1545"/>
      <c r="N1150" s="1545"/>
    </row>
    <row r="1151" spans="1:93" ht="15.5">
      <c r="A1151" s="1598">
        <v>23.515000000000001</v>
      </c>
      <c r="B1151" s="1599" t="s">
        <v>669</v>
      </c>
      <c r="C1151" s="1643" t="e">
        <f>+SUMIF(#REF!,Final!A1151,#REF!)</f>
        <v>#REF!</v>
      </c>
      <c r="D1151" s="1597" t="e">
        <f>+SUMIF(#REF!,Final!A1151,#REF!)</f>
        <v>#REF!</v>
      </c>
      <c r="E1151" s="1643" t="e">
        <f>SUMIF(#REF!,Final!A1151,#REF!)</f>
        <v>#REF!</v>
      </c>
      <c r="F1151" s="1644" t="e">
        <f>SUMIF(#REF!,Final!A1151,#REF!)</f>
        <v>#REF!</v>
      </c>
      <c r="G1151" s="1597" t="e">
        <f t="shared" si="100"/>
        <v>#REF!</v>
      </c>
      <c r="H1151" s="1644" t="e">
        <f t="shared" si="101"/>
        <v>#REF!</v>
      </c>
      <c r="I1151" s="1597" t="e">
        <f t="shared" si="102"/>
        <v>#REF!</v>
      </c>
      <c r="J1151" s="1644" t="e">
        <f t="shared" si="103"/>
        <v>#REF!</v>
      </c>
      <c r="M1151" s="1545"/>
      <c r="N1151" s="1545"/>
    </row>
    <row r="1152" spans="1:93" s="1543" customFormat="1" ht="15.5">
      <c r="A1152" s="1598">
        <v>23.515999999999998</v>
      </c>
      <c r="B1152" s="1599" t="s">
        <v>423</v>
      </c>
      <c r="C1152" s="1643" t="e">
        <f>+SUMIF(#REF!,Final!A1152,#REF!)</f>
        <v>#REF!</v>
      </c>
      <c r="D1152" s="1597" t="e">
        <f>+SUMIF(#REF!,Final!A1152,#REF!)</f>
        <v>#REF!</v>
      </c>
      <c r="E1152" s="1643" t="e">
        <f>SUMIF(#REF!,Final!A1152,#REF!)</f>
        <v>#REF!</v>
      </c>
      <c r="F1152" s="1644" t="e">
        <f>SUMIF(#REF!,Final!A1152,#REF!)</f>
        <v>#REF!</v>
      </c>
      <c r="G1152" s="1597" t="e">
        <f t="shared" si="100"/>
        <v>#REF!</v>
      </c>
      <c r="H1152" s="1644" t="e">
        <f t="shared" si="101"/>
        <v>#REF!</v>
      </c>
      <c r="I1152" s="1597" t="e">
        <f t="shared" si="102"/>
        <v>#REF!</v>
      </c>
      <c r="J1152" s="1644" t="e">
        <f t="shared" si="103"/>
        <v>#REF!</v>
      </c>
      <c r="K1152" s="1539"/>
      <c r="L1152" s="1539"/>
      <c r="M1152" s="1545"/>
      <c r="N1152" s="1545"/>
      <c r="O1152" s="1539"/>
      <c r="P1152" s="1539"/>
      <c r="Q1152" s="1539"/>
      <c r="R1152" s="1539"/>
      <c r="S1152" s="1539"/>
      <c r="T1152" s="1539"/>
      <c r="U1152" s="1539"/>
      <c r="V1152" s="1539"/>
      <c r="W1152" s="1539"/>
      <c r="X1152" s="1539"/>
      <c r="Y1152" s="1539"/>
      <c r="Z1152" s="1539"/>
      <c r="AA1152" s="1539"/>
      <c r="AB1152" s="1539"/>
      <c r="AC1152" s="1539"/>
      <c r="AD1152" s="1539"/>
      <c r="AE1152" s="1539"/>
      <c r="AF1152" s="1539"/>
      <c r="AG1152" s="1539"/>
      <c r="AH1152" s="1539"/>
      <c r="AI1152" s="1539"/>
      <c r="AJ1152" s="1539"/>
      <c r="AK1152" s="1539"/>
      <c r="AL1152" s="1539"/>
      <c r="AM1152" s="1539"/>
      <c r="AN1152" s="1539"/>
      <c r="AO1152" s="1539"/>
      <c r="AP1152" s="1539"/>
      <c r="AQ1152" s="1539"/>
      <c r="AR1152" s="1539"/>
      <c r="AS1152" s="1539"/>
      <c r="AT1152" s="1539"/>
      <c r="AU1152" s="1539"/>
      <c r="AV1152" s="1539"/>
      <c r="AW1152" s="1539"/>
      <c r="AX1152" s="1539"/>
      <c r="AY1152" s="1539"/>
      <c r="AZ1152" s="1539"/>
      <c r="BA1152" s="1539"/>
      <c r="BB1152" s="1539"/>
      <c r="BC1152" s="1539"/>
      <c r="BD1152" s="1539"/>
      <c r="BE1152" s="1539"/>
      <c r="BF1152" s="1539"/>
      <c r="BG1152" s="1539"/>
      <c r="BH1152" s="1539"/>
      <c r="BI1152" s="1539"/>
      <c r="BJ1152" s="1539"/>
      <c r="BK1152" s="1539"/>
      <c r="BL1152" s="1539"/>
      <c r="BM1152" s="1539"/>
      <c r="BN1152" s="1539"/>
      <c r="BO1152" s="1539"/>
      <c r="BP1152" s="1539"/>
      <c r="BQ1152" s="1539"/>
      <c r="BR1152" s="1539"/>
      <c r="BS1152" s="1539"/>
      <c r="BT1152" s="1539"/>
      <c r="BU1152" s="1539"/>
      <c r="BV1152" s="1539"/>
      <c r="BW1152" s="1539"/>
      <c r="BX1152" s="1539"/>
      <c r="BY1152" s="1539"/>
      <c r="BZ1152" s="1539"/>
      <c r="CA1152" s="1539"/>
      <c r="CB1152" s="1539"/>
      <c r="CC1152" s="1539"/>
      <c r="CD1152" s="1539"/>
      <c r="CE1152" s="1539"/>
      <c r="CF1152" s="1539"/>
      <c r="CG1152" s="1539"/>
      <c r="CH1152" s="1539"/>
      <c r="CI1152" s="1539"/>
      <c r="CJ1152" s="1539"/>
      <c r="CK1152" s="1539"/>
      <c r="CL1152" s="1539"/>
      <c r="CM1152" s="1539"/>
      <c r="CN1152" s="1539"/>
      <c r="CO1152" s="1539"/>
    </row>
    <row r="1153" spans="1:93" s="1543" customFormat="1" ht="15.5">
      <c r="A1153" s="1598">
        <v>23.516999999999999</v>
      </c>
      <c r="B1153" s="1599" t="s">
        <v>1905</v>
      </c>
      <c r="C1153" s="1643" t="e">
        <f>+SUMIF(#REF!,Final!A1153,#REF!)</f>
        <v>#REF!</v>
      </c>
      <c r="D1153" s="1597" t="e">
        <f>+SUMIF(#REF!,Final!A1153,#REF!)</f>
        <v>#REF!</v>
      </c>
      <c r="E1153" s="1643" t="e">
        <f>SUMIF(#REF!,Final!A1153,#REF!)</f>
        <v>#REF!</v>
      </c>
      <c r="F1153" s="1644" t="e">
        <f>SUMIF(#REF!,Final!A1153,#REF!)</f>
        <v>#REF!</v>
      </c>
      <c r="G1153" s="1597" t="e">
        <f t="shared" si="100"/>
        <v>#REF!</v>
      </c>
      <c r="H1153" s="1644" t="e">
        <f t="shared" si="101"/>
        <v>#REF!</v>
      </c>
      <c r="I1153" s="1597" t="e">
        <f t="shared" si="102"/>
        <v>#REF!</v>
      </c>
      <c r="J1153" s="1644" t="e">
        <f t="shared" si="103"/>
        <v>#REF!</v>
      </c>
      <c r="K1153" s="1539"/>
      <c r="L1153" s="1539"/>
      <c r="M1153" s="1545"/>
      <c r="N1153" s="1545"/>
      <c r="O1153" s="1539"/>
      <c r="P1153" s="1539"/>
      <c r="Q1153" s="1539"/>
      <c r="R1153" s="1539"/>
      <c r="S1153" s="1539"/>
      <c r="T1153" s="1539"/>
      <c r="U1153" s="1539"/>
      <c r="V1153" s="1539"/>
      <c r="W1153" s="1539"/>
      <c r="X1153" s="1539"/>
      <c r="Y1153" s="1539"/>
      <c r="Z1153" s="1539"/>
      <c r="AA1153" s="1539"/>
      <c r="AB1153" s="1539"/>
      <c r="AC1153" s="1539"/>
      <c r="AD1153" s="1539"/>
      <c r="AE1153" s="1539"/>
      <c r="AF1153" s="1539"/>
      <c r="AG1153" s="1539"/>
      <c r="AH1153" s="1539"/>
      <c r="AI1153" s="1539"/>
      <c r="AJ1153" s="1539"/>
      <c r="AK1153" s="1539"/>
      <c r="AL1153" s="1539"/>
      <c r="AM1153" s="1539"/>
      <c r="AN1153" s="1539"/>
      <c r="AO1153" s="1539"/>
      <c r="AP1153" s="1539"/>
      <c r="AQ1153" s="1539"/>
      <c r="AR1153" s="1539"/>
      <c r="AS1153" s="1539"/>
      <c r="AT1153" s="1539"/>
      <c r="AU1153" s="1539"/>
      <c r="AV1153" s="1539"/>
      <c r="AW1153" s="1539"/>
      <c r="AX1153" s="1539"/>
      <c r="AY1153" s="1539"/>
      <c r="AZ1153" s="1539"/>
      <c r="BA1153" s="1539"/>
      <c r="BB1153" s="1539"/>
      <c r="BC1153" s="1539"/>
      <c r="BD1153" s="1539"/>
      <c r="BE1153" s="1539"/>
      <c r="BF1153" s="1539"/>
      <c r="BG1153" s="1539"/>
      <c r="BH1153" s="1539"/>
      <c r="BI1153" s="1539"/>
      <c r="BJ1153" s="1539"/>
      <c r="BK1153" s="1539"/>
      <c r="BL1153" s="1539"/>
      <c r="BM1153" s="1539"/>
      <c r="BN1153" s="1539"/>
      <c r="BO1153" s="1539"/>
      <c r="BP1153" s="1539"/>
      <c r="BQ1153" s="1539"/>
      <c r="BR1153" s="1539"/>
      <c r="BS1153" s="1539"/>
      <c r="BT1153" s="1539"/>
      <c r="BU1153" s="1539"/>
      <c r="BV1153" s="1539"/>
      <c r="BW1153" s="1539"/>
      <c r="BX1153" s="1539"/>
      <c r="BY1153" s="1539"/>
      <c r="BZ1153" s="1539"/>
      <c r="CA1153" s="1539"/>
      <c r="CB1153" s="1539"/>
      <c r="CC1153" s="1539"/>
      <c r="CD1153" s="1539"/>
      <c r="CE1153" s="1539"/>
      <c r="CF1153" s="1539"/>
      <c r="CG1153" s="1539"/>
      <c r="CH1153" s="1539"/>
      <c r="CI1153" s="1539"/>
      <c r="CJ1153" s="1539"/>
      <c r="CK1153" s="1539"/>
      <c r="CL1153" s="1539"/>
      <c r="CM1153" s="1539"/>
      <c r="CN1153" s="1539"/>
      <c r="CO1153" s="1539"/>
    </row>
    <row r="1154" spans="1:93" s="1552" customFormat="1" ht="15.5">
      <c r="A1154" s="1598"/>
      <c r="B1154" s="1599" t="s">
        <v>1747</v>
      </c>
      <c r="C1154" s="1643" t="e">
        <f>+SUMIF(#REF!,Final!A1154,#REF!)</f>
        <v>#REF!</v>
      </c>
      <c r="D1154" s="1597" t="e">
        <f>+SUMIF(#REF!,Final!A1154,#REF!)</f>
        <v>#REF!</v>
      </c>
      <c r="E1154" s="1643" t="e">
        <f>SUMIF(#REF!,Final!A1154,#REF!)</f>
        <v>#REF!</v>
      </c>
      <c r="F1154" s="1644" t="e">
        <f>SUMIF(#REF!,Final!A1154,#REF!)</f>
        <v>#REF!</v>
      </c>
      <c r="G1154" s="1597" t="e">
        <f t="shared" si="100"/>
        <v>#REF!</v>
      </c>
      <c r="H1154" s="1644" t="e">
        <f t="shared" si="101"/>
        <v>#REF!</v>
      </c>
      <c r="I1154" s="1597" t="e">
        <f t="shared" si="102"/>
        <v>#REF!</v>
      </c>
      <c r="J1154" s="1644" t="e">
        <f t="shared" si="103"/>
        <v>#REF!</v>
      </c>
      <c r="K1154" s="1539"/>
      <c r="L1154" s="1539"/>
      <c r="M1154" s="1545"/>
      <c r="N1154" s="1545"/>
      <c r="O1154" s="1539"/>
      <c r="P1154" s="1539"/>
      <c r="Q1154" s="1539"/>
      <c r="R1154" s="1539"/>
      <c r="S1154" s="1539"/>
      <c r="T1154" s="1539"/>
      <c r="U1154" s="1539"/>
      <c r="V1154" s="1539"/>
      <c r="W1154" s="1539"/>
      <c r="X1154" s="1539"/>
      <c r="Y1154" s="1539"/>
      <c r="Z1154" s="1539"/>
      <c r="AA1154" s="1539"/>
      <c r="AB1154" s="1539"/>
      <c r="AC1154" s="1539"/>
      <c r="AD1154" s="1539"/>
      <c r="AE1154" s="1539"/>
      <c r="AF1154" s="1539"/>
      <c r="AG1154" s="1539"/>
      <c r="AH1154" s="1539"/>
      <c r="AI1154" s="1539"/>
      <c r="AJ1154" s="1539"/>
      <c r="AK1154" s="1539"/>
      <c r="AL1154" s="1539"/>
      <c r="AM1154" s="1539"/>
      <c r="AN1154" s="1539"/>
      <c r="AO1154" s="1539"/>
      <c r="AP1154" s="1539"/>
      <c r="AQ1154" s="1539"/>
      <c r="AR1154" s="1539"/>
      <c r="AS1154" s="1539"/>
      <c r="AT1154" s="1539"/>
      <c r="AU1154" s="1539"/>
      <c r="AV1154" s="1539"/>
      <c r="AW1154" s="1539"/>
      <c r="AX1154" s="1539"/>
      <c r="AY1154" s="1539"/>
      <c r="AZ1154" s="1539"/>
      <c r="BA1154" s="1539"/>
      <c r="BB1154" s="1539"/>
      <c r="BC1154" s="1539"/>
      <c r="BD1154" s="1539"/>
      <c r="BE1154" s="1539"/>
      <c r="BF1154" s="1539"/>
      <c r="BG1154" s="1539"/>
      <c r="BH1154" s="1539"/>
      <c r="BI1154" s="1539"/>
      <c r="BJ1154" s="1539"/>
      <c r="BK1154" s="1539"/>
      <c r="BL1154" s="1539"/>
      <c r="BM1154" s="1539"/>
      <c r="BN1154" s="1539"/>
      <c r="BO1154" s="1539"/>
      <c r="BP1154" s="1539"/>
      <c r="BQ1154" s="1539"/>
      <c r="BR1154" s="1539"/>
      <c r="BS1154" s="1539"/>
      <c r="BT1154" s="1539"/>
      <c r="BU1154" s="1539"/>
      <c r="BV1154" s="1539"/>
      <c r="BW1154" s="1539"/>
      <c r="BX1154" s="1539"/>
      <c r="BY1154" s="1539"/>
      <c r="BZ1154" s="1539"/>
      <c r="CA1154" s="1539"/>
      <c r="CB1154" s="1539"/>
      <c r="CC1154" s="1539"/>
      <c r="CD1154" s="1539"/>
      <c r="CE1154" s="1539"/>
      <c r="CF1154" s="1539"/>
      <c r="CG1154" s="1539"/>
      <c r="CH1154" s="1539"/>
      <c r="CI1154" s="1539"/>
      <c r="CJ1154" s="1539"/>
      <c r="CK1154" s="1539"/>
      <c r="CL1154" s="1539"/>
      <c r="CM1154" s="1539"/>
      <c r="CN1154" s="1539"/>
      <c r="CO1154" s="1539"/>
    </row>
    <row r="1155" spans="1:93" s="1552" customFormat="1" ht="15.5">
      <c r="A1155" s="1598"/>
      <c r="B1155" s="1599" t="s">
        <v>1760</v>
      </c>
      <c r="C1155" s="1643" t="e">
        <f>+SUMIF(#REF!,Final!A1155,#REF!)</f>
        <v>#REF!</v>
      </c>
      <c r="D1155" s="1597" t="e">
        <f>+SUMIF(#REF!,Final!A1155,#REF!)</f>
        <v>#REF!</v>
      </c>
      <c r="E1155" s="1643" t="e">
        <f>SUMIF(#REF!,Final!A1155,#REF!)</f>
        <v>#REF!</v>
      </c>
      <c r="F1155" s="1644" t="e">
        <f>SUMIF(#REF!,Final!A1155,#REF!)</f>
        <v>#REF!</v>
      </c>
      <c r="G1155" s="1597" t="e">
        <f t="shared" si="100"/>
        <v>#REF!</v>
      </c>
      <c r="H1155" s="1644" t="e">
        <f t="shared" si="101"/>
        <v>#REF!</v>
      </c>
      <c r="I1155" s="1597" t="e">
        <f t="shared" si="102"/>
        <v>#REF!</v>
      </c>
      <c r="J1155" s="1644" t="e">
        <f t="shared" si="103"/>
        <v>#REF!</v>
      </c>
      <c r="K1155" s="1539"/>
      <c r="L1155" s="1539"/>
      <c r="M1155" s="1545"/>
      <c r="N1155" s="1545"/>
      <c r="O1155" s="1539"/>
      <c r="P1155" s="1539"/>
      <c r="Q1155" s="1539"/>
      <c r="R1155" s="1539"/>
      <c r="S1155" s="1539"/>
      <c r="T1155" s="1539"/>
      <c r="U1155" s="1539"/>
      <c r="V1155" s="1539"/>
      <c r="W1155" s="1539"/>
      <c r="X1155" s="1539"/>
      <c r="Y1155" s="1539"/>
      <c r="Z1155" s="1539"/>
      <c r="AA1155" s="1539"/>
      <c r="AB1155" s="1539"/>
      <c r="AC1155" s="1539"/>
      <c r="AD1155" s="1539"/>
      <c r="AE1155" s="1539"/>
      <c r="AF1155" s="1539"/>
      <c r="AG1155" s="1539"/>
      <c r="AH1155" s="1539"/>
      <c r="AI1155" s="1539"/>
      <c r="AJ1155" s="1539"/>
      <c r="AK1155" s="1539"/>
      <c r="AL1155" s="1539"/>
      <c r="AM1155" s="1539"/>
      <c r="AN1155" s="1539"/>
      <c r="AO1155" s="1539"/>
      <c r="AP1155" s="1539"/>
      <c r="AQ1155" s="1539"/>
      <c r="AR1155" s="1539"/>
      <c r="AS1155" s="1539"/>
      <c r="AT1155" s="1539"/>
      <c r="AU1155" s="1539"/>
      <c r="AV1155" s="1539"/>
      <c r="AW1155" s="1539"/>
      <c r="AX1155" s="1539"/>
      <c r="AY1155" s="1539"/>
      <c r="AZ1155" s="1539"/>
      <c r="BA1155" s="1539"/>
      <c r="BB1155" s="1539"/>
      <c r="BC1155" s="1539"/>
      <c r="BD1155" s="1539"/>
      <c r="BE1155" s="1539"/>
      <c r="BF1155" s="1539"/>
      <c r="BG1155" s="1539"/>
      <c r="BH1155" s="1539"/>
      <c r="BI1155" s="1539"/>
      <c r="BJ1155" s="1539"/>
      <c r="BK1155" s="1539"/>
      <c r="BL1155" s="1539"/>
      <c r="BM1155" s="1539"/>
      <c r="BN1155" s="1539"/>
      <c r="BO1155" s="1539"/>
      <c r="BP1155" s="1539"/>
      <c r="BQ1155" s="1539"/>
      <c r="BR1155" s="1539"/>
      <c r="BS1155" s="1539"/>
      <c r="BT1155" s="1539"/>
      <c r="BU1155" s="1539"/>
      <c r="BV1155" s="1539"/>
      <c r="BW1155" s="1539"/>
      <c r="BX1155" s="1539"/>
      <c r="BY1155" s="1539"/>
      <c r="BZ1155" s="1539"/>
      <c r="CA1155" s="1539"/>
      <c r="CB1155" s="1539"/>
      <c r="CC1155" s="1539"/>
      <c r="CD1155" s="1539"/>
      <c r="CE1155" s="1539"/>
      <c r="CF1155" s="1539"/>
      <c r="CG1155" s="1539"/>
      <c r="CH1155" s="1539"/>
      <c r="CI1155" s="1539"/>
      <c r="CJ1155" s="1539"/>
      <c r="CK1155" s="1539"/>
      <c r="CL1155" s="1539"/>
      <c r="CM1155" s="1539"/>
      <c r="CN1155" s="1539"/>
      <c r="CO1155" s="1539"/>
    </row>
    <row r="1156" spans="1:93" s="1542" customFormat="1" ht="15.5">
      <c r="A1156" s="1598" t="s">
        <v>544</v>
      </c>
      <c r="B1156" s="1599" t="s">
        <v>2743</v>
      </c>
      <c r="C1156" s="1643" t="e">
        <f>+SUMIF(#REF!,Final!A1156,#REF!)</f>
        <v>#REF!</v>
      </c>
      <c r="D1156" s="1597" t="e">
        <f>+SUMIF(#REF!,Final!A1156,#REF!)</f>
        <v>#REF!</v>
      </c>
      <c r="E1156" s="1643" t="e">
        <f>SUMIF(#REF!,Final!A1156,#REF!)</f>
        <v>#REF!</v>
      </c>
      <c r="F1156" s="1644" t="e">
        <f>SUMIF(#REF!,Final!A1156,#REF!)</f>
        <v>#REF!</v>
      </c>
      <c r="G1156" s="1597" t="e">
        <f t="shared" si="100"/>
        <v>#REF!</v>
      </c>
      <c r="H1156" s="1644" t="e">
        <f t="shared" si="101"/>
        <v>#REF!</v>
      </c>
      <c r="I1156" s="1597" t="e">
        <f t="shared" si="102"/>
        <v>#REF!</v>
      </c>
      <c r="J1156" s="1644" t="e">
        <f t="shared" si="103"/>
        <v>#REF!</v>
      </c>
      <c r="K1156" s="1539"/>
      <c r="L1156" s="1539"/>
      <c r="M1156" s="1545"/>
      <c r="N1156" s="1545"/>
      <c r="O1156" s="1539"/>
      <c r="P1156" s="1539"/>
      <c r="Q1156" s="1539"/>
      <c r="R1156" s="1539"/>
      <c r="S1156" s="1539"/>
      <c r="T1156" s="1539"/>
      <c r="U1156" s="1539"/>
      <c r="V1156" s="1539"/>
      <c r="W1156" s="1539"/>
      <c r="X1156" s="1539"/>
      <c r="Y1156" s="1539"/>
      <c r="Z1156" s="1539"/>
      <c r="AA1156" s="1539"/>
      <c r="AB1156" s="1539"/>
      <c r="AC1156" s="1539"/>
      <c r="AD1156" s="1539"/>
      <c r="AE1156" s="1539"/>
      <c r="AF1156" s="1539"/>
      <c r="AG1156" s="1539"/>
      <c r="AH1156" s="1539"/>
      <c r="AI1156" s="1539"/>
      <c r="AJ1156" s="1539"/>
      <c r="AK1156" s="1539"/>
      <c r="AL1156" s="1539"/>
      <c r="AM1156" s="1539"/>
      <c r="AN1156" s="1539"/>
      <c r="AO1156" s="1539"/>
      <c r="AP1156" s="1539"/>
      <c r="AQ1156" s="1539"/>
      <c r="AR1156" s="1539"/>
      <c r="AS1156" s="1539"/>
      <c r="AT1156" s="1539"/>
      <c r="AU1156" s="1539"/>
      <c r="AV1156" s="1539"/>
      <c r="AW1156" s="1539"/>
      <c r="AX1156" s="1539"/>
      <c r="AY1156" s="1539"/>
      <c r="AZ1156" s="1539"/>
      <c r="BA1156" s="1539"/>
      <c r="BB1156" s="1539"/>
      <c r="BC1156" s="1539"/>
      <c r="BD1156" s="1539"/>
      <c r="BE1156" s="1539"/>
      <c r="BF1156" s="1539"/>
      <c r="BG1156" s="1539"/>
      <c r="BH1156" s="1539"/>
      <c r="BI1156" s="1539"/>
      <c r="BJ1156" s="1539"/>
      <c r="BK1156" s="1539"/>
      <c r="BL1156" s="1539"/>
      <c r="BM1156" s="1539"/>
      <c r="BN1156" s="1539"/>
      <c r="BO1156" s="1539"/>
      <c r="BP1156" s="1539"/>
      <c r="BQ1156" s="1539"/>
      <c r="BR1156" s="1539"/>
      <c r="BS1156" s="1539"/>
      <c r="BT1156" s="1539"/>
      <c r="BU1156" s="1539"/>
      <c r="BV1156" s="1539"/>
      <c r="BW1156" s="1539"/>
      <c r="BX1156" s="1539"/>
      <c r="BY1156" s="1539"/>
      <c r="BZ1156" s="1539"/>
      <c r="CA1156" s="1539"/>
      <c r="CB1156" s="1539"/>
      <c r="CC1156" s="1539"/>
      <c r="CD1156" s="1539"/>
      <c r="CE1156" s="1539"/>
      <c r="CF1156" s="1539"/>
      <c r="CG1156" s="1539"/>
      <c r="CH1156" s="1539"/>
      <c r="CI1156" s="1539"/>
      <c r="CJ1156" s="1539"/>
      <c r="CK1156" s="1539"/>
      <c r="CL1156" s="1539"/>
      <c r="CM1156" s="1539"/>
      <c r="CN1156" s="1539"/>
      <c r="CO1156" s="1539"/>
    </row>
    <row r="1157" spans="1:93" s="1542" customFormat="1" ht="15.5">
      <c r="A1157" s="1598" t="s">
        <v>446</v>
      </c>
      <c r="B1157" s="1599" t="s">
        <v>2764</v>
      </c>
      <c r="C1157" s="1643" t="e">
        <f>+SUMIF(#REF!,Final!A1157,#REF!)</f>
        <v>#REF!</v>
      </c>
      <c r="D1157" s="1597" t="e">
        <f>+SUMIF(#REF!,Final!A1157,#REF!)</f>
        <v>#REF!</v>
      </c>
      <c r="E1157" s="1643" t="e">
        <f>SUMIF(#REF!,Final!A1157,#REF!)</f>
        <v>#REF!</v>
      </c>
      <c r="F1157" s="1644" t="e">
        <f>SUMIF(#REF!,Final!A1157,#REF!)</f>
        <v>#REF!</v>
      </c>
      <c r="G1157" s="1597" t="e">
        <f t="shared" si="100"/>
        <v>#REF!</v>
      </c>
      <c r="H1157" s="1644" t="e">
        <f t="shared" si="101"/>
        <v>#REF!</v>
      </c>
      <c r="I1157" s="1597" t="e">
        <f t="shared" si="102"/>
        <v>#REF!</v>
      </c>
      <c r="J1157" s="1644" t="e">
        <f t="shared" si="103"/>
        <v>#REF!</v>
      </c>
      <c r="K1157" s="1539"/>
      <c r="L1157" s="1539"/>
      <c r="M1157" s="1545"/>
      <c r="N1157" s="1545"/>
      <c r="O1157" s="1539"/>
      <c r="P1157" s="1539"/>
      <c r="Q1157" s="1539"/>
      <c r="R1157" s="1539"/>
      <c r="S1157" s="1539"/>
      <c r="T1157" s="1539"/>
      <c r="U1157" s="1539"/>
      <c r="V1157" s="1539"/>
      <c r="W1157" s="1539"/>
      <c r="X1157" s="1539"/>
      <c r="Y1157" s="1539"/>
      <c r="Z1157" s="1539"/>
      <c r="AA1157" s="1539"/>
      <c r="AB1157" s="1539"/>
      <c r="AC1157" s="1539"/>
      <c r="AD1157" s="1539"/>
      <c r="AE1157" s="1539"/>
      <c r="AF1157" s="1539"/>
      <c r="AG1157" s="1539"/>
      <c r="AH1157" s="1539"/>
      <c r="AI1157" s="1539"/>
      <c r="AJ1157" s="1539"/>
      <c r="AK1157" s="1539"/>
      <c r="AL1157" s="1539"/>
      <c r="AM1157" s="1539"/>
      <c r="AN1157" s="1539"/>
      <c r="AO1157" s="1539"/>
      <c r="AP1157" s="1539"/>
      <c r="AQ1157" s="1539"/>
      <c r="AR1157" s="1539"/>
      <c r="AS1157" s="1539"/>
      <c r="AT1157" s="1539"/>
      <c r="AU1157" s="1539"/>
      <c r="AV1157" s="1539"/>
      <c r="AW1157" s="1539"/>
      <c r="AX1157" s="1539"/>
      <c r="AY1157" s="1539"/>
      <c r="AZ1157" s="1539"/>
      <c r="BA1157" s="1539"/>
      <c r="BB1157" s="1539"/>
      <c r="BC1157" s="1539"/>
      <c r="BD1157" s="1539"/>
      <c r="BE1157" s="1539"/>
      <c r="BF1157" s="1539"/>
      <c r="BG1157" s="1539"/>
      <c r="BH1157" s="1539"/>
      <c r="BI1157" s="1539"/>
      <c r="BJ1157" s="1539"/>
      <c r="BK1157" s="1539"/>
      <c r="BL1157" s="1539"/>
      <c r="BM1157" s="1539"/>
      <c r="BN1157" s="1539"/>
      <c r="BO1157" s="1539"/>
      <c r="BP1157" s="1539"/>
      <c r="BQ1157" s="1539"/>
      <c r="BR1157" s="1539"/>
      <c r="BS1157" s="1539"/>
      <c r="BT1157" s="1539"/>
      <c r="BU1157" s="1539"/>
      <c r="BV1157" s="1539"/>
      <c r="BW1157" s="1539"/>
      <c r="BX1157" s="1539"/>
      <c r="BY1157" s="1539"/>
      <c r="BZ1157" s="1539"/>
      <c r="CA1157" s="1539"/>
      <c r="CB1157" s="1539"/>
      <c r="CC1157" s="1539"/>
      <c r="CD1157" s="1539"/>
      <c r="CE1157" s="1539"/>
      <c r="CF1157" s="1539"/>
      <c r="CG1157" s="1539"/>
      <c r="CH1157" s="1539"/>
      <c r="CI1157" s="1539"/>
      <c r="CJ1157" s="1539"/>
      <c r="CK1157" s="1539"/>
      <c r="CL1157" s="1539"/>
      <c r="CM1157" s="1539"/>
      <c r="CN1157" s="1539"/>
      <c r="CO1157" s="1539"/>
    </row>
    <row r="1158" spans="1:93" ht="15.5">
      <c r="A1158" s="1598">
        <v>23.521000000000001</v>
      </c>
      <c r="B1158" s="1599" t="s">
        <v>666</v>
      </c>
      <c r="C1158" s="1643" t="e">
        <f>+SUMIF(#REF!,Final!A1158,#REF!)</f>
        <v>#REF!</v>
      </c>
      <c r="D1158" s="1597" t="e">
        <f>+SUMIF(#REF!,Final!A1158,#REF!)</f>
        <v>#REF!</v>
      </c>
      <c r="E1158" s="1643" t="e">
        <f>SUMIF(#REF!,Final!A1158,#REF!)</f>
        <v>#REF!</v>
      </c>
      <c r="F1158" s="1644" t="e">
        <f>SUMIF(#REF!,Final!A1158,#REF!)</f>
        <v>#REF!</v>
      </c>
      <c r="G1158" s="1597" t="e">
        <f t="shared" si="100"/>
        <v>#REF!</v>
      </c>
      <c r="H1158" s="1644" t="e">
        <f t="shared" si="101"/>
        <v>#REF!</v>
      </c>
      <c r="I1158" s="1597" t="e">
        <f t="shared" si="102"/>
        <v>#REF!</v>
      </c>
      <c r="J1158" s="1644" t="e">
        <f t="shared" si="103"/>
        <v>#REF!</v>
      </c>
      <c r="M1158" s="1545"/>
      <c r="N1158" s="1545"/>
    </row>
    <row r="1159" spans="1:93" ht="15.5">
      <c r="A1159" s="1598">
        <v>23.521999999999998</v>
      </c>
      <c r="B1159" s="1599" t="s">
        <v>1335</v>
      </c>
      <c r="C1159" s="1643" t="e">
        <f>+SUMIF(#REF!,Final!A1159,#REF!)</f>
        <v>#REF!</v>
      </c>
      <c r="D1159" s="1597" t="e">
        <f>+SUMIF(#REF!,Final!A1159,#REF!)</f>
        <v>#REF!</v>
      </c>
      <c r="E1159" s="1643" t="e">
        <f>SUMIF(#REF!,Final!A1159,#REF!)</f>
        <v>#REF!</v>
      </c>
      <c r="F1159" s="1644" t="e">
        <f>SUMIF(#REF!,Final!A1159,#REF!)</f>
        <v>#REF!</v>
      </c>
      <c r="G1159" s="1597" t="e">
        <f t="shared" si="100"/>
        <v>#REF!</v>
      </c>
      <c r="H1159" s="1644" t="e">
        <f t="shared" si="101"/>
        <v>#REF!</v>
      </c>
      <c r="I1159" s="1597" t="e">
        <f t="shared" si="102"/>
        <v>#REF!</v>
      </c>
      <c r="J1159" s="1644" t="e">
        <f t="shared" si="103"/>
        <v>#REF!</v>
      </c>
      <c r="M1159" s="1545"/>
      <c r="N1159" s="1545"/>
    </row>
    <row r="1160" spans="1:93" ht="15.5">
      <c r="A1160" s="1598">
        <v>23.523</v>
      </c>
      <c r="B1160" s="1599" t="s">
        <v>1899</v>
      </c>
      <c r="C1160" s="1643" t="e">
        <f>+SUMIF(#REF!,Final!A1160,#REF!)</f>
        <v>#REF!</v>
      </c>
      <c r="D1160" s="1597" t="e">
        <f>+SUMIF(#REF!,Final!A1160,#REF!)</f>
        <v>#REF!</v>
      </c>
      <c r="E1160" s="1643" t="e">
        <f>SUMIF(#REF!,Final!A1160,#REF!)</f>
        <v>#REF!</v>
      </c>
      <c r="F1160" s="1644" t="e">
        <f>SUMIF(#REF!,Final!A1160,#REF!)</f>
        <v>#REF!</v>
      </c>
      <c r="G1160" s="1597" t="e">
        <f t="shared" si="100"/>
        <v>#REF!</v>
      </c>
      <c r="H1160" s="1644" t="e">
        <f t="shared" si="101"/>
        <v>#REF!</v>
      </c>
      <c r="I1160" s="1597" t="e">
        <f t="shared" si="102"/>
        <v>#REF!</v>
      </c>
      <c r="J1160" s="1644" t="e">
        <f t="shared" si="103"/>
        <v>#REF!</v>
      </c>
      <c r="M1160" s="1545"/>
      <c r="N1160" s="1545"/>
    </row>
    <row r="1161" spans="1:93" ht="15.5">
      <c r="A1161" s="1598">
        <v>23.524000000000001</v>
      </c>
      <c r="B1161" s="1599" t="s">
        <v>1900</v>
      </c>
      <c r="C1161" s="1643" t="e">
        <f>+SUMIF(#REF!,Final!A1161,#REF!)</f>
        <v>#REF!</v>
      </c>
      <c r="D1161" s="1597" t="e">
        <f>+SUMIF(#REF!,Final!A1161,#REF!)</f>
        <v>#REF!</v>
      </c>
      <c r="E1161" s="1643" t="e">
        <f>SUMIF(#REF!,Final!A1161,#REF!)</f>
        <v>#REF!</v>
      </c>
      <c r="F1161" s="1644" t="e">
        <f>SUMIF(#REF!,Final!A1161,#REF!)</f>
        <v>#REF!</v>
      </c>
      <c r="G1161" s="1597" t="e">
        <f t="shared" si="100"/>
        <v>#REF!</v>
      </c>
      <c r="H1161" s="1644" t="e">
        <f t="shared" si="101"/>
        <v>#REF!</v>
      </c>
      <c r="I1161" s="1597" t="e">
        <f t="shared" si="102"/>
        <v>#REF!</v>
      </c>
      <c r="J1161" s="1644" t="e">
        <f t="shared" si="103"/>
        <v>#REF!</v>
      </c>
      <c r="M1161" s="1545"/>
      <c r="N1161" s="1545"/>
    </row>
    <row r="1162" spans="1:93" ht="15.5">
      <c r="A1162" s="1598">
        <v>23.524999999999999</v>
      </c>
      <c r="B1162" s="1599" t="s">
        <v>890</v>
      </c>
      <c r="C1162" s="1643" t="e">
        <f>+SUMIF(#REF!,Final!A1162,#REF!)</f>
        <v>#REF!</v>
      </c>
      <c r="D1162" s="1597" t="e">
        <f>+SUMIF(#REF!,Final!A1162,#REF!)</f>
        <v>#REF!</v>
      </c>
      <c r="E1162" s="1643" t="e">
        <f>SUMIF(#REF!,Final!A1162,#REF!)</f>
        <v>#REF!</v>
      </c>
      <c r="F1162" s="1644" t="e">
        <f>SUMIF(#REF!,Final!A1162,#REF!)</f>
        <v>#REF!</v>
      </c>
      <c r="G1162" s="1597" t="e">
        <f t="shared" si="100"/>
        <v>#REF!</v>
      </c>
      <c r="H1162" s="1644" t="e">
        <f t="shared" si="101"/>
        <v>#REF!</v>
      </c>
      <c r="I1162" s="1597" t="e">
        <f t="shared" si="102"/>
        <v>#REF!</v>
      </c>
      <c r="J1162" s="1644" t="e">
        <f t="shared" si="103"/>
        <v>#REF!</v>
      </c>
      <c r="M1162" s="1545"/>
      <c r="N1162" s="1545"/>
    </row>
    <row r="1163" spans="1:93" ht="15.5">
      <c r="A1163" s="1598">
        <v>23.526</v>
      </c>
      <c r="B1163" s="1599" t="s">
        <v>892</v>
      </c>
      <c r="C1163" s="1643" t="e">
        <f>+SUMIF(#REF!,Final!A1163,#REF!)</f>
        <v>#REF!</v>
      </c>
      <c r="D1163" s="1597" t="e">
        <f>+SUMIF(#REF!,Final!A1163,#REF!)</f>
        <v>#REF!</v>
      </c>
      <c r="E1163" s="1643" t="e">
        <f>SUMIF(#REF!,Final!A1163,#REF!)</f>
        <v>#REF!</v>
      </c>
      <c r="F1163" s="1644" t="e">
        <f>SUMIF(#REF!,Final!A1163,#REF!)</f>
        <v>#REF!</v>
      </c>
      <c r="G1163" s="1597" t="e">
        <f t="shared" si="100"/>
        <v>#REF!</v>
      </c>
      <c r="H1163" s="1644" t="e">
        <f t="shared" si="101"/>
        <v>#REF!</v>
      </c>
      <c r="I1163" s="1597" t="e">
        <f t="shared" si="102"/>
        <v>#REF!</v>
      </c>
      <c r="J1163" s="1644" t="e">
        <f t="shared" si="103"/>
        <v>#REF!</v>
      </c>
      <c r="M1163" s="1545"/>
      <c r="N1163" s="1545"/>
    </row>
    <row r="1164" spans="1:93" ht="15.5">
      <c r="A1164" s="1598">
        <v>23.527000000000001</v>
      </c>
      <c r="B1164" s="1599" t="s">
        <v>893</v>
      </c>
      <c r="C1164" s="1643" t="e">
        <f>+SUMIF(#REF!,Final!A1164,#REF!)</f>
        <v>#REF!</v>
      </c>
      <c r="D1164" s="1597" t="e">
        <f>+SUMIF(#REF!,Final!A1164,#REF!)</f>
        <v>#REF!</v>
      </c>
      <c r="E1164" s="1643" t="e">
        <f>SUMIF(#REF!,Final!A1164,#REF!)</f>
        <v>#REF!</v>
      </c>
      <c r="F1164" s="1644" t="e">
        <f>SUMIF(#REF!,Final!A1164,#REF!)</f>
        <v>#REF!</v>
      </c>
      <c r="G1164" s="1597" t="e">
        <f t="shared" si="100"/>
        <v>#REF!</v>
      </c>
      <c r="H1164" s="1644" t="e">
        <f t="shared" si="101"/>
        <v>#REF!</v>
      </c>
      <c r="I1164" s="1597" t="e">
        <f t="shared" si="102"/>
        <v>#REF!</v>
      </c>
      <c r="J1164" s="1644" t="e">
        <f t="shared" si="103"/>
        <v>#REF!</v>
      </c>
      <c r="M1164" s="1545"/>
      <c r="N1164" s="1545"/>
    </row>
    <row r="1165" spans="1:93" ht="15.5">
      <c r="A1165" s="1598">
        <v>23.527999999999999</v>
      </c>
      <c r="B1165" s="1599" t="s">
        <v>539</v>
      </c>
      <c r="C1165" s="1643" t="e">
        <f>+SUMIF(#REF!,Final!A1165,#REF!)</f>
        <v>#REF!</v>
      </c>
      <c r="D1165" s="1597" t="e">
        <f>+SUMIF(#REF!,Final!A1165,#REF!)</f>
        <v>#REF!</v>
      </c>
      <c r="E1165" s="1643" t="e">
        <f>SUMIF(#REF!,Final!A1165,#REF!)</f>
        <v>#REF!</v>
      </c>
      <c r="F1165" s="1644" t="e">
        <f>SUMIF(#REF!,Final!A1165,#REF!)</f>
        <v>#REF!</v>
      </c>
      <c r="G1165" s="1597" t="e">
        <f t="shared" si="100"/>
        <v>#REF!</v>
      </c>
      <c r="H1165" s="1644" t="e">
        <f t="shared" si="101"/>
        <v>#REF!</v>
      </c>
      <c r="I1165" s="1597" t="e">
        <f t="shared" si="102"/>
        <v>#REF!</v>
      </c>
      <c r="J1165" s="1644" t="e">
        <f t="shared" si="103"/>
        <v>#REF!</v>
      </c>
      <c r="M1165" s="1545"/>
      <c r="N1165" s="1545"/>
    </row>
    <row r="1166" spans="1:93" ht="15.5">
      <c r="A1166" s="1598">
        <v>23.529</v>
      </c>
      <c r="B1166" s="1599" t="s">
        <v>540</v>
      </c>
      <c r="C1166" s="1643" t="e">
        <f>+SUMIF(#REF!,Final!A1166,#REF!)</f>
        <v>#REF!</v>
      </c>
      <c r="D1166" s="1597" t="e">
        <f>+SUMIF(#REF!,Final!A1166,#REF!)</f>
        <v>#REF!</v>
      </c>
      <c r="E1166" s="1643" t="e">
        <f>SUMIF(#REF!,Final!A1166,#REF!)</f>
        <v>#REF!</v>
      </c>
      <c r="F1166" s="1644" t="e">
        <f>SUMIF(#REF!,Final!A1166,#REF!)</f>
        <v>#REF!</v>
      </c>
      <c r="G1166" s="1597" t="e">
        <f t="shared" si="100"/>
        <v>#REF!</v>
      </c>
      <c r="H1166" s="1644" t="e">
        <f t="shared" si="101"/>
        <v>#REF!</v>
      </c>
      <c r="I1166" s="1597" t="e">
        <f t="shared" si="102"/>
        <v>#REF!</v>
      </c>
      <c r="J1166" s="1644" t="e">
        <f t="shared" si="103"/>
        <v>#REF!</v>
      </c>
      <c r="M1166" s="1545"/>
      <c r="N1166" s="1545"/>
    </row>
    <row r="1167" spans="1:93" ht="15.5">
      <c r="A1167" s="1598">
        <v>23.53</v>
      </c>
      <c r="B1167" s="1599" t="s">
        <v>1901</v>
      </c>
      <c r="C1167" s="1643" t="e">
        <f>+SUMIF(#REF!,Final!A1167,#REF!)</f>
        <v>#REF!</v>
      </c>
      <c r="D1167" s="1597" t="e">
        <f>+SUMIF(#REF!,Final!A1167,#REF!)</f>
        <v>#REF!</v>
      </c>
      <c r="E1167" s="1643" t="e">
        <f>SUMIF(#REF!,Final!A1167,#REF!)</f>
        <v>#REF!</v>
      </c>
      <c r="F1167" s="1644" t="e">
        <f>SUMIF(#REF!,Final!A1167,#REF!)</f>
        <v>#REF!</v>
      </c>
      <c r="G1167" s="1597" t="e">
        <f t="shared" si="100"/>
        <v>#REF!</v>
      </c>
      <c r="H1167" s="1644" t="e">
        <f t="shared" si="101"/>
        <v>#REF!</v>
      </c>
      <c r="I1167" s="1597" t="e">
        <f t="shared" si="102"/>
        <v>#REF!</v>
      </c>
      <c r="J1167" s="1644" t="e">
        <f t="shared" si="103"/>
        <v>#REF!</v>
      </c>
      <c r="M1167" s="1545"/>
      <c r="N1167" s="1545"/>
    </row>
    <row r="1168" spans="1:93" s="1542" customFormat="1" ht="15.5">
      <c r="A1168" s="1598">
        <v>23.530999999999999</v>
      </c>
      <c r="B1168" s="1599" t="s">
        <v>1902</v>
      </c>
      <c r="C1168" s="1643" t="e">
        <f>+SUMIF(#REF!,Final!A1168,#REF!)</f>
        <v>#REF!</v>
      </c>
      <c r="D1168" s="1597" t="e">
        <f>+SUMIF(#REF!,Final!A1168,#REF!)</f>
        <v>#REF!</v>
      </c>
      <c r="E1168" s="1643" t="e">
        <f>SUMIF(#REF!,Final!A1168,#REF!)</f>
        <v>#REF!</v>
      </c>
      <c r="F1168" s="1644" t="e">
        <f>SUMIF(#REF!,Final!A1168,#REF!)</f>
        <v>#REF!</v>
      </c>
      <c r="G1168" s="1597" t="e">
        <f t="shared" si="100"/>
        <v>#REF!</v>
      </c>
      <c r="H1168" s="1644" t="e">
        <f t="shared" si="101"/>
        <v>#REF!</v>
      </c>
      <c r="I1168" s="1597" t="e">
        <f t="shared" si="102"/>
        <v>#REF!</v>
      </c>
      <c r="J1168" s="1644" t="e">
        <f t="shared" si="103"/>
        <v>#REF!</v>
      </c>
      <c r="K1168" s="1539"/>
      <c r="L1168" s="1539"/>
      <c r="M1168" s="1545"/>
      <c r="N1168" s="1545"/>
      <c r="O1168" s="1539"/>
      <c r="P1168" s="1539"/>
      <c r="Q1168" s="1539"/>
      <c r="R1168" s="1539"/>
      <c r="S1168" s="1539"/>
      <c r="T1168" s="1539"/>
      <c r="U1168" s="1539"/>
      <c r="V1168" s="1539"/>
      <c r="W1168" s="1539"/>
      <c r="X1168" s="1539"/>
      <c r="Y1168" s="1539"/>
      <c r="Z1168" s="1539"/>
      <c r="AA1168" s="1539"/>
      <c r="AB1168" s="1539"/>
      <c r="AC1168" s="1539"/>
      <c r="AD1168" s="1539"/>
      <c r="AE1168" s="1539"/>
      <c r="AF1168" s="1539"/>
      <c r="AG1168" s="1539"/>
      <c r="AH1168" s="1539"/>
      <c r="AI1168" s="1539"/>
      <c r="AJ1168" s="1539"/>
      <c r="AK1168" s="1539"/>
      <c r="AL1168" s="1539"/>
      <c r="AM1168" s="1539"/>
      <c r="AN1168" s="1539"/>
      <c r="AO1168" s="1539"/>
      <c r="AP1168" s="1539"/>
      <c r="AQ1168" s="1539"/>
      <c r="AR1168" s="1539"/>
      <c r="AS1168" s="1539"/>
      <c r="AT1168" s="1539"/>
      <c r="AU1168" s="1539"/>
      <c r="AV1168" s="1539"/>
      <c r="AW1168" s="1539"/>
      <c r="AX1168" s="1539"/>
      <c r="AY1168" s="1539"/>
      <c r="AZ1168" s="1539"/>
      <c r="BA1168" s="1539"/>
      <c r="BB1168" s="1539"/>
      <c r="BC1168" s="1539"/>
      <c r="BD1168" s="1539"/>
      <c r="BE1168" s="1539"/>
      <c r="BF1168" s="1539"/>
      <c r="BG1168" s="1539"/>
      <c r="BH1168" s="1539"/>
      <c r="BI1168" s="1539"/>
      <c r="BJ1168" s="1539"/>
      <c r="BK1168" s="1539"/>
      <c r="BL1168" s="1539"/>
      <c r="BM1168" s="1539"/>
      <c r="BN1168" s="1539"/>
      <c r="BO1168" s="1539"/>
      <c r="BP1168" s="1539"/>
      <c r="BQ1168" s="1539"/>
      <c r="BR1168" s="1539"/>
      <c r="BS1168" s="1539"/>
      <c r="BT1168" s="1539"/>
      <c r="BU1168" s="1539"/>
      <c r="BV1168" s="1539"/>
      <c r="BW1168" s="1539"/>
      <c r="BX1168" s="1539"/>
      <c r="BY1168" s="1539"/>
      <c r="BZ1168" s="1539"/>
      <c r="CA1168" s="1539"/>
      <c r="CB1168" s="1539"/>
      <c r="CC1168" s="1539"/>
      <c r="CD1168" s="1539"/>
      <c r="CE1168" s="1539"/>
      <c r="CF1168" s="1539"/>
      <c r="CG1168" s="1539"/>
      <c r="CH1168" s="1539"/>
      <c r="CI1168" s="1539"/>
      <c r="CJ1168" s="1539"/>
      <c r="CK1168" s="1539"/>
      <c r="CL1168" s="1539"/>
      <c r="CM1168" s="1539"/>
      <c r="CN1168" s="1539"/>
      <c r="CO1168" s="1539"/>
    </row>
    <row r="1169" spans="1:93" ht="15.5">
      <c r="A1169" s="1598">
        <v>23.532</v>
      </c>
      <c r="B1169" s="1599" t="s">
        <v>2740</v>
      </c>
      <c r="C1169" s="1643" t="e">
        <f>+SUMIF(#REF!,Final!A1169,#REF!)</f>
        <v>#REF!</v>
      </c>
      <c r="D1169" s="1597" t="e">
        <f>+SUMIF(#REF!,Final!A1169,#REF!)</f>
        <v>#REF!</v>
      </c>
      <c r="E1169" s="1643" t="e">
        <f>SUMIF(#REF!,Final!A1169,#REF!)</f>
        <v>#REF!</v>
      </c>
      <c r="F1169" s="1644" t="e">
        <f>SUMIF(#REF!,Final!A1169,#REF!)</f>
        <v>#REF!</v>
      </c>
      <c r="G1169" s="1597" t="e">
        <f t="shared" si="100"/>
        <v>#REF!</v>
      </c>
      <c r="H1169" s="1644" t="e">
        <f t="shared" si="101"/>
        <v>#REF!</v>
      </c>
      <c r="I1169" s="1597" t="e">
        <f t="shared" si="102"/>
        <v>#REF!</v>
      </c>
      <c r="J1169" s="1644" t="e">
        <f t="shared" si="103"/>
        <v>#REF!</v>
      </c>
      <c r="M1169" s="1545"/>
      <c r="N1169" s="1545"/>
    </row>
    <row r="1170" spans="1:93" ht="15.5">
      <c r="A1170" s="1598">
        <v>23.533000000000001</v>
      </c>
      <c r="B1170" s="1599" t="s">
        <v>2741</v>
      </c>
      <c r="C1170" s="1643" t="e">
        <f>+SUMIF(#REF!,Final!A1170,#REF!)</f>
        <v>#REF!</v>
      </c>
      <c r="D1170" s="1597" t="e">
        <f>+SUMIF(#REF!,Final!A1170,#REF!)</f>
        <v>#REF!</v>
      </c>
      <c r="E1170" s="1643" t="e">
        <f>SUMIF(#REF!,Final!A1170,#REF!)</f>
        <v>#REF!</v>
      </c>
      <c r="F1170" s="1644" t="e">
        <f>SUMIF(#REF!,Final!A1170,#REF!)</f>
        <v>#REF!</v>
      </c>
      <c r="G1170" s="1597" t="e">
        <f t="shared" si="100"/>
        <v>#REF!</v>
      </c>
      <c r="H1170" s="1644" t="e">
        <f t="shared" si="101"/>
        <v>#REF!</v>
      </c>
      <c r="I1170" s="1597" t="e">
        <f t="shared" si="102"/>
        <v>#REF!</v>
      </c>
      <c r="J1170" s="1644" t="e">
        <f t="shared" si="103"/>
        <v>#REF!</v>
      </c>
      <c r="M1170" s="1545"/>
      <c r="N1170" s="1545"/>
    </row>
    <row r="1171" spans="1:93" ht="15.5">
      <c r="A1171" s="1598">
        <v>23.533999999999999</v>
      </c>
      <c r="B1171" s="1599" t="s">
        <v>2742</v>
      </c>
      <c r="C1171" s="1643" t="e">
        <f>+SUMIF(#REF!,Final!A1171,#REF!)</f>
        <v>#REF!</v>
      </c>
      <c r="D1171" s="1597" t="e">
        <f>+SUMIF(#REF!,Final!A1171,#REF!)</f>
        <v>#REF!</v>
      </c>
      <c r="E1171" s="1643" t="e">
        <f>SUMIF(#REF!,Final!A1171,#REF!)</f>
        <v>#REF!</v>
      </c>
      <c r="F1171" s="1644" t="e">
        <f>SUMIF(#REF!,Final!A1171,#REF!)</f>
        <v>#REF!</v>
      </c>
      <c r="G1171" s="1597" t="e">
        <f t="shared" si="100"/>
        <v>#REF!</v>
      </c>
      <c r="H1171" s="1644" t="e">
        <f t="shared" si="101"/>
        <v>#REF!</v>
      </c>
      <c r="I1171" s="1597" t="e">
        <f t="shared" si="102"/>
        <v>#REF!</v>
      </c>
      <c r="J1171" s="1644" t="e">
        <f t="shared" si="103"/>
        <v>#REF!</v>
      </c>
      <c r="M1171" s="1545"/>
      <c r="N1171" s="1545"/>
    </row>
    <row r="1172" spans="1:93" ht="15.5">
      <c r="A1172" s="1598">
        <v>23.535</v>
      </c>
      <c r="B1172" s="1599" t="s">
        <v>669</v>
      </c>
      <c r="C1172" s="1643" t="e">
        <f>+SUMIF(#REF!,Final!A1172,#REF!)</f>
        <v>#REF!</v>
      </c>
      <c r="D1172" s="1597" t="e">
        <f>+SUMIF(#REF!,Final!A1172,#REF!)</f>
        <v>#REF!</v>
      </c>
      <c r="E1172" s="1643" t="e">
        <f>SUMIF(#REF!,Final!A1172,#REF!)</f>
        <v>#REF!</v>
      </c>
      <c r="F1172" s="1644" t="e">
        <f>SUMIF(#REF!,Final!A1172,#REF!)</f>
        <v>#REF!</v>
      </c>
      <c r="G1172" s="1597" t="e">
        <f t="shared" si="100"/>
        <v>#REF!</v>
      </c>
      <c r="H1172" s="1644" t="e">
        <f t="shared" si="101"/>
        <v>#REF!</v>
      </c>
      <c r="I1172" s="1597" t="e">
        <f t="shared" si="102"/>
        <v>#REF!</v>
      </c>
      <c r="J1172" s="1644" t="e">
        <f t="shared" si="103"/>
        <v>#REF!</v>
      </c>
      <c r="M1172" s="1545"/>
      <c r="N1172" s="1545"/>
    </row>
    <row r="1173" spans="1:93" s="1543" customFormat="1" ht="15.5">
      <c r="A1173" s="1598">
        <v>23.536000000000001</v>
      </c>
      <c r="B1173" s="1599" t="s">
        <v>423</v>
      </c>
      <c r="C1173" s="1643" t="e">
        <f>+SUMIF(#REF!,Final!A1173,#REF!)</f>
        <v>#REF!</v>
      </c>
      <c r="D1173" s="1597" t="e">
        <f>+SUMIF(#REF!,Final!A1173,#REF!)</f>
        <v>#REF!</v>
      </c>
      <c r="E1173" s="1643" t="e">
        <f>SUMIF(#REF!,Final!A1173,#REF!)</f>
        <v>#REF!</v>
      </c>
      <c r="F1173" s="1644" t="e">
        <f>SUMIF(#REF!,Final!A1173,#REF!)</f>
        <v>#REF!</v>
      </c>
      <c r="G1173" s="1597" t="e">
        <f t="shared" si="100"/>
        <v>#REF!</v>
      </c>
      <c r="H1173" s="1644" t="e">
        <f t="shared" si="101"/>
        <v>#REF!</v>
      </c>
      <c r="I1173" s="1597" t="e">
        <f t="shared" si="102"/>
        <v>#REF!</v>
      </c>
      <c r="J1173" s="1644" t="e">
        <f t="shared" si="103"/>
        <v>#REF!</v>
      </c>
      <c r="K1173" s="1539"/>
      <c r="L1173" s="1539"/>
      <c r="M1173" s="1545"/>
      <c r="N1173" s="1545"/>
      <c r="O1173" s="1539"/>
      <c r="P1173" s="1539"/>
      <c r="Q1173" s="1539"/>
      <c r="R1173" s="1539"/>
      <c r="S1173" s="1539"/>
      <c r="T1173" s="1539"/>
      <c r="U1173" s="1539"/>
      <c r="V1173" s="1539"/>
      <c r="W1173" s="1539"/>
      <c r="X1173" s="1539"/>
      <c r="Y1173" s="1539"/>
      <c r="Z1173" s="1539"/>
      <c r="AA1173" s="1539"/>
      <c r="AB1173" s="1539"/>
      <c r="AC1173" s="1539"/>
      <c r="AD1173" s="1539"/>
      <c r="AE1173" s="1539"/>
      <c r="AF1173" s="1539"/>
      <c r="AG1173" s="1539"/>
      <c r="AH1173" s="1539"/>
      <c r="AI1173" s="1539"/>
      <c r="AJ1173" s="1539"/>
      <c r="AK1173" s="1539"/>
      <c r="AL1173" s="1539"/>
      <c r="AM1173" s="1539"/>
      <c r="AN1173" s="1539"/>
      <c r="AO1173" s="1539"/>
      <c r="AP1173" s="1539"/>
      <c r="AQ1173" s="1539"/>
      <c r="AR1173" s="1539"/>
      <c r="AS1173" s="1539"/>
      <c r="AT1173" s="1539"/>
      <c r="AU1173" s="1539"/>
      <c r="AV1173" s="1539"/>
      <c r="AW1173" s="1539"/>
      <c r="AX1173" s="1539"/>
      <c r="AY1173" s="1539"/>
      <c r="AZ1173" s="1539"/>
      <c r="BA1173" s="1539"/>
      <c r="BB1173" s="1539"/>
      <c r="BC1173" s="1539"/>
      <c r="BD1173" s="1539"/>
      <c r="BE1173" s="1539"/>
      <c r="BF1173" s="1539"/>
      <c r="BG1173" s="1539"/>
      <c r="BH1173" s="1539"/>
      <c r="BI1173" s="1539"/>
      <c r="BJ1173" s="1539"/>
      <c r="BK1173" s="1539"/>
      <c r="BL1173" s="1539"/>
      <c r="BM1173" s="1539"/>
      <c r="BN1173" s="1539"/>
      <c r="BO1173" s="1539"/>
      <c r="BP1173" s="1539"/>
      <c r="BQ1173" s="1539"/>
      <c r="BR1173" s="1539"/>
      <c r="BS1173" s="1539"/>
      <c r="BT1173" s="1539"/>
      <c r="BU1173" s="1539"/>
      <c r="BV1173" s="1539"/>
      <c r="BW1173" s="1539"/>
      <c r="BX1173" s="1539"/>
      <c r="BY1173" s="1539"/>
      <c r="BZ1173" s="1539"/>
      <c r="CA1173" s="1539"/>
      <c r="CB1173" s="1539"/>
      <c r="CC1173" s="1539"/>
      <c r="CD1173" s="1539"/>
      <c r="CE1173" s="1539"/>
      <c r="CF1173" s="1539"/>
      <c r="CG1173" s="1539"/>
      <c r="CH1173" s="1539"/>
      <c r="CI1173" s="1539"/>
      <c r="CJ1173" s="1539"/>
      <c r="CK1173" s="1539"/>
      <c r="CL1173" s="1539"/>
      <c r="CM1173" s="1539"/>
      <c r="CN1173" s="1539"/>
      <c r="CO1173" s="1539"/>
    </row>
    <row r="1174" spans="1:93" s="1543" customFormat="1" ht="15.5">
      <c r="A1174" s="1598">
        <v>23.536999999999999</v>
      </c>
      <c r="B1174" s="1599" t="s">
        <v>1905</v>
      </c>
      <c r="C1174" s="1643" t="e">
        <f>+SUMIF(#REF!,Final!A1174,#REF!)</f>
        <v>#REF!</v>
      </c>
      <c r="D1174" s="1597" t="e">
        <f>+SUMIF(#REF!,Final!A1174,#REF!)</f>
        <v>#REF!</v>
      </c>
      <c r="E1174" s="1643" t="e">
        <f>SUMIF(#REF!,Final!A1174,#REF!)</f>
        <v>#REF!</v>
      </c>
      <c r="F1174" s="1644" t="e">
        <f>SUMIF(#REF!,Final!A1174,#REF!)</f>
        <v>#REF!</v>
      </c>
      <c r="G1174" s="1597" t="e">
        <f t="shared" si="100"/>
        <v>#REF!</v>
      </c>
      <c r="H1174" s="1644" t="e">
        <f t="shared" si="101"/>
        <v>#REF!</v>
      </c>
      <c r="I1174" s="1597" t="e">
        <f t="shared" si="102"/>
        <v>#REF!</v>
      </c>
      <c r="J1174" s="1644" t="e">
        <f t="shared" si="103"/>
        <v>#REF!</v>
      </c>
      <c r="K1174" s="1539"/>
      <c r="L1174" s="1539"/>
      <c r="M1174" s="1545"/>
      <c r="N1174" s="1545"/>
      <c r="O1174" s="1539"/>
      <c r="P1174" s="1539"/>
      <c r="Q1174" s="1539"/>
      <c r="R1174" s="1539"/>
      <c r="S1174" s="1539"/>
      <c r="T1174" s="1539"/>
      <c r="U1174" s="1539"/>
      <c r="V1174" s="1539"/>
      <c r="W1174" s="1539"/>
      <c r="X1174" s="1539"/>
      <c r="Y1174" s="1539"/>
      <c r="Z1174" s="1539"/>
      <c r="AA1174" s="1539"/>
      <c r="AB1174" s="1539"/>
      <c r="AC1174" s="1539"/>
      <c r="AD1174" s="1539"/>
      <c r="AE1174" s="1539"/>
      <c r="AF1174" s="1539"/>
      <c r="AG1174" s="1539"/>
      <c r="AH1174" s="1539"/>
      <c r="AI1174" s="1539"/>
      <c r="AJ1174" s="1539"/>
      <c r="AK1174" s="1539"/>
      <c r="AL1174" s="1539"/>
      <c r="AM1174" s="1539"/>
      <c r="AN1174" s="1539"/>
      <c r="AO1174" s="1539"/>
      <c r="AP1174" s="1539"/>
      <c r="AQ1174" s="1539"/>
      <c r="AR1174" s="1539"/>
      <c r="AS1174" s="1539"/>
      <c r="AT1174" s="1539"/>
      <c r="AU1174" s="1539"/>
      <c r="AV1174" s="1539"/>
      <c r="AW1174" s="1539"/>
      <c r="AX1174" s="1539"/>
      <c r="AY1174" s="1539"/>
      <c r="AZ1174" s="1539"/>
      <c r="BA1174" s="1539"/>
      <c r="BB1174" s="1539"/>
      <c r="BC1174" s="1539"/>
      <c r="BD1174" s="1539"/>
      <c r="BE1174" s="1539"/>
      <c r="BF1174" s="1539"/>
      <c r="BG1174" s="1539"/>
      <c r="BH1174" s="1539"/>
      <c r="BI1174" s="1539"/>
      <c r="BJ1174" s="1539"/>
      <c r="BK1174" s="1539"/>
      <c r="BL1174" s="1539"/>
      <c r="BM1174" s="1539"/>
      <c r="BN1174" s="1539"/>
      <c r="BO1174" s="1539"/>
      <c r="BP1174" s="1539"/>
      <c r="BQ1174" s="1539"/>
      <c r="BR1174" s="1539"/>
      <c r="BS1174" s="1539"/>
      <c r="BT1174" s="1539"/>
      <c r="BU1174" s="1539"/>
      <c r="BV1174" s="1539"/>
      <c r="BW1174" s="1539"/>
      <c r="BX1174" s="1539"/>
      <c r="BY1174" s="1539"/>
      <c r="BZ1174" s="1539"/>
      <c r="CA1174" s="1539"/>
      <c r="CB1174" s="1539"/>
      <c r="CC1174" s="1539"/>
      <c r="CD1174" s="1539"/>
      <c r="CE1174" s="1539"/>
      <c r="CF1174" s="1539"/>
      <c r="CG1174" s="1539"/>
      <c r="CH1174" s="1539"/>
      <c r="CI1174" s="1539"/>
      <c r="CJ1174" s="1539"/>
      <c r="CK1174" s="1539"/>
      <c r="CL1174" s="1539"/>
      <c r="CM1174" s="1539"/>
      <c r="CN1174" s="1539"/>
      <c r="CO1174" s="1539"/>
    </row>
    <row r="1175" spans="1:93" s="1552" customFormat="1" ht="15.5">
      <c r="A1175" s="1598"/>
      <c r="B1175" s="1599" t="s">
        <v>1747</v>
      </c>
      <c r="C1175" s="1643" t="e">
        <f>+SUMIF(#REF!,Final!A1175,#REF!)</f>
        <v>#REF!</v>
      </c>
      <c r="D1175" s="1597" t="e">
        <f>+SUMIF(#REF!,Final!A1175,#REF!)</f>
        <v>#REF!</v>
      </c>
      <c r="E1175" s="1643" t="e">
        <f>SUMIF(#REF!,Final!A1175,#REF!)</f>
        <v>#REF!</v>
      </c>
      <c r="F1175" s="1644" t="e">
        <f>SUMIF(#REF!,Final!A1175,#REF!)</f>
        <v>#REF!</v>
      </c>
      <c r="G1175" s="1597" t="e">
        <f t="shared" ref="G1175:G1240" si="104">C1175+E1175</f>
        <v>#REF!</v>
      </c>
      <c r="H1175" s="1644" t="e">
        <f t="shared" ref="H1175:H1240" si="105">D1175+F1175</f>
        <v>#REF!</v>
      </c>
      <c r="I1175" s="1597" t="e">
        <f t="shared" ref="I1175:I1240" si="106">IF(G1175&gt;H1175,G1175-H1175,0)</f>
        <v>#REF!</v>
      </c>
      <c r="J1175" s="1644" t="e">
        <f t="shared" ref="J1175:J1240" si="107">IF(H1175&gt;G1175,H1175-G1175,0)</f>
        <v>#REF!</v>
      </c>
      <c r="K1175" s="1539"/>
      <c r="L1175" s="1539"/>
      <c r="M1175" s="1545"/>
      <c r="N1175" s="1545"/>
      <c r="O1175" s="1539"/>
      <c r="P1175" s="1539"/>
      <c r="Q1175" s="1539"/>
      <c r="R1175" s="1539"/>
      <c r="S1175" s="1539"/>
      <c r="T1175" s="1539"/>
      <c r="U1175" s="1539"/>
      <c r="V1175" s="1539"/>
      <c r="W1175" s="1539"/>
      <c r="X1175" s="1539"/>
      <c r="Y1175" s="1539"/>
      <c r="Z1175" s="1539"/>
      <c r="AA1175" s="1539"/>
      <c r="AB1175" s="1539"/>
      <c r="AC1175" s="1539"/>
      <c r="AD1175" s="1539"/>
      <c r="AE1175" s="1539"/>
      <c r="AF1175" s="1539"/>
      <c r="AG1175" s="1539"/>
      <c r="AH1175" s="1539"/>
      <c r="AI1175" s="1539"/>
      <c r="AJ1175" s="1539"/>
      <c r="AK1175" s="1539"/>
      <c r="AL1175" s="1539"/>
      <c r="AM1175" s="1539"/>
      <c r="AN1175" s="1539"/>
      <c r="AO1175" s="1539"/>
      <c r="AP1175" s="1539"/>
      <c r="AQ1175" s="1539"/>
      <c r="AR1175" s="1539"/>
      <c r="AS1175" s="1539"/>
      <c r="AT1175" s="1539"/>
      <c r="AU1175" s="1539"/>
      <c r="AV1175" s="1539"/>
      <c r="AW1175" s="1539"/>
      <c r="AX1175" s="1539"/>
      <c r="AY1175" s="1539"/>
      <c r="AZ1175" s="1539"/>
      <c r="BA1175" s="1539"/>
      <c r="BB1175" s="1539"/>
      <c r="BC1175" s="1539"/>
      <c r="BD1175" s="1539"/>
      <c r="BE1175" s="1539"/>
      <c r="BF1175" s="1539"/>
      <c r="BG1175" s="1539"/>
      <c r="BH1175" s="1539"/>
      <c r="BI1175" s="1539"/>
      <c r="BJ1175" s="1539"/>
      <c r="BK1175" s="1539"/>
      <c r="BL1175" s="1539"/>
      <c r="BM1175" s="1539"/>
      <c r="BN1175" s="1539"/>
      <c r="BO1175" s="1539"/>
      <c r="BP1175" s="1539"/>
      <c r="BQ1175" s="1539"/>
      <c r="BR1175" s="1539"/>
      <c r="BS1175" s="1539"/>
      <c r="BT1175" s="1539"/>
      <c r="BU1175" s="1539"/>
      <c r="BV1175" s="1539"/>
      <c r="BW1175" s="1539"/>
      <c r="BX1175" s="1539"/>
      <c r="BY1175" s="1539"/>
      <c r="BZ1175" s="1539"/>
      <c r="CA1175" s="1539"/>
      <c r="CB1175" s="1539"/>
      <c r="CC1175" s="1539"/>
      <c r="CD1175" s="1539"/>
      <c r="CE1175" s="1539"/>
      <c r="CF1175" s="1539"/>
      <c r="CG1175" s="1539"/>
      <c r="CH1175" s="1539"/>
      <c r="CI1175" s="1539"/>
      <c r="CJ1175" s="1539"/>
      <c r="CK1175" s="1539"/>
      <c r="CL1175" s="1539"/>
      <c r="CM1175" s="1539"/>
      <c r="CN1175" s="1539"/>
      <c r="CO1175" s="1539"/>
    </row>
    <row r="1176" spans="1:93" s="1552" customFormat="1" ht="15.5">
      <c r="A1176" s="1598"/>
      <c r="B1176" s="1599" t="s">
        <v>1760</v>
      </c>
      <c r="C1176" s="1643" t="e">
        <f>+SUMIF(#REF!,Final!A1176,#REF!)</f>
        <v>#REF!</v>
      </c>
      <c r="D1176" s="1597" t="e">
        <f>+SUMIF(#REF!,Final!A1176,#REF!)</f>
        <v>#REF!</v>
      </c>
      <c r="E1176" s="1643" t="e">
        <f>SUMIF(#REF!,Final!A1176,#REF!)</f>
        <v>#REF!</v>
      </c>
      <c r="F1176" s="1644" t="e">
        <f>SUMIF(#REF!,Final!A1176,#REF!)</f>
        <v>#REF!</v>
      </c>
      <c r="G1176" s="1597" t="e">
        <f t="shared" si="104"/>
        <v>#REF!</v>
      </c>
      <c r="H1176" s="1644" t="e">
        <f t="shared" si="105"/>
        <v>#REF!</v>
      </c>
      <c r="I1176" s="1597" t="e">
        <f t="shared" si="106"/>
        <v>#REF!</v>
      </c>
      <c r="J1176" s="1644" t="e">
        <f t="shared" si="107"/>
        <v>#REF!</v>
      </c>
      <c r="K1176" s="1539"/>
      <c r="L1176" s="1539"/>
      <c r="M1176" s="1545"/>
      <c r="N1176" s="1545"/>
      <c r="O1176" s="1539"/>
      <c r="P1176" s="1539"/>
      <c r="Q1176" s="1539"/>
      <c r="R1176" s="1539"/>
      <c r="S1176" s="1539"/>
      <c r="T1176" s="1539"/>
      <c r="U1176" s="1539"/>
      <c r="V1176" s="1539"/>
      <c r="W1176" s="1539"/>
      <c r="X1176" s="1539"/>
      <c r="Y1176" s="1539"/>
      <c r="Z1176" s="1539"/>
      <c r="AA1176" s="1539"/>
      <c r="AB1176" s="1539"/>
      <c r="AC1176" s="1539"/>
      <c r="AD1176" s="1539"/>
      <c r="AE1176" s="1539"/>
      <c r="AF1176" s="1539"/>
      <c r="AG1176" s="1539"/>
      <c r="AH1176" s="1539"/>
      <c r="AI1176" s="1539"/>
      <c r="AJ1176" s="1539"/>
      <c r="AK1176" s="1539"/>
      <c r="AL1176" s="1539"/>
      <c r="AM1176" s="1539"/>
      <c r="AN1176" s="1539"/>
      <c r="AO1176" s="1539"/>
      <c r="AP1176" s="1539"/>
      <c r="AQ1176" s="1539"/>
      <c r="AR1176" s="1539"/>
      <c r="AS1176" s="1539"/>
      <c r="AT1176" s="1539"/>
      <c r="AU1176" s="1539"/>
      <c r="AV1176" s="1539"/>
      <c r="AW1176" s="1539"/>
      <c r="AX1176" s="1539"/>
      <c r="AY1176" s="1539"/>
      <c r="AZ1176" s="1539"/>
      <c r="BA1176" s="1539"/>
      <c r="BB1176" s="1539"/>
      <c r="BC1176" s="1539"/>
      <c r="BD1176" s="1539"/>
      <c r="BE1176" s="1539"/>
      <c r="BF1176" s="1539"/>
      <c r="BG1176" s="1539"/>
      <c r="BH1176" s="1539"/>
      <c r="BI1176" s="1539"/>
      <c r="BJ1176" s="1539"/>
      <c r="BK1176" s="1539"/>
      <c r="BL1176" s="1539"/>
      <c r="BM1176" s="1539"/>
      <c r="BN1176" s="1539"/>
      <c r="BO1176" s="1539"/>
      <c r="BP1176" s="1539"/>
      <c r="BQ1176" s="1539"/>
      <c r="BR1176" s="1539"/>
      <c r="BS1176" s="1539"/>
      <c r="BT1176" s="1539"/>
      <c r="BU1176" s="1539"/>
      <c r="BV1176" s="1539"/>
      <c r="BW1176" s="1539"/>
      <c r="BX1176" s="1539"/>
      <c r="BY1176" s="1539"/>
      <c r="BZ1176" s="1539"/>
      <c r="CA1176" s="1539"/>
      <c r="CB1176" s="1539"/>
      <c r="CC1176" s="1539"/>
      <c r="CD1176" s="1539"/>
      <c r="CE1176" s="1539"/>
      <c r="CF1176" s="1539"/>
      <c r="CG1176" s="1539"/>
      <c r="CH1176" s="1539"/>
      <c r="CI1176" s="1539"/>
      <c r="CJ1176" s="1539"/>
      <c r="CK1176" s="1539"/>
      <c r="CL1176" s="1539"/>
      <c r="CM1176" s="1539"/>
      <c r="CN1176" s="1539"/>
      <c r="CO1176" s="1539"/>
    </row>
    <row r="1177" spans="1:93" s="1542" customFormat="1" ht="15.5">
      <c r="A1177" s="1598" t="s">
        <v>1102</v>
      </c>
      <c r="B1177" s="1599" t="s">
        <v>2738</v>
      </c>
      <c r="C1177" s="1643" t="e">
        <f>+SUMIF(#REF!,Final!A1177,#REF!)</f>
        <v>#REF!</v>
      </c>
      <c r="D1177" s="1597" t="e">
        <f>+SUMIF(#REF!,Final!A1177,#REF!)</f>
        <v>#REF!</v>
      </c>
      <c r="E1177" s="1643" t="e">
        <f>SUMIF(#REF!,Final!A1177,#REF!)</f>
        <v>#REF!</v>
      </c>
      <c r="F1177" s="1644" t="e">
        <f>SUMIF(#REF!,Final!A1177,#REF!)</f>
        <v>#REF!</v>
      </c>
      <c r="G1177" s="1597" t="e">
        <f t="shared" si="104"/>
        <v>#REF!</v>
      </c>
      <c r="H1177" s="1644" t="e">
        <f t="shared" si="105"/>
        <v>#REF!</v>
      </c>
      <c r="I1177" s="1597" t="e">
        <f t="shared" si="106"/>
        <v>#REF!</v>
      </c>
      <c r="J1177" s="1644" t="e">
        <f t="shared" si="107"/>
        <v>#REF!</v>
      </c>
      <c r="K1177" s="1539"/>
      <c r="L1177" s="1539"/>
      <c r="M1177" s="1545"/>
      <c r="N1177" s="1545"/>
      <c r="O1177" s="1539"/>
      <c r="P1177" s="1539"/>
      <c r="Q1177" s="1539"/>
      <c r="R1177" s="1539"/>
      <c r="S1177" s="1539"/>
      <c r="T1177" s="1539"/>
      <c r="U1177" s="1539"/>
      <c r="V1177" s="1539"/>
      <c r="W1177" s="1539"/>
      <c r="X1177" s="1539"/>
      <c r="Y1177" s="1539"/>
      <c r="Z1177" s="1539"/>
      <c r="AA1177" s="1539"/>
      <c r="AB1177" s="1539"/>
      <c r="AC1177" s="1539"/>
      <c r="AD1177" s="1539"/>
      <c r="AE1177" s="1539"/>
      <c r="AF1177" s="1539"/>
      <c r="AG1177" s="1539"/>
      <c r="AH1177" s="1539"/>
      <c r="AI1177" s="1539"/>
      <c r="AJ1177" s="1539"/>
      <c r="AK1177" s="1539"/>
      <c r="AL1177" s="1539"/>
      <c r="AM1177" s="1539"/>
      <c r="AN1177" s="1539"/>
      <c r="AO1177" s="1539"/>
      <c r="AP1177" s="1539"/>
      <c r="AQ1177" s="1539"/>
      <c r="AR1177" s="1539"/>
      <c r="AS1177" s="1539"/>
      <c r="AT1177" s="1539"/>
      <c r="AU1177" s="1539"/>
      <c r="AV1177" s="1539"/>
      <c r="AW1177" s="1539"/>
      <c r="AX1177" s="1539"/>
      <c r="AY1177" s="1539"/>
      <c r="AZ1177" s="1539"/>
      <c r="BA1177" s="1539"/>
      <c r="BB1177" s="1539"/>
      <c r="BC1177" s="1539"/>
      <c r="BD1177" s="1539"/>
      <c r="BE1177" s="1539"/>
      <c r="BF1177" s="1539"/>
      <c r="BG1177" s="1539"/>
      <c r="BH1177" s="1539"/>
      <c r="BI1177" s="1539"/>
      <c r="BJ1177" s="1539"/>
      <c r="BK1177" s="1539"/>
      <c r="BL1177" s="1539"/>
      <c r="BM1177" s="1539"/>
      <c r="BN1177" s="1539"/>
      <c r="BO1177" s="1539"/>
      <c r="BP1177" s="1539"/>
      <c r="BQ1177" s="1539"/>
      <c r="BR1177" s="1539"/>
      <c r="BS1177" s="1539"/>
      <c r="BT1177" s="1539"/>
      <c r="BU1177" s="1539"/>
      <c r="BV1177" s="1539"/>
      <c r="BW1177" s="1539"/>
      <c r="BX1177" s="1539"/>
      <c r="BY1177" s="1539"/>
      <c r="BZ1177" s="1539"/>
      <c r="CA1177" s="1539"/>
      <c r="CB1177" s="1539"/>
      <c r="CC1177" s="1539"/>
      <c r="CD1177" s="1539"/>
      <c r="CE1177" s="1539"/>
      <c r="CF1177" s="1539"/>
      <c r="CG1177" s="1539"/>
      <c r="CH1177" s="1539"/>
      <c r="CI1177" s="1539"/>
      <c r="CJ1177" s="1539"/>
      <c r="CK1177" s="1539"/>
      <c r="CL1177" s="1539"/>
      <c r="CM1177" s="1539"/>
      <c r="CN1177" s="1539"/>
      <c r="CO1177" s="1539"/>
    </row>
    <row r="1178" spans="1:93" s="1542" customFormat="1" ht="15.5">
      <c r="A1178" s="1598" t="s">
        <v>596</v>
      </c>
      <c r="B1178" s="1599" t="s">
        <v>2765</v>
      </c>
      <c r="C1178" s="1643" t="e">
        <f>+SUMIF(#REF!,Final!A1178,#REF!)</f>
        <v>#REF!</v>
      </c>
      <c r="D1178" s="1597" t="e">
        <f>+SUMIF(#REF!,Final!A1178,#REF!)</f>
        <v>#REF!</v>
      </c>
      <c r="E1178" s="1643" t="e">
        <f>SUMIF(#REF!,Final!A1178,#REF!)</f>
        <v>#REF!</v>
      </c>
      <c r="F1178" s="1644" t="e">
        <f>SUMIF(#REF!,Final!A1178,#REF!)</f>
        <v>#REF!</v>
      </c>
      <c r="G1178" s="1597" t="e">
        <f t="shared" si="104"/>
        <v>#REF!</v>
      </c>
      <c r="H1178" s="1644" t="e">
        <f t="shared" si="105"/>
        <v>#REF!</v>
      </c>
      <c r="I1178" s="1597" t="e">
        <f t="shared" si="106"/>
        <v>#REF!</v>
      </c>
      <c r="J1178" s="1644" t="e">
        <f t="shared" si="107"/>
        <v>#REF!</v>
      </c>
      <c r="K1178" s="1539"/>
      <c r="L1178" s="1539"/>
      <c r="M1178" s="1545"/>
      <c r="N1178" s="1545"/>
      <c r="O1178" s="1539"/>
      <c r="P1178" s="1539"/>
      <c r="Q1178" s="1539"/>
      <c r="R1178" s="1539"/>
      <c r="S1178" s="1539"/>
      <c r="T1178" s="1539"/>
      <c r="U1178" s="1539"/>
      <c r="V1178" s="1539"/>
      <c r="W1178" s="1539"/>
      <c r="X1178" s="1539"/>
      <c r="Y1178" s="1539"/>
      <c r="Z1178" s="1539"/>
      <c r="AA1178" s="1539"/>
      <c r="AB1178" s="1539"/>
      <c r="AC1178" s="1539"/>
      <c r="AD1178" s="1539"/>
      <c r="AE1178" s="1539"/>
      <c r="AF1178" s="1539"/>
      <c r="AG1178" s="1539"/>
      <c r="AH1178" s="1539"/>
      <c r="AI1178" s="1539"/>
      <c r="AJ1178" s="1539"/>
      <c r="AK1178" s="1539"/>
      <c r="AL1178" s="1539"/>
      <c r="AM1178" s="1539"/>
      <c r="AN1178" s="1539"/>
      <c r="AO1178" s="1539"/>
      <c r="AP1178" s="1539"/>
      <c r="AQ1178" s="1539"/>
      <c r="AR1178" s="1539"/>
      <c r="AS1178" s="1539"/>
      <c r="AT1178" s="1539"/>
      <c r="AU1178" s="1539"/>
      <c r="AV1178" s="1539"/>
      <c r="AW1178" s="1539"/>
      <c r="AX1178" s="1539"/>
      <c r="AY1178" s="1539"/>
      <c r="AZ1178" s="1539"/>
      <c r="BA1178" s="1539"/>
      <c r="BB1178" s="1539"/>
      <c r="BC1178" s="1539"/>
      <c r="BD1178" s="1539"/>
      <c r="BE1178" s="1539"/>
      <c r="BF1178" s="1539"/>
      <c r="BG1178" s="1539"/>
      <c r="BH1178" s="1539"/>
      <c r="BI1178" s="1539"/>
      <c r="BJ1178" s="1539"/>
      <c r="BK1178" s="1539"/>
      <c r="BL1178" s="1539"/>
      <c r="BM1178" s="1539"/>
      <c r="BN1178" s="1539"/>
      <c r="BO1178" s="1539"/>
      <c r="BP1178" s="1539"/>
      <c r="BQ1178" s="1539"/>
      <c r="BR1178" s="1539"/>
      <c r="BS1178" s="1539"/>
      <c r="BT1178" s="1539"/>
      <c r="BU1178" s="1539"/>
      <c r="BV1178" s="1539"/>
      <c r="BW1178" s="1539"/>
      <c r="BX1178" s="1539"/>
      <c r="BY1178" s="1539"/>
      <c r="BZ1178" s="1539"/>
      <c r="CA1178" s="1539"/>
      <c r="CB1178" s="1539"/>
      <c r="CC1178" s="1539"/>
      <c r="CD1178" s="1539"/>
      <c r="CE1178" s="1539"/>
      <c r="CF1178" s="1539"/>
      <c r="CG1178" s="1539"/>
      <c r="CH1178" s="1539"/>
      <c r="CI1178" s="1539"/>
      <c r="CJ1178" s="1539"/>
      <c r="CK1178" s="1539"/>
      <c r="CL1178" s="1539"/>
      <c r="CM1178" s="1539"/>
      <c r="CN1178" s="1539"/>
      <c r="CO1178" s="1539"/>
    </row>
    <row r="1179" spans="1:93" ht="15.5">
      <c r="A1179" s="1598">
        <v>23.701000000000001</v>
      </c>
      <c r="B1179" s="1599" t="s">
        <v>2766</v>
      </c>
      <c r="C1179" s="1643" t="e">
        <f>+SUMIF(#REF!,Final!A1179,#REF!)</f>
        <v>#REF!</v>
      </c>
      <c r="D1179" s="1597" t="e">
        <f>+SUMIF(#REF!,Final!A1179,#REF!)</f>
        <v>#REF!</v>
      </c>
      <c r="E1179" s="1643" t="e">
        <f>SUMIF(#REF!,Final!A1179,#REF!)</f>
        <v>#REF!</v>
      </c>
      <c r="F1179" s="1644" t="e">
        <f>SUMIF(#REF!,Final!A1179,#REF!)</f>
        <v>#REF!</v>
      </c>
      <c r="G1179" s="1597" t="e">
        <f t="shared" si="104"/>
        <v>#REF!</v>
      </c>
      <c r="H1179" s="1644" t="e">
        <f t="shared" si="105"/>
        <v>#REF!</v>
      </c>
      <c r="I1179" s="1597" t="e">
        <f t="shared" si="106"/>
        <v>#REF!</v>
      </c>
      <c r="J1179" s="1644" t="e">
        <f t="shared" si="107"/>
        <v>#REF!</v>
      </c>
      <c r="M1179" s="1545"/>
      <c r="N1179" s="1545"/>
    </row>
    <row r="1180" spans="1:93" ht="15.5">
      <c r="A1180" s="1816">
        <v>23.600999999999999</v>
      </c>
      <c r="B1180" s="1812" t="s">
        <v>5424</v>
      </c>
      <c r="C1180" s="1643" t="e">
        <f>+SUMIF(#REF!,Final!A1180,#REF!)</f>
        <v>#REF!</v>
      </c>
      <c r="D1180" s="1597" t="e">
        <f>+SUMIF(#REF!,Final!A1180,#REF!)</f>
        <v>#REF!</v>
      </c>
      <c r="E1180" s="1643" t="e">
        <f>SUMIF(#REF!,Final!A1180,#REF!)</f>
        <v>#REF!</v>
      </c>
      <c r="F1180" s="1644" t="e">
        <f>SUMIF(#REF!,Final!A1180,#REF!)</f>
        <v>#REF!</v>
      </c>
      <c r="G1180" s="1597" t="e">
        <f t="shared" ref="G1180" si="108">C1180+E1180</f>
        <v>#REF!</v>
      </c>
      <c r="H1180" s="1644" t="e">
        <f t="shared" ref="H1180" si="109">D1180+F1180</f>
        <v>#REF!</v>
      </c>
      <c r="I1180" s="1597" t="e">
        <f t="shared" ref="I1180" si="110">IF(G1180&gt;H1180,G1180-H1180,0)</f>
        <v>#REF!</v>
      </c>
      <c r="J1180" s="1644" t="e">
        <f t="shared" ref="J1180" si="111">IF(H1180&gt;G1180,H1180-G1180,0)</f>
        <v>#REF!</v>
      </c>
      <c r="M1180" s="1545"/>
      <c r="N1180" s="1545"/>
    </row>
    <row r="1181" spans="1:93" ht="15.5">
      <c r="A1181" s="1598">
        <v>23.702000000000002</v>
      </c>
      <c r="B1181" s="1599" t="s">
        <v>2767</v>
      </c>
      <c r="C1181" s="1643" t="e">
        <f>+SUMIF(#REF!,Final!A1181,#REF!)</f>
        <v>#REF!</v>
      </c>
      <c r="D1181" s="1597" t="e">
        <f>+SUMIF(#REF!,Final!A1181,#REF!)</f>
        <v>#REF!</v>
      </c>
      <c r="E1181" s="1643" t="e">
        <f>SUMIF(#REF!,Final!A1181,#REF!)</f>
        <v>#REF!</v>
      </c>
      <c r="F1181" s="1644" t="e">
        <f>SUMIF(#REF!,Final!A1181,#REF!)</f>
        <v>#REF!</v>
      </c>
      <c r="G1181" s="1597" t="e">
        <f t="shared" si="104"/>
        <v>#REF!</v>
      </c>
      <c r="H1181" s="1644" t="e">
        <f t="shared" si="105"/>
        <v>#REF!</v>
      </c>
      <c r="I1181" s="1597" t="e">
        <f t="shared" si="106"/>
        <v>#REF!</v>
      </c>
      <c r="J1181" s="1644" t="e">
        <f t="shared" si="107"/>
        <v>#REF!</v>
      </c>
      <c r="M1181" s="1545"/>
      <c r="N1181" s="1545"/>
    </row>
    <row r="1182" spans="1:93" ht="15.5">
      <c r="A1182" s="1598">
        <v>23.704999999999998</v>
      </c>
      <c r="B1182" s="1599" t="s">
        <v>2768</v>
      </c>
      <c r="C1182" s="1643" t="e">
        <f>+SUMIF(#REF!,Final!A1182,#REF!)</f>
        <v>#REF!</v>
      </c>
      <c r="D1182" s="1597" t="e">
        <f>+SUMIF(#REF!,Final!A1182,#REF!)</f>
        <v>#REF!</v>
      </c>
      <c r="E1182" s="1643" t="e">
        <f>SUMIF(#REF!,Final!A1182,#REF!)</f>
        <v>#REF!</v>
      </c>
      <c r="F1182" s="1644" t="e">
        <f>SUMIF(#REF!,Final!A1182,#REF!)</f>
        <v>#REF!</v>
      </c>
      <c r="G1182" s="1597" t="e">
        <f t="shared" si="104"/>
        <v>#REF!</v>
      </c>
      <c r="H1182" s="1644" t="e">
        <f t="shared" si="105"/>
        <v>#REF!</v>
      </c>
      <c r="I1182" s="1597" t="e">
        <f t="shared" si="106"/>
        <v>#REF!</v>
      </c>
      <c r="J1182" s="1644" t="e">
        <f t="shared" si="107"/>
        <v>#REF!</v>
      </c>
      <c r="M1182" s="1545"/>
      <c r="N1182" s="1545"/>
    </row>
    <row r="1183" spans="1:93" ht="15.5">
      <c r="A1183" s="1598">
        <v>23.706</v>
      </c>
      <c r="B1183" s="1599" t="s">
        <v>1216</v>
      </c>
      <c r="C1183" s="1643" t="e">
        <f>+SUMIF(#REF!,Final!A1183,#REF!)</f>
        <v>#REF!</v>
      </c>
      <c r="D1183" s="1597" t="e">
        <f>+SUMIF(#REF!,Final!A1183,#REF!)</f>
        <v>#REF!</v>
      </c>
      <c r="E1183" s="1643" t="e">
        <f>SUMIF(#REF!,Final!A1183,#REF!)</f>
        <v>#REF!</v>
      </c>
      <c r="F1183" s="1644" t="e">
        <f>SUMIF(#REF!,Final!A1183,#REF!)</f>
        <v>#REF!</v>
      </c>
      <c r="G1183" s="1597" t="e">
        <f t="shared" si="104"/>
        <v>#REF!</v>
      </c>
      <c r="H1183" s="1644" t="e">
        <f t="shared" si="105"/>
        <v>#REF!</v>
      </c>
      <c r="I1183" s="1597" t="e">
        <f t="shared" si="106"/>
        <v>#REF!</v>
      </c>
      <c r="J1183" s="1644" t="e">
        <f t="shared" si="107"/>
        <v>#REF!</v>
      </c>
      <c r="M1183" s="1545"/>
      <c r="N1183" s="1545"/>
    </row>
    <row r="1184" spans="1:93" ht="15.5">
      <c r="A1184" s="1598">
        <v>23.71</v>
      </c>
      <c r="B1184" s="1599" t="s">
        <v>4747</v>
      </c>
      <c r="C1184" s="1643" t="e">
        <f>+SUMIF(#REF!,Final!A1184,#REF!)</f>
        <v>#REF!</v>
      </c>
      <c r="D1184" s="1597" t="e">
        <f>+SUMIF(#REF!,Final!A1184,#REF!)</f>
        <v>#REF!</v>
      </c>
      <c r="E1184" s="1643" t="e">
        <f>SUMIF(#REF!,Final!A1184,#REF!)</f>
        <v>#REF!</v>
      </c>
      <c r="F1184" s="1644" t="e">
        <f>SUMIF(#REF!,Final!A1184,#REF!)</f>
        <v>#REF!</v>
      </c>
      <c r="G1184" s="1597" t="e">
        <f t="shared" si="104"/>
        <v>#REF!</v>
      </c>
      <c r="H1184" s="1644" t="e">
        <f t="shared" si="105"/>
        <v>#REF!</v>
      </c>
      <c r="I1184" s="1597" t="e">
        <f t="shared" si="106"/>
        <v>#REF!</v>
      </c>
      <c r="J1184" s="1644" t="e">
        <f t="shared" si="107"/>
        <v>#REF!</v>
      </c>
      <c r="M1184" s="1545"/>
      <c r="N1184" s="1545"/>
    </row>
    <row r="1185" spans="1:93" ht="15.5">
      <c r="A1185" s="1598">
        <v>23.79</v>
      </c>
      <c r="B1185" s="1599" t="s">
        <v>2769</v>
      </c>
      <c r="C1185" s="1643" t="e">
        <f>+SUMIF(#REF!,Final!A1185,#REF!)</f>
        <v>#REF!</v>
      </c>
      <c r="D1185" s="1597" t="e">
        <f>+SUMIF(#REF!,Final!A1185,#REF!)</f>
        <v>#REF!</v>
      </c>
      <c r="E1185" s="1643" t="e">
        <f>SUMIF(#REF!,Final!A1185,#REF!)</f>
        <v>#REF!</v>
      </c>
      <c r="F1185" s="1644" t="e">
        <f>SUMIF(#REF!,Final!A1185,#REF!)</f>
        <v>#REF!</v>
      </c>
      <c r="G1185" s="1597" t="e">
        <f t="shared" si="104"/>
        <v>#REF!</v>
      </c>
      <c r="H1185" s="1644" t="e">
        <f t="shared" si="105"/>
        <v>#REF!</v>
      </c>
      <c r="I1185" s="1597" t="e">
        <f t="shared" si="106"/>
        <v>#REF!</v>
      </c>
      <c r="J1185" s="1644" t="e">
        <f t="shared" si="107"/>
        <v>#REF!</v>
      </c>
      <c r="M1185" s="1545"/>
      <c r="N1185" s="1545"/>
    </row>
    <row r="1186" spans="1:93" s="1552" customFormat="1" ht="15.5">
      <c r="A1186" s="1598"/>
      <c r="B1186" s="1599" t="s">
        <v>1747</v>
      </c>
      <c r="C1186" s="1643" t="e">
        <f>+SUMIF(#REF!,Final!A1186,#REF!)</f>
        <v>#REF!</v>
      </c>
      <c r="D1186" s="1597" t="e">
        <f>+SUMIF(#REF!,Final!A1186,#REF!)</f>
        <v>#REF!</v>
      </c>
      <c r="E1186" s="1643" t="e">
        <f>SUMIF(#REF!,Final!A1186,#REF!)</f>
        <v>#REF!</v>
      </c>
      <c r="F1186" s="1644" t="e">
        <f>SUMIF(#REF!,Final!A1186,#REF!)</f>
        <v>#REF!</v>
      </c>
      <c r="G1186" s="1597" t="e">
        <f t="shared" si="104"/>
        <v>#REF!</v>
      </c>
      <c r="H1186" s="1644" t="e">
        <f t="shared" si="105"/>
        <v>#REF!</v>
      </c>
      <c r="I1186" s="1597" t="e">
        <f t="shared" si="106"/>
        <v>#REF!</v>
      </c>
      <c r="J1186" s="1644" t="e">
        <f t="shared" si="107"/>
        <v>#REF!</v>
      </c>
      <c r="K1186" s="1539"/>
      <c r="L1186" s="1539"/>
      <c r="M1186" s="1545"/>
      <c r="N1186" s="1545"/>
      <c r="O1186" s="1539"/>
      <c r="P1186" s="1539"/>
      <c r="Q1186" s="1539"/>
      <c r="R1186" s="1539"/>
      <c r="S1186" s="1539"/>
      <c r="T1186" s="1539"/>
      <c r="U1186" s="1539"/>
      <c r="V1186" s="1539"/>
      <c r="W1186" s="1539"/>
      <c r="X1186" s="1539"/>
      <c r="Y1186" s="1539"/>
      <c r="Z1186" s="1539"/>
      <c r="AA1186" s="1539"/>
      <c r="AB1186" s="1539"/>
      <c r="AC1186" s="1539"/>
      <c r="AD1186" s="1539"/>
      <c r="AE1186" s="1539"/>
      <c r="AF1186" s="1539"/>
      <c r="AG1186" s="1539"/>
      <c r="AH1186" s="1539"/>
      <c r="AI1186" s="1539"/>
      <c r="AJ1186" s="1539"/>
      <c r="AK1186" s="1539"/>
      <c r="AL1186" s="1539"/>
      <c r="AM1186" s="1539"/>
      <c r="AN1186" s="1539"/>
      <c r="AO1186" s="1539"/>
      <c r="AP1186" s="1539"/>
      <c r="AQ1186" s="1539"/>
      <c r="AR1186" s="1539"/>
      <c r="AS1186" s="1539"/>
      <c r="AT1186" s="1539"/>
      <c r="AU1186" s="1539"/>
      <c r="AV1186" s="1539"/>
      <c r="AW1186" s="1539"/>
      <c r="AX1186" s="1539"/>
      <c r="AY1186" s="1539"/>
      <c r="AZ1186" s="1539"/>
      <c r="BA1186" s="1539"/>
      <c r="BB1186" s="1539"/>
      <c r="BC1186" s="1539"/>
      <c r="BD1186" s="1539"/>
      <c r="BE1186" s="1539"/>
      <c r="BF1186" s="1539"/>
      <c r="BG1186" s="1539"/>
      <c r="BH1186" s="1539"/>
      <c r="BI1186" s="1539"/>
      <c r="BJ1186" s="1539"/>
      <c r="BK1186" s="1539"/>
      <c r="BL1186" s="1539"/>
      <c r="BM1186" s="1539"/>
      <c r="BN1186" s="1539"/>
      <c r="BO1186" s="1539"/>
      <c r="BP1186" s="1539"/>
      <c r="BQ1186" s="1539"/>
      <c r="BR1186" s="1539"/>
      <c r="BS1186" s="1539"/>
      <c r="BT1186" s="1539"/>
      <c r="BU1186" s="1539"/>
      <c r="BV1186" s="1539"/>
      <c r="BW1186" s="1539"/>
      <c r="BX1186" s="1539"/>
      <c r="BY1186" s="1539"/>
      <c r="BZ1186" s="1539"/>
      <c r="CA1186" s="1539"/>
      <c r="CB1186" s="1539"/>
      <c r="CC1186" s="1539"/>
      <c r="CD1186" s="1539"/>
      <c r="CE1186" s="1539"/>
      <c r="CF1186" s="1539"/>
      <c r="CG1186" s="1539"/>
      <c r="CH1186" s="1539"/>
      <c r="CI1186" s="1539"/>
      <c r="CJ1186" s="1539"/>
      <c r="CK1186" s="1539"/>
      <c r="CL1186" s="1539"/>
      <c r="CM1186" s="1539"/>
      <c r="CN1186" s="1539"/>
      <c r="CO1186" s="1539"/>
    </row>
    <row r="1187" spans="1:93" s="1552" customFormat="1" ht="15.5">
      <c r="A1187" s="1598"/>
      <c r="B1187" s="1599" t="s">
        <v>1760</v>
      </c>
      <c r="C1187" s="1643" t="e">
        <f>+SUMIF(#REF!,Final!A1187,#REF!)</f>
        <v>#REF!</v>
      </c>
      <c r="D1187" s="1597" t="e">
        <f>+SUMIF(#REF!,Final!A1187,#REF!)</f>
        <v>#REF!</v>
      </c>
      <c r="E1187" s="1643" t="e">
        <f>SUMIF(#REF!,Final!A1187,#REF!)</f>
        <v>#REF!</v>
      </c>
      <c r="F1187" s="1644" t="e">
        <f>SUMIF(#REF!,Final!A1187,#REF!)</f>
        <v>#REF!</v>
      </c>
      <c r="G1187" s="1597" t="e">
        <f t="shared" si="104"/>
        <v>#REF!</v>
      </c>
      <c r="H1187" s="1644" t="e">
        <f t="shared" si="105"/>
        <v>#REF!</v>
      </c>
      <c r="I1187" s="1597" t="e">
        <f t="shared" si="106"/>
        <v>#REF!</v>
      </c>
      <c r="J1187" s="1644" t="e">
        <f t="shared" si="107"/>
        <v>#REF!</v>
      </c>
      <c r="K1187" s="1539"/>
      <c r="L1187" s="1539"/>
      <c r="M1187" s="1545"/>
      <c r="N1187" s="1545"/>
      <c r="O1187" s="1539"/>
      <c r="P1187" s="1539"/>
      <c r="Q1187" s="1539"/>
      <c r="R1187" s="1539"/>
      <c r="S1187" s="1539"/>
      <c r="T1187" s="1539"/>
      <c r="U1187" s="1539"/>
      <c r="V1187" s="1539"/>
      <c r="W1187" s="1539"/>
      <c r="X1187" s="1539"/>
      <c r="Y1187" s="1539"/>
      <c r="Z1187" s="1539"/>
      <c r="AA1187" s="1539"/>
      <c r="AB1187" s="1539"/>
      <c r="AC1187" s="1539"/>
      <c r="AD1187" s="1539"/>
      <c r="AE1187" s="1539"/>
      <c r="AF1187" s="1539"/>
      <c r="AG1187" s="1539"/>
      <c r="AH1187" s="1539"/>
      <c r="AI1187" s="1539"/>
      <c r="AJ1187" s="1539"/>
      <c r="AK1187" s="1539"/>
      <c r="AL1187" s="1539"/>
      <c r="AM1187" s="1539"/>
      <c r="AN1187" s="1539"/>
      <c r="AO1187" s="1539"/>
      <c r="AP1187" s="1539"/>
      <c r="AQ1187" s="1539"/>
      <c r="AR1187" s="1539"/>
      <c r="AS1187" s="1539"/>
      <c r="AT1187" s="1539"/>
      <c r="AU1187" s="1539"/>
      <c r="AV1187" s="1539"/>
      <c r="AW1187" s="1539"/>
      <c r="AX1187" s="1539"/>
      <c r="AY1187" s="1539"/>
      <c r="AZ1187" s="1539"/>
      <c r="BA1187" s="1539"/>
      <c r="BB1187" s="1539"/>
      <c r="BC1187" s="1539"/>
      <c r="BD1187" s="1539"/>
      <c r="BE1187" s="1539"/>
      <c r="BF1187" s="1539"/>
      <c r="BG1187" s="1539"/>
      <c r="BH1187" s="1539"/>
      <c r="BI1187" s="1539"/>
      <c r="BJ1187" s="1539"/>
      <c r="BK1187" s="1539"/>
      <c r="BL1187" s="1539"/>
      <c r="BM1187" s="1539"/>
      <c r="BN1187" s="1539"/>
      <c r="BO1187" s="1539"/>
      <c r="BP1187" s="1539"/>
      <c r="BQ1187" s="1539"/>
      <c r="BR1187" s="1539"/>
      <c r="BS1187" s="1539"/>
      <c r="BT1187" s="1539"/>
      <c r="BU1187" s="1539"/>
      <c r="BV1187" s="1539"/>
      <c r="BW1187" s="1539"/>
      <c r="BX1187" s="1539"/>
      <c r="BY1187" s="1539"/>
      <c r="BZ1187" s="1539"/>
      <c r="CA1187" s="1539"/>
      <c r="CB1187" s="1539"/>
      <c r="CC1187" s="1539"/>
      <c r="CD1187" s="1539"/>
      <c r="CE1187" s="1539"/>
      <c r="CF1187" s="1539"/>
      <c r="CG1187" s="1539"/>
      <c r="CH1187" s="1539"/>
      <c r="CI1187" s="1539"/>
      <c r="CJ1187" s="1539"/>
      <c r="CK1187" s="1539"/>
      <c r="CL1187" s="1539"/>
      <c r="CM1187" s="1539"/>
      <c r="CN1187" s="1539"/>
      <c r="CO1187" s="1539"/>
    </row>
    <row r="1188" spans="1:93" s="1542" customFormat="1" ht="15.5">
      <c r="A1188" s="1598" t="s">
        <v>1102</v>
      </c>
      <c r="B1188" s="1599" t="s">
        <v>2738</v>
      </c>
      <c r="C1188" s="1643" t="e">
        <f>+SUMIF(#REF!,Final!A1188,#REF!)</f>
        <v>#REF!</v>
      </c>
      <c r="D1188" s="1597" t="e">
        <f>+SUMIF(#REF!,Final!A1188,#REF!)</f>
        <v>#REF!</v>
      </c>
      <c r="E1188" s="1643" t="e">
        <f>SUMIF(#REF!,Final!A1188,#REF!)</f>
        <v>#REF!</v>
      </c>
      <c r="F1188" s="1644" t="e">
        <f>SUMIF(#REF!,Final!A1188,#REF!)</f>
        <v>#REF!</v>
      </c>
      <c r="G1188" s="1597" t="e">
        <f t="shared" si="104"/>
        <v>#REF!</v>
      </c>
      <c r="H1188" s="1644" t="e">
        <f t="shared" si="105"/>
        <v>#REF!</v>
      </c>
      <c r="I1188" s="1597" t="e">
        <f t="shared" si="106"/>
        <v>#REF!</v>
      </c>
      <c r="J1188" s="1644" t="e">
        <f t="shared" si="107"/>
        <v>#REF!</v>
      </c>
      <c r="K1188" s="1539"/>
      <c r="L1188" s="1539"/>
      <c r="M1188" s="1545"/>
      <c r="N1188" s="1545"/>
      <c r="O1188" s="1539"/>
      <c r="P1188" s="1539"/>
      <c r="Q1188" s="1539"/>
      <c r="R1188" s="1539"/>
      <c r="S1188" s="1539"/>
      <c r="T1188" s="1539"/>
      <c r="U1188" s="1539"/>
      <c r="V1188" s="1539"/>
      <c r="W1188" s="1539"/>
      <c r="X1188" s="1539"/>
      <c r="Y1188" s="1539"/>
      <c r="Z1188" s="1539"/>
      <c r="AA1188" s="1539"/>
      <c r="AB1188" s="1539"/>
      <c r="AC1188" s="1539"/>
      <c r="AD1188" s="1539"/>
      <c r="AE1188" s="1539"/>
      <c r="AF1188" s="1539"/>
      <c r="AG1188" s="1539"/>
      <c r="AH1188" s="1539"/>
      <c r="AI1188" s="1539"/>
      <c r="AJ1188" s="1539"/>
      <c r="AK1188" s="1539"/>
      <c r="AL1188" s="1539"/>
      <c r="AM1188" s="1539"/>
      <c r="AN1188" s="1539"/>
      <c r="AO1188" s="1539"/>
      <c r="AP1188" s="1539"/>
      <c r="AQ1188" s="1539"/>
      <c r="AR1188" s="1539"/>
      <c r="AS1188" s="1539"/>
      <c r="AT1188" s="1539"/>
      <c r="AU1188" s="1539"/>
      <c r="AV1188" s="1539"/>
      <c r="AW1188" s="1539"/>
      <c r="AX1188" s="1539"/>
      <c r="AY1188" s="1539"/>
      <c r="AZ1188" s="1539"/>
      <c r="BA1188" s="1539"/>
      <c r="BB1188" s="1539"/>
      <c r="BC1188" s="1539"/>
      <c r="BD1188" s="1539"/>
      <c r="BE1188" s="1539"/>
      <c r="BF1188" s="1539"/>
      <c r="BG1188" s="1539"/>
      <c r="BH1188" s="1539"/>
      <c r="BI1188" s="1539"/>
      <c r="BJ1188" s="1539"/>
      <c r="BK1188" s="1539"/>
      <c r="BL1188" s="1539"/>
      <c r="BM1188" s="1539"/>
      <c r="BN1188" s="1539"/>
      <c r="BO1188" s="1539"/>
      <c r="BP1188" s="1539"/>
      <c r="BQ1188" s="1539"/>
      <c r="BR1188" s="1539"/>
      <c r="BS1188" s="1539"/>
      <c r="BT1188" s="1539"/>
      <c r="BU1188" s="1539"/>
      <c r="BV1188" s="1539"/>
      <c r="BW1188" s="1539"/>
      <c r="BX1188" s="1539"/>
      <c r="BY1188" s="1539"/>
      <c r="BZ1188" s="1539"/>
      <c r="CA1188" s="1539"/>
      <c r="CB1188" s="1539"/>
      <c r="CC1188" s="1539"/>
      <c r="CD1188" s="1539"/>
      <c r="CE1188" s="1539"/>
      <c r="CF1188" s="1539"/>
      <c r="CG1188" s="1539"/>
      <c r="CH1188" s="1539"/>
      <c r="CI1188" s="1539"/>
      <c r="CJ1188" s="1539"/>
      <c r="CK1188" s="1539"/>
      <c r="CL1188" s="1539"/>
      <c r="CM1188" s="1539"/>
      <c r="CN1188" s="1539"/>
      <c r="CO1188" s="1539"/>
    </row>
    <row r="1189" spans="1:93" s="1542" customFormat="1" ht="15.5">
      <c r="A1189" s="1598" t="s">
        <v>592</v>
      </c>
      <c r="B1189" s="1599" t="s">
        <v>2770</v>
      </c>
      <c r="C1189" s="1643" t="e">
        <f>+SUMIF(#REF!,Final!A1189,#REF!)</f>
        <v>#REF!</v>
      </c>
      <c r="D1189" s="1597" t="e">
        <f>+SUMIF(#REF!,Final!A1189,#REF!)</f>
        <v>#REF!</v>
      </c>
      <c r="E1189" s="1643" t="e">
        <f>SUMIF(#REF!,Final!A1189,#REF!)</f>
        <v>#REF!</v>
      </c>
      <c r="F1189" s="1644" t="e">
        <f>SUMIF(#REF!,Final!A1189,#REF!)</f>
        <v>#REF!</v>
      </c>
      <c r="G1189" s="1597" t="e">
        <f t="shared" si="104"/>
        <v>#REF!</v>
      </c>
      <c r="H1189" s="1644" t="e">
        <f t="shared" si="105"/>
        <v>#REF!</v>
      </c>
      <c r="I1189" s="1597" t="e">
        <f t="shared" si="106"/>
        <v>#REF!</v>
      </c>
      <c r="J1189" s="1644" t="e">
        <f t="shared" si="107"/>
        <v>#REF!</v>
      </c>
      <c r="K1189" s="1539"/>
      <c r="L1189" s="1539"/>
      <c r="M1189" s="1545"/>
      <c r="N1189" s="1545"/>
      <c r="O1189" s="1539"/>
      <c r="P1189" s="1539"/>
      <c r="Q1189" s="1539"/>
      <c r="R1189" s="1539"/>
      <c r="S1189" s="1539"/>
      <c r="T1189" s="1539"/>
      <c r="U1189" s="1539"/>
      <c r="V1189" s="1539"/>
      <c r="W1189" s="1539"/>
      <c r="X1189" s="1539"/>
      <c r="Y1189" s="1539"/>
      <c r="Z1189" s="1539"/>
      <c r="AA1189" s="1539"/>
      <c r="AB1189" s="1539"/>
      <c r="AC1189" s="1539"/>
      <c r="AD1189" s="1539"/>
      <c r="AE1189" s="1539"/>
      <c r="AF1189" s="1539"/>
      <c r="AG1189" s="1539"/>
      <c r="AH1189" s="1539"/>
      <c r="AI1189" s="1539"/>
      <c r="AJ1189" s="1539"/>
      <c r="AK1189" s="1539"/>
      <c r="AL1189" s="1539"/>
      <c r="AM1189" s="1539"/>
      <c r="AN1189" s="1539"/>
      <c r="AO1189" s="1539"/>
      <c r="AP1189" s="1539"/>
      <c r="AQ1189" s="1539"/>
      <c r="AR1189" s="1539"/>
      <c r="AS1189" s="1539"/>
      <c r="AT1189" s="1539"/>
      <c r="AU1189" s="1539"/>
      <c r="AV1189" s="1539"/>
      <c r="AW1189" s="1539"/>
      <c r="AX1189" s="1539"/>
      <c r="AY1189" s="1539"/>
      <c r="AZ1189" s="1539"/>
      <c r="BA1189" s="1539"/>
      <c r="BB1189" s="1539"/>
      <c r="BC1189" s="1539"/>
      <c r="BD1189" s="1539"/>
      <c r="BE1189" s="1539"/>
      <c r="BF1189" s="1539"/>
      <c r="BG1189" s="1539"/>
      <c r="BH1189" s="1539"/>
      <c r="BI1189" s="1539"/>
      <c r="BJ1189" s="1539"/>
      <c r="BK1189" s="1539"/>
      <c r="BL1189" s="1539"/>
      <c r="BM1189" s="1539"/>
      <c r="BN1189" s="1539"/>
      <c r="BO1189" s="1539"/>
      <c r="BP1189" s="1539"/>
      <c r="BQ1189" s="1539"/>
      <c r="BR1189" s="1539"/>
      <c r="BS1189" s="1539"/>
      <c r="BT1189" s="1539"/>
      <c r="BU1189" s="1539"/>
      <c r="BV1189" s="1539"/>
      <c r="BW1189" s="1539"/>
      <c r="BX1189" s="1539"/>
      <c r="BY1189" s="1539"/>
      <c r="BZ1189" s="1539"/>
      <c r="CA1189" s="1539"/>
      <c r="CB1189" s="1539"/>
      <c r="CC1189" s="1539"/>
      <c r="CD1189" s="1539"/>
      <c r="CE1189" s="1539"/>
      <c r="CF1189" s="1539"/>
      <c r="CG1189" s="1539"/>
      <c r="CH1189" s="1539"/>
      <c r="CI1189" s="1539"/>
      <c r="CJ1189" s="1539"/>
      <c r="CK1189" s="1539"/>
      <c r="CL1189" s="1539"/>
      <c r="CM1189" s="1539"/>
      <c r="CN1189" s="1539"/>
      <c r="CO1189" s="1539"/>
    </row>
    <row r="1190" spans="1:93" ht="15.5">
      <c r="A1190" s="1598">
        <v>23.800999999999998</v>
      </c>
      <c r="B1190" s="1599" t="s">
        <v>2771</v>
      </c>
      <c r="C1190" s="1643" t="e">
        <f>+SUMIF(#REF!,Final!A1190,#REF!)</f>
        <v>#REF!</v>
      </c>
      <c r="D1190" s="1597" t="e">
        <f>+SUMIF(#REF!,Final!A1190,#REF!)</f>
        <v>#REF!</v>
      </c>
      <c r="E1190" s="1643" t="e">
        <f>SUMIF(#REF!,Final!A1190,#REF!)</f>
        <v>#REF!</v>
      </c>
      <c r="F1190" s="1644" t="e">
        <f>SUMIF(#REF!,Final!A1190,#REF!)</f>
        <v>#REF!</v>
      </c>
      <c r="G1190" s="1597" t="e">
        <f t="shared" si="104"/>
        <v>#REF!</v>
      </c>
      <c r="H1190" s="1644" t="e">
        <f t="shared" si="105"/>
        <v>#REF!</v>
      </c>
      <c r="I1190" s="1597" t="e">
        <f t="shared" si="106"/>
        <v>#REF!</v>
      </c>
      <c r="J1190" s="1644" t="e">
        <f t="shared" si="107"/>
        <v>#REF!</v>
      </c>
      <c r="M1190" s="1545"/>
      <c r="N1190" s="1545"/>
    </row>
    <row r="1191" spans="1:93" ht="15.5">
      <c r="A1191" s="1598">
        <v>23.811</v>
      </c>
      <c r="B1191" s="1599" t="s">
        <v>2772</v>
      </c>
      <c r="C1191" s="1643" t="e">
        <f>+SUMIF(#REF!,Final!A1191,#REF!)</f>
        <v>#REF!</v>
      </c>
      <c r="D1191" s="1597" t="e">
        <f>+SUMIF(#REF!,Final!A1191,#REF!)</f>
        <v>#REF!</v>
      </c>
      <c r="E1191" s="1643" t="e">
        <f>SUMIF(#REF!,Final!A1191,#REF!)</f>
        <v>#REF!</v>
      </c>
      <c r="F1191" s="1644" t="e">
        <f>SUMIF(#REF!,Final!A1191,#REF!)</f>
        <v>#REF!</v>
      </c>
      <c r="G1191" s="1597" t="e">
        <f t="shared" si="104"/>
        <v>#REF!</v>
      </c>
      <c r="H1191" s="1644" t="e">
        <f t="shared" si="105"/>
        <v>#REF!</v>
      </c>
      <c r="I1191" s="1597" t="e">
        <f t="shared" si="106"/>
        <v>#REF!</v>
      </c>
      <c r="J1191" s="1644" t="e">
        <f t="shared" si="107"/>
        <v>#REF!</v>
      </c>
      <c r="M1191" s="1545"/>
      <c r="N1191" s="1545"/>
    </row>
    <row r="1192" spans="1:93" s="1552" customFormat="1" ht="15.5">
      <c r="A1192" s="1598"/>
      <c r="B1192" s="1599" t="s">
        <v>1747</v>
      </c>
      <c r="C1192" s="1643" t="e">
        <f>+SUMIF(#REF!,Final!A1192,#REF!)</f>
        <v>#REF!</v>
      </c>
      <c r="D1192" s="1597" t="e">
        <f>+SUMIF(#REF!,Final!A1192,#REF!)</f>
        <v>#REF!</v>
      </c>
      <c r="E1192" s="1643" t="e">
        <f>SUMIF(#REF!,Final!A1192,#REF!)</f>
        <v>#REF!</v>
      </c>
      <c r="F1192" s="1644" t="e">
        <f>SUMIF(#REF!,Final!A1192,#REF!)</f>
        <v>#REF!</v>
      </c>
      <c r="G1192" s="1597" t="e">
        <f t="shared" si="104"/>
        <v>#REF!</v>
      </c>
      <c r="H1192" s="1644" t="e">
        <f t="shared" si="105"/>
        <v>#REF!</v>
      </c>
      <c r="I1192" s="1597" t="e">
        <f t="shared" si="106"/>
        <v>#REF!</v>
      </c>
      <c r="J1192" s="1644" t="e">
        <f t="shared" si="107"/>
        <v>#REF!</v>
      </c>
      <c r="K1192" s="1539"/>
      <c r="L1192" s="1539"/>
      <c r="M1192" s="1545"/>
      <c r="N1192" s="1545"/>
      <c r="O1192" s="1539"/>
      <c r="P1192" s="1539"/>
      <c r="Q1192" s="1539"/>
      <c r="R1192" s="1539"/>
      <c r="S1192" s="1539"/>
      <c r="T1192" s="1539"/>
      <c r="U1192" s="1539"/>
      <c r="V1192" s="1539"/>
      <c r="W1192" s="1539"/>
      <c r="X1192" s="1539"/>
      <c r="Y1192" s="1539"/>
      <c r="Z1192" s="1539"/>
      <c r="AA1192" s="1539"/>
      <c r="AB1192" s="1539"/>
      <c r="AC1192" s="1539"/>
      <c r="AD1192" s="1539"/>
      <c r="AE1192" s="1539"/>
      <c r="AF1192" s="1539"/>
      <c r="AG1192" s="1539"/>
      <c r="AH1192" s="1539"/>
      <c r="AI1192" s="1539"/>
      <c r="AJ1192" s="1539"/>
      <c r="AK1192" s="1539"/>
      <c r="AL1192" s="1539"/>
      <c r="AM1192" s="1539"/>
      <c r="AN1192" s="1539"/>
      <c r="AO1192" s="1539"/>
      <c r="AP1192" s="1539"/>
      <c r="AQ1192" s="1539"/>
      <c r="AR1192" s="1539"/>
      <c r="AS1192" s="1539"/>
      <c r="AT1192" s="1539"/>
      <c r="AU1192" s="1539"/>
      <c r="AV1192" s="1539"/>
      <c r="AW1192" s="1539"/>
      <c r="AX1192" s="1539"/>
      <c r="AY1192" s="1539"/>
      <c r="AZ1192" s="1539"/>
      <c r="BA1192" s="1539"/>
      <c r="BB1192" s="1539"/>
      <c r="BC1192" s="1539"/>
      <c r="BD1192" s="1539"/>
      <c r="BE1192" s="1539"/>
      <c r="BF1192" s="1539"/>
      <c r="BG1192" s="1539"/>
      <c r="BH1192" s="1539"/>
      <c r="BI1192" s="1539"/>
      <c r="BJ1192" s="1539"/>
      <c r="BK1192" s="1539"/>
      <c r="BL1192" s="1539"/>
      <c r="BM1192" s="1539"/>
      <c r="BN1192" s="1539"/>
      <c r="BO1192" s="1539"/>
      <c r="BP1192" s="1539"/>
      <c r="BQ1192" s="1539"/>
      <c r="BR1192" s="1539"/>
      <c r="BS1192" s="1539"/>
      <c r="BT1192" s="1539"/>
      <c r="BU1192" s="1539"/>
      <c r="BV1192" s="1539"/>
      <c r="BW1192" s="1539"/>
      <c r="BX1192" s="1539"/>
      <c r="BY1192" s="1539"/>
      <c r="BZ1192" s="1539"/>
      <c r="CA1192" s="1539"/>
      <c r="CB1192" s="1539"/>
      <c r="CC1192" s="1539"/>
      <c r="CD1192" s="1539"/>
      <c r="CE1192" s="1539"/>
      <c r="CF1192" s="1539"/>
      <c r="CG1192" s="1539"/>
      <c r="CH1192" s="1539"/>
      <c r="CI1192" s="1539"/>
      <c r="CJ1192" s="1539"/>
      <c r="CK1192" s="1539"/>
      <c r="CL1192" s="1539"/>
      <c r="CM1192" s="1539"/>
      <c r="CN1192" s="1539"/>
      <c r="CO1192" s="1539"/>
    </row>
    <row r="1193" spans="1:93" s="1552" customFormat="1" ht="15.5">
      <c r="A1193" s="1598"/>
      <c r="B1193" s="1599" t="s">
        <v>1760</v>
      </c>
      <c r="C1193" s="1643" t="e">
        <f>+SUMIF(#REF!,Final!A1193,#REF!)</f>
        <v>#REF!</v>
      </c>
      <c r="D1193" s="1597" t="e">
        <f>+SUMIF(#REF!,Final!A1193,#REF!)</f>
        <v>#REF!</v>
      </c>
      <c r="E1193" s="1643" t="e">
        <f>SUMIF(#REF!,Final!A1193,#REF!)</f>
        <v>#REF!</v>
      </c>
      <c r="F1193" s="1644" t="e">
        <f>SUMIF(#REF!,Final!A1193,#REF!)</f>
        <v>#REF!</v>
      </c>
      <c r="G1193" s="1597" t="e">
        <f t="shared" si="104"/>
        <v>#REF!</v>
      </c>
      <c r="H1193" s="1644" t="e">
        <f t="shared" si="105"/>
        <v>#REF!</v>
      </c>
      <c r="I1193" s="1597" t="e">
        <f t="shared" si="106"/>
        <v>#REF!</v>
      </c>
      <c r="J1193" s="1644" t="e">
        <f t="shared" si="107"/>
        <v>#REF!</v>
      </c>
      <c r="K1193" s="1539"/>
      <c r="L1193" s="1539"/>
      <c r="M1193" s="1545"/>
      <c r="N1193" s="1545"/>
      <c r="O1193" s="1539"/>
      <c r="P1193" s="1539"/>
      <c r="Q1193" s="1539"/>
      <c r="R1193" s="1539"/>
      <c r="S1193" s="1539"/>
      <c r="T1193" s="1539"/>
      <c r="U1193" s="1539"/>
      <c r="V1193" s="1539"/>
      <c r="W1193" s="1539"/>
      <c r="X1193" s="1539"/>
      <c r="Y1193" s="1539"/>
      <c r="Z1193" s="1539"/>
      <c r="AA1193" s="1539"/>
      <c r="AB1193" s="1539"/>
      <c r="AC1193" s="1539"/>
      <c r="AD1193" s="1539"/>
      <c r="AE1193" s="1539"/>
      <c r="AF1193" s="1539"/>
      <c r="AG1193" s="1539"/>
      <c r="AH1193" s="1539"/>
      <c r="AI1193" s="1539"/>
      <c r="AJ1193" s="1539"/>
      <c r="AK1193" s="1539"/>
      <c r="AL1193" s="1539"/>
      <c r="AM1193" s="1539"/>
      <c r="AN1193" s="1539"/>
      <c r="AO1193" s="1539"/>
      <c r="AP1193" s="1539"/>
      <c r="AQ1193" s="1539"/>
      <c r="AR1193" s="1539"/>
      <c r="AS1193" s="1539"/>
      <c r="AT1193" s="1539"/>
      <c r="AU1193" s="1539"/>
      <c r="AV1193" s="1539"/>
      <c r="AW1193" s="1539"/>
      <c r="AX1193" s="1539"/>
      <c r="AY1193" s="1539"/>
      <c r="AZ1193" s="1539"/>
      <c r="BA1193" s="1539"/>
      <c r="BB1193" s="1539"/>
      <c r="BC1193" s="1539"/>
      <c r="BD1193" s="1539"/>
      <c r="BE1193" s="1539"/>
      <c r="BF1193" s="1539"/>
      <c r="BG1193" s="1539"/>
      <c r="BH1193" s="1539"/>
      <c r="BI1193" s="1539"/>
      <c r="BJ1193" s="1539"/>
      <c r="BK1193" s="1539"/>
      <c r="BL1193" s="1539"/>
      <c r="BM1193" s="1539"/>
      <c r="BN1193" s="1539"/>
      <c r="BO1193" s="1539"/>
      <c r="BP1193" s="1539"/>
      <c r="BQ1193" s="1539"/>
      <c r="BR1193" s="1539"/>
      <c r="BS1193" s="1539"/>
      <c r="BT1193" s="1539"/>
      <c r="BU1193" s="1539"/>
      <c r="BV1193" s="1539"/>
      <c r="BW1193" s="1539"/>
      <c r="BX1193" s="1539"/>
      <c r="BY1193" s="1539"/>
      <c r="BZ1193" s="1539"/>
      <c r="CA1193" s="1539"/>
      <c r="CB1193" s="1539"/>
      <c r="CC1193" s="1539"/>
      <c r="CD1193" s="1539"/>
      <c r="CE1193" s="1539"/>
      <c r="CF1193" s="1539"/>
      <c r="CG1193" s="1539"/>
      <c r="CH1193" s="1539"/>
      <c r="CI1193" s="1539"/>
      <c r="CJ1193" s="1539"/>
      <c r="CK1193" s="1539"/>
      <c r="CL1193" s="1539"/>
      <c r="CM1193" s="1539"/>
      <c r="CN1193" s="1539"/>
      <c r="CO1193" s="1539"/>
    </row>
    <row r="1194" spans="1:93" s="1542" customFormat="1" ht="15.5">
      <c r="A1194" s="1598" t="s">
        <v>543</v>
      </c>
      <c r="B1194" s="1599" t="s">
        <v>1736</v>
      </c>
      <c r="C1194" s="1643" t="e">
        <f>+SUMIF(#REF!,Final!A1194,#REF!)</f>
        <v>#REF!</v>
      </c>
      <c r="D1194" s="1597" t="e">
        <f>+SUMIF(#REF!,Final!A1194,#REF!)</f>
        <v>#REF!</v>
      </c>
      <c r="E1194" s="1643" t="e">
        <f>SUMIF(#REF!,Final!A1194,#REF!)</f>
        <v>#REF!</v>
      </c>
      <c r="F1194" s="1644" t="e">
        <f>SUMIF(#REF!,Final!A1194,#REF!)</f>
        <v>#REF!</v>
      </c>
      <c r="G1194" s="1597" t="e">
        <f t="shared" si="104"/>
        <v>#REF!</v>
      </c>
      <c r="H1194" s="1644" t="e">
        <f t="shared" si="105"/>
        <v>#REF!</v>
      </c>
      <c r="I1194" s="1597" t="e">
        <f t="shared" si="106"/>
        <v>#REF!</v>
      </c>
      <c r="J1194" s="1644" t="e">
        <f t="shared" si="107"/>
        <v>#REF!</v>
      </c>
      <c r="K1194" s="1539"/>
      <c r="L1194" s="1539"/>
      <c r="M1194" s="1545"/>
      <c r="N1194" s="1545"/>
      <c r="O1194" s="1539"/>
      <c r="P1194" s="1539"/>
      <c r="Q1194" s="1539"/>
      <c r="R1194" s="1539"/>
      <c r="S1194" s="1539"/>
      <c r="T1194" s="1539"/>
      <c r="U1194" s="1539"/>
      <c r="V1194" s="1539"/>
      <c r="W1194" s="1539"/>
      <c r="X1194" s="1539"/>
      <c r="Y1194" s="1539"/>
      <c r="Z1194" s="1539"/>
      <c r="AA1194" s="1539"/>
      <c r="AB1194" s="1539"/>
      <c r="AC1194" s="1539"/>
      <c r="AD1194" s="1539"/>
      <c r="AE1194" s="1539"/>
      <c r="AF1194" s="1539"/>
      <c r="AG1194" s="1539"/>
      <c r="AH1194" s="1539"/>
      <c r="AI1194" s="1539"/>
      <c r="AJ1194" s="1539"/>
      <c r="AK1194" s="1539"/>
      <c r="AL1194" s="1539"/>
      <c r="AM1194" s="1539"/>
      <c r="AN1194" s="1539"/>
      <c r="AO1194" s="1539"/>
      <c r="AP1194" s="1539"/>
      <c r="AQ1194" s="1539"/>
      <c r="AR1194" s="1539"/>
      <c r="AS1194" s="1539"/>
      <c r="AT1194" s="1539"/>
      <c r="AU1194" s="1539"/>
      <c r="AV1194" s="1539"/>
      <c r="AW1194" s="1539"/>
      <c r="AX1194" s="1539"/>
      <c r="AY1194" s="1539"/>
      <c r="AZ1194" s="1539"/>
      <c r="BA1194" s="1539"/>
      <c r="BB1194" s="1539"/>
      <c r="BC1194" s="1539"/>
      <c r="BD1194" s="1539"/>
      <c r="BE1194" s="1539"/>
      <c r="BF1194" s="1539"/>
      <c r="BG1194" s="1539"/>
      <c r="BH1194" s="1539"/>
      <c r="BI1194" s="1539"/>
      <c r="BJ1194" s="1539"/>
      <c r="BK1194" s="1539"/>
      <c r="BL1194" s="1539"/>
      <c r="BM1194" s="1539"/>
      <c r="BN1194" s="1539"/>
      <c r="BO1194" s="1539"/>
      <c r="BP1194" s="1539"/>
      <c r="BQ1194" s="1539"/>
      <c r="BR1194" s="1539"/>
      <c r="BS1194" s="1539"/>
      <c r="BT1194" s="1539"/>
      <c r="BU1194" s="1539"/>
      <c r="BV1194" s="1539"/>
      <c r="BW1194" s="1539"/>
      <c r="BX1194" s="1539"/>
      <c r="BY1194" s="1539"/>
      <c r="BZ1194" s="1539"/>
      <c r="CA1194" s="1539"/>
      <c r="CB1194" s="1539"/>
      <c r="CC1194" s="1539"/>
      <c r="CD1194" s="1539"/>
      <c r="CE1194" s="1539"/>
      <c r="CF1194" s="1539"/>
      <c r="CG1194" s="1539"/>
      <c r="CH1194" s="1539"/>
      <c r="CI1194" s="1539"/>
      <c r="CJ1194" s="1539"/>
      <c r="CK1194" s="1539"/>
      <c r="CL1194" s="1539"/>
      <c r="CM1194" s="1539"/>
      <c r="CN1194" s="1539"/>
      <c r="CO1194" s="1539"/>
    </row>
    <row r="1195" spans="1:93" ht="15.5">
      <c r="A1195" s="1598">
        <v>23.901</v>
      </c>
      <c r="B1195" s="1599" t="s">
        <v>666</v>
      </c>
      <c r="C1195" s="1643" t="e">
        <f>+SUMIF(#REF!,Final!A1195,#REF!)</f>
        <v>#REF!</v>
      </c>
      <c r="D1195" s="1597" t="e">
        <f>+SUMIF(#REF!,Final!A1195,#REF!)</f>
        <v>#REF!</v>
      </c>
      <c r="E1195" s="1643" t="e">
        <f>SUMIF(#REF!,Final!A1195,#REF!)</f>
        <v>#REF!</v>
      </c>
      <c r="F1195" s="1644" t="e">
        <f>SUMIF(#REF!,Final!A1195,#REF!)</f>
        <v>#REF!</v>
      </c>
      <c r="G1195" s="1597" t="e">
        <f t="shared" si="104"/>
        <v>#REF!</v>
      </c>
      <c r="H1195" s="1644" t="e">
        <f t="shared" si="105"/>
        <v>#REF!</v>
      </c>
      <c r="I1195" s="1597" t="e">
        <f t="shared" si="106"/>
        <v>#REF!</v>
      </c>
      <c r="J1195" s="1644" t="e">
        <f t="shared" si="107"/>
        <v>#REF!</v>
      </c>
      <c r="M1195" s="1545"/>
      <c r="N1195" s="1545"/>
    </row>
    <row r="1196" spans="1:93" ht="15.5">
      <c r="A1196" s="1598">
        <v>23.902000000000001</v>
      </c>
      <c r="B1196" s="1599" t="s">
        <v>1335</v>
      </c>
      <c r="C1196" s="1643" t="e">
        <f>+SUMIF(#REF!,Final!A1196,#REF!)</f>
        <v>#REF!</v>
      </c>
      <c r="D1196" s="1597" t="e">
        <f>+SUMIF(#REF!,Final!A1196,#REF!)</f>
        <v>#REF!</v>
      </c>
      <c r="E1196" s="1643" t="e">
        <f>SUMIF(#REF!,Final!A1196,#REF!)</f>
        <v>#REF!</v>
      </c>
      <c r="F1196" s="1644" t="e">
        <f>SUMIF(#REF!,Final!A1196,#REF!)</f>
        <v>#REF!</v>
      </c>
      <c r="G1196" s="1597" t="e">
        <f t="shared" si="104"/>
        <v>#REF!</v>
      </c>
      <c r="H1196" s="1644" t="e">
        <f t="shared" si="105"/>
        <v>#REF!</v>
      </c>
      <c r="I1196" s="1597" t="e">
        <f t="shared" si="106"/>
        <v>#REF!</v>
      </c>
      <c r="J1196" s="1644" t="e">
        <f t="shared" si="107"/>
        <v>#REF!</v>
      </c>
      <c r="M1196" s="1545"/>
      <c r="N1196" s="1545"/>
    </row>
    <row r="1197" spans="1:93" ht="15.5">
      <c r="A1197" s="1598">
        <v>23.902999999999999</v>
      </c>
      <c r="B1197" s="1599" t="s">
        <v>1899</v>
      </c>
      <c r="C1197" s="1643" t="e">
        <f>+SUMIF(#REF!,Final!A1197,#REF!)</f>
        <v>#REF!</v>
      </c>
      <c r="D1197" s="1597" t="e">
        <f>+SUMIF(#REF!,Final!A1197,#REF!)</f>
        <v>#REF!</v>
      </c>
      <c r="E1197" s="1643" t="e">
        <f>SUMIF(#REF!,Final!A1197,#REF!)</f>
        <v>#REF!</v>
      </c>
      <c r="F1197" s="1644" t="e">
        <f>SUMIF(#REF!,Final!A1197,#REF!)</f>
        <v>#REF!</v>
      </c>
      <c r="G1197" s="1597" t="e">
        <f t="shared" si="104"/>
        <v>#REF!</v>
      </c>
      <c r="H1197" s="1644" t="e">
        <f t="shared" si="105"/>
        <v>#REF!</v>
      </c>
      <c r="I1197" s="1597" t="e">
        <f t="shared" si="106"/>
        <v>#REF!</v>
      </c>
      <c r="J1197" s="1644" t="e">
        <f t="shared" si="107"/>
        <v>#REF!</v>
      </c>
      <c r="M1197" s="1545"/>
      <c r="N1197" s="1545"/>
    </row>
    <row r="1198" spans="1:93" s="1542" customFormat="1" ht="15.5">
      <c r="A1198" s="1598">
        <v>23.904</v>
      </c>
      <c r="B1198" s="1599" t="s">
        <v>1900</v>
      </c>
      <c r="C1198" s="1643" t="e">
        <f>+SUMIF(#REF!,Final!A1198,#REF!)</f>
        <v>#REF!</v>
      </c>
      <c r="D1198" s="1597" t="e">
        <f>+SUMIF(#REF!,Final!A1198,#REF!)</f>
        <v>#REF!</v>
      </c>
      <c r="E1198" s="1643" t="e">
        <f>SUMIF(#REF!,Final!A1198,#REF!)</f>
        <v>#REF!</v>
      </c>
      <c r="F1198" s="1644" t="e">
        <f>SUMIF(#REF!,Final!A1198,#REF!)</f>
        <v>#REF!</v>
      </c>
      <c r="G1198" s="1597" t="e">
        <f t="shared" si="104"/>
        <v>#REF!</v>
      </c>
      <c r="H1198" s="1644" t="e">
        <f t="shared" si="105"/>
        <v>#REF!</v>
      </c>
      <c r="I1198" s="1597" t="e">
        <f t="shared" si="106"/>
        <v>#REF!</v>
      </c>
      <c r="J1198" s="1644" t="e">
        <f t="shared" si="107"/>
        <v>#REF!</v>
      </c>
      <c r="K1198" s="1539"/>
      <c r="L1198" s="1539"/>
      <c r="M1198" s="1545"/>
      <c r="N1198" s="1545"/>
      <c r="O1198" s="1539"/>
      <c r="P1198" s="1539"/>
      <c r="Q1198" s="1539"/>
      <c r="R1198" s="1539"/>
      <c r="S1198" s="1539"/>
      <c r="T1198" s="1539"/>
      <c r="U1198" s="1539"/>
      <c r="V1198" s="1539"/>
      <c r="W1198" s="1539"/>
      <c r="X1198" s="1539"/>
      <c r="Y1198" s="1539"/>
      <c r="Z1198" s="1539"/>
      <c r="AA1198" s="1539"/>
      <c r="AB1198" s="1539"/>
      <c r="AC1198" s="1539"/>
      <c r="AD1198" s="1539"/>
      <c r="AE1198" s="1539"/>
      <c r="AF1198" s="1539"/>
      <c r="AG1198" s="1539"/>
      <c r="AH1198" s="1539"/>
      <c r="AI1198" s="1539"/>
      <c r="AJ1198" s="1539"/>
      <c r="AK1198" s="1539"/>
      <c r="AL1198" s="1539"/>
      <c r="AM1198" s="1539"/>
      <c r="AN1198" s="1539"/>
      <c r="AO1198" s="1539"/>
      <c r="AP1198" s="1539"/>
      <c r="AQ1198" s="1539"/>
      <c r="AR1198" s="1539"/>
      <c r="AS1198" s="1539"/>
      <c r="AT1198" s="1539"/>
      <c r="AU1198" s="1539"/>
      <c r="AV1198" s="1539"/>
      <c r="AW1198" s="1539"/>
      <c r="AX1198" s="1539"/>
      <c r="AY1198" s="1539"/>
      <c r="AZ1198" s="1539"/>
      <c r="BA1198" s="1539"/>
      <c r="BB1198" s="1539"/>
      <c r="BC1198" s="1539"/>
      <c r="BD1198" s="1539"/>
      <c r="BE1198" s="1539"/>
      <c r="BF1198" s="1539"/>
      <c r="BG1198" s="1539"/>
      <c r="BH1198" s="1539"/>
      <c r="BI1198" s="1539"/>
      <c r="BJ1198" s="1539"/>
      <c r="BK1198" s="1539"/>
      <c r="BL1198" s="1539"/>
      <c r="BM1198" s="1539"/>
      <c r="BN1198" s="1539"/>
      <c r="BO1198" s="1539"/>
      <c r="BP1198" s="1539"/>
      <c r="BQ1198" s="1539"/>
      <c r="BR1198" s="1539"/>
      <c r="BS1198" s="1539"/>
      <c r="BT1198" s="1539"/>
      <c r="BU1198" s="1539"/>
      <c r="BV1198" s="1539"/>
      <c r="BW1198" s="1539"/>
      <c r="BX1198" s="1539"/>
      <c r="BY1198" s="1539"/>
      <c r="BZ1198" s="1539"/>
      <c r="CA1198" s="1539"/>
      <c r="CB1198" s="1539"/>
      <c r="CC1198" s="1539"/>
      <c r="CD1198" s="1539"/>
      <c r="CE1198" s="1539"/>
      <c r="CF1198" s="1539"/>
      <c r="CG1198" s="1539"/>
      <c r="CH1198" s="1539"/>
      <c r="CI1198" s="1539"/>
      <c r="CJ1198" s="1539"/>
      <c r="CK1198" s="1539"/>
      <c r="CL1198" s="1539"/>
      <c r="CM1198" s="1539"/>
      <c r="CN1198" s="1539"/>
      <c r="CO1198" s="1539"/>
    </row>
    <row r="1199" spans="1:93" ht="15.5">
      <c r="A1199" s="1598">
        <v>23.905000000000001</v>
      </c>
      <c r="B1199" s="1599" t="s">
        <v>890</v>
      </c>
      <c r="C1199" s="1643" t="e">
        <f>+SUMIF(#REF!,Final!A1199,#REF!)</f>
        <v>#REF!</v>
      </c>
      <c r="D1199" s="1597" t="e">
        <f>+SUMIF(#REF!,Final!A1199,#REF!)</f>
        <v>#REF!</v>
      </c>
      <c r="E1199" s="1643" t="e">
        <f>SUMIF(#REF!,Final!A1199,#REF!)</f>
        <v>#REF!</v>
      </c>
      <c r="F1199" s="1644" t="e">
        <f>SUMIF(#REF!,Final!A1199,#REF!)</f>
        <v>#REF!</v>
      </c>
      <c r="G1199" s="1597" t="e">
        <f t="shared" si="104"/>
        <v>#REF!</v>
      </c>
      <c r="H1199" s="1644" t="e">
        <f t="shared" si="105"/>
        <v>#REF!</v>
      </c>
      <c r="I1199" s="1597" t="e">
        <f t="shared" si="106"/>
        <v>#REF!</v>
      </c>
      <c r="J1199" s="1644" t="e">
        <f t="shared" si="107"/>
        <v>#REF!</v>
      </c>
      <c r="M1199" s="1545"/>
      <c r="N1199" s="1545"/>
    </row>
    <row r="1200" spans="1:93" ht="15.5">
      <c r="A1200" s="1598">
        <v>23.905999999999999</v>
      </c>
      <c r="B1200" s="1599" t="s">
        <v>892</v>
      </c>
      <c r="C1200" s="1643" t="e">
        <f>+SUMIF(#REF!,Final!A1200,#REF!)</f>
        <v>#REF!</v>
      </c>
      <c r="D1200" s="1597" t="e">
        <f>+SUMIF(#REF!,Final!A1200,#REF!)</f>
        <v>#REF!</v>
      </c>
      <c r="E1200" s="1643" t="e">
        <f>SUMIF(#REF!,Final!A1200,#REF!)</f>
        <v>#REF!</v>
      </c>
      <c r="F1200" s="1644" t="e">
        <f>SUMIF(#REF!,Final!A1200,#REF!)</f>
        <v>#REF!</v>
      </c>
      <c r="G1200" s="1597" t="e">
        <f t="shared" si="104"/>
        <v>#REF!</v>
      </c>
      <c r="H1200" s="1644" t="e">
        <f t="shared" si="105"/>
        <v>#REF!</v>
      </c>
      <c r="I1200" s="1597" t="e">
        <f t="shared" si="106"/>
        <v>#REF!</v>
      </c>
      <c r="J1200" s="1644" t="e">
        <f t="shared" si="107"/>
        <v>#REF!</v>
      </c>
      <c r="M1200" s="1545"/>
      <c r="N1200" s="1545"/>
    </row>
    <row r="1201" spans="1:93" ht="15.5">
      <c r="A1201" s="1598">
        <v>23.907</v>
      </c>
      <c r="B1201" s="1599" t="s">
        <v>893</v>
      </c>
      <c r="C1201" s="1643" t="e">
        <f>+SUMIF(#REF!,Final!A1201,#REF!)</f>
        <v>#REF!</v>
      </c>
      <c r="D1201" s="1597" t="e">
        <f>+SUMIF(#REF!,Final!A1201,#REF!)</f>
        <v>#REF!</v>
      </c>
      <c r="E1201" s="1643" t="e">
        <f>SUMIF(#REF!,Final!A1201,#REF!)</f>
        <v>#REF!</v>
      </c>
      <c r="F1201" s="1644" t="e">
        <f>SUMIF(#REF!,Final!A1201,#REF!)</f>
        <v>#REF!</v>
      </c>
      <c r="G1201" s="1597" t="e">
        <f t="shared" si="104"/>
        <v>#REF!</v>
      </c>
      <c r="H1201" s="1644" t="e">
        <f t="shared" si="105"/>
        <v>#REF!</v>
      </c>
      <c r="I1201" s="1597" t="e">
        <f t="shared" si="106"/>
        <v>#REF!</v>
      </c>
      <c r="J1201" s="1644" t="e">
        <f t="shared" si="107"/>
        <v>#REF!</v>
      </c>
      <c r="M1201" s="1545"/>
      <c r="N1201" s="1545"/>
    </row>
    <row r="1202" spans="1:93" ht="15.5">
      <c r="A1202" s="1598">
        <v>23.908000000000001</v>
      </c>
      <c r="B1202" s="1599" t="s">
        <v>539</v>
      </c>
      <c r="C1202" s="1643" t="e">
        <f>+SUMIF(#REF!,Final!A1202,#REF!)</f>
        <v>#REF!</v>
      </c>
      <c r="D1202" s="1597" t="e">
        <f>+SUMIF(#REF!,Final!A1202,#REF!)</f>
        <v>#REF!</v>
      </c>
      <c r="E1202" s="1643" t="e">
        <f>SUMIF(#REF!,Final!A1202,#REF!)</f>
        <v>#REF!</v>
      </c>
      <c r="F1202" s="1644" t="e">
        <f>SUMIF(#REF!,Final!A1202,#REF!)</f>
        <v>#REF!</v>
      </c>
      <c r="G1202" s="1597" t="e">
        <f t="shared" si="104"/>
        <v>#REF!</v>
      </c>
      <c r="H1202" s="1644" t="e">
        <f t="shared" si="105"/>
        <v>#REF!</v>
      </c>
      <c r="I1202" s="1597" t="e">
        <f t="shared" si="106"/>
        <v>#REF!</v>
      </c>
      <c r="J1202" s="1644" t="e">
        <f t="shared" si="107"/>
        <v>#REF!</v>
      </c>
      <c r="M1202" s="1545"/>
      <c r="N1202" s="1545"/>
    </row>
    <row r="1203" spans="1:93" ht="15.5">
      <c r="A1203" s="1598">
        <v>23.91</v>
      </c>
      <c r="B1203" s="1599" t="s">
        <v>1901</v>
      </c>
      <c r="C1203" s="1643" t="e">
        <f>+SUMIF(#REF!,Final!A1203,#REF!)</f>
        <v>#REF!</v>
      </c>
      <c r="D1203" s="1597" t="e">
        <f>+SUMIF(#REF!,Final!A1203,#REF!)</f>
        <v>#REF!</v>
      </c>
      <c r="E1203" s="1643" t="e">
        <f>SUMIF(#REF!,Final!A1203,#REF!)</f>
        <v>#REF!</v>
      </c>
      <c r="F1203" s="1644" t="e">
        <f>SUMIF(#REF!,Final!A1203,#REF!)</f>
        <v>#REF!</v>
      </c>
      <c r="G1203" s="1597" t="e">
        <f t="shared" si="104"/>
        <v>#REF!</v>
      </c>
      <c r="H1203" s="1644" t="e">
        <f t="shared" si="105"/>
        <v>#REF!</v>
      </c>
      <c r="I1203" s="1597" t="e">
        <f t="shared" si="106"/>
        <v>#REF!</v>
      </c>
      <c r="J1203" s="1644" t="e">
        <f t="shared" si="107"/>
        <v>#REF!</v>
      </c>
      <c r="M1203" s="1545"/>
      <c r="N1203" s="1545"/>
    </row>
    <row r="1204" spans="1:93" ht="15.5">
      <c r="A1204" s="1598">
        <v>23.911000000000001</v>
      </c>
      <c r="B1204" s="1599" t="s">
        <v>1902</v>
      </c>
      <c r="C1204" s="1643" t="e">
        <f>+SUMIF(#REF!,Final!A1204,#REF!)</f>
        <v>#REF!</v>
      </c>
      <c r="D1204" s="1597" t="e">
        <f>+SUMIF(#REF!,Final!A1204,#REF!)</f>
        <v>#REF!</v>
      </c>
      <c r="E1204" s="1643" t="e">
        <f>SUMIF(#REF!,Final!A1204,#REF!)</f>
        <v>#REF!</v>
      </c>
      <c r="F1204" s="1644" t="e">
        <f>SUMIF(#REF!,Final!A1204,#REF!)</f>
        <v>#REF!</v>
      </c>
      <c r="G1204" s="1597" t="e">
        <f t="shared" si="104"/>
        <v>#REF!</v>
      </c>
      <c r="H1204" s="1644" t="e">
        <f t="shared" si="105"/>
        <v>#REF!</v>
      </c>
      <c r="I1204" s="1597" t="e">
        <f t="shared" si="106"/>
        <v>#REF!</v>
      </c>
      <c r="J1204" s="1644" t="e">
        <f t="shared" si="107"/>
        <v>#REF!</v>
      </c>
      <c r="M1204" s="1545"/>
      <c r="N1204" s="1545"/>
    </row>
    <row r="1205" spans="1:93" ht="15.5">
      <c r="A1205" s="1598">
        <v>23.913</v>
      </c>
      <c r="B1205" s="1599" t="s">
        <v>2741</v>
      </c>
      <c r="C1205" s="1643" t="e">
        <f>+SUMIF(#REF!,Final!A1205,#REF!)</f>
        <v>#REF!</v>
      </c>
      <c r="D1205" s="1597" t="e">
        <f>+SUMIF(#REF!,Final!A1205,#REF!)</f>
        <v>#REF!</v>
      </c>
      <c r="E1205" s="1643" t="e">
        <f>SUMIF(#REF!,Final!A1205,#REF!)</f>
        <v>#REF!</v>
      </c>
      <c r="F1205" s="1644" t="e">
        <f>SUMIF(#REF!,Final!A1205,#REF!)</f>
        <v>#REF!</v>
      </c>
      <c r="G1205" s="1597" t="e">
        <f t="shared" si="104"/>
        <v>#REF!</v>
      </c>
      <c r="H1205" s="1644" t="e">
        <f t="shared" si="105"/>
        <v>#REF!</v>
      </c>
      <c r="I1205" s="1597" t="e">
        <f t="shared" si="106"/>
        <v>#REF!</v>
      </c>
      <c r="J1205" s="1644" t="e">
        <f t="shared" si="107"/>
        <v>#REF!</v>
      </c>
      <c r="M1205" s="1545"/>
      <c r="N1205" s="1545"/>
    </row>
    <row r="1206" spans="1:93" ht="15.5">
      <c r="A1206" s="1598">
        <v>23.914999999999999</v>
      </c>
      <c r="B1206" s="1599" t="s">
        <v>669</v>
      </c>
      <c r="C1206" s="1643" t="e">
        <f>+SUMIF(#REF!,Final!A1206,#REF!)</f>
        <v>#REF!</v>
      </c>
      <c r="D1206" s="1597" t="e">
        <f>+SUMIF(#REF!,Final!A1206,#REF!)</f>
        <v>#REF!</v>
      </c>
      <c r="E1206" s="1643" t="e">
        <f>SUMIF(#REF!,Final!A1206,#REF!)</f>
        <v>#REF!</v>
      </c>
      <c r="F1206" s="1644" t="e">
        <f>SUMIF(#REF!,Final!A1206,#REF!)</f>
        <v>#REF!</v>
      </c>
      <c r="G1206" s="1597" t="e">
        <f t="shared" si="104"/>
        <v>#REF!</v>
      </c>
      <c r="H1206" s="1644" t="e">
        <f t="shared" si="105"/>
        <v>#REF!</v>
      </c>
      <c r="I1206" s="1597" t="e">
        <f t="shared" si="106"/>
        <v>#REF!</v>
      </c>
      <c r="J1206" s="1644" t="e">
        <f t="shared" si="107"/>
        <v>#REF!</v>
      </c>
      <c r="M1206" s="1545"/>
      <c r="N1206" s="1545"/>
    </row>
    <row r="1207" spans="1:93" ht="15.5">
      <c r="A1207" s="1598">
        <v>23.916</v>
      </c>
      <c r="B1207" s="1599" t="s">
        <v>2773</v>
      </c>
      <c r="C1207" s="1643" t="e">
        <f>+SUMIF(#REF!,Final!A1207,#REF!)</f>
        <v>#REF!</v>
      </c>
      <c r="D1207" s="1597" t="e">
        <f>+SUMIF(#REF!,Final!A1207,#REF!)</f>
        <v>#REF!</v>
      </c>
      <c r="E1207" s="1643" t="e">
        <f>SUMIF(#REF!,Final!A1207,#REF!)</f>
        <v>#REF!</v>
      </c>
      <c r="F1207" s="1644" t="e">
        <f>SUMIF(#REF!,Final!A1207,#REF!)</f>
        <v>#REF!</v>
      </c>
      <c r="G1207" s="1597" t="e">
        <f t="shared" si="104"/>
        <v>#REF!</v>
      </c>
      <c r="H1207" s="1644" t="e">
        <f t="shared" si="105"/>
        <v>#REF!</v>
      </c>
      <c r="I1207" s="1597" t="e">
        <f t="shared" si="106"/>
        <v>#REF!</v>
      </c>
      <c r="J1207" s="1644" t="e">
        <f t="shared" si="107"/>
        <v>#REF!</v>
      </c>
      <c r="M1207" s="1545"/>
      <c r="N1207" s="1545"/>
    </row>
    <row r="1208" spans="1:93" ht="15.5">
      <c r="A1208" s="1598">
        <v>23.917000000000002</v>
      </c>
      <c r="B1208" s="1599" t="s">
        <v>2774</v>
      </c>
      <c r="C1208" s="1643" t="e">
        <f>+SUMIF(#REF!,Final!A1208,#REF!)</f>
        <v>#REF!</v>
      </c>
      <c r="D1208" s="1597" t="e">
        <f>+SUMIF(#REF!,Final!A1208,#REF!)</f>
        <v>#REF!</v>
      </c>
      <c r="E1208" s="1643" t="e">
        <f>SUMIF(#REF!,Final!A1208,#REF!)</f>
        <v>#REF!</v>
      </c>
      <c r="F1208" s="1644" t="e">
        <f>SUMIF(#REF!,Final!A1208,#REF!)</f>
        <v>#REF!</v>
      </c>
      <c r="G1208" s="1597" t="e">
        <f t="shared" si="104"/>
        <v>#REF!</v>
      </c>
      <c r="H1208" s="1644" t="e">
        <f t="shared" si="105"/>
        <v>#REF!</v>
      </c>
      <c r="I1208" s="1597" t="e">
        <f t="shared" si="106"/>
        <v>#REF!</v>
      </c>
      <c r="J1208" s="1644" t="e">
        <f t="shared" si="107"/>
        <v>#REF!</v>
      </c>
      <c r="M1208" s="1545"/>
      <c r="N1208" s="1545"/>
    </row>
    <row r="1209" spans="1:93" ht="15.5">
      <c r="A1209" s="1598">
        <v>23.917999999999999</v>
      </c>
      <c r="B1209" s="1599" t="s">
        <v>2775</v>
      </c>
      <c r="C1209" s="1643" t="e">
        <f>+SUMIF(#REF!,Final!A1209,#REF!)</f>
        <v>#REF!</v>
      </c>
      <c r="D1209" s="1597" t="e">
        <f>+SUMIF(#REF!,Final!A1209,#REF!)</f>
        <v>#REF!</v>
      </c>
      <c r="E1209" s="1643" t="e">
        <f>SUMIF(#REF!,Final!A1209,#REF!)</f>
        <v>#REF!</v>
      </c>
      <c r="F1209" s="1644" t="e">
        <f>SUMIF(#REF!,Final!A1209,#REF!)</f>
        <v>#REF!</v>
      </c>
      <c r="G1209" s="1597" t="e">
        <f t="shared" si="104"/>
        <v>#REF!</v>
      </c>
      <c r="H1209" s="1644" t="e">
        <f t="shared" si="105"/>
        <v>#REF!</v>
      </c>
      <c r="I1209" s="1597" t="e">
        <f t="shared" si="106"/>
        <v>#REF!</v>
      </c>
      <c r="J1209" s="1644" t="e">
        <f t="shared" si="107"/>
        <v>#REF!</v>
      </c>
      <c r="M1209" s="1545"/>
      <c r="N1209" s="1545"/>
    </row>
    <row r="1210" spans="1:93" s="1543" customFormat="1" ht="15.5">
      <c r="A1210" s="1598">
        <v>23.919</v>
      </c>
      <c r="B1210" s="1599" t="s">
        <v>423</v>
      </c>
      <c r="C1210" s="1643" t="e">
        <f>+SUMIF(#REF!,Final!A1210,#REF!)</f>
        <v>#REF!</v>
      </c>
      <c r="D1210" s="1597" t="e">
        <f>+SUMIF(#REF!,Final!A1210,#REF!)</f>
        <v>#REF!</v>
      </c>
      <c r="E1210" s="1643" t="e">
        <f>SUMIF(#REF!,Final!A1210,#REF!)</f>
        <v>#REF!</v>
      </c>
      <c r="F1210" s="1644" t="e">
        <f>SUMIF(#REF!,Final!A1210,#REF!)</f>
        <v>#REF!</v>
      </c>
      <c r="G1210" s="1597" t="e">
        <f t="shared" si="104"/>
        <v>#REF!</v>
      </c>
      <c r="H1210" s="1644" t="e">
        <f t="shared" si="105"/>
        <v>#REF!</v>
      </c>
      <c r="I1210" s="1597" t="e">
        <f t="shared" si="106"/>
        <v>#REF!</v>
      </c>
      <c r="J1210" s="1644" t="e">
        <f t="shared" si="107"/>
        <v>#REF!</v>
      </c>
      <c r="K1210" s="1539"/>
      <c r="L1210" s="1539"/>
      <c r="M1210" s="1545"/>
      <c r="N1210" s="1545"/>
      <c r="O1210" s="1539"/>
      <c r="P1210" s="1539"/>
      <c r="Q1210" s="1539"/>
      <c r="R1210" s="1539"/>
      <c r="S1210" s="1539"/>
      <c r="T1210" s="1539"/>
      <c r="U1210" s="1539"/>
      <c r="V1210" s="1539"/>
      <c r="W1210" s="1539"/>
      <c r="X1210" s="1539"/>
      <c r="Y1210" s="1539"/>
      <c r="Z1210" s="1539"/>
      <c r="AA1210" s="1539"/>
      <c r="AB1210" s="1539"/>
      <c r="AC1210" s="1539"/>
      <c r="AD1210" s="1539"/>
      <c r="AE1210" s="1539"/>
      <c r="AF1210" s="1539"/>
      <c r="AG1210" s="1539"/>
      <c r="AH1210" s="1539"/>
      <c r="AI1210" s="1539"/>
      <c r="AJ1210" s="1539"/>
      <c r="AK1210" s="1539"/>
      <c r="AL1210" s="1539"/>
      <c r="AM1210" s="1539"/>
      <c r="AN1210" s="1539"/>
      <c r="AO1210" s="1539"/>
      <c r="AP1210" s="1539"/>
      <c r="AQ1210" s="1539"/>
      <c r="AR1210" s="1539"/>
      <c r="AS1210" s="1539"/>
      <c r="AT1210" s="1539"/>
      <c r="AU1210" s="1539"/>
      <c r="AV1210" s="1539"/>
      <c r="AW1210" s="1539"/>
      <c r="AX1210" s="1539"/>
      <c r="AY1210" s="1539"/>
      <c r="AZ1210" s="1539"/>
      <c r="BA1210" s="1539"/>
      <c r="BB1210" s="1539"/>
      <c r="BC1210" s="1539"/>
      <c r="BD1210" s="1539"/>
      <c r="BE1210" s="1539"/>
      <c r="BF1210" s="1539"/>
      <c r="BG1210" s="1539"/>
      <c r="BH1210" s="1539"/>
      <c r="BI1210" s="1539"/>
      <c r="BJ1210" s="1539"/>
      <c r="BK1210" s="1539"/>
      <c r="BL1210" s="1539"/>
      <c r="BM1210" s="1539"/>
      <c r="BN1210" s="1539"/>
      <c r="BO1210" s="1539"/>
      <c r="BP1210" s="1539"/>
      <c r="BQ1210" s="1539"/>
      <c r="BR1210" s="1539"/>
      <c r="BS1210" s="1539"/>
      <c r="BT1210" s="1539"/>
      <c r="BU1210" s="1539"/>
      <c r="BV1210" s="1539"/>
      <c r="BW1210" s="1539"/>
      <c r="BX1210" s="1539"/>
      <c r="BY1210" s="1539"/>
      <c r="BZ1210" s="1539"/>
      <c r="CA1210" s="1539"/>
      <c r="CB1210" s="1539"/>
      <c r="CC1210" s="1539"/>
      <c r="CD1210" s="1539"/>
      <c r="CE1210" s="1539"/>
      <c r="CF1210" s="1539"/>
      <c r="CG1210" s="1539"/>
      <c r="CH1210" s="1539"/>
      <c r="CI1210" s="1539"/>
      <c r="CJ1210" s="1539"/>
      <c r="CK1210" s="1539"/>
      <c r="CL1210" s="1539"/>
      <c r="CM1210" s="1539"/>
      <c r="CN1210" s="1539"/>
      <c r="CO1210" s="1539"/>
    </row>
    <row r="1211" spans="1:93" s="1543" customFormat="1" ht="15.5">
      <c r="A1211" s="1598">
        <v>23.92</v>
      </c>
      <c r="B1211" s="1599" t="s">
        <v>1905</v>
      </c>
      <c r="C1211" s="1643" t="e">
        <f>+SUMIF(#REF!,Final!A1211,#REF!)</f>
        <v>#REF!</v>
      </c>
      <c r="D1211" s="1597" t="e">
        <f>+SUMIF(#REF!,Final!A1211,#REF!)</f>
        <v>#REF!</v>
      </c>
      <c r="E1211" s="1643" t="e">
        <f>SUMIF(#REF!,Final!A1211,#REF!)</f>
        <v>#REF!</v>
      </c>
      <c r="F1211" s="1644" t="e">
        <f>SUMIF(#REF!,Final!A1211,#REF!)</f>
        <v>#REF!</v>
      </c>
      <c r="G1211" s="1597" t="e">
        <f t="shared" si="104"/>
        <v>#REF!</v>
      </c>
      <c r="H1211" s="1644" t="e">
        <f t="shared" si="105"/>
        <v>#REF!</v>
      </c>
      <c r="I1211" s="1597" t="e">
        <f t="shared" si="106"/>
        <v>#REF!</v>
      </c>
      <c r="J1211" s="1644" t="e">
        <f t="shared" si="107"/>
        <v>#REF!</v>
      </c>
      <c r="K1211" s="1539"/>
      <c r="L1211" s="1539"/>
      <c r="M1211" s="1545"/>
      <c r="N1211" s="1545"/>
      <c r="O1211" s="1539"/>
      <c r="P1211" s="1539"/>
      <c r="Q1211" s="1539"/>
      <c r="R1211" s="1539"/>
      <c r="S1211" s="1539"/>
      <c r="T1211" s="1539"/>
      <c r="U1211" s="1539"/>
      <c r="V1211" s="1539"/>
      <c r="W1211" s="1539"/>
      <c r="X1211" s="1539"/>
      <c r="Y1211" s="1539"/>
      <c r="Z1211" s="1539"/>
      <c r="AA1211" s="1539"/>
      <c r="AB1211" s="1539"/>
      <c r="AC1211" s="1539"/>
      <c r="AD1211" s="1539"/>
      <c r="AE1211" s="1539"/>
      <c r="AF1211" s="1539"/>
      <c r="AG1211" s="1539"/>
      <c r="AH1211" s="1539"/>
      <c r="AI1211" s="1539"/>
      <c r="AJ1211" s="1539"/>
      <c r="AK1211" s="1539"/>
      <c r="AL1211" s="1539"/>
      <c r="AM1211" s="1539"/>
      <c r="AN1211" s="1539"/>
      <c r="AO1211" s="1539"/>
      <c r="AP1211" s="1539"/>
      <c r="AQ1211" s="1539"/>
      <c r="AR1211" s="1539"/>
      <c r="AS1211" s="1539"/>
      <c r="AT1211" s="1539"/>
      <c r="AU1211" s="1539"/>
      <c r="AV1211" s="1539"/>
      <c r="AW1211" s="1539"/>
      <c r="AX1211" s="1539"/>
      <c r="AY1211" s="1539"/>
      <c r="AZ1211" s="1539"/>
      <c r="BA1211" s="1539"/>
      <c r="BB1211" s="1539"/>
      <c r="BC1211" s="1539"/>
      <c r="BD1211" s="1539"/>
      <c r="BE1211" s="1539"/>
      <c r="BF1211" s="1539"/>
      <c r="BG1211" s="1539"/>
      <c r="BH1211" s="1539"/>
      <c r="BI1211" s="1539"/>
      <c r="BJ1211" s="1539"/>
      <c r="BK1211" s="1539"/>
      <c r="BL1211" s="1539"/>
      <c r="BM1211" s="1539"/>
      <c r="BN1211" s="1539"/>
      <c r="BO1211" s="1539"/>
      <c r="BP1211" s="1539"/>
      <c r="BQ1211" s="1539"/>
      <c r="BR1211" s="1539"/>
      <c r="BS1211" s="1539"/>
      <c r="BT1211" s="1539"/>
      <c r="BU1211" s="1539"/>
      <c r="BV1211" s="1539"/>
      <c r="BW1211" s="1539"/>
      <c r="BX1211" s="1539"/>
      <c r="BY1211" s="1539"/>
      <c r="BZ1211" s="1539"/>
      <c r="CA1211" s="1539"/>
      <c r="CB1211" s="1539"/>
      <c r="CC1211" s="1539"/>
      <c r="CD1211" s="1539"/>
      <c r="CE1211" s="1539"/>
      <c r="CF1211" s="1539"/>
      <c r="CG1211" s="1539"/>
      <c r="CH1211" s="1539"/>
      <c r="CI1211" s="1539"/>
      <c r="CJ1211" s="1539"/>
      <c r="CK1211" s="1539"/>
      <c r="CL1211" s="1539"/>
      <c r="CM1211" s="1539"/>
      <c r="CN1211" s="1539"/>
      <c r="CO1211" s="1539"/>
    </row>
    <row r="1212" spans="1:93" s="1552" customFormat="1" ht="15.5">
      <c r="A1212" s="1598"/>
      <c r="B1212" s="1599" t="s">
        <v>1747</v>
      </c>
      <c r="C1212" s="1643" t="e">
        <f>+SUMIF(#REF!,Final!A1212,#REF!)</f>
        <v>#REF!</v>
      </c>
      <c r="D1212" s="1597" t="e">
        <f>+SUMIF(#REF!,Final!A1212,#REF!)</f>
        <v>#REF!</v>
      </c>
      <c r="E1212" s="1643" t="e">
        <f>SUMIF(#REF!,Final!A1212,#REF!)</f>
        <v>#REF!</v>
      </c>
      <c r="F1212" s="1644" t="e">
        <f>SUMIF(#REF!,Final!A1212,#REF!)</f>
        <v>#REF!</v>
      </c>
      <c r="G1212" s="1597" t="e">
        <f t="shared" si="104"/>
        <v>#REF!</v>
      </c>
      <c r="H1212" s="1644" t="e">
        <f t="shared" si="105"/>
        <v>#REF!</v>
      </c>
      <c r="I1212" s="1597" t="e">
        <f t="shared" si="106"/>
        <v>#REF!</v>
      </c>
      <c r="J1212" s="1644" t="e">
        <f t="shared" si="107"/>
        <v>#REF!</v>
      </c>
      <c r="K1212" s="1539"/>
      <c r="L1212" s="1539"/>
      <c r="M1212" s="1545"/>
      <c r="N1212" s="1545"/>
      <c r="O1212" s="1539"/>
      <c r="P1212" s="1539"/>
      <c r="Q1212" s="1539"/>
      <c r="R1212" s="1539"/>
      <c r="S1212" s="1539"/>
      <c r="T1212" s="1539"/>
      <c r="U1212" s="1539"/>
      <c r="V1212" s="1539"/>
      <c r="W1212" s="1539"/>
      <c r="X1212" s="1539"/>
      <c r="Y1212" s="1539"/>
      <c r="Z1212" s="1539"/>
      <c r="AA1212" s="1539"/>
      <c r="AB1212" s="1539"/>
      <c r="AC1212" s="1539"/>
      <c r="AD1212" s="1539"/>
      <c r="AE1212" s="1539"/>
      <c r="AF1212" s="1539"/>
      <c r="AG1212" s="1539"/>
      <c r="AH1212" s="1539"/>
      <c r="AI1212" s="1539"/>
      <c r="AJ1212" s="1539"/>
      <c r="AK1212" s="1539"/>
      <c r="AL1212" s="1539"/>
      <c r="AM1212" s="1539"/>
      <c r="AN1212" s="1539"/>
      <c r="AO1212" s="1539"/>
      <c r="AP1212" s="1539"/>
      <c r="AQ1212" s="1539"/>
      <c r="AR1212" s="1539"/>
      <c r="AS1212" s="1539"/>
      <c r="AT1212" s="1539"/>
      <c r="AU1212" s="1539"/>
      <c r="AV1212" s="1539"/>
      <c r="AW1212" s="1539"/>
      <c r="AX1212" s="1539"/>
      <c r="AY1212" s="1539"/>
      <c r="AZ1212" s="1539"/>
      <c r="BA1212" s="1539"/>
      <c r="BB1212" s="1539"/>
      <c r="BC1212" s="1539"/>
      <c r="BD1212" s="1539"/>
      <c r="BE1212" s="1539"/>
      <c r="BF1212" s="1539"/>
      <c r="BG1212" s="1539"/>
      <c r="BH1212" s="1539"/>
      <c r="BI1212" s="1539"/>
      <c r="BJ1212" s="1539"/>
      <c r="BK1212" s="1539"/>
      <c r="BL1212" s="1539"/>
      <c r="BM1212" s="1539"/>
      <c r="BN1212" s="1539"/>
      <c r="BO1212" s="1539"/>
      <c r="BP1212" s="1539"/>
      <c r="BQ1212" s="1539"/>
      <c r="BR1212" s="1539"/>
      <c r="BS1212" s="1539"/>
      <c r="BT1212" s="1539"/>
      <c r="BU1212" s="1539"/>
      <c r="BV1212" s="1539"/>
      <c r="BW1212" s="1539"/>
      <c r="BX1212" s="1539"/>
      <c r="BY1212" s="1539"/>
      <c r="BZ1212" s="1539"/>
      <c r="CA1212" s="1539"/>
      <c r="CB1212" s="1539"/>
      <c r="CC1212" s="1539"/>
      <c r="CD1212" s="1539"/>
      <c r="CE1212" s="1539"/>
      <c r="CF1212" s="1539"/>
      <c r="CG1212" s="1539"/>
      <c r="CH1212" s="1539"/>
      <c r="CI1212" s="1539"/>
      <c r="CJ1212" s="1539"/>
      <c r="CK1212" s="1539"/>
      <c r="CL1212" s="1539"/>
      <c r="CM1212" s="1539"/>
      <c r="CN1212" s="1539"/>
      <c r="CO1212" s="1539"/>
    </row>
    <row r="1213" spans="1:93" s="1552" customFormat="1" ht="15.5">
      <c r="A1213" s="1598"/>
      <c r="B1213" s="1599" t="s">
        <v>1760</v>
      </c>
      <c r="C1213" s="1643" t="e">
        <f>+SUMIF(#REF!,Final!A1213,#REF!)</f>
        <v>#REF!</v>
      </c>
      <c r="D1213" s="1597" t="e">
        <f>+SUMIF(#REF!,Final!A1213,#REF!)</f>
        <v>#REF!</v>
      </c>
      <c r="E1213" s="1643" t="e">
        <f>SUMIF(#REF!,Final!A1213,#REF!)</f>
        <v>#REF!</v>
      </c>
      <c r="F1213" s="1644" t="e">
        <f>SUMIF(#REF!,Final!A1213,#REF!)</f>
        <v>#REF!</v>
      </c>
      <c r="G1213" s="1597" t="e">
        <f t="shared" si="104"/>
        <v>#REF!</v>
      </c>
      <c r="H1213" s="1644" t="e">
        <f t="shared" si="105"/>
        <v>#REF!</v>
      </c>
      <c r="I1213" s="1597" t="e">
        <f t="shared" si="106"/>
        <v>#REF!</v>
      </c>
      <c r="J1213" s="1644" t="e">
        <f t="shared" si="107"/>
        <v>#REF!</v>
      </c>
      <c r="K1213" s="1539"/>
      <c r="L1213" s="1539"/>
      <c r="M1213" s="1545"/>
      <c r="N1213" s="1545"/>
      <c r="O1213" s="1539"/>
      <c r="P1213" s="1539"/>
      <c r="Q1213" s="1539"/>
      <c r="R1213" s="1539"/>
      <c r="S1213" s="1539"/>
      <c r="T1213" s="1539"/>
      <c r="U1213" s="1539"/>
      <c r="V1213" s="1539"/>
      <c r="W1213" s="1539"/>
      <c r="X1213" s="1539"/>
      <c r="Y1213" s="1539"/>
      <c r="Z1213" s="1539"/>
      <c r="AA1213" s="1539"/>
      <c r="AB1213" s="1539"/>
      <c r="AC1213" s="1539"/>
      <c r="AD1213" s="1539"/>
      <c r="AE1213" s="1539"/>
      <c r="AF1213" s="1539"/>
      <c r="AG1213" s="1539"/>
      <c r="AH1213" s="1539"/>
      <c r="AI1213" s="1539"/>
      <c r="AJ1213" s="1539"/>
      <c r="AK1213" s="1539"/>
      <c r="AL1213" s="1539"/>
      <c r="AM1213" s="1539"/>
      <c r="AN1213" s="1539"/>
      <c r="AO1213" s="1539"/>
      <c r="AP1213" s="1539"/>
      <c r="AQ1213" s="1539"/>
      <c r="AR1213" s="1539"/>
      <c r="AS1213" s="1539"/>
      <c r="AT1213" s="1539"/>
      <c r="AU1213" s="1539"/>
      <c r="AV1213" s="1539"/>
      <c r="AW1213" s="1539"/>
      <c r="AX1213" s="1539"/>
      <c r="AY1213" s="1539"/>
      <c r="AZ1213" s="1539"/>
      <c r="BA1213" s="1539"/>
      <c r="BB1213" s="1539"/>
      <c r="BC1213" s="1539"/>
      <c r="BD1213" s="1539"/>
      <c r="BE1213" s="1539"/>
      <c r="BF1213" s="1539"/>
      <c r="BG1213" s="1539"/>
      <c r="BH1213" s="1539"/>
      <c r="BI1213" s="1539"/>
      <c r="BJ1213" s="1539"/>
      <c r="BK1213" s="1539"/>
      <c r="BL1213" s="1539"/>
      <c r="BM1213" s="1539"/>
      <c r="BN1213" s="1539"/>
      <c r="BO1213" s="1539"/>
      <c r="BP1213" s="1539"/>
      <c r="BQ1213" s="1539"/>
      <c r="BR1213" s="1539"/>
      <c r="BS1213" s="1539"/>
      <c r="BT1213" s="1539"/>
      <c r="BU1213" s="1539"/>
      <c r="BV1213" s="1539"/>
      <c r="BW1213" s="1539"/>
      <c r="BX1213" s="1539"/>
      <c r="BY1213" s="1539"/>
      <c r="BZ1213" s="1539"/>
      <c r="CA1213" s="1539"/>
      <c r="CB1213" s="1539"/>
      <c r="CC1213" s="1539"/>
      <c r="CD1213" s="1539"/>
      <c r="CE1213" s="1539"/>
      <c r="CF1213" s="1539"/>
      <c r="CG1213" s="1539"/>
      <c r="CH1213" s="1539"/>
      <c r="CI1213" s="1539"/>
      <c r="CJ1213" s="1539"/>
      <c r="CK1213" s="1539"/>
      <c r="CL1213" s="1539"/>
      <c r="CM1213" s="1539"/>
      <c r="CN1213" s="1539"/>
      <c r="CO1213" s="1539"/>
    </row>
    <row r="1214" spans="1:93" s="1552" customFormat="1" ht="15.5">
      <c r="A1214" s="1598"/>
      <c r="B1214" s="1599" t="s">
        <v>2776</v>
      </c>
      <c r="C1214" s="1643" t="e">
        <f>+SUMIF(#REF!,Final!A1214,#REF!)</f>
        <v>#REF!</v>
      </c>
      <c r="D1214" s="1597" t="e">
        <f>+SUMIF(#REF!,Final!A1214,#REF!)</f>
        <v>#REF!</v>
      </c>
      <c r="E1214" s="1643" t="e">
        <f>SUMIF(#REF!,Final!A1214,#REF!)</f>
        <v>#REF!</v>
      </c>
      <c r="F1214" s="1644" t="e">
        <f>SUMIF(#REF!,Final!A1214,#REF!)</f>
        <v>#REF!</v>
      </c>
      <c r="G1214" s="1597" t="e">
        <f t="shared" si="104"/>
        <v>#REF!</v>
      </c>
      <c r="H1214" s="1644" t="e">
        <f t="shared" si="105"/>
        <v>#REF!</v>
      </c>
      <c r="I1214" s="1597" t="e">
        <f t="shared" si="106"/>
        <v>#REF!</v>
      </c>
      <c r="J1214" s="1644" t="e">
        <f t="shared" si="107"/>
        <v>#REF!</v>
      </c>
      <c r="K1214" s="1539"/>
      <c r="L1214" s="1539"/>
      <c r="M1214" s="1545"/>
      <c r="N1214" s="1545"/>
      <c r="O1214" s="1539"/>
      <c r="P1214" s="1539"/>
      <c r="Q1214" s="1539"/>
      <c r="R1214" s="1539"/>
      <c r="S1214" s="1539"/>
      <c r="T1214" s="1539"/>
      <c r="U1214" s="1539"/>
      <c r="V1214" s="1539"/>
      <c r="W1214" s="1539"/>
      <c r="X1214" s="1539"/>
      <c r="Y1214" s="1539"/>
      <c r="Z1214" s="1539"/>
      <c r="AA1214" s="1539"/>
      <c r="AB1214" s="1539"/>
      <c r="AC1214" s="1539"/>
      <c r="AD1214" s="1539"/>
      <c r="AE1214" s="1539"/>
      <c r="AF1214" s="1539"/>
      <c r="AG1214" s="1539"/>
      <c r="AH1214" s="1539"/>
      <c r="AI1214" s="1539"/>
      <c r="AJ1214" s="1539"/>
      <c r="AK1214" s="1539"/>
      <c r="AL1214" s="1539"/>
      <c r="AM1214" s="1539"/>
      <c r="AN1214" s="1539"/>
      <c r="AO1214" s="1539"/>
      <c r="AP1214" s="1539"/>
      <c r="AQ1214" s="1539"/>
      <c r="AR1214" s="1539"/>
      <c r="AS1214" s="1539"/>
      <c r="AT1214" s="1539"/>
      <c r="AU1214" s="1539"/>
      <c r="AV1214" s="1539"/>
      <c r="AW1214" s="1539"/>
      <c r="AX1214" s="1539"/>
      <c r="AY1214" s="1539"/>
      <c r="AZ1214" s="1539"/>
      <c r="BA1214" s="1539"/>
      <c r="BB1214" s="1539"/>
      <c r="BC1214" s="1539"/>
      <c r="BD1214" s="1539"/>
      <c r="BE1214" s="1539"/>
      <c r="BF1214" s="1539"/>
      <c r="BG1214" s="1539"/>
      <c r="BH1214" s="1539"/>
      <c r="BI1214" s="1539"/>
      <c r="BJ1214" s="1539"/>
      <c r="BK1214" s="1539"/>
      <c r="BL1214" s="1539"/>
      <c r="BM1214" s="1539"/>
      <c r="BN1214" s="1539"/>
      <c r="BO1214" s="1539"/>
      <c r="BP1214" s="1539"/>
      <c r="BQ1214" s="1539"/>
      <c r="BR1214" s="1539"/>
      <c r="BS1214" s="1539"/>
      <c r="BT1214" s="1539"/>
      <c r="BU1214" s="1539"/>
      <c r="BV1214" s="1539"/>
      <c r="BW1214" s="1539"/>
      <c r="BX1214" s="1539"/>
      <c r="BY1214" s="1539"/>
      <c r="BZ1214" s="1539"/>
      <c r="CA1214" s="1539"/>
      <c r="CB1214" s="1539"/>
      <c r="CC1214" s="1539"/>
      <c r="CD1214" s="1539"/>
      <c r="CE1214" s="1539"/>
      <c r="CF1214" s="1539"/>
      <c r="CG1214" s="1539"/>
      <c r="CH1214" s="1539"/>
      <c r="CI1214" s="1539"/>
      <c r="CJ1214" s="1539"/>
      <c r="CK1214" s="1539"/>
      <c r="CL1214" s="1539"/>
      <c r="CM1214" s="1539"/>
      <c r="CN1214" s="1539"/>
      <c r="CO1214" s="1539"/>
    </row>
    <row r="1215" spans="1:93" s="1552" customFormat="1" ht="15.5">
      <c r="A1215" s="1598" t="s">
        <v>3383</v>
      </c>
      <c r="B1215" s="1599" t="s">
        <v>2777</v>
      </c>
      <c r="C1215" s="1643" t="e">
        <f>+SUMIF(#REF!,Final!A1215,#REF!)</f>
        <v>#REF!</v>
      </c>
      <c r="D1215" s="1597" t="e">
        <f>+SUMIF(#REF!,Final!A1215,#REF!)</f>
        <v>#REF!</v>
      </c>
      <c r="E1215" s="1643" t="e">
        <f>SUMIF(#REF!,Final!A1215,#REF!)</f>
        <v>#REF!</v>
      </c>
      <c r="F1215" s="1644" t="e">
        <f>SUMIF(#REF!,Final!A1215,#REF!)</f>
        <v>#REF!</v>
      </c>
      <c r="G1215" s="1597" t="e">
        <f t="shared" si="104"/>
        <v>#REF!</v>
      </c>
      <c r="H1215" s="1644" t="e">
        <f t="shared" si="105"/>
        <v>#REF!</v>
      </c>
      <c r="I1215" s="1597" t="e">
        <f t="shared" si="106"/>
        <v>#REF!</v>
      </c>
      <c r="J1215" s="1644" t="e">
        <f t="shared" si="107"/>
        <v>#REF!</v>
      </c>
      <c r="K1215" s="1539"/>
      <c r="L1215" s="1539"/>
      <c r="M1215" s="1545"/>
      <c r="N1215" s="1545"/>
      <c r="O1215" s="1539"/>
      <c r="P1215" s="1539"/>
      <c r="Q1215" s="1539"/>
      <c r="R1215" s="1539"/>
      <c r="S1215" s="1539"/>
      <c r="T1215" s="1539"/>
      <c r="U1215" s="1539"/>
      <c r="V1215" s="1539"/>
      <c r="W1215" s="1539"/>
      <c r="X1215" s="1539"/>
      <c r="Y1215" s="1539"/>
      <c r="Z1215" s="1539"/>
      <c r="AA1215" s="1539"/>
      <c r="AB1215" s="1539"/>
      <c r="AC1215" s="1539"/>
      <c r="AD1215" s="1539"/>
      <c r="AE1215" s="1539"/>
      <c r="AF1215" s="1539"/>
      <c r="AG1215" s="1539"/>
      <c r="AH1215" s="1539"/>
      <c r="AI1215" s="1539"/>
      <c r="AJ1215" s="1539"/>
      <c r="AK1215" s="1539"/>
      <c r="AL1215" s="1539"/>
      <c r="AM1215" s="1539"/>
      <c r="AN1215" s="1539"/>
      <c r="AO1215" s="1539"/>
      <c r="AP1215" s="1539"/>
      <c r="AQ1215" s="1539"/>
      <c r="AR1215" s="1539"/>
      <c r="AS1215" s="1539"/>
      <c r="AT1215" s="1539"/>
      <c r="AU1215" s="1539"/>
      <c r="AV1215" s="1539"/>
      <c r="AW1215" s="1539"/>
      <c r="AX1215" s="1539"/>
      <c r="AY1215" s="1539"/>
      <c r="AZ1215" s="1539"/>
      <c r="BA1215" s="1539"/>
      <c r="BB1215" s="1539"/>
      <c r="BC1215" s="1539"/>
      <c r="BD1215" s="1539"/>
      <c r="BE1215" s="1539"/>
      <c r="BF1215" s="1539"/>
      <c r="BG1215" s="1539"/>
      <c r="BH1215" s="1539"/>
      <c r="BI1215" s="1539"/>
      <c r="BJ1215" s="1539"/>
      <c r="BK1215" s="1539"/>
      <c r="BL1215" s="1539"/>
      <c r="BM1215" s="1539"/>
      <c r="BN1215" s="1539"/>
      <c r="BO1215" s="1539"/>
      <c r="BP1215" s="1539"/>
      <c r="BQ1215" s="1539"/>
      <c r="BR1215" s="1539"/>
      <c r="BS1215" s="1539"/>
      <c r="BT1215" s="1539"/>
      <c r="BU1215" s="1539"/>
      <c r="BV1215" s="1539"/>
      <c r="BW1215" s="1539"/>
      <c r="BX1215" s="1539"/>
      <c r="BY1215" s="1539"/>
      <c r="BZ1215" s="1539"/>
      <c r="CA1215" s="1539"/>
      <c r="CB1215" s="1539"/>
      <c r="CC1215" s="1539"/>
      <c r="CD1215" s="1539"/>
      <c r="CE1215" s="1539"/>
      <c r="CF1215" s="1539"/>
      <c r="CG1215" s="1539"/>
      <c r="CH1215" s="1539"/>
      <c r="CI1215" s="1539"/>
      <c r="CJ1215" s="1539"/>
      <c r="CK1215" s="1539"/>
      <c r="CL1215" s="1539"/>
      <c r="CM1215" s="1539"/>
      <c r="CN1215" s="1539"/>
      <c r="CO1215" s="1539"/>
    </row>
    <row r="1216" spans="1:93" s="1542" customFormat="1" ht="15.5">
      <c r="A1216" s="1598">
        <v>6</v>
      </c>
      <c r="B1216" s="1599" t="s">
        <v>2778</v>
      </c>
      <c r="C1216" s="1643" t="e">
        <f>+SUMIF(#REF!,Final!A1216,#REF!)</f>
        <v>#REF!</v>
      </c>
      <c r="D1216" s="1597" t="e">
        <f>+SUMIF(#REF!,Final!A1216,#REF!)</f>
        <v>#REF!</v>
      </c>
      <c r="E1216" s="1643" t="e">
        <f>SUMIF(#REF!,Final!A1216,#REF!)</f>
        <v>#REF!</v>
      </c>
      <c r="F1216" s="1644" t="e">
        <f>SUMIF(#REF!,Final!A1216,#REF!)</f>
        <v>#REF!</v>
      </c>
      <c r="G1216" s="1597" t="e">
        <f t="shared" si="104"/>
        <v>#REF!</v>
      </c>
      <c r="H1216" s="1644" t="e">
        <f t="shared" si="105"/>
        <v>#REF!</v>
      </c>
      <c r="I1216" s="1597" t="e">
        <f t="shared" si="106"/>
        <v>#REF!</v>
      </c>
      <c r="J1216" s="1644" t="e">
        <f t="shared" si="107"/>
        <v>#REF!</v>
      </c>
      <c r="K1216" s="1539"/>
      <c r="L1216" s="1539"/>
      <c r="M1216" s="1545"/>
      <c r="N1216" s="1545"/>
      <c r="O1216" s="1539"/>
      <c r="P1216" s="1539"/>
      <c r="Q1216" s="1539"/>
      <c r="R1216" s="1539"/>
      <c r="S1216" s="1539"/>
      <c r="T1216" s="1539"/>
      <c r="U1216" s="1539"/>
      <c r="V1216" s="1539"/>
      <c r="W1216" s="1539"/>
      <c r="X1216" s="1539"/>
      <c r="Y1216" s="1539"/>
      <c r="Z1216" s="1539"/>
      <c r="AA1216" s="1539"/>
      <c r="AB1216" s="1539"/>
      <c r="AC1216" s="1539"/>
      <c r="AD1216" s="1539"/>
      <c r="AE1216" s="1539"/>
      <c r="AF1216" s="1539"/>
      <c r="AG1216" s="1539"/>
      <c r="AH1216" s="1539"/>
      <c r="AI1216" s="1539"/>
      <c r="AJ1216" s="1539"/>
      <c r="AK1216" s="1539"/>
      <c r="AL1216" s="1539"/>
      <c r="AM1216" s="1539"/>
      <c r="AN1216" s="1539"/>
      <c r="AO1216" s="1539"/>
      <c r="AP1216" s="1539"/>
      <c r="AQ1216" s="1539"/>
      <c r="AR1216" s="1539"/>
      <c r="AS1216" s="1539"/>
      <c r="AT1216" s="1539"/>
      <c r="AU1216" s="1539"/>
      <c r="AV1216" s="1539"/>
      <c r="AW1216" s="1539"/>
      <c r="AX1216" s="1539"/>
      <c r="AY1216" s="1539"/>
      <c r="AZ1216" s="1539"/>
      <c r="BA1216" s="1539"/>
      <c r="BB1216" s="1539"/>
      <c r="BC1216" s="1539"/>
      <c r="BD1216" s="1539"/>
      <c r="BE1216" s="1539"/>
      <c r="BF1216" s="1539"/>
      <c r="BG1216" s="1539"/>
      <c r="BH1216" s="1539"/>
      <c r="BI1216" s="1539"/>
      <c r="BJ1216" s="1539"/>
      <c r="BK1216" s="1539"/>
      <c r="BL1216" s="1539"/>
      <c r="BM1216" s="1539"/>
      <c r="BN1216" s="1539"/>
      <c r="BO1216" s="1539"/>
      <c r="BP1216" s="1539"/>
      <c r="BQ1216" s="1539"/>
      <c r="BR1216" s="1539"/>
      <c r="BS1216" s="1539"/>
      <c r="BT1216" s="1539"/>
      <c r="BU1216" s="1539"/>
      <c r="BV1216" s="1539"/>
      <c r="BW1216" s="1539"/>
      <c r="BX1216" s="1539"/>
      <c r="BY1216" s="1539"/>
      <c r="BZ1216" s="1539"/>
      <c r="CA1216" s="1539"/>
      <c r="CB1216" s="1539"/>
      <c r="CC1216" s="1539"/>
      <c r="CD1216" s="1539"/>
      <c r="CE1216" s="1539"/>
      <c r="CF1216" s="1539"/>
      <c r="CG1216" s="1539"/>
      <c r="CH1216" s="1539"/>
      <c r="CI1216" s="1539"/>
      <c r="CJ1216" s="1539"/>
      <c r="CK1216" s="1539"/>
      <c r="CL1216" s="1539"/>
      <c r="CM1216" s="1539"/>
      <c r="CN1216" s="1539"/>
      <c r="CO1216" s="1539"/>
    </row>
    <row r="1217" spans="1:93" s="1542" customFormat="1" ht="15.5">
      <c r="A1217" s="1598" t="s">
        <v>1762</v>
      </c>
      <c r="B1217" s="1599" t="s">
        <v>2779</v>
      </c>
      <c r="C1217" s="1643" t="e">
        <f>+SUMIF(#REF!,Final!A1217,#REF!)</f>
        <v>#REF!</v>
      </c>
      <c r="D1217" s="1597" t="e">
        <f>+SUMIF(#REF!,Final!A1217,#REF!)</f>
        <v>#REF!</v>
      </c>
      <c r="E1217" s="1643" t="e">
        <f>SUMIF(#REF!,Final!A1217,#REF!)</f>
        <v>#REF!</v>
      </c>
      <c r="F1217" s="1644" t="e">
        <f>SUMIF(#REF!,Final!A1217,#REF!)</f>
        <v>#REF!</v>
      </c>
      <c r="G1217" s="1597" t="e">
        <f t="shared" si="104"/>
        <v>#REF!</v>
      </c>
      <c r="H1217" s="1644" t="e">
        <f t="shared" si="105"/>
        <v>#REF!</v>
      </c>
      <c r="I1217" s="1597" t="e">
        <f t="shared" si="106"/>
        <v>#REF!</v>
      </c>
      <c r="J1217" s="1644" t="e">
        <f t="shared" si="107"/>
        <v>#REF!</v>
      </c>
      <c r="K1217" s="1539"/>
      <c r="L1217" s="1539"/>
      <c r="M1217" s="1545"/>
      <c r="N1217" s="1545"/>
      <c r="O1217" s="1539"/>
      <c r="P1217" s="1539"/>
      <c r="Q1217" s="1539"/>
      <c r="R1217" s="1539"/>
      <c r="S1217" s="1539"/>
      <c r="T1217" s="1539"/>
      <c r="U1217" s="1539"/>
      <c r="V1217" s="1539"/>
      <c r="W1217" s="1539"/>
      <c r="X1217" s="1539"/>
      <c r="Y1217" s="1539"/>
      <c r="Z1217" s="1539"/>
      <c r="AA1217" s="1539"/>
      <c r="AB1217" s="1539"/>
      <c r="AC1217" s="1539"/>
      <c r="AD1217" s="1539"/>
      <c r="AE1217" s="1539"/>
      <c r="AF1217" s="1539"/>
      <c r="AG1217" s="1539"/>
      <c r="AH1217" s="1539"/>
      <c r="AI1217" s="1539"/>
      <c r="AJ1217" s="1539"/>
      <c r="AK1217" s="1539"/>
      <c r="AL1217" s="1539"/>
      <c r="AM1217" s="1539"/>
      <c r="AN1217" s="1539"/>
      <c r="AO1217" s="1539"/>
      <c r="AP1217" s="1539"/>
      <c r="AQ1217" s="1539"/>
      <c r="AR1217" s="1539"/>
      <c r="AS1217" s="1539"/>
      <c r="AT1217" s="1539"/>
      <c r="AU1217" s="1539"/>
      <c r="AV1217" s="1539"/>
      <c r="AW1217" s="1539"/>
      <c r="AX1217" s="1539"/>
      <c r="AY1217" s="1539"/>
      <c r="AZ1217" s="1539"/>
      <c r="BA1217" s="1539"/>
      <c r="BB1217" s="1539"/>
      <c r="BC1217" s="1539"/>
      <c r="BD1217" s="1539"/>
      <c r="BE1217" s="1539"/>
      <c r="BF1217" s="1539"/>
      <c r="BG1217" s="1539"/>
      <c r="BH1217" s="1539"/>
      <c r="BI1217" s="1539"/>
      <c r="BJ1217" s="1539"/>
      <c r="BK1217" s="1539"/>
      <c r="BL1217" s="1539"/>
      <c r="BM1217" s="1539"/>
      <c r="BN1217" s="1539"/>
      <c r="BO1217" s="1539"/>
      <c r="BP1217" s="1539"/>
      <c r="BQ1217" s="1539"/>
      <c r="BR1217" s="1539"/>
      <c r="BS1217" s="1539"/>
      <c r="BT1217" s="1539"/>
      <c r="BU1217" s="1539"/>
      <c r="BV1217" s="1539"/>
      <c r="BW1217" s="1539"/>
      <c r="BX1217" s="1539"/>
      <c r="BY1217" s="1539"/>
      <c r="BZ1217" s="1539"/>
      <c r="CA1217" s="1539"/>
      <c r="CB1217" s="1539"/>
      <c r="CC1217" s="1539"/>
      <c r="CD1217" s="1539"/>
      <c r="CE1217" s="1539"/>
      <c r="CF1217" s="1539"/>
      <c r="CG1217" s="1539"/>
      <c r="CH1217" s="1539"/>
      <c r="CI1217" s="1539"/>
      <c r="CJ1217" s="1539"/>
      <c r="CK1217" s="1539"/>
      <c r="CL1217" s="1539"/>
      <c r="CM1217" s="1539"/>
      <c r="CN1217" s="1539"/>
      <c r="CO1217" s="1539"/>
    </row>
    <row r="1218" spans="1:93" ht="15.5">
      <c r="A1218" s="1598">
        <v>24.11</v>
      </c>
      <c r="B1218" s="1599" t="s">
        <v>2780</v>
      </c>
      <c r="C1218" s="1643" t="e">
        <f>+SUMIF(#REF!,Final!A1218,#REF!)</f>
        <v>#REF!</v>
      </c>
      <c r="D1218" s="1597" t="e">
        <f>+SUMIF(#REF!,Final!A1218,#REF!)</f>
        <v>#REF!</v>
      </c>
      <c r="E1218" s="1643" t="e">
        <f>SUMIF(#REF!,Final!A1218,#REF!)</f>
        <v>#REF!</v>
      </c>
      <c r="F1218" s="1644" t="e">
        <f>SUMIF(#REF!,Final!A1218,#REF!)</f>
        <v>#REF!</v>
      </c>
      <c r="G1218" s="1597" t="e">
        <f t="shared" si="104"/>
        <v>#REF!</v>
      </c>
      <c r="H1218" s="1644" t="e">
        <f t="shared" si="105"/>
        <v>#REF!</v>
      </c>
      <c r="I1218" s="1597" t="e">
        <f t="shared" si="106"/>
        <v>#REF!</v>
      </c>
      <c r="J1218" s="1644" t="e">
        <f t="shared" si="107"/>
        <v>#REF!</v>
      </c>
      <c r="M1218" s="1545"/>
      <c r="N1218" s="1545"/>
    </row>
    <row r="1219" spans="1:93" ht="15.5">
      <c r="A1219" s="1598">
        <v>24.111000000000001</v>
      </c>
      <c r="B1219" s="1599" t="s">
        <v>2781</v>
      </c>
      <c r="C1219" s="1643" t="e">
        <f>+SUMIF(#REF!,Final!A1219,#REF!)</f>
        <v>#REF!</v>
      </c>
      <c r="D1219" s="1597" t="e">
        <f>+SUMIF(#REF!,Final!A1219,#REF!)</f>
        <v>#REF!</v>
      </c>
      <c r="E1219" s="1643" t="e">
        <f>SUMIF(#REF!,Final!A1219,#REF!)</f>
        <v>#REF!</v>
      </c>
      <c r="F1219" s="1644" t="e">
        <f>SUMIF(#REF!,Final!A1219,#REF!)</f>
        <v>#REF!</v>
      </c>
      <c r="G1219" s="1597" t="e">
        <f t="shared" si="104"/>
        <v>#REF!</v>
      </c>
      <c r="H1219" s="1644" t="e">
        <f t="shared" si="105"/>
        <v>#REF!</v>
      </c>
      <c r="I1219" s="1597" t="e">
        <f t="shared" si="106"/>
        <v>#REF!</v>
      </c>
      <c r="J1219" s="1644" t="e">
        <f t="shared" si="107"/>
        <v>#REF!</v>
      </c>
      <c r="M1219" s="1545"/>
      <c r="N1219" s="1545"/>
    </row>
    <row r="1220" spans="1:93" ht="15.5">
      <c r="A1220" s="1598">
        <v>24.111999999999998</v>
      </c>
      <c r="B1220" s="1599" t="s">
        <v>2782</v>
      </c>
      <c r="C1220" s="1643" t="e">
        <f>+SUMIF(#REF!,Final!A1220,#REF!)</f>
        <v>#REF!</v>
      </c>
      <c r="D1220" s="1597" t="e">
        <f>+SUMIF(#REF!,Final!A1220,#REF!)</f>
        <v>#REF!</v>
      </c>
      <c r="E1220" s="1643" t="e">
        <f>SUMIF(#REF!,Final!A1220,#REF!)</f>
        <v>#REF!</v>
      </c>
      <c r="F1220" s="1644" t="e">
        <f>SUMIF(#REF!,Final!A1220,#REF!)</f>
        <v>#REF!</v>
      </c>
      <c r="G1220" s="1597" t="e">
        <f t="shared" si="104"/>
        <v>#REF!</v>
      </c>
      <c r="H1220" s="1644" t="e">
        <f t="shared" si="105"/>
        <v>#REF!</v>
      </c>
      <c r="I1220" s="1597" t="e">
        <f t="shared" si="106"/>
        <v>#REF!</v>
      </c>
      <c r="J1220" s="1644" t="e">
        <f t="shared" si="107"/>
        <v>#REF!</v>
      </c>
      <c r="M1220" s="1545"/>
      <c r="N1220" s="1545"/>
    </row>
    <row r="1221" spans="1:93" ht="15.5">
      <c r="A1221" s="1598">
        <v>24.113</v>
      </c>
      <c r="B1221" s="1599" t="s">
        <v>3919</v>
      </c>
      <c r="C1221" s="1643" t="e">
        <f>+SUMIF(#REF!,Final!A1221,#REF!)</f>
        <v>#REF!</v>
      </c>
      <c r="D1221" s="1597" t="e">
        <f>+SUMIF(#REF!,Final!A1221,#REF!)</f>
        <v>#REF!</v>
      </c>
      <c r="E1221" s="1643" t="e">
        <f>SUMIF(#REF!,Final!A1221,#REF!)</f>
        <v>#REF!</v>
      </c>
      <c r="F1221" s="1644" t="e">
        <f>SUMIF(#REF!,Final!A1221,#REF!)</f>
        <v>#REF!</v>
      </c>
      <c r="G1221" s="1597" t="e">
        <f t="shared" si="104"/>
        <v>#REF!</v>
      </c>
      <c r="H1221" s="1644" t="e">
        <f t="shared" si="105"/>
        <v>#REF!</v>
      </c>
      <c r="I1221" s="1597" t="e">
        <f t="shared" si="106"/>
        <v>#REF!</v>
      </c>
      <c r="J1221" s="1644" t="e">
        <f t="shared" si="107"/>
        <v>#REF!</v>
      </c>
      <c r="M1221" s="1545"/>
      <c r="N1221" s="1545"/>
    </row>
    <row r="1222" spans="1:93" ht="15.5">
      <c r="A1222" s="1598">
        <v>24.114000000000001</v>
      </c>
      <c r="B1222" s="1599" t="s">
        <v>4540</v>
      </c>
      <c r="C1222" s="1643" t="e">
        <f>+SUMIF(#REF!,Final!A1222,#REF!)</f>
        <v>#REF!</v>
      </c>
      <c r="D1222" s="1597" t="e">
        <f>+SUMIF(#REF!,Final!A1222,#REF!)</f>
        <v>#REF!</v>
      </c>
      <c r="E1222" s="1643" t="e">
        <f>SUMIF(#REF!,Final!A1222,#REF!)</f>
        <v>#REF!</v>
      </c>
      <c r="F1222" s="1644" t="e">
        <f>SUMIF(#REF!,Final!A1222,#REF!)</f>
        <v>#REF!</v>
      </c>
      <c r="G1222" s="1597" t="e">
        <f t="shared" si="104"/>
        <v>#REF!</v>
      </c>
      <c r="H1222" s="1644" t="e">
        <f t="shared" si="105"/>
        <v>#REF!</v>
      </c>
      <c r="I1222" s="1597" t="e">
        <f t="shared" si="106"/>
        <v>#REF!</v>
      </c>
      <c r="J1222" s="1644" t="e">
        <f t="shared" si="107"/>
        <v>#REF!</v>
      </c>
      <c r="M1222" s="1545"/>
      <c r="N1222" s="1545"/>
    </row>
    <row r="1223" spans="1:93" ht="15.5">
      <c r="A1223" s="1688" t="s">
        <v>4959</v>
      </c>
      <c r="B1223" s="1689" t="s">
        <v>4960</v>
      </c>
      <c r="C1223" s="1643" t="e">
        <f>+SUMIF(#REF!,Final!A1223,#REF!)</f>
        <v>#REF!</v>
      </c>
      <c r="D1223" s="1597" t="e">
        <f>+SUMIF(#REF!,Final!A1223,#REF!)</f>
        <v>#REF!</v>
      </c>
      <c r="E1223" s="1643" t="e">
        <f>SUMIF(#REF!,Final!A1223,#REF!)</f>
        <v>#REF!</v>
      </c>
      <c r="F1223" s="1644" t="e">
        <f>SUMIF(#REF!,Final!A1223,#REF!)</f>
        <v>#REF!</v>
      </c>
      <c r="G1223" s="1597" t="e">
        <f t="shared" si="104"/>
        <v>#REF!</v>
      </c>
      <c r="H1223" s="1644" t="e">
        <f t="shared" si="105"/>
        <v>#REF!</v>
      </c>
      <c r="I1223" s="1597" t="e">
        <f t="shared" si="106"/>
        <v>#REF!</v>
      </c>
      <c r="J1223" s="1644" t="e">
        <f t="shared" si="107"/>
        <v>#REF!</v>
      </c>
      <c r="M1223" s="1545"/>
      <c r="N1223" s="1545"/>
    </row>
    <row r="1224" spans="1:93" ht="15.5">
      <c r="A1224" s="1791" t="s">
        <v>5243</v>
      </c>
      <c r="B1224" s="1792" t="s">
        <v>5244</v>
      </c>
      <c r="C1224" s="1643" t="e">
        <f>+SUMIF(#REF!,Final!A1224,#REF!)</f>
        <v>#REF!</v>
      </c>
      <c r="D1224" s="1597" t="e">
        <f>+SUMIF(#REF!,Final!A1224,#REF!)</f>
        <v>#REF!</v>
      </c>
      <c r="E1224" s="1643" t="e">
        <f>SUMIF(#REF!,Final!A1224,#REF!)</f>
        <v>#REF!</v>
      </c>
      <c r="F1224" s="1644" t="e">
        <f>SUMIF(#REF!,Final!A1224,#REF!)</f>
        <v>#REF!</v>
      </c>
      <c r="G1224" s="1597" t="e">
        <f t="shared" ref="G1224" si="112">C1224+E1224</f>
        <v>#REF!</v>
      </c>
      <c r="H1224" s="1644" t="e">
        <f t="shared" ref="H1224" si="113">D1224+F1224</f>
        <v>#REF!</v>
      </c>
      <c r="I1224" s="1597" t="e">
        <f t="shared" ref="I1224" si="114">IF(G1224&gt;H1224,G1224-H1224,0)</f>
        <v>#REF!</v>
      </c>
      <c r="J1224" s="1644" t="e">
        <f t="shared" ref="J1224" si="115">IF(H1224&gt;G1224,H1224-G1224,0)</f>
        <v>#REF!</v>
      </c>
      <c r="M1224" s="1545"/>
      <c r="N1224" s="1545"/>
    </row>
    <row r="1225" spans="1:93" ht="15.5">
      <c r="A1225" s="1598">
        <v>24.117000000000001</v>
      </c>
      <c r="B1225" s="1599" t="s">
        <v>3920</v>
      </c>
      <c r="C1225" s="1643" t="e">
        <f>+SUMIF(#REF!,Final!A1225,#REF!)</f>
        <v>#REF!</v>
      </c>
      <c r="D1225" s="1597" t="e">
        <f>+SUMIF(#REF!,Final!A1225,#REF!)</f>
        <v>#REF!</v>
      </c>
      <c r="E1225" s="1643" t="e">
        <f>SUMIF(#REF!,Final!A1225,#REF!)</f>
        <v>#REF!</v>
      </c>
      <c r="F1225" s="1644" t="e">
        <f>SUMIF(#REF!,Final!A1225,#REF!)</f>
        <v>#REF!</v>
      </c>
      <c r="G1225" s="1597" t="e">
        <f t="shared" si="104"/>
        <v>#REF!</v>
      </c>
      <c r="H1225" s="1644" t="e">
        <f t="shared" si="105"/>
        <v>#REF!</v>
      </c>
      <c r="I1225" s="1597" t="e">
        <f t="shared" si="106"/>
        <v>#REF!</v>
      </c>
      <c r="J1225" s="1644" t="e">
        <f t="shared" si="107"/>
        <v>#REF!</v>
      </c>
      <c r="M1225" s="1545"/>
      <c r="N1225" s="1545"/>
    </row>
    <row r="1226" spans="1:93" s="1552" customFormat="1" ht="15.5">
      <c r="A1226" s="1598"/>
      <c r="B1226" s="1599" t="s">
        <v>1747</v>
      </c>
      <c r="C1226" s="1643" t="e">
        <f>+SUMIF(#REF!,Final!A1226,#REF!)</f>
        <v>#REF!</v>
      </c>
      <c r="D1226" s="1597" t="e">
        <f>+SUMIF(#REF!,Final!A1226,#REF!)</f>
        <v>#REF!</v>
      </c>
      <c r="E1226" s="1643" t="e">
        <f>SUMIF(#REF!,Final!A1226,#REF!)</f>
        <v>#REF!</v>
      </c>
      <c r="F1226" s="1644" t="e">
        <f>SUMIF(#REF!,Final!A1226,#REF!)</f>
        <v>#REF!</v>
      </c>
      <c r="G1226" s="1597" t="e">
        <f t="shared" si="104"/>
        <v>#REF!</v>
      </c>
      <c r="H1226" s="1644" t="e">
        <f t="shared" si="105"/>
        <v>#REF!</v>
      </c>
      <c r="I1226" s="1597" t="e">
        <f t="shared" si="106"/>
        <v>#REF!</v>
      </c>
      <c r="J1226" s="1644" t="e">
        <f t="shared" si="107"/>
        <v>#REF!</v>
      </c>
      <c r="K1226" s="1539"/>
      <c r="L1226" s="1539"/>
      <c r="M1226" s="1545"/>
      <c r="N1226" s="1545"/>
      <c r="O1226" s="1539"/>
      <c r="P1226" s="1539"/>
      <c r="Q1226" s="1539"/>
      <c r="R1226" s="1539"/>
      <c r="S1226" s="1539"/>
      <c r="T1226" s="1539"/>
      <c r="U1226" s="1539"/>
      <c r="V1226" s="1539"/>
      <c r="W1226" s="1539"/>
      <c r="X1226" s="1539"/>
      <c r="Y1226" s="1539"/>
      <c r="Z1226" s="1539"/>
      <c r="AA1226" s="1539"/>
      <c r="AB1226" s="1539"/>
      <c r="AC1226" s="1539"/>
      <c r="AD1226" s="1539"/>
      <c r="AE1226" s="1539"/>
      <c r="AF1226" s="1539"/>
      <c r="AG1226" s="1539"/>
      <c r="AH1226" s="1539"/>
      <c r="AI1226" s="1539"/>
      <c r="AJ1226" s="1539"/>
      <c r="AK1226" s="1539"/>
      <c r="AL1226" s="1539"/>
      <c r="AM1226" s="1539"/>
      <c r="AN1226" s="1539"/>
      <c r="AO1226" s="1539"/>
      <c r="AP1226" s="1539"/>
      <c r="AQ1226" s="1539"/>
      <c r="AR1226" s="1539"/>
      <c r="AS1226" s="1539"/>
      <c r="AT1226" s="1539"/>
      <c r="AU1226" s="1539"/>
      <c r="AV1226" s="1539"/>
      <c r="AW1226" s="1539"/>
      <c r="AX1226" s="1539"/>
      <c r="AY1226" s="1539"/>
      <c r="AZ1226" s="1539"/>
      <c r="BA1226" s="1539"/>
      <c r="BB1226" s="1539"/>
      <c r="BC1226" s="1539"/>
      <c r="BD1226" s="1539"/>
      <c r="BE1226" s="1539"/>
      <c r="BF1226" s="1539"/>
      <c r="BG1226" s="1539"/>
      <c r="BH1226" s="1539"/>
      <c r="BI1226" s="1539"/>
      <c r="BJ1226" s="1539"/>
      <c r="BK1226" s="1539"/>
      <c r="BL1226" s="1539"/>
      <c r="BM1226" s="1539"/>
      <c r="BN1226" s="1539"/>
      <c r="BO1226" s="1539"/>
      <c r="BP1226" s="1539"/>
      <c r="BQ1226" s="1539"/>
      <c r="BR1226" s="1539"/>
      <c r="BS1226" s="1539"/>
      <c r="BT1226" s="1539"/>
      <c r="BU1226" s="1539"/>
      <c r="BV1226" s="1539"/>
      <c r="BW1226" s="1539"/>
      <c r="BX1226" s="1539"/>
      <c r="BY1226" s="1539"/>
      <c r="BZ1226" s="1539"/>
      <c r="CA1226" s="1539"/>
      <c r="CB1226" s="1539"/>
      <c r="CC1226" s="1539"/>
      <c r="CD1226" s="1539"/>
      <c r="CE1226" s="1539"/>
      <c r="CF1226" s="1539"/>
      <c r="CG1226" s="1539"/>
      <c r="CH1226" s="1539"/>
      <c r="CI1226" s="1539"/>
      <c r="CJ1226" s="1539"/>
      <c r="CK1226" s="1539"/>
      <c r="CL1226" s="1539"/>
      <c r="CM1226" s="1539"/>
      <c r="CN1226" s="1539"/>
      <c r="CO1226" s="1539"/>
    </row>
    <row r="1227" spans="1:93" s="1552" customFormat="1" ht="15.5">
      <c r="A1227" s="1598" t="s">
        <v>3384</v>
      </c>
      <c r="B1227" s="1599" t="s">
        <v>1760</v>
      </c>
      <c r="C1227" s="1643" t="e">
        <f>+SUMIF(#REF!,Final!A1227,#REF!)</f>
        <v>#REF!</v>
      </c>
      <c r="D1227" s="1597" t="e">
        <f>+SUMIF(#REF!,Final!A1227,#REF!)</f>
        <v>#REF!</v>
      </c>
      <c r="E1227" s="1643" t="e">
        <f>SUMIF(#REF!,Final!A1227,#REF!)</f>
        <v>#REF!</v>
      </c>
      <c r="F1227" s="1644" t="e">
        <f>SUMIF(#REF!,Final!A1227,#REF!)</f>
        <v>#REF!</v>
      </c>
      <c r="G1227" s="1597" t="e">
        <f t="shared" si="104"/>
        <v>#REF!</v>
      </c>
      <c r="H1227" s="1644" t="e">
        <f t="shared" si="105"/>
        <v>#REF!</v>
      </c>
      <c r="I1227" s="1597" t="e">
        <f t="shared" si="106"/>
        <v>#REF!</v>
      </c>
      <c r="J1227" s="1644" t="e">
        <f t="shared" si="107"/>
        <v>#REF!</v>
      </c>
      <c r="K1227" s="1539"/>
      <c r="L1227" s="1539"/>
      <c r="M1227" s="1545"/>
      <c r="N1227" s="1545"/>
      <c r="O1227" s="1539"/>
      <c r="P1227" s="1539"/>
      <c r="Q1227" s="1539"/>
      <c r="R1227" s="1539"/>
      <c r="S1227" s="1539"/>
      <c r="T1227" s="1539"/>
      <c r="U1227" s="1539"/>
      <c r="V1227" s="1539"/>
      <c r="W1227" s="1539"/>
      <c r="X1227" s="1539"/>
      <c r="Y1227" s="1539"/>
      <c r="Z1227" s="1539"/>
      <c r="AA1227" s="1539"/>
      <c r="AB1227" s="1539"/>
      <c r="AC1227" s="1539"/>
      <c r="AD1227" s="1539"/>
      <c r="AE1227" s="1539"/>
      <c r="AF1227" s="1539"/>
      <c r="AG1227" s="1539"/>
      <c r="AH1227" s="1539"/>
      <c r="AI1227" s="1539"/>
      <c r="AJ1227" s="1539"/>
      <c r="AK1227" s="1539"/>
      <c r="AL1227" s="1539"/>
      <c r="AM1227" s="1539"/>
      <c r="AN1227" s="1539"/>
      <c r="AO1227" s="1539"/>
      <c r="AP1227" s="1539"/>
      <c r="AQ1227" s="1539"/>
      <c r="AR1227" s="1539"/>
      <c r="AS1227" s="1539"/>
      <c r="AT1227" s="1539"/>
      <c r="AU1227" s="1539"/>
      <c r="AV1227" s="1539"/>
      <c r="AW1227" s="1539"/>
      <c r="AX1227" s="1539"/>
      <c r="AY1227" s="1539"/>
      <c r="AZ1227" s="1539"/>
      <c r="BA1227" s="1539"/>
      <c r="BB1227" s="1539"/>
      <c r="BC1227" s="1539"/>
      <c r="BD1227" s="1539"/>
      <c r="BE1227" s="1539"/>
      <c r="BF1227" s="1539"/>
      <c r="BG1227" s="1539"/>
      <c r="BH1227" s="1539"/>
      <c r="BI1227" s="1539"/>
      <c r="BJ1227" s="1539"/>
      <c r="BK1227" s="1539"/>
      <c r="BL1227" s="1539"/>
      <c r="BM1227" s="1539"/>
      <c r="BN1227" s="1539"/>
      <c r="BO1227" s="1539"/>
      <c r="BP1227" s="1539"/>
      <c r="BQ1227" s="1539"/>
      <c r="BR1227" s="1539"/>
      <c r="BS1227" s="1539"/>
      <c r="BT1227" s="1539"/>
      <c r="BU1227" s="1539"/>
      <c r="BV1227" s="1539"/>
      <c r="BW1227" s="1539"/>
      <c r="BX1227" s="1539"/>
      <c r="BY1227" s="1539"/>
      <c r="BZ1227" s="1539"/>
      <c r="CA1227" s="1539"/>
      <c r="CB1227" s="1539"/>
      <c r="CC1227" s="1539"/>
      <c r="CD1227" s="1539"/>
      <c r="CE1227" s="1539"/>
      <c r="CF1227" s="1539"/>
      <c r="CG1227" s="1539"/>
      <c r="CH1227" s="1539"/>
      <c r="CI1227" s="1539"/>
      <c r="CJ1227" s="1539"/>
      <c r="CK1227" s="1539"/>
      <c r="CL1227" s="1539"/>
      <c r="CM1227" s="1539"/>
      <c r="CN1227" s="1539"/>
      <c r="CO1227" s="1539"/>
    </row>
    <row r="1228" spans="1:93" s="1542" customFormat="1" ht="15.5">
      <c r="A1228" s="1598" t="s">
        <v>1768</v>
      </c>
      <c r="B1228" s="1599" t="s">
        <v>2783</v>
      </c>
      <c r="C1228" s="1643" t="e">
        <f>+SUMIF(#REF!,Final!A1228,#REF!)</f>
        <v>#REF!</v>
      </c>
      <c r="D1228" s="1597" t="e">
        <f>+SUMIF(#REF!,Final!A1228,#REF!)</f>
        <v>#REF!</v>
      </c>
      <c r="E1228" s="1643" t="e">
        <f>SUMIF(#REF!,Final!A1228,#REF!)</f>
        <v>#REF!</v>
      </c>
      <c r="F1228" s="1644" t="e">
        <f>SUMIF(#REF!,Final!A1228,#REF!)</f>
        <v>#REF!</v>
      </c>
      <c r="G1228" s="1597" t="e">
        <f t="shared" si="104"/>
        <v>#REF!</v>
      </c>
      <c r="H1228" s="1644" t="e">
        <f t="shared" si="105"/>
        <v>#REF!</v>
      </c>
      <c r="I1228" s="1597" t="e">
        <f t="shared" si="106"/>
        <v>#REF!</v>
      </c>
      <c r="J1228" s="1644" t="e">
        <f t="shared" si="107"/>
        <v>#REF!</v>
      </c>
      <c r="K1228" s="1539"/>
      <c r="L1228" s="1539"/>
      <c r="M1228" s="1545"/>
      <c r="N1228" s="1545"/>
      <c r="O1228" s="1539"/>
      <c r="P1228" s="1539"/>
      <c r="Q1228" s="1539"/>
      <c r="R1228" s="1539"/>
      <c r="S1228" s="1539"/>
      <c r="T1228" s="1539"/>
      <c r="U1228" s="1539"/>
      <c r="V1228" s="1539"/>
      <c r="W1228" s="1539"/>
      <c r="X1228" s="1539"/>
      <c r="Y1228" s="1539"/>
      <c r="Z1228" s="1539"/>
      <c r="AA1228" s="1539"/>
      <c r="AB1228" s="1539"/>
      <c r="AC1228" s="1539"/>
      <c r="AD1228" s="1539"/>
      <c r="AE1228" s="1539"/>
      <c r="AF1228" s="1539"/>
      <c r="AG1228" s="1539"/>
      <c r="AH1228" s="1539"/>
      <c r="AI1228" s="1539"/>
      <c r="AJ1228" s="1539"/>
      <c r="AK1228" s="1539"/>
      <c r="AL1228" s="1539"/>
      <c r="AM1228" s="1539"/>
      <c r="AN1228" s="1539"/>
      <c r="AO1228" s="1539"/>
      <c r="AP1228" s="1539"/>
      <c r="AQ1228" s="1539"/>
      <c r="AR1228" s="1539"/>
      <c r="AS1228" s="1539"/>
      <c r="AT1228" s="1539"/>
      <c r="AU1228" s="1539"/>
      <c r="AV1228" s="1539"/>
      <c r="AW1228" s="1539"/>
      <c r="AX1228" s="1539"/>
      <c r="AY1228" s="1539"/>
      <c r="AZ1228" s="1539"/>
      <c r="BA1228" s="1539"/>
      <c r="BB1228" s="1539"/>
      <c r="BC1228" s="1539"/>
      <c r="BD1228" s="1539"/>
      <c r="BE1228" s="1539"/>
      <c r="BF1228" s="1539"/>
      <c r="BG1228" s="1539"/>
      <c r="BH1228" s="1539"/>
      <c r="BI1228" s="1539"/>
      <c r="BJ1228" s="1539"/>
      <c r="BK1228" s="1539"/>
      <c r="BL1228" s="1539"/>
      <c r="BM1228" s="1539"/>
      <c r="BN1228" s="1539"/>
      <c r="BO1228" s="1539"/>
      <c r="BP1228" s="1539"/>
      <c r="BQ1228" s="1539"/>
      <c r="BR1228" s="1539"/>
      <c r="BS1228" s="1539"/>
      <c r="BT1228" s="1539"/>
      <c r="BU1228" s="1539"/>
      <c r="BV1228" s="1539"/>
      <c r="BW1228" s="1539"/>
      <c r="BX1228" s="1539"/>
      <c r="BY1228" s="1539"/>
      <c r="BZ1228" s="1539"/>
      <c r="CA1228" s="1539"/>
      <c r="CB1228" s="1539"/>
      <c r="CC1228" s="1539"/>
      <c r="CD1228" s="1539"/>
      <c r="CE1228" s="1539"/>
      <c r="CF1228" s="1539"/>
      <c r="CG1228" s="1539"/>
      <c r="CH1228" s="1539"/>
      <c r="CI1228" s="1539"/>
      <c r="CJ1228" s="1539"/>
      <c r="CK1228" s="1539"/>
      <c r="CL1228" s="1539"/>
      <c r="CM1228" s="1539"/>
      <c r="CN1228" s="1539"/>
      <c r="CO1228" s="1539"/>
    </row>
    <row r="1229" spans="1:93" ht="15.5">
      <c r="A1229" s="1598">
        <v>24.12</v>
      </c>
      <c r="B1229" s="1599" t="s">
        <v>2784</v>
      </c>
      <c r="C1229" s="1643" t="e">
        <f>+SUMIF(#REF!,Final!A1229,#REF!)</f>
        <v>#REF!</v>
      </c>
      <c r="D1229" s="1597" t="e">
        <f>+SUMIF(#REF!,Final!A1229,#REF!)</f>
        <v>#REF!</v>
      </c>
      <c r="E1229" s="1643" t="e">
        <f>SUMIF(#REF!,Final!A1229,#REF!)</f>
        <v>#REF!</v>
      </c>
      <c r="F1229" s="1644" t="e">
        <f>SUMIF(#REF!,Final!A1229,#REF!)</f>
        <v>#REF!</v>
      </c>
      <c r="G1229" s="1597" t="e">
        <f t="shared" si="104"/>
        <v>#REF!</v>
      </c>
      <c r="H1229" s="1644" t="e">
        <f t="shared" si="105"/>
        <v>#REF!</v>
      </c>
      <c r="I1229" s="1597" t="e">
        <f t="shared" si="106"/>
        <v>#REF!</v>
      </c>
      <c r="J1229" s="1644" t="e">
        <f t="shared" si="107"/>
        <v>#REF!</v>
      </c>
      <c r="M1229" s="1545"/>
      <c r="N1229" s="1545"/>
    </row>
    <row r="1230" spans="1:93" ht="15.5">
      <c r="A1230" s="1598">
        <v>24.120999999999999</v>
      </c>
      <c r="B1230" s="1599" t="s">
        <v>2785</v>
      </c>
      <c r="C1230" s="1643" t="e">
        <f>+SUMIF(#REF!,Final!A1230,#REF!)</f>
        <v>#REF!</v>
      </c>
      <c r="D1230" s="1597" t="e">
        <f>+SUMIF(#REF!,Final!A1230,#REF!)</f>
        <v>#REF!</v>
      </c>
      <c r="E1230" s="1643" t="e">
        <f>SUMIF(#REF!,Final!A1230,#REF!)</f>
        <v>#REF!</v>
      </c>
      <c r="F1230" s="1644" t="e">
        <f>SUMIF(#REF!,Final!A1230,#REF!)</f>
        <v>#REF!</v>
      </c>
      <c r="G1230" s="1597" t="e">
        <f t="shared" si="104"/>
        <v>#REF!</v>
      </c>
      <c r="H1230" s="1644" t="e">
        <f t="shared" si="105"/>
        <v>#REF!</v>
      </c>
      <c r="I1230" s="1597" t="e">
        <f t="shared" si="106"/>
        <v>#REF!</v>
      </c>
      <c r="J1230" s="1644" t="e">
        <f t="shared" si="107"/>
        <v>#REF!</v>
      </c>
      <c r="M1230" s="1545"/>
      <c r="N1230" s="1545"/>
    </row>
    <row r="1231" spans="1:93" ht="15.5">
      <c r="A1231" s="1598">
        <v>24.125</v>
      </c>
      <c r="B1231" s="1599" t="s">
        <v>2786</v>
      </c>
      <c r="C1231" s="1643" t="e">
        <f>+SUMIF(#REF!,Final!A1231,#REF!)</f>
        <v>#REF!</v>
      </c>
      <c r="D1231" s="1597" t="e">
        <f>+SUMIF(#REF!,Final!A1231,#REF!)</f>
        <v>#REF!</v>
      </c>
      <c r="E1231" s="1643" t="e">
        <f>SUMIF(#REF!,Final!A1231,#REF!)</f>
        <v>#REF!</v>
      </c>
      <c r="F1231" s="1644" t="e">
        <f>SUMIF(#REF!,Final!A1231,#REF!)</f>
        <v>#REF!</v>
      </c>
      <c r="G1231" s="1597" t="e">
        <f t="shared" si="104"/>
        <v>#REF!</v>
      </c>
      <c r="H1231" s="1644" t="e">
        <f t="shared" si="105"/>
        <v>#REF!</v>
      </c>
      <c r="I1231" s="1597" t="e">
        <f t="shared" si="106"/>
        <v>#REF!</v>
      </c>
      <c r="J1231" s="1644" t="e">
        <f t="shared" si="107"/>
        <v>#REF!</v>
      </c>
      <c r="M1231" s="1545"/>
      <c r="N1231" s="1545"/>
    </row>
    <row r="1232" spans="1:93" s="1552" customFormat="1" ht="15.5">
      <c r="A1232" s="1598"/>
      <c r="B1232" s="1599" t="s">
        <v>1747</v>
      </c>
      <c r="C1232" s="1643" t="e">
        <f>+SUMIF(#REF!,Final!A1232,#REF!)</f>
        <v>#REF!</v>
      </c>
      <c r="D1232" s="1597" t="e">
        <f>+SUMIF(#REF!,Final!A1232,#REF!)</f>
        <v>#REF!</v>
      </c>
      <c r="E1232" s="1643" t="e">
        <f>SUMIF(#REF!,Final!A1232,#REF!)</f>
        <v>#REF!</v>
      </c>
      <c r="F1232" s="1644" t="e">
        <f>SUMIF(#REF!,Final!A1232,#REF!)</f>
        <v>#REF!</v>
      </c>
      <c r="G1232" s="1597" t="e">
        <f t="shared" si="104"/>
        <v>#REF!</v>
      </c>
      <c r="H1232" s="1644" t="e">
        <f t="shared" si="105"/>
        <v>#REF!</v>
      </c>
      <c r="I1232" s="1597" t="e">
        <f t="shared" si="106"/>
        <v>#REF!</v>
      </c>
      <c r="J1232" s="1644" t="e">
        <f t="shared" si="107"/>
        <v>#REF!</v>
      </c>
      <c r="K1232" s="1539"/>
      <c r="L1232" s="1539"/>
      <c r="M1232" s="1545"/>
      <c r="N1232" s="1545"/>
      <c r="O1232" s="1539"/>
      <c r="P1232" s="1539"/>
      <c r="Q1232" s="1539"/>
      <c r="R1232" s="1539"/>
      <c r="S1232" s="1539"/>
      <c r="T1232" s="1539"/>
      <c r="U1232" s="1539"/>
      <c r="V1232" s="1539"/>
      <c r="W1232" s="1539"/>
      <c r="X1232" s="1539"/>
      <c r="Y1232" s="1539"/>
      <c r="Z1232" s="1539"/>
      <c r="AA1232" s="1539"/>
      <c r="AB1232" s="1539"/>
      <c r="AC1232" s="1539"/>
      <c r="AD1232" s="1539"/>
      <c r="AE1232" s="1539"/>
      <c r="AF1232" s="1539"/>
      <c r="AG1232" s="1539"/>
      <c r="AH1232" s="1539"/>
      <c r="AI1232" s="1539"/>
      <c r="AJ1232" s="1539"/>
      <c r="AK1232" s="1539"/>
      <c r="AL1232" s="1539"/>
      <c r="AM1232" s="1539"/>
      <c r="AN1232" s="1539"/>
      <c r="AO1232" s="1539"/>
      <c r="AP1232" s="1539"/>
      <c r="AQ1232" s="1539"/>
      <c r="AR1232" s="1539"/>
      <c r="AS1232" s="1539"/>
      <c r="AT1232" s="1539"/>
      <c r="AU1232" s="1539"/>
      <c r="AV1232" s="1539"/>
      <c r="AW1232" s="1539"/>
      <c r="AX1232" s="1539"/>
      <c r="AY1232" s="1539"/>
      <c r="AZ1232" s="1539"/>
      <c r="BA1232" s="1539"/>
      <c r="BB1232" s="1539"/>
      <c r="BC1232" s="1539"/>
      <c r="BD1232" s="1539"/>
      <c r="BE1232" s="1539"/>
      <c r="BF1232" s="1539"/>
      <c r="BG1232" s="1539"/>
      <c r="BH1232" s="1539"/>
      <c r="BI1232" s="1539"/>
      <c r="BJ1232" s="1539"/>
      <c r="BK1232" s="1539"/>
      <c r="BL1232" s="1539"/>
      <c r="BM1232" s="1539"/>
      <c r="BN1232" s="1539"/>
      <c r="BO1232" s="1539"/>
      <c r="BP1232" s="1539"/>
      <c r="BQ1232" s="1539"/>
      <c r="BR1232" s="1539"/>
      <c r="BS1232" s="1539"/>
      <c r="BT1232" s="1539"/>
      <c r="BU1232" s="1539"/>
      <c r="BV1232" s="1539"/>
      <c r="BW1232" s="1539"/>
      <c r="BX1232" s="1539"/>
      <c r="BY1232" s="1539"/>
      <c r="BZ1232" s="1539"/>
      <c r="CA1232" s="1539"/>
      <c r="CB1232" s="1539"/>
      <c r="CC1232" s="1539"/>
      <c r="CD1232" s="1539"/>
      <c r="CE1232" s="1539"/>
      <c r="CF1232" s="1539"/>
      <c r="CG1232" s="1539"/>
      <c r="CH1232" s="1539"/>
      <c r="CI1232" s="1539"/>
      <c r="CJ1232" s="1539"/>
      <c r="CK1232" s="1539"/>
      <c r="CL1232" s="1539"/>
      <c r="CM1232" s="1539"/>
      <c r="CN1232" s="1539"/>
      <c r="CO1232" s="1539"/>
    </row>
    <row r="1233" spans="1:93" s="1552" customFormat="1" ht="15.5">
      <c r="A1233" s="1598" t="s">
        <v>3384</v>
      </c>
      <c r="B1233" s="1599" t="s">
        <v>1760</v>
      </c>
      <c r="C1233" s="1643" t="e">
        <f>+SUMIF(#REF!,Final!A1233,#REF!)</f>
        <v>#REF!</v>
      </c>
      <c r="D1233" s="1597" t="e">
        <f>+SUMIF(#REF!,Final!A1233,#REF!)</f>
        <v>#REF!</v>
      </c>
      <c r="E1233" s="1643" t="e">
        <f>SUMIF(#REF!,Final!A1233,#REF!)</f>
        <v>#REF!</v>
      </c>
      <c r="F1233" s="1644" t="e">
        <f>SUMIF(#REF!,Final!A1233,#REF!)</f>
        <v>#REF!</v>
      </c>
      <c r="G1233" s="1597" t="e">
        <f t="shared" si="104"/>
        <v>#REF!</v>
      </c>
      <c r="H1233" s="1644" t="e">
        <f t="shared" si="105"/>
        <v>#REF!</v>
      </c>
      <c r="I1233" s="1597" t="e">
        <f t="shared" si="106"/>
        <v>#REF!</v>
      </c>
      <c r="J1233" s="1644" t="e">
        <f t="shared" si="107"/>
        <v>#REF!</v>
      </c>
      <c r="K1233" s="1539"/>
      <c r="L1233" s="1539"/>
      <c r="M1233" s="1545"/>
      <c r="N1233" s="1545"/>
      <c r="O1233" s="1539"/>
      <c r="P1233" s="1539"/>
      <c r="Q1233" s="1539"/>
      <c r="R1233" s="1539"/>
      <c r="S1233" s="1539"/>
      <c r="T1233" s="1539"/>
      <c r="U1233" s="1539"/>
      <c r="V1233" s="1539"/>
      <c r="W1233" s="1539"/>
      <c r="X1233" s="1539"/>
      <c r="Y1233" s="1539"/>
      <c r="Z1233" s="1539"/>
      <c r="AA1233" s="1539"/>
      <c r="AB1233" s="1539"/>
      <c r="AC1233" s="1539"/>
      <c r="AD1233" s="1539"/>
      <c r="AE1233" s="1539"/>
      <c r="AF1233" s="1539"/>
      <c r="AG1233" s="1539"/>
      <c r="AH1233" s="1539"/>
      <c r="AI1233" s="1539"/>
      <c r="AJ1233" s="1539"/>
      <c r="AK1233" s="1539"/>
      <c r="AL1233" s="1539"/>
      <c r="AM1233" s="1539"/>
      <c r="AN1233" s="1539"/>
      <c r="AO1233" s="1539"/>
      <c r="AP1233" s="1539"/>
      <c r="AQ1233" s="1539"/>
      <c r="AR1233" s="1539"/>
      <c r="AS1233" s="1539"/>
      <c r="AT1233" s="1539"/>
      <c r="AU1233" s="1539"/>
      <c r="AV1233" s="1539"/>
      <c r="AW1233" s="1539"/>
      <c r="AX1233" s="1539"/>
      <c r="AY1233" s="1539"/>
      <c r="AZ1233" s="1539"/>
      <c r="BA1233" s="1539"/>
      <c r="BB1233" s="1539"/>
      <c r="BC1233" s="1539"/>
      <c r="BD1233" s="1539"/>
      <c r="BE1233" s="1539"/>
      <c r="BF1233" s="1539"/>
      <c r="BG1233" s="1539"/>
      <c r="BH1233" s="1539"/>
      <c r="BI1233" s="1539"/>
      <c r="BJ1233" s="1539"/>
      <c r="BK1233" s="1539"/>
      <c r="BL1233" s="1539"/>
      <c r="BM1233" s="1539"/>
      <c r="BN1233" s="1539"/>
      <c r="BO1233" s="1539"/>
      <c r="BP1233" s="1539"/>
      <c r="BQ1233" s="1539"/>
      <c r="BR1233" s="1539"/>
      <c r="BS1233" s="1539"/>
      <c r="BT1233" s="1539"/>
      <c r="BU1233" s="1539"/>
      <c r="BV1233" s="1539"/>
      <c r="BW1233" s="1539"/>
      <c r="BX1233" s="1539"/>
      <c r="BY1233" s="1539"/>
      <c r="BZ1233" s="1539"/>
      <c r="CA1233" s="1539"/>
      <c r="CB1233" s="1539"/>
      <c r="CC1233" s="1539"/>
      <c r="CD1233" s="1539"/>
      <c r="CE1233" s="1539"/>
      <c r="CF1233" s="1539"/>
      <c r="CG1233" s="1539"/>
      <c r="CH1233" s="1539"/>
      <c r="CI1233" s="1539"/>
      <c r="CJ1233" s="1539"/>
      <c r="CK1233" s="1539"/>
      <c r="CL1233" s="1539"/>
      <c r="CM1233" s="1539"/>
      <c r="CN1233" s="1539"/>
      <c r="CO1233" s="1539"/>
    </row>
    <row r="1234" spans="1:93" s="1542" customFormat="1" ht="15.5">
      <c r="A1234" s="1598" t="s">
        <v>1815</v>
      </c>
      <c r="B1234" s="1599" t="s">
        <v>2787</v>
      </c>
      <c r="C1234" s="1643" t="e">
        <f>+SUMIF(#REF!,Final!A1234,#REF!)</f>
        <v>#REF!</v>
      </c>
      <c r="D1234" s="1597" t="e">
        <f>+SUMIF(#REF!,Final!A1234,#REF!)</f>
        <v>#REF!</v>
      </c>
      <c r="E1234" s="1643" t="e">
        <f>SUMIF(#REF!,Final!A1234,#REF!)</f>
        <v>#REF!</v>
      </c>
      <c r="F1234" s="1644" t="e">
        <f>SUMIF(#REF!,Final!A1234,#REF!)</f>
        <v>#REF!</v>
      </c>
      <c r="G1234" s="1597" t="e">
        <f t="shared" si="104"/>
        <v>#REF!</v>
      </c>
      <c r="H1234" s="1644" t="e">
        <f t="shared" si="105"/>
        <v>#REF!</v>
      </c>
      <c r="I1234" s="1597" t="e">
        <f t="shared" si="106"/>
        <v>#REF!</v>
      </c>
      <c r="J1234" s="1644" t="e">
        <f t="shared" si="107"/>
        <v>#REF!</v>
      </c>
      <c r="K1234" s="1539"/>
      <c r="L1234" s="1539"/>
      <c r="M1234" s="1545"/>
      <c r="N1234" s="1545"/>
      <c r="O1234" s="1539"/>
      <c r="P1234" s="1539"/>
      <c r="Q1234" s="1539"/>
      <c r="R1234" s="1539"/>
      <c r="S1234" s="1539"/>
      <c r="T1234" s="1539"/>
      <c r="U1234" s="1539"/>
      <c r="V1234" s="1539"/>
      <c r="W1234" s="1539"/>
      <c r="X1234" s="1539"/>
      <c r="Y1234" s="1539"/>
      <c r="Z1234" s="1539"/>
      <c r="AA1234" s="1539"/>
      <c r="AB1234" s="1539"/>
      <c r="AC1234" s="1539"/>
      <c r="AD1234" s="1539"/>
      <c r="AE1234" s="1539"/>
      <c r="AF1234" s="1539"/>
      <c r="AG1234" s="1539"/>
      <c r="AH1234" s="1539"/>
      <c r="AI1234" s="1539"/>
      <c r="AJ1234" s="1539"/>
      <c r="AK1234" s="1539"/>
      <c r="AL1234" s="1539"/>
      <c r="AM1234" s="1539"/>
      <c r="AN1234" s="1539"/>
      <c r="AO1234" s="1539"/>
      <c r="AP1234" s="1539"/>
      <c r="AQ1234" s="1539"/>
      <c r="AR1234" s="1539"/>
      <c r="AS1234" s="1539"/>
      <c r="AT1234" s="1539"/>
      <c r="AU1234" s="1539"/>
      <c r="AV1234" s="1539"/>
      <c r="AW1234" s="1539"/>
      <c r="AX1234" s="1539"/>
      <c r="AY1234" s="1539"/>
      <c r="AZ1234" s="1539"/>
      <c r="BA1234" s="1539"/>
      <c r="BB1234" s="1539"/>
      <c r="BC1234" s="1539"/>
      <c r="BD1234" s="1539"/>
      <c r="BE1234" s="1539"/>
      <c r="BF1234" s="1539"/>
      <c r="BG1234" s="1539"/>
      <c r="BH1234" s="1539"/>
      <c r="BI1234" s="1539"/>
      <c r="BJ1234" s="1539"/>
      <c r="BK1234" s="1539"/>
      <c r="BL1234" s="1539"/>
      <c r="BM1234" s="1539"/>
      <c r="BN1234" s="1539"/>
      <c r="BO1234" s="1539"/>
      <c r="BP1234" s="1539"/>
      <c r="BQ1234" s="1539"/>
      <c r="BR1234" s="1539"/>
      <c r="BS1234" s="1539"/>
      <c r="BT1234" s="1539"/>
      <c r="BU1234" s="1539"/>
      <c r="BV1234" s="1539"/>
      <c r="BW1234" s="1539"/>
      <c r="BX1234" s="1539"/>
      <c r="BY1234" s="1539"/>
      <c r="BZ1234" s="1539"/>
      <c r="CA1234" s="1539"/>
      <c r="CB1234" s="1539"/>
      <c r="CC1234" s="1539"/>
      <c r="CD1234" s="1539"/>
      <c r="CE1234" s="1539"/>
      <c r="CF1234" s="1539"/>
      <c r="CG1234" s="1539"/>
      <c r="CH1234" s="1539"/>
      <c r="CI1234" s="1539"/>
      <c r="CJ1234" s="1539"/>
      <c r="CK1234" s="1539"/>
      <c r="CL1234" s="1539"/>
      <c r="CM1234" s="1539"/>
      <c r="CN1234" s="1539"/>
      <c r="CO1234" s="1539"/>
    </row>
    <row r="1235" spans="1:93" ht="15.5">
      <c r="A1235" s="1598">
        <v>24.190999999999999</v>
      </c>
      <c r="B1235" s="1599" t="s">
        <v>2788</v>
      </c>
      <c r="C1235" s="1643" t="e">
        <f>+SUMIF(#REF!,Final!A1235,#REF!)</f>
        <v>#REF!</v>
      </c>
      <c r="D1235" s="1597" t="e">
        <f>+SUMIF(#REF!,Final!A1235,#REF!)</f>
        <v>#REF!</v>
      </c>
      <c r="E1235" s="1643" t="e">
        <f>SUMIF(#REF!,Final!A1235,#REF!)</f>
        <v>#REF!</v>
      </c>
      <c r="F1235" s="1644" t="e">
        <f>SUMIF(#REF!,Final!A1235,#REF!)</f>
        <v>#REF!</v>
      </c>
      <c r="G1235" s="1597" t="e">
        <f t="shared" si="104"/>
        <v>#REF!</v>
      </c>
      <c r="H1235" s="1644" t="e">
        <f t="shared" si="105"/>
        <v>#REF!</v>
      </c>
      <c r="I1235" s="1597" t="e">
        <f t="shared" si="106"/>
        <v>#REF!</v>
      </c>
      <c r="J1235" s="1644" t="e">
        <f t="shared" si="107"/>
        <v>#REF!</v>
      </c>
      <c r="M1235" s="1545"/>
      <c r="N1235" s="1545"/>
    </row>
    <row r="1236" spans="1:93" ht="15.5">
      <c r="A1236" s="1598">
        <v>24.192</v>
      </c>
      <c r="B1236" s="1599" t="s">
        <v>2789</v>
      </c>
      <c r="C1236" s="1643" t="e">
        <f>+SUMIF(#REF!,Final!A1236,#REF!)</f>
        <v>#REF!</v>
      </c>
      <c r="D1236" s="1597" t="e">
        <f>+SUMIF(#REF!,Final!A1236,#REF!)</f>
        <v>#REF!</v>
      </c>
      <c r="E1236" s="1643" t="e">
        <f>SUMIF(#REF!,Final!A1236,#REF!)</f>
        <v>#REF!</v>
      </c>
      <c r="F1236" s="1644" t="e">
        <f>SUMIF(#REF!,Final!A1236,#REF!)</f>
        <v>#REF!</v>
      </c>
      <c r="G1236" s="1597" t="e">
        <f t="shared" si="104"/>
        <v>#REF!</v>
      </c>
      <c r="H1236" s="1644" t="e">
        <f t="shared" si="105"/>
        <v>#REF!</v>
      </c>
      <c r="I1236" s="1597" t="e">
        <f t="shared" si="106"/>
        <v>#REF!</v>
      </c>
      <c r="J1236" s="1644" t="e">
        <f t="shared" si="107"/>
        <v>#REF!</v>
      </c>
      <c r="M1236" s="1545"/>
      <c r="N1236" s="1545"/>
    </row>
    <row r="1237" spans="1:93" s="1552" customFormat="1" ht="15.5">
      <c r="A1237" s="1598"/>
      <c r="B1237" s="1599" t="s">
        <v>1747</v>
      </c>
      <c r="C1237" s="1643" t="e">
        <f>+SUMIF(#REF!,Final!A1237,#REF!)</f>
        <v>#REF!</v>
      </c>
      <c r="D1237" s="1597" t="e">
        <f>+SUMIF(#REF!,Final!A1237,#REF!)</f>
        <v>#REF!</v>
      </c>
      <c r="E1237" s="1643" t="e">
        <f>SUMIF(#REF!,Final!A1237,#REF!)</f>
        <v>#REF!</v>
      </c>
      <c r="F1237" s="1644" t="e">
        <f>SUMIF(#REF!,Final!A1237,#REF!)</f>
        <v>#REF!</v>
      </c>
      <c r="G1237" s="1597" t="e">
        <f t="shared" si="104"/>
        <v>#REF!</v>
      </c>
      <c r="H1237" s="1644" t="e">
        <f t="shared" si="105"/>
        <v>#REF!</v>
      </c>
      <c r="I1237" s="1597" t="e">
        <f t="shared" si="106"/>
        <v>#REF!</v>
      </c>
      <c r="J1237" s="1644" t="e">
        <f t="shared" si="107"/>
        <v>#REF!</v>
      </c>
      <c r="K1237" s="1539"/>
      <c r="L1237" s="1539"/>
      <c r="M1237" s="1545"/>
      <c r="N1237" s="1545"/>
      <c r="O1237" s="1539"/>
      <c r="P1237" s="1539"/>
      <c r="Q1237" s="1539"/>
      <c r="R1237" s="1539"/>
      <c r="S1237" s="1539"/>
      <c r="T1237" s="1539"/>
      <c r="U1237" s="1539"/>
      <c r="V1237" s="1539"/>
      <c r="W1237" s="1539"/>
      <c r="X1237" s="1539"/>
      <c r="Y1237" s="1539"/>
      <c r="Z1237" s="1539"/>
      <c r="AA1237" s="1539"/>
      <c r="AB1237" s="1539"/>
      <c r="AC1237" s="1539"/>
      <c r="AD1237" s="1539"/>
      <c r="AE1237" s="1539"/>
      <c r="AF1237" s="1539"/>
      <c r="AG1237" s="1539"/>
      <c r="AH1237" s="1539"/>
      <c r="AI1237" s="1539"/>
      <c r="AJ1237" s="1539"/>
      <c r="AK1237" s="1539"/>
      <c r="AL1237" s="1539"/>
      <c r="AM1237" s="1539"/>
      <c r="AN1237" s="1539"/>
      <c r="AO1237" s="1539"/>
      <c r="AP1237" s="1539"/>
      <c r="AQ1237" s="1539"/>
      <c r="AR1237" s="1539"/>
      <c r="AS1237" s="1539"/>
      <c r="AT1237" s="1539"/>
      <c r="AU1237" s="1539"/>
      <c r="AV1237" s="1539"/>
      <c r="AW1237" s="1539"/>
      <c r="AX1237" s="1539"/>
      <c r="AY1237" s="1539"/>
      <c r="AZ1237" s="1539"/>
      <c r="BA1237" s="1539"/>
      <c r="BB1237" s="1539"/>
      <c r="BC1237" s="1539"/>
      <c r="BD1237" s="1539"/>
      <c r="BE1237" s="1539"/>
      <c r="BF1237" s="1539"/>
      <c r="BG1237" s="1539"/>
      <c r="BH1237" s="1539"/>
      <c r="BI1237" s="1539"/>
      <c r="BJ1237" s="1539"/>
      <c r="BK1237" s="1539"/>
      <c r="BL1237" s="1539"/>
      <c r="BM1237" s="1539"/>
      <c r="BN1237" s="1539"/>
      <c r="BO1237" s="1539"/>
      <c r="BP1237" s="1539"/>
      <c r="BQ1237" s="1539"/>
      <c r="BR1237" s="1539"/>
      <c r="BS1237" s="1539"/>
      <c r="BT1237" s="1539"/>
      <c r="BU1237" s="1539"/>
      <c r="BV1237" s="1539"/>
      <c r="BW1237" s="1539"/>
      <c r="BX1237" s="1539"/>
      <c r="BY1237" s="1539"/>
      <c r="BZ1237" s="1539"/>
      <c r="CA1237" s="1539"/>
      <c r="CB1237" s="1539"/>
      <c r="CC1237" s="1539"/>
      <c r="CD1237" s="1539"/>
      <c r="CE1237" s="1539"/>
      <c r="CF1237" s="1539"/>
      <c r="CG1237" s="1539"/>
      <c r="CH1237" s="1539"/>
      <c r="CI1237" s="1539"/>
      <c r="CJ1237" s="1539"/>
      <c r="CK1237" s="1539"/>
      <c r="CL1237" s="1539"/>
      <c r="CM1237" s="1539"/>
      <c r="CN1237" s="1539"/>
      <c r="CO1237" s="1539"/>
    </row>
    <row r="1238" spans="1:93" s="1552" customFormat="1" ht="15.5">
      <c r="A1238" s="1598"/>
      <c r="B1238" s="1599" t="s">
        <v>1760</v>
      </c>
      <c r="C1238" s="1643" t="e">
        <f>+SUMIF(#REF!,Final!A1238,#REF!)</f>
        <v>#REF!</v>
      </c>
      <c r="D1238" s="1597" t="e">
        <f>+SUMIF(#REF!,Final!A1238,#REF!)</f>
        <v>#REF!</v>
      </c>
      <c r="E1238" s="1643" t="e">
        <f>SUMIF(#REF!,Final!A1238,#REF!)</f>
        <v>#REF!</v>
      </c>
      <c r="F1238" s="1644" t="e">
        <f>SUMIF(#REF!,Final!A1238,#REF!)</f>
        <v>#REF!</v>
      </c>
      <c r="G1238" s="1597" t="e">
        <f t="shared" si="104"/>
        <v>#REF!</v>
      </c>
      <c r="H1238" s="1644" t="e">
        <f t="shared" si="105"/>
        <v>#REF!</v>
      </c>
      <c r="I1238" s="1597" t="e">
        <f t="shared" si="106"/>
        <v>#REF!</v>
      </c>
      <c r="J1238" s="1644" t="e">
        <f t="shared" si="107"/>
        <v>#REF!</v>
      </c>
      <c r="K1238" s="1539"/>
      <c r="L1238" s="1539"/>
      <c r="M1238" s="1545"/>
      <c r="N1238" s="1545"/>
      <c r="O1238" s="1539"/>
      <c r="P1238" s="1539"/>
      <c r="Q1238" s="1539"/>
      <c r="R1238" s="1539"/>
      <c r="S1238" s="1539"/>
      <c r="T1238" s="1539"/>
      <c r="U1238" s="1539"/>
      <c r="V1238" s="1539"/>
      <c r="W1238" s="1539"/>
      <c r="X1238" s="1539"/>
      <c r="Y1238" s="1539"/>
      <c r="Z1238" s="1539"/>
      <c r="AA1238" s="1539"/>
      <c r="AB1238" s="1539"/>
      <c r="AC1238" s="1539"/>
      <c r="AD1238" s="1539"/>
      <c r="AE1238" s="1539"/>
      <c r="AF1238" s="1539"/>
      <c r="AG1238" s="1539"/>
      <c r="AH1238" s="1539"/>
      <c r="AI1238" s="1539"/>
      <c r="AJ1238" s="1539"/>
      <c r="AK1238" s="1539"/>
      <c r="AL1238" s="1539"/>
      <c r="AM1238" s="1539"/>
      <c r="AN1238" s="1539"/>
      <c r="AO1238" s="1539"/>
      <c r="AP1238" s="1539"/>
      <c r="AQ1238" s="1539"/>
      <c r="AR1238" s="1539"/>
      <c r="AS1238" s="1539"/>
      <c r="AT1238" s="1539"/>
      <c r="AU1238" s="1539"/>
      <c r="AV1238" s="1539"/>
      <c r="AW1238" s="1539"/>
      <c r="AX1238" s="1539"/>
      <c r="AY1238" s="1539"/>
      <c r="AZ1238" s="1539"/>
      <c r="BA1238" s="1539"/>
      <c r="BB1238" s="1539"/>
      <c r="BC1238" s="1539"/>
      <c r="BD1238" s="1539"/>
      <c r="BE1238" s="1539"/>
      <c r="BF1238" s="1539"/>
      <c r="BG1238" s="1539"/>
      <c r="BH1238" s="1539"/>
      <c r="BI1238" s="1539"/>
      <c r="BJ1238" s="1539"/>
      <c r="BK1238" s="1539"/>
      <c r="BL1238" s="1539"/>
      <c r="BM1238" s="1539"/>
      <c r="BN1238" s="1539"/>
      <c r="BO1238" s="1539"/>
      <c r="BP1238" s="1539"/>
      <c r="BQ1238" s="1539"/>
      <c r="BR1238" s="1539"/>
      <c r="BS1238" s="1539"/>
      <c r="BT1238" s="1539"/>
      <c r="BU1238" s="1539"/>
      <c r="BV1238" s="1539"/>
      <c r="BW1238" s="1539"/>
      <c r="BX1238" s="1539"/>
      <c r="BY1238" s="1539"/>
      <c r="BZ1238" s="1539"/>
      <c r="CA1238" s="1539"/>
      <c r="CB1238" s="1539"/>
      <c r="CC1238" s="1539"/>
      <c r="CD1238" s="1539"/>
      <c r="CE1238" s="1539"/>
      <c r="CF1238" s="1539"/>
      <c r="CG1238" s="1539"/>
      <c r="CH1238" s="1539"/>
      <c r="CI1238" s="1539"/>
      <c r="CJ1238" s="1539"/>
      <c r="CK1238" s="1539"/>
      <c r="CL1238" s="1539"/>
      <c r="CM1238" s="1539"/>
      <c r="CN1238" s="1539"/>
      <c r="CO1238" s="1539"/>
    </row>
    <row r="1239" spans="1:93" s="1542" customFormat="1" ht="15.5">
      <c r="A1239" s="1598" t="s">
        <v>1818</v>
      </c>
      <c r="B1239" s="1599" t="s">
        <v>2790</v>
      </c>
      <c r="C1239" s="1643" t="e">
        <f>+SUMIF(#REF!,Final!A1239,#REF!)</f>
        <v>#REF!</v>
      </c>
      <c r="D1239" s="1597" t="e">
        <f>+SUMIF(#REF!,Final!A1239,#REF!)</f>
        <v>#REF!</v>
      </c>
      <c r="E1239" s="1643" t="e">
        <f>SUMIF(#REF!,Final!A1239,#REF!)</f>
        <v>#REF!</v>
      </c>
      <c r="F1239" s="1644" t="e">
        <f>SUMIF(#REF!,Final!A1239,#REF!)</f>
        <v>#REF!</v>
      </c>
      <c r="G1239" s="1597" t="e">
        <f t="shared" si="104"/>
        <v>#REF!</v>
      </c>
      <c r="H1239" s="1644" t="e">
        <f t="shared" si="105"/>
        <v>#REF!</v>
      </c>
      <c r="I1239" s="1597" t="e">
        <f t="shared" si="106"/>
        <v>#REF!</v>
      </c>
      <c r="J1239" s="1644" t="e">
        <f t="shared" si="107"/>
        <v>#REF!</v>
      </c>
      <c r="K1239" s="1539"/>
      <c r="L1239" s="1539"/>
      <c r="M1239" s="1545"/>
      <c r="N1239" s="1545"/>
      <c r="O1239" s="1539"/>
      <c r="P1239" s="1539"/>
      <c r="Q1239" s="1539"/>
      <c r="R1239" s="1539"/>
      <c r="S1239" s="1539"/>
      <c r="T1239" s="1539"/>
      <c r="U1239" s="1539"/>
      <c r="V1239" s="1539"/>
      <c r="W1239" s="1539"/>
      <c r="X1239" s="1539"/>
      <c r="Y1239" s="1539"/>
      <c r="Z1239" s="1539"/>
      <c r="AA1239" s="1539"/>
      <c r="AB1239" s="1539"/>
      <c r="AC1239" s="1539"/>
      <c r="AD1239" s="1539"/>
      <c r="AE1239" s="1539"/>
      <c r="AF1239" s="1539"/>
      <c r="AG1239" s="1539"/>
      <c r="AH1239" s="1539"/>
      <c r="AI1239" s="1539"/>
      <c r="AJ1239" s="1539"/>
      <c r="AK1239" s="1539"/>
      <c r="AL1239" s="1539"/>
      <c r="AM1239" s="1539"/>
      <c r="AN1239" s="1539"/>
      <c r="AO1239" s="1539"/>
      <c r="AP1239" s="1539"/>
      <c r="AQ1239" s="1539"/>
      <c r="AR1239" s="1539"/>
      <c r="AS1239" s="1539"/>
      <c r="AT1239" s="1539"/>
      <c r="AU1239" s="1539"/>
      <c r="AV1239" s="1539"/>
      <c r="AW1239" s="1539"/>
      <c r="AX1239" s="1539"/>
      <c r="AY1239" s="1539"/>
      <c r="AZ1239" s="1539"/>
      <c r="BA1239" s="1539"/>
      <c r="BB1239" s="1539"/>
      <c r="BC1239" s="1539"/>
      <c r="BD1239" s="1539"/>
      <c r="BE1239" s="1539"/>
      <c r="BF1239" s="1539"/>
      <c r="BG1239" s="1539"/>
      <c r="BH1239" s="1539"/>
      <c r="BI1239" s="1539"/>
      <c r="BJ1239" s="1539"/>
      <c r="BK1239" s="1539"/>
      <c r="BL1239" s="1539"/>
      <c r="BM1239" s="1539"/>
      <c r="BN1239" s="1539"/>
      <c r="BO1239" s="1539"/>
      <c r="BP1239" s="1539"/>
      <c r="BQ1239" s="1539"/>
      <c r="BR1239" s="1539"/>
      <c r="BS1239" s="1539"/>
      <c r="BT1239" s="1539"/>
      <c r="BU1239" s="1539"/>
      <c r="BV1239" s="1539"/>
      <c r="BW1239" s="1539"/>
      <c r="BX1239" s="1539"/>
      <c r="BY1239" s="1539"/>
      <c r="BZ1239" s="1539"/>
      <c r="CA1239" s="1539"/>
      <c r="CB1239" s="1539"/>
      <c r="CC1239" s="1539"/>
      <c r="CD1239" s="1539"/>
      <c r="CE1239" s="1539"/>
      <c r="CF1239" s="1539"/>
      <c r="CG1239" s="1539"/>
      <c r="CH1239" s="1539"/>
      <c r="CI1239" s="1539"/>
      <c r="CJ1239" s="1539"/>
      <c r="CK1239" s="1539"/>
      <c r="CL1239" s="1539"/>
      <c r="CM1239" s="1539"/>
      <c r="CN1239" s="1539"/>
      <c r="CO1239" s="1539"/>
    </row>
    <row r="1240" spans="1:93" ht="15.5">
      <c r="A1240" s="1598">
        <v>24.193000000000001</v>
      </c>
      <c r="B1240" s="1599" t="s">
        <v>2791</v>
      </c>
      <c r="C1240" s="1643" t="e">
        <f>+SUMIF(#REF!,Final!A1240,#REF!)</f>
        <v>#REF!</v>
      </c>
      <c r="D1240" s="1597" t="e">
        <f>+SUMIF(#REF!,Final!A1240,#REF!)</f>
        <v>#REF!</v>
      </c>
      <c r="E1240" s="1643" t="e">
        <f>SUMIF(#REF!,Final!A1240,#REF!)</f>
        <v>#REF!</v>
      </c>
      <c r="F1240" s="1644" t="e">
        <f>SUMIF(#REF!,Final!A1240,#REF!)</f>
        <v>#REF!</v>
      </c>
      <c r="G1240" s="1597" t="e">
        <f t="shared" si="104"/>
        <v>#REF!</v>
      </c>
      <c r="H1240" s="1644" t="e">
        <f t="shared" si="105"/>
        <v>#REF!</v>
      </c>
      <c r="I1240" s="1597" t="e">
        <f t="shared" si="106"/>
        <v>#REF!</v>
      </c>
      <c r="J1240" s="1644" t="e">
        <f t="shared" si="107"/>
        <v>#REF!</v>
      </c>
      <c r="M1240" s="1545"/>
      <c r="N1240" s="1545"/>
    </row>
    <row r="1241" spans="1:93" s="1552" customFormat="1" ht="15.5">
      <c r="A1241" s="1598"/>
      <c r="B1241" s="1599" t="s">
        <v>1747</v>
      </c>
      <c r="C1241" s="1643" t="e">
        <f>+SUMIF(#REF!,Final!A1241,#REF!)</f>
        <v>#REF!</v>
      </c>
      <c r="D1241" s="1597" t="e">
        <f>+SUMIF(#REF!,Final!A1241,#REF!)</f>
        <v>#REF!</v>
      </c>
      <c r="E1241" s="1643" t="e">
        <f>SUMIF(#REF!,Final!A1241,#REF!)</f>
        <v>#REF!</v>
      </c>
      <c r="F1241" s="1644" t="e">
        <f>SUMIF(#REF!,Final!A1241,#REF!)</f>
        <v>#REF!</v>
      </c>
      <c r="G1241" s="1597" t="e">
        <f t="shared" ref="G1241:G1306" si="116">C1241+E1241</f>
        <v>#REF!</v>
      </c>
      <c r="H1241" s="1644" t="e">
        <f t="shared" ref="H1241:H1306" si="117">D1241+F1241</f>
        <v>#REF!</v>
      </c>
      <c r="I1241" s="1597" t="e">
        <f t="shared" ref="I1241:I1306" si="118">IF(G1241&gt;H1241,G1241-H1241,0)</f>
        <v>#REF!</v>
      </c>
      <c r="J1241" s="1644" t="e">
        <f t="shared" ref="J1241:J1306" si="119">IF(H1241&gt;G1241,H1241-G1241,0)</f>
        <v>#REF!</v>
      </c>
      <c r="K1241" s="1539"/>
      <c r="L1241" s="1539"/>
      <c r="M1241" s="1545"/>
      <c r="N1241" s="1545"/>
      <c r="O1241" s="1539"/>
      <c r="P1241" s="1539"/>
      <c r="Q1241" s="1539"/>
      <c r="R1241" s="1539"/>
      <c r="S1241" s="1539"/>
      <c r="T1241" s="1539"/>
      <c r="U1241" s="1539"/>
      <c r="V1241" s="1539"/>
      <c r="W1241" s="1539"/>
      <c r="X1241" s="1539"/>
      <c r="Y1241" s="1539"/>
      <c r="Z1241" s="1539"/>
      <c r="AA1241" s="1539"/>
      <c r="AB1241" s="1539"/>
      <c r="AC1241" s="1539"/>
      <c r="AD1241" s="1539"/>
      <c r="AE1241" s="1539"/>
      <c r="AF1241" s="1539"/>
      <c r="AG1241" s="1539"/>
      <c r="AH1241" s="1539"/>
      <c r="AI1241" s="1539"/>
      <c r="AJ1241" s="1539"/>
      <c r="AK1241" s="1539"/>
      <c r="AL1241" s="1539"/>
      <c r="AM1241" s="1539"/>
      <c r="AN1241" s="1539"/>
      <c r="AO1241" s="1539"/>
      <c r="AP1241" s="1539"/>
      <c r="AQ1241" s="1539"/>
      <c r="AR1241" s="1539"/>
      <c r="AS1241" s="1539"/>
      <c r="AT1241" s="1539"/>
      <c r="AU1241" s="1539"/>
      <c r="AV1241" s="1539"/>
      <c r="AW1241" s="1539"/>
      <c r="AX1241" s="1539"/>
      <c r="AY1241" s="1539"/>
      <c r="AZ1241" s="1539"/>
      <c r="BA1241" s="1539"/>
      <c r="BB1241" s="1539"/>
      <c r="BC1241" s="1539"/>
      <c r="BD1241" s="1539"/>
      <c r="BE1241" s="1539"/>
      <c r="BF1241" s="1539"/>
      <c r="BG1241" s="1539"/>
      <c r="BH1241" s="1539"/>
      <c r="BI1241" s="1539"/>
      <c r="BJ1241" s="1539"/>
      <c r="BK1241" s="1539"/>
      <c r="BL1241" s="1539"/>
      <c r="BM1241" s="1539"/>
      <c r="BN1241" s="1539"/>
      <c r="BO1241" s="1539"/>
      <c r="BP1241" s="1539"/>
      <c r="BQ1241" s="1539"/>
      <c r="BR1241" s="1539"/>
      <c r="BS1241" s="1539"/>
      <c r="BT1241" s="1539"/>
      <c r="BU1241" s="1539"/>
      <c r="BV1241" s="1539"/>
      <c r="BW1241" s="1539"/>
      <c r="BX1241" s="1539"/>
      <c r="BY1241" s="1539"/>
      <c r="BZ1241" s="1539"/>
      <c r="CA1241" s="1539"/>
      <c r="CB1241" s="1539"/>
      <c r="CC1241" s="1539"/>
      <c r="CD1241" s="1539"/>
      <c r="CE1241" s="1539"/>
      <c r="CF1241" s="1539"/>
      <c r="CG1241" s="1539"/>
      <c r="CH1241" s="1539"/>
      <c r="CI1241" s="1539"/>
      <c r="CJ1241" s="1539"/>
      <c r="CK1241" s="1539"/>
      <c r="CL1241" s="1539"/>
      <c r="CM1241" s="1539"/>
      <c r="CN1241" s="1539"/>
      <c r="CO1241" s="1539"/>
    </row>
    <row r="1242" spans="1:93" s="1552" customFormat="1" ht="15.5">
      <c r="A1242" s="1598" t="s">
        <v>3384</v>
      </c>
      <c r="B1242" s="1599" t="s">
        <v>1760</v>
      </c>
      <c r="C1242" s="1643" t="e">
        <f>+SUMIF(#REF!,Final!A1242,#REF!)</f>
        <v>#REF!</v>
      </c>
      <c r="D1242" s="1597" t="e">
        <f>+SUMIF(#REF!,Final!A1242,#REF!)</f>
        <v>#REF!</v>
      </c>
      <c r="E1242" s="1643" t="e">
        <f>SUMIF(#REF!,Final!A1242,#REF!)</f>
        <v>#REF!</v>
      </c>
      <c r="F1242" s="1644" t="e">
        <f>SUMIF(#REF!,Final!A1242,#REF!)</f>
        <v>#REF!</v>
      </c>
      <c r="G1242" s="1597" t="e">
        <f t="shared" si="116"/>
        <v>#REF!</v>
      </c>
      <c r="H1242" s="1644" t="e">
        <f t="shared" si="117"/>
        <v>#REF!</v>
      </c>
      <c r="I1242" s="1597" t="e">
        <f t="shared" si="118"/>
        <v>#REF!</v>
      </c>
      <c r="J1242" s="1644" t="e">
        <f t="shared" si="119"/>
        <v>#REF!</v>
      </c>
      <c r="K1242" s="1539"/>
      <c r="L1242" s="1539"/>
      <c r="M1242" s="1545"/>
      <c r="N1242" s="1545"/>
      <c r="O1242" s="1539"/>
      <c r="P1242" s="1539"/>
      <c r="Q1242" s="1539"/>
      <c r="R1242" s="1539"/>
      <c r="S1242" s="1539"/>
      <c r="T1242" s="1539"/>
      <c r="U1242" s="1539"/>
      <c r="V1242" s="1539"/>
      <c r="W1242" s="1539"/>
      <c r="X1242" s="1539"/>
      <c r="Y1242" s="1539"/>
      <c r="Z1242" s="1539"/>
      <c r="AA1242" s="1539"/>
      <c r="AB1242" s="1539"/>
      <c r="AC1242" s="1539"/>
      <c r="AD1242" s="1539"/>
      <c r="AE1242" s="1539"/>
      <c r="AF1242" s="1539"/>
      <c r="AG1242" s="1539"/>
      <c r="AH1242" s="1539"/>
      <c r="AI1242" s="1539"/>
      <c r="AJ1242" s="1539"/>
      <c r="AK1242" s="1539"/>
      <c r="AL1242" s="1539"/>
      <c r="AM1242" s="1539"/>
      <c r="AN1242" s="1539"/>
      <c r="AO1242" s="1539"/>
      <c r="AP1242" s="1539"/>
      <c r="AQ1242" s="1539"/>
      <c r="AR1242" s="1539"/>
      <c r="AS1242" s="1539"/>
      <c r="AT1242" s="1539"/>
      <c r="AU1242" s="1539"/>
      <c r="AV1242" s="1539"/>
      <c r="AW1242" s="1539"/>
      <c r="AX1242" s="1539"/>
      <c r="AY1242" s="1539"/>
      <c r="AZ1242" s="1539"/>
      <c r="BA1242" s="1539"/>
      <c r="BB1242" s="1539"/>
      <c r="BC1242" s="1539"/>
      <c r="BD1242" s="1539"/>
      <c r="BE1242" s="1539"/>
      <c r="BF1242" s="1539"/>
      <c r="BG1242" s="1539"/>
      <c r="BH1242" s="1539"/>
      <c r="BI1242" s="1539"/>
      <c r="BJ1242" s="1539"/>
      <c r="BK1242" s="1539"/>
      <c r="BL1242" s="1539"/>
      <c r="BM1242" s="1539"/>
      <c r="BN1242" s="1539"/>
      <c r="BO1242" s="1539"/>
      <c r="BP1242" s="1539"/>
      <c r="BQ1242" s="1539"/>
      <c r="BR1242" s="1539"/>
      <c r="BS1242" s="1539"/>
      <c r="BT1242" s="1539"/>
      <c r="BU1242" s="1539"/>
      <c r="BV1242" s="1539"/>
      <c r="BW1242" s="1539"/>
      <c r="BX1242" s="1539"/>
      <c r="BY1242" s="1539"/>
      <c r="BZ1242" s="1539"/>
      <c r="CA1242" s="1539"/>
      <c r="CB1242" s="1539"/>
      <c r="CC1242" s="1539"/>
      <c r="CD1242" s="1539"/>
      <c r="CE1242" s="1539"/>
      <c r="CF1242" s="1539"/>
      <c r="CG1242" s="1539"/>
      <c r="CH1242" s="1539"/>
      <c r="CI1242" s="1539"/>
      <c r="CJ1242" s="1539"/>
      <c r="CK1242" s="1539"/>
      <c r="CL1242" s="1539"/>
      <c r="CM1242" s="1539"/>
      <c r="CN1242" s="1539"/>
      <c r="CO1242" s="1539"/>
    </row>
    <row r="1243" spans="1:93" s="1542" customFormat="1" ht="15.5">
      <c r="A1243" s="1598" t="s">
        <v>1821</v>
      </c>
      <c r="B1243" s="1599" t="s">
        <v>2792</v>
      </c>
      <c r="C1243" s="1643" t="e">
        <f>+SUMIF(#REF!,Final!A1243,#REF!)</f>
        <v>#REF!</v>
      </c>
      <c r="D1243" s="1597" t="e">
        <f>+SUMIF(#REF!,Final!A1243,#REF!)</f>
        <v>#REF!</v>
      </c>
      <c r="E1243" s="1643" t="e">
        <f>SUMIF(#REF!,Final!A1243,#REF!)</f>
        <v>#REF!</v>
      </c>
      <c r="F1243" s="1644" t="e">
        <f>SUMIF(#REF!,Final!A1243,#REF!)</f>
        <v>#REF!</v>
      </c>
      <c r="G1243" s="1597" t="e">
        <f t="shared" si="116"/>
        <v>#REF!</v>
      </c>
      <c r="H1243" s="1644" t="e">
        <f t="shared" si="117"/>
        <v>#REF!</v>
      </c>
      <c r="I1243" s="1597" t="e">
        <f t="shared" si="118"/>
        <v>#REF!</v>
      </c>
      <c r="J1243" s="1644" t="e">
        <f t="shared" si="119"/>
        <v>#REF!</v>
      </c>
      <c r="K1243" s="1539"/>
      <c r="L1243" s="1539"/>
      <c r="M1243" s="1545"/>
      <c r="N1243" s="1545"/>
      <c r="O1243" s="1539"/>
      <c r="P1243" s="1539"/>
      <c r="Q1243" s="1539"/>
      <c r="R1243" s="1539"/>
      <c r="S1243" s="1539"/>
      <c r="T1243" s="1539"/>
      <c r="U1243" s="1539"/>
      <c r="V1243" s="1539"/>
      <c r="W1243" s="1539"/>
      <c r="X1243" s="1539"/>
      <c r="Y1243" s="1539"/>
      <c r="Z1243" s="1539"/>
      <c r="AA1243" s="1539"/>
      <c r="AB1243" s="1539"/>
      <c r="AC1243" s="1539"/>
      <c r="AD1243" s="1539"/>
      <c r="AE1243" s="1539"/>
      <c r="AF1243" s="1539"/>
      <c r="AG1243" s="1539"/>
      <c r="AH1243" s="1539"/>
      <c r="AI1243" s="1539"/>
      <c r="AJ1243" s="1539"/>
      <c r="AK1243" s="1539"/>
      <c r="AL1243" s="1539"/>
      <c r="AM1243" s="1539"/>
      <c r="AN1243" s="1539"/>
      <c r="AO1243" s="1539"/>
      <c r="AP1243" s="1539"/>
      <c r="AQ1243" s="1539"/>
      <c r="AR1243" s="1539"/>
      <c r="AS1243" s="1539"/>
      <c r="AT1243" s="1539"/>
      <c r="AU1243" s="1539"/>
      <c r="AV1243" s="1539"/>
      <c r="AW1243" s="1539"/>
      <c r="AX1243" s="1539"/>
      <c r="AY1243" s="1539"/>
      <c r="AZ1243" s="1539"/>
      <c r="BA1243" s="1539"/>
      <c r="BB1243" s="1539"/>
      <c r="BC1243" s="1539"/>
      <c r="BD1243" s="1539"/>
      <c r="BE1243" s="1539"/>
      <c r="BF1243" s="1539"/>
      <c r="BG1243" s="1539"/>
      <c r="BH1243" s="1539"/>
      <c r="BI1243" s="1539"/>
      <c r="BJ1243" s="1539"/>
      <c r="BK1243" s="1539"/>
      <c r="BL1243" s="1539"/>
      <c r="BM1243" s="1539"/>
      <c r="BN1243" s="1539"/>
      <c r="BO1243" s="1539"/>
      <c r="BP1243" s="1539"/>
      <c r="BQ1243" s="1539"/>
      <c r="BR1243" s="1539"/>
      <c r="BS1243" s="1539"/>
      <c r="BT1243" s="1539"/>
      <c r="BU1243" s="1539"/>
      <c r="BV1243" s="1539"/>
      <c r="BW1243" s="1539"/>
      <c r="BX1243" s="1539"/>
      <c r="BY1243" s="1539"/>
      <c r="BZ1243" s="1539"/>
      <c r="CA1243" s="1539"/>
      <c r="CB1243" s="1539"/>
      <c r="CC1243" s="1539"/>
      <c r="CD1243" s="1539"/>
      <c r="CE1243" s="1539"/>
      <c r="CF1243" s="1539"/>
      <c r="CG1243" s="1539"/>
      <c r="CH1243" s="1539"/>
      <c r="CI1243" s="1539"/>
      <c r="CJ1243" s="1539"/>
      <c r="CK1243" s="1539"/>
      <c r="CL1243" s="1539"/>
      <c r="CM1243" s="1539"/>
      <c r="CN1243" s="1539"/>
      <c r="CO1243" s="1539"/>
    </row>
    <row r="1244" spans="1:93" ht="15.5">
      <c r="A1244" s="1598">
        <v>24.21</v>
      </c>
      <c r="B1244" s="1599" t="s">
        <v>2793</v>
      </c>
      <c r="C1244" s="1643" t="e">
        <f>+SUMIF(#REF!,Final!A1244,#REF!)</f>
        <v>#REF!</v>
      </c>
      <c r="D1244" s="1597" t="e">
        <f>+SUMIF(#REF!,Final!A1244,#REF!)</f>
        <v>#REF!</v>
      </c>
      <c r="E1244" s="1643" t="e">
        <f>SUMIF(#REF!,Final!A1244,#REF!)</f>
        <v>#REF!</v>
      </c>
      <c r="F1244" s="1644" t="e">
        <f>SUMIF(#REF!,Final!A1244,#REF!)</f>
        <v>#REF!</v>
      </c>
      <c r="G1244" s="1597" t="e">
        <f t="shared" si="116"/>
        <v>#REF!</v>
      </c>
      <c r="H1244" s="1644" t="e">
        <f t="shared" si="117"/>
        <v>#REF!</v>
      </c>
      <c r="I1244" s="1597" t="e">
        <f t="shared" si="118"/>
        <v>#REF!</v>
      </c>
      <c r="J1244" s="1644" t="e">
        <f t="shared" si="119"/>
        <v>#REF!</v>
      </c>
      <c r="M1244" s="1545"/>
      <c r="N1244" s="1545"/>
    </row>
    <row r="1245" spans="1:93" ht="15.5">
      <c r="A1245" s="1598">
        <v>24.22</v>
      </c>
      <c r="B1245" s="1599" t="s">
        <v>2794</v>
      </c>
      <c r="C1245" s="1643" t="e">
        <f>+SUMIF(#REF!,Final!A1245,#REF!)</f>
        <v>#REF!</v>
      </c>
      <c r="D1245" s="1597" t="e">
        <f>+SUMIF(#REF!,Final!A1245,#REF!)</f>
        <v>#REF!</v>
      </c>
      <c r="E1245" s="1643" t="e">
        <f>SUMIF(#REF!,Final!A1245,#REF!)</f>
        <v>#REF!</v>
      </c>
      <c r="F1245" s="1644" t="e">
        <f>SUMIF(#REF!,Final!A1245,#REF!)</f>
        <v>#REF!</v>
      </c>
      <c r="G1245" s="1597" t="e">
        <f t="shared" si="116"/>
        <v>#REF!</v>
      </c>
      <c r="H1245" s="1644" t="e">
        <f t="shared" si="117"/>
        <v>#REF!</v>
      </c>
      <c r="I1245" s="1597" t="e">
        <f t="shared" si="118"/>
        <v>#REF!</v>
      </c>
      <c r="J1245" s="1644" t="e">
        <f t="shared" si="119"/>
        <v>#REF!</v>
      </c>
      <c r="M1245" s="1545"/>
      <c r="N1245" s="1545"/>
    </row>
    <row r="1246" spans="1:93" ht="15.5">
      <c r="A1246" s="1598">
        <v>24.227</v>
      </c>
      <c r="B1246" s="1599" t="s">
        <v>3921</v>
      </c>
      <c r="C1246" s="1643" t="e">
        <f>+SUMIF(#REF!,Final!A1246,#REF!)</f>
        <v>#REF!</v>
      </c>
      <c r="D1246" s="1597" t="e">
        <f>+SUMIF(#REF!,Final!A1246,#REF!)</f>
        <v>#REF!</v>
      </c>
      <c r="E1246" s="1643" t="e">
        <f>SUMIF(#REF!,Final!A1246,#REF!)</f>
        <v>#REF!</v>
      </c>
      <c r="F1246" s="1644" t="e">
        <f>SUMIF(#REF!,Final!A1246,#REF!)</f>
        <v>#REF!</v>
      </c>
      <c r="G1246" s="1597" t="e">
        <f t="shared" si="116"/>
        <v>#REF!</v>
      </c>
      <c r="H1246" s="1644" t="e">
        <f t="shared" si="117"/>
        <v>#REF!</v>
      </c>
      <c r="I1246" s="1597" t="e">
        <f t="shared" si="118"/>
        <v>#REF!</v>
      </c>
      <c r="J1246" s="1644" t="e">
        <f t="shared" si="119"/>
        <v>#REF!</v>
      </c>
      <c r="M1246" s="1545"/>
      <c r="N1246" s="1545"/>
    </row>
    <row r="1247" spans="1:93" ht="15.5">
      <c r="A1247" s="1598">
        <v>24.23</v>
      </c>
      <c r="B1247" s="1599" t="s">
        <v>2795</v>
      </c>
      <c r="C1247" s="1643" t="e">
        <f>+SUMIF(#REF!,Final!A1247,#REF!)</f>
        <v>#REF!</v>
      </c>
      <c r="D1247" s="1597" t="e">
        <f>+SUMIF(#REF!,Final!A1247,#REF!)</f>
        <v>#REF!</v>
      </c>
      <c r="E1247" s="1643" t="e">
        <f>SUMIF(#REF!,Final!A1247,#REF!)</f>
        <v>#REF!</v>
      </c>
      <c r="F1247" s="1644" t="e">
        <f>SUMIF(#REF!,Final!A1247,#REF!)</f>
        <v>#REF!</v>
      </c>
      <c r="G1247" s="1597" t="e">
        <f t="shared" si="116"/>
        <v>#REF!</v>
      </c>
      <c r="H1247" s="1644" t="e">
        <f t="shared" si="117"/>
        <v>#REF!</v>
      </c>
      <c r="I1247" s="1597" t="e">
        <f t="shared" si="118"/>
        <v>#REF!</v>
      </c>
      <c r="J1247" s="1644" t="e">
        <f t="shared" si="119"/>
        <v>#REF!</v>
      </c>
      <c r="M1247" s="1545"/>
      <c r="N1247" s="1545"/>
    </row>
    <row r="1248" spans="1:93" ht="15.5">
      <c r="A1248" s="1598">
        <v>24.24</v>
      </c>
      <c r="B1248" s="1599" t="s">
        <v>2796</v>
      </c>
      <c r="C1248" s="1643" t="e">
        <f>+SUMIF(#REF!,Final!A1248,#REF!)</f>
        <v>#REF!</v>
      </c>
      <c r="D1248" s="1597" t="e">
        <f>+SUMIF(#REF!,Final!A1248,#REF!)</f>
        <v>#REF!</v>
      </c>
      <c r="E1248" s="1643" t="e">
        <f>SUMIF(#REF!,Final!A1248,#REF!)</f>
        <v>#REF!</v>
      </c>
      <c r="F1248" s="1644" t="e">
        <f>SUMIF(#REF!,Final!A1248,#REF!)</f>
        <v>#REF!</v>
      </c>
      <c r="G1248" s="1597" t="e">
        <f t="shared" si="116"/>
        <v>#REF!</v>
      </c>
      <c r="H1248" s="1644" t="e">
        <f t="shared" si="117"/>
        <v>#REF!</v>
      </c>
      <c r="I1248" s="1597" t="e">
        <f t="shared" si="118"/>
        <v>#REF!</v>
      </c>
      <c r="J1248" s="1644" t="e">
        <f t="shared" si="119"/>
        <v>#REF!</v>
      </c>
      <c r="M1248" s="1545"/>
      <c r="N1248" s="1545"/>
    </row>
    <row r="1249" spans="1:93" ht="15.5">
      <c r="A1249" s="1598">
        <v>24.251000000000001</v>
      </c>
      <c r="B1249" s="1599" t="s">
        <v>4541</v>
      </c>
      <c r="C1249" s="1643" t="e">
        <f>+SUMIF(#REF!,Final!A1249,#REF!)</f>
        <v>#REF!</v>
      </c>
      <c r="D1249" s="1597" t="e">
        <f>+SUMIF(#REF!,Final!A1249,#REF!)</f>
        <v>#REF!</v>
      </c>
      <c r="E1249" s="1643" t="e">
        <f>SUMIF(#REF!,Final!A1249,#REF!)</f>
        <v>#REF!</v>
      </c>
      <c r="F1249" s="1644" t="e">
        <f>SUMIF(#REF!,Final!A1249,#REF!)</f>
        <v>#REF!</v>
      </c>
      <c r="G1249" s="1597" t="e">
        <f t="shared" si="116"/>
        <v>#REF!</v>
      </c>
      <c r="H1249" s="1644" t="e">
        <f t="shared" si="117"/>
        <v>#REF!</v>
      </c>
      <c r="I1249" s="1597" t="e">
        <f t="shared" si="118"/>
        <v>#REF!</v>
      </c>
      <c r="J1249" s="1644" t="e">
        <f t="shared" si="119"/>
        <v>#REF!</v>
      </c>
      <c r="M1249" s="1545"/>
      <c r="N1249" s="1545"/>
    </row>
    <row r="1250" spans="1:93" ht="15.5">
      <c r="A1250" s="1684" t="s">
        <v>4961</v>
      </c>
      <c r="B1250" s="1703" t="s">
        <v>4962</v>
      </c>
      <c r="C1250" s="1643" t="e">
        <f>+SUMIF(#REF!,Final!A1250,#REF!)</f>
        <v>#REF!</v>
      </c>
      <c r="D1250" s="1597" t="e">
        <f>+SUMIF(#REF!,Final!A1250,#REF!)</f>
        <v>#REF!</v>
      </c>
      <c r="E1250" s="1643" t="e">
        <f>SUMIF(#REF!,Final!A1250,#REF!)</f>
        <v>#REF!</v>
      </c>
      <c r="F1250" s="1644" t="e">
        <f>SUMIF(#REF!,Final!A1250,#REF!)</f>
        <v>#REF!</v>
      </c>
      <c r="G1250" s="1597" t="e">
        <f t="shared" si="116"/>
        <v>#REF!</v>
      </c>
      <c r="H1250" s="1644" t="e">
        <f t="shared" si="117"/>
        <v>#REF!</v>
      </c>
      <c r="I1250" s="1597" t="e">
        <f t="shared" si="118"/>
        <v>#REF!</v>
      </c>
      <c r="J1250" s="1644" t="e">
        <f t="shared" si="119"/>
        <v>#REF!</v>
      </c>
      <c r="M1250" s="1545"/>
      <c r="N1250" s="1545"/>
    </row>
    <row r="1251" spans="1:93" ht="15.5">
      <c r="A1251" s="1793" t="s">
        <v>5245</v>
      </c>
      <c r="B1251" s="1792" t="s">
        <v>5246</v>
      </c>
      <c r="C1251" s="1643" t="e">
        <f>+SUMIF(#REF!,Final!A1251,#REF!)</f>
        <v>#REF!</v>
      </c>
      <c r="D1251" s="1597" t="e">
        <f>+SUMIF(#REF!,Final!A1251,#REF!)</f>
        <v>#REF!</v>
      </c>
      <c r="E1251" s="1643" t="e">
        <f>SUMIF(#REF!,Final!A1251,#REF!)</f>
        <v>#REF!</v>
      </c>
      <c r="F1251" s="1644" t="e">
        <f>SUMIF(#REF!,Final!A1251,#REF!)</f>
        <v>#REF!</v>
      </c>
      <c r="G1251" s="1597" t="e">
        <f t="shared" ref="G1251" si="120">C1251+E1251</f>
        <v>#REF!</v>
      </c>
      <c r="H1251" s="1644" t="e">
        <f t="shared" ref="H1251" si="121">D1251+F1251</f>
        <v>#REF!</v>
      </c>
      <c r="I1251" s="1597" t="e">
        <f t="shared" ref="I1251" si="122">IF(G1251&gt;H1251,G1251-H1251,0)</f>
        <v>#REF!</v>
      </c>
      <c r="J1251" s="1644" t="e">
        <f t="shared" ref="J1251" si="123">IF(H1251&gt;G1251,H1251-G1251,0)</f>
        <v>#REF!</v>
      </c>
      <c r="M1251" s="1545"/>
      <c r="N1251" s="1545"/>
    </row>
    <row r="1252" spans="1:93" ht="15.5">
      <c r="A1252" s="1600">
        <v>24.25</v>
      </c>
      <c r="B1252" s="1599" t="s">
        <v>3922</v>
      </c>
      <c r="C1252" s="1643" t="e">
        <f>+SUMIF(#REF!,Final!A1252,#REF!)</f>
        <v>#REF!</v>
      </c>
      <c r="D1252" s="1597" t="e">
        <f>+SUMIF(#REF!,Final!A1252,#REF!)</f>
        <v>#REF!</v>
      </c>
      <c r="E1252" s="1643" t="e">
        <f>SUMIF(#REF!,Final!A1252,#REF!)</f>
        <v>#REF!</v>
      </c>
      <c r="F1252" s="1644" t="e">
        <f>SUMIF(#REF!,Final!A1252,#REF!)</f>
        <v>#REF!</v>
      </c>
      <c r="G1252" s="1597" t="e">
        <f t="shared" si="116"/>
        <v>#REF!</v>
      </c>
      <c r="H1252" s="1644" t="e">
        <f t="shared" si="117"/>
        <v>#REF!</v>
      </c>
      <c r="I1252" s="1597" t="e">
        <f t="shared" si="118"/>
        <v>#REF!</v>
      </c>
      <c r="J1252" s="1644" t="e">
        <f t="shared" si="119"/>
        <v>#REF!</v>
      </c>
      <c r="M1252" s="1545"/>
      <c r="N1252" s="1545"/>
    </row>
    <row r="1253" spans="1:93" s="1552" customFormat="1" ht="15.5">
      <c r="A1253" s="1598"/>
      <c r="B1253" s="1599" t="s">
        <v>1747</v>
      </c>
      <c r="C1253" s="1643" t="e">
        <f>+SUMIF(#REF!,Final!A1253,#REF!)</f>
        <v>#REF!</v>
      </c>
      <c r="D1253" s="1597" t="e">
        <f>+SUMIF(#REF!,Final!A1253,#REF!)</f>
        <v>#REF!</v>
      </c>
      <c r="E1253" s="1643" t="e">
        <f>SUMIF(#REF!,Final!A1253,#REF!)</f>
        <v>#REF!</v>
      </c>
      <c r="F1253" s="1644" t="e">
        <f>SUMIF(#REF!,Final!A1253,#REF!)</f>
        <v>#REF!</v>
      </c>
      <c r="G1253" s="1597" t="e">
        <f t="shared" si="116"/>
        <v>#REF!</v>
      </c>
      <c r="H1253" s="1644" t="e">
        <f t="shared" si="117"/>
        <v>#REF!</v>
      </c>
      <c r="I1253" s="1597" t="e">
        <f t="shared" si="118"/>
        <v>#REF!</v>
      </c>
      <c r="J1253" s="1644" t="e">
        <f t="shared" si="119"/>
        <v>#REF!</v>
      </c>
      <c r="K1253" s="1539"/>
      <c r="L1253" s="1539"/>
      <c r="M1253" s="1545"/>
      <c r="N1253" s="1545"/>
      <c r="O1253" s="1539"/>
      <c r="P1253" s="1539"/>
      <c r="Q1253" s="1539"/>
      <c r="R1253" s="1539"/>
      <c r="S1253" s="1539"/>
      <c r="T1253" s="1539"/>
      <c r="U1253" s="1539"/>
      <c r="V1253" s="1539"/>
      <c r="W1253" s="1539"/>
      <c r="X1253" s="1539"/>
      <c r="Y1253" s="1539"/>
      <c r="Z1253" s="1539"/>
      <c r="AA1253" s="1539"/>
      <c r="AB1253" s="1539"/>
      <c r="AC1253" s="1539"/>
      <c r="AD1253" s="1539"/>
      <c r="AE1253" s="1539"/>
      <c r="AF1253" s="1539"/>
      <c r="AG1253" s="1539"/>
      <c r="AH1253" s="1539"/>
      <c r="AI1253" s="1539"/>
      <c r="AJ1253" s="1539"/>
      <c r="AK1253" s="1539"/>
      <c r="AL1253" s="1539"/>
      <c r="AM1253" s="1539"/>
      <c r="AN1253" s="1539"/>
      <c r="AO1253" s="1539"/>
      <c r="AP1253" s="1539"/>
      <c r="AQ1253" s="1539"/>
      <c r="AR1253" s="1539"/>
      <c r="AS1253" s="1539"/>
      <c r="AT1253" s="1539"/>
      <c r="AU1253" s="1539"/>
      <c r="AV1253" s="1539"/>
      <c r="AW1253" s="1539"/>
      <c r="AX1253" s="1539"/>
      <c r="AY1253" s="1539"/>
      <c r="AZ1253" s="1539"/>
      <c r="BA1253" s="1539"/>
      <c r="BB1253" s="1539"/>
      <c r="BC1253" s="1539"/>
      <c r="BD1253" s="1539"/>
      <c r="BE1253" s="1539"/>
      <c r="BF1253" s="1539"/>
      <c r="BG1253" s="1539"/>
      <c r="BH1253" s="1539"/>
      <c r="BI1253" s="1539"/>
      <c r="BJ1253" s="1539"/>
      <c r="BK1253" s="1539"/>
      <c r="BL1253" s="1539"/>
      <c r="BM1253" s="1539"/>
      <c r="BN1253" s="1539"/>
      <c r="BO1253" s="1539"/>
      <c r="BP1253" s="1539"/>
      <c r="BQ1253" s="1539"/>
      <c r="BR1253" s="1539"/>
      <c r="BS1253" s="1539"/>
      <c r="BT1253" s="1539"/>
      <c r="BU1253" s="1539"/>
      <c r="BV1253" s="1539"/>
      <c r="BW1253" s="1539"/>
      <c r="BX1253" s="1539"/>
      <c r="BY1253" s="1539"/>
      <c r="BZ1253" s="1539"/>
      <c r="CA1253" s="1539"/>
      <c r="CB1253" s="1539"/>
      <c r="CC1253" s="1539"/>
      <c r="CD1253" s="1539"/>
      <c r="CE1253" s="1539"/>
      <c r="CF1253" s="1539"/>
      <c r="CG1253" s="1539"/>
      <c r="CH1253" s="1539"/>
      <c r="CI1253" s="1539"/>
      <c r="CJ1253" s="1539"/>
      <c r="CK1253" s="1539"/>
      <c r="CL1253" s="1539"/>
      <c r="CM1253" s="1539"/>
      <c r="CN1253" s="1539"/>
      <c r="CO1253" s="1539"/>
    </row>
    <row r="1254" spans="1:93" s="1552" customFormat="1" ht="15.5">
      <c r="A1254" s="1598"/>
      <c r="B1254" s="1599" t="s">
        <v>1760</v>
      </c>
      <c r="C1254" s="1643" t="e">
        <f>+SUMIF(#REF!,Final!A1254,#REF!)</f>
        <v>#REF!</v>
      </c>
      <c r="D1254" s="1597" t="e">
        <f>+SUMIF(#REF!,Final!A1254,#REF!)</f>
        <v>#REF!</v>
      </c>
      <c r="E1254" s="1643" t="e">
        <f>SUMIF(#REF!,Final!A1254,#REF!)</f>
        <v>#REF!</v>
      </c>
      <c r="F1254" s="1644" t="e">
        <f>SUMIF(#REF!,Final!A1254,#REF!)</f>
        <v>#REF!</v>
      </c>
      <c r="G1254" s="1597" t="e">
        <f t="shared" si="116"/>
        <v>#REF!</v>
      </c>
      <c r="H1254" s="1644" t="e">
        <f t="shared" si="117"/>
        <v>#REF!</v>
      </c>
      <c r="I1254" s="1597" t="e">
        <f t="shared" si="118"/>
        <v>#REF!</v>
      </c>
      <c r="J1254" s="1644" t="e">
        <f t="shared" si="119"/>
        <v>#REF!</v>
      </c>
      <c r="K1254" s="1539"/>
      <c r="L1254" s="1539"/>
      <c r="M1254" s="1545"/>
      <c r="N1254" s="1545"/>
      <c r="O1254" s="1539"/>
      <c r="P1254" s="1539"/>
      <c r="Q1254" s="1539"/>
      <c r="R1254" s="1539"/>
      <c r="S1254" s="1539"/>
      <c r="T1254" s="1539"/>
      <c r="U1254" s="1539"/>
      <c r="V1254" s="1539"/>
      <c r="W1254" s="1539"/>
      <c r="X1254" s="1539"/>
      <c r="Y1254" s="1539"/>
      <c r="Z1254" s="1539"/>
      <c r="AA1254" s="1539"/>
      <c r="AB1254" s="1539"/>
      <c r="AC1254" s="1539"/>
      <c r="AD1254" s="1539"/>
      <c r="AE1254" s="1539"/>
      <c r="AF1254" s="1539"/>
      <c r="AG1254" s="1539"/>
      <c r="AH1254" s="1539"/>
      <c r="AI1254" s="1539"/>
      <c r="AJ1254" s="1539"/>
      <c r="AK1254" s="1539"/>
      <c r="AL1254" s="1539"/>
      <c r="AM1254" s="1539"/>
      <c r="AN1254" s="1539"/>
      <c r="AO1254" s="1539"/>
      <c r="AP1254" s="1539"/>
      <c r="AQ1254" s="1539"/>
      <c r="AR1254" s="1539"/>
      <c r="AS1254" s="1539"/>
      <c r="AT1254" s="1539"/>
      <c r="AU1254" s="1539"/>
      <c r="AV1254" s="1539"/>
      <c r="AW1254" s="1539"/>
      <c r="AX1254" s="1539"/>
      <c r="AY1254" s="1539"/>
      <c r="AZ1254" s="1539"/>
      <c r="BA1254" s="1539"/>
      <c r="BB1254" s="1539"/>
      <c r="BC1254" s="1539"/>
      <c r="BD1254" s="1539"/>
      <c r="BE1254" s="1539"/>
      <c r="BF1254" s="1539"/>
      <c r="BG1254" s="1539"/>
      <c r="BH1254" s="1539"/>
      <c r="BI1254" s="1539"/>
      <c r="BJ1254" s="1539"/>
      <c r="BK1254" s="1539"/>
      <c r="BL1254" s="1539"/>
      <c r="BM1254" s="1539"/>
      <c r="BN1254" s="1539"/>
      <c r="BO1254" s="1539"/>
      <c r="BP1254" s="1539"/>
      <c r="BQ1254" s="1539"/>
      <c r="BR1254" s="1539"/>
      <c r="BS1254" s="1539"/>
      <c r="BT1254" s="1539"/>
      <c r="BU1254" s="1539"/>
      <c r="BV1254" s="1539"/>
      <c r="BW1254" s="1539"/>
      <c r="BX1254" s="1539"/>
      <c r="BY1254" s="1539"/>
      <c r="BZ1254" s="1539"/>
      <c r="CA1254" s="1539"/>
      <c r="CB1254" s="1539"/>
      <c r="CC1254" s="1539"/>
      <c r="CD1254" s="1539"/>
      <c r="CE1254" s="1539"/>
      <c r="CF1254" s="1539"/>
      <c r="CG1254" s="1539"/>
      <c r="CH1254" s="1539"/>
      <c r="CI1254" s="1539"/>
      <c r="CJ1254" s="1539"/>
      <c r="CK1254" s="1539"/>
      <c r="CL1254" s="1539"/>
      <c r="CM1254" s="1539"/>
      <c r="CN1254" s="1539"/>
      <c r="CO1254" s="1539"/>
    </row>
    <row r="1255" spans="1:93" s="1552" customFormat="1" ht="15.5">
      <c r="A1255" s="1598"/>
      <c r="B1255" s="1599"/>
      <c r="C1255" s="1643" t="e">
        <f>+SUMIF(#REF!,Final!A1255,#REF!)</f>
        <v>#REF!</v>
      </c>
      <c r="D1255" s="1597" t="e">
        <f>+SUMIF(#REF!,Final!A1255,#REF!)</f>
        <v>#REF!</v>
      </c>
      <c r="E1255" s="1643" t="e">
        <f>SUMIF(#REF!,Final!A1255,#REF!)</f>
        <v>#REF!</v>
      </c>
      <c r="F1255" s="1644" t="e">
        <f>SUMIF(#REF!,Final!A1255,#REF!)</f>
        <v>#REF!</v>
      </c>
      <c r="G1255" s="1597" t="e">
        <f t="shared" si="116"/>
        <v>#REF!</v>
      </c>
      <c r="H1255" s="1644" t="e">
        <f t="shared" si="117"/>
        <v>#REF!</v>
      </c>
      <c r="I1255" s="1597" t="e">
        <f t="shared" si="118"/>
        <v>#REF!</v>
      </c>
      <c r="J1255" s="1644" t="e">
        <f t="shared" si="119"/>
        <v>#REF!</v>
      </c>
      <c r="K1255" s="1539"/>
      <c r="L1255" s="1539"/>
      <c r="M1255" s="1545"/>
      <c r="N1255" s="1545"/>
      <c r="O1255" s="1539"/>
      <c r="P1255" s="1539"/>
      <c r="Q1255" s="1539"/>
      <c r="R1255" s="1539"/>
      <c r="S1255" s="1539"/>
      <c r="T1255" s="1539"/>
      <c r="U1255" s="1539"/>
      <c r="V1255" s="1539"/>
      <c r="W1255" s="1539"/>
      <c r="X1255" s="1539"/>
      <c r="Y1255" s="1539"/>
      <c r="Z1255" s="1539"/>
      <c r="AA1255" s="1539"/>
      <c r="AB1255" s="1539"/>
      <c r="AC1255" s="1539"/>
      <c r="AD1255" s="1539"/>
      <c r="AE1255" s="1539"/>
      <c r="AF1255" s="1539"/>
      <c r="AG1255" s="1539"/>
      <c r="AH1255" s="1539"/>
      <c r="AI1255" s="1539"/>
      <c r="AJ1255" s="1539"/>
      <c r="AK1255" s="1539"/>
      <c r="AL1255" s="1539"/>
      <c r="AM1255" s="1539"/>
      <c r="AN1255" s="1539"/>
      <c r="AO1255" s="1539"/>
      <c r="AP1255" s="1539"/>
      <c r="AQ1255" s="1539"/>
      <c r="AR1255" s="1539"/>
      <c r="AS1255" s="1539"/>
      <c r="AT1255" s="1539"/>
      <c r="AU1255" s="1539"/>
      <c r="AV1255" s="1539"/>
      <c r="AW1255" s="1539"/>
      <c r="AX1255" s="1539"/>
      <c r="AY1255" s="1539"/>
      <c r="AZ1255" s="1539"/>
      <c r="BA1255" s="1539"/>
      <c r="BB1255" s="1539"/>
      <c r="BC1255" s="1539"/>
      <c r="BD1255" s="1539"/>
      <c r="BE1255" s="1539"/>
      <c r="BF1255" s="1539"/>
      <c r="BG1255" s="1539"/>
      <c r="BH1255" s="1539"/>
      <c r="BI1255" s="1539"/>
      <c r="BJ1255" s="1539"/>
      <c r="BK1255" s="1539"/>
      <c r="BL1255" s="1539"/>
      <c r="BM1255" s="1539"/>
      <c r="BN1255" s="1539"/>
      <c r="BO1255" s="1539"/>
      <c r="BP1255" s="1539"/>
      <c r="BQ1255" s="1539"/>
      <c r="BR1255" s="1539"/>
      <c r="BS1255" s="1539"/>
      <c r="BT1255" s="1539"/>
      <c r="BU1255" s="1539"/>
      <c r="BV1255" s="1539"/>
      <c r="BW1255" s="1539"/>
      <c r="BX1255" s="1539"/>
      <c r="BY1255" s="1539"/>
      <c r="BZ1255" s="1539"/>
      <c r="CA1255" s="1539"/>
      <c r="CB1255" s="1539"/>
      <c r="CC1255" s="1539"/>
      <c r="CD1255" s="1539"/>
      <c r="CE1255" s="1539"/>
      <c r="CF1255" s="1539"/>
      <c r="CG1255" s="1539"/>
      <c r="CH1255" s="1539"/>
      <c r="CI1255" s="1539"/>
      <c r="CJ1255" s="1539"/>
      <c r="CK1255" s="1539"/>
      <c r="CL1255" s="1539"/>
      <c r="CM1255" s="1539"/>
      <c r="CN1255" s="1539"/>
      <c r="CO1255" s="1539"/>
    </row>
    <row r="1256" spans="1:93" s="1552" customFormat="1" ht="15.5">
      <c r="A1256" s="1598" t="s">
        <v>3384</v>
      </c>
      <c r="B1256" s="1599" t="s">
        <v>2797</v>
      </c>
      <c r="C1256" s="1643" t="e">
        <f>+SUMIF(#REF!,Final!A1256,#REF!)</f>
        <v>#REF!</v>
      </c>
      <c r="D1256" s="1597" t="e">
        <f>+SUMIF(#REF!,Final!A1256,#REF!)</f>
        <v>#REF!</v>
      </c>
      <c r="E1256" s="1643" t="e">
        <f>SUMIF(#REF!,Final!A1256,#REF!)</f>
        <v>#REF!</v>
      </c>
      <c r="F1256" s="1644" t="e">
        <f>SUMIF(#REF!,Final!A1256,#REF!)</f>
        <v>#REF!</v>
      </c>
      <c r="G1256" s="1597" t="e">
        <f t="shared" si="116"/>
        <v>#REF!</v>
      </c>
      <c r="H1256" s="1644" t="e">
        <f t="shared" si="117"/>
        <v>#REF!</v>
      </c>
      <c r="I1256" s="1597" t="e">
        <f t="shared" si="118"/>
        <v>#REF!</v>
      </c>
      <c r="J1256" s="1644" t="e">
        <f t="shared" si="119"/>
        <v>#REF!</v>
      </c>
      <c r="K1256" s="1539"/>
      <c r="L1256" s="1539"/>
      <c r="M1256" s="1545"/>
      <c r="N1256" s="1545"/>
      <c r="O1256" s="1539"/>
      <c r="P1256" s="1539"/>
      <c r="Q1256" s="1539"/>
      <c r="R1256" s="1539"/>
      <c r="S1256" s="1539"/>
      <c r="T1256" s="1539"/>
      <c r="U1256" s="1539"/>
      <c r="V1256" s="1539"/>
      <c r="W1256" s="1539"/>
      <c r="X1256" s="1539"/>
      <c r="Y1256" s="1539"/>
      <c r="Z1256" s="1539"/>
      <c r="AA1256" s="1539"/>
      <c r="AB1256" s="1539"/>
      <c r="AC1256" s="1539"/>
      <c r="AD1256" s="1539"/>
      <c r="AE1256" s="1539"/>
      <c r="AF1256" s="1539"/>
      <c r="AG1256" s="1539"/>
      <c r="AH1256" s="1539"/>
      <c r="AI1256" s="1539"/>
      <c r="AJ1256" s="1539"/>
      <c r="AK1256" s="1539"/>
      <c r="AL1256" s="1539"/>
      <c r="AM1256" s="1539"/>
      <c r="AN1256" s="1539"/>
      <c r="AO1256" s="1539"/>
      <c r="AP1256" s="1539"/>
      <c r="AQ1256" s="1539"/>
      <c r="AR1256" s="1539"/>
      <c r="AS1256" s="1539"/>
      <c r="AT1256" s="1539"/>
      <c r="AU1256" s="1539"/>
      <c r="AV1256" s="1539"/>
      <c r="AW1256" s="1539"/>
      <c r="AX1256" s="1539"/>
      <c r="AY1256" s="1539"/>
      <c r="AZ1256" s="1539"/>
      <c r="BA1256" s="1539"/>
      <c r="BB1256" s="1539"/>
      <c r="BC1256" s="1539"/>
      <c r="BD1256" s="1539"/>
      <c r="BE1256" s="1539"/>
      <c r="BF1256" s="1539"/>
      <c r="BG1256" s="1539"/>
      <c r="BH1256" s="1539"/>
      <c r="BI1256" s="1539"/>
      <c r="BJ1256" s="1539"/>
      <c r="BK1256" s="1539"/>
      <c r="BL1256" s="1539"/>
      <c r="BM1256" s="1539"/>
      <c r="BN1256" s="1539"/>
      <c r="BO1256" s="1539"/>
      <c r="BP1256" s="1539"/>
      <c r="BQ1256" s="1539"/>
      <c r="BR1256" s="1539"/>
      <c r="BS1256" s="1539"/>
      <c r="BT1256" s="1539"/>
      <c r="BU1256" s="1539"/>
      <c r="BV1256" s="1539"/>
      <c r="BW1256" s="1539"/>
      <c r="BX1256" s="1539"/>
      <c r="BY1256" s="1539"/>
      <c r="BZ1256" s="1539"/>
      <c r="CA1256" s="1539"/>
      <c r="CB1256" s="1539"/>
      <c r="CC1256" s="1539"/>
      <c r="CD1256" s="1539"/>
      <c r="CE1256" s="1539"/>
      <c r="CF1256" s="1539"/>
      <c r="CG1256" s="1539"/>
      <c r="CH1256" s="1539"/>
      <c r="CI1256" s="1539"/>
      <c r="CJ1256" s="1539"/>
      <c r="CK1256" s="1539"/>
      <c r="CL1256" s="1539"/>
      <c r="CM1256" s="1539"/>
      <c r="CN1256" s="1539"/>
      <c r="CO1256" s="1539"/>
    </row>
    <row r="1257" spans="1:93" s="1542" customFormat="1" ht="15.5">
      <c r="A1257" s="1598" t="s">
        <v>543</v>
      </c>
      <c r="B1257" s="1599" t="s">
        <v>2798</v>
      </c>
      <c r="C1257" s="1643" t="e">
        <f>+SUMIF(#REF!,Final!A1257,#REF!)</f>
        <v>#REF!</v>
      </c>
      <c r="D1257" s="1597" t="e">
        <f>+SUMIF(#REF!,Final!A1257,#REF!)</f>
        <v>#REF!</v>
      </c>
      <c r="E1257" s="1643" t="e">
        <f>SUMIF(#REF!,Final!A1257,#REF!)</f>
        <v>#REF!</v>
      </c>
      <c r="F1257" s="1644" t="e">
        <f>SUMIF(#REF!,Final!A1257,#REF!)</f>
        <v>#REF!</v>
      </c>
      <c r="G1257" s="1597" t="e">
        <f t="shared" si="116"/>
        <v>#REF!</v>
      </c>
      <c r="H1257" s="1644" t="e">
        <f t="shared" si="117"/>
        <v>#REF!</v>
      </c>
      <c r="I1257" s="1597" t="e">
        <f t="shared" si="118"/>
        <v>#REF!</v>
      </c>
      <c r="J1257" s="1644" t="e">
        <f t="shared" si="119"/>
        <v>#REF!</v>
      </c>
      <c r="K1257" s="1539"/>
      <c r="L1257" s="1539"/>
      <c r="M1257" s="1545"/>
      <c r="N1257" s="1545"/>
      <c r="O1257" s="1539"/>
      <c r="P1257" s="1539"/>
      <c r="Q1257" s="1539"/>
      <c r="R1257" s="1539"/>
      <c r="S1257" s="1539"/>
      <c r="T1257" s="1539"/>
      <c r="U1257" s="1539"/>
      <c r="V1257" s="1539"/>
      <c r="W1257" s="1539"/>
      <c r="X1257" s="1539"/>
      <c r="Y1257" s="1539"/>
      <c r="Z1257" s="1539"/>
      <c r="AA1257" s="1539"/>
      <c r="AB1257" s="1539"/>
      <c r="AC1257" s="1539"/>
      <c r="AD1257" s="1539"/>
      <c r="AE1257" s="1539"/>
      <c r="AF1257" s="1539"/>
      <c r="AG1257" s="1539"/>
      <c r="AH1257" s="1539"/>
      <c r="AI1257" s="1539"/>
      <c r="AJ1257" s="1539"/>
      <c r="AK1257" s="1539"/>
      <c r="AL1257" s="1539"/>
      <c r="AM1257" s="1539"/>
      <c r="AN1257" s="1539"/>
      <c r="AO1257" s="1539"/>
      <c r="AP1257" s="1539"/>
      <c r="AQ1257" s="1539"/>
      <c r="AR1257" s="1539"/>
      <c r="AS1257" s="1539"/>
      <c r="AT1257" s="1539"/>
      <c r="AU1257" s="1539"/>
      <c r="AV1257" s="1539"/>
      <c r="AW1257" s="1539"/>
      <c r="AX1257" s="1539"/>
      <c r="AY1257" s="1539"/>
      <c r="AZ1257" s="1539"/>
      <c r="BA1257" s="1539"/>
      <c r="BB1257" s="1539"/>
      <c r="BC1257" s="1539"/>
      <c r="BD1257" s="1539"/>
      <c r="BE1257" s="1539"/>
      <c r="BF1257" s="1539"/>
      <c r="BG1257" s="1539"/>
      <c r="BH1257" s="1539"/>
      <c r="BI1257" s="1539"/>
      <c r="BJ1257" s="1539"/>
      <c r="BK1257" s="1539"/>
      <c r="BL1257" s="1539"/>
      <c r="BM1257" s="1539"/>
      <c r="BN1257" s="1539"/>
      <c r="BO1257" s="1539"/>
      <c r="BP1257" s="1539"/>
      <c r="BQ1257" s="1539"/>
      <c r="BR1257" s="1539"/>
      <c r="BS1257" s="1539"/>
      <c r="BT1257" s="1539"/>
      <c r="BU1257" s="1539"/>
      <c r="BV1257" s="1539"/>
      <c r="BW1257" s="1539"/>
      <c r="BX1257" s="1539"/>
      <c r="BY1257" s="1539"/>
      <c r="BZ1257" s="1539"/>
      <c r="CA1257" s="1539"/>
      <c r="CB1257" s="1539"/>
      <c r="CC1257" s="1539"/>
      <c r="CD1257" s="1539"/>
      <c r="CE1257" s="1539"/>
      <c r="CF1257" s="1539"/>
      <c r="CG1257" s="1539"/>
      <c r="CH1257" s="1539"/>
      <c r="CI1257" s="1539"/>
      <c r="CJ1257" s="1539"/>
      <c r="CK1257" s="1539"/>
      <c r="CL1257" s="1539"/>
      <c r="CM1257" s="1539"/>
      <c r="CN1257" s="1539"/>
      <c r="CO1257" s="1539"/>
    </row>
    <row r="1258" spans="1:93" s="1542" customFormat="1" ht="15.5">
      <c r="A1258" s="1598" t="s">
        <v>1762</v>
      </c>
      <c r="B1258" s="1599" t="s">
        <v>2799</v>
      </c>
      <c r="C1258" s="1643" t="e">
        <f>+SUMIF(#REF!,Final!A1258,#REF!)</f>
        <v>#REF!</v>
      </c>
      <c r="D1258" s="1597" t="e">
        <f>+SUMIF(#REF!,Final!A1258,#REF!)</f>
        <v>#REF!</v>
      </c>
      <c r="E1258" s="1643" t="e">
        <f>SUMIF(#REF!,Final!A1258,#REF!)</f>
        <v>#REF!</v>
      </c>
      <c r="F1258" s="1644" t="e">
        <f>SUMIF(#REF!,Final!A1258,#REF!)</f>
        <v>#REF!</v>
      </c>
      <c r="G1258" s="1597" t="e">
        <f t="shared" si="116"/>
        <v>#REF!</v>
      </c>
      <c r="H1258" s="1644" t="e">
        <f t="shared" si="117"/>
        <v>#REF!</v>
      </c>
      <c r="I1258" s="1597" t="e">
        <f t="shared" si="118"/>
        <v>#REF!</v>
      </c>
      <c r="J1258" s="1644" t="e">
        <f t="shared" si="119"/>
        <v>#REF!</v>
      </c>
      <c r="K1258" s="1539"/>
      <c r="L1258" s="1539"/>
      <c r="M1258" s="1545"/>
      <c r="N1258" s="1545"/>
      <c r="O1258" s="1539"/>
      <c r="P1258" s="1539"/>
      <c r="Q1258" s="1539"/>
      <c r="R1258" s="1539"/>
      <c r="S1258" s="1539"/>
      <c r="T1258" s="1539"/>
      <c r="U1258" s="1539"/>
      <c r="V1258" s="1539"/>
      <c r="W1258" s="1539"/>
      <c r="X1258" s="1539"/>
      <c r="Y1258" s="1539"/>
      <c r="Z1258" s="1539"/>
      <c r="AA1258" s="1539"/>
      <c r="AB1258" s="1539"/>
      <c r="AC1258" s="1539"/>
      <c r="AD1258" s="1539"/>
      <c r="AE1258" s="1539"/>
      <c r="AF1258" s="1539"/>
      <c r="AG1258" s="1539"/>
      <c r="AH1258" s="1539"/>
      <c r="AI1258" s="1539"/>
      <c r="AJ1258" s="1539"/>
      <c r="AK1258" s="1539"/>
      <c r="AL1258" s="1539"/>
      <c r="AM1258" s="1539"/>
      <c r="AN1258" s="1539"/>
      <c r="AO1258" s="1539"/>
      <c r="AP1258" s="1539"/>
      <c r="AQ1258" s="1539"/>
      <c r="AR1258" s="1539"/>
      <c r="AS1258" s="1539"/>
      <c r="AT1258" s="1539"/>
      <c r="AU1258" s="1539"/>
      <c r="AV1258" s="1539"/>
      <c r="AW1258" s="1539"/>
      <c r="AX1258" s="1539"/>
      <c r="AY1258" s="1539"/>
      <c r="AZ1258" s="1539"/>
      <c r="BA1258" s="1539"/>
      <c r="BB1258" s="1539"/>
      <c r="BC1258" s="1539"/>
      <c r="BD1258" s="1539"/>
      <c r="BE1258" s="1539"/>
      <c r="BF1258" s="1539"/>
      <c r="BG1258" s="1539"/>
      <c r="BH1258" s="1539"/>
      <c r="BI1258" s="1539"/>
      <c r="BJ1258" s="1539"/>
      <c r="BK1258" s="1539"/>
      <c r="BL1258" s="1539"/>
      <c r="BM1258" s="1539"/>
      <c r="BN1258" s="1539"/>
      <c r="BO1258" s="1539"/>
      <c r="BP1258" s="1539"/>
      <c r="BQ1258" s="1539"/>
      <c r="BR1258" s="1539"/>
      <c r="BS1258" s="1539"/>
      <c r="BT1258" s="1539"/>
      <c r="BU1258" s="1539"/>
      <c r="BV1258" s="1539"/>
      <c r="BW1258" s="1539"/>
      <c r="BX1258" s="1539"/>
      <c r="BY1258" s="1539"/>
      <c r="BZ1258" s="1539"/>
      <c r="CA1258" s="1539"/>
      <c r="CB1258" s="1539"/>
      <c r="CC1258" s="1539"/>
      <c r="CD1258" s="1539"/>
      <c r="CE1258" s="1539"/>
      <c r="CF1258" s="1539"/>
      <c r="CG1258" s="1539"/>
      <c r="CH1258" s="1539"/>
      <c r="CI1258" s="1539"/>
      <c r="CJ1258" s="1539"/>
      <c r="CK1258" s="1539"/>
      <c r="CL1258" s="1539"/>
      <c r="CM1258" s="1539"/>
      <c r="CN1258" s="1539"/>
      <c r="CO1258" s="1539"/>
    </row>
    <row r="1259" spans="1:93" ht="15.5">
      <c r="A1259" s="1598">
        <v>24.300999999999998</v>
      </c>
      <c r="B1259" s="1599" t="s">
        <v>684</v>
      </c>
      <c r="C1259" s="1643" t="e">
        <f>+SUMIF(#REF!,Final!A1259,#REF!)</f>
        <v>#REF!</v>
      </c>
      <c r="D1259" s="1597" t="e">
        <f>+SUMIF(#REF!,Final!A1259,#REF!)</f>
        <v>#REF!</v>
      </c>
      <c r="E1259" s="1643" t="e">
        <f>SUMIF(#REF!,Final!A1259,#REF!)</f>
        <v>#REF!</v>
      </c>
      <c r="F1259" s="1644" t="e">
        <f>SUMIF(#REF!,Final!A1259,#REF!)</f>
        <v>#REF!</v>
      </c>
      <c r="G1259" s="1597" t="e">
        <f t="shared" si="116"/>
        <v>#REF!</v>
      </c>
      <c r="H1259" s="1644" t="e">
        <f t="shared" si="117"/>
        <v>#REF!</v>
      </c>
      <c r="I1259" s="1597" t="e">
        <f t="shared" si="118"/>
        <v>#REF!</v>
      </c>
      <c r="J1259" s="1644" t="e">
        <f t="shared" si="119"/>
        <v>#REF!</v>
      </c>
      <c r="M1259" s="1545"/>
      <c r="N1259" s="1545"/>
    </row>
    <row r="1260" spans="1:93" s="1542" customFormat="1" ht="15.5">
      <c r="A1260" s="1598">
        <v>24.302</v>
      </c>
      <c r="B1260" s="1599" t="s">
        <v>2800</v>
      </c>
      <c r="C1260" s="1643" t="e">
        <f>+SUMIF(#REF!,Final!A1260,#REF!)</f>
        <v>#REF!</v>
      </c>
      <c r="D1260" s="1597" t="e">
        <f>+SUMIF(#REF!,Final!A1260,#REF!)</f>
        <v>#REF!</v>
      </c>
      <c r="E1260" s="1643" t="e">
        <f>SUMIF(#REF!,Final!A1260,#REF!)</f>
        <v>#REF!</v>
      </c>
      <c r="F1260" s="1644" t="e">
        <f>SUMIF(#REF!,Final!A1260,#REF!)</f>
        <v>#REF!</v>
      </c>
      <c r="G1260" s="1597" t="e">
        <f t="shared" si="116"/>
        <v>#REF!</v>
      </c>
      <c r="H1260" s="1644" t="e">
        <f t="shared" si="117"/>
        <v>#REF!</v>
      </c>
      <c r="I1260" s="1597" t="e">
        <f t="shared" si="118"/>
        <v>#REF!</v>
      </c>
      <c r="J1260" s="1644" t="e">
        <f t="shared" si="119"/>
        <v>#REF!</v>
      </c>
      <c r="K1260" s="1539"/>
      <c r="L1260" s="1539"/>
      <c r="M1260" s="1545"/>
      <c r="N1260" s="1545"/>
      <c r="O1260" s="1539"/>
      <c r="P1260" s="1539"/>
      <c r="Q1260" s="1539"/>
      <c r="R1260" s="1539"/>
      <c r="S1260" s="1539"/>
      <c r="T1260" s="1539"/>
      <c r="U1260" s="1539"/>
      <c r="V1260" s="1539"/>
      <c r="W1260" s="1539"/>
      <c r="X1260" s="1539"/>
      <c r="Y1260" s="1539"/>
      <c r="Z1260" s="1539"/>
      <c r="AA1260" s="1539"/>
      <c r="AB1260" s="1539"/>
      <c r="AC1260" s="1539"/>
      <c r="AD1260" s="1539"/>
      <c r="AE1260" s="1539"/>
      <c r="AF1260" s="1539"/>
      <c r="AG1260" s="1539"/>
      <c r="AH1260" s="1539"/>
      <c r="AI1260" s="1539"/>
      <c r="AJ1260" s="1539"/>
      <c r="AK1260" s="1539"/>
      <c r="AL1260" s="1539"/>
      <c r="AM1260" s="1539"/>
      <c r="AN1260" s="1539"/>
      <c r="AO1260" s="1539"/>
      <c r="AP1260" s="1539"/>
      <c r="AQ1260" s="1539"/>
      <c r="AR1260" s="1539"/>
      <c r="AS1260" s="1539"/>
      <c r="AT1260" s="1539"/>
      <c r="AU1260" s="1539"/>
      <c r="AV1260" s="1539"/>
      <c r="AW1260" s="1539"/>
      <c r="AX1260" s="1539"/>
      <c r="AY1260" s="1539"/>
      <c r="AZ1260" s="1539"/>
      <c r="BA1260" s="1539"/>
      <c r="BB1260" s="1539"/>
      <c r="BC1260" s="1539"/>
      <c r="BD1260" s="1539"/>
      <c r="BE1260" s="1539"/>
      <c r="BF1260" s="1539"/>
      <c r="BG1260" s="1539"/>
      <c r="BH1260" s="1539"/>
      <c r="BI1260" s="1539"/>
      <c r="BJ1260" s="1539"/>
      <c r="BK1260" s="1539"/>
      <c r="BL1260" s="1539"/>
      <c r="BM1260" s="1539"/>
      <c r="BN1260" s="1539"/>
      <c r="BO1260" s="1539"/>
      <c r="BP1260" s="1539"/>
      <c r="BQ1260" s="1539"/>
      <c r="BR1260" s="1539"/>
      <c r="BS1260" s="1539"/>
      <c r="BT1260" s="1539"/>
      <c r="BU1260" s="1539"/>
      <c r="BV1260" s="1539"/>
      <c r="BW1260" s="1539"/>
      <c r="BX1260" s="1539"/>
      <c r="BY1260" s="1539"/>
      <c r="BZ1260" s="1539"/>
      <c r="CA1260" s="1539"/>
      <c r="CB1260" s="1539"/>
      <c r="CC1260" s="1539"/>
      <c r="CD1260" s="1539"/>
      <c r="CE1260" s="1539"/>
      <c r="CF1260" s="1539"/>
      <c r="CG1260" s="1539"/>
      <c r="CH1260" s="1539"/>
      <c r="CI1260" s="1539"/>
      <c r="CJ1260" s="1539"/>
      <c r="CK1260" s="1539"/>
      <c r="CL1260" s="1539"/>
      <c r="CM1260" s="1539"/>
      <c r="CN1260" s="1539"/>
      <c r="CO1260" s="1539"/>
    </row>
    <row r="1261" spans="1:93" ht="15.5">
      <c r="A1261" s="1598">
        <v>24.303000000000001</v>
      </c>
      <c r="B1261" s="1599" t="s">
        <v>2801</v>
      </c>
      <c r="C1261" s="1643" t="e">
        <f>+SUMIF(#REF!,Final!A1261,#REF!)</f>
        <v>#REF!</v>
      </c>
      <c r="D1261" s="1597" t="e">
        <f>+SUMIF(#REF!,Final!A1261,#REF!)</f>
        <v>#REF!</v>
      </c>
      <c r="E1261" s="1643" t="e">
        <f>SUMIF(#REF!,Final!A1261,#REF!)</f>
        <v>#REF!</v>
      </c>
      <c r="F1261" s="1644" t="e">
        <f>SUMIF(#REF!,Final!A1261,#REF!)</f>
        <v>#REF!</v>
      </c>
      <c r="G1261" s="1597" t="e">
        <f t="shared" si="116"/>
        <v>#REF!</v>
      </c>
      <c r="H1261" s="1644" t="e">
        <f t="shared" si="117"/>
        <v>#REF!</v>
      </c>
      <c r="I1261" s="1597" t="e">
        <f t="shared" si="118"/>
        <v>#REF!</v>
      </c>
      <c r="J1261" s="1644" t="e">
        <f t="shared" si="119"/>
        <v>#REF!</v>
      </c>
      <c r="M1261" s="1545"/>
      <c r="N1261" s="1545"/>
    </row>
    <row r="1262" spans="1:93" ht="15.5">
      <c r="A1262" s="1598">
        <v>24.303999999999998</v>
      </c>
      <c r="B1262" s="1599" t="s">
        <v>2802</v>
      </c>
      <c r="C1262" s="1643" t="e">
        <f>+SUMIF(#REF!,Final!A1262,#REF!)</f>
        <v>#REF!</v>
      </c>
      <c r="D1262" s="1597" t="e">
        <f>+SUMIF(#REF!,Final!A1262,#REF!)</f>
        <v>#REF!</v>
      </c>
      <c r="E1262" s="1643" t="e">
        <f>SUMIF(#REF!,Final!A1262,#REF!)</f>
        <v>#REF!</v>
      </c>
      <c r="F1262" s="1644" t="e">
        <f>SUMIF(#REF!,Final!A1262,#REF!)</f>
        <v>#REF!</v>
      </c>
      <c r="G1262" s="1597" t="e">
        <f t="shared" si="116"/>
        <v>#REF!</v>
      </c>
      <c r="H1262" s="1644" t="e">
        <f t="shared" si="117"/>
        <v>#REF!</v>
      </c>
      <c r="I1262" s="1597" t="e">
        <f t="shared" si="118"/>
        <v>#REF!</v>
      </c>
      <c r="J1262" s="1644" t="e">
        <f t="shared" si="119"/>
        <v>#REF!</v>
      </c>
      <c r="M1262" s="1545"/>
      <c r="N1262" s="1545"/>
    </row>
    <row r="1263" spans="1:93" ht="15.5">
      <c r="A1263" s="1598">
        <v>24.305</v>
      </c>
      <c r="B1263" s="1599" t="s">
        <v>2803</v>
      </c>
      <c r="C1263" s="1643" t="e">
        <f>+SUMIF(#REF!,Final!A1263,#REF!)</f>
        <v>#REF!</v>
      </c>
      <c r="D1263" s="1597" t="e">
        <f>+SUMIF(#REF!,Final!A1263,#REF!)</f>
        <v>#REF!</v>
      </c>
      <c r="E1263" s="1643" t="e">
        <f>SUMIF(#REF!,Final!A1263,#REF!)</f>
        <v>#REF!</v>
      </c>
      <c r="F1263" s="1644" t="e">
        <f>SUMIF(#REF!,Final!A1263,#REF!)</f>
        <v>#REF!</v>
      </c>
      <c r="G1263" s="1597" t="e">
        <f t="shared" si="116"/>
        <v>#REF!</v>
      </c>
      <c r="H1263" s="1644" t="e">
        <f t="shared" si="117"/>
        <v>#REF!</v>
      </c>
      <c r="I1263" s="1597" t="e">
        <f t="shared" si="118"/>
        <v>#REF!</v>
      </c>
      <c r="J1263" s="1644" t="e">
        <f t="shared" si="119"/>
        <v>#REF!</v>
      </c>
      <c r="M1263" s="1545"/>
      <c r="N1263" s="1545"/>
    </row>
    <row r="1264" spans="1:93" ht="15.5">
      <c r="A1264" s="1598">
        <v>24.306000000000001</v>
      </c>
      <c r="B1264" s="1599" t="s">
        <v>2804</v>
      </c>
      <c r="C1264" s="1643" t="e">
        <f>+SUMIF(#REF!,Final!A1264,#REF!)</f>
        <v>#REF!</v>
      </c>
      <c r="D1264" s="1597" t="e">
        <f>+SUMIF(#REF!,Final!A1264,#REF!)</f>
        <v>#REF!</v>
      </c>
      <c r="E1264" s="1643" t="e">
        <f>SUMIF(#REF!,Final!A1264,#REF!)</f>
        <v>#REF!</v>
      </c>
      <c r="F1264" s="1644" t="e">
        <f>SUMIF(#REF!,Final!A1264,#REF!)</f>
        <v>#REF!</v>
      </c>
      <c r="G1264" s="1597" t="e">
        <f t="shared" si="116"/>
        <v>#REF!</v>
      </c>
      <c r="H1264" s="1644" t="e">
        <f t="shared" si="117"/>
        <v>#REF!</v>
      </c>
      <c r="I1264" s="1597" t="e">
        <f t="shared" si="118"/>
        <v>#REF!</v>
      </c>
      <c r="J1264" s="1644" t="e">
        <f t="shared" si="119"/>
        <v>#REF!</v>
      </c>
      <c r="M1264" s="1545"/>
      <c r="N1264" s="1545"/>
    </row>
    <row r="1265" spans="1:93" ht="15.5">
      <c r="A1265" s="1598">
        <v>24.306999999999999</v>
      </c>
      <c r="B1265" s="1599" t="s">
        <v>2805</v>
      </c>
      <c r="C1265" s="1643" t="e">
        <f>+SUMIF(#REF!,Final!A1265,#REF!)</f>
        <v>#REF!</v>
      </c>
      <c r="D1265" s="1597" t="e">
        <f>+SUMIF(#REF!,Final!A1265,#REF!)</f>
        <v>#REF!</v>
      </c>
      <c r="E1265" s="1643" t="e">
        <f>SUMIF(#REF!,Final!A1265,#REF!)</f>
        <v>#REF!</v>
      </c>
      <c r="F1265" s="1644" t="e">
        <f>SUMIF(#REF!,Final!A1265,#REF!)</f>
        <v>#REF!</v>
      </c>
      <c r="G1265" s="1597" t="e">
        <f t="shared" si="116"/>
        <v>#REF!</v>
      </c>
      <c r="H1265" s="1644" t="e">
        <f t="shared" si="117"/>
        <v>#REF!</v>
      </c>
      <c r="I1265" s="1597" t="e">
        <f t="shared" si="118"/>
        <v>#REF!</v>
      </c>
      <c r="J1265" s="1644" t="e">
        <f t="shared" si="119"/>
        <v>#REF!</v>
      </c>
      <c r="M1265" s="1545"/>
      <c r="N1265" s="1545"/>
    </row>
    <row r="1266" spans="1:93" ht="15.5">
      <c r="A1266" s="1598">
        <v>24.308</v>
      </c>
      <c r="B1266" s="1599" t="s">
        <v>2806</v>
      </c>
      <c r="C1266" s="1643" t="e">
        <f>+SUMIF(#REF!,Final!A1266,#REF!)</f>
        <v>#REF!</v>
      </c>
      <c r="D1266" s="1597" t="e">
        <f>+SUMIF(#REF!,Final!A1266,#REF!)</f>
        <v>#REF!</v>
      </c>
      <c r="E1266" s="1643" t="e">
        <f>SUMIF(#REF!,Final!A1266,#REF!)</f>
        <v>#REF!</v>
      </c>
      <c r="F1266" s="1644" t="e">
        <f>SUMIF(#REF!,Final!A1266,#REF!)</f>
        <v>#REF!</v>
      </c>
      <c r="G1266" s="1597" t="e">
        <f t="shared" si="116"/>
        <v>#REF!</v>
      </c>
      <c r="H1266" s="1644" t="e">
        <f t="shared" si="117"/>
        <v>#REF!</v>
      </c>
      <c r="I1266" s="1597" t="e">
        <f t="shared" si="118"/>
        <v>#REF!</v>
      </c>
      <c r="J1266" s="1644" t="e">
        <f t="shared" si="119"/>
        <v>#REF!</v>
      </c>
      <c r="M1266" s="1545"/>
      <c r="N1266" s="1545"/>
    </row>
    <row r="1267" spans="1:93" ht="15.5">
      <c r="A1267" s="1598">
        <v>24.309000000000001</v>
      </c>
      <c r="B1267" s="1599" t="s">
        <v>2807</v>
      </c>
      <c r="C1267" s="1643" t="e">
        <f>+SUMIF(#REF!,Final!A1267,#REF!)</f>
        <v>#REF!</v>
      </c>
      <c r="D1267" s="1597" t="e">
        <f>+SUMIF(#REF!,Final!A1267,#REF!)</f>
        <v>#REF!</v>
      </c>
      <c r="E1267" s="1643" t="e">
        <f>SUMIF(#REF!,Final!A1267,#REF!)</f>
        <v>#REF!</v>
      </c>
      <c r="F1267" s="1644" t="e">
        <f>SUMIF(#REF!,Final!A1267,#REF!)</f>
        <v>#REF!</v>
      </c>
      <c r="G1267" s="1597" t="e">
        <f t="shared" si="116"/>
        <v>#REF!</v>
      </c>
      <c r="H1267" s="1644" t="e">
        <f t="shared" si="117"/>
        <v>#REF!</v>
      </c>
      <c r="I1267" s="1597" t="e">
        <f t="shared" si="118"/>
        <v>#REF!</v>
      </c>
      <c r="J1267" s="1644" t="e">
        <f t="shared" si="119"/>
        <v>#REF!</v>
      </c>
      <c r="M1267" s="1545"/>
      <c r="N1267" s="1545"/>
    </row>
    <row r="1268" spans="1:93" ht="15.5">
      <c r="A1268" s="1598">
        <v>24.31</v>
      </c>
      <c r="B1268" s="1599" t="s">
        <v>2808</v>
      </c>
      <c r="C1268" s="1643" t="e">
        <f>+SUMIF(#REF!,Final!A1268,#REF!)</f>
        <v>#REF!</v>
      </c>
      <c r="D1268" s="1597" t="e">
        <f>+SUMIF(#REF!,Final!A1268,#REF!)</f>
        <v>#REF!</v>
      </c>
      <c r="E1268" s="1643" t="e">
        <f>SUMIF(#REF!,Final!A1268,#REF!)</f>
        <v>#REF!</v>
      </c>
      <c r="F1268" s="1644" t="e">
        <f>SUMIF(#REF!,Final!A1268,#REF!)</f>
        <v>#REF!</v>
      </c>
      <c r="G1268" s="1597" t="e">
        <f t="shared" si="116"/>
        <v>#REF!</v>
      </c>
      <c r="H1268" s="1644" t="e">
        <f t="shared" si="117"/>
        <v>#REF!</v>
      </c>
      <c r="I1268" s="1597" t="e">
        <f t="shared" si="118"/>
        <v>#REF!</v>
      </c>
      <c r="J1268" s="1644" t="e">
        <f t="shared" si="119"/>
        <v>#REF!</v>
      </c>
      <c r="M1268" s="1545"/>
      <c r="N1268" s="1545"/>
    </row>
    <row r="1269" spans="1:93" ht="15.5">
      <c r="A1269" s="1598">
        <v>24.312000000000001</v>
      </c>
      <c r="B1269" s="1599" t="s">
        <v>2809</v>
      </c>
      <c r="C1269" s="1643" t="e">
        <f>+SUMIF(#REF!,Final!A1269,#REF!)</f>
        <v>#REF!</v>
      </c>
      <c r="D1269" s="1597" t="e">
        <f>+SUMIF(#REF!,Final!A1269,#REF!)</f>
        <v>#REF!</v>
      </c>
      <c r="E1269" s="1643" t="e">
        <f>SUMIF(#REF!,Final!A1269,#REF!)</f>
        <v>#REF!</v>
      </c>
      <c r="F1269" s="1644" t="e">
        <f>SUMIF(#REF!,Final!A1269,#REF!)</f>
        <v>#REF!</v>
      </c>
      <c r="G1269" s="1597" t="e">
        <f t="shared" si="116"/>
        <v>#REF!</v>
      </c>
      <c r="H1269" s="1644" t="e">
        <f t="shared" si="117"/>
        <v>#REF!</v>
      </c>
      <c r="I1269" s="1597" t="e">
        <f t="shared" si="118"/>
        <v>#REF!</v>
      </c>
      <c r="J1269" s="1644" t="e">
        <f t="shared" si="119"/>
        <v>#REF!</v>
      </c>
      <c r="M1269" s="1545"/>
      <c r="N1269" s="1545"/>
    </row>
    <row r="1270" spans="1:93" ht="15.5">
      <c r="A1270" s="1598">
        <v>24.312999999999999</v>
      </c>
      <c r="B1270" s="1599" t="s">
        <v>2810</v>
      </c>
      <c r="C1270" s="1643" t="e">
        <f>+SUMIF(#REF!,Final!A1270,#REF!)</f>
        <v>#REF!</v>
      </c>
      <c r="D1270" s="1597" t="e">
        <f>+SUMIF(#REF!,Final!A1270,#REF!)</f>
        <v>#REF!</v>
      </c>
      <c r="E1270" s="1643" t="e">
        <f>SUMIF(#REF!,Final!A1270,#REF!)</f>
        <v>#REF!</v>
      </c>
      <c r="F1270" s="1644" t="e">
        <f>SUMIF(#REF!,Final!A1270,#REF!)</f>
        <v>#REF!</v>
      </c>
      <c r="G1270" s="1597" t="e">
        <f t="shared" si="116"/>
        <v>#REF!</v>
      </c>
      <c r="H1270" s="1644" t="e">
        <f t="shared" si="117"/>
        <v>#REF!</v>
      </c>
      <c r="I1270" s="1597" t="e">
        <f t="shared" si="118"/>
        <v>#REF!</v>
      </c>
      <c r="J1270" s="1644" t="e">
        <f t="shared" si="119"/>
        <v>#REF!</v>
      </c>
      <c r="M1270" s="1545"/>
      <c r="N1270" s="1545"/>
    </row>
    <row r="1271" spans="1:93" ht="15.5">
      <c r="A1271" s="1598">
        <v>24.315999999999999</v>
      </c>
      <c r="B1271" s="1599" t="s">
        <v>2811</v>
      </c>
      <c r="C1271" s="1643" t="e">
        <f>+SUMIF(#REF!,Final!A1271,#REF!)</f>
        <v>#REF!</v>
      </c>
      <c r="D1271" s="1597" t="e">
        <f>+SUMIF(#REF!,Final!A1271,#REF!)</f>
        <v>#REF!</v>
      </c>
      <c r="E1271" s="1643" t="e">
        <f>SUMIF(#REF!,Final!A1271,#REF!)</f>
        <v>#REF!</v>
      </c>
      <c r="F1271" s="1644" t="e">
        <f>SUMIF(#REF!,Final!A1271,#REF!)</f>
        <v>#REF!</v>
      </c>
      <c r="G1271" s="1597" t="e">
        <f t="shared" si="116"/>
        <v>#REF!</v>
      </c>
      <c r="H1271" s="1644" t="e">
        <f t="shared" si="117"/>
        <v>#REF!</v>
      </c>
      <c r="I1271" s="1597" t="e">
        <f t="shared" si="118"/>
        <v>#REF!</v>
      </c>
      <c r="J1271" s="1644" t="e">
        <f t="shared" si="119"/>
        <v>#REF!</v>
      </c>
      <c r="M1271" s="1545"/>
      <c r="N1271" s="1545"/>
    </row>
    <row r="1272" spans="1:93" ht="15.5">
      <c r="A1272" s="1598">
        <v>24.352</v>
      </c>
      <c r="B1272" s="1599" t="s">
        <v>2812</v>
      </c>
      <c r="C1272" s="1643" t="e">
        <f>+SUMIF(#REF!,Final!A1272,#REF!)</f>
        <v>#REF!</v>
      </c>
      <c r="D1272" s="1597" t="e">
        <f>+SUMIF(#REF!,Final!A1272,#REF!)</f>
        <v>#REF!</v>
      </c>
      <c r="E1272" s="1643" t="e">
        <f>SUMIF(#REF!,Final!A1272,#REF!)</f>
        <v>#REF!</v>
      </c>
      <c r="F1272" s="1644" t="e">
        <f>SUMIF(#REF!,Final!A1272,#REF!)</f>
        <v>#REF!</v>
      </c>
      <c r="G1272" s="1597" t="e">
        <f t="shared" si="116"/>
        <v>#REF!</v>
      </c>
      <c r="H1272" s="1644" t="e">
        <f t="shared" si="117"/>
        <v>#REF!</v>
      </c>
      <c r="I1272" s="1597" t="e">
        <f t="shared" si="118"/>
        <v>#REF!</v>
      </c>
      <c r="J1272" s="1644" t="e">
        <f t="shared" si="119"/>
        <v>#REF!</v>
      </c>
      <c r="M1272" s="1545"/>
      <c r="N1272" s="1545"/>
    </row>
    <row r="1273" spans="1:93" s="1552" customFormat="1" ht="15.5">
      <c r="A1273" s="1598"/>
      <c r="B1273" s="1599" t="s">
        <v>1747</v>
      </c>
      <c r="C1273" s="1643" t="e">
        <f>+SUMIF(#REF!,Final!A1273,#REF!)</f>
        <v>#REF!</v>
      </c>
      <c r="D1273" s="1597" t="e">
        <f>+SUMIF(#REF!,Final!A1273,#REF!)</f>
        <v>#REF!</v>
      </c>
      <c r="E1273" s="1643" t="e">
        <f>SUMIF(#REF!,Final!A1273,#REF!)</f>
        <v>#REF!</v>
      </c>
      <c r="F1273" s="1644" t="e">
        <f>SUMIF(#REF!,Final!A1273,#REF!)</f>
        <v>#REF!</v>
      </c>
      <c r="G1273" s="1597" t="e">
        <f t="shared" si="116"/>
        <v>#REF!</v>
      </c>
      <c r="H1273" s="1644" t="e">
        <f t="shared" si="117"/>
        <v>#REF!</v>
      </c>
      <c r="I1273" s="1597" t="e">
        <f t="shared" si="118"/>
        <v>#REF!</v>
      </c>
      <c r="J1273" s="1644" t="e">
        <f t="shared" si="119"/>
        <v>#REF!</v>
      </c>
      <c r="K1273" s="1539"/>
      <c r="L1273" s="1539"/>
      <c r="M1273" s="1545"/>
      <c r="N1273" s="1545"/>
      <c r="O1273" s="1539"/>
      <c r="P1273" s="1539"/>
      <c r="Q1273" s="1539"/>
      <c r="R1273" s="1539"/>
      <c r="S1273" s="1539"/>
      <c r="T1273" s="1539"/>
      <c r="U1273" s="1539"/>
      <c r="V1273" s="1539"/>
      <c r="W1273" s="1539"/>
      <c r="X1273" s="1539"/>
      <c r="Y1273" s="1539"/>
      <c r="Z1273" s="1539"/>
      <c r="AA1273" s="1539"/>
      <c r="AB1273" s="1539"/>
      <c r="AC1273" s="1539"/>
      <c r="AD1273" s="1539"/>
      <c r="AE1273" s="1539"/>
      <c r="AF1273" s="1539"/>
      <c r="AG1273" s="1539"/>
      <c r="AH1273" s="1539"/>
      <c r="AI1273" s="1539"/>
      <c r="AJ1273" s="1539"/>
      <c r="AK1273" s="1539"/>
      <c r="AL1273" s="1539"/>
      <c r="AM1273" s="1539"/>
      <c r="AN1273" s="1539"/>
      <c r="AO1273" s="1539"/>
      <c r="AP1273" s="1539"/>
      <c r="AQ1273" s="1539"/>
      <c r="AR1273" s="1539"/>
      <c r="AS1273" s="1539"/>
      <c r="AT1273" s="1539"/>
      <c r="AU1273" s="1539"/>
      <c r="AV1273" s="1539"/>
      <c r="AW1273" s="1539"/>
      <c r="AX1273" s="1539"/>
      <c r="AY1273" s="1539"/>
      <c r="AZ1273" s="1539"/>
      <c r="BA1273" s="1539"/>
      <c r="BB1273" s="1539"/>
      <c r="BC1273" s="1539"/>
      <c r="BD1273" s="1539"/>
      <c r="BE1273" s="1539"/>
      <c r="BF1273" s="1539"/>
      <c r="BG1273" s="1539"/>
      <c r="BH1273" s="1539"/>
      <c r="BI1273" s="1539"/>
      <c r="BJ1273" s="1539"/>
      <c r="BK1273" s="1539"/>
      <c r="BL1273" s="1539"/>
      <c r="BM1273" s="1539"/>
      <c r="BN1273" s="1539"/>
      <c r="BO1273" s="1539"/>
      <c r="BP1273" s="1539"/>
      <c r="BQ1273" s="1539"/>
      <c r="BR1273" s="1539"/>
      <c r="BS1273" s="1539"/>
      <c r="BT1273" s="1539"/>
      <c r="BU1273" s="1539"/>
      <c r="BV1273" s="1539"/>
      <c r="BW1273" s="1539"/>
      <c r="BX1273" s="1539"/>
      <c r="BY1273" s="1539"/>
      <c r="BZ1273" s="1539"/>
      <c r="CA1273" s="1539"/>
      <c r="CB1273" s="1539"/>
      <c r="CC1273" s="1539"/>
      <c r="CD1273" s="1539"/>
      <c r="CE1273" s="1539"/>
      <c r="CF1273" s="1539"/>
      <c r="CG1273" s="1539"/>
      <c r="CH1273" s="1539"/>
      <c r="CI1273" s="1539"/>
      <c r="CJ1273" s="1539"/>
      <c r="CK1273" s="1539"/>
      <c r="CL1273" s="1539"/>
      <c r="CM1273" s="1539"/>
      <c r="CN1273" s="1539"/>
      <c r="CO1273" s="1539"/>
    </row>
    <row r="1274" spans="1:93" s="1552" customFormat="1" ht="15.5">
      <c r="A1274" s="1598" t="s">
        <v>3385</v>
      </c>
      <c r="B1274" s="1599" t="s">
        <v>1760</v>
      </c>
      <c r="C1274" s="1643" t="e">
        <f>+SUMIF(#REF!,Final!A1274,#REF!)</f>
        <v>#REF!</v>
      </c>
      <c r="D1274" s="1597" t="e">
        <f>+SUMIF(#REF!,Final!A1274,#REF!)</f>
        <v>#REF!</v>
      </c>
      <c r="E1274" s="1643" t="e">
        <f>SUMIF(#REF!,Final!A1274,#REF!)</f>
        <v>#REF!</v>
      </c>
      <c r="F1274" s="1644" t="e">
        <f>SUMIF(#REF!,Final!A1274,#REF!)</f>
        <v>#REF!</v>
      </c>
      <c r="G1274" s="1597" t="e">
        <f t="shared" si="116"/>
        <v>#REF!</v>
      </c>
      <c r="H1274" s="1644" t="e">
        <f t="shared" si="117"/>
        <v>#REF!</v>
      </c>
      <c r="I1274" s="1597" t="e">
        <f t="shared" si="118"/>
        <v>#REF!</v>
      </c>
      <c r="J1274" s="1644" t="e">
        <f t="shared" si="119"/>
        <v>#REF!</v>
      </c>
      <c r="K1274" s="1539"/>
      <c r="L1274" s="1539"/>
      <c r="M1274" s="1545"/>
      <c r="N1274" s="1545"/>
      <c r="O1274" s="1539"/>
      <c r="P1274" s="1539"/>
      <c r="Q1274" s="1539"/>
      <c r="R1274" s="1539"/>
      <c r="S1274" s="1539"/>
      <c r="T1274" s="1539"/>
      <c r="U1274" s="1539"/>
      <c r="V1274" s="1539"/>
      <c r="W1274" s="1539"/>
      <c r="X1274" s="1539"/>
      <c r="Y1274" s="1539"/>
      <c r="Z1274" s="1539"/>
      <c r="AA1274" s="1539"/>
      <c r="AB1274" s="1539"/>
      <c r="AC1274" s="1539"/>
      <c r="AD1274" s="1539"/>
      <c r="AE1274" s="1539"/>
      <c r="AF1274" s="1539"/>
      <c r="AG1274" s="1539"/>
      <c r="AH1274" s="1539"/>
      <c r="AI1274" s="1539"/>
      <c r="AJ1274" s="1539"/>
      <c r="AK1274" s="1539"/>
      <c r="AL1274" s="1539"/>
      <c r="AM1274" s="1539"/>
      <c r="AN1274" s="1539"/>
      <c r="AO1274" s="1539"/>
      <c r="AP1274" s="1539"/>
      <c r="AQ1274" s="1539"/>
      <c r="AR1274" s="1539"/>
      <c r="AS1274" s="1539"/>
      <c r="AT1274" s="1539"/>
      <c r="AU1274" s="1539"/>
      <c r="AV1274" s="1539"/>
      <c r="AW1274" s="1539"/>
      <c r="AX1274" s="1539"/>
      <c r="AY1274" s="1539"/>
      <c r="AZ1274" s="1539"/>
      <c r="BA1274" s="1539"/>
      <c r="BB1274" s="1539"/>
      <c r="BC1274" s="1539"/>
      <c r="BD1274" s="1539"/>
      <c r="BE1274" s="1539"/>
      <c r="BF1274" s="1539"/>
      <c r="BG1274" s="1539"/>
      <c r="BH1274" s="1539"/>
      <c r="BI1274" s="1539"/>
      <c r="BJ1274" s="1539"/>
      <c r="BK1274" s="1539"/>
      <c r="BL1274" s="1539"/>
      <c r="BM1274" s="1539"/>
      <c r="BN1274" s="1539"/>
      <c r="BO1274" s="1539"/>
      <c r="BP1274" s="1539"/>
      <c r="BQ1274" s="1539"/>
      <c r="BR1274" s="1539"/>
      <c r="BS1274" s="1539"/>
      <c r="BT1274" s="1539"/>
      <c r="BU1274" s="1539"/>
      <c r="BV1274" s="1539"/>
      <c r="BW1274" s="1539"/>
      <c r="BX1274" s="1539"/>
      <c r="BY1274" s="1539"/>
      <c r="BZ1274" s="1539"/>
      <c r="CA1274" s="1539"/>
      <c r="CB1274" s="1539"/>
      <c r="CC1274" s="1539"/>
      <c r="CD1274" s="1539"/>
      <c r="CE1274" s="1539"/>
      <c r="CF1274" s="1539"/>
      <c r="CG1274" s="1539"/>
      <c r="CH1274" s="1539"/>
      <c r="CI1274" s="1539"/>
      <c r="CJ1274" s="1539"/>
      <c r="CK1274" s="1539"/>
      <c r="CL1274" s="1539"/>
      <c r="CM1274" s="1539"/>
      <c r="CN1274" s="1539"/>
      <c r="CO1274" s="1539"/>
    </row>
    <row r="1275" spans="1:93" s="1542" customFormat="1" ht="15.5">
      <c r="A1275" s="1598" t="s">
        <v>1768</v>
      </c>
      <c r="B1275" s="1599" t="s">
        <v>2813</v>
      </c>
      <c r="C1275" s="1643" t="e">
        <f>+SUMIF(#REF!,Final!A1275,#REF!)</f>
        <v>#REF!</v>
      </c>
      <c r="D1275" s="1597" t="e">
        <f>+SUMIF(#REF!,Final!A1275,#REF!)</f>
        <v>#REF!</v>
      </c>
      <c r="E1275" s="1643" t="e">
        <f>SUMIF(#REF!,Final!A1275,#REF!)</f>
        <v>#REF!</v>
      </c>
      <c r="F1275" s="1644" t="e">
        <f>SUMIF(#REF!,Final!A1275,#REF!)</f>
        <v>#REF!</v>
      </c>
      <c r="G1275" s="1597" t="e">
        <f t="shared" si="116"/>
        <v>#REF!</v>
      </c>
      <c r="H1275" s="1644" t="e">
        <f t="shared" si="117"/>
        <v>#REF!</v>
      </c>
      <c r="I1275" s="1597" t="e">
        <f t="shared" si="118"/>
        <v>#REF!</v>
      </c>
      <c r="J1275" s="1644" t="e">
        <f t="shared" si="119"/>
        <v>#REF!</v>
      </c>
      <c r="K1275" s="1539"/>
      <c r="L1275" s="1539"/>
      <c r="M1275" s="1545"/>
      <c r="N1275" s="1545"/>
      <c r="O1275" s="1539"/>
      <c r="P1275" s="1539"/>
      <c r="Q1275" s="1539"/>
      <c r="R1275" s="1539"/>
      <c r="S1275" s="1539"/>
      <c r="T1275" s="1539"/>
      <c r="U1275" s="1539"/>
      <c r="V1275" s="1539"/>
      <c r="W1275" s="1539"/>
      <c r="X1275" s="1539"/>
      <c r="Y1275" s="1539"/>
      <c r="Z1275" s="1539"/>
      <c r="AA1275" s="1539"/>
      <c r="AB1275" s="1539"/>
      <c r="AC1275" s="1539"/>
      <c r="AD1275" s="1539"/>
      <c r="AE1275" s="1539"/>
      <c r="AF1275" s="1539"/>
      <c r="AG1275" s="1539"/>
      <c r="AH1275" s="1539"/>
      <c r="AI1275" s="1539"/>
      <c r="AJ1275" s="1539"/>
      <c r="AK1275" s="1539"/>
      <c r="AL1275" s="1539"/>
      <c r="AM1275" s="1539"/>
      <c r="AN1275" s="1539"/>
      <c r="AO1275" s="1539"/>
      <c r="AP1275" s="1539"/>
      <c r="AQ1275" s="1539"/>
      <c r="AR1275" s="1539"/>
      <c r="AS1275" s="1539"/>
      <c r="AT1275" s="1539"/>
      <c r="AU1275" s="1539"/>
      <c r="AV1275" s="1539"/>
      <c r="AW1275" s="1539"/>
      <c r="AX1275" s="1539"/>
      <c r="AY1275" s="1539"/>
      <c r="AZ1275" s="1539"/>
      <c r="BA1275" s="1539"/>
      <c r="BB1275" s="1539"/>
      <c r="BC1275" s="1539"/>
      <c r="BD1275" s="1539"/>
      <c r="BE1275" s="1539"/>
      <c r="BF1275" s="1539"/>
      <c r="BG1275" s="1539"/>
      <c r="BH1275" s="1539"/>
      <c r="BI1275" s="1539"/>
      <c r="BJ1275" s="1539"/>
      <c r="BK1275" s="1539"/>
      <c r="BL1275" s="1539"/>
      <c r="BM1275" s="1539"/>
      <c r="BN1275" s="1539"/>
      <c r="BO1275" s="1539"/>
      <c r="BP1275" s="1539"/>
      <c r="BQ1275" s="1539"/>
      <c r="BR1275" s="1539"/>
      <c r="BS1275" s="1539"/>
      <c r="BT1275" s="1539"/>
      <c r="BU1275" s="1539"/>
      <c r="BV1275" s="1539"/>
      <c r="BW1275" s="1539"/>
      <c r="BX1275" s="1539"/>
      <c r="BY1275" s="1539"/>
      <c r="BZ1275" s="1539"/>
      <c r="CA1275" s="1539"/>
      <c r="CB1275" s="1539"/>
      <c r="CC1275" s="1539"/>
      <c r="CD1275" s="1539"/>
      <c r="CE1275" s="1539"/>
      <c r="CF1275" s="1539"/>
      <c r="CG1275" s="1539"/>
      <c r="CH1275" s="1539"/>
      <c r="CI1275" s="1539"/>
      <c r="CJ1275" s="1539"/>
      <c r="CK1275" s="1539"/>
      <c r="CL1275" s="1539"/>
      <c r="CM1275" s="1539"/>
      <c r="CN1275" s="1539"/>
      <c r="CO1275" s="1539"/>
    </row>
    <row r="1276" spans="1:93" ht="15.5">
      <c r="A1276" s="1598">
        <v>24.401</v>
      </c>
      <c r="B1276" s="1599" t="s">
        <v>684</v>
      </c>
      <c r="C1276" s="1643" t="e">
        <f>+SUMIF(#REF!,Final!A1276,#REF!)</f>
        <v>#REF!</v>
      </c>
      <c r="D1276" s="1597" t="e">
        <f>+SUMIF(#REF!,Final!A1276,#REF!)</f>
        <v>#REF!</v>
      </c>
      <c r="E1276" s="1643" t="e">
        <f>SUMIF(#REF!,Final!A1276,#REF!)</f>
        <v>#REF!</v>
      </c>
      <c r="F1276" s="1644" t="e">
        <f>SUMIF(#REF!,Final!A1276,#REF!)</f>
        <v>#REF!</v>
      </c>
      <c r="G1276" s="1597" t="e">
        <f t="shared" si="116"/>
        <v>#REF!</v>
      </c>
      <c r="H1276" s="1644" t="e">
        <f t="shared" si="117"/>
        <v>#REF!</v>
      </c>
      <c r="I1276" s="1597" t="e">
        <f t="shared" si="118"/>
        <v>#REF!</v>
      </c>
      <c r="J1276" s="1644" t="e">
        <f t="shared" si="119"/>
        <v>#REF!</v>
      </c>
      <c r="M1276" s="1545"/>
      <c r="N1276" s="1545"/>
    </row>
    <row r="1277" spans="1:93" ht="15.5">
      <c r="A1277" s="1598">
        <v>24.402000000000001</v>
      </c>
      <c r="B1277" s="1599" t="s">
        <v>2800</v>
      </c>
      <c r="C1277" s="1643" t="e">
        <f>+SUMIF(#REF!,Final!A1277,#REF!)</f>
        <v>#REF!</v>
      </c>
      <c r="D1277" s="1597" t="e">
        <f>+SUMIF(#REF!,Final!A1277,#REF!)</f>
        <v>#REF!</v>
      </c>
      <c r="E1277" s="1643" t="e">
        <f>SUMIF(#REF!,Final!A1277,#REF!)</f>
        <v>#REF!</v>
      </c>
      <c r="F1277" s="1644" t="e">
        <f>SUMIF(#REF!,Final!A1277,#REF!)</f>
        <v>#REF!</v>
      </c>
      <c r="G1277" s="1597" t="e">
        <f t="shared" si="116"/>
        <v>#REF!</v>
      </c>
      <c r="H1277" s="1644" t="e">
        <f t="shared" si="117"/>
        <v>#REF!</v>
      </c>
      <c r="I1277" s="1597" t="e">
        <f t="shared" si="118"/>
        <v>#REF!</v>
      </c>
      <c r="J1277" s="1644" t="e">
        <f t="shared" si="119"/>
        <v>#REF!</v>
      </c>
      <c r="M1277" s="1545"/>
      <c r="N1277" s="1545"/>
    </row>
    <row r="1278" spans="1:93" ht="15.5">
      <c r="A1278" s="1598">
        <v>24.402999999999999</v>
      </c>
      <c r="B1278" s="1599" t="s">
        <v>2814</v>
      </c>
      <c r="C1278" s="1643" t="e">
        <f>+SUMIF(#REF!,Final!A1278,#REF!)</f>
        <v>#REF!</v>
      </c>
      <c r="D1278" s="1597" t="e">
        <f>+SUMIF(#REF!,Final!A1278,#REF!)</f>
        <v>#REF!</v>
      </c>
      <c r="E1278" s="1643" t="e">
        <f>SUMIF(#REF!,Final!A1278,#REF!)</f>
        <v>#REF!</v>
      </c>
      <c r="F1278" s="1644" t="e">
        <f>SUMIF(#REF!,Final!A1278,#REF!)</f>
        <v>#REF!</v>
      </c>
      <c r="G1278" s="1597" t="e">
        <f t="shared" si="116"/>
        <v>#REF!</v>
      </c>
      <c r="H1278" s="1644" t="e">
        <f t="shared" si="117"/>
        <v>#REF!</v>
      </c>
      <c r="I1278" s="1597" t="e">
        <f t="shared" si="118"/>
        <v>#REF!</v>
      </c>
      <c r="J1278" s="1644" t="e">
        <f t="shared" si="119"/>
        <v>#REF!</v>
      </c>
      <c r="M1278" s="1545"/>
      <c r="N1278" s="1545"/>
    </row>
    <row r="1279" spans="1:93" ht="15.5">
      <c r="A1279" s="1598">
        <v>24.404</v>
      </c>
      <c r="B1279" s="1599" t="s">
        <v>2802</v>
      </c>
      <c r="C1279" s="1643" t="e">
        <f>+SUMIF(#REF!,Final!A1279,#REF!)</f>
        <v>#REF!</v>
      </c>
      <c r="D1279" s="1597" t="e">
        <f>+SUMIF(#REF!,Final!A1279,#REF!)</f>
        <v>#REF!</v>
      </c>
      <c r="E1279" s="1643" t="e">
        <f>SUMIF(#REF!,Final!A1279,#REF!)</f>
        <v>#REF!</v>
      </c>
      <c r="F1279" s="1644" t="e">
        <f>SUMIF(#REF!,Final!A1279,#REF!)</f>
        <v>#REF!</v>
      </c>
      <c r="G1279" s="1597" t="e">
        <f t="shared" si="116"/>
        <v>#REF!</v>
      </c>
      <c r="H1279" s="1644" t="e">
        <f t="shared" si="117"/>
        <v>#REF!</v>
      </c>
      <c r="I1279" s="1597" t="e">
        <f t="shared" si="118"/>
        <v>#REF!</v>
      </c>
      <c r="J1279" s="1644" t="e">
        <f t="shared" si="119"/>
        <v>#REF!</v>
      </c>
      <c r="M1279" s="1545"/>
      <c r="N1279" s="1545"/>
    </row>
    <row r="1280" spans="1:93" ht="15.5">
      <c r="A1280" s="1598">
        <v>24.405000000000001</v>
      </c>
      <c r="B1280" s="1599" t="s">
        <v>2803</v>
      </c>
      <c r="C1280" s="1643" t="e">
        <f>+SUMIF(#REF!,Final!A1280,#REF!)</f>
        <v>#REF!</v>
      </c>
      <c r="D1280" s="1597" t="e">
        <f>+SUMIF(#REF!,Final!A1280,#REF!)</f>
        <v>#REF!</v>
      </c>
      <c r="E1280" s="1643" t="e">
        <f>SUMIF(#REF!,Final!A1280,#REF!)</f>
        <v>#REF!</v>
      </c>
      <c r="F1280" s="1644" t="e">
        <f>SUMIF(#REF!,Final!A1280,#REF!)</f>
        <v>#REF!</v>
      </c>
      <c r="G1280" s="1597" t="e">
        <f t="shared" si="116"/>
        <v>#REF!</v>
      </c>
      <c r="H1280" s="1644" t="e">
        <f t="shared" si="117"/>
        <v>#REF!</v>
      </c>
      <c r="I1280" s="1597" t="e">
        <f t="shared" si="118"/>
        <v>#REF!</v>
      </c>
      <c r="J1280" s="1644" t="e">
        <f t="shared" si="119"/>
        <v>#REF!</v>
      </c>
      <c r="M1280" s="1545"/>
      <c r="N1280" s="1545"/>
    </row>
    <row r="1281" spans="1:14" ht="15.5">
      <c r="A1281" s="1598">
        <v>24.405999999999999</v>
      </c>
      <c r="B1281" s="1599" t="s">
        <v>2804</v>
      </c>
      <c r="C1281" s="1643" t="e">
        <f>+SUMIF(#REF!,Final!A1281,#REF!)</f>
        <v>#REF!</v>
      </c>
      <c r="D1281" s="1597" t="e">
        <f>+SUMIF(#REF!,Final!A1281,#REF!)</f>
        <v>#REF!</v>
      </c>
      <c r="E1281" s="1643" t="e">
        <f>SUMIF(#REF!,Final!A1281,#REF!)</f>
        <v>#REF!</v>
      </c>
      <c r="F1281" s="1644" t="e">
        <f>SUMIF(#REF!,Final!A1281,#REF!)</f>
        <v>#REF!</v>
      </c>
      <c r="G1281" s="1597" t="e">
        <f t="shared" si="116"/>
        <v>#REF!</v>
      </c>
      <c r="H1281" s="1644" t="e">
        <f t="shared" si="117"/>
        <v>#REF!</v>
      </c>
      <c r="I1281" s="1597" t="e">
        <f t="shared" si="118"/>
        <v>#REF!</v>
      </c>
      <c r="J1281" s="1644" t="e">
        <f t="shared" si="119"/>
        <v>#REF!</v>
      </c>
      <c r="M1281" s="1545"/>
      <c r="N1281" s="1545"/>
    </row>
    <row r="1282" spans="1:14" ht="15.5">
      <c r="A1282" s="1598">
        <v>24.407</v>
      </c>
      <c r="B1282" s="1599" t="s">
        <v>1250</v>
      </c>
      <c r="C1282" s="1643" t="e">
        <f>+SUMIF(#REF!,Final!A1282,#REF!)</f>
        <v>#REF!</v>
      </c>
      <c r="D1282" s="1597" t="e">
        <f>+SUMIF(#REF!,Final!A1282,#REF!)</f>
        <v>#REF!</v>
      </c>
      <c r="E1282" s="1643" t="e">
        <f>SUMIF(#REF!,Final!A1282,#REF!)</f>
        <v>#REF!</v>
      </c>
      <c r="F1282" s="1644" t="e">
        <f>SUMIF(#REF!,Final!A1282,#REF!)</f>
        <v>#REF!</v>
      </c>
      <c r="G1282" s="1597" t="e">
        <f t="shared" si="116"/>
        <v>#REF!</v>
      </c>
      <c r="H1282" s="1644" t="e">
        <f t="shared" si="117"/>
        <v>#REF!</v>
      </c>
      <c r="I1282" s="1597" t="e">
        <f t="shared" si="118"/>
        <v>#REF!</v>
      </c>
      <c r="J1282" s="1644" t="e">
        <f t="shared" si="119"/>
        <v>#REF!</v>
      </c>
      <c r="M1282" s="1545"/>
      <c r="N1282" s="1545"/>
    </row>
    <row r="1283" spans="1:14" ht="15.5">
      <c r="A1283" s="1598">
        <v>24.408000000000001</v>
      </c>
      <c r="B1283" s="1599" t="s">
        <v>2806</v>
      </c>
      <c r="C1283" s="1643" t="e">
        <f>+SUMIF(#REF!,Final!A1283,#REF!)</f>
        <v>#REF!</v>
      </c>
      <c r="D1283" s="1597" t="e">
        <f>+SUMIF(#REF!,Final!A1283,#REF!)</f>
        <v>#REF!</v>
      </c>
      <c r="E1283" s="1643" t="e">
        <f>SUMIF(#REF!,Final!A1283,#REF!)</f>
        <v>#REF!</v>
      </c>
      <c r="F1283" s="1644" t="e">
        <f>SUMIF(#REF!,Final!A1283,#REF!)</f>
        <v>#REF!</v>
      </c>
      <c r="G1283" s="1597" t="e">
        <f t="shared" si="116"/>
        <v>#REF!</v>
      </c>
      <c r="H1283" s="1644" t="e">
        <f t="shared" si="117"/>
        <v>#REF!</v>
      </c>
      <c r="I1283" s="1597" t="e">
        <f t="shared" si="118"/>
        <v>#REF!</v>
      </c>
      <c r="J1283" s="1644" t="e">
        <f t="shared" si="119"/>
        <v>#REF!</v>
      </c>
      <c r="M1283" s="1545"/>
      <c r="N1283" s="1545"/>
    </row>
    <row r="1284" spans="1:14" ht="15.5">
      <c r="A1284" s="1598">
        <v>24.408999999999999</v>
      </c>
      <c r="B1284" s="1599" t="s">
        <v>2807</v>
      </c>
      <c r="C1284" s="1643" t="e">
        <f>+SUMIF(#REF!,Final!A1284,#REF!)</f>
        <v>#REF!</v>
      </c>
      <c r="D1284" s="1597" t="e">
        <f>+SUMIF(#REF!,Final!A1284,#REF!)</f>
        <v>#REF!</v>
      </c>
      <c r="E1284" s="1643" t="e">
        <f>SUMIF(#REF!,Final!A1284,#REF!)</f>
        <v>#REF!</v>
      </c>
      <c r="F1284" s="1644" t="e">
        <f>SUMIF(#REF!,Final!A1284,#REF!)</f>
        <v>#REF!</v>
      </c>
      <c r="G1284" s="1597" t="e">
        <f t="shared" si="116"/>
        <v>#REF!</v>
      </c>
      <c r="H1284" s="1644" t="e">
        <f t="shared" si="117"/>
        <v>#REF!</v>
      </c>
      <c r="I1284" s="1597" t="e">
        <f t="shared" si="118"/>
        <v>#REF!</v>
      </c>
      <c r="J1284" s="1644" t="e">
        <f t="shared" si="119"/>
        <v>#REF!</v>
      </c>
      <c r="M1284" s="1545"/>
      <c r="N1284" s="1545"/>
    </row>
    <row r="1285" spans="1:14" ht="15.5">
      <c r="A1285" s="1598">
        <v>24.41</v>
      </c>
      <c r="B1285" s="1599" t="s">
        <v>2808</v>
      </c>
      <c r="C1285" s="1643" t="e">
        <f>+SUMIF(#REF!,Final!A1285,#REF!)</f>
        <v>#REF!</v>
      </c>
      <c r="D1285" s="1597" t="e">
        <f>+SUMIF(#REF!,Final!A1285,#REF!)</f>
        <v>#REF!</v>
      </c>
      <c r="E1285" s="1643" t="e">
        <f>SUMIF(#REF!,Final!A1285,#REF!)</f>
        <v>#REF!</v>
      </c>
      <c r="F1285" s="1644" t="e">
        <f>SUMIF(#REF!,Final!A1285,#REF!)</f>
        <v>#REF!</v>
      </c>
      <c r="G1285" s="1597" t="e">
        <f t="shared" si="116"/>
        <v>#REF!</v>
      </c>
      <c r="H1285" s="1644" t="e">
        <f t="shared" si="117"/>
        <v>#REF!</v>
      </c>
      <c r="I1285" s="1597" t="e">
        <f t="shared" si="118"/>
        <v>#REF!</v>
      </c>
      <c r="J1285" s="1644" t="e">
        <f t="shared" si="119"/>
        <v>#REF!</v>
      </c>
      <c r="M1285" s="1545"/>
      <c r="N1285" s="1545"/>
    </row>
    <row r="1286" spans="1:14" ht="15.5">
      <c r="A1286" s="1598">
        <v>24.411999999999999</v>
      </c>
      <c r="B1286" s="1599" t="s">
        <v>2809</v>
      </c>
      <c r="C1286" s="1643" t="e">
        <f>+SUMIF(#REF!,Final!A1286,#REF!)</f>
        <v>#REF!</v>
      </c>
      <c r="D1286" s="1597" t="e">
        <f>+SUMIF(#REF!,Final!A1286,#REF!)</f>
        <v>#REF!</v>
      </c>
      <c r="E1286" s="1643" t="e">
        <f>SUMIF(#REF!,Final!A1286,#REF!)</f>
        <v>#REF!</v>
      </c>
      <c r="F1286" s="1644" t="e">
        <f>SUMIF(#REF!,Final!A1286,#REF!)</f>
        <v>#REF!</v>
      </c>
      <c r="G1286" s="1597" t="e">
        <f t="shared" si="116"/>
        <v>#REF!</v>
      </c>
      <c r="H1286" s="1644" t="e">
        <f t="shared" si="117"/>
        <v>#REF!</v>
      </c>
      <c r="I1286" s="1597" t="e">
        <f t="shared" si="118"/>
        <v>#REF!</v>
      </c>
      <c r="J1286" s="1644" t="e">
        <f t="shared" si="119"/>
        <v>#REF!</v>
      </c>
      <c r="M1286" s="1545"/>
      <c r="N1286" s="1545"/>
    </row>
    <row r="1287" spans="1:14" ht="15.5">
      <c r="A1287" s="1598">
        <v>24.413</v>
      </c>
      <c r="B1287" s="1599" t="s">
        <v>2815</v>
      </c>
      <c r="C1287" s="1643" t="e">
        <f>+SUMIF(#REF!,Final!A1287,#REF!)</f>
        <v>#REF!</v>
      </c>
      <c r="D1287" s="1597" t="e">
        <f>+SUMIF(#REF!,Final!A1287,#REF!)</f>
        <v>#REF!</v>
      </c>
      <c r="E1287" s="1643" t="e">
        <f>SUMIF(#REF!,Final!A1287,#REF!)</f>
        <v>#REF!</v>
      </c>
      <c r="F1287" s="1644" t="e">
        <f>SUMIF(#REF!,Final!A1287,#REF!)</f>
        <v>#REF!</v>
      </c>
      <c r="G1287" s="1597" t="e">
        <f t="shared" si="116"/>
        <v>#REF!</v>
      </c>
      <c r="H1287" s="1644" t="e">
        <f t="shared" si="117"/>
        <v>#REF!</v>
      </c>
      <c r="I1287" s="1597" t="e">
        <f t="shared" si="118"/>
        <v>#REF!</v>
      </c>
      <c r="J1287" s="1644" t="e">
        <f t="shared" si="119"/>
        <v>#REF!</v>
      </c>
      <c r="M1287" s="1545"/>
      <c r="N1287" s="1545"/>
    </row>
    <row r="1288" spans="1:14" ht="15.5">
      <c r="A1288" s="1598">
        <v>24.416</v>
      </c>
      <c r="B1288" s="1599" t="s">
        <v>2811</v>
      </c>
      <c r="C1288" s="1643" t="e">
        <f>+SUMIF(#REF!,Final!A1288,#REF!)</f>
        <v>#REF!</v>
      </c>
      <c r="D1288" s="1597" t="e">
        <f>+SUMIF(#REF!,Final!A1288,#REF!)</f>
        <v>#REF!</v>
      </c>
      <c r="E1288" s="1643" t="e">
        <f>SUMIF(#REF!,Final!A1288,#REF!)</f>
        <v>#REF!</v>
      </c>
      <c r="F1288" s="1644" t="e">
        <f>SUMIF(#REF!,Final!A1288,#REF!)</f>
        <v>#REF!</v>
      </c>
      <c r="G1288" s="1597" t="e">
        <f t="shared" si="116"/>
        <v>#REF!</v>
      </c>
      <c r="H1288" s="1644" t="e">
        <f t="shared" si="117"/>
        <v>#REF!</v>
      </c>
      <c r="I1288" s="1597" t="e">
        <f t="shared" si="118"/>
        <v>#REF!</v>
      </c>
      <c r="J1288" s="1644" t="e">
        <f t="shared" si="119"/>
        <v>#REF!</v>
      </c>
      <c r="M1288" s="1545"/>
      <c r="N1288" s="1545"/>
    </row>
    <row r="1289" spans="1:14" ht="15.5">
      <c r="A1289" s="1600">
        <v>24.42</v>
      </c>
      <c r="B1289" s="1599" t="s">
        <v>2816</v>
      </c>
      <c r="C1289" s="1643" t="e">
        <f>+SUMIF(#REF!,Final!A1289,#REF!)</f>
        <v>#REF!</v>
      </c>
      <c r="D1289" s="1597" t="e">
        <f>+SUMIF(#REF!,Final!A1289,#REF!)</f>
        <v>#REF!</v>
      </c>
      <c r="E1289" s="1643" t="e">
        <f>SUMIF(#REF!,Final!A1289,#REF!)</f>
        <v>#REF!</v>
      </c>
      <c r="F1289" s="1644" t="e">
        <f>SUMIF(#REF!,Final!A1289,#REF!)</f>
        <v>#REF!</v>
      </c>
      <c r="G1289" s="1597" t="e">
        <f t="shared" si="116"/>
        <v>#REF!</v>
      </c>
      <c r="H1289" s="1644" t="e">
        <f t="shared" si="117"/>
        <v>#REF!</v>
      </c>
      <c r="I1289" s="1597" t="e">
        <f t="shared" si="118"/>
        <v>#REF!</v>
      </c>
      <c r="J1289" s="1644" t="e">
        <f t="shared" si="119"/>
        <v>#REF!</v>
      </c>
      <c r="M1289" s="1545"/>
      <c r="N1289" s="1545"/>
    </row>
    <row r="1290" spans="1:14" ht="15.5">
      <c r="A1290" s="1598">
        <v>24.427</v>
      </c>
      <c r="B1290" s="1599" t="s">
        <v>3923</v>
      </c>
      <c r="C1290" s="1643" t="e">
        <f>+SUMIF(#REF!,Final!A1290,#REF!)</f>
        <v>#REF!</v>
      </c>
      <c r="D1290" s="1597" t="e">
        <f>+SUMIF(#REF!,Final!A1290,#REF!)</f>
        <v>#REF!</v>
      </c>
      <c r="E1290" s="1643" t="e">
        <f>SUMIF(#REF!,Final!A1290,#REF!)</f>
        <v>#REF!</v>
      </c>
      <c r="F1290" s="1644" t="e">
        <f>SUMIF(#REF!,Final!A1290,#REF!)</f>
        <v>#REF!</v>
      </c>
      <c r="G1290" s="1597" t="e">
        <f t="shared" si="116"/>
        <v>#REF!</v>
      </c>
      <c r="H1290" s="1644" t="e">
        <f t="shared" si="117"/>
        <v>#REF!</v>
      </c>
      <c r="I1290" s="1597" t="e">
        <f t="shared" si="118"/>
        <v>#REF!</v>
      </c>
      <c r="J1290" s="1644" t="e">
        <f t="shared" si="119"/>
        <v>#REF!</v>
      </c>
      <c r="M1290" s="1545"/>
      <c r="N1290" s="1545"/>
    </row>
    <row r="1291" spans="1:14" ht="15.5">
      <c r="A1291" s="1598">
        <v>24.420999999999999</v>
      </c>
      <c r="B1291" s="1599" t="s">
        <v>3924</v>
      </c>
      <c r="C1291" s="1643" t="e">
        <f>+SUMIF(#REF!,Final!A1291,#REF!)</f>
        <v>#REF!</v>
      </c>
      <c r="D1291" s="1597" t="e">
        <f>+SUMIF(#REF!,Final!A1291,#REF!)</f>
        <v>#REF!</v>
      </c>
      <c r="E1291" s="1643" t="e">
        <f>SUMIF(#REF!,Final!A1291,#REF!)</f>
        <v>#REF!</v>
      </c>
      <c r="F1291" s="1644" t="e">
        <f>SUMIF(#REF!,Final!A1291,#REF!)</f>
        <v>#REF!</v>
      </c>
      <c r="G1291" s="1597" t="e">
        <f t="shared" si="116"/>
        <v>#REF!</v>
      </c>
      <c r="H1291" s="1644" t="e">
        <f t="shared" si="117"/>
        <v>#REF!</v>
      </c>
      <c r="I1291" s="1597" t="e">
        <f t="shared" si="118"/>
        <v>#REF!</v>
      </c>
      <c r="J1291" s="1644" t="e">
        <f t="shared" si="119"/>
        <v>#REF!</v>
      </c>
      <c r="M1291" s="1545"/>
      <c r="N1291" s="1545"/>
    </row>
    <row r="1292" spans="1:14" ht="15.5">
      <c r="A1292" s="1598">
        <v>24.422000000000001</v>
      </c>
      <c r="B1292" s="1599" t="s">
        <v>4542</v>
      </c>
      <c r="C1292" s="1643" t="e">
        <f>+SUMIF(#REF!,Final!A1292,#REF!)</f>
        <v>#REF!</v>
      </c>
      <c r="D1292" s="1597" t="e">
        <f>+SUMIF(#REF!,Final!A1292,#REF!)</f>
        <v>#REF!</v>
      </c>
      <c r="E1292" s="1643" t="e">
        <f>SUMIF(#REF!,Final!A1292,#REF!)</f>
        <v>#REF!</v>
      </c>
      <c r="F1292" s="1644" t="e">
        <f>SUMIF(#REF!,Final!A1292,#REF!)</f>
        <v>#REF!</v>
      </c>
      <c r="G1292" s="1597" t="e">
        <f t="shared" si="116"/>
        <v>#REF!</v>
      </c>
      <c r="H1292" s="1644" t="e">
        <f t="shared" si="117"/>
        <v>#REF!</v>
      </c>
      <c r="I1292" s="1597" t="e">
        <f t="shared" si="118"/>
        <v>#REF!</v>
      </c>
      <c r="J1292" s="1644" t="e">
        <f t="shared" si="119"/>
        <v>#REF!</v>
      </c>
      <c r="M1292" s="1545"/>
      <c r="N1292" s="1545"/>
    </row>
    <row r="1293" spans="1:14" ht="15.5">
      <c r="A1293" s="1690" t="s">
        <v>4963</v>
      </c>
      <c r="B1293" s="1703" t="s">
        <v>4964</v>
      </c>
      <c r="C1293" s="1643" t="e">
        <f>+SUMIF(#REF!,Final!A1293,#REF!)</f>
        <v>#REF!</v>
      </c>
      <c r="D1293" s="1597" t="e">
        <f>+SUMIF(#REF!,Final!A1293,#REF!)</f>
        <v>#REF!</v>
      </c>
      <c r="E1293" s="1643" t="e">
        <f>SUMIF(#REF!,Final!A1293,#REF!)</f>
        <v>#REF!</v>
      </c>
      <c r="F1293" s="1644" t="e">
        <f>SUMIF(#REF!,Final!A1293,#REF!)</f>
        <v>#REF!</v>
      </c>
      <c r="G1293" s="1597" t="e">
        <f t="shared" si="116"/>
        <v>#REF!</v>
      </c>
      <c r="H1293" s="1644" t="e">
        <f t="shared" si="117"/>
        <v>#REF!</v>
      </c>
      <c r="I1293" s="1597" t="e">
        <f t="shared" si="118"/>
        <v>#REF!</v>
      </c>
      <c r="J1293" s="1644" t="e">
        <f t="shared" si="119"/>
        <v>#REF!</v>
      </c>
      <c r="M1293" s="1545"/>
      <c r="N1293" s="1545"/>
    </row>
    <row r="1294" spans="1:14" ht="15.5">
      <c r="A1294" s="1791" t="s">
        <v>5247</v>
      </c>
      <c r="B1294" s="1792" t="s">
        <v>5248</v>
      </c>
      <c r="C1294" s="1643" t="e">
        <f>+SUMIF(#REF!,Final!A1294,#REF!)</f>
        <v>#REF!</v>
      </c>
      <c r="D1294" s="1597" t="e">
        <f>+SUMIF(#REF!,Final!A1294,#REF!)</f>
        <v>#REF!</v>
      </c>
      <c r="E1294" s="1643" t="e">
        <f>SUMIF(#REF!,Final!A1294,#REF!)</f>
        <v>#REF!</v>
      </c>
      <c r="F1294" s="1644" t="e">
        <f>SUMIF(#REF!,Final!A1294,#REF!)</f>
        <v>#REF!</v>
      </c>
      <c r="G1294" s="1597" t="e">
        <f t="shared" ref="G1294" si="124">C1294+E1294</f>
        <v>#REF!</v>
      </c>
      <c r="H1294" s="1644" t="e">
        <f t="shared" ref="H1294" si="125">D1294+F1294</f>
        <v>#REF!</v>
      </c>
      <c r="I1294" s="1597" t="e">
        <f t="shared" ref="I1294" si="126">IF(G1294&gt;H1294,G1294-H1294,0)</f>
        <v>#REF!</v>
      </c>
      <c r="J1294" s="1644" t="e">
        <f t="shared" ref="J1294" si="127">IF(H1294&gt;G1294,H1294-G1294,0)</f>
        <v>#REF!</v>
      </c>
      <c r="M1294" s="1545"/>
      <c r="N1294" s="1545"/>
    </row>
    <row r="1295" spans="1:14" ht="16.5">
      <c r="A1295" s="1691">
        <v>24.422999999999998</v>
      </c>
      <c r="B1295" s="1704" t="s">
        <v>4965</v>
      </c>
      <c r="C1295" s="1643" t="e">
        <f>+SUMIF(#REF!,Final!A1295,#REF!)</f>
        <v>#REF!</v>
      </c>
      <c r="D1295" s="1597" t="e">
        <f>+SUMIF(#REF!,Final!A1295,#REF!)</f>
        <v>#REF!</v>
      </c>
      <c r="E1295" s="1643" t="e">
        <f>SUMIF(#REF!,Final!A1295,#REF!)</f>
        <v>#REF!</v>
      </c>
      <c r="F1295" s="1644" t="e">
        <f>SUMIF(#REF!,Final!A1295,#REF!)</f>
        <v>#REF!</v>
      </c>
      <c r="G1295" s="1597" t="e">
        <f t="shared" si="116"/>
        <v>#REF!</v>
      </c>
      <c r="H1295" s="1644" t="e">
        <f t="shared" si="117"/>
        <v>#REF!</v>
      </c>
      <c r="I1295" s="1597" t="e">
        <f t="shared" si="118"/>
        <v>#REF!</v>
      </c>
      <c r="J1295" s="1644" t="e">
        <f t="shared" si="119"/>
        <v>#REF!</v>
      </c>
      <c r="M1295" s="1545"/>
      <c r="N1295" s="1545"/>
    </row>
    <row r="1296" spans="1:14" ht="16.5">
      <c r="A1296" s="1691">
        <v>24.423999999999999</v>
      </c>
      <c r="B1296" s="1704" t="s">
        <v>4966</v>
      </c>
      <c r="C1296" s="1643" t="e">
        <f>+SUMIF(#REF!,Final!A1296,#REF!)</f>
        <v>#REF!</v>
      </c>
      <c r="D1296" s="1597" t="e">
        <f>+SUMIF(#REF!,Final!A1296,#REF!)</f>
        <v>#REF!</v>
      </c>
      <c r="E1296" s="1643" t="e">
        <f>SUMIF(#REF!,Final!A1296,#REF!)</f>
        <v>#REF!</v>
      </c>
      <c r="F1296" s="1644" t="e">
        <f>SUMIF(#REF!,Final!A1296,#REF!)</f>
        <v>#REF!</v>
      </c>
      <c r="G1296" s="1597" t="e">
        <f t="shared" si="116"/>
        <v>#REF!</v>
      </c>
      <c r="H1296" s="1644" t="e">
        <f t="shared" si="117"/>
        <v>#REF!</v>
      </c>
      <c r="I1296" s="1597" t="e">
        <f t="shared" si="118"/>
        <v>#REF!</v>
      </c>
      <c r="J1296" s="1644" t="e">
        <f t="shared" si="119"/>
        <v>#REF!</v>
      </c>
      <c r="M1296" s="1545"/>
      <c r="N1296" s="1545"/>
    </row>
    <row r="1297" spans="1:93" ht="15.5">
      <c r="A1297" s="1598">
        <v>24.451000000000001</v>
      </c>
      <c r="B1297" s="1599" t="s">
        <v>2817</v>
      </c>
      <c r="C1297" s="1643" t="e">
        <f>+SUMIF(#REF!,Final!A1297,#REF!)</f>
        <v>#REF!</v>
      </c>
      <c r="D1297" s="1597" t="e">
        <f>+SUMIF(#REF!,Final!A1297,#REF!)</f>
        <v>#REF!</v>
      </c>
      <c r="E1297" s="1643" t="e">
        <f>SUMIF(#REF!,Final!A1297,#REF!)</f>
        <v>#REF!</v>
      </c>
      <c r="F1297" s="1644" t="e">
        <f>SUMIF(#REF!,Final!A1297,#REF!)</f>
        <v>#REF!</v>
      </c>
      <c r="G1297" s="1597" t="e">
        <f t="shared" si="116"/>
        <v>#REF!</v>
      </c>
      <c r="H1297" s="1644" t="e">
        <f t="shared" si="117"/>
        <v>#REF!</v>
      </c>
      <c r="I1297" s="1597" t="e">
        <f t="shared" si="118"/>
        <v>#REF!</v>
      </c>
      <c r="J1297" s="1644" t="e">
        <f t="shared" si="119"/>
        <v>#REF!</v>
      </c>
      <c r="M1297" s="1545"/>
      <c r="N1297" s="1545"/>
    </row>
    <row r="1298" spans="1:93" ht="15.5">
      <c r="A1298" s="1598">
        <v>24.452000000000002</v>
      </c>
      <c r="B1298" s="1599" t="s">
        <v>2812</v>
      </c>
      <c r="C1298" s="1643" t="e">
        <f>+SUMIF(#REF!,Final!A1298,#REF!)</f>
        <v>#REF!</v>
      </c>
      <c r="D1298" s="1597" t="e">
        <f>+SUMIF(#REF!,Final!A1298,#REF!)</f>
        <v>#REF!</v>
      </c>
      <c r="E1298" s="1643" t="e">
        <f>SUMIF(#REF!,Final!A1298,#REF!)</f>
        <v>#REF!</v>
      </c>
      <c r="F1298" s="1644" t="e">
        <f>SUMIF(#REF!,Final!A1298,#REF!)</f>
        <v>#REF!</v>
      </c>
      <c r="G1298" s="1597" t="e">
        <f t="shared" si="116"/>
        <v>#REF!</v>
      </c>
      <c r="H1298" s="1644" t="e">
        <f t="shared" si="117"/>
        <v>#REF!</v>
      </c>
      <c r="I1298" s="1597" t="e">
        <f t="shared" si="118"/>
        <v>#REF!</v>
      </c>
      <c r="J1298" s="1644" t="e">
        <f t="shared" si="119"/>
        <v>#REF!</v>
      </c>
      <c r="M1298" s="1545"/>
      <c r="N1298" s="1545"/>
    </row>
    <row r="1299" spans="1:93" s="1552" customFormat="1" ht="15.5">
      <c r="A1299" s="1598"/>
      <c r="B1299" s="1599" t="s">
        <v>1747</v>
      </c>
      <c r="C1299" s="1643" t="e">
        <f>+SUMIF(#REF!,Final!A1299,#REF!)</f>
        <v>#REF!</v>
      </c>
      <c r="D1299" s="1597" t="e">
        <f>+SUMIF(#REF!,Final!A1299,#REF!)</f>
        <v>#REF!</v>
      </c>
      <c r="E1299" s="1643" t="e">
        <f>SUMIF(#REF!,Final!A1299,#REF!)</f>
        <v>#REF!</v>
      </c>
      <c r="F1299" s="1644" t="e">
        <f>SUMIF(#REF!,Final!A1299,#REF!)</f>
        <v>#REF!</v>
      </c>
      <c r="G1299" s="1597" t="e">
        <f t="shared" si="116"/>
        <v>#REF!</v>
      </c>
      <c r="H1299" s="1644" t="e">
        <f t="shared" si="117"/>
        <v>#REF!</v>
      </c>
      <c r="I1299" s="1597" t="e">
        <f t="shared" si="118"/>
        <v>#REF!</v>
      </c>
      <c r="J1299" s="1644" t="e">
        <f t="shared" si="119"/>
        <v>#REF!</v>
      </c>
      <c r="K1299" s="1539"/>
      <c r="L1299" s="1539"/>
      <c r="M1299" s="1545"/>
      <c r="N1299" s="1545"/>
      <c r="O1299" s="1539"/>
      <c r="P1299" s="1539"/>
      <c r="Q1299" s="1539"/>
      <c r="R1299" s="1539"/>
      <c r="S1299" s="1539"/>
      <c r="T1299" s="1539"/>
      <c r="U1299" s="1539"/>
      <c r="V1299" s="1539"/>
      <c r="W1299" s="1539"/>
      <c r="X1299" s="1539"/>
      <c r="Y1299" s="1539"/>
      <c r="Z1299" s="1539"/>
      <c r="AA1299" s="1539"/>
      <c r="AB1299" s="1539"/>
      <c r="AC1299" s="1539"/>
      <c r="AD1299" s="1539"/>
      <c r="AE1299" s="1539"/>
      <c r="AF1299" s="1539"/>
      <c r="AG1299" s="1539"/>
      <c r="AH1299" s="1539"/>
      <c r="AI1299" s="1539"/>
      <c r="AJ1299" s="1539"/>
      <c r="AK1299" s="1539"/>
      <c r="AL1299" s="1539"/>
      <c r="AM1299" s="1539"/>
      <c r="AN1299" s="1539"/>
      <c r="AO1299" s="1539"/>
      <c r="AP1299" s="1539"/>
      <c r="AQ1299" s="1539"/>
      <c r="AR1299" s="1539"/>
      <c r="AS1299" s="1539"/>
      <c r="AT1299" s="1539"/>
      <c r="AU1299" s="1539"/>
      <c r="AV1299" s="1539"/>
      <c r="AW1299" s="1539"/>
      <c r="AX1299" s="1539"/>
      <c r="AY1299" s="1539"/>
      <c r="AZ1299" s="1539"/>
      <c r="BA1299" s="1539"/>
      <c r="BB1299" s="1539"/>
      <c r="BC1299" s="1539"/>
      <c r="BD1299" s="1539"/>
      <c r="BE1299" s="1539"/>
      <c r="BF1299" s="1539"/>
      <c r="BG1299" s="1539"/>
      <c r="BH1299" s="1539"/>
      <c r="BI1299" s="1539"/>
      <c r="BJ1299" s="1539"/>
      <c r="BK1299" s="1539"/>
      <c r="BL1299" s="1539"/>
      <c r="BM1299" s="1539"/>
      <c r="BN1299" s="1539"/>
      <c r="BO1299" s="1539"/>
      <c r="BP1299" s="1539"/>
      <c r="BQ1299" s="1539"/>
      <c r="BR1299" s="1539"/>
      <c r="BS1299" s="1539"/>
      <c r="BT1299" s="1539"/>
      <c r="BU1299" s="1539"/>
      <c r="BV1299" s="1539"/>
      <c r="BW1299" s="1539"/>
      <c r="BX1299" s="1539"/>
      <c r="BY1299" s="1539"/>
      <c r="BZ1299" s="1539"/>
      <c r="CA1299" s="1539"/>
      <c r="CB1299" s="1539"/>
      <c r="CC1299" s="1539"/>
      <c r="CD1299" s="1539"/>
      <c r="CE1299" s="1539"/>
      <c r="CF1299" s="1539"/>
      <c r="CG1299" s="1539"/>
      <c r="CH1299" s="1539"/>
      <c r="CI1299" s="1539"/>
      <c r="CJ1299" s="1539"/>
      <c r="CK1299" s="1539"/>
      <c r="CL1299" s="1539"/>
      <c r="CM1299" s="1539"/>
      <c r="CN1299" s="1539"/>
      <c r="CO1299" s="1539"/>
    </row>
    <row r="1300" spans="1:93" s="1552" customFormat="1" ht="15.5">
      <c r="A1300" s="1598"/>
      <c r="B1300" s="1599" t="s">
        <v>1760</v>
      </c>
      <c r="C1300" s="1643" t="e">
        <f>+SUMIF(#REF!,Final!A1300,#REF!)</f>
        <v>#REF!</v>
      </c>
      <c r="D1300" s="1597" t="e">
        <f>+SUMIF(#REF!,Final!A1300,#REF!)</f>
        <v>#REF!</v>
      </c>
      <c r="E1300" s="1643" t="e">
        <f>SUMIF(#REF!,Final!A1300,#REF!)</f>
        <v>#REF!</v>
      </c>
      <c r="F1300" s="1644" t="e">
        <f>SUMIF(#REF!,Final!A1300,#REF!)</f>
        <v>#REF!</v>
      </c>
      <c r="G1300" s="1597" t="e">
        <f t="shared" si="116"/>
        <v>#REF!</v>
      </c>
      <c r="H1300" s="1644" t="e">
        <f t="shared" si="117"/>
        <v>#REF!</v>
      </c>
      <c r="I1300" s="1597" t="e">
        <f t="shared" si="118"/>
        <v>#REF!</v>
      </c>
      <c r="J1300" s="1644" t="e">
        <f t="shared" si="119"/>
        <v>#REF!</v>
      </c>
      <c r="K1300" s="1539"/>
      <c r="L1300" s="1539"/>
      <c r="M1300" s="1545"/>
      <c r="N1300" s="1545"/>
      <c r="O1300" s="1539"/>
      <c r="P1300" s="1539"/>
      <c r="Q1300" s="1539"/>
      <c r="R1300" s="1539"/>
      <c r="S1300" s="1539"/>
      <c r="T1300" s="1539"/>
      <c r="U1300" s="1539"/>
      <c r="V1300" s="1539"/>
      <c r="W1300" s="1539"/>
      <c r="X1300" s="1539"/>
      <c r="Y1300" s="1539"/>
      <c r="Z1300" s="1539"/>
      <c r="AA1300" s="1539"/>
      <c r="AB1300" s="1539"/>
      <c r="AC1300" s="1539"/>
      <c r="AD1300" s="1539"/>
      <c r="AE1300" s="1539"/>
      <c r="AF1300" s="1539"/>
      <c r="AG1300" s="1539"/>
      <c r="AH1300" s="1539"/>
      <c r="AI1300" s="1539"/>
      <c r="AJ1300" s="1539"/>
      <c r="AK1300" s="1539"/>
      <c r="AL1300" s="1539"/>
      <c r="AM1300" s="1539"/>
      <c r="AN1300" s="1539"/>
      <c r="AO1300" s="1539"/>
      <c r="AP1300" s="1539"/>
      <c r="AQ1300" s="1539"/>
      <c r="AR1300" s="1539"/>
      <c r="AS1300" s="1539"/>
      <c r="AT1300" s="1539"/>
      <c r="AU1300" s="1539"/>
      <c r="AV1300" s="1539"/>
      <c r="AW1300" s="1539"/>
      <c r="AX1300" s="1539"/>
      <c r="AY1300" s="1539"/>
      <c r="AZ1300" s="1539"/>
      <c r="BA1300" s="1539"/>
      <c r="BB1300" s="1539"/>
      <c r="BC1300" s="1539"/>
      <c r="BD1300" s="1539"/>
      <c r="BE1300" s="1539"/>
      <c r="BF1300" s="1539"/>
      <c r="BG1300" s="1539"/>
      <c r="BH1300" s="1539"/>
      <c r="BI1300" s="1539"/>
      <c r="BJ1300" s="1539"/>
      <c r="BK1300" s="1539"/>
      <c r="BL1300" s="1539"/>
      <c r="BM1300" s="1539"/>
      <c r="BN1300" s="1539"/>
      <c r="BO1300" s="1539"/>
      <c r="BP1300" s="1539"/>
      <c r="BQ1300" s="1539"/>
      <c r="BR1300" s="1539"/>
      <c r="BS1300" s="1539"/>
      <c r="BT1300" s="1539"/>
      <c r="BU1300" s="1539"/>
      <c r="BV1300" s="1539"/>
      <c r="BW1300" s="1539"/>
      <c r="BX1300" s="1539"/>
      <c r="BY1300" s="1539"/>
      <c r="BZ1300" s="1539"/>
      <c r="CA1300" s="1539"/>
      <c r="CB1300" s="1539"/>
      <c r="CC1300" s="1539"/>
      <c r="CD1300" s="1539"/>
      <c r="CE1300" s="1539"/>
      <c r="CF1300" s="1539"/>
      <c r="CG1300" s="1539"/>
      <c r="CH1300" s="1539"/>
      <c r="CI1300" s="1539"/>
      <c r="CJ1300" s="1539"/>
      <c r="CK1300" s="1539"/>
      <c r="CL1300" s="1539"/>
      <c r="CM1300" s="1539"/>
      <c r="CN1300" s="1539"/>
      <c r="CO1300" s="1539"/>
    </row>
    <row r="1301" spans="1:93" s="1552" customFormat="1" ht="15.5">
      <c r="A1301" s="1598" t="s">
        <v>3385</v>
      </c>
      <c r="B1301" s="1599" t="s">
        <v>2818</v>
      </c>
      <c r="C1301" s="1643" t="e">
        <f>+SUMIF(#REF!,Final!A1301,#REF!)</f>
        <v>#REF!</v>
      </c>
      <c r="D1301" s="1597" t="e">
        <f>+SUMIF(#REF!,Final!A1301,#REF!)</f>
        <v>#REF!</v>
      </c>
      <c r="E1301" s="1643" t="e">
        <f>SUMIF(#REF!,Final!A1301,#REF!)</f>
        <v>#REF!</v>
      </c>
      <c r="F1301" s="1644" t="e">
        <f>SUMIF(#REF!,Final!A1301,#REF!)</f>
        <v>#REF!</v>
      </c>
      <c r="G1301" s="1597" t="e">
        <f t="shared" si="116"/>
        <v>#REF!</v>
      </c>
      <c r="H1301" s="1644" t="e">
        <f t="shared" si="117"/>
        <v>#REF!</v>
      </c>
      <c r="I1301" s="1597" t="e">
        <f t="shared" si="118"/>
        <v>#REF!</v>
      </c>
      <c r="J1301" s="1644" t="e">
        <f t="shared" si="119"/>
        <v>#REF!</v>
      </c>
      <c r="K1301" s="1539"/>
      <c r="L1301" s="1539"/>
      <c r="M1301" s="1545"/>
      <c r="N1301" s="1545"/>
      <c r="O1301" s="1539"/>
      <c r="P1301" s="1539"/>
      <c r="Q1301" s="1539"/>
      <c r="R1301" s="1539"/>
      <c r="S1301" s="1539"/>
      <c r="T1301" s="1539"/>
      <c r="U1301" s="1539"/>
      <c r="V1301" s="1539"/>
      <c r="W1301" s="1539"/>
      <c r="X1301" s="1539"/>
      <c r="Y1301" s="1539"/>
      <c r="Z1301" s="1539"/>
      <c r="AA1301" s="1539"/>
      <c r="AB1301" s="1539"/>
      <c r="AC1301" s="1539"/>
      <c r="AD1301" s="1539"/>
      <c r="AE1301" s="1539"/>
      <c r="AF1301" s="1539"/>
      <c r="AG1301" s="1539"/>
      <c r="AH1301" s="1539"/>
      <c r="AI1301" s="1539"/>
      <c r="AJ1301" s="1539"/>
      <c r="AK1301" s="1539"/>
      <c r="AL1301" s="1539"/>
      <c r="AM1301" s="1539"/>
      <c r="AN1301" s="1539"/>
      <c r="AO1301" s="1539"/>
      <c r="AP1301" s="1539"/>
      <c r="AQ1301" s="1539"/>
      <c r="AR1301" s="1539"/>
      <c r="AS1301" s="1539"/>
      <c r="AT1301" s="1539"/>
      <c r="AU1301" s="1539"/>
      <c r="AV1301" s="1539"/>
      <c r="AW1301" s="1539"/>
      <c r="AX1301" s="1539"/>
      <c r="AY1301" s="1539"/>
      <c r="AZ1301" s="1539"/>
      <c r="BA1301" s="1539"/>
      <c r="BB1301" s="1539"/>
      <c r="BC1301" s="1539"/>
      <c r="BD1301" s="1539"/>
      <c r="BE1301" s="1539"/>
      <c r="BF1301" s="1539"/>
      <c r="BG1301" s="1539"/>
      <c r="BH1301" s="1539"/>
      <c r="BI1301" s="1539"/>
      <c r="BJ1301" s="1539"/>
      <c r="BK1301" s="1539"/>
      <c r="BL1301" s="1539"/>
      <c r="BM1301" s="1539"/>
      <c r="BN1301" s="1539"/>
      <c r="BO1301" s="1539"/>
      <c r="BP1301" s="1539"/>
      <c r="BQ1301" s="1539"/>
      <c r="BR1301" s="1539"/>
      <c r="BS1301" s="1539"/>
      <c r="BT1301" s="1539"/>
      <c r="BU1301" s="1539"/>
      <c r="BV1301" s="1539"/>
      <c r="BW1301" s="1539"/>
      <c r="BX1301" s="1539"/>
      <c r="BY1301" s="1539"/>
      <c r="BZ1301" s="1539"/>
      <c r="CA1301" s="1539"/>
      <c r="CB1301" s="1539"/>
      <c r="CC1301" s="1539"/>
      <c r="CD1301" s="1539"/>
      <c r="CE1301" s="1539"/>
      <c r="CF1301" s="1539"/>
      <c r="CG1301" s="1539"/>
      <c r="CH1301" s="1539"/>
      <c r="CI1301" s="1539"/>
      <c r="CJ1301" s="1539"/>
      <c r="CK1301" s="1539"/>
      <c r="CL1301" s="1539"/>
      <c r="CM1301" s="1539"/>
      <c r="CN1301" s="1539"/>
      <c r="CO1301" s="1539"/>
    </row>
    <row r="1302" spans="1:93" s="1542" customFormat="1" ht="15.5">
      <c r="A1302" s="1598" t="s">
        <v>544</v>
      </c>
      <c r="B1302" s="1599" t="s">
        <v>2822</v>
      </c>
      <c r="C1302" s="1643" t="e">
        <f>+SUMIF(#REF!,Final!A1302,#REF!)</f>
        <v>#REF!</v>
      </c>
      <c r="D1302" s="1597" t="e">
        <f>+SUMIF(#REF!,Final!A1302,#REF!)</f>
        <v>#REF!</v>
      </c>
      <c r="E1302" s="1643" t="e">
        <f>SUMIF(#REF!,Final!A1302,#REF!)</f>
        <v>#REF!</v>
      </c>
      <c r="F1302" s="1644" t="e">
        <f>SUMIF(#REF!,Final!A1302,#REF!)</f>
        <v>#REF!</v>
      </c>
      <c r="G1302" s="1597" t="e">
        <f t="shared" si="116"/>
        <v>#REF!</v>
      </c>
      <c r="H1302" s="1644" t="e">
        <f t="shared" si="117"/>
        <v>#REF!</v>
      </c>
      <c r="I1302" s="1597" t="e">
        <f t="shared" si="118"/>
        <v>#REF!</v>
      </c>
      <c r="J1302" s="1644" t="e">
        <f t="shared" si="119"/>
        <v>#REF!</v>
      </c>
      <c r="K1302" s="1539"/>
      <c r="L1302" s="1539"/>
      <c r="M1302" s="1545"/>
      <c r="N1302" s="1545"/>
      <c r="O1302" s="1539"/>
      <c r="P1302" s="1539"/>
      <c r="Q1302" s="1539"/>
      <c r="R1302" s="1539"/>
      <c r="S1302" s="1539"/>
      <c r="T1302" s="1539"/>
      <c r="U1302" s="1539"/>
      <c r="V1302" s="1539"/>
      <c r="W1302" s="1539"/>
      <c r="X1302" s="1539"/>
      <c r="Y1302" s="1539"/>
      <c r="Z1302" s="1539"/>
      <c r="AA1302" s="1539"/>
      <c r="AB1302" s="1539"/>
      <c r="AC1302" s="1539"/>
      <c r="AD1302" s="1539"/>
      <c r="AE1302" s="1539"/>
      <c r="AF1302" s="1539"/>
      <c r="AG1302" s="1539"/>
      <c r="AH1302" s="1539"/>
      <c r="AI1302" s="1539"/>
      <c r="AJ1302" s="1539"/>
      <c r="AK1302" s="1539"/>
      <c r="AL1302" s="1539"/>
      <c r="AM1302" s="1539"/>
      <c r="AN1302" s="1539"/>
      <c r="AO1302" s="1539"/>
      <c r="AP1302" s="1539"/>
      <c r="AQ1302" s="1539"/>
      <c r="AR1302" s="1539"/>
      <c r="AS1302" s="1539"/>
      <c r="AT1302" s="1539"/>
      <c r="AU1302" s="1539"/>
      <c r="AV1302" s="1539"/>
      <c r="AW1302" s="1539"/>
      <c r="AX1302" s="1539"/>
      <c r="AY1302" s="1539"/>
      <c r="AZ1302" s="1539"/>
      <c r="BA1302" s="1539"/>
      <c r="BB1302" s="1539"/>
      <c r="BC1302" s="1539"/>
      <c r="BD1302" s="1539"/>
      <c r="BE1302" s="1539"/>
      <c r="BF1302" s="1539"/>
      <c r="BG1302" s="1539"/>
      <c r="BH1302" s="1539"/>
      <c r="BI1302" s="1539"/>
      <c r="BJ1302" s="1539"/>
      <c r="BK1302" s="1539"/>
      <c r="BL1302" s="1539"/>
      <c r="BM1302" s="1539"/>
      <c r="BN1302" s="1539"/>
      <c r="BO1302" s="1539"/>
      <c r="BP1302" s="1539"/>
      <c r="BQ1302" s="1539"/>
      <c r="BR1302" s="1539"/>
      <c r="BS1302" s="1539"/>
      <c r="BT1302" s="1539"/>
      <c r="BU1302" s="1539"/>
      <c r="BV1302" s="1539"/>
      <c r="BW1302" s="1539"/>
      <c r="BX1302" s="1539"/>
      <c r="BY1302" s="1539"/>
      <c r="BZ1302" s="1539"/>
      <c r="CA1302" s="1539"/>
      <c r="CB1302" s="1539"/>
      <c r="CC1302" s="1539"/>
      <c r="CD1302" s="1539"/>
      <c r="CE1302" s="1539"/>
      <c r="CF1302" s="1539"/>
      <c r="CG1302" s="1539"/>
      <c r="CH1302" s="1539"/>
      <c r="CI1302" s="1539"/>
      <c r="CJ1302" s="1539"/>
      <c r="CK1302" s="1539"/>
      <c r="CL1302" s="1539"/>
      <c r="CM1302" s="1539"/>
      <c r="CN1302" s="1539"/>
      <c r="CO1302" s="1539"/>
    </row>
    <row r="1303" spans="1:93" s="1542" customFormat="1" ht="15.5">
      <c r="A1303" s="1598" t="s">
        <v>1762</v>
      </c>
      <c r="B1303" s="1599" t="s">
        <v>2823</v>
      </c>
      <c r="C1303" s="1643" t="e">
        <f>+SUMIF(#REF!,Final!A1303,#REF!)</f>
        <v>#REF!</v>
      </c>
      <c r="D1303" s="1597" t="e">
        <f>+SUMIF(#REF!,Final!A1303,#REF!)</f>
        <v>#REF!</v>
      </c>
      <c r="E1303" s="1643" t="e">
        <f>SUMIF(#REF!,Final!A1303,#REF!)</f>
        <v>#REF!</v>
      </c>
      <c r="F1303" s="1644" t="e">
        <f>SUMIF(#REF!,Final!A1303,#REF!)</f>
        <v>#REF!</v>
      </c>
      <c r="G1303" s="1597" t="e">
        <f t="shared" si="116"/>
        <v>#REF!</v>
      </c>
      <c r="H1303" s="1644" t="e">
        <f t="shared" si="117"/>
        <v>#REF!</v>
      </c>
      <c r="I1303" s="1597" t="e">
        <f t="shared" si="118"/>
        <v>#REF!</v>
      </c>
      <c r="J1303" s="1644" t="e">
        <f t="shared" si="119"/>
        <v>#REF!</v>
      </c>
      <c r="K1303" s="1539"/>
      <c r="L1303" s="1539"/>
      <c r="M1303" s="1545"/>
      <c r="N1303" s="1545"/>
      <c r="O1303" s="1539"/>
      <c r="P1303" s="1539"/>
      <c r="Q1303" s="1539"/>
      <c r="R1303" s="1539"/>
      <c r="S1303" s="1539"/>
      <c r="T1303" s="1539"/>
      <c r="U1303" s="1539"/>
      <c r="V1303" s="1539"/>
      <c r="W1303" s="1539"/>
      <c r="X1303" s="1539"/>
      <c r="Y1303" s="1539"/>
      <c r="Z1303" s="1539"/>
      <c r="AA1303" s="1539"/>
      <c r="AB1303" s="1539"/>
      <c r="AC1303" s="1539"/>
      <c r="AD1303" s="1539"/>
      <c r="AE1303" s="1539"/>
      <c r="AF1303" s="1539"/>
      <c r="AG1303" s="1539"/>
      <c r="AH1303" s="1539"/>
      <c r="AI1303" s="1539"/>
      <c r="AJ1303" s="1539"/>
      <c r="AK1303" s="1539"/>
      <c r="AL1303" s="1539"/>
      <c r="AM1303" s="1539"/>
      <c r="AN1303" s="1539"/>
      <c r="AO1303" s="1539"/>
      <c r="AP1303" s="1539"/>
      <c r="AQ1303" s="1539"/>
      <c r="AR1303" s="1539"/>
      <c r="AS1303" s="1539"/>
      <c r="AT1303" s="1539"/>
      <c r="AU1303" s="1539"/>
      <c r="AV1303" s="1539"/>
      <c r="AW1303" s="1539"/>
      <c r="AX1303" s="1539"/>
      <c r="AY1303" s="1539"/>
      <c r="AZ1303" s="1539"/>
      <c r="BA1303" s="1539"/>
      <c r="BB1303" s="1539"/>
      <c r="BC1303" s="1539"/>
      <c r="BD1303" s="1539"/>
      <c r="BE1303" s="1539"/>
      <c r="BF1303" s="1539"/>
      <c r="BG1303" s="1539"/>
      <c r="BH1303" s="1539"/>
      <c r="BI1303" s="1539"/>
      <c r="BJ1303" s="1539"/>
      <c r="BK1303" s="1539"/>
      <c r="BL1303" s="1539"/>
      <c r="BM1303" s="1539"/>
      <c r="BN1303" s="1539"/>
      <c r="BO1303" s="1539"/>
      <c r="BP1303" s="1539"/>
      <c r="BQ1303" s="1539"/>
      <c r="BR1303" s="1539"/>
      <c r="BS1303" s="1539"/>
      <c r="BT1303" s="1539"/>
      <c r="BU1303" s="1539"/>
      <c r="BV1303" s="1539"/>
      <c r="BW1303" s="1539"/>
      <c r="BX1303" s="1539"/>
      <c r="BY1303" s="1539"/>
      <c r="BZ1303" s="1539"/>
      <c r="CA1303" s="1539"/>
      <c r="CB1303" s="1539"/>
      <c r="CC1303" s="1539"/>
      <c r="CD1303" s="1539"/>
      <c r="CE1303" s="1539"/>
      <c r="CF1303" s="1539"/>
      <c r="CG1303" s="1539"/>
      <c r="CH1303" s="1539"/>
      <c r="CI1303" s="1539"/>
      <c r="CJ1303" s="1539"/>
      <c r="CK1303" s="1539"/>
      <c r="CL1303" s="1539"/>
      <c r="CM1303" s="1539"/>
      <c r="CN1303" s="1539"/>
      <c r="CO1303" s="1539"/>
    </row>
    <row r="1304" spans="1:93" ht="15.5">
      <c r="A1304" s="1598">
        <v>24.501000000000001</v>
      </c>
      <c r="B1304" s="1599" t="s">
        <v>2824</v>
      </c>
      <c r="C1304" s="1643" t="e">
        <f>+SUMIF(#REF!,Final!A1304,#REF!)</f>
        <v>#REF!</v>
      </c>
      <c r="D1304" s="1597" t="e">
        <f>+SUMIF(#REF!,Final!A1304,#REF!)</f>
        <v>#REF!</v>
      </c>
      <c r="E1304" s="1643" t="e">
        <f>SUMIF(#REF!,Final!A1304,#REF!)</f>
        <v>#REF!</v>
      </c>
      <c r="F1304" s="1644" t="e">
        <f>SUMIF(#REF!,Final!A1304,#REF!)</f>
        <v>#REF!</v>
      </c>
      <c r="G1304" s="1597" t="e">
        <f t="shared" si="116"/>
        <v>#REF!</v>
      </c>
      <c r="H1304" s="1644" t="e">
        <f t="shared" si="117"/>
        <v>#REF!</v>
      </c>
      <c r="I1304" s="1597" t="e">
        <f t="shared" si="118"/>
        <v>#REF!</v>
      </c>
      <c r="J1304" s="1644" t="e">
        <f t="shared" si="119"/>
        <v>#REF!</v>
      </c>
      <c r="M1304" s="1545"/>
      <c r="N1304" s="1545"/>
    </row>
    <row r="1305" spans="1:93" s="1552" customFormat="1" ht="15.5">
      <c r="A1305" s="1598"/>
      <c r="B1305" s="1599" t="s">
        <v>1747</v>
      </c>
      <c r="C1305" s="1643" t="e">
        <f>+SUMIF(#REF!,Final!A1305,#REF!)</f>
        <v>#REF!</v>
      </c>
      <c r="D1305" s="1597" t="e">
        <f>+SUMIF(#REF!,Final!A1305,#REF!)</f>
        <v>#REF!</v>
      </c>
      <c r="E1305" s="1643" t="e">
        <f>SUMIF(#REF!,Final!A1305,#REF!)</f>
        <v>#REF!</v>
      </c>
      <c r="F1305" s="1644" t="e">
        <f>SUMIF(#REF!,Final!A1305,#REF!)</f>
        <v>#REF!</v>
      </c>
      <c r="G1305" s="1597" t="e">
        <f t="shared" si="116"/>
        <v>#REF!</v>
      </c>
      <c r="H1305" s="1644" t="e">
        <f t="shared" si="117"/>
        <v>#REF!</v>
      </c>
      <c r="I1305" s="1597" t="e">
        <f t="shared" si="118"/>
        <v>#REF!</v>
      </c>
      <c r="J1305" s="1644" t="e">
        <f t="shared" si="119"/>
        <v>#REF!</v>
      </c>
      <c r="K1305" s="1539"/>
      <c r="L1305" s="1539"/>
      <c r="M1305" s="1545"/>
      <c r="N1305" s="1545"/>
      <c r="O1305" s="1539"/>
      <c r="P1305" s="1539"/>
      <c r="Q1305" s="1539"/>
      <c r="R1305" s="1539"/>
      <c r="S1305" s="1539"/>
      <c r="T1305" s="1539"/>
      <c r="U1305" s="1539"/>
      <c r="V1305" s="1539"/>
      <c r="W1305" s="1539"/>
      <c r="X1305" s="1539"/>
      <c r="Y1305" s="1539"/>
      <c r="Z1305" s="1539"/>
      <c r="AA1305" s="1539"/>
      <c r="AB1305" s="1539"/>
      <c r="AC1305" s="1539"/>
      <c r="AD1305" s="1539"/>
      <c r="AE1305" s="1539"/>
      <c r="AF1305" s="1539"/>
      <c r="AG1305" s="1539"/>
      <c r="AH1305" s="1539"/>
      <c r="AI1305" s="1539"/>
      <c r="AJ1305" s="1539"/>
      <c r="AK1305" s="1539"/>
      <c r="AL1305" s="1539"/>
      <c r="AM1305" s="1539"/>
      <c r="AN1305" s="1539"/>
      <c r="AO1305" s="1539"/>
      <c r="AP1305" s="1539"/>
      <c r="AQ1305" s="1539"/>
      <c r="AR1305" s="1539"/>
      <c r="AS1305" s="1539"/>
      <c r="AT1305" s="1539"/>
      <c r="AU1305" s="1539"/>
      <c r="AV1305" s="1539"/>
      <c r="AW1305" s="1539"/>
      <c r="AX1305" s="1539"/>
      <c r="AY1305" s="1539"/>
      <c r="AZ1305" s="1539"/>
      <c r="BA1305" s="1539"/>
      <c r="BB1305" s="1539"/>
      <c r="BC1305" s="1539"/>
      <c r="BD1305" s="1539"/>
      <c r="BE1305" s="1539"/>
      <c r="BF1305" s="1539"/>
      <c r="BG1305" s="1539"/>
      <c r="BH1305" s="1539"/>
      <c r="BI1305" s="1539"/>
      <c r="BJ1305" s="1539"/>
      <c r="BK1305" s="1539"/>
      <c r="BL1305" s="1539"/>
      <c r="BM1305" s="1539"/>
      <c r="BN1305" s="1539"/>
      <c r="BO1305" s="1539"/>
      <c r="BP1305" s="1539"/>
      <c r="BQ1305" s="1539"/>
      <c r="BR1305" s="1539"/>
      <c r="BS1305" s="1539"/>
      <c r="BT1305" s="1539"/>
      <c r="BU1305" s="1539"/>
      <c r="BV1305" s="1539"/>
      <c r="BW1305" s="1539"/>
      <c r="BX1305" s="1539"/>
      <c r="BY1305" s="1539"/>
      <c r="BZ1305" s="1539"/>
      <c r="CA1305" s="1539"/>
      <c r="CB1305" s="1539"/>
      <c r="CC1305" s="1539"/>
      <c r="CD1305" s="1539"/>
      <c r="CE1305" s="1539"/>
      <c r="CF1305" s="1539"/>
      <c r="CG1305" s="1539"/>
      <c r="CH1305" s="1539"/>
      <c r="CI1305" s="1539"/>
      <c r="CJ1305" s="1539"/>
      <c r="CK1305" s="1539"/>
      <c r="CL1305" s="1539"/>
      <c r="CM1305" s="1539"/>
      <c r="CN1305" s="1539"/>
      <c r="CO1305" s="1539"/>
    </row>
    <row r="1306" spans="1:93" s="1552" customFormat="1" ht="15.5">
      <c r="A1306" s="1598" t="s">
        <v>3386</v>
      </c>
      <c r="B1306" s="1599" t="s">
        <v>1760</v>
      </c>
      <c r="C1306" s="1643" t="e">
        <f>+SUMIF(#REF!,Final!A1306,#REF!)</f>
        <v>#REF!</v>
      </c>
      <c r="D1306" s="1597" t="e">
        <f>+SUMIF(#REF!,Final!A1306,#REF!)</f>
        <v>#REF!</v>
      </c>
      <c r="E1306" s="1643" t="e">
        <f>SUMIF(#REF!,Final!A1306,#REF!)</f>
        <v>#REF!</v>
      </c>
      <c r="F1306" s="1644" t="e">
        <f>SUMIF(#REF!,Final!A1306,#REF!)</f>
        <v>#REF!</v>
      </c>
      <c r="G1306" s="1597" t="e">
        <f t="shared" si="116"/>
        <v>#REF!</v>
      </c>
      <c r="H1306" s="1644" t="e">
        <f t="shared" si="117"/>
        <v>#REF!</v>
      </c>
      <c r="I1306" s="1597" t="e">
        <f t="shared" si="118"/>
        <v>#REF!</v>
      </c>
      <c r="J1306" s="1644" t="e">
        <f t="shared" si="119"/>
        <v>#REF!</v>
      </c>
      <c r="K1306" s="1539"/>
      <c r="L1306" s="1539"/>
      <c r="M1306" s="1545"/>
      <c r="N1306" s="1545"/>
      <c r="O1306" s="1539"/>
      <c r="P1306" s="1539"/>
      <c r="Q1306" s="1539"/>
      <c r="R1306" s="1539"/>
      <c r="S1306" s="1539"/>
      <c r="T1306" s="1539"/>
      <c r="U1306" s="1539"/>
      <c r="V1306" s="1539"/>
      <c r="W1306" s="1539"/>
      <c r="X1306" s="1539"/>
      <c r="Y1306" s="1539"/>
      <c r="Z1306" s="1539"/>
      <c r="AA1306" s="1539"/>
      <c r="AB1306" s="1539"/>
      <c r="AC1306" s="1539"/>
      <c r="AD1306" s="1539"/>
      <c r="AE1306" s="1539"/>
      <c r="AF1306" s="1539"/>
      <c r="AG1306" s="1539"/>
      <c r="AH1306" s="1539"/>
      <c r="AI1306" s="1539"/>
      <c r="AJ1306" s="1539"/>
      <c r="AK1306" s="1539"/>
      <c r="AL1306" s="1539"/>
      <c r="AM1306" s="1539"/>
      <c r="AN1306" s="1539"/>
      <c r="AO1306" s="1539"/>
      <c r="AP1306" s="1539"/>
      <c r="AQ1306" s="1539"/>
      <c r="AR1306" s="1539"/>
      <c r="AS1306" s="1539"/>
      <c r="AT1306" s="1539"/>
      <c r="AU1306" s="1539"/>
      <c r="AV1306" s="1539"/>
      <c r="AW1306" s="1539"/>
      <c r="AX1306" s="1539"/>
      <c r="AY1306" s="1539"/>
      <c r="AZ1306" s="1539"/>
      <c r="BA1306" s="1539"/>
      <c r="BB1306" s="1539"/>
      <c r="BC1306" s="1539"/>
      <c r="BD1306" s="1539"/>
      <c r="BE1306" s="1539"/>
      <c r="BF1306" s="1539"/>
      <c r="BG1306" s="1539"/>
      <c r="BH1306" s="1539"/>
      <c r="BI1306" s="1539"/>
      <c r="BJ1306" s="1539"/>
      <c r="BK1306" s="1539"/>
      <c r="BL1306" s="1539"/>
      <c r="BM1306" s="1539"/>
      <c r="BN1306" s="1539"/>
      <c r="BO1306" s="1539"/>
      <c r="BP1306" s="1539"/>
      <c r="BQ1306" s="1539"/>
      <c r="BR1306" s="1539"/>
      <c r="BS1306" s="1539"/>
      <c r="BT1306" s="1539"/>
      <c r="BU1306" s="1539"/>
      <c r="BV1306" s="1539"/>
      <c r="BW1306" s="1539"/>
      <c r="BX1306" s="1539"/>
      <c r="BY1306" s="1539"/>
      <c r="BZ1306" s="1539"/>
      <c r="CA1306" s="1539"/>
      <c r="CB1306" s="1539"/>
      <c r="CC1306" s="1539"/>
      <c r="CD1306" s="1539"/>
      <c r="CE1306" s="1539"/>
      <c r="CF1306" s="1539"/>
      <c r="CG1306" s="1539"/>
      <c r="CH1306" s="1539"/>
      <c r="CI1306" s="1539"/>
      <c r="CJ1306" s="1539"/>
      <c r="CK1306" s="1539"/>
      <c r="CL1306" s="1539"/>
      <c r="CM1306" s="1539"/>
      <c r="CN1306" s="1539"/>
      <c r="CO1306" s="1539"/>
    </row>
    <row r="1307" spans="1:93" s="1542" customFormat="1" ht="15.5">
      <c r="A1307" s="1598" t="s">
        <v>1768</v>
      </c>
      <c r="B1307" s="1599" t="s">
        <v>2825</v>
      </c>
      <c r="C1307" s="1643" t="e">
        <f>+SUMIF(#REF!,Final!A1307,#REF!)</f>
        <v>#REF!</v>
      </c>
      <c r="D1307" s="1597" t="e">
        <f>+SUMIF(#REF!,Final!A1307,#REF!)</f>
        <v>#REF!</v>
      </c>
      <c r="E1307" s="1643" t="e">
        <f>SUMIF(#REF!,Final!A1307,#REF!)</f>
        <v>#REF!</v>
      </c>
      <c r="F1307" s="1644" t="e">
        <f>SUMIF(#REF!,Final!A1307,#REF!)</f>
        <v>#REF!</v>
      </c>
      <c r="G1307" s="1597" t="e">
        <f t="shared" ref="G1307:G1370" si="128">C1307+E1307</f>
        <v>#REF!</v>
      </c>
      <c r="H1307" s="1644" t="e">
        <f t="shared" ref="H1307:H1370" si="129">D1307+F1307</f>
        <v>#REF!</v>
      </c>
      <c r="I1307" s="1597" t="e">
        <f t="shared" ref="I1307:I1370" si="130">IF(G1307&gt;H1307,G1307-H1307,0)</f>
        <v>#REF!</v>
      </c>
      <c r="J1307" s="1644" t="e">
        <f t="shared" ref="J1307:J1370" si="131">IF(H1307&gt;G1307,H1307-G1307,0)</f>
        <v>#REF!</v>
      </c>
      <c r="K1307" s="1539"/>
      <c r="L1307" s="1539"/>
      <c r="M1307" s="1545"/>
      <c r="N1307" s="1545"/>
      <c r="O1307" s="1539"/>
      <c r="P1307" s="1539"/>
      <c r="Q1307" s="1539"/>
      <c r="R1307" s="1539"/>
      <c r="S1307" s="1539"/>
      <c r="T1307" s="1539"/>
      <c r="U1307" s="1539"/>
      <c r="V1307" s="1539"/>
      <c r="W1307" s="1539"/>
      <c r="X1307" s="1539"/>
      <c r="Y1307" s="1539"/>
      <c r="Z1307" s="1539"/>
      <c r="AA1307" s="1539"/>
      <c r="AB1307" s="1539"/>
      <c r="AC1307" s="1539"/>
      <c r="AD1307" s="1539"/>
      <c r="AE1307" s="1539"/>
      <c r="AF1307" s="1539"/>
      <c r="AG1307" s="1539"/>
      <c r="AH1307" s="1539"/>
      <c r="AI1307" s="1539"/>
      <c r="AJ1307" s="1539"/>
      <c r="AK1307" s="1539"/>
      <c r="AL1307" s="1539"/>
      <c r="AM1307" s="1539"/>
      <c r="AN1307" s="1539"/>
      <c r="AO1307" s="1539"/>
      <c r="AP1307" s="1539"/>
      <c r="AQ1307" s="1539"/>
      <c r="AR1307" s="1539"/>
      <c r="AS1307" s="1539"/>
      <c r="AT1307" s="1539"/>
      <c r="AU1307" s="1539"/>
      <c r="AV1307" s="1539"/>
      <c r="AW1307" s="1539"/>
      <c r="AX1307" s="1539"/>
      <c r="AY1307" s="1539"/>
      <c r="AZ1307" s="1539"/>
      <c r="BA1307" s="1539"/>
      <c r="BB1307" s="1539"/>
      <c r="BC1307" s="1539"/>
      <c r="BD1307" s="1539"/>
      <c r="BE1307" s="1539"/>
      <c r="BF1307" s="1539"/>
      <c r="BG1307" s="1539"/>
      <c r="BH1307" s="1539"/>
      <c r="BI1307" s="1539"/>
      <c r="BJ1307" s="1539"/>
      <c r="BK1307" s="1539"/>
      <c r="BL1307" s="1539"/>
      <c r="BM1307" s="1539"/>
      <c r="BN1307" s="1539"/>
      <c r="BO1307" s="1539"/>
      <c r="BP1307" s="1539"/>
      <c r="BQ1307" s="1539"/>
      <c r="BR1307" s="1539"/>
      <c r="BS1307" s="1539"/>
      <c r="BT1307" s="1539"/>
      <c r="BU1307" s="1539"/>
      <c r="BV1307" s="1539"/>
      <c r="BW1307" s="1539"/>
      <c r="BX1307" s="1539"/>
      <c r="BY1307" s="1539"/>
      <c r="BZ1307" s="1539"/>
      <c r="CA1307" s="1539"/>
      <c r="CB1307" s="1539"/>
      <c r="CC1307" s="1539"/>
      <c r="CD1307" s="1539"/>
      <c r="CE1307" s="1539"/>
      <c r="CF1307" s="1539"/>
      <c r="CG1307" s="1539"/>
      <c r="CH1307" s="1539"/>
      <c r="CI1307" s="1539"/>
      <c r="CJ1307" s="1539"/>
      <c r="CK1307" s="1539"/>
      <c r="CL1307" s="1539"/>
      <c r="CM1307" s="1539"/>
      <c r="CN1307" s="1539"/>
      <c r="CO1307" s="1539"/>
    </row>
    <row r="1308" spans="1:93" ht="15.5">
      <c r="A1308" s="1598">
        <v>24.600999999999999</v>
      </c>
      <c r="B1308" s="1599" t="s">
        <v>2826</v>
      </c>
      <c r="C1308" s="1643" t="e">
        <f>+SUMIF(#REF!,Final!A1308,#REF!)</f>
        <v>#REF!</v>
      </c>
      <c r="D1308" s="1597" t="e">
        <f>+SUMIF(#REF!,Final!A1308,#REF!)</f>
        <v>#REF!</v>
      </c>
      <c r="E1308" s="1643" t="e">
        <f>SUMIF(#REF!,Final!A1308,#REF!)</f>
        <v>#REF!</v>
      </c>
      <c r="F1308" s="1644" t="e">
        <f>SUMIF(#REF!,Final!A1308,#REF!)</f>
        <v>#REF!</v>
      </c>
      <c r="G1308" s="1597" t="e">
        <f t="shared" si="128"/>
        <v>#REF!</v>
      </c>
      <c r="H1308" s="1644" t="e">
        <f t="shared" si="129"/>
        <v>#REF!</v>
      </c>
      <c r="I1308" s="1597" t="e">
        <f t="shared" si="130"/>
        <v>#REF!</v>
      </c>
      <c r="J1308" s="1644" t="e">
        <f t="shared" si="131"/>
        <v>#REF!</v>
      </c>
      <c r="M1308" s="1545"/>
      <c r="N1308" s="1545"/>
    </row>
    <row r="1309" spans="1:93" s="1552" customFormat="1" ht="15.5">
      <c r="A1309" s="1598"/>
      <c r="B1309" s="1599" t="s">
        <v>1747</v>
      </c>
      <c r="C1309" s="1643" t="e">
        <f>+SUMIF(#REF!,Final!A1309,#REF!)</f>
        <v>#REF!</v>
      </c>
      <c r="D1309" s="1597" t="e">
        <f>+SUMIF(#REF!,Final!A1309,#REF!)</f>
        <v>#REF!</v>
      </c>
      <c r="E1309" s="1643" t="e">
        <f>SUMIF(#REF!,Final!A1309,#REF!)</f>
        <v>#REF!</v>
      </c>
      <c r="F1309" s="1644" t="e">
        <f>SUMIF(#REF!,Final!A1309,#REF!)</f>
        <v>#REF!</v>
      </c>
      <c r="G1309" s="1597" t="e">
        <f t="shared" si="128"/>
        <v>#REF!</v>
      </c>
      <c r="H1309" s="1644" t="e">
        <f t="shared" si="129"/>
        <v>#REF!</v>
      </c>
      <c r="I1309" s="1597" t="e">
        <f t="shared" si="130"/>
        <v>#REF!</v>
      </c>
      <c r="J1309" s="1644" t="e">
        <f t="shared" si="131"/>
        <v>#REF!</v>
      </c>
      <c r="K1309" s="1539"/>
      <c r="L1309" s="1539"/>
      <c r="M1309" s="1545"/>
      <c r="N1309" s="1545"/>
      <c r="O1309" s="1539"/>
      <c r="P1309" s="1539"/>
      <c r="Q1309" s="1539"/>
      <c r="R1309" s="1539"/>
      <c r="S1309" s="1539"/>
      <c r="T1309" s="1539"/>
      <c r="U1309" s="1539"/>
      <c r="V1309" s="1539"/>
      <c r="W1309" s="1539"/>
      <c r="X1309" s="1539"/>
      <c r="Y1309" s="1539"/>
      <c r="Z1309" s="1539"/>
      <c r="AA1309" s="1539"/>
      <c r="AB1309" s="1539"/>
      <c r="AC1309" s="1539"/>
      <c r="AD1309" s="1539"/>
      <c r="AE1309" s="1539"/>
      <c r="AF1309" s="1539"/>
      <c r="AG1309" s="1539"/>
      <c r="AH1309" s="1539"/>
      <c r="AI1309" s="1539"/>
      <c r="AJ1309" s="1539"/>
      <c r="AK1309" s="1539"/>
      <c r="AL1309" s="1539"/>
      <c r="AM1309" s="1539"/>
      <c r="AN1309" s="1539"/>
      <c r="AO1309" s="1539"/>
      <c r="AP1309" s="1539"/>
      <c r="AQ1309" s="1539"/>
      <c r="AR1309" s="1539"/>
      <c r="AS1309" s="1539"/>
      <c r="AT1309" s="1539"/>
      <c r="AU1309" s="1539"/>
      <c r="AV1309" s="1539"/>
      <c r="AW1309" s="1539"/>
      <c r="AX1309" s="1539"/>
      <c r="AY1309" s="1539"/>
      <c r="AZ1309" s="1539"/>
      <c r="BA1309" s="1539"/>
      <c r="BB1309" s="1539"/>
      <c r="BC1309" s="1539"/>
      <c r="BD1309" s="1539"/>
      <c r="BE1309" s="1539"/>
      <c r="BF1309" s="1539"/>
      <c r="BG1309" s="1539"/>
      <c r="BH1309" s="1539"/>
      <c r="BI1309" s="1539"/>
      <c r="BJ1309" s="1539"/>
      <c r="BK1309" s="1539"/>
      <c r="BL1309" s="1539"/>
      <c r="BM1309" s="1539"/>
      <c r="BN1309" s="1539"/>
      <c r="BO1309" s="1539"/>
      <c r="BP1309" s="1539"/>
      <c r="BQ1309" s="1539"/>
      <c r="BR1309" s="1539"/>
      <c r="BS1309" s="1539"/>
      <c r="BT1309" s="1539"/>
      <c r="BU1309" s="1539"/>
      <c r="BV1309" s="1539"/>
      <c r="BW1309" s="1539"/>
      <c r="BX1309" s="1539"/>
      <c r="BY1309" s="1539"/>
      <c r="BZ1309" s="1539"/>
      <c r="CA1309" s="1539"/>
      <c r="CB1309" s="1539"/>
      <c r="CC1309" s="1539"/>
      <c r="CD1309" s="1539"/>
      <c r="CE1309" s="1539"/>
      <c r="CF1309" s="1539"/>
      <c r="CG1309" s="1539"/>
      <c r="CH1309" s="1539"/>
      <c r="CI1309" s="1539"/>
      <c r="CJ1309" s="1539"/>
      <c r="CK1309" s="1539"/>
      <c r="CL1309" s="1539"/>
      <c r="CM1309" s="1539"/>
      <c r="CN1309" s="1539"/>
      <c r="CO1309" s="1539"/>
    </row>
    <row r="1310" spans="1:93" s="1552" customFormat="1" ht="15.5">
      <c r="A1310" s="1598"/>
      <c r="B1310" s="1599" t="s">
        <v>1760</v>
      </c>
      <c r="C1310" s="1643" t="e">
        <f>+SUMIF(#REF!,Final!A1310,#REF!)</f>
        <v>#REF!</v>
      </c>
      <c r="D1310" s="1597" t="e">
        <f>+SUMIF(#REF!,Final!A1310,#REF!)</f>
        <v>#REF!</v>
      </c>
      <c r="E1310" s="1643" t="e">
        <f>SUMIF(#REF!,Final!A1310,#REF!)</f>
        <v>#REF!</v>
      </c>
      <c r="F1310" s="1644" t="e">
        <f>SUMIF(#REF!,Final!A1310,#REF!)</f>
        <v>#REF!</v>
      </c>
      <c r="G1310" s="1597" t="e">
        <f t="shared" si="128"/>
        <v>#REF!</v>
      </c>
      <c r="H1310" s="1644" t="e">
        <f t="shared" si="129"/>
        <v>#REF!</v>
      </c>
      <c r="I1310" s="1597" t="e">
        <f t="shared" si="130"/>
        <v>#REF!</v>
      </c>
      <c r="J1310" s="1644" t="e">
        <f t="shared" si="131"/>
        <v>#REF!</v>
      </c>
      <c r="K1310" s="1539"/>
      <c r="L1310" s="1539"/>
      <c r="M1310" s="1545"/>
      <c r="N1310" s="1545"/>
      <c r="O1310" s="1539"/>
      <c r="P1310" s="1539"/>
      <c r="Q1310" s="1539"/>
      <c r="R1310" s="1539"/>
      <c r="S1310" s="1539"/>
      <c r="T1310" s="1539"/>
      <c r="U1310" s="1539"/>
      <c r="V1310" s="1539"/>
      <c r="W1310" s="1539"/>
      <c r="X1310" s="1539"/>
      <c r="Y1310" s="1539"/>
      <c r="Z1310" s="1539"/>
      <c r="AA1310" s="1539"/>
      <c r="AB1310" s="1539"/>
      <c r="AC1310" s="1539"/>
      <c r="AD1310" s="1539"/>
      <c r="AE1310" s="1539"/>
      <c r="AF1310" s="1539"/>
      <c r="AG1310" s="1539"/>
      <c r="AH1310" s="1539"/>
      <c r="AI1310" s="1539"/>
      <c r="AJ1310" s="1539"/>
      <c r="AK1310" s="1539"/>
      <c r="AL1310" s="1539"/>
      <c r="AM1310" s="1539"/>
      <c r="AN1310" s="1539"/>
      <c r="AO1310" s="1539"/>
      <c r="AP1310" s="1539"/>
      <c r="AQ1310" s="1539"/>
      <c r="AR1310" s="1539"/>
      <c r="AS1310" s="1539"/>
      <c r="AT1310" s="1539"/>
      <c r="AU1310" s="1539"/>
      <c r="AV1310" s="1539"/>
      <c r="AW1310" s="1539"/>
      <c r="AX1310" s="1539"/>
      <c r="AY1310" s="1539"/>
      <c r="AZ1310" s="1539"/>
      <c r="BA1310" s="1539"/>
      <c r="BB1310" s="1539"/>
      <c r="BC1310" s="1539"/>
      <c r="BD1310" s="1539"/>
      <c r="BE1310" s="1539"/>
      <c r="BF1310" s="1539"/>
      <c r="BG1310" s="1539"/>
      <c r="BH1310" s="1539"/>
      <c r="BI1310" s="1539"/>
      <c r="BJ1310" s="1539"/>
      <c r="BK1310" s="1539"/>
      <c r="BL1310" s="1539"/>
      <c r="BM1310" s="1539"/>
      <c r="BN1310" s="1539"/>
      <c r="BO1310" s="1539"/>
      <c r="BP1310" s="1539"/>
      <c r="BQ1310" s="1539"/>
      <c r="BR1310" s="1539"/>
      <c r="BS1310" s="1539"/>
      <c r="BT1310" s="1539"/>
      <c r="BU1310" s="1539"/>
      <c r="BV1310" s="1539"/>
      <c r="BW1310" s="1539"/>
      <c r="BX1310" s="1539"/>
      <c r="BY1310" s="1539"/>
      <c r="BZ1310" s="1539"/>
      <c r="CA1310" s="1539"/>
      <c r="CB1310" s="1539"/>
      <c r="CC1310" s="1539"/>
      <c r="CD1310" s="1539"/>
      <c r="CE1310" s="1539"/>
      <c r="CF1310" s="1539"/>
      <c r="CG1310" s="1539"/>
      <c r="CH1310" s="1539"/>
      <c r="CI1310" s="1539"/>
      <c r="CJ1310" s="1539"/>
      <c r="CK1310" s="1539"/>
      <c r="CL1310" s="1539"/>
      <c r="CM1310" s="1539"/>
      <c r="CN1310" s="1539"/>
      <c r="CO1310" s="1539"/>
    </row>
    <row r="1311" spans="1:93" s="1552" customFormat="1" ht="15.5">
      <c r="A1311" s="1598" t="s">
        <v>3386</v>
      </c>
      <c r="B1311" s="1599" t="s">
        <v>2827</v>
      </c>
      <c r="C1311" s="1643" t="e">
        <f>+SUMIF(#REF!,Final!A1311,#REF!)</f>
        <v>#REF!</v>
      </c>
      <c r="D1311" s="1597" t="e">
        <f>+SUMIF(#REF!,Final!A1311,#REF!)</f>
        <v>#REF!</v>
      </c>
      <c r="E1311" s="1643" t="e">
        <f>SUMIF(#REF!,Final!A1311,#REF!)</f>
        <v>#REF!</v>
      </c>
      <c r="F1311" s="1644" t="e">
        <f>SUMIF(#REF!,Final!A1311,#REF!)</f>
        <v>#REF!</v>
      </c>
      <c r="G1311" s="1597" t="e">
        <f t="shared" si="128"/>
        <v>#REF!</v>
      </c>
      <c r="H1311" s="1644" t="e">
        <f t="shared" si="129"/>
        <v>#REF!</v>
      </c>
      <c r="I1311" s="1597" t="e">
        <f t="shared" si="130"/>
        <v>#REF!</v>
      </c>
      <c r="J1311" s="1644" t="e">
        <f t="shared" si="131"/>
        <v>#REF!</v>
      </c>
      <c r="K1311" s="1539"/>
      <c r="L1311" s="1539"/>
      <c r="M1311" s="1545"/>
      <c r="N1311" s="1545"/>
      <c r="O1311" s="1539"/>
      <c r="P1311" s="1539"/>
      <c r="Q1311" s="1539"/>
      <c r="R1311" s="1539"/>
      <c r="S1311" s="1539"/>
      <c r="T1311" s="1539"/>
      <c r="U1311" s="1539"/>
      <c r="V1311" s="1539"/>
      <c r="W1311" s="1539"/>
      <c r="X1311" s="1539"/>
      <c r="Y1311" s="1539"/>
      <c r="Z1311" s="1539"/>
      <c r="AA1311" s="1539"/>
      <c r="AB1311" s="1539"/>
      <c r="AC1311" s="1539"/>
      <c r="AD1311" s="1539"/>
      <c r="AE1311" s="1539"/>
      <c r="AF1311" s="1539"/>
      <c r="AG1311" s="1539"/>
      <c r="AH1311" s="1539"/>
      <c r="AI1311" s="1539"/>
      <c r="AJ1311" s="1539"/>
      <c r="AK1311" s="1539"/>
      <c r="AL1311" s="1539"/>
      <c r="AM1311" s="1539"/>
      <c r="AN1311" s="1539"/>
      <c r="AO1311" s="1539"/>
      <c r="AP1311" s="1539"/>
      <c r="AQ1311" s="1539"/>
      <c r="AR1311" s="1539"/>
      <c r="AS1311" s="1539"/>
      <c r="AT1311" s="1539"/>
      <c r="AU1311" s="1539"/>
      <c r="AV1311" s="1539"/>
      <c r="AW1311" s="1539"/>
      <c r="AX1311" s="1539"/>
      <c r="AY1311" s="1539"/>
      <c r="AZ1311" s="1539"/>
      <c r="BA1311" s="1539"/>
      <c r="BB1311" s="1539"/>
      <c r="BC1311" s="1539"/>
      <c r="BD1311" s="1539"/>
      <c r="BE1311" s="1539"/>
      <c r="BF1311" s="1539"/>
      <c r="BG1311" s="1539"/>
      <c r="BH1311" s="1539"/>
      <c r="BI1311" s="1539"/>
      <c r="BJ1311" s="1539"/>
      <c r="BK1311" s="1539"/>
      <c r="BL1311" s="1539"/>
      <c r="BM1311" s="1539"/>
      <c r="BN1311" s="1539"/>
      <c r="BO1311" s="1539"/>
      <c r="BP1311" s="1539"/>
      <c r="BQ1311" s="1539"/>
      <c r="BR1311" s="1539"/>
      <c r="BS1311" s="1539"/>
      <c r="BT1311" s="1539"/>
      <c r="BU1311" s="1539"/>
      <c r="BV1311" s="1539"/>
      <c r="BW1311" s="1539"/>
      <c r="BX1311" s="1539"/>
      <c r="BY1311" s="1539"/>
      <c r="BZ1311" s="1539"/>
      <c r="CA1311" s="1539"/>
      <c r="CB1311" s="1539"/>
      <c r="CC1311" s="1539"/>
      <c r="CD1311" s="1539"/>
      <c r="CE1311" s="1539"/>
      <c r="CF1311" s="1539"/>
      <c r="CG1311" s="1539"/>
      <c r="CH1311" s="1539"/>
      <c r="CI1311" s="1539"/>
      <c r="CJ1311" s="1539"/>
      <c r="CK1311" s="1539"/>
      <c r="CL1311" s="1539"/>
      <c r="CM1311" s="1539"/>
      <c r="CN1311" s="1539"/>
      <c r="CO1311" s="1539"/>
    </row>
    <row r="1312" spans="1:93" s="1542" customFormat="1" ht="15.5">
      <c r="A1312" s="1598" t="s">
        <v>543</v>
      </c>
      <c r="B1312" s="1599" t="s">
        <v>2798</v>
      </c>
      <c r="C1312" s="1643" t="e">
        <f>+SUMIF(#REF!,Final!A1312,#REF!)</f>
        <v>#REF!</v>
      </c>
      <c r="D1312" s="1597" t="e">
        <f>+SUMIF(#REF!,Final!A1312,#REF!)</f>
        <v>#REF!</v>
      </c>
      <c r="E1312" s="1643" t="e">
        <f>SUMIF(#REF!,Final!A1312,#REF!)</f>
        <v>#REF!</v>
      </c>
      <c r="F1312" s="1644" t="e">
        <f>SUMIF(#REF!,Final!A1312,#REF!)</f>
        <v>#REF!</v>
      </c>
      <c r="G1312" s="1597" t="e">
        <f t="shared" si="128"/>
        <v>#REF!</v>
      </c>
      <c r="H1312" s="1644" t="e">
        <f t="shared" si="129"/>
        <v>#REF!</v>
      </c>
      <c r="I1312" s="1597" t="e">
        <f t="shared" si="130"/>
        <v>#REF!</v>
      </c>
      <c r="J1312" s="1644" t="e">
        <f t="shared" si="131"/>
        <v>#REF!</v>
      </c>
      <c r="K1312" s="1539"/>
      <c r="L1312" s="1539"/>
      <c r="M1312" s="1545"/>
      <c r="N1312" s="1545"/>
      <c r="O1312" s="1539"/>
      <c r="P1312" s="1539"/>
      <c r="Q1312" s="1539"/>
      <c r="R1312" s="1539"/>
      <c r="S1312" s="1539"/>
      <c r="T1312" s="1539"/>
      <c r="U1312" s="1539"/>
      <c r="V1312" s="1539"/>
      <c r="W1312" s="1539"/>
      <c r="X1312" s="1539"/>
      <c r="Y1312" s="1539"/>
      <c r="Z1312" s="1539"/>
      <c r="AA1312" s="1539"/>
      <c r="AB1312" s="1539"/>
      <c r="AC1312" s="1539"/>
      <c r="AD1312" s="1539"/>
      <c r="AE1312" s="1539"/>
      <c r="AF1312" s="1539"/>
      <c r="AG1312" s="1539"/>
      <c r="AH1312" s="1539"/>
      <c r="AI1312" s="1539"/>
      <c r="AJ1312" s="1539"/>
      <c r="AK1312" s="1539"/>
      <c r="AL1312" s="1539"/>
      <c r="AM1312" s="1539"/>
      <c r="AN1312" s="1539"/>
      <c r="AO1312" s="1539"/>
      <c r="AP1312" s="1539"/>
      <c r="AQ1312" s="1539"/>
      <c r="AR1312" s="1539"/>
      <c r="AS1312" s="1539"/>
      <c r="AT1312" s="1539"/>
      <c r="AU1312" s="1539"/>
      <c r="AV1312" s="1539"/>
      <c r="AW1312" s="1539"/>
      <c r="AX1312" s="1539"/>
      <c r="AY1312" s="1539"/>
      <c r="AZ1312" s="1539"/>
      <c r="BA1312" s="1539"/>
      <c r="BB1312" s="1539"/>
      <c r="BC1312" s="1539"/>
      <c r="BD1312" s="1539"/>
      <c r="BE1312" s="1539"/>
      <c r="BF1312" s="1539"/>
      <c r="BG1312" s="1539"/>
      <c r="BH1312" s="1539"/>
      <c r="BI1312" s="1539"/>
      <c r="BJ1312" s="1539"/>
      <c r="BK1312" s="1539"/>
      <c r="BL1312" s="1539"/>
      <c r="BM1312" s="1539"/>
      <c r="BN1312" s="1539"/>
      <c r="BO1312" s="1539"/>
      <c r="BP1312" s="1539"/>
      <c r="BQ1312" s="1539"/>
      <c r="BR1312" s="1539"/>
      <c r="BS1312" s="1539"/>
      <c r="BT1312" s="1539"/>
      <c r="BU1312" s="1539"/>
      <c r="BV1312" s="1539"/>
      <c r="BW1312" s="1539"/>
      <c r="BX1312" s="1539"/>
      <c r="BY1312" s="1539"/>
      <c r="BZ1312" s="1539"/>
      <c r="CA1312" s="1539"/>
      <c r="CB1312" s="1539"/>
      <c r="CC1312" s="1539"/>
      <c r="CD1312" s="1539"/>
      <c r="CE1312" s="1539"/>
      <c r="CF1312" s="1539"/>
      <c r="CG1312" s="1539"/>
      <c r="CH1312" s="1539"/>
      <c r="CI1312" s="1539"/>
      <c r="CJ1312" s="1539"/>
      <c r="CK1312" s="1539"/>
      <c r="CL1312" s="1539"/>
      <c r="CM1312" s="1539"/>
      <c r="CN1312" s="1539"/>
      <c r="CO1312" s="1539"/>
    </row>
    <row r="1313" spans="1:93" s="1542" customFormat="1" ht="15.5">
      <c r="A1313" s="1598" t="s">
        <v>1815</v>
      </c>
      <c r="B1313" s="1599" t="s">
        <v>2819</v>
      </c>
      <c r="C1313" s="1643" t="e">
        <f>+SUMIF(#REF!,Final!A1313,#REF!)</f>
        <v>#REF!</v>
      </c>
      <c r="D1313" s="1597" t="e">
        <f>+SUMIF(#REF!,Final!A1313,#REF!)</f>
        <v>#REF!</v>
      </c>
      <c r="E1313" s="1643" t="e">
        <f>SUMIF(#REF!,Final!A1313,#REF!)</f>
        <v>#REF!</v>
      </c>
      <c r="F1313" s="1644" t="e">
        <f>SUMIF(#REF!,Final!A1313,#REF!)</f>
        <v>#REF!</v>
      </c>
      <c r="G1313" s="1597" t="e">
        <f t="shared" si="128"/>
        <v>#REF!</v>
      </c>
      <c r="H1313" s="1644" t="e">
        <f t="shared" si="129"/>
        <v>#REF!</v>
      </c>
      <c r="I1313" s="1597" t="e">
        <f t="shared" si="130"/>
        <v>#REF!</v>
      </c>
      <c r="J1313" s="1644" t="e">
        <f t="shared" si="131"/>
        <v>#REF!</v>
      </c>
      <c r="K1313" s="1539"/>
      <c r="L1313" s="1539"/>
      <c r="M1313" s="1545"/>
      <c r="N1313" s="1545"/>
      <c r="O1313" s="1539"/>
      <c r="P1313" s="1539"/>
      <c r="Q1313" s="1539"/>
      <c r="R1313" s="1539"/>
      <c r="S1313" s="1539"/>
      <c r="T1313" s="1539"/>
      <c r="U1313" s="1539"/>
      <c r="V1313" s="1539"/>
      <c r="W1313" s="1539"/>
      <c r="X1313" s="1539"/>
      <c r="Y1313" s="1539"/>
      <c r="Z1313" s="1539"/>
      <c r="AA1313" s="1539"/>
      <c r="AB1313" s="1539"/>
      <c r="AC1313" s="1539"/>
      <c r="AD1313" s="1539"/>
      <c r="AE1313" s="1539"/>
      <c r="AF1313" s="1539"/>
      <c r="AG1313" s="1539"/>
      <c r="AH1313" s="1539"/>
      <c r="AI1313" s="1539"/>
      <c r="AJ1313" s="1539"/>
      <c r="AK1313" s="1539"/>
      <c r="AL1313" s="1539"/>
      <c r="AM1313" s="1539"/>
      <c r="AN1313" s="1539"/>
      <c r="AO1313" s="1539"/>
      <c r="AP1313" s="1539"/>
      <c r="AQ1313" s="1539"/>
      <c r="AR1313" s="1539"/>
      <c r="AS1313" s="1539"/>
      <c r="AT1313" s="1539"/>
      <c r="AU1313" s="1539"/>
      <c r="AV1313" s="1539"/>
      <c r="AW1313" s="1539"/>
      <c r="AX1313" s="1539"/>
      <c r="AY1313" s="1539"/>
      <c r="AZ1313" s="1539"/>
      <c r="BA1313" s="1539"/>
      <c r="BB1313" s="1539"/>
      <c r="BC1313" s="1539"/>
      <c r="BD1313" s="1539"/>
      <c r="BE1313" s="1539"/>
      <c r="BF1313" s="1539"/>
      <c r="BG1313" s="1539"/>
      <c r="BH1313" s="1539"/>
      <c r="BI1313" s="1539"/>
      <c r="BJ1313" s="1539"/>
      <c r="BK1313" s="1539"/>
      <c r="BL1313" s="1539"/>
      <c r="BM1313" s="1539"/>
      <c r="BN1313" s="1539"/>
      <c r="BO1313" s="1539"/>
      <c r="BP1313" s="1539"/>
      <c r="BQ1313" s="1539"/>
      <c r="BR1313" s="1539"/>
      <c r="BS1313" s="1539"/>
      <c r="BT1313" s="1539"/>
      <c r="BU1313" s="1539"/>
      <c r="BV1313" s="1539"/>
      <c r="BW1313" s="1539"/>
      <c r="BX1313" s="1539"/>
      <c r="BY1313" s="1539"/>
      <c r="BZ1313" s="1539"/>
      <c r="CA1313" s="1539"/>
      <c r="CB1313" s="1539"/>
      <c r="CC1313" s="1539"/>
      <c r="CD1313" s="1539"/>
      <c r="CE1313" s="1539"/>
      <c r="CF1313" s="1539"/>
      <c r="CG1313" s="1539"/>
      <c r="CH1313" s="1539"/>
      <c r="CI1313" s="1539"/>
      <c r="CJ1313" s="1539"/>
      <c r="CK1313" s="1539"/>
      <c r="CL1313" s="1539"/>
      <c r="CM1313" s="1539"/>
      <c r="CN1313" s="1539"/>
      <c r="CO1313" s="1539"/>
    </row>
    <row r="1314" spans="1:93" ht="15.5">
      <c r="A1314" s="1598">
        <v>24.701000000000001</v>
      </c>
      <c r="B1314" s="1599" t="s">
        <v>684</v>
      </c>
      <c r="C1314" s="1643" t="e">
        <f>+SUMIF(#REF!,Final!A1314,#REF!)</f>
        <v>#REF!</v>
      </c>
      <c r="D1314" s="1597" t="e">
        <f>+SUMIF(#REF!,Final!A1314,#REF!)</f>
        <v>#REF!</v>
      </c>
      <c r="E1314" s="1643" t="e">
        <f>SUMIF(#REF!,Final!A1314,#REF!)</f>
        <v>#REF!</v>
      </c>
      <c r="F1314" s="1644" t="e">
        <f>SUMIF(#REF!,Final!A1314,#REF!)</f>
        <v>#REF!</v>
      </c>
      <c r="G1314" s="1597" t="e">
        <f t="shared" si="128"/>
        <v>#REF!</v>
      </c>
      <c r="H1314" s="1644" t="e">
        <f t="shared" si="129"/>
        <v>#REF!</v>
      </c>
      <c r="I1314" s="1597" t="e">
        <f t="shared" si="130"/>
        <v>#REF!</v>
      </c>
      <c r="J1314" s="1644" t="e">
        <f t="shared" si="131"/>
        <v>#REF!</v>
      </c>
      <c r="M1314" s="1545"/>
      <c r="N1314" s="1545"/>
    </row>
    <row r="1315" spans="1:93" ht="15.5">
      <c r="A1315" s="1598">
        <v>24.702000000000002</v>
      </c>
      <c r="B1315" s="1599" t="s">
        <v>2800</v>
      </c>
      <c r="C1315" s="1643" t="e">
        <f>+SUMIF(#REF!,Final!A1315,#REF!)</f>
        <v>#REF!</v>
      </c>
      <c r="D1315" s="1597" t="e">
        <f>+SUMIF(#REF!,Final!A1315,#REF!)</f>
        <v>#REF!</v>
      </c>
      <c r="E1315" s="1643" t="e">
        <f>SUMIF(#REF!,Final!A1315,#REF!)</f>
        <v>#REF!</v>
      </c>
      <c r="F1315" s="1644" t="e">
        <f>SUMIF(#REF!,Final!A1315,#REF!)</f>
        <v>#REF!</v>
      </c>
      <c r="G1315" s="1597" t="e">
        <f t="shared" si="128"/>
        <v>#REF!</v>
      </c>
      <c r="H1315" s="1644" t="e">
        <f t="shared" si="129"/>
        <v>#REF!</v>
      </c>
      <c r="I1315" s="1597" t="e">
        <f t="shared" si="130"/>
        <v>#REF!</v>
      </c>
      <c r="J1315" s="1644" t="e">
        <f t="shared" si="131"/>
        <v>#REF!</v>
      </c>
      <c r="M1315" s="1545"/>
      <c r="N1315" s="1545"/>
    </row>
    <row r="1316" spans="1:93" ht="15.5">
      <c r="A1316" s="1598">
        <v>24.702999999999999</v>
      </c>
      <c r="B1316" s="1599" t="s">
        <v>2814</v>
      </c>
      <c r="C1316" s="1643" t="e">
        <f>+SUMIF(#REF!,Final!A1316,#REF!)</f>
        <v>#REF!</v>
      </c>
      <c r="D1316" s="1597" t="e">
        <f>+SUMIF(#REF!,Final!A1316,#REF!)</f>
        <v>#REF!</v>
      </c>
      <c r="E1316" s="1643" t="e">
        <f>SUMIF(#REF!,Final!A1316,#REF!)</f>
        <v>#REF!</v>
      </c>
      <c r="F1316" s="1644" t="e">
        <f>SUMIF(#REF!,Final!A1316,#REF!)</f>
        <v>#REF!</v>
      </c>
      <c r="G1316" s="1597" t="e">
        <f t="shared" si="128"/>
        <v>#REF!</v>
      </c>
      <c r="H1316" s="1644" t="e">
        <f t="shared" si="129"/>
        <v>#REF!</v>
      </c>
      <c r="I1316" s="1597" t="e">
        <f t="shared" si="130"/>
        <v>#REF!</v>
      </c>
      <c r="J1316" s="1644" t="e">
        <f t="shared" si="131"/>
        <v>#REF!</v>
      </c>
      <c r="M1316" s="1545"/>
      <c r="N1316" s="1545"/>
    </row>
    <row r="1317" spans="1:93" ht="15.5">
      <c r="A1317" s="1598">
        <v>24.704000000000001</v>
      </c>
      <c r="B1317" s="1599" t="s">
        <v>2802</v>
      </c>
      <c r="C1317" s="1643" t="e">
        <f>+SUMIF(#REF!,Final!A1317,#REF!)</f>
        <v>#REF!</v>
      </c>
      <c r="D1317" s="1597" t="e">
        <f>+SUMIF(#REF!,Final!A1317,#REF!)</f>
        <v>#REF!</v>
      </c>
      <c r="E1317" s="1643" t="e">
        <f>SUMIF(#REF!,Final!A1317,#REF!)</f>
        <v>#REF!</v>
      </c>
      <c r="F1317" s="1644" t="e">
        <f>SUMIF(#REF!,Final!A1317,#REF!)</f>
        <v>#REF!</v>
      </c>
      <c r="G1317" s="1597" t="e">
        <f t="shared" si="128"/>
        <v>#REF!</v>
      </c>
      <c r="H1317" s="1644" t="e">
        <f t="shared" si="129"/>
        <v>#REF!</v>
      </c>
      <c r="I1317" s="1597" t="e">
        <f t="shared" si="130"/>
        <v>#REF!</v>
      </c>
      <c r="J1317" s="1644" t="e">
        <f t="shared" si="131"/>
        <v>#REF!</v>
      </c>
      <c r="M1317" s="1545"/>
      <c r="N1317" s="1545"/>
    </row>
    <row r="1318" spans="1:93" ht="15.5">
      <c r="A1318" s="1598">
        <v>24.704999999999998</v>
      </c>
      <c r="B1318" s="1599" t="s">
        <v>2803</v>
      </c>
      <c r="C1318" s="1643" t="e">
        <f>+SUMIF(#REF!,Final!A1318,#REF!)</f>
        <v>#REF!</v>
      </c>
      <c r="D1318" s="1597" t="e">
        <f>+SUMIF(#REF!,Final!A1318,#REF!)</f>
        <v>#REF!</v>
      </c>
      <c r="E1318" s="1643" t="e">
        <f>SUMIF(#REF!,Final!A1318,#REF!)</f>
        <v>#REF!</v>
      </c>
      <c r="F1318" s="1644" t="e">
        <f>SUMIF(#REF!,Final!A1318,#REF!)</f>
        <v>#REF!</v>
      </c>
      <c r="G1318" s="1597" t="e">
        <f t="shared" si="128"/>
        <v>#REF!</v>
      </c>
      <c r="H1318" s="1644" t="e">
        <f t="shared" si="129"/>
        <v>#REF!</v>
      </c>
      <c r="I1318" s="1597" t="e">
        <f t="shared" si="130"/>
        <v>#REF!</v>
      </c>
      <c r="J1318" s="1644" t="e">
        <f t="shared" si="131"/>
        <v>#REF!</v>
      </c>
      <c r="M1318" s="1545"/>
      <c r="N1318" s="1545"/>
    </row>
    <row r="1319" spans="1:93" ht="15.5">
      <c r="A1319" s="1598">
        <v>24.706</v>
      </c>
      <c r="B1319" s="1599" t="s">
        <v>2804</v>
      </c>
      <c r="C1319" s="1643" t="e">
        <f>+SUMIF(#REF!,Final!A1319,#REF!)</f>
        <v>#REF!</v>
      </c>
      <c r="D1319" s="1597" t="e">
        <f>+SUMIF(#REF!,Final!A1319,#REF!)</f>
        <v>#REF!</v>
      </c>
      <c r="E1319" s="1643" t="e">
        <f>SUMIF(#REF!,Final!A1319,#REF!)</f>
        <v>#REF!</v>
      </c>
      <c r="F1319" s="1644" t="e">
        <f>SUMIF(#REF!,Final!A1319,#REF!)</f>
        <v>#REF!</v>
      </c>
      <c r="G1319" s="1597" t="e">
        <f t="shared" si="128"/>
        <v>#REF!</v>
      </c>
      <c r="H1319" s="1644" t="e">
        <f t="shared" si="129"/>
        <v>#REF!</v>
      </c>
      <c r="I1319" s="1597" t="e">
        <f t="shared" si="130"/>
        <v>#REF!</v>
      </c>
      <c r="J1319" s="1644" t="e">
        <f t="shared" si="131"/>
        <v>#REF!</v>
      </c>
      <c r="M1319" s="1545"/>
      <c r="N1319" s="1545"/>
    </row>
    <row r="1320" spans="1:93" ht="15.5">
      <c r="A1320" s="1598">
        <v>24.707000000000001</v>
      </c>
      <c r="B1320" s="1599" t="s">
        <v>1250</v>
      </c>
      <c r="C1320" s="1643" t="e">
        <f>+SUMIF(#REF!,Final!A1320,#REF!)</f>
        <v>#REF!</v>
      </c>
      <c r="D1320" s="1597" t="e">
        <f>+SUMIF(#REF!,Final!A1320,#REF!)</f>
        <v>#REF!</v>
      </c>
      <c r="E1320" s="1643" t="e">
        <f>SUMIF(#REF!,Final!A1320,#REF!)</f>
        <v>#REF!</v>
      </c>
      <c r="F1320" s="1644" t="e">
        <f>SUMIF(#REF!,Final!A1320,#REF!)</f>
        <v>#REF!</v>
      </c>
      <c r="G1320" s="1597" t="e">
        <f t="shared" si="128"/>
        <v>#REF!</v>
      </c>
      <c r="H1320" s="1644" t="e">
        <f t="shared" si="129"/>
        <v>#REF!</v>
      </c>
      <c r="I1320" s="1597" t="e">
        <f t="shared" si="130"/>
        <v>#REF!</v>
      </c>
      <c r="J1320" s="1644" t="e">
        <f t="shared" si="131"/>
        <v>#REF!</v>
      </c>
      <c r="M1320" s="1545"/>
      <c r="N1320" s="1545"/>
    </row>
    <row r="1321" spans="1:93" ht="15.5">
      <c r="A1321" s="1598">
        <v>24.707999999999998</v>
      </c>
      <c r="B1321" s="1599" t="s">
        <v>2806</v>
      </c>
      <c r="C1321" s="1643" t="e">
        <f>+SUMIF(#REF!,Final!A1321,#REF!)</f>
        <v>#REF!</v>
      </c>
      <c r="D1321" s="1597" t="e">
        <f>+SUMIF(#REF!,Final!A1321,#REF!)</f>
        <v>#REF!</v>
      </c>
      <c r="E1321" s="1643" t="e">
        <f>SUMIF(#REF!,Final!A1321,#REF!)</f>
        <v>#REF!</v>
      </c>
      <c r="F1321" s="1644" t="e">
        <f>SUMIF(#REF!,Final!A1321,#REF!)</f>
        <v>#REF!</v>
      </c>
      <c r="G1321" s="1597" t="e">
        <f t="shared" si="128"/>
        <v>#REF!</v>
      </c>
      <c r="H1321" s="1644" t="e">
        <f t="shared" si="129"/>
        <v>#REF!</v>
      </c>
      <c r="I1321" s="1597" t="e">
        <f t="shared" si="130"/>
        <v>#REF!</v>
      </c>
      <c r="J1321" s="1644" t="e">
        <f t="shared" si="131"/>
        <v>#REF!</v>
      </c>
      <c r="M1321" s="1545"/>
      <c r="N1321" s="1545"/>
    </row>
    <row r="1322" spans="1:93" ht="15.5">
      <c r="A1322" s="1598">
        <v>24.709</v>
      </c>
      <c r="B1322" s="1599" t="s">
        <v>2807</v>
      </c>
      <c r="C1322" s="1643" t="e">
        <f>+SUMIF(#REF!,Final!A1322,#REF!)</f>
        <v>#REF!</v>
      </c>
      <c r="D1322" s="1597" t="e">
        <f>+SUMIF(#REF!,Final!A1322,#REF!)</f>
        <v>#REF!</v>
      </c>
      <c r="E1322" s="1643" t="e">
        <f>SUMIF(#REF!,Final!A1322,#REF!)</f>
        <v>#REF!</v>
      </c>
      <c r="F1322" s="1644" t="e">
        <f>SUMIF(#REF!,Final!A1322,#REF!)</f>
        <v>#REF!</v>
      </c>
      <c r="G1322" s="1597" t="e">
        <f t="shared" si="128"/>
        <v>#REF!</v>
      </c>
      <c r="H1322" s="1644" t="e">
        <f t="shared" si="129"/>
        <v>#REF!</v>
      </c>
      <c r="I1322" s="1597" t="e">
        <f t="shared" si="130"/>
        <v>#REF!</v>
      </c>
      <c r="J1322" s="1644" t="e">
        <f t="shared" si="131"/>
        <v>#REF!</v>
      </c>
      <c r="M1322" s="1545"/>
      <c r="N1322" s="1545"/>
    </row>
    <row r="1323" spans="1:93" ht="15.5">
      <c r="A1323" s="1598">
        <v>24.71</v>
      </c>
      <c r="B1323" s="1599" t="s">
        <v>2808</v>
      </c>
      <c r="C1323" s="1643" t="e">
        <f>+SUMIF(#REF!,Final!A1323,#REF!)</f>
        <v>#REF!</v>
      </c>
      <c r="D1323" s="1597" t="e">
        <f>+SUMIF(#REF!,Final!A1323,#REF!)</f>
        <v>#REF!</v>
      </c>
      <c r="E1323" s="1643" t="e">
        <f>SUMIF(#REF!,Final!A1323,#REF!)</f>
        <v>#REF!</v>
      </c>
      <c r="F1323" s="1644" t="e">
        <f>SUMIF(#REF!,Final!A1323,#REF!)</f>
        <v>#REF!</v>
      </c>
      <c r="G1323" s="1597" t="e">
        <f t="shared" si="128"/>
        <v>#REF!</v>
      </c>
      <c r="H1323" s="1644" t="e">
        <f t="shared" si="129"/>
        <v>#REF!</v>
      </c>
      <c r="I1323" s="1597" t="e">
        <f t="shared" si="130"/>
        <v>#REF!</v>
      </c>
      <c r="J1323" s="1644" t="e">
        <f t="shared" si="131"/>
        <v>#REF!</v>
      </c>
      <c r="M1323" s="1545"/>
      <c r="N1323" s="1545"/>
    </row>
    <row r="1324" spans="1:93" s="1542" customFormat="1" ht="15.5">
      <c r="A1324" s="1598">
        <v>24.712</v>
      </c>
      <c r="B1324" s="1599" t="s">
        <v>2820</v>
      </c>
      <c r="C1324" s="1643" t="e">
        <f>+SUMIF(#REF!,Final!A1324,#REF!)</f>
        <v>#REF!</v>
      </c>
      <c r="D1324" s="1597" t="e">
        <f>+SUMIF(#REF!,Final!A1324,#REF!)</f>
        <v>#REF!</v>
      </c>
      <c r="E1324" s="1643" t="e">
        <f>SUMIF(#REF!,Final!A1324,#REF!)</f>
        <v>#REF!</v>
      </c>
      <c r="F1324" s="1644" t="e">
        <f>SUMIF(#REF!,Final!A1324,#REF!)</f>
        <v>#REF!</v>
      </c>
      <c r="G1324" s="1597" t="e">
        <f t="shared" si="128"/>
        <v>#REF!</v>
      </c>
      <c r="H1324" s="1644" t="e">
        <f t="shared" si="129"/>
        <v>#REF!</v>
      </c>
      <c r="I1324" s="1597" t="e">
        <f t="shared" si="130"/>
        <v>#REF!</v>
      </c>
      <c r="J1324" s="1644" t="e">
        <f t="shared" si="131"/>
        <v>#REF!</v>
      </c>
      <c r="K1324" s="1539"/>
      <c r="L1324" s="1539"/>
      <c r="M1324" s="1545"/>
      <c r="N1324" s="1545"/>
      <c r="O1324" s="1539"/>
      <c r="P1324" s="1539"/>
      <c r="Q1324" s="1539"/>
      <c r="R1324" s="1539"/>
      <c r="S1324" s="1539"/>
      <c r="T1324" s="1539"/>
      <c r="U1324" s="1539"/>
      <c r="V1324" s="1539"/>
      <c r="W1324" s="1539"/>
      <c r="X1324" s="1539"/>
      <c r="Y1324" s="1539"/>
      <c r="Z1324" s="1539"/>
      <c r="AA1324" s="1539"/>
      <c r="AB1324" s="1539"/>
      <c r="AC1324" s="1539"/>
      <c r="AD1324" s="1539"/>
      <c r="AE1324" s="1539"/>
      <c r="AF1324" s="1539"/>
      <c r="AG1324" s="1539"/>
      <c r="AH1324" s="1539"/>
      <c r="AI1324" s="1539"/>
      <c r="AJ1324" s="1539"/>
      <c r="AK1324" s="1539"/>
      <c r="AL1324" s="1539"/>
      <c r="AM1324" s="1539"/>
      <c r="AN1324" s="1539"/>
      <c r="AO1324" s="1539"/>
      <c r="AP1324" s="1539"/>
      <c r="AQ1324" s="1539"/>
      <c r="AR1324" s="1539"/>
      <c r="AS1324" s="1539"/>
      <c r="AT1324" s="1539"/>
      <c r="AU1324" s="1539"/>
      <c r="AV1324" s="1539"/>
      <c r="AW1324" s="1539"/>
      <c r="AX1324" s="1539"/>
      <c r="AY1324" s="1539"/>
      <c r="AZ1324" s="1539"/>
      <c r="BA1324" s="1539"/>
      <c r="BB1324" s="1539"/>
      <c r="BC1324" s="1539"/>
      <c r="BD1324" s="1539"/>
      <c r="BE1324" s="1539"/>
      <c r="BF1324" s="1539"/>
      <c r="BG1324" s="1539"/>
      <c r="BH1324" s="1539"/>
      <c r="BI1324" s="1539"/>
      <c r="BJ1324" s="1539"/>
      <c r="BK1324" s="1539"/>
      <c r="BL1324" s="1539"/>
      <c r="BM1324" s="1539"/>
      <c r="BN1324" s="1539"/>
      <c r="BO1324" s="1539"/>
      <c r="BP1324" s="1539"/>
      <c r="BQ1324" s="1539"/>
      <c r="BR1324" s="1539"/>
      <c r="BS1324" s="1539"/>
      <c r="BT1324" s="1539"/>
      <c r="BU1324" s="1539"/>
      <c r="BV1324" s="1539"/>
      <c r="BW1324" s="1539"/>
      <c r="BX1324" s="1539"/>
      <c r="BY1324" s="1539"/>
      <c r="BZ1324" s="1539"/>
      <c r="CA1324" s="1539"/>
      <c r="CB1324" s="1539"/>
      <c r="CC1324" s="1539"/>
      <c r="CD1324" s="1539"/>
      <c r="CE1324" s="1539"/>
      <c r="CF1324" s="1539"/>
      <c r="CG1324" s="1539"/>
      <c r="CH1324" s="1539"/>
      <c r="CI1324" s="1539"/>
      <c r="CJ1324" s="1539"/>
      <c r="CK1324" s="1539"/>
      <c r="CL1324" s="1539"/>
      <c r="CM1324" s="1539"/>
      <c r="CN1324" s="1539"/>
      <c r="CO1324" s="1539"/>
    </row>
    <row r="1325" spans="1:93" ht="15.5">
      <c r="A1325" s="1598">
        <v>24.713000000000001</v>
      </c>
      <c r="B1325" s="1599" t="s">
        <v>2815</v>
      </c>
      <c r="C1325" s="1643" t="e">
        <f>+SUMIF(#REF!,Final!A1325,#REF!)</f>
        <v>#REF!</v>
      </c>
      <c r="D1325" s="1597" t="e">
        <f>+SUMIF(#REF!,Final!A1325,#REF!)</f>
        <v>#REF!</v>
      </c>
      <c r="E1325" s="1643" t="e">
        <f>SUMIF(#REF!,Final!A1325,#REF!)</f>
        <v>#REF!</v>
      </c>
      <c r="F1325" s="1644" t="e">
        <f>SUMIF(#REF!,Final!A1325,#REF!)</f>
        <v>#REF!</v>
      </c>
      <c r="G1325" s="1597" t="e">
        <f t="shared" si="128"/>
        <v>#REF!</v>
      </c>
      <c r="H1325" s="1644" t="e">
        <f t="shared" si="129"/>
        <v>#REF!</v>
      </c>
      <c r="I1325" s="1597" t="e">
        <f t="shared" si="130"/>
        <v>#REF!</v>
      </c>
      <c r="J1325" s="1644" t="e">
        <f t="shared" si="131"/>
        <v>#REF!</v>
      </c>
      <c r="M1325" s="1545"/>
      <c r="N1325" s="1545"/>
    </row>
    <row r="1326" spans="1:93" ht="15.5">
      <c r="A1326" s="1598">
        <v>24.716000000000001</v>
      </c>
      <c r="B1326" s="1599" t="s">
        <v>2811</v>
      </c>
      <c r="C1326" s="1643" t="e">
        <f>+SUMIF(#REF!,Final!A1326,#REF!)</f>
        <v>#REF!</v>
      </c>
      <c r="D1326" s="1597" t="e">
        <f>+SUMIF(#REF!,Final!A1326,#REF!)</f>
        <v>#REF!</v>
      </c>
      <c r="E1326" s="1643" t="e">
        <f>SUMIF(#REF!,Final!A1326,#REF!)</f>
        <v>#REF!</v>
      </c>
      <c r="F1326" s="1644" t="e">
        <f>SUMIF(#REF!,Final!A1326,#REF!)</f>
        <v>#REF!</v>
      </c>
      <c r="G1326" s="1597" t="e">
        <f t="shared" si="128"/>
        <v>#REF!</v>
      </c>
      <c r="H1326" s="1644" t="e">
        <f t="shared" si="129"/>
        <v>#REF!</v>
      </c>
      <c r="I1326" s="1597" t="e">
        <f t="shared" si="130"/>
        <v>#REF!</v>
      </c>
      <c r="J1326" s="1644" t="e">
        <f t="shared" si="131"/>
        <v>#REF!</v>
      </c>
      <c r="M1326" s="1545"/>
      <c r="N1326" s="1545"/>
    </row>
    <row r="1327" spans="1:93" ht="15.5">
      <c r="A1327" s="1598">
        <v>24.72</v>
      </c>
      <c r="B1327" s="1599" t="s">
        <v>2816</v>
      </c>
      <c r="C1327" s="1643" t="e">
        <f>+SUMIF(#REF!,Final!A1327,#REF!)</f>
        <v>#REF!</v>
      </c>
      <c r="D1327" s="1597" t="e">
        <f>+SUMIF(#REF!,Final!A1327,#REF!)</f>
        <v>#REF!</v>
      </c>
      <c r="E1327" s="1643" t="e">
        <f>SUMIF(#REF!,Final!A1327,#REF!)</f>
        <v>#REF!</v>
      </c>
      <c r="F1327" s="1644" t="e">
        <f>SUMIF(#REF!,Final!A1327,#REF!)</f>
        <v>#REF!</v>
      </c>
      <c r="G1327" s="1597" t="e">
        <f t="shared" si="128"/>
        <v>#REF!</v>
      </c>
      <c r="H1327" s="1644" t="e">
        <f t="shared" si="129"/>
        <v>#REF!</v>
      </c>
      <c r="I1327" s="1597" t="e">
        <f t="shared" si="130"/>
        <v>#REF!</v>
      </c>
      <c r="J1327" s="1644" t="e">
        <f t="shared" si="131"/>
        <v>#REF!</v>
      </c>
      <c r="M1327" s="1545"/>
      <c r="N1327" s="1545"/>
    </row>
    <row r="1328" spans="1:93" ht="15.5">
      <c r="A1328" s="1598">
        <v>24.751000000000001</v>
      </c>
      <c r="B1328" s="1599" t="s">
        <v>2817</v>
      </c>
      <c r="C1328" s="1643" t="e">
        <f>+SUMIF(#REF!,Final!A1328,#REF!)</f>
        <v>#REF!</v>
      </c>
      <c r="D1328" s="1597" t="e">
        <f>+SUMIF(#REF!,Final!A1328,#REF!)</f>
        <v>#REF!</v>
      </c>
      <c r="E1328" s="1643" t="e">
        <f>SUMIF(#REF!,Final!A1328,#REF!)</f>
        <v>#REF!</v>
      </c>
      <c r="F1328" s="1644" t="e">
        <f>SUMIF(#REF!,Final!A1328,#REF!)</f>
        <v>#REF!</v>
      </c>
      <c r="G1328" s="1597" t="e">
        <f t="shared" si="128"/>
        <v>#REF!</v>
      </c>
      <c r="H1328" s="1644" t="e">
        <f t="shared" si="129"/>
        <v>#REF!</v>
      </c>
      <c r="I1328" s="1597" t="e">
        <f t="shared" si="130"/>
        <v>#REF!</v>
      </c>
      <c r="J1328" s="1644" t="e">
        <f t="shared" si="131"/>
        <v>#REF!</v>
      </c>
      <c r="M1328" s="1545"/>
      <c r="N1328" s="1545"/>
    </row>
    <row r="1329" spans="1:93" s="1552" customFormat="1" ht="15.5">
      <c r="A1329" s="1598"/>
      <c r="B1329" s="1599" t="s">
        <v>1747</v>
      </c>
      <c r="C1329" s="1643" t="e">
        <f>+SUMIF(#REF!,Final!A1329,#REF!)</f>
        <v>#REF!</v>
      </c>
      <c r="D1329" s="1597" t="e">
        <f>+SUMIF(#REF!,Final!A1329,#REF!)</f>
        <v>#REF!</v>
      </c>
      <c r="E1329" s="1643" t="e">
        <f>SUMIF(#REF!,Final!A1329,#REF!)</f>
        <v>#REF!</v>
      </c>
      <c r="F1329" s="1644" t="e">
        <f>SUMIF(#REF!,Final!A1329,#REF!)</f>
        <v>#REF!</v>
      </c>
      <c r="G1329" s="1597" t="e">
        <f t="shared" si="128"/>
        <v>#REF!</v>
      </c>
      <c r="H1329" s="1644" t="e">
        <f t="shared" si="129"/>
        <v>#REF!</v>
      </c>
      <c r="I1329" s="1597" t="e">
        <f t="shared" si="130"/>
        <v>#REF!</v>
      </c>
      <c r="J1329" s="1644" t="e">
        <f t="shared" si="131"/>
        <v>#REF!</v>
      </c>
      <c r="K1329" s="1539"/>
      <c r="L1329" s="1539"/>
      <c r="M1329" s="1545"/>
      <c r="N1329" s="1545"/>
      <c r="O1329" s="1539"/>
      <c r="P1329" s="1539"/>
      <c r="Q1329" s="1539"/>
      <c r="R1329" s="1539"/>
      <c r="S1329" s="1539"/>
      <c r="T1329" s="1539"/>
      <c r="U1329" s="1539"/>
      <c r="V1329" s="1539"/>
      <c r="W1329" s="1539"/>
      <c r="X1329" s="1539"/>
      <c r="Y1329" s="1539"/>
      <c r="Z1329" s="1539"/>
      <c r="AA1329" s="1539"/>
      <c r="AB1329" s="1539"/>
      <c r="AC1329" s="1539"/>
      <c r="AD1329" s="1539"/>
      <c r="AE1329" s="1539"/>
      <c r="AF1329" s="1539"/>
      <c r="AG1329" s="1539"/>
      <c r="AH1329" s="1539"/>
      <c r="AI1329" s="1539"/>
      <c r="AJ1329" s="1539"/>
      <c r="AK1329" s="1539"/>
      <c r="AL1329" s="1539"/>
      <c r="AM1329" s="1539"/>
      <c r="AN1329" s="1539"/>
      <c r="AO1329" s="1539"/>
      <c r="AP1329" s="1539"/>
      <c r="AQ1329" s="1539"/>
      <c r="AR1329" s="1539"/>
      <c r="AS1329" s="1539"/>
      <c r="AT1329" s="1539"/>
      <c r="AU1329" s="1539"/>
      <c r="AV1329" s="1539"/>
      <c r="AW1329" s="1539"/>
      <c r="AX1329" s="1539"/>
      <c r="AY1329" s="1539"/>
      <c r="AZ1329" s="1539"/>
      <c r="BA1329" s="1539"/>
      <c r="BB1329" s="1539"/>
      <c r="BC1329" s="1539"/>
      <c r="BD1329" s="1539"/>
      <c r="BE1329" s="1539"/>
      <c r="BF1329" s="1539"/>
      <c r="BG1329" s="1539"/>
      <c r="BH1329" s="1539"/>
      <c r="BI1329" s="1539"/>
      <c r="BJ1329" s="1539"/>
      <c r="BK1329" s="1539"/>
      <c r="BL1329" s="1539"/>
      <c r="BM1329" s="1539"/>
      <c r="BN1329" s="1539"/>
      <c r="BO1329" s="1539"/>
      <c r="BP1329" s="1539"/>
      <c r="BQ1329" s="1539"/>
      <c r="BR1329" s="1539"/>
      <c r="BS1329" s="1539"/>
      <c r="BT1329" s="1539"/>
      <c r="BU1329" s="1539"/>
      <c r="BV1329" s="1539"/>
      <c r="BW1329" s="1539"/>
      <c r="BX1329" s="1539"/>
      <c r="BY1329" s="1539"/>
      <c r="BZ1329" s="1539"/>
      <c r="CA1329" s="1539"/>
      <c r="CB1329" s="1539"/>
      <c r="CC1329" s="1539"/>
      <c r="CD1329" s="1539"/>
      <c r="CE1329" s="1539"/>
      <c r="CF1329" s="1539"/>
      <c r="CG1329" s="1539"/>
      <c r="CH1329" s="1539"/>
      <c r="CI1329" s="1539"/>
      <c r="CJ1329" s="1539"/>
      <c r="CK1329" s="1539"/>
      <c r="CL1329" s="1539"/>
      <c r="CM1329" s="1539"/>
      <c r="CN1329" s="1539"/>
      <c r="CO1329" s="1539"/>
    </row>
    <row r="1330" spans="1:93" s="1552" customFormat="1" ht="15.5">
      <c r="A1330" s="1598"/>
      <c r="B1330" s="1599" t="s">
        <v>1760</v>
      </c>
      <c r="C1330" s="1643" t="e">
        <f>+SUMIF(#REF!,Final!A1330,#REF!)</f>
        <v>#REF!</v>
      </c>
      <c r="D1330" s="1597" t="e">
        <f>+SUMIF(#REF!,Final!A1330,#REF!)</f>
        <v>#REF!</v>
      </c>
      <c r="E1330" s="1643" t="e">
        <f>SUMIF(#REF!,Final!A1330,#REF!)</f>
        <v>#REF!</v>
      </c>
      <c r="F1330" s="1644" t="e">
        <f>SUMIF(#REF!,Final!A1330,#REF!)</f>
        <v>#REF!</v>
      </c>
      <c r="G1330" s="1597" t="e">
        <f t="shared" si="128"/>
        <v>#REF!</v>
      </c>
      <c r="H1330" s="1644" t="e">
        <f t="shared" si="129"/>
        <v>#REF!</v>
      </c>
      <c r="I1330" s="1597" t="e">
        <f t="shared" si="130"/>
        <v>#REF!</v>
      </c>
      <c r="J1330" s="1644" t="e">
        <f t="shared" si="131"/>
        <v>#REF!</v>
      </c>
      <c r="K1330" s="1539"/>
      <c r="L1330" s="1539"/>
      <c r="M1330" s="1545"/>
      <c r="N1330" s="1545"/>
      <c r="O1330" s="1539"/>
      <c r="P1330" s="1539"/>
      <c r="Q1330" s="1539"/>
      <c r="R1330" s="1539"/>
      <c r="S1330" s="1539"/>
      <c r="T1330" s="1539"/>
      <c r="U1330" s="1539"/>
      <c r="V1330" s="1539"/>
      <c r="W1330" s="1539"/>
      <c r="X1330" s="1539"/>
      <c r="Y1330" s="1539"/>
      <c r="Z1330" s="1539"/>
      <c r="AA1330" s="1539"/>
      <c r="AB1330" s="1539"/>
      <c r="AC1330" s="1539"/>
      <c r="AD1330" s="1539"/>
      <c r="AE1330" s="1539"/>
      <c r="AF1330" s="1539"/>
      <c r="AG1330" s="1539"/>
      <c r="AH1330" s="1539"/>
      <c r="AI1330" s="1539"/>
      <c r="AJ1330" s="1539"/>
      <c r="AK1330" s="1539"/>
      <c r="AL1330" s="1539"/>
      <c r="AM1330" s="1539"/>
      <c r="AN1330" s="1539"/>
      <c r="AO1330" s="1539"/>
      <c r="AP1330" s="1539"/>
      <c r="AQ1330" s="1539"/>
      <c r="AR1330" s="1539"/>
      <c r="AS1330" s="1539"/>
      <c r="AT1330" s="1539"/>
      <c r="AU1330" s="1539"/>
      <c r="AV1330" s="1539"/>
      <c r="AW1330" s="1539"/>
      <c r="AX1330" s="1539"/>
      <c r="AY1330" s="1539"/>
      <c r="AZ1330" s="1539"/>
      <c r="BA1330" s="1539"/>
      <c r="BB1330" s="1539"/>
      <c r="BC1330" s="1539"/>
      <c r="BD1330" s="1539"/>
      <c r="BE1330" s="1539"/>
      <c r="BF1330" s="1539"/>
      <c r="BG1330" s="1539"/>
      <c r="BH1330" s="1539"/>
      <c r="BI1330" s="1539"/>
      <c r="BJ1330" s="1539"/>
      <c r="BK1330" s="1539"/>
      <c r="BL1330" s="1539"/>
      <c r="BM1330" s="1539"/>
      <c r="BN1330" s="1539"/>
      <c r="BO1330" s="1539"/>
      <c r="BP1330" s="1539"/>
      <c r="BQ1330" s="1539"/>
      <c r="BR1330" s="1539"/>
      <c r="BS1330" s="1539"/>
      <c r="BT1330" s="1539"/>
      <c r="BU1330" s="1539"/>
      <c r="BV1330" s="1539"/>
      <c r="BW1330" s="1539"/>
      <c r="BX1330" s="1539"/>
      <c r="BY1330" s="1539"/>
      <c r="BZ1330" s="1539"/>
      <c r="CA1330" s="1539"/>
      <c r="CB1330" s="1539"/>
      <c r="CC1330" s="1539"/>
      <c r="CD1330" s="1539"/>
      <c r="CE1330" s="1539"/>
      <c r="CF1330" s="1539"/>
      <c r="CG1330" s="1539"/>
      <c r="CH1330" s="1539"/>
      <c r="CI1330" s="1539"/>
      <c r="CJ1330" s="1539"/>
      <c r="CK1330" s="1539"/>
      <c r="CL1330" s="1539"/>
      <c r="CM1330" s="1539"/>
      <c r="CN1330" s="1539"/>
      <c r="CO1330" s="1539"/>
    </row>
    <row r="1331" spans="1:93" s="1552" customFormat="1" ht="15.5">
      <c r="A1331" s="1598" t="s">
        <v>3385</v>
      </c>
      <c r="B1331" s="1599" t="s">
        <v>2821</v>
      </c>
      <c r="C1331" s="1643" t="e">
        <f>+SUMIF(#REF!,Final!A1331,#REF!)</f>
        <v>#REF!</v>
      </c>
      <c r="D1331" s="1597" t="e">
        <f>+SUMIF(#REF!,Final!A1331,#REF!)</f>
        <v>#REF!</v>
      </c>
      <c r="E1331" s="1643" t="e">
        <f>SUMIF(#REF!,Final!A1331,#REF!)</f>
        <v>#REF!</v>
      </c>
      <c r="F1331" s="1644" t="e">
        <f>SUMIF(#REF!,Final!A1331,#REF!)</f>
        <v>#REF!</v>
      </c>
      <c r="G1331" s="1597" t="e">
        <f t="shared" si="128"/>
        <v>#REF!</v>
      </c>
      <c r="H1331" s="1644" t="e">
        <f t="shared" si="129"/>
        <v>#REF!</v>
      </c>
      <c r="I1331" s="1597" t="e">
        <f t="shared" si="130"/>
        <v>#REF!</v>
      </c>
      <c r="J1331" s="1644" t="e">
        <f t="shared" si="131"/>
        <v>#REF!</v>
      </c>
      <c r="K1331" s="1539"/>
      <c r="L1331" s="1539"/>
      <c r="M1331" s="1545"/>
      <c r="N1331" s="1545"/>
      <c r="O1331" s="1539"/>
      <c r="P1331" s="1539"/>
      <c r="Q1331" s="1539"/>
      <c r="R1331" s="1539"/>
      <c r="S1331" s="1539"/>
      <c r="T1331" s="1539"/>
      <c r="U1331" s="1539"/>
      <c r="V1331" s="1539"/>
      <c r="W1331" s="1539"/>
      <c r="X1331" s="1539"/>
      <c r="Y1331" s="1539"/>
      <c r="Z1331" s="1539"/>
      <c r="AA1331" s="1539"/>
      <c r="AB1331" s="1539"/>
      <c r="AC1331" s="1539"/>
      <c r="AD1331" s="1539"/>
      <c r="AE1331" s="1539"/>
      <c r="AF1331" s="1539"/>
      <c r="AG1331" s="1539"/>
      <c r="AH1331" s="1539"/>
      <c r="AI1331" s="1539"/>
      <c r="AJ1331" s="1539"/>
      <c r="AK1331" s="1539"/>
      <c r="AL1331" s="1539"/>
      <c r="AM1331" s="1539"/>
      <c r="AN1331" s="1539"/>
      <c r="AO1331" s="1539"/>
      <c r="AP1331" s="1539"/>
      <c r="AQ1331" s="1539"/>
      <c r="AR1331" s="1539"/>
      <c r="AS1331" s="1539"/>
      <c r="AT1331" s="1539"/>
      <c r="AU1331" s="1539"/>
      <c r="AV1331" s="1539"/>
      <c r="AW1331" s="1539"/>
      <c r="AX1331" s="1539"/>
      <c r="AY1331" s="1539"/>
      <c r="AZ1331" s="1539"/>
      <c r="BA1331" s="1539"/>
      <c r="BB1331" s="1539"/>
      <c r="BC1331" s="1539"/>
      <c r="BD1331" s="1539"/>
      <c r="BE1331" s="1539"/>
      <c r="BF1331" s="1539"/>
      <c r="BG1331" s="1539"/>
      <c r="BH1331" s="1539"/>
      <c r="BI1331" s="1539"/>
      <c r="BJ1331" s="1539"/>
      <c r="BK1331" s="1539"/>
      <c r="BL1331" s="1539"/>
      <c r="BM1331" s="1539"/>
      <c r="BN1331" s="1539"/>
      <c r="BO1331" s="1539"/>
      <c r="BP1331" s="1539"/>
      <c r="BQ1331" s="1539"/>
      <c r="BR1331" s="1539"/>
      <c r="BS1331" s="1539"/>
      <c r="BT1331" s="1539"/>
      <c r="BU1331" s="1539"/>
      <c r="BV1331" s="1539"/>
      <c r="BW1331" s="1539"/>
      <c r="BX1331" s="1539"/>
      <c r="BY1331" s="1539"/>
      <c r="BZ1331" s="1539"/>
      <c r="CA1331" s="1539"/>
      <c r="CB1331" s="1539"/>
      <c r="CC1331" s="1539"/>
      <c r="CD1331" s="1539"/>
      <c r="CE1331" s="1539"/>
      <c r="CF1331" s="1539"/>
      <c r="CG1331" s="1539"/>
      <c r="CH1331" s="1539"/>
      <c r="CI1331" s="1539"/>
      <c r="CJ1331" s="1539"/>
      <c r="CK1331" s="1539"/>
      <c r="CL1331" s="1539"/>
      <c r="CM1331" s="1539"/>
      <c r="CN1331" s="1539"/>
      <c r="CO1331" s="1539"/>
    </row>
    <row r="1332" spans="1:93" s="1542" customFormat="1" ht="15.5">
      <c r="A1332" s="1598" t="s">
        <v>543</v>
      </c>
      <c r="B1332" s="1599" t="s">
        <v>2798</v>
      </c>
      <c r="C1332" s="1643" t="e">
        <f>+SUMIF(#REF!,Final!A1332,#REF!)</f>
        <v>#REF!</v>
      </c>
      <c r="D1332" s="1597" t="e">
        <f>+SUMIF(#REF!,Final!A1332,#REF!)</f>
        <v>#REF!</v>
      </c>
      <c r="E1332" s="1643" t="e">
        <f>SUMIF(#REF!,Final!A1332,#REF!)</f>
        <v>#REF!</v>
      </c>
      <c r="F1332" s="1644" t="e">
        <f>SUMIF(#REF!,Final!A1332,#REF!)</f>
        <v>#REF!</v>
      </c>
      <c r="G1332" s="1597" t="e">
        <f t="shared" si="128"/>
        <v>#REF!</v>
      </c>
      <c r="H1332" s="1644" t="e">
        <f t="shared" si="129"/>
        <v>#REF!</v>
      </c>
      <c r="I1332" s="1597" t="e">
        <f t="shared" si="130"/>
        <v>#REF!</v>
      </c>
      <c r="J1332" s="1644" t="e">
        <f t="shared" si="131"/>
        <v>#REF!</v>
      </c>
      <c r="K1332" s="1539"/>
      <c r="L1332" s="1539"/>
      <c r="M1332" s="1545"/>
      <c r="N1332" s="1545"/>
      <c r="O1332" s="1539"/>
      <c r="P1332" s="1539"/>
      <c r="Q1332" s="1539"/>
      <c r="R1332" s="1539"/>
      <c r="S1332" s="1539"/>
      <c r="T1332" s="1539"/>
      <c r="U1332" s="1539"/>
      <c r="V1332" s="1539"/>
      <c r="W1332" s="1539"/>
      <c r="X1332" s="1539"/>
      <c r="Y1332" s="1539"/>
      <c r="Z1332" s="1539"/>
      <c r="AA1332" s="1539"/>
      <c r="AB1332" s="1539"/>
      <c r="AC1332" s="1539"/>
      <c r="AD1332" s="1539"/>
      <c r="AE1332" s="1539"/>
      <c r="AF1332" s="1539"/>
      <c r="AG1332" s="1539"/>
      <c r="AH1332" s="1539"/>
      <c r="AI1332" s="1539"/>
      <c r="AJ1332" s="1539"/>
      <c r="AK1332" s="1539"/>
      <c r="AL1332" s="1539"/>
      <c r="AM1332" s="1539"/>
      <c r="AN1332" s="1539"/>
      <c r="AO1332" s="1539"/>
      <c r="AP1332" s="1539"/>
      <c r="AQ1332" s="1539"/>
      <c r="AR1332" s="1539"/>
      <c r="AS1332" s="1539"/>
      <c r="AT1332" s="1539"/>
      <c r="AU1332" s="1539"/>
      <c r="AV1332" s="1539"/>
      <c r="AW1332" s="1539"/>
      <c r="AX1332" s="1539"/>
      <c r="AY1332" s="1539"/>
      <c r="AZ1332" s="1539"/>
      <c r="BA1332" s="1539"/>
      <c r="BB1332" s="1539"/>
      <c r="BC1332" s="1539"/>
      <c r="BD1332" s="1539"/>
      <c r="BE1332" s="1539"/>
      <c r="BF1332" s="1539"/>
      <c r="BG1332" s="1539"/>
      <c r="BH1332" s="1539"/>
      <c r="BI1332" s="1539"/>
      <c r="BJ1332" s="1539"/>
      <c r="BK1332" s="1539"/>
      <c r="BL1332" s="1539"/>
      <c r="BM1332" s="1539"/>
      <c r="BN1332" s="1539"/>
      <c r="BO1332" s="1539"/>
      <c r="BP1332" s="1539"/>
      <c r="BQ1332" s="1539"/>
      <c r="BR1332" s="1539"/>
      <c r="BS1332" s="1539"/>
      <c r="BT1332" s="1539"/>
      <c r="BU1332" s="1539"/>
      <c r="BV1332" s="1539"/>
      <c r="BW1332" s="1539"/>
      <c r="BX1332" s="1539"/>
      <c r="BY1332" s="1539"/>
      <c r="BZ1332" s="1539"/>
      <c r="CA1332" s="1539"/>
      <c r="CB1332" s="1539"/>
      <c r="CC1332" s="1539"/>
      <c r="CD1332" s="1539"/>
      <c r="CE1332" s="1539"/>
      <c r="CF1332" s="1539"/>
      <c r="CG1332" s="1539"/>
      <c r="CH1332" s="1539"/>
      <c r="CI1332" s="1539"/>
      <c r="CJ1332" s="1539"/>
      <c r="CK1332" s="1539"/>
      <c r="CL1332" s="1539"/>
      <c r="CM1332" s="1539"/>
      <c r="CN1332" s="1539"/>
      <c r="CO1332" s="1539"/>
    </row>
    <row r="1333" spans="1:93" s="1542" customFormat="1" ht="15.5">
      <c r="A1333" s="1598" t="s">
        <v>1768</v>
      </c>
      <c r="B1333" s="1599" t="s">
        <v>2813</v>
      </c>
      <c r="C1333" s="1643" t="e">
        <f>+SUMIF(#REF!,Final!A1333,#REF!)</f>
        <v>#REF!</v>
      </c>
      <c r="D1333" s="1597" t="e">
        <f>+SUMIF(#REF!,Final!A1333,#REF!)</f>
        <v>#REF!</v>
      </c>
      <c r="E1333" s="1643" t="e">
        <f>SUMIF(#REF!,Final!A1333,#REF!)</f>
        <v>#REF!</v>
      </c>
      <c r="F1333" s="1644" t="e">
        <f>SUMIF(#REF!,Final!A1333,#REF!)</f>
        <v>#REF!</v>
      </c>
      <c r="G1333" s="1597" t="e">
        <f t="shared" si="128"/>
        <v>#REF!</v>
      </c>
      <c r="H1333" s="1644" t="e">
        <f t="shared" si="129"/>
        <v>#REF!</v>
      </c>
      <c r="I1333" s="1597" t="e">
        <f t="shared" si="130"/>
        <v>#REF!</v>
      </c>
      <c r="J1333" s="1644" t="e">
        <f t="shared" si="131"/>
        <v>#REF!</v>
      </c>
      <c r="K1333" s="1539"/>
      <c r="L1333" s="1539"/>
      <c r="M1333" s="1545"/>
      <c r="N1333" s="1545"/>
      <c r="O1333" s="1539"/>
      <c r="P1333" s="1539"/>
      <c r="Q1333" s="1539"/>
      <c r="R1333" s="1539"/>
      <c r="S1333" s="1539"/>
      <c r="T1333" s="1539"/>
      <c r="U1333" s="1539"/>
      <c r="V1333" s="1539"/>
      <c r="W1333" s="1539"/>
      <c r="X1333" s="1539"/>
      <c r="Y1333" s="1539"/>
      <c r="Z1333" s="1539"/>
      <c r="AA1333" s="1539"/>
      <c r="AB1333" s="1539"/>
      <c r="AC1333" s="1539"/>
      <c r="AD1333" s="1539"/>
      <c r="AE1333" s="1539"/>
      <c r="AF1333" s="1539"/>
      <c r="AG1333" s="1539"/>
      <c r="AH1333" s="1539"/>
      <c r="AI1333" s="1539"/>
      <c r="AJ1333" s="1539"/>
      <c r="AK1333" s="1539"/>
      <c r="AL1333" s="1539"/>
      <c r="AM1333" s="1539"/>
      <c r="AN1333" s="1539"/>
      <c r="AO1333" s="1539"/>
      <c r="AP1333" s="1539"/>
      <c r="AQ1333" s="1539"/>
      <c r="AR1333" s="1539"/>
      <c r="AS1333" s="1539"/>
      <c r="AT1333" s="1539"/>
      <c r="AU1333" s="1539"/>
      <c r="AV1333" s="1539"/>
      <c r="AW1333" s="1539"/>
      <c r="AX1333" s="1539"/>
      <c r="AY1333" s="1539"/>
      <c r="AZ1333" s="1539"/>
      <c r="BA1333" s="1539"/>
      <c r="BB1333" s="1539"/>
      <c r="BC1333" s="1539"/>
      <c r="BD1333" s="1539"/>
      <c r="BE1333" s="1539"/>
      <c r="BF1333" s="1539"/>
      <c r="BG1333" s="1539"/>
      <c r="BH1333" s="1539"/>
      <c r="BI1333" s="1539"/>
      <c r="BJ1333" s="1539"/>
      <c r="BK1333" s="1539"/>
      <c r="BL1333" s="1539"/>
      <c r="BM1333" s="1539"/>
      <c r="BN1333" s="1539"/>
      <c r="BO1333" s="1539"/>
      <c r="BP1333" s="1539"/>
      <c r="BQ1333" s="1539"/>
      <c r="BR1333" s="1539"/>
      <c r="BS1333" s="1539"/>
      <c r="BT1333" s="1539"/>
      <c r="BU1333" s="1539"/>
      <c r="BV1333" s="1539"/>
      <c r="BW1333" s="1539"/>
      <c r="BX1333" s="1539"/>
      <c r="BY1333" s="1539"/>
      <c r="BZ1333" s="1539"/>
      <c r="CA1333" s="1539"/>
      <c r="CB1333" s="1539"/>
      <c r="CC1333" s="1539"/>
      <c r="CD1333" s="1539"/>
      <c r="CE1333" s="1539"/>
      <c r="CF1333" s="1539"/>
      <c r="CG1333" s="1539"/>
      <c r="CH1333" s="1539"/>
      <c r="CI1333" s="1539"/>
      <c r="CJ1333" s="1539"/>
      <c r="CK1333" s="1539"/>
      <c r="CL1333" s="1539"/>
      <c r="CM1333" s="1539"/>
      <c r="CN1333" s="1539"/>
      <c r="CO1333" s="1539"/>
    </row>
    <row r="1334" spans="1:93" ht="15.5">
      <c r="A1334" s="1598">
        <v>24.931000000000001</v>
      </c>
      <c r="B1334" s="1599" t="s">
        <v>3387</v>
      </c>
      <c r="C1334" s="1643" t="e">
        <f>+SUMIF(#REF!,Final!A1334,#REF!)</f>
        <v>#REF!</v>
      </c>
      <c r="D1334" s="1597" t="e">
        <f>+SUMIF(#REF!,Final!A1334,#REF!)</f>
        <v>#REF!</v>
      </c>
      <c r="E1334" s="1643" t="e">
        <f>SUMIF(#REF!,Final!A1334,#REF!)</f>
        <v>#REF!</v>
      </c>
      <c r="F1334" s="1644" t="e">
        <f>SUMIF(#REF!,Final!A1334,#REF!)</f>
        <v>#REF!</v>
      </c>
      <c r="G1334" s="1597" t="e">
        <f t="shared" si="128"/>
        <v>#REF!</v>
      </c>
      <c r="H1334" s="1644" t="e">
        <f t="shared" si="129"/>
        <v>#REF!</v>
      </c>
      <c r="I1334" s="1597" t="e">
        <f t="shared" si="130"/>
        <v>#REF!</v>
      </c>
      <c r="J1334" s="1644" t="e">
        <f t="shared" si="131"/>
        <v>#REF!</v>
      </c>
      <c r="M1334" s="1545"/>
      <c r="N1334" s="1545"/>
    </row>
    <row r="1335" spans="1:93" ht="15.5">
      <c r="A1335" s="1598">
        <v>24.940999999999999</v>
      </c>
      <c r="B1335" s="1599" t="s">
        <v>3388</v>
      </c>
      <c r="C1335" s="1643" t="e">
        <f>+SUMIF(#REF!,Final!A1335,#REF!)</f>
        <v>#REF!</v>
      </c>
      <c r="D1335" s="1597" t="e">
        <f>+SUMIF(#REF!,Final!A1335,#REF!)</f>
        <v>#REF!</v>
      </c>
      <c r="E1335" s="1643" t="e">
        <f>SUMIF(#REF!,Final!A1335,#REF!)</f>
        <v>#REF!</v>
      </c>
      <c r="F1335" s="1644" t="e">
        <f>SUMIF(#REF!,Final!A1335,#REF!)</f>
        <v>#REF!</v>
      </c>
      <c r="G1335" s="1597" t="e">
        <f t="shared" si="128"/>
        <v>#REF!</v>
      </c>
      <c r="H1335" s="1644" t="e">
        <f t="shared" si="129"/>
        <v>#REF!</v>
      </c>
      <c r="I1335" s="1597" t="e">
        <f t="shared" si="130"/>
        <v>#REF!</v>
      </c>
      <c r="J1335" s="1644" t="e">
        <f t="shared" si="131"/>
        <v>#REF!</v>
      </c>
      <c r="M1335" s="1545"/>
      <c r="N1335" s="1545"/>
    </row>
    <row r="1336" spans="1:93" s="1552" customFormat="1" ht="15.5">
      <c r="A1336" s="1598"/>
      <c r="B1336" s="1599" t="s">
        <v>1747</v>
      </c>
      <c r="C1336" s="1643" t="e">
        <f>+SUMIF(#REF!,Final!A1336,#REF!)</f>
        <v>#REF!</v>
      </c>
      <c r="D1336" s="1597" t="e">
        <f>+SUMIF(#REF!,Final!A1336,#REF!)</f>
        <v>#REF!</v>
      </c>
      <c r="E1336" s="1643" t="e">
        <f>SUMIF(#REF!,Final!A1336,#REF!)</f>
        <v>#REF!</v>
      </c>
      <c r="F1336" s="1644" t="e">
        <f>SUMIF(#REF!,Final!A1336,#REF!)</f>
        <v>#REF!</v>
      </c>
      <c r="G1336" s="1597" t="e">
        <f t="shared" si="128"/>
        <v>#REF!</v>
      </c>
      <c r="H1336" s="1644" t="e">
        <f t="shared" si="129"/>
        <v>#REF!</v>
      </c>
      <c r="I1336" s="1597" t="e">
        <f t="shared" si="130"/>
        <v>#REF!</v>
      </c>
      <c r="J1336" s="1644" t="e">
        <f t="shared" si="131"/>
        <v>#REF!</v>
      </c>
      <c r="K1336" s="1539"/>
      <c r="L1336" s="1539"/>
      <c r="M1336" s="1545"/>
      <c r="N1336" s="1545"/>
      <c r="O1336" s="1539"/>
      <c r="P1336" s="1539"/>
      <c r="Q1336" s="1539"/>
      <c r="R1336" s="1539"/>
      <c r="S1336" s="1539"/>
      <c r="T1336" s="1539"/>
      <c r="U1336" s="1539"/>
      <c r="V1336" s="1539"/>
      <c r="W1336" s="1539"/>
      <c r="X1336" s="1539"/>
      <c r="Y1336" s="1539"/>
      <c r="Z1336" s="1539"/>
      <c r="AA1336" s="1539"/>
      <c r="AB1336" s="1539"/>
      <c r="AC1336" s="1539"/>
      <c r="AD1336" s="1539"/>
      <c r="AE1336" s="1539"/>
      <c r="AF1336" s="1539"/>
      <c r="AG1336" s="1539"/>
      <c r="AH1336" s="1539"/>
      <c r="AI1336" s="1539"/>
      <c r="AJ1336" s="1539"/>
      <c r="AK1336" s="1539"/>
      <c r="AL1336" s="1539"/>
      <c r="AM1336" s="1539"/>
      <c r="AN1336" s="1539"/>
      <c r="AO1336" s="1539"/>
      <c r="AP1336" s="1539"/>
      <c r="AQ1336" s="1539"/>
      <c r="AR1336" s="1539"/>
      <c r="AS1336" s="1539"/>
      <c r="AT1336" s="1539"/>
      <c r="AU1336" s="1539"/>
      <c r="AV1336" s="1539"/>
      <c r="AW1336" s="1539"/>
      <c r="AX1336" s="1539"/>
      <c r="AY1336" s="1539"/>
      <c r="AZ1336" s="1539"/>
      <c r="BA1336" s="1539"/>
      <c r="BB1336" s="1539"/>
      <c r="BC1336" s="1539"/>
      <c r="BD1336" s="1539"/>
      <c r="BE1336" s="1539"/>
      <c r="BF1336" s="1539"/>
      <c r="BG1336" s="1539"/>
      <c r="BH1336" s="1539"/>
      <c r="BI1336" s="1539"/>
      <c r="BJ1336" s="1539"/>
      <c r="BK1336" s="1539"/>
      <c r="BL1336" s="1539"/>
      <c r="BM1336" s="1539"/>
      <c r="BN1336" s="1539"/>
      <c r="BO1336" s="1539"/>
      <c r="BP1336" s="1539"/>
      <c r="BQ1336" s="1539"/>
      <c r="BR1336" s="1539"/>
      <c r="BS1336" s="1539"/>
      <c r="BT1336" s="1539"/>
      <c r="BU1336" s="1539"/>
      <c r="BV1336" s="1539"/>
      <c r="BW1336" s="1539"/>
      <c r="BX1336" s="1539"/>
      <c r="BY1336" s="1539"/>
      <c r="BZ1336" s="1539"/>
      <c r="CA1336" s="1539"/>
      <c r="CB1336" s="1539"/>
      <c r="CC1336" s="1539"/>
      <c r="CD1336" s="1539"/>
      <c r="CE1336" s="1539"/>
      <c r="CF1336" s="1539"/>
      <c r="CG1336" s="1539"/>
      <c r="CH1336" s="1539"/>
      <c r="CI1336" s="1539"/>
      <c r="CJ1336" s="1539"/>
      <c r="CK1336" s="1539"/>
      <c r="CL1336" s="1539"/>
      <c r="CM1336" s="1539"/>
      <c r="CN1336" s="1539"/>
      <c r="CO1336" s="1539"/>
    </row>
    <row r="1337" spans="1:93" s="1552" customFormat="1" ht="15.5">
      <c r="A1337" s="1598" t="s">
        <v>3389</v>
      </c>
      <c r="B1337" s="1599" t="s">
        <v>1760</v>
      </c>
      <c r="C1337" s="1643" t="e">
        <f>+SUMIF(#REF!,Final!A1337,#REF!)</f>
        <v>#REF!</v>
      </c>
      <c r="D1337" s="1597" t="e">
        <f>+SUMIF(#REF!,Final!A1337,#REF!)</f>
        <v>#REF!</v>
      </c>
      <c r="E1337" s="1643" t="e">
        <f>SUMIF(#REF!,Final!A1337,#REF!)</f>
        <v>#REF!</v>
      </c>
      <c r="F1337" s="1644" t="e">
        <f>SUMIF(#REF!,Final!A1337,#REF!)</f>
        <v>#REF!</v>
      </c>
      <c r="G1337" s="1597" t="e">
        <f t="shared" si="128"/>
        <v>#REF!</v>
      </c>
      <c r="H1337" s="1644" t="e">
        <f t="shared" si="129"/>
        <v>#REF!</v>
      </c>
      <c r="I1337" s="1597" t="e">
        <f t="shared" si="130"/>
        <v>#REF!</v>
      </c>
      <c r="J1337" s="1644" t="e">
        <f t="shared" si="131"/>
        <v>#REF!</v>
      </c>
      <c r="K1337" s="1539"/>
      <c r="L1337" s="1539"/>
      <c r="M1337" s="1545"/>
      <c r="N1337" s="1545"/>
      <c r="O1337" s="1539"/>
      <c r="P1337" s="1539"/>
      <c r="Q1337" s="1539"/>
      <c r="R1337" s="1539"/>
      <c r="S1337" s="1539"/>
      <c r="T1337" s="1539"/>
      <c r="U1337" s="1539"/>
      <c r="V1337" s="1539"/>
      <c r="W1337" s="1539"/>
      <c r="X1337" s="1539"/>
      <c r="Y1337" s="1539"/>
      <c r="Z1337" s="1539"/>
      <c r="AA1337" s="1539"/>
      <c r="AB1337" s="1539"/>
      <c r="AC1337" s="1539"/>
      <c r="AD1337" s="1539"/>
      <c r="AE1337" s="1539"/>
      <c r="AF1337" s="1539"/>
      <c r="AG1337" s="1539"/>
      <c r="AH1337" s="1539"/>
      <c r="AI1337" s="1539"/>
      <c r="AJ1337" s="1539"/>
      <c r="AK1337" s="1539"/>
      <c r="AL1337" s="1539"/>
      <c r="AM1337" s="1539"/>
      <c r="AN1337" s="1539"/>
      <c r="AO1337" s="1539"/>
      <c r="AP1337" s="1539"/>
      <c r="AQ1337" s="1539"/>
      <c r="AR1337" s="1539"/>
      <c r="AS1337" s="1539"/>
      <c r="AT1337" s="1539"/>
      <c r="AU1337" s="1539"/>
      <c r="AV1337" s="1539"/>
      <c r="AW1337" s="1539"/>
      <c r="AX1337" s="1539"/>
      <c r="AY1337" s="1539"/>
      <c r="AZ1337" s="1539"/>
      <c r="BA1337" s="1539"/>
      <c r="BB1337" s="1539"/>
      <c r="BC1337" s="1539"/>
      <c r="BD1337" s="1539"/>
      <c r="BE1337" s="1539"/>
      <c r="BF1337" s="1539"/>
      <c r="BG1337" s="1539"/>
      <c r="BH1337" s="1539"/>
      <c r="BI1337" s="1539"/>
      <c r="BJ1337" s="1539"/>
      <c r="BK1337" s="1539"/>
      <c r="BL1337" s="1539"/>
      <c r="BM1337" s="1539"/>
      <c r="BN1337" s="1539"/>
      <c r="BO1337" s="1539"/>
      <c r="BP1337" s="1539"/>
      <c r="BQ1337" s="1539"/>
      <c r="BR1337" s="1539"/>
      <c r="BS1337" s="1539"/>
      <c r="BT1337" s="1539"/>
      <c r="BU1337" s="1539"/>
      <c r="BV1337" s="1539"/>
      <c r="BW1337" s="1539"/>
      <c r="BX1337" s="1539"/>
      <c r="BY1337" s="1539"/>
      <c r="BZ1337" s="1539"/>
      <c r="CA1337" s="1539"/>
      <c r="CB1337" s="1539"/>
      <c r="CC1337" s="1539"/>
      <c r="CD1337" s="1539"/>
      <c r="CE1337" s="1539"/>
      <c r="CF1337" s="1539"/>
      <c r="CG1337" s="1539"/>
      <c r="CH1337" s="1539"/>
      <c r="CI1337" s="1539"/>
      <c r="CJ1337" s="1539"/>
      <c r="CK1337" s="1539"/>
      <c r="CL1337" s="1539"/>
      <c r="CM1337" s="1539"/>
      <c r="CN1337" s="1539"/>
      <c r="CO1337" s="1539"/>
    </row>
    <row r="1338" spans="1:93" s="1542" customFormat="1" ht="15.5">
      <c r="A1338" s="1598">
        <v>3</v>
      </c>
      <c r="B1338" s="1599" t="s">
        <v>2133</v>
      </c>
      <c r="C1338" s="1643" t="e">
        <f>+SUMIF(#REF!,Final!A1338,#REF!)</f>
        <v>#REF!</v>
      </c>
      <c r="D1338" s="1597" t="e">
        <f>+SUMIF(#REF!,Final!A1338,#REF!)</f>
        <v>#REF!</v>
      </c>
      <c r="E1338" s="1643" t="e">
        <f>SUMIF(#REF!,Final!A1338,#REF!)</f>
        <v>#REF!</v>
      </c>
      <c r="F1338" s="1644" t="e">
        <f>SUMIF(#REF!,Final!A1338,#REF!)</f>
        <v>#REF!</v>
      </c>
      <c r="G1338" s="1597" t="e">
        <f t="shared" si="128"/>
        <v>#REF!</v>
      </c>
      <c r="H1338" s="1644" t="e">
        <f t="shared" si="129"/>
        <v>#REF!</v>
      </c>
      <c r="I1338" s="1597" t="e">
        <f t="shared" si="130"/>
        <v>#REF!</v>
      </c>
      <c r="J1338" s="1644" t="e">
        <f t="shared" si="131"/>
        <v>#REF!</v>
      </c>
      <c r="K1338" s="1539"/>
      <c r="L1338" s="1539"/>
      <c r="M1338" s="1545"/>
      <c r="N1338" s="1545"/>
      <c r="O1338" s="1539"/>
      <c r="P1338" s="1539"/>
      <c r="Q1338" s="1539"/>
      <c r="R1338" s="1539"/>
      <c r="S1338" s="1539"/>
      <c r="T1338" s="1539"/>
      <c r="U1338" s="1539"/>
      <c r="V1338" s="1539"/>
      <c r="W1338" s="1539"/>
      <c r="X1338" s="1539"/>
      <c r="Y1338" s="1539"/>
      <c r="Z1338" s="1539"/>
      <c r="AA1338" s="1539"/>
      <c r="AB1338" s="1539"/>
      <c r="AC1338" s="1539"/>
      <c r="AD1338" s="1539"/>
      <c r="AE1338" s="1539"/>
      <c r="AF1338" s="1539"/>
      <c r="AG1338" s="1539"/>
      <c r="AH1338" s="1539"/>
      <c r="AI1338" s="1539"/>
      <c r="AJ1338" s="1539"/>
      <c r="AK1338" s="1539"/>
      <c r="AL1338" s="1539"/>
      <c r="AM1338" s="1539"/>
      <c r="AN1338" s="1539"/>
      <c r="AO1338" s="1539"/>
      <c r="AP1338" s="1539"/>
      <c r="AQ1338" s="1539"/>
      <c r="AR1338" s="1539"/>
      <c r="AS1338" s="1539"/>
      <c r="AT1338" s="1539"/>
      <c r="AU1338" s="1539"/>
      <c r="AV1338" s="1539"/>
      <c r="AW1338" s="1539"/>
      <c r="AX1338" s="1539"/>
      <c r="AY1338" s="1539"/>
      <c r="AZ1338" s="1539"/>
      <c r="BA1338" s="1539"/>
      <c r="BB1338" s="1539"/>
      <c r="BC1338" s="1539"/>
      <c r="BD1338" s="1539"/>
      <c r="BE1338" s="1539"/>
      <c r="BF1338" s="1539"/>
      <c r="BG1338" s="1539"/>
      <c r="BH1338" s="1539"/>
      <c r="BI1338" s="1539"/>
      <c r="BJ1338" s="1539"/>
      <c r="BK1338" s="1539"/>
      <c r="BL1338" s="1539"/>
      <c r="BM1338" s="1539"/>
      <c r="BN1338" s="1539"/>
      <c r="BO1338" s="1539"/>
      <c r="BP1338" s="1539"/>
      <c r="BQ1338" s="1539"/>
      <c r="BR1338" s="1539"/>
      <c r="BS1338" s="1539"/>
      <c r="BT1338" s="1539"/>
      <c r="BU1338" s="1539"/>
      <c r="BV1338" s="1539"/>
      <c r="BW1338" s="1539"/>
      <c r="BX1338" s="1539"/>
      <c r="BY1338" s="1539"/>
      <c r="BZ1338" s="1539"/>
      <c r="CA1338" s="1539"/>
      <c r="CB1338" s="1539"/>
      <c r="CC1338" s="1539"/>
      <c r="CD1338" s="1539"/>
      <c r="CE1338" s="1539"/>
      <c r="CF1338" s="1539"/>
      <c r="CG1338" s="1539"/>
      <c r="CH1338" s="1539"/>
      <c r="CI1338" s="1539"/>
      <c r="CJ1338" s="1539"/>
      <c r="CK1338" s="1539"/>
      <c r="CL1338" s="1539"/>
      <c r="CM1338" s="1539"/>
      <c r="CN1338" s="1539"/>
      <c r="CO1338" s="1539"/>
    </row>
    <row r="1339" spans="1:93" s="1542" customFormat="1" ht="15.5">
      <c r="A1339" s="1598" t="s">
        <v>2608</v>
      </c>
      <c r="B1339" s="1599" t="s">
        <v>2609</v>
      </c>
      <c r="C1339" s="1643" t="e">
        <f>+SUMIF(#REF!,Final!A1339,#REF!)</f>
        <v>#REF!</v>
      </c>
      <c r="D1339" s="1597" t="e">
        <f>+SUMIF(#REF!,Final!A1339,#REF!)</f>
        <v>#REF!</v>
      </c>
      <c r="E1339" s="1643" t="e">
        <f>SUMIF(#REF!,Final!A1339,#REF!)</f>
        <v>#REF!</v>
      </c>
      <c r="F1339" s="1644" t="e">
        <f>SUMIF(#REF!,Final!A1339,#REF!)</f>
        <v>#REF!</v>
      </c>
      <c r="G1339" s="1597" t="e">
        <f t="shared" si="128"/>
        <v>#REF!</v>
      </c>
      <c r="H1339" s="1644" t="e">
        <f t="shared" si="129"/>
        <v>#REF!</v>
      </c>
      <c r="I1339" s="1597" t="e">
        <f t="shared" si="130"/>
        <v>#REF!</v>
      </c>
      <c r="J1339" s="1644" t="e">
        <f t="shared" si="131"/>
        <v>#REF!</v>
      </c>
      <c r="K1339" s="1539"/>
      <c r="L1339" s="1539"/>
      <c r="M1339" s="1545"/>
      <c r="N1339" s="1545"/>
      <c r="O1339" s="1539"/>
      <c r="P1339" s="1539"/>
      <c r="Q1339" s="1539"/>
      <c r="R1339" s="1539"/>
      <c r="S1339" s="1539"/>
      <c r="T1339" s="1539"/>
      <c r="U1339" s="1539"/>
      <c r="V1339" s="1539"/>
      <c r="W1339" s="1539"/>
      <c r="X1339" s="1539"/>
      <c r="Y1339" s="1539"/>
      <c r="Z1339" s="1539"/>
      <c r="AA1339" s="1539"/>
      <c r="AB1339" s="1539"/>
      <c r="AC1339" s="1539"/>
      <c r="AD1339" s="1539"/>
      <c r="AE1339" s="1539"/>
      <c r="AF1339" s="1539"/>
      <c r="AG1339" s="1539"/>
      <c r="AH1339" s="1539"/>
      <c r="AI1339" s="1539"/>
      <c r="AJ1339" s="1539"/>
      <c r="AK1339" s="1539"/>
      <c r="AL1339" s="1539"/>
      <c r="AM1339" s="1539"/>
      <c r="AN1339" s="1539"/>
      <c r="AO1339" s="1539"/>
      <c r="AP1339" s="1539"/>
      <c r="AQ1339" s="1539"/>
      <c r="AR1339" s="1539"/>
      <c r="AS1339" s="1539"/>
      <c r="AT1339" s="1539"/>
      <c r="AU1339" s="1539"/>
      <c r="AV1339" s="1539"/>
      <c r="AW1339" s="1539"/>
      <c r="AX1339" s="1539"/>
      <c r="AY1339" s="1539"/>
      <c r="AZ1339" s="1539"/>
      <c r="BA1339" s="1539"/>
      <c r="BB1339" s="1539"/>
      <c r="BC1339" s="1539"/>
      <c r="BD1339" s="1539"/>
      <c r="BE1339" s="1539"/>
      <c r="BF1339" s="1539"/>
      <c r="BG1339" s="1539"/>
      <c r="BH1339" s="1539"/>
      <c r="BI1339" s="1539"/>
      <c r="BJ1339" s="1539"/>
      <c r="BK1339" s="1539"/>
      <c r="BL1339" s="1539"/>
      <c r="BM1339" s="1539"/>
      <c r="BN1339" s="1539"/>
      <c r="BO1339" s="1539"/>
      <c r="BP1339" s="1539"/>
      <c r="BQ1339" s="1539"/>
      <c r="BR1339" s="1539"/>
      <c r="BS1339" s="1539"/>
      <c r="BT1339" s="1539"/>
      <c r="BU1339" s="1539"/>
      <c r="BV1339" s="1539"/>
      <c r="BW1339" s="1539"/>
      <c r="BX1339" s="1539"/>
      <c r="BY1339" s="1539"/>
      <c r="BZ1339" s="1539"/>
      <c r="CA1339" s="1539"/>
      <c r="CB1339" s="1539"/>
      <c r="CC1339" s="1539"/>
      <c r="CD1339" s="1539"/>
      <c r="CE1339" s="1539"/>
      <c r="CF1339" s="1539"/>
      <c r="CG1339" s="1539"/>
      <c r="CH1339" s="1539"/>
      <c r="CI1339" s="1539"/>
      <c r="CJ1339" s="1539"/>
      <c r="CK1339" s="1539"/>
      <c r="CL1339" s="1539"/>
      <c r="CM1339" s="1539"/>
      <c r="CN1339" s="1539"/>
      <c r="CO1339" s="1539"/>
    </row>
    <row r="1340" spans="1:93" ht="15.5">
      <c r="A1340" s="1598">
        <v>25.201000000000001</v>
      </c>
      <c r="B1340" s="1599" t="s">
        <v>2610</v>
      </c>
      <c r="C1340" s="1643" t="e">
        <f>+SUMIF(#REF!,Final!A1340,#REF!)</f>
        <v>#REF!</v>
      </c>
      <c r="D1340" s="1597" t="e">
        <f>+SUMIF(#REF!,Final!A1340,#REF!)</f>
        <v>#REF!</v>
      </c>
      <c r="E1340" s="1643" t="e">
        <f>SUMIF(#REF!,Final!A1340,#REF!)</f>
        <v>#REF!</v>
      </c>
      <c r="F1340" s="1644" t="e">
        <f>SUMIF(#REF!,Final!A1340,#REF!)</f>
        <v>#REF!</v>
      </c>
      <c r="G1340" s="1597" t="e">
        <f t="shared" si="128"/>
        <v>#REF!</v>
      </c>
      <c r="H1340" s="1644" t="e">
        <f t="shared" si="129"/>
        <v>#REF!</v>
      </c>
      <c r="I1340" s="1597" t="e">
        <f t="shared" si="130"/>
        <v>#REF!</v>
      </c>
      <c r="J1340" s="1644" t="e">
        <f t="shared" si="131"/>
        <v>#REF!</v>
      </c>
      <c r="M1340" s="1545"/>
      <c r="N1340" s="1545"/>
    </row>
    <row r="1341" spans="1:93" ht="15.5">
      <c r="A1341" s="1598">
        <v>25.501000000000001</v>
      </c>
      <c r="B1341" s="1599" t="s">
        <v>2611</v>
      </c>
      <c r="C1341" s="1643" t="e">
        <f>+SUMIF(#REF!,Final!A1341,#REF!)</f>
        <v>#REF!</v>
      </c>
      <c r="D1341" s="1597" t="e">
        <f>+SUMIF(#REF!,Final!A1341,#REF!)</f>
        <v>#REF!</v>
      </c>
      <c r="E1341" s="1643" t="e">
        <f>SUMIF(#REF!,Final!A1341,#REF!)</f>
        <v>#REF!</v>
      </c>
      <c r="F1341" s="1644" t="e">
        <f>SUMIF(#REF!,Final!A1341,#REF!)</f>
        <v>#REF!</v>
      </c>
      <c r="G1341" s="1597" t="e">
        <f t="shared" si="128"/>
        <v>#REF!</v>
      </c>
      <c r="H1341" s="1644" t="e">
        <f t="shared" si="129"/>
        <v>#REF!</v>
      </c>
      <c r="I1341" s="1597" t="e">
        <f t="shared" si="130"/>
        <v>#REF!</v>
      </c>
      <c r="J1341" s="1644" t="e">
        <f t="shared" si="131"/>
        <v>#REF!</v>
      </c>
      <c r="M1341" s="1545"/>
      <c r="N1341" s="1545"/>
    </row>
    <row r="1342" spans="1:93" ht="15.5">
      <c r="A1342" s="1598">
        <v>25.501999999999999</v>
      </c>
      <c r="B1342" s="1599" t="s">
        <v>2611</v>
      </c>
      <c r="C1342" s="1643" t="e">
        <f>+SUMIF(#REF!,Final!A1342,#REF!)</f>
        <v>#REF!</v>
      </c>
      <c r="D1342" s="1597" t="e">
        <f>+SUMIF(#REF!,Final!A1342,#REF!)</f>
        <v>#REF!</v>
      </c>
      <c r="E1342" s="1643" t="e">
        <f>SUMIF(#REF!,Final!A1342,#REF!)</f>
        <v>#REF!</v>
      </c>
      <c r="F1342" s="1644" t="e">
        <f>SUMIF(#REF!,Final!A1342,#REF!)</f>
        <v>#REF!</v>
      </c>
      <c r="G1342" s="1597" t="e">
        <f t="shared" si="128"/>
        <v>#REF!</v>
      </c>
      <c r="H1342" s="1644" t="e">
        <f t="shared" si="129"/>
        <v>#REF!</v>
      </c>
      <c r="I1342" s="1597" t="e">
        <f t="shared" si="130"/>
        <v>#REF!</v>
      </c>
      <c r="J1342" s="1644" t="e">
        <f t="shared" si="131"/>
        <v>#REF!</v>
      </c>
      <c r="M1342" s="1545"/>
      <c r="N1342" s="1545"/>
    </row>
    <row r="1343" spans="1:93" ht="15.5">
      <c r="A1343" s="1598">
        <v>25.503</v>
      </c>
      <c r="B1343" s="1599" t="s">
        <v>2611</v>
      </c>
      <c r="C1343" s="1643" t="e">
        <f>+SUMIF(#REF!,Final!A1343,#REF!)</f>
        <v>#REF!</v>
      </c>
      <c r="D1343" s="1597" t="e">
        <f>+SUMIF(#REF!,Final!A1343,#REF!)</f>
        <v>#REF!</v>
      </c>
      <c r="E1343" s="1643" t="e">
        <f>SUMIF(#REF!,Final!A1343,#REF!)</f>
        <v>#REF!</v>
      </c>
      <c r="F1343" s="1644" t="e">
        <f>SUMIF(#REF!,Final!A1343,#REF!)</f>
        <v>#REF!</v>
      </c>
      <c r="G1343" s="1597" t="e">
        <f t="shared" si="128"/>
        <v>#REF!</v>
      </c>
      <c r="H1343" s="1644" t="e">
        <f t="shared" si="129"/>
        <v>#REF!</v>
      </c>
      <c r="I1343" s="1597" t="e">
        <f t="shared" si="130"/>
        <v>#REF!</v>
      </c>
      <c r="J1343" s="1644" t="e">
        <f t="shared" si="131"/>
        <v>#REF!</v>
      </c>
      <c r="M1343" s="1545"/>
      <c r="N1343" s="1545"/>
    </row>
    <row r="1344" spans="1:93" ht="15.5">
      <c r="A1344" s="1692">
        <v>25.571000000000002</v>
      </c>
      <c r="B1344" s="1705" t="s">
        <v>4967</v>
      </c>
      <c r="C1344" s="1643" t="e">
        <f>+SUMIF(#REF!,Final!A1344,#REF!)</f>
        <v>#REF!</v>
      </c>
      <c r="D1344" s="1597" t="e">
        <f>+SUMIF(#REF!,Final!A1344,#REF!)</f>
        <v>#REF!</v>
      </c>
      <c r="E1344" s="1643" t="e">
        <f>SUMIF(#REF!,Final!A1344,#REF!)</f>
        <v>#REF!</v>
      </c>
      <c r="F1344" s="1644" t="e">
        <f>SUMIF(#REF!,Final!A1344,#REF!)</f>
        <v>#REF!</v>
      </c>
      <c r="G1344" s="1597" t="e">
        <f t="shared" si="128"/>
        <v>#REF!</v>
      </c>
      <c r="H1344" s="1644" t="e">
        <f t="shared" si="129"/>
        <v>#REF!</v>
      </c>
      <c r="I1344" s="1597" t="e">
        <f t="shared" si="130"/>
        <v>#REF!</v>
      </c>
      <c r="J1344" s="1644" t="e">
        <f t="shared" si="131"/>
        <v>#REF!</v>
      </c>
      <c r="M1344" s="1545"/>
      <c r="N1344" s="1545"/>
    </row>
    <row r="1345" spans="1:93" ht="15.5">
      <c r="A1345" s="1598">
        <v>25.600999999999999</v>
      </c>
      <c r="B1345" s="1599" t="s">
        <v>2612</v>
      </c>
      <c r="C1345" s="1643" t="e">
        <f>+SUMIF(#REF!,Final!A1345,#REF!)</f>
        <v>#REF!</v>
      </c>
      <c r="D1345" s="1597" t="e">
        <f>+SUMIF(#REF!,Final!A1345,#REF!)</f>
        <v>#REF!</v>
      </c>
      <c r="E1345" s="1643" t="e">
        <f>SUMIF(#REF!,Final!A1345,#REF!)</f>
        <v>#REF!</v>
      </c>
      <c r="F1345" s="1644" t="e">
        <f>SUMIF(#REF!,Final!A1345,#REF!)</f>
        <v>#REF!</v>
      </c>
      <c r="G1345" s="1597" t="e">
        <f t="shared" si="128"/>
        <v>#REF!</v>
      </c>
      <c r="H1345" s="1644" t="e">
        <f t="shared" si="129"/>
        <v>#REF!</v>
      </c>
      <c r="I1345" s="1597" t="e">
        <f t="shared" si="130"/>
        <v>#REF!</v>
      </c>
      <c r="J1345" s="1644" t="e">
        <f t="shared" si="131"/>
        <v>#REF!</v>
      </c>
      <c r="M1345" s="1545"/>
      <c r="N1345" s="1545"/>
    </row>
    <row r="1346" spans="1:93" s="1542" customFormat="1" ht="15.5">
      <c r="A1346" s="1598">
        <v>25.602</v>
      </c>
      <c r="B1346" s="1599" t="s">
        <v>2613</v>
      </c>
      <c r="C1346" s="1643" t="e">
        <f>+SUMIF(#REF!,Final!A1346,#REF!)</f>
        <v>#REF!</v>
      </c>
      <c r="D1346" s="1597" t="e">
        <f>+SUMIF(#REF!,Final!A1346,#REF!)</f>
        <v>#REF!</v>
      </c>
      <c r="E1346" s="1643" t="e">
        <f>SUMIF(#REF!,Final!A1346,#REF!)</f>
        <v>#REF!</v>
      </c>
      <c r="F1346" s="1644" t="e">
        <f>SUMIF(#REF!,Final!A1346,#REF!)</f>
        <v>#REF!</v>
      </c>
      <c r="G1346" s="1597" t="e">
        <f t="shared" si="128"/>
        <v>#REF!</v>
      </c>
      <c r="H1346" s="1644" t="e">
        <f t="shared" si="129"/>
        <v>#REF!</v>
      </c>
      <c r="I1346" s="1597" t="e">
        <f t="shared" si="130"/>
        <v>#REF!</v>
      </c>
      <c r="J1346" s="1644" t="e">
        <f t="shared" si="131"/>
        <v>#REF!</v>
      </c>
      <c r="K1346" s="1539"/>
      <c r="L1346" s="1539"/>
      <c r="M1346" s="1545"/>
      <c r="N1346" s="1545"/>
      <c r="O1346" s="1539"/>
      <c r="P1346" s="1539"/>
      <c r="Q1346" s="1539"/>
      <c r="R1346" s="1539"/>
      <c r="S1346" s="1539"/>
      <c r="T1346" s="1539"/>
      <c r="U1346" s="1539"/>
      <c r="V1346" s="1539"/>
      <c r="W1346" s="1539"/>
      <c r="X1346" s="1539"/>
      <c r="Y1346" s="1539"/>
      <c r="Z1346" s="1539"/>
      <c r="AA1346" s="1539"/>
      <c r="AB1346" s="1539"/>
      <c r="AC1346" s="1539"/>
      <c r="AD1346" s="1539"/>
      <c r="AE1346" s="1539"/>
      <c r="AF1346" s="1539"/>
      <c r="AG1346" s="1539"/>
      <c r="AH1346" s="1539"/>
      <c r="AI1346" s="1539"/>
      <c r="AJ1346" s="1539"/>
      <c r="AK1346" s="1539"/>
      <c r="AL1346" s="1539"/>
      <c r="AM1346" s="1539"/>
      <c r="AN1346" s="1539"/>
      <c r="AO1346" s="1539"/>
      <c r="AP1346" s="1539"/>
      <c r="AQ1346" s="1539"/>
      <c r="AR1346" s="1539"/>
      <c r="AS1346" s="1539"/>
      <c r="AT1346" s="1539"/>
      <c r="AU1346" s="1539"/>
      <c r="AV1346" s="1539"/>
      <c r="AW1346" s="1539"/>
      <c r="AX1346" s="1539"/>
      <c r="AY1346" s="1539"/>
      <c r="AZ1346" s="1539"/>
      <c r="BA1346" s="1539"/>
      <c r="BB1346" s="1539"/>
      <c r="BC1346" s="1539"/>
      <c r="BD1346" s="1539"/>
      <c r="BE1346" s="1539"/>
      <c r="BF1346" s="1539"/>
      <c r="BG1346" s="1539"/>
      <c r="BH1346" s="1539"/>
      <c r="BI1346" s="1539"/>
      <c r="BJ1346" s="1539"/>
      <c r="BK1346" s="1539"/>
      <c r="BL1346" s="1539"/>
      <c r="BM1346" s="1539"/>
      <c r="BN1346" s="1539"/>
      <c r="BO1346" s="1539"/>
      <c r="BP1346" s="1539"/>
      <c r="BQ1346" s="1539"/>
      <c r="BR1346" s="1539"/>
      <c r="BS1346" s="1539"/>
      <c r="BT1346" s="1539"/>
      <c r="BU1346" s="1539"/>
      <c r="BV1346" s="1539"/>
      <c r="BW1346" s="1539"/>
      <c r="BX1346" s="1539"/>
      <c r="BY1346" s="1539"/>
      <c r="BZ1346" s="1539"/>
      <c r="CA1346" s="1539"/>
      <c r="CB1346" s="1539"/>
      <c r="CC1346" s="1539"/>
      <c r="CD1346" s="1539"/>
      <c r="CE1346" s="1539"/>
      <c r="CF1346" s="1539"/>
      <c r="CG1346" s="1539"/>
      <c r="CH1346" s="1539"/>
      <c r="CI1346" s="1539"/>
      <c r="CJ1346" s="1539"/>
      <c r="CK1346" s="1539"/>
      <c r="CL1346" s="1539"/>
      <c r="CM1346" s="1539"/>
      <c r="CN1346" s="1539"/>
      <c r="CO1346" s="1539"/>
    </row>
    <row r="1347" spans="1:93" ht="15.5">
      <c r="A1347" s="1598">
        <v>25.603000000000002</v>
      </c>
      <c r="B1347" s="1599" t="s">
        <v>2614</v>
      </c>
      <c r="C1347" s="1643" t="e">
        <f>+SUMIF(#REF!,Final!A1347,#REF!)</f>
        <v>#REF!</v>
      </c>
      <c r="D1347" s="1597" t="e">
        <f>+SUMIF(#REF!,Final!A1347,#REF!)</f>
        <v>#REF!</v>
      </c>
      <c r="E1347" s="1643" t="e">
        <f>SUMIF(#REF!,Final!A1347,#REF!)</f>
        <v>#REF!</v>
      </c>
      <c r="F1347" s="1644" t="e">
        <f>SUMIF(#REF!,Final!A1347,#REF!)</f>
        <v>#REF!</v>
      </c>
      <c r="G1347" s="1597" t="e">
        <f t="shared" si="128"/>
        <v>#REF!</v>
      </c>
      <c r="H1347" s="1644" t="e">
        <f t="shared" si="129"/>
        <v>#REF!</v>
      </c>
      <c r="I1347" s="1597" t="e">
        <f t="shared" si="130"/>
        <v>#REF!</v>
      </c>
      <c r="J1347" s="1644" t="e">
        <f t="shared" si="131"/>
        <v>#REF!</v>
      </c>
      <c r="M1347" s="1545"/>
      <c r="N1347" s="1545"/>
    </row>
    <row r="1348" spans="1:93" ht="15.5">
      <c r="A1348" s="1598">
        <v>25.603999999999999</v>
      </c>
      <c r="B1348" s="1599" t="s">
        <v>2615</v>
      </c>
      <c r="C1348" s="1643" t="e">
        <f>+SUMIF(#REF!,Final!A1348,#REF!)</f>
        <v>#REF!</v>
      </c>
      <c r="D1348" s="1597" t="e">
        <f>+SUMIF(#REF!,Final!A1348,#REF!)</f>
        <v>#REF!</v>
      </c>
      <c r="E1348" s="1643" t="e">
        <f>SUMIF(#REF!,Final!A1348,#REF!)</f>
        <v>#REF!</v>
      </c>
      <c r="F1348" s="1644" t="e">
        <f>SUMIF(#REF!,Final!A1348,#REF!)</f>
        <v>#REF!</v>
      </c>
      <c r="G1348" s="1597" t="e">
        <f t="shared" si="128"/>
        <v>#REF!</v>
      </c>
      <c r="H1348" s="1644" t="e">
        <f t="shared" si="129"/>
        <v>#REF!</v>
      </c>
      <c r="I1348" s="1597" t="e">
        <f t="shared" si="130"/>
        <v>#REF!</v>
      </c>
      <c r="J1348" s="1644" t="e">
        <f t="shared" si="131"/>
        <v>#REF!</v>
      </c>
      <c r="M1348" s="1545"/>
      <c r="N1348" s="1545"/>
    </row>
    <row r="1349" spans="1:93" ht="15.5">
      <c r="A1349" s="1598">
        <v>25.605</v>
      </c>
      <c r="B1349" s="1599" t="s">
        <v>2616</v>
      </c>
      <c r="C1349" s="1643" t="e">
        <f>+SUMIF(#REF!,Final!A1349,#REF!)</f>
        <v>#REF!</v>
      </c>
      <c r="D1349" s="1597" t="e">
        <f>+SUMIF(#REF!,Final!A1349,#REF!)</f>
        <v>#REF!</v>
      </c>
      <c r="E1349" s="1643" t="e">
        <f>SUMIF(#REF!,Final!A1349,#REF!)</f>
        <v>#REF!</v>
      </c>
      <c r="F1349" s="1644" t="e">
        <f>SUMIF(#REF!,Final!A1349,#REF!)</f>
        <v>#REF!</v>
      </c>
      <c r="G1349" s="1597" t="e">
        <f t="shared" si="128"/>
        <v>#REF!</v>
      </c>
      <c r="H1349" s="1644" t="e">
        <f t="shared" si="129"/>
        <v>#REF!</v>
      </c>
      <c r="I1349" s="1597" t="e">
        <f t="shared" si="130"/>
        <v>#REF!</v>
      </c>
      <c r="J1349" s="1644" t="e">
        <f t="shared" si="131"/>
        <v>#REF!</v>
      </c>
      <c r="M1349" s="1545"/>
      <c r="N1349" s="1545"/>
    </row>
    <row r="1350" spans="1:93" s="1542" customFormat="1" ht="15.5">
      <c r="A1350" s="1598">
        <v>25.606000000000002</v>
      </c>
      <c r="B1350" s="1599" t="s">
        <v>2617</v>
      </c>
      <c r="C1350" s="1643" t="e">
        <f>+SUMIF(#REF!,Final!A1350,#REF!)</f>
        <v>#REF!</v>
      </c>
      <c r="D1350" s="1597" t="e">
        <f>+SUMIF(#REF!,Final!A1350,#REF!)</f>
        <v>#REF!</v>
      </c>
      <c r="E1350" s="1643" t="e">
        <f>SUMIF(#REF!,Final!A1350,#REF!)</f>
        <v>#REF!</v>
      </c>
      <c r="F1350" s="1644" t="e">
        <f>SUMIF(#REF!,Final!A1350,#REF!)</f>
        <v>#REF!</v>
      </c>
      <c r="G1350" s="1597" t="e">
        <f t="shared" si="128"/>
        <v>#REF!</v>
      </c>
      <c r="H1350" s="1644" t="e">
        <f t="shared" si="129"/>
        <v>#REF!</v>
      </c>
      <c r="I1350" s="1597" t="e">
        <f t="shared" si="130"/>
        <v>#REF!</v>
      </c>
      <c r="J1350" s="1644" t="e">
        <f t="shared" si="131"/>
        <v>#REF!</v>
      </c>
      <c r="K1350" s="1539"/>
      <c r="L1350" s="1539"/>
      <c r="M1350" s="1545"/>
      <c r="N1350" s="1545"/>
      <c r="O1350" s="1539"/>
      <c r="P1350" s="1539"/>
      <c r="Q1350" s="1539"/>
      <c r="R1350" s="1539"/>
      <c r="S1350" s="1539"/>
      <c r="T1350" s="1539"/>
      <c r="U1350" s="1539"/>
      <c r="V1350" s="1539"/>
      <c r="W1350" s="1539"/>
      <c r="X1350" s="1539"/>
      <c r="Y1350" s="1539"/>
      <c r="Z1350" s="1539"/>
      <c r="AA1350" s="1539"/>
      <c r="AB1350" s="1539"/>
      <c r="AC1350" s="1539"/>
      <c r="AD1350" s="1539"/>
      <c r="AE1350" s="1539"/>
      <c r="AF1350" s="1539"/>
      <c r="AG1350" s="1539"/>
      <c r="AH1350" s="1539"/>
      <c r="AI1350" s="1539"/>
      <c r="AJ1350" s="1539"/>
      <c r="AK1350" s="1539"/>
      <c r="AL1350" s="1539"/>
      <c r="AM1350" s="1539"/>
      <c r="AN1350" s="1539"/>
      <c r="AO1350" s="1539"/>
      <c r="AP1350" s="1539"/>
      <c r="AQ1350" s="1539"/>
      <c r="AR1350" s="1539"/>
      <c r="AS1350" s="1539"/>
      <c r="AT1350" s="1539"/>
      <c r="AU1350" s="1539"/>
      <c r="AV1350" s="1539"/>
      <c r="AW1350" s="1539"/>
      <c r="AX1350" s="1539"/>
      <c r="AY1350" s="1539"/>
      <c r="AZ1350" s="1539"/>
      <c r="BA1350" s="1539"/>
      <c r="BB1350" s="1539"/>
      <c r="BC1350" s="1539"/>
      <c r="BD1350" s="1539"/>
      <c r="BE1350" s="1539"/>
      <c r="BF1350" s="1539"/>
      <c r="BG1350" s="1539"/>
      <c r="BH1350" s="1539"/>
      <c r="BI1350" s="1539"/>
      <c r="BJ1350" s="1539"/>
      <c r="BK1350" s="1539"/>
      <c r="BL1350" s="1539"/>
      <c r="BM1350" s="1539"/>
      <c r="BN1350" s="1539"/>
      <c r="BO1350" s="1539"/>
      <c r="BP1350" s="1539"/>
      <c r="BQ1350" s="1539"/>
      <c r="BR1350" s="1539"/>
      <c r="BS1350" s="1539"/>
      <c r="BT1350" s="1539"/>
      <c r="BU1350" s="1539"/>
      <c r="BV1350" s="1539"/>
      <c r="BW1350" s="1539"/>
      <c r="BX1350" s="1539"/>
      <c r="BY1350" s="1539"/>
      <c r="BZ1350" s="1539"/>
      <c r="CA1350" s="1539"/>
      <c r="CB1350" s="1539"/>
      <c r="CC1350" s="1539"/>
      <c r="CD1350" s="1539"/>
      <c r="CE1350" s="1539"/>
      <c r="CF1350" s="1539"/>
      <c r="CG1350" s="1539"/>
      <c r="CH1350" s="1539"/>
      <c r="CI1350" s="1539"/>
      <c r="CJ1350" s="1539"/>
      <c r="CK1350" s="1539"/>
      <c r="CL1350" s="1539"/>
      <c r="CM1350" s="1539"/>
      <c r="CN1350" s="1539"/>
      <c r="CO1350" s="1539"/>
    </row>
    <row r="1351" spans="1:93" ht="15" customHeight="1">
      <c r="A1351" s="1598">
        <v>25.606999999999999</v>
      </c>
      <c r="B1351" s="1599" t="s">
        <v>2618</v>
      </c>
      <c r="C1351" s="1643" t="e">
        <f>+SUMIF(#REF!,Final!A1351,#REF!)</f>
        <v>#REF!</v>
      </c>
      <c r="D1351" s="1597" t="e">
        <f>+SUMIF(#REF!,Final!A1351,#REF!)</f>
        <v>#REF!</v>
      </c>
      <c r="E1351" s="1643" t="e">
        <f>SUMIF(#REF!,Final!A1351,#REF!)</f>
        <v>#REF!</v>
      </c>
      <c r="F1351" s="1644" t="e">
        <f>SUMIF(#REF!,Final!A1351,#REF!)</f>
        <v>#REF!</v>
      </c>
      <c r="G1351" s="1597" t="e">
        <f t="shared" si="128"/>
        <v>#REF!</v>
      </c>
      <c r="H1351" s="1644" t="e">
        <f t="shared" si="129"/>
        <v>#REF!</v>
      </c>
      <c r="I1351" s="1597" t="e">
        <f t="shared" si="130"/>
        <v>#REF!</v>
      </c>
      <c r="J1351" s="1644" t="e">
        <f t="shared" si="131"/>
        <v>#REF!</v>
      </c>
      <c r="M1351" s="1545"/>
      <c r="N1351" s="1545"/>
    </row>
    <row r="1352" spans="1:93" ht="15.5">
      <c r="A1352" s="1598">
        <v>25.608000000000001</v>
      </c>
      <c r="B1352" s="1599" t="s">
        <v>2619</v>
      </c>
      <c r="C1352" s="1643" t="e">
        <f>+SUMIF(#REF!,Final!A1352,#REF!)</f>
        <v>#REF!</v>
      </c>
      <c r="D1352" s="1597" t="e">
        <f>+SUMIF(#REF!,Final!A1352,#REF!)</f>
        <v>#REF!</v>
      </c>
      <c r="E1352" s="1643" t="e">
        <f>SUMIF(#REF!,Final!A1352,#REF!)</f>
        <v>#REF!</v>
      </c>
      <c r="F1352" s="1644" t="e">
        <f>SUMIF(#REF!,Final!A1352,#REF!)</f>
        <v>#REF!</v>
      </c>
      <c r="G1352" s="1597" t="e">
        <f t="shared" si="128"/>
        <v>#REF!</v>
      </c>
      <c r="H1352" s="1644" t="e">
        <f t="shared" si="129"/>
        <v>#REF!</v>
      </c>
      <c r="I1352" s="1597" t="e">
        <f t="shared" si="130"/>
        <v>#REF!</v>
      </c>
      <c r="J1352" s="1644" t="e">
        <f t="shared" si="131"/>
        <v>#REF!</v>
      </c>
      <c r="M1352" s="1545"/>
      <c r="N1352" s="1545"/>
    </row>
    <row r="1353" spans="1:93" s="1542" customFormat="1" ht="15.5">
      <c r="A1353" s="1598">
        <v>25.609000000000002</v>
      </c>
      <c r="B1353" s="1599" t="s">
        <v>2620</v>
      </c>
      <c r="C1353" s="1643" t="e">
        <f>+SUMIF(#REF!,Final!A1353,#REF!)</f>
        <v>#REF!</v>
      </c>
      <c r="D1353" s="1597" t="e">
        <f>+SUMIF(#REF!,Final!A1353,#REF!)</f>
        <v>#REF!</v>
      </c>
      <c r="E1353" s="1643" t="e">
        <f>SUMIF(#REF!,Final!A1353,#REF!)</f>
        <v>#REF!</v>
      </c>
      <c r="F1353" s="1644" t="e">
        <f>SUMIF(#REF!,Final!A1353,#REF!)</f>
        <v>#REF!</v>
      </c>
      <c r="G1353" s="1597" t="e">
        <f t="shared" si="128"/>
        <v>#REF!</v>
      </c>
      <c r="H1353" s="1644" t="e">
        <f t="shared" si="129"/>
        <v>#REF!</v>
      </c>
      <c r="I1353" s="1597" t="e">
        <f t="shared" si="130"/>
        <v>#REF!</v>
      </c>
      <c r="J1353" s="1644" t="e">
        <f t="shared" si="131"/>
        <v>#REF!</v>
      </c>
      <c r="K1353" s="1539"/>
      <c r="L1353" s="1539"/>
      <c r="M1353" s="1545"/>
      <c r="N1353" s="1545"/>
      <c r="O1353" s="1539"/>
      <c r="P1353" s="1539"/>
      <c r="Q1353" s="1539"/>
      <c r="R1353" s="1539"/>
      <c r="S1353" s="1539"/>
      <c r="T1353" s="1539"/>
      <c r="U1353" s="1539"/>
      <c r="V1353" s="1539"/>
      <c r="W1353" s="1539"/>
      <c r="X1353" s="1539"/>
      <c r="Y1353" s="1539"/>
      <c r="Z1353" s="1539"/>
      <c r="AA1353" s="1539"/>
      <c r="AB1353" s="1539"/>
      <c r="AC1353" s="1539"/>
      <c r="AD1353" s="1539"/>
      <c r="AE1353" s="1539"/>
      <c r="AF1353" s="1539"/>
      <c r="AG1353" s="1539"/>
      <c r="AH1353" s="1539"/>
      <c r="AI1353" s="1539"/>
      <c r="AJ1353" s="1539"/>
      <c r="AK1353" s="1539"/>
      <c r="AL1353" s="1539"/>
      <c r="AM1353" s="1539"/>
      <c r="AN1353" s="1539"/>
      <c r="AO1353" s="1539"/>
      <c r="AP1353" s="1539"/>
      <c r="AQ1353" s="1539"/>
      <c r="AR1353" s="1539"/>
      <c r="AS1353" s="1539"/>
      <c r="AT1353" s="1539"/>
      <c r="AU1353" s="1539"/>
      <c r="AV1353" s="1539"/>
      <c r="AW1353" s="1539"/>
      <c r="AX1353" s="1539"/>
      <c r="AY1353" s="1539"/>
      <c r="AZ1353" s="1539"/>
      <c r="BA1353" s="1539"/>
      <c r="BB1353" s="1539"/>
      <c r="BC1353" s="1539"/>
      <c r="BD1353" s="1539"/>
      <c r="BE1353" s="1539"/>
      <c r="BF1353" s="1539"/>
      <c r="BG1353" s="1539"/>
      <c r="BH1353" s="1539"/>
      <c r="BI1353" s="1539"/>
      <c r="BJ1353" s="1539"/>
      <c r="BK1353" s="1539"/>
      <c r="BL1353" s="1539"/>
      <c r="BM1353" s="1539"/>
      <c r="BN1353" s="1539"/>
      <c r="BO1353" s="1539"/>
      <c r="BP1353" s="1539"/>
      <c r="BQ1353" s="1539"/>
      <c r="BR1353" s="1539"/>
      <c r="BS1353" s="1539"/>
      <c r="BT1353" s="1539"/>
      <c r="BU1353" s="1539"/>
      <c r="BV1353" s="1539"/>
      <c r="BW1353" s="1539"/>
      <c r="BX1353" s="1539"/>
      <c r="BY1353" s="1539"/>
      <c r="BZ1353" s="1539"/>
      <c r="CA1353" s="1539"/>
      <c r="CB1353" s="1539"/>
      <c r="CC1353" s="1539"/>
      <c r="CD1353" s="1539"/>
      <c r="CE1353" s="1539"/>
      <c r="CF1353" s="1539"/>
      <c r="CG1353" s="1539"/>
      <c r="CH1353" s="1539"/>
      <c r="CI1353" s="1539"/>
      <c r="CJ1353" s="1539"/>
      <c r="CK1353" s="1539"/>
      <c r="CL1353" s="1539"/>
      <c r="CM1353" s="1539"/>
      <c r="CN1353" s="1539"/>
      <c r="CO1353" s="1539"/>
    </row>
    <row r="1354" spans="1:93" ht="15.5">
      <c r="A1354" s="1598">
        <v>25.61</v>
      </c>
      <c r="B1354" s="1599" t="s">
        <v>2621</v>
      </c>
      <c r="C1354" s="1643" t="e">
        <f>+SUMIF(#REF!,Final!A1354,#REF!)</f>
        <v>#REF!</v>
      </c>
      <c r="D1354" s="1597" t="e">
        <f>+SUMIF(#REF!,Final!A1354,#REF!)</f>
        <v>#REF!</v>
      </c>
      <c r="E1354" s="1643" t="e">
        <f>SUMIF(#REF!,Final!A1354,#REF!)</f>
        <v>#REF!</v>
      </c>
      <c r="F1354" s="1644" t="e">
        <f>SUMIF(#REF!,Final!A1354,#REF!)</f>
        <v>#REF!</v>
      </c>
      <c r="G1354" s="1597" t="e">
        <f t="shared" si="128"/>
        <v>#REF!</v>
      </c>
      <c r="H1354" s="1644" t="e">
        <f t="shared" si="129"/>
        <v>#REF!</v>
      </c>
      <c r="I1354" s="1597" t="e">
        <f t="shared" si="130"/>
        <v>#REF!</v>
      </c>
      <c r="J1354" s="1644" t="e">
        <f t="shared" si="131"/>
        <v>#REF!</v>
      </c>
      <c r="M1354" s="1545"/>
      <c r="N1354" s="1545"/>
    </row>
    <row r="1355" spans="1:93" ht="15.5">
      <c r="A1355" s="1598">
        <v>25.611000000000001</v>
      </c>
      <c r="B1355" s="1599" t="s">
        <v>2622</v>
      </c>
      <c r="C1355" s="1643" t="e">
        <f>+SUMIF(#REF!,Final!A1355,#REF!)</f>
        <v>#REF!</v>
      </c>
      <c r="D1355" s="1597" t="e">
        <f>+SUMIF(#REF!,Final!A1355,#REF!)</f>
        <v>#REF!</v>
      </c>
      <c r="E1355" s="1643" t="e">
        <f>SUMIF(#REF!,Final!A1355,#REF!)</f>
        <v>#REF!</v>
      </c>
      <c r="F1355" s="1644" t="e">
        <f>SUMIF(#REF!,Final!A1355,#REF!)</f>
        <v>#REF!</v>
      </c>
      <c r="G1355" s="1597" t="e">
        <f t="shared" si="128"/>
        <v>#REF!</v>
      </c>
      <c r="H1355" s="1644" t="e">
        <f t="shared" si="129"/>
        <v>#REF!</v>
      </c>
      <c r="I1355" s="1597" t="e">
        <f t="shared" si="130"/>
        <v>#REF!</v>
      </c>
      <c r="J1355" s="1644" t="e">
        <f t="shared" si="131"/>
        <v>#REF!</v>
      </c>
      <c r="M1355" s="1545"/>
      <c r="N1355" s="1545"/>
    </row>
    <row r="1356" spans="1:93" ht="15.5">
      <c r="A1356" s="1598">
        <v>25.611999999999998</v>
      </c>
      <c r="B1356" s="1599" t="s">
        <v>2623</v>
      </c>
      <c r="C1356" s="1643" t="e">
        <f>+SUMIF(#REF!,Final!A1356,#REF!)</f>
        <v>#REF!</v>
      </c>
      <c r="D1356" s="1597" t="e">
        <f>+SUMIF(#REF!,Final!A1356,#REF!)</f>
        <v>#REF!</v>
      </c>
      <c r="E1356" s="1643" t="e">
        <f>SUMIF(#REF!,Final!A1356,#REF!)</f>
        <v>#REF!</v>
      </c>
      <c r="F1356" s="1644" t="e">
        <f>SUMIF(#REF!,Final!A1356,#REF!)</f>
        <v>#REF!</v>
      </c>
      <c r="G1356" s="1597" t="e">
        <f t="shared" si="128"/>
        <v>#REF!</v>
      </c>
      <c r="H1356" s="1644" t="e">
        <f t="shared" si="129"/>
        <v>#REF!</v>
      </c>
      <c r="I1356" s="1597" t="e">
        <f t="shared" si="130"/>
        <v>#REF!</v>
      </c>
      <c r="J1356" s="1644" t="e">
        <f t="shared" si="131"/>
        <v>#REF!</v>
      </c>
      <c r="M1356" s="1545"/>
      <c r="N1356" s="1545"/>
    </row>
    <row r="1357" spans="1:93" ht="15.5">
      <c r="A1357" s="1598">
        <v>25.613</v>
      </c>
      <c r="B1357" s="1599" t="s">
        <v>2624</v>
      </c>
      <c r="C1357" s="1643" t="e">
        <f>+SUMIF(#REF!,Final!A1357,#REF!)</f>
        <v>#REF!</v>
      </c>
      <c r="D1357" s="1597" t="e">
        <f>+SUMIF(#REF!,Final!A1357,#REF!)</f>
        <v>#REF!</v>
      </c>
      <c r="E1357" s="1643" t="e">
        <f>SUMIF(#REF!,Final!A1357,#REF!)</f>
        <v>#REF!</v>
      </c>
      <c r="F1357" s="1644" t="e">
        <f>SUMIF(#REF!,Final!A1357,#REF!)</f>
        <v>#REF!</v>
      </c>
      <c r="G1357" s="1597" t="e">
        <f t="shared" si="128"/>
        <v>#REF!</v>
      </c>
      <c r="H1357" s="1644" t="e">
        <f t="shared" si="129"/>
        <v>#REF!</v>
      </c>
      <c r="I1357" s="1597" t="e">
        <f t="shared" si="130"/>
        <v>#REF!</v>
      </c>
      <c r="J1357" s="1644" t="e">
        <f t="shared" si="131"/>
        <v>#REF!</v>
      </c>
      <c r="M1357" s="1545"/>
      <c r="N1357" s="1545"/>
    </row>
    <row r="1358" spans="1:93" ht="15.5">
      <c r="A1358" s="1598">
        <v>25.614000000000001</v>
      </c>
      <c r="B1358" s="1599" t="s">
        <v>2625</v>
      </c>
      <c r="C1358" s="1643" t="e">
        <f>+SUMIF(#REF!,Final!A1358,#REF!)</f>
        <v>#REF!</v>
      </c>
      <c r="D1358" s="1597" t="e">
        <f>+SUMIF(#REF!,Final!A1358,#REF!)</f>
        <v>#REF!</v>
      </c>
      <c r="E1358" s="1643" t="e">
        <f>SUMIF(#REF!,Final!A1358,#REF!)</f>
        <v>#REF!</v>
      </c>
      <c r="F1358" s="1644" t="e">
        <f>SUMIF(#REF!,Final!A1358,#REF!)</f>
        <v>#REF!</v>
      </c>
      <c r="G1358" s="1597" t="e">
        <f t="shared" si="128"/>
        <v>#REF!</v>
      </c>
      <c r="H1358" s="1644" t="e">
        <f t="shared" si="129"/>
        <v>#REF!</v>
      </c>
      <c r="I1358" s="1597" t="e">
        <f t="shared" si="130"/>
        <v>#REF!</v>
      </c>
      <c r="J1358" s="1644" t="e">
        <f t="shared" si="131"/>
        <v>#REF!</v>
      </c>
      <c r="M1358" s="1545"/>
      <c r="N1358" s="1545"/>
    </row>
    <row r="1359" spans="1:93" s="1552" customFormat="1" ht="15.5">
      <c r="A1359" s="1598"/>
      <c r="B1359" s="1599" t="s">
        <v>2626</v>
      </c>
      <c r="C1359" s="1643" t="e">
        <f>+SUMIF(#REF!,Final!A1359,#REF!)</f>
        <v>#REF!</v>
      </c>
      <c r="D1359" s="1597" t="e">
        <f>+SUMIF(#REF!,Final!A1359,#REF!)</f>
        <v>#REF!</v>
      </c>
      <c r="E1359" s="1643" t="e">
        <f>SUMIF(#REF!,Final!A1359,#REF!)</f>
        <v>#REF!</v>
      </c>
      <c r="F1359" s="1644" t="e">
        <f>SUMIF(#REF!,Final!A1359,#REF!)</f>
        <v>#REF!</v>
      </c>
      <c r="G1359" s="1597" t="e">
        <f t="shared" si="128"/>
        <v>#REF!</v>
      </c>
      <c r="H1359" s="1644" t="e">
        <f t="shared" si="129"/>
        <v>#REF!</v>
      </c>
      <c r="I1359" s="1597" t="e">
        <f t="shared" si="130"/>
        <v>#REF!</v>
      </c>
      <c r="J1359" s="1644" t="e">
        <f t="shared" si="131"/>
        <v>#REF!</v>
      </c>
      <c r="K1359" s="1539"/>
      <c r="L1359" s="1539"/>
      <c r="M1359" s="1545"/>
      <c r="N1359" s="1545"/>
      <c r="O1359" s="1539"/>
      <c r="P1359" s="1539"/>
      <c r="Q1359" s="1539"/>
      <c r="R1359" s="1539"/>
      <c r="S1359" s="1539"/>
      <c r="T1359" s="1539"/>
      <c r="U1359" s="1539"/>
      <c r="V1359" s="1539"/>
      <c r="W1359" s="1539"/>
      <c r="X1359" s="1539"/>
      <c r="Y1359" s="1539"/>
      <c r="Z1359" s="1539"/>
      <c r="AA1359" s="1539"/>
      <c r="AB1359" s="1539"/>
      <c r="AC1359" s="1539"/>
      <c r="AD1359" s="1539"/>
      <c r="AE1359" s="1539"/>
      <c r="AF1359" s="1539"/>
      <c r="AG1359" s="1539"/>
      <c r="AH1359" s="1539"/>
      <c r="AI1359" s="1539"/>
      <c r="AJ1359" s="1539"/>
      <c r="AK1359" s="1539"/>
      <c r="AL1359" s="1539"/>
      <c r="AM1359" s="1539"/>
      <c r="AN1359" s="1539"/>
      <c r="AO1359" s="1539"/>
      <c r="AP1359" s="1539"/>
      <c r="AQ1359" s="1539"/>
      <c r="AR1359" s="1539"/>
      <c r="AS1359" s="1539"/>
      <c r="AT1359" s="1539"/>
      <c r="AU1359" s="1539"/>
      <c r="AV1359" s="1539"/>
      <c r="AW1359" s="1539"/>
      <c r="AX1359" s="1539"/>
      <c r="AY1359" s="1539"/>
      <c r="AZ1359" s="1539"/>
      <c r="BA1359" s="1539"/>
      <c r="BB1359" s="1539"/>
      <c r="BC1359" s="1539"/>
      <c r="BD1359" s="1539"/>
      <c r="BE1359" s="1539"/>
      <c r="BF1359" s="1539"/>
      <c r="BG1359" s="1539"/>
      <c r="BH1359" s="1539"/>
      <c r="BI1359" s="1539"/>
      <c r="BJ1359" s="1539"/>
      <c r="BK1359" s="1539"/>
      <c r="BL1359" s="1539"/>
      <c r="BM1359" s="1539"/>
      <c r="BN1359" s="1539"/>
      <c r="BO1359" s="1539"/>
      <c r="BP1359" s="1539"/>
      <c r="BQ1359" s="1539"/>
      <c r="BR1359" s="1539"/>
      <c r="BS1359" s="1539"/>
      <c r="BT1359" s="1539"/>
      <c r="BU1359" s="1539"/>
      <c r="BV1359" s="1539"/>
      <c r="BW1359" s="1539"/>
      <c r="BX1359" s="1539"/>
      <c r="BY1359" s="1539"/>
      <c r="BZ1359" s="1539"/>
      <c r="CA1359" s="1539"/>
      <c r="CB1359" s="1539"/>
      <c r="CC1359" s="1539"/>
      <c r="CD1359" s="1539"/>
      <c r="CE1359" s="1539"/>
      <c r="CF1359" s="1539"/>
      <c r="CG1359" s="1539"/>
      <c r="CH1359" s="1539"/>
      <c r="CI1359" s="1539"/>
      <c r="CJ1359" s="1539"/>
      <c r="CK1359" s="1539"/>
      <c r="CL1359" s="1539"/>
      <c r="CM1359" s="1539"/>
      <c r="CN1359" s="1539"/>
      <c r="CO1359" s="1539"/>
    </row>
    <row r="1360" spans="1:93" s="1552" customFormat="1" ht="15.5">
      <c r="A1360" s="1598" t="s">
        <v>3389</v>
      </c>
      <c r="B1360" s="1599" t="s">
        <v>1760</v>
      </c>
      <c r="C1360" s="1643" t="e">
        <f>+SUMIF(#REF!,Final!A1360,#REF!)</f>
        <v>#REF!</v>
      </c>
      <c r="D1360" s="1597" t="e">
        <f>+SUMIF(#REF!,Final!A1360,#REF!)</f>
        <v>#REF!</v>
      </c>
      <c r="E1360" s="1643" t="e">
        <f>SUMIF(#REF!,Final!A1360,#REF!)</f>
        <v>#REF!</v>
      </c>
      <c r="F1360" s="1644" t="e">
        <f>SUMIF(#REF!,Final!A1360,#REF!)</f>
        <v>#REF!</v>
      </c>
      <c r="G1360" s="1597" t="e">
        <f t="shared" si="128"/>
        <v>#REF!</v>
      </c>
      <c r="H1360" s="1644" t="e">
        <f t="shared" si="129"/>
        <v>#REF!</v>
      </c>
      <c r="I1360" s="1597" t="e">
        <f t="shared" si="130"/>
        <v>#REF!</v>
      </c>
      <c r="J1360" s="1644" t="e">
        <f t="shared" si="131"/>
        <v>#REF!</v>
      </c>
      <c r="K1360" s="1539"/>
      <c r="L1360" s="1539"/>
      <c r="M1360" s="1545"/>
      <c r="N1360" s="1545"/>
      <c r="O1360" s="1539"/>
      <c r="P1360" s="1539"/>
      <c r="Q1360" s="1539"/>
      <c r="R1360" s="1539"/>
      <c r="S1360" s="1539"/>
      <c r="T1360" s="1539"/>
      <c r="U1360" s="1539"/>
      <c r="V1360" s="1539"/>
      <c r="W1360" s="1539"/>
      <c r="X1360" s="1539"/>
      <c r="Y1360" s="1539"/>
      <c r="Z1360" s="1539"/>
      <c r="AA1360" s="1539"/>
      <c r="AB1360" s="1539"/>
      <c r="AC1360" s="1539"/>
      <c r="AD1360" s="1539"/>
      <c r="AE1360" s="1539"/>
      <c r="AF1360" s="1539"/>
      <c r="AG1360" s="1539"/>
      <c r="AH1360" s="1539"/>
      <c r="AI1360" s="1539"/>
      <c r="AJ1360" s="1539"/>
      <c r="AK1360" s="1539"/>
      <c r="AL1360" s="1539"/>
      <c r="AM1360" s="1539"/>
      <c r="AN1360" s="1539"/>
      <c r="AO1360" s="1539"/>
      <c r="AP1360" s="1539"/>
      <c r="AQ1360" s="1539"/>
      <c r="AR1360" s="1539"/>
      <c r="AS1360" s="1539"/>
      <c r="AT1360" s="1539"/>
      <c r="AU1360" s="1539"/>
      <c r="AV1360" s="1539"/>
      <c r="AW1360" s="1539"/>
      <c r="AX1360" s="1539"/>
      <c r="AY1360" s="1539"/>
      <c r="AZ1360" s="1539"/>
      <c r="BA1360" s="1539"/>
      <c r="BB1360" s="1539"/>
      <c r="BC1360" s="1539"/>
      <c r="BD1360" s="1539"/>
      <c r="BE1360" s="1539"/>
      <c r="BF1360" s="1539"/>
      <c r="BG1360" s="1539"/>
      <c r="BH1360" s="1539"/>
      <c r="BI1360" s="1539"/>
      <c r="BJ1360" s="1539"/>
      <c r="BK1360" s="1539"/>
      <c r="BL1360" s="1539"/>
      <c r="BM1360" s="1539"/>
      <c r="BN1360" s="1539"/>
      <c r="BO1360" s="1539"/>
      <c r="BP1360" s="1539"/>
      <c r="BQ1360" s="1539"/>
      <c r="BR1360" s="1539"/>
      <c r="BS1360" s="1539"/>
      <c r="BT1360" s="1539"/>
      <c r="BU1360" s="1539"/>
      <c r="BV1360" s="1539"/>
      <c r="BW1360" s="1539"/>
      <c r="BX1360" s="1539"/>
      <c r="BY1360" s="1539"/>
      <c r="BZ1360" s="1539"/>
      <c r="CA1360" s="1539"/>
      <c r="CB1360" s="1539"/>
      <c r="CC1360" s="1539"/>
      <c r="CD1360" s="1539"/>
      <c r="CE1360" s="1539"/>
      <c r="CF1360" s="1539"/>
      <c r="CG1360" s="1539"/>
      <c r="CH1360" s="1539"/>
      <c r="CI1360" s="1539"/>
      <c r="CJ1360" s="1539"/>
      <c r="CK1360" s="1539"/>
      <c r="CL1360" s="1539"/>
      <c r="CM1360" s="1539"/>
      <c r="CN1360" s="1539"/>
      <c r="CO1360" s="1539"/>
    </row>
    <row r="1361" spans="1:93" s="1552" customFormat="1" ht="15.5">
      <c r="A1361" s="1598" t="s">
        <v>3390</v>
      </c>
      <c r="B1361" s="1599" t="s">
        <v>3391</v>
      </c>
      <c r="C1361" s="1643" t="e">
        <f>+SUMIF(#REF!,Final!A1361,#REF!)</f>
        <v>#REF!</v>
      </c>
      <c r="D1361" s="1597" t="e">
        <f>+SUMIF(#REF!,Final!A1361,#REF!)</f>
        <v>#REF!</v>
      </c>
      <c r="E1361" s="1643" t="e">
        <f>SUMIF(#REF!,Final!A1361,#REF!)</f>
        <v>#REF!</v>
      </c>
      <c r="F1361" s="1644" t="e">
        <f>SUMIF(#REF!,Final!A1361,#REF!)</f>
        <v>#REF!</v>
      </c>
      <c r="G1361" s="1597" t="e">
        <f t="shared" si="128"/>
        <v>#REF!</v>
      </c>
      <c r="H1361" s="1644" t="e">
        <f t="shared" si="129"/>
        <v>#REF!</v>
      </c>
      <c r="I1361" s="1597" t="e">
        <f t="shared" si="130"/>
        <v>#REF!</v>
      </c>
      <c r="J1361" s="1644" t="e">
        <f t="shared" si="131"/>
        <v>#REF!</v>
      </c>
      <c r="K1361" s="1539"/>
      <c r="L1361" s="1539"/>
      <c r="M1361" s="1545"/>
      <c r="N1361" s="1545"/>
      <c r="O1361" s="1539"/>
      <c r="P1361" s="1539"/>
      <c r="Q1361" s="1539"/>
      <c r="R1361" s="1539"/>
      <c r="S1361" s="1539"/>
      <c r="T1361" s="1539"/>
      <c r="U1361" s="1539"/>
      <c r="V1361" s="1539"/>
      <c r="W1361" s="1539"/>
      <c r="X1361" s="1539"/>
      <c r="Y1361" s="1539"/>
      <c r="Z1361" s="1539"/>
      <c r="AA1361" s="1539"/>
      <c r="AB1361" s="1539"/>
      <c r="AC1361" s="1539"/>
      <c r="AD1361" s="1539"/>
      <c r="AE1361" s="1539"/>
      <c r="AF1361" s="1539"/>
      <c r="AG1361" s="1539"/>
      <c r="AH1361" s="1539"/>
      <c r="AI1361" s="1539"/>
      <c r="AJ1361" s="1539"/>
      <c r="AK1361" s="1539"/>
      <c r="AL1361" s="1539"/>
      <c r="AM1361" s="1539"/>
      <c r="AN1361" s="1539"/>
      <c r="AO1361" s="1539"/>
      <c r="AP1361" s="1539"/>
      <c r="AQ1361" s="1539"/>
      <c r="AR1361" s="1539"/>
      <c r="AS1361" s="1539"/>
      <c r="AT1361" s="1539"/>
      <c r="AU1361" s="1539"/>
      <c r="AV1361" s="1539"/>
      <c r="AW1361" s="1539"/>
      <c r="AX1361" s="1539"/>
      <c r="AY1361" s="1539"/>
      <c r="AZ1361" s="1539"/>
      <c r="BA1361" s="1539"/>
      <c r="BB1361" s="1539"/>
      <c r="BC1361" s="1539"/>
      <c r="BD1361" s="1539"/>
      <c r="BE1361" s="1539"/>
      <c r="BF1361" s="1539"/>
      <c r="BG1361" s="1539"/>
      <c r="BH1361" s="1539"/>
      <c r="BI1361" s="1539"/>
      <c r="BJ1361" s="1539"/>
      <c r="BK1361" s="1539"/>
      <c r="BL1361" s="1539"/>
      <c r="BM1361" s="1539"/>
      <c r="BN1361" s="1539"/>
      <c r="BO1361" s="1539"/>
      <c r="BP1361" s="1539"/>
      <c r="BQ1361" s="1539"/>
      <c r="BR1361" s="1539"/>
      <c r="BS1361" s="1539"/>
      <c r="BT1361" s="1539"/>
      <c r="BU1361" s="1539"/>
      <c r="BV1361" s="1539"/>
      <c r="BW1361" s="1539"/>
      <c r="BX1361" s="1539"/>
      <c r="BY1361" s="1539"/>
      <c r="BZ1361" s="1539"/>
      <c r="CA1361" s="1539"/>
      <c r="CB1361" s="1539"/>
      <c r="CC1361" s="1539"/>
      <c r="CD1361" s="1539"/>
      <c r="CE1361" s="1539"/>
      <c r="CF1361" s="1539"/>
      <c r="CG1361" s="1539"/>
      <c r="CH1361" s="1539"/>
      <c r="CI1361" s="1539"/>
      <c r="CJ1361" s="1539"/>
      <c r="CK1361" s="1539"/>
      <c r="CL1361" s="1539"/>
      <c r="CM1361" s="1539"/>
      <c r="CN1361" s="1539"/>
      <c r="CO1361" s="1539"/>
    </row>
    <row r="1362" spans="1:93" s="1542" customFormat="1" ht="15.5">
      <c r="A1362" s="1598">
        <v>8</v>
      </c>
      <c r="B1362" s="1599" t="s">
        <v>2828</v>
      </c>
      <c r="C1362" s="1643" t="e">
        <f>+SUMIF(#REF!,Final!A1362,#REF!)</f>
        <v>#REF!</v>
      </c>
      <c r="D1362" s="1597" t="e">
        <f>+SUMIF(#REF!,Final!A1362,#REF!)</f>
        <v>#REF!</v>
      </c>
      <c r="E1362" s="1643" t="e">
        <f>SUMIF(#REF!,Final!A1362,#REF!)</f>
        <v>#REF!</v>
      </c>
      <c r="F1362" s="1644" t="e">
        <f>SUMIF(#REF!,Final!A1362,#REF!)</f>
        <v>#REF!</v>
      </c>
      <c r="G1362" s="1597" t="e">
        <f t="shared" si="128"/>
        <v>#REF!</v>
      </c>
      <c r="H1362" s="1644" t="e">
        <f t="shared" si="129"/>
        <v>#REF!</v>
      </c>
      <c r="I1362" s="1597" t="e">
        <f t="shared" si="130"/>
        <v>#REF!</v>
      </c>
      <c r="J1362" s="1644" t="e">
        <f t="shared" si="131"/>
        <v>#REF!</v>
      </c>
      <c r="K1362" s="1539"/>
      <c r="L1362" s="1539"/>
      <c r="M1362" s="1545"/>
      <c r="N1362" s="1545"/>
      <c r="O1362" s="1539"/>
      <c r="P1362" s="1539"/>
      <c r="Q1362" s="1539"/>
      <c r="R1362" s="1539"/>
      <c r="S1362" s="1539"/>
      <c r="T1362" s="1539"/>
      <c r="U1362" s="1539"/>
      <c r="V1362" s="1539"/>
      <c r="W1362" s="1539"/>
      <c r="X1362" s="1539"/>
      <c r="Y1362" s="1539"/>
      <c r="Z1362" s="1539"/>
      <c r="AA1362" s="1539"/>
      <c r="AB1362" s="1539"/>
      <c r="AC1362" s="1539"/>
      <c r="AD1362" s="1539"/>
      <c r="AE1362" s="1539"/>
      <c r="AF1362" s="1539"/>
      <c r="AG1362" s="1539"/>
      <c r="AH1362" s="1539"/>
      <c r="AI1362" s="1539"/>
      <c r="AJ1362" s="1539"/>
      <c r="AK1362" s="1539"/>
      <c r="AL1362" s="1539"/>
      <c r="AM1362" s="1539"/>
      <c r="AN1362" s="1539"/>
      <c r="AO1362" s="1539"/>
      <c r="AP1362" s="1539"/>
      <c r="AQ1362" s="1539"/>
      <c r="AR1362" s="1539"/>
      <c r="AS1362" s="1539"/>
      <c r="AT1362" s="1539"/>
      <c r="AU1362" s="1539"/>
      <c r="AV1362" s="1539"/>
      <c r="AW1362" s="1539"/>
      <c r="AX1362" s="1539"/>
      <c r="AY1362" s="1539"/>
      <c r="AZ1362" s="1539"/>
      <c r="BA1362" s="1539"/>
      <c r="BB1362" s="1539"/>
      <c r="BC1362" s="1539"/>
      <c r="BD1362" s="1539"/>
      <c r="BE1362" s="1539"/>
      <c r="BF1362" s="1539"/>
      <c r="BG1362" s="1539"/>
      <c r="BH1362" s="1539"/>
      <c r="BI1362" s="1539"/>
      <c r="BJ1362" s="1539"/>
      <c r="BK1362" s="1539"/>
      <c r="BL1362" s="1539"/>
      <c r="BM1362" s="1539"/>
      <c r="BN1362" s="1539"/>
      <c r="BO1362" s="1539"/>
      <c r="BP1362" s="1539"/>
      <c r="BQ1362" s="1539"/>
      <c r="BR1362" s="1539"/>
      <c r="BS1362" s="1539"/>
      <c r="BT1362" s="1539"/>
      <c r="BU1362" s="1539"/>
      <c r="BV1362" s="1539"/>
      <c r="BW1362" s="1539"/>
      <c r="BX1362" s="1539"/>
      <c r="BY1362" s="1539"/>
      <c r="BZ1362" s="1539"/>
      <c r="CA1362" s="1539"/>
      <c r="CB1362" s="1539"/>
      <c r="CC1362" s="1539"/>
      <c r="CD1362" s="1539"/>
      <c r="CE1362" s="1539"/>
      <c r="CF1362" s="1539"/>
      <c r="CG1362" s="1539"/>
      <c r="CH1362" s="1539"/>
      <c r="CI1362" s="1539"/>
      <c r="CJ1362" s="1539"/>
      <c r="CK1362" s="1539"/>
      <c r="CL1362" s="1539"/>
      <c r="CM1362" s="1539"/>
      <c r="CN1362" s="1539"/>
      <c r="CO1362" s="1539"/>
    </row>
    <row r="1363" spans="1:93" s="1542" customFormat="1" ht="15.5">
      <c r="A1363" s="1598" t="s">
        <v>1102</v>
      </c>
      <c r="B1363" s="1599" t="s">
        <v>2829</v>
      </c>
      <c r="C1363" s="1643" t="e">
        <f>+SUMIF(#REF!,Final!A1363,#REF!)</f>
        <v>#REF!</v>
      </c>
      <c r="D1363" s="1597" t="e">
        <f>+SUMIF(#REF!,Final!A1363,#REF!)</f>
        <v>#REF!</v>
      </c>
      <c r="E1363" s="1643" t="e">
        <f>SUMIF(#REF!,Final!A1363,#REF!)</f>
        <v>#REF!</v>
      </c>
      <c r="F1363" s="1644" t="e">
        <f>SUMIF(#REF!,Final!A1363,#REF!)</f>
        <v>#REF!</v>
      </c>
      <c r="G1363" s="1597" t="e">
        <f t="shared" si="128"/>
        <v>#REF!</v>
      </c>
      <c r="H1363" s="1644" t="e">
        <f t="shared" si="129"/>
        <v>#REF!</v>
      </c>
      <c r="I1363" s="1597" t="e">
        <f t="shared" si="130"/>
        <v>#REF!</v>
      </c>
      <c r="J1363" s="1644" t="e">
        <f t="shared" si="131"/>
        <v>#REF!</v>
      </c>
      <c r="K1363" s="1539"/>
      <c r="L1363" s="1539"/>
      <c r="M1363" s="1545"/>
      <c r="N1363" s="1545"/>
      <c r="O1363" s="1539"/>
      <c r="P1363" s="1539"/>
      <c r="Q1363" s="1539"/>
      <c r="R1363" s="1539"/>
      <c r="S1363" s="1539"/>
      <c r="T1363" s="1539"/>
      <c r="U1363" s="1539"/>
      <c r="V1363" s="1539"/>
      <c r="W1363" s="1539"/>
      <c r="X1363" s="1539"/>
      <c r="Y1363" s="1539"/>
      <c r="Z1363" s="1539"/>
      <c r="AA1363" s="1539"/>
      <c r="AB1363" s="1539"/>
      <c r="AC1363" s="1539"/>
      <c r="AD1363" s="1539"/>
      <c r="AE1363" s="1539"/>
      <c r="AF1363" s="1539"/>
      <c r="AG1363" s="1539"/>
      <c r="AH1363" s="1539"/>
      <c r="AI1363" s="1539"/>
      <c r="AJ1363" s="1539"/>
      <c r="AK1363" s="1539"/>
      <c r="AL1363" s="1539"/>
      <c r="AM1363" s="1539"/>
      <c r="AN1363" s="1539"/>
      <c r="AO1363" s="1539"/>
      <c r="AP1363" s="1539"/>
      <c r="AQ1363" s="1539"/>
      <c r="AR1363" s="1539"/>
      <c r="AS1363" s="1539"/>
      <c r="AT1363" s="1539"/>
      <c r="AU1363" s="1539"/>
      <c r="AV1363" s="1539"/>
      <c r="AW1363" s="1539"/>
      <c r="AX1363" s="1539"/>
      <c r="AY1363" s="1539"/>
      <c r="AZ1363" s="1539"/>
      <c r="BA1363" s="1539"/>
      <c r="BB1363" s="1539"/>
      <c r="BC1363" s="1539"/>
      <c r="BD1363" s="1539"/>
      <c r="BE1363" s="1539"/>
      <c r="BF1363" s="1539"/>
      <c r="BG1363" s="1539"/>
      <c r="BH1363" s="1539"/>
      <c r="BI1363" s="1539"/>
      <c r="BJ1363" s="1539"/>
      <c r="BK1363" s="1539"/>
      <c r="BL1363" s="1539"/>
      <c r="BM1363" s="1539"/>
      <c r="BN1363" s="1539"/>
      <c r="BO1363" s="1539"/>
      <c r="BP1363" s="1539"/>
      <c r="BQ1363" s="1539"/>
      <c r="BR1363" s="1539"/>
      <c r="BS1363" s="1539"/>
      <c r="BT1363" s="1539"/>
      <c r="BU1363" s="1539"/>
      <c r="BV1363" s="1539"/>
      <c r="BW1363" s="1539"/>
      <c r="BX1363" s="1539"/>
      <c r="BY1363" s="1539"/>
      <c r="BZ1363" s="1539"/>
      <c r="CA1363" s="1539"/>
      <c r="CB1363" s="1539"/>
      <c r="CC1363" s="1539"/>
      <c r="CD1363" s="1539"/>
      <c r="CE1363" s="1539"/>
      <c r="CF1363" s="1539"/>
      <c r="CG1363" s="1539"/>
      <c r="CH1363" s="1539"/>
      <c r="CI1363" s="1539"/>
      <c r="CJ1363" s="1539"/>
      <c r="CK1363" s="1539"/>
      <c r="CL1363" s="1539"/>
      <c r="CM1363" s="1539"/>
      <c r="CN1363" s="1539"/>
      <c r="CO1363" s="1539"/>
    </row>
    <row r="1364" spans="1:93" s="1542" customFormat="1" ht="15.5">
      <c r="A1364" s="1598">
        <v>26.501000000000001</v>
      </c>
      <c r="B1364" s="1599" t="s">
        <v>2830</v>
      </c>
      <c r="C1364" s="1643" t="e">
        <f>+SUMIF(#REF!,Final!A1364,#REF!)</f>
        <v>#REF!</v>
      </c>
      <c r="D1364" s="1597" t="e">
        <f>+SUMIF(#REF!,Final!A1364,#REF!)</f>
        <v>#REF!</v>
      </c>
      <c r="E1364" s="1643" t="e">
        <f>SUMIF(#REF!,Final!A1364,#REF!)</f>
        <v>#REF!</v>
      </c>
      <c r="F1364" s="1644" t="e">
        <f>SUMIF(#REF!,Final!A1364,#REF!)</f>
        <v>#REF!</v>
      </c>
      <c r="G1364" s="1597" t="e">
        <f t="shared" si="128"/>
        <v>#REF!</v>
      </c>
      <c r="H1364" s="1644" t="e">
        <f t="shared" si="129"/>
        <v>#REF!</v>
      </c>
      <c r="I1364" s="1597" t="e">
        <f t="shared" si="130"/>
        <v>#REF!</v>
      </c>
      <c r="J1364" s="1644" t="e">
        <f t="shared" si="131"/>
        <v>#REF!</v>
      </c>
      <c r="K1364" s="1539"/>
      <c r="L1364" s="1539"/>
      <c r="M1364" s="1545"/>
      <c r="N1364" s="1545"/>
      <c r="O1364" s="1539"/>
      <c r="P1364" s="1539"/>
      <c r="Q1364" s="1539"/>
      <c r="R1364" s="1539"/>
      <c r="S1364" s="1539"/>
      <c r="T1364" s="1539"/>
      <c r="U1364" s="1539"/>
      <c r="V1364" s="1539"/>
      <c r="W1364" s="1539"/>
      <c r="X1364" s="1539"/>
      <c r="Y1364" s="1539"/>
      <c r="Z1364" s="1539"/>
      <c r="AA1364" s="1539"/>
      <c r="AB1364" s="1539"/>
      <c r="AC1364" s="1539"/>
      <c r="AD1364" s="1539"/>
      <c r="AE1364" s="1539"/>
      <c r="AF1364" s="1539"/>
      <c r="AG1364" s="1539"/>
      <c r="AH1364" s="1539"/>
      <c r="AI1364" s="1539"/>
      <c r="AJ1364" s="1539"/>
      <c r="AK1364" s="1539"/>
      <c r="AL1364" s="1539"/>
      <c r="AM1364" s="1539"/>
      <c r="AN1364" s="1539"/>
      <c r="AO1364" s="1539"/>
      <c r="AP1364" s="1539"/>
      <c r="AQ1364" s="1539"/>
      <c r="AR1364" s="1539"/>
      <c r="AS1364" s="1539"/>
      <c r="AT1364" s="1539"/>
      <c r="AU1364" s="1539"/>
      <c r="AV1364" s="1539"/>
      <c r="AW1364" s="1539"/>
      <c r="AX1364" s="1539"/>
      <c r="AY1364" s="1539"/>
      <c r="AZ1364" s="1539"/>
      <c r="BA1364" s="1539"/>
      <c r="BB1364" s="1539"/>
      <c r="BC1364" s="1539"/>
      <c r="BD1364" s="1539"/>
      <c r="BE1364" s="1539"/>
      <c r="BF1364" s="1539"/>
      <c r="BG1364" s="1539"/>
      <c r="BH1364" s="1539"/>
      <c r="BI1364" s="1539"/>
      <c r="BJ1364" s="1539"/>
      <c r="BK1364" s="1539"/>
      <c r="BL1364" s="1539"/>
      <c r="BM1364" s="1539"/>
      <c r="BN1364" s="1539"/>
      <c r="BO1364" s="1539"/>
      <c r="BP1364" s="1539"/>
      <c r="BQ1364" s="1539"/>
      <c r="BR1364" s="1539"/>
      <c r="BS1364" s="1539"/>
      <c r="BT1364" s="1539"/>
      <c r="BU1364" s="1539"/>
      <c r="BV1364" s="1539"/>
      <c r="BW1364" s="1539"/>
      <c r="BX1364" s="1539"/>
      <c r="BY1364" s="1539"/>
      <c r="BZ1364" s="1539"/>
      <c r="CA1364" s="1539"/>
      <c r="CB1364" s="1539"/>
      <c r="CC1364" s="1539"/>
      <c r="CD1364" s="1539"/>
      <c r="CE1364" s="1539"/>
      <c r="CF1364" s="1539"/>
      <c r="CG1364" s="1539"/>
      <c r="CH1364" s="1539"/>
      <c r="CI1364" s="1539"/>
      <c r="CJ1364" s="1539"/>
      <c r="CK1364" s="1539"/>
      <c r="CL1364" s="1539"/>
      <c r="CM1364" s="1539"/>
      <c r="CN1364" s="1539"/>
      <c r="CO1364" s="1539"/>
    </row>
    <row r="1365" spans="1:93" s="1542" customFormat="1" ht="15.5">
      <c r="A1365" s="1598">
        <v>26.501999999999999</v>
      </c>
      <c r="B1365" s="1599" t="s">
        <v>2831</v>
      </c>
      <c r="C1365" s="1643" t="e">
        <f>+SUMIF(#REF!,Final!A1365,#REF!)</f>
        <v>#REF!</v>
      </c>
      <c r="D1365" s="1597" t="e">
        <f>+SUMIF(#REF!,Final!A1365,#REF!)</f>
        <v>#REF!</v>
      </c>
      <c r="E1365" s="1643" t="e">
        <f>SUMIF(#REF!,Final!A1365,#REF!)</f>
        <v>#REF!</v>
      </c>
      <c r="F1365" s="1644" t="e">
        <f>SUMIF(#REF!,Final!A1365,#REF!)</f>
        <v>#REF!</v>
      </c>
      <c r="G1365" s="1597" t="e">
        <f t="shared" si="128"/>
        <v>#REF!</v>
      </c>
      <c r="H1365" s="1644" t="e">
        <f t="shared" si="129"/>
        <v>#REF!</v>
      </c>
      <c r="I1365" s="1597" t="e">
        <f t="shared" si="130"/>
        <v>#REF!</v>
      </c>
      <c r="J1365" s="1644" t="e">
        <f t="shared" si="131"/>
        <v>#REF!</v>
      </c>
      <c r="K1365" s="1539"/>
      <c r="L1365" s="1539"/>
      <c r="M1365" s="1545"/>
      <c r="N1365" s="1545"/>
      <c r="O1365" s="1539"/>
      <c r="P1365" s="1539"/>
      <c r="Q1365" s="1539"/>
      <c r="R1365" s="1539"/>
      <c r="S1365" s="1539"/>
      <c r="T1365" s="1539"/>
      <c r="U1365" s="1539"/>
      <c r="V1365" s="1539"/>
      <c r="W1365" s="1539"/>
      <c r="X1365" s="1539"/>
      <c r="Y1365" s="1539"/>
      <c r="Z1365" s="1539"/>
      <c r="AA1365" s="1539"/>
      <c r="AB1365" s="1539"/>
      <c r="AC1365" s="1539"/>
      <c r="AD1365" s="1539"/>
      <c r="AE1365" s="1539"/>
      <c r="AF1365" s="1539"/>
      <c r="AG1365" s="1539"/>
      <c r="AH1365" s="1539"/>
      <c r="AI1365" s="1539"/>
      <c r="AJ1365" s="1539"/>
      <c r="AK1365" s="1539"/>
      <c r="AL1365" s="1539"/>
      <c r="AM1365" s="1539"/>
      <c r="AN1365" s="1539"/>
      <c r="AO1365" s="1539"/>
      <c r="AP1365" s="1539"/>
      <c r="AQ1365" s="1539"/>
      <c r="AR1365" s="1539"/>
      <c r="AS1365" s="1539"/>
      <c r="AT1365" s="1539"/>
      <c r="AU1365" s="1539"/>
      <c r="AV1365" s="1539"/>
      <c r="AW1365" s="1539"/>
      <c r="AX1365" s="1539"/>
      <c r="AY1365" s="1539"/>
      <c r="AZ1365" s="1539"/>
      <c r="BA1365" s="1539"/>
      <c r="BB1365" s="1539"/>
      <c r="BC1365" s="1539"/>
      <c r="BD1365" s="1539"/>
      <c r="BE1365" s="1539"/>
      <c r="BF1365" s="1539"/>
      <c r="BG1365" s="1539"/>
      <c r="BH1365" s="1539"/>
      <c r="BI1365" s="1539"/>
      <c r="BJ1365" s="1539"/>
      <c r="BK1365" s="1539"/>
      <c r="BL1365" s="1539"/>
      <c r="BM1365" s="1539"/>
      <c r="BN1365" s="1539"/>
      <c r="BO1365" s="1539"/>
      <c r="BP1365" s="1539"/>
      <c r="BQ1365" s="1539"/>
      <c r="BR1365" s="1539"/>
      <c r="BS1365" s="1539"/>
      <c r="BT1365" s="1539"/>
      <c r="BU1365" s="1539"/>
      <c r="BV1365" s="1539"/>
      <c r="BW1365" s="1539"/>
      <c r="BX1365" s="1539"/>
      <c r="BY1365" s="1539"/>
      <c r="BZ1365" s="1539"/>
      <c r="CA1365" s="1539"/>
      <c r="CB1365" s="1539"/>
      <c r="CC1365" s="1539"/>
      <c r="CD1365" s="1539"/>
      <c r="CE1365" s="1539"/>
      <c r="CF1365" s="1539"/>
      <c r="CG1365" s="1539"/>
      <c r="CH1365" s="1539"/>
      <c r="CI1365" s="1539"/>
      <c r="CJ1365" s="1539"/>
      <c r="CK1365" s="1539"/>
      <c r="CL1365" s="1539"/>
      <c r="CM1365" s="1539"/>
      <c r="CN1365" s="1539"/>
      <c r="CO1365" s="1539"/>
    </row>
    <row r="1366" spans="1:93" ht="15.5">
      <c r="A1366" s="1598">
        <v>26.503</v>
      </c>
      <c r="B1366" s="1599" t="s">
        <v>2832</v>
      </c>
      <c r="C1366" s="1643" t="e">
        <f>+SUMIF(#REF!,Final!A1366,#REF!)</f>
        <v>#REF!</v>
      </c>
      <c r="D1366" s="1597" t="e">
        <f>+SUMIF(#REF!,Final!A1366,#REF!)</f>
        <v>#REF!</v>
      </c>
      <c r="E1366" s="1643" t="e">
        <f>SUMIF(#REF!,Final!A1366,#REF!)</f>
        <v>#REF!</v>
      </c>
      <c r="F1366" s="1644" t="e">
        <f>SUMIF(#REF!,Final!A1366,#REF!)</f>
        <v>#REF!</v>
      </c>
      <c r="G1366" s="1597" t="e">
        <f t="shared" si="128"/>
        <v>#REF!</v>
      </c>
      <c r="H1366" s="1644" t="e">
        <f t="shared" si="129"/>
        <v>#REF!</v>
      </c>
      <c r="I1366" s="1597" t="e">
        <f t="shared" si="130"/>
        <v>#REF!</v>
      </c>
      <c r="J1366" s="1644" t="e">
        <f t="shared" si="131"/>
        <v>#REF!</v>
      </c>
      <c r="M1366" s="1545"/>
      <c r="N1366" s="1545"/>
    </row>
    <row r="1367" spans="1:93" ht="15.5">
      <c r="A1367" s="1598">
        <v>26.504000000000001</v>
      </c>
      <c r="B1367" s="1599" t="s">
        <v>2833</v>
      </c>
      <c r="C1367" s="1643" t="e">
        <f>+SUMIF(#REF!,Final!A1367,#REF!)</f>
        <v>#REF!</v>
      </c>
      <c r="D1367" s="1597" t="e">
        <f>+SUMIF(#REF!,Final!A1367,#REF!)</f>
        <v>#REF!</v>
      </c>
      <c r="E1367" s="1643" t="e">
        <f>SUMIF(#REF!,Final!A1367,#REF!)</f>
        <v>#REF!</v>
      </c>
      <c r="F1367" s="1644" t="e">
        <f>SUMIF(#REF!,Final!A1367,#REF!)</f>
        <v>#REF!</v>
      </c>
      <c r="G1367" s="1597" t="e">
        <f t="shared" si="128"/>
        <v>#REF!</v>
      </c>
      <c r="H1367" s="1644" t="e">
        <f t="shared" si="129"/>
        <v>#REF!</v>
      </c>
      <c r="I1367" s="1597" t="e">
        <f t="shared" si="130"/>
        <v>#REF!</v>
      </c>
      <c r="J1367" s="1644" t="e">
        <f t="shared" si="131"/>
        <v>#REF!</v>
      </c>
      <c r="M1367" s="1545"/>
      <c r="N1367" s="1545"/>
    </row>
    <row r="1368" spans="1:93" ht="15.5">
      <c r="A1368" s="1598">
        <v>26.504999999999999</v>
      </c>
      <c r="B1368" s="1599" t="s">
        <v>3925</v>
      </c>
      <c r="C1368" s="1643" t="e">
        <f>+SUMIF(#REF!,Final!A1368,#REF!)</f>
        <v>#REF!</v>
      </c>
      <c r="D1368" s="1597" t="e">
        <f>+SUMIF(#REF!,Final!A1368,#REF!)</f>
        <v>#REF!</v>
      </c>
      <c r="E1368" s="1643" t="e">
        <f>SUMIF(#REF!,Final!A1368,#REF!)</f>
        <v>#REF!</v>
      </c>
      <c r="F1368" s="1644" t="e">
        <f>SUMIF(#REF!,Final!A1368,#REF!)</f>
        <v>#REF!</v>
      </c>
      <c r="G1368" s="1597" t="e">
        <f t="shared" si="128"/>
        <v>#REF!</v>
      </c>
      <c r="H1368" s="1644" t="e">
        <f t="shared" si="129"/>
        <v>#REF!</v>
      </c>
      <c r="I1368" s="1597" t="e">
        <f t="shared" si="130"/>
        <v>#REF!</v>
      </c>
      <c r="J1368" s="1644" t="e">
        <f t="shared" si="131"/>
        <v>#REF!</v>
      </c>
      <c r="M1368" s="1545"/>
      <c r="N1368" s="1545"/>
    </row>
    <row r="1369" spans="1:93" ht="15.5">
      <c r="A1369" s="1598">
        <v>26.506</v>
      </c>
      <c r="B1369" s="1599" t="s">
        <v>3926</v>
      </c>
      <c r="C1369" s="1643" t="e">
        <f>+SUMIF(#REF!,Final!A1369,#REF!)</f>
        <v>#REF!</v>
      </c>
      <c r="D1369" s="1597" t="e">
        <f>+SUMIF(#REF!,Final!A1369,#REF!)</f>
        <v>#REF!</v>
      </c>
      <c r="E1369" s="1643" t="e">
        <f>SUMIF(#REF!,Final!A1369,#REF!)</f>
        <v>#REF!</v>
      </c>
      <c r="F1369" s="1644" t="e">
        <f>SUMIF(#REF!,Final!A1369,#REF!)</f>
        <v>#REF!</v>
      </c>
      <c r="G1369" s="1597" t="e">
        <f t="shared" si="128"/>
        <v>#REF!</v>
      </c>
      <c r="H1369" s="1644" t="e">
        <f t="shared" si="129"/>
        <v>#REF!</v>
      </c>
      <c r="I1369" s="1597" t="e">
        <f t="shared" si="130"/>
        <v>#REF!</v>
      </c>
      <c r="J1369" s="1644" t="e">
        <f t="shared" si="131"/>
        <v>#REF!</v>
      </c>
      <c r="M1369" s="1545"/>
      <c r="N1369" s="1545"/>
    </row>
    <row r="1370" spans="1:93" ht="15.5">
      <c r="A1370" s="1598">
        <v>26.507000000000001</v>
      </c>
      <c r="B1370" s="1599" t="s">
        <v>3927</v>
      </c>
      <c r="C1370" s="1643" t="e">
        <f>+SUMIF(#REF!,Final!A1370,#REF!)</f>
        <v>#REF!</v>
      </c>
      <c r="D1370" s="1597" t="e">
        <f>+SUMIF(#REF!,Final!A1370,#REF!)</f>
        <v>#REF!</v>
      </c>
      <c r="E1370" s="1643" t="e">
        <f>SUMIF(#REF!,Final!A1370,#REF!)</f>
        <v>#REF!</v>
      </c>
      <c r="F1370" s="1644" t="e">
        <f>SUMIF(#REF!,Final!A1370,#REF!)</f>
        <v>#REF!</v>
      </c>
      <c r="G1370" s="1597" t="e">
        <f t="shared" si="128"/>
        <v>#REF!</v>
      </c>
      <c r="H1370" s="1644" t="e">
        <f t="shared" si="129"/>
        <v>#REF!</v>
      </c>
      <c r="I1370" s="1597" t="e">
        <f t="shared" si="130"/>
        <v>#REF!</v>
      </c>
      <c r="J1370" s="1644" t="e">
        <f t="shared" si="131"/>
        <v>#REF!</v>
      </c>
      <c r="M1370" s="1545"/>
      <c r="N1370" s="1545"/>
    </row>
    <row r="1371" spans="1:93" ht="15.5">
      <c r="A1371" s="1598">
        <v>26.507999999999999</v>
      </c>
      <c r="B1371" s="1599" t="s">
        <v>4543</v>
      </c>
      <c r="C1371" s="1643" t="e">
        <f>+SUMIF(#REF!,Final!A1371,#REF!)</f>
        <v>#REF!</v>
      </c>
      <c r="D1371" s="1597" t="e">
        <f>+SUMIF(#REF!,Final!A1371,#REF!)</f>
        <v>#REF!</v>
      </c>
      <c r="E1371" s="1643" t="e">
        <f>SUMIF(#REF!,Final!A1371,#REF!)</f>
        <v>#REF!</v>
      </c>
      <c r="F1371" s="1644" t="e">
        <f>SUMIF(#REF!,Final!A1371,#REF!)</f>
        <v>#REF!</v>
      </c>
      <c r="G1371" s="1597" t="e">
        <f t="shared" ref="G1371:G1438" si="132">C1371+E1371</f>
        <v>#REF!</v>
      </c>
      <c r="H1371" s="1644" t="e">
        <f t="shared" ref="H1371:H1438" si="133">D1371+F1371</f>
        <v>#REF!</v>
      </c>
      <c r="I1371" s="1597" t="e">
        <f t="shared" ref="I1371:I1438" si="134">IF(G1371&gt;H1371,G1371-H1371,0)</f>
        <v>#REF!</v>
      </c>
      <c r="J1371" s="1644" t="e">
        <f t="shared" ref="J1371:J1438" si="135">IF(H1371&gt;G1371,H1371-G1371,0)</f>
        <v>#REF!</v>
      </c>
      <c r="M1371" s="1545"/>
      <c r="N1371" s="1545"/>
    </row>
    <row r="1372" spans="1:93" ht="15.5">
      <c r="A1372" s="1598">
        <v>26.509</v>
      </c>
      <c r="B1372" s="1599" t="s">
        <v>4544</v>
      </c>
      <c r="C1372" s="1643" t="e">
        <f>+SUMIF(#REF!,Final!A1372,#REF!)</f>
        <v>#REF!</v>
      </c>
      <c r="D1372" s="1597" t="e">
        <f>+SUMIF(#REF!,Final!A1372,#REF!)</f>
        <v>#REF!</v>
      </c>
      <c r="E1372" s="1643" t="e">
        <f>SUMIF(#REF!,Final!A1372,#REF!)</f>
        <v>#REF!</v>
      </c>
      <c r="F1372" s="1644" t="e">
        <f>SUMIF(#REF!,Final!A1372,#REF!)</f>
        <v>#REF!</v>
      </c>
      <c r="G1372" s="1597" t="e">
        <f t="shared" si="132"/>
        <v>#REF!</v>
      </c>
      <c r="H1372" s="1644" t="e">
        <f t="shared" si="133"/>
        <v>#REF!</v>
      </c>
      <c r="I1372" s="1597" t="e">
        <f t="shared" si="134"/>
        <v>#REF!</v>
      </c>
      <c r="J1372" s="1644" t="e">
        <f t="shared" si="135"/>
        <v>#REF!</v>
      </c>
      <c r="M1372" s="1545"/>
      <c r="N1372" s="1545"/>
    </row>
    <row r="1373" spans="1:93" ht="15.5">
      <c r="A1373" s="1600">
        <v>26.51</v>
      </c>
      <c r="B1373" s="1599" t="s">
        <v>4545</v>
      </c>
      <c r="C1373" s="1643" t="e">
        <f>+SUMIF(#REF!,Final!A1373,#REF!)</f>
        <v>#REF!</v>
      </c>
      <c r="D1373" s="1597" t="e">
        <f>+SUMIF(#REF!,Final!A1373,#REF!)</f>
        <v>#REF!</v>
      </c>
      <c r="E1373" s="1643" t="e">
        <f>SUMIF(#REF!,Final!A1373,#REF!)</f>
        <v>#REF!</v>
      </c>
      <c r="F1373" s="1644" t="e">
        <f>SUMIF(#REF!,Final!A1373,#REF!)</f>
        <v>#REF!</v>
      </c>
      <c r="G1373" s="1597" t="e">
        <f t="shared" si="132"/>
        <v>#REF!</v>
      </c>
      <c r="H1373" s="1644" t="e">
        <f t="shared" si="133"/>
        <v>#REF!</v>
      </c>
      <c r="I1373" s="1597" t="e">
        <f t="shared" si="134"/>
        <v>#REF!</v>
      </c>
      <c r="J1373" s="1644" t="e">
        <f t="shared" si="135"/>
        <v>#REF!</v>
      </c>
      <c r="M1373" s="1545"/>
      <c r="N1373" s="1545"/>
    </row>
    <row r="1374" spans="1:93" ht="15.5">
      <c r="A1374" s="1690" t="s">
        <v>4968</v>
      </c>
      <c r="B1374" s="1703" t="s">
        <v>4969</v>
      </c>
      <c r="C1374" s="1643" t="e">
        <f>+SUMIF(#REF!,Final!A1374,#REF!)</f>
        <v>#REF!</v>
      </c>
      <c r="D1374" s="1597" t="e">
        <f>+SUMIF(#REF!,Final!A1374,#REF!)</f>
        <v>#REF!</v>
      </c>
      <c r="E1374" s="1643" t="e">
        <f>SUMIF(#REF!,Final!A1374,#REF!)</f>
        <v>#REF!</v>
      </c>
      <c r="F1374" s="1644" t="e">
        <f>SUMIF(#REF!,Final!A1374,#REF!)</f>
        <v>#REF!</v>
      </c>
      <c r="G1374" s="1597" t="e">
        <f t="shared" si="132"/>
        <v>#REF!</v>
      </c>
      <c r="H1374" s="1644" t="e">
        <f t="shared" si="133"/>
        <v>#REF!</v>
      </c>
      <c r="I1374" s="1597" t="e">
        <f t="shared" si="134"/>
        <v>#REF!</v>
      </c>
      <c r="J1374" s="1644" t="e">
        <f t="shared" si="135"/>
        <v>#REF!</v>
      </c>
      <c r="M1374" s="1545"/>
      <c r="N1374" s="1545"/>
    </row>
    <row r="1375" spans="1:93" ht="15.5">
      <c r="A1375" s="1690" t="s">
        <v>4970</v>
      </c>
      <c r="B1375" s="1703" t="s">
        <v>4971</v>
      </c>
      <c r="C1375" s="1643" t="e">
        <f>+SUMIF(#REF!,Final!A1375,#REF!)</f>
        <v>#REF!</v>
      </c>
      <c r="D1375" s="1597" t="e">
        <f>+SUMIF(#REF!,Final!A1375,#REF!)</f>
        <v>#REF!</v>
      </c>
      <c r="E1375" s="1643" t="e">
        <f>SUMIF(#REF!,Final!A1375,#REF!)</f>
        <v>#REF!</v>
      </c>
      <c r="F1375" s="1644" t="e">
        <f>SUMIF(#REF!,Final!A1375,#REF!)</f>
        <v>#REF!</v>
      </c>
      <c r="G1375" s="1597" t="e">
        <f t="shared" si="132"/>
        <v>#REF!</v>
      </c>
      <c r="H1375" s="1644" t="e">
        <f t="shared" si="133"/>
        <v>#REF!</v>
      </c>
      <c r="I1375" s="1597" t="e">
        <f t="shared" si="134"/>
        <v>#REF!</v>
      </c>
      <c r="J1375" s="1644" t="e">
        <f t="shared" si="135"/>
        <v>#REF!</v>
      </c>
      <c r="M1375" s="1545"/>
      <c r="N1375" s="1545"/>
    </row>
    <row r="1376" spans="1:93" ht="15.5">
      <c r="A1376" s="1684" t="s">
        <v>4972</v>
      </c>
      <c r="B1376" s="1703" t="s">
        <v>4973</v>
      </c>
      <c r="C1376" s="1643" t="e">
        <f>+SUMIF(#REF!,Final!A1376,#REF!)</f>
        <v>#REF!</v>
      </c>
      <c r="D1376" s="1597" t="e">
        <f>+SUMIF(#REF!,Final!A1376,#REF!)</f>
        <v>#REF!</v>
      </c>
      <c r="E1376" s="1643" t="e">
        <f>SUMIF(#REF!,Final!A1376,#REF!)</f>
        <v>#REF!</v>
      </c>
      <c r="F1376" s="1644" t="e">
        <f>SUMIF(#REF!,Final!A1376,#REF!)</f>
        <v>#REF!</v>
      </c>
      <c r="G1376" s="1597" t="e">
        <f t="shared" si="132"/>
        <v>#REF!</v>
      </c>
      <c r="H1376" s="1644" t="e">
        <f t="shared" si="133"/>
        <v>#REF!</v>
      </c>
      <c r="I1376" s="1597" t="e">
        <f t="shared" si="134"/>
        <v>#REF!</v>
      </c>
      <c r="J1376" s="1644" t="e">
        <f t="shared" si="135"/>
        <v>#REF!</v>
      </c>
      <c r="M1376" s="1545"/>
      <c r="N1376" s="1545"/>
    </row>
    <row r="1377" spans="1:93" ht="15.5">
      <c r="A1377" s="1794" t="s">
        <v>5249</v>
      </c>
      <c r="B1377" s="1795" t="s">
        <v>5250</v>
      </c>
      <c r="C1377" s="1643" t="e">
        <f>+SUMIF(#REF!,Final!A1377,#REF!)</f>
        <v>#REF!</v>
      </c>
      <c r="D1377" s="1597" t="e">
        <f>+SUMIF(#REF!,Final!A1377,#REF!)</f>
        <v>#REF!</v>
      </c>
      <c r="E1377" s="1643" t="e">
        <f>SUMIF(#REF!,Final!A1377,#REF!)</f>
        <v>#REF!</v>
      </c>
      <c r="F1377" s="1644" t="e">
        <f>SUMIF(#REF!,Final!A1377,#REF!)</f>
        <v>#REF!</v>
      </c>
      <c r="G1377" s="1597" t="e">
        <f t="shared" ref="G1377:G1379" si="136">C1377+E1377</f>
        <v>#REF!</v>
      </c>
      <c r="H1377" s="1644" t="e">
        <f t="shared" ref="H1377:H1379" si="137">D1377+F1377</f>
        <v>#REF!</v>
      </c>
      <c r="I1377" s="1597" t="e">
        <f t="shared" ref="I1377:I1379" si="138">IF(G1377&gt;H1377,G1377-H1377,0)</f>
        <v>#REF!</v>
      </c>
      <c r="J1377" s="1644" t="e">
        <f t="shared" ref="J1377:J1379" si="139">IF(H1377&gt;G1377,H1377-G1377,0)</f>
        <v>#REF!</v>
      </c>
      <c r="M1377" s="1545"/>
      <c r="N1377" s="1545"/>
    </row>
    <row r="1378" spans="1:93" ht="15.5">
      <c r="A1378" s="1794" t="s">
        <v>5251</v>
      </c>
      <c r="B1378" s="1795" t="s">
        <v>5252</v>
      </c>
      <c r="C1378" s="1643" t="e">
        <f>+SUMIF(#REF!,Final!A1378,#REF!)</f>
        <v>#REF!</v>
      </c>
      <c r="D1378" s="1597" t="e">
        <f>+SUMIF(#REF!,Final!A1378,#REF!)</f>
        <v>#REF!</v>
      </c>
      <c r="E1378" s="1643" t="e">
        <f>SUMIF(#REF!,Final!A1378,#REF!)</f>
        <v>#REF!</v>
      </c>
      <c r="F1378" s="1644" t="e">
        <f>SUMIF(#REF!,Final!A1378,#REF!)</f>
        <v>#REF!</v>
      </c>
      <c r="G1378" s="1597" t="e">
        <f t="shared" si="136"/>
        <v>#REF!</v>
      </c>
      <c r="H1378" s="1644" t="e">
        <f t="shared" si="137"/>
        <v>#REF!</v>
      </c>
      <c r="I1378" s="1597" t="e">
        <f t="shared" si="138"/>
        <v>#REF!</v>
      </c>
      <c r="J1378" s="1644" t="e">
        <f t="shared" si="139"/>
        <v>#REF!</v>
      </c>
      <c r="M1378" s="1545"/>
      <c r="N1378" s="1545"/>
    </row>
    <row r="1379" spans="1:93" ht="15.5">
      <c r="A1379" s="1796" t="s">
        <v>5253</v>
      </c>
      <c r="B1379" s="1795" t="s">
        <v>5254</v>
      </c>
      <c r="C1379" s="1643" t="e">
        <f>+SUMIF(#REF!,Final!A1379,#REF!)</f>
        <v>#REF!</v>
      </c>
      <c r="D1379" s="1597" t="e">
        <f>+SUMIF(#REF!,Final!A1379,#REF!)</f>
        <v>#REF!</v>
      </c>
      <c r="E1379" s="1643" t="e">
        <f>SUMIF(#REF!,Final!A1379,#REF!)</f>
        <v>#REF!</v>
      </c>
      <c r="F1379" s="1644" t="e">
        <f>SUMIF(#REF!,Final!A1379,#REF!)</f>
        <v>#REF!</v>
      </c>
      <c r="G1379" s="1597" t="e">
        <f t="shared" si="136"/>
        <v>#REF!</v>
      </c>
      <c r="H1379" s="1644" t="e">
        <f t="shared" si="137"/>
        <v>#REF!</v>
      </c>
      <c r="I1379" s="1597" t="e">
        <f t="shared" si="138"/>
        <v>#REF!</v>
      </c>
      <c r="J1379" s="1644" t="e">
        <f t="shared" si="139"/>
        <v>#REF!</v>
      </c>
      <c r="M1379" s="1545"/>
      <c r="N1379" s="1545"/>
    </row>
    <row r="1380" spans="1:93" ht="15.5">
      <c r="A1380" s="1598">
        <v>26.600999999999999</v>
      </c>
      <c r="B1380" s="1599" t="s">
        <v>2834</v>
      </c>
      <c r="C1380" s="1643" t="e">
        <f>+SUMIF(#REF!,Final!A1380,#REF!)</f>
        <v>#REF!</v>
      </c>
      <c r="D1380" s="1597" t="e">
        <f>+SUMIF(#REF!,Final!A1380,#REF!)</f>
        <v>#REF!</v>
      </c>
      <c r="E1380" s="1643" t="e">
        <f>SUMIF(#REF!,Final!A1380,#REF!)</f>
        <v>#REF!</v>
      </c>
      <c r="F1380" s="1644" t="e">
        <f>SUMIF(#REF!,Final!A1380,#REF!)</f>
        <v>#REF!</v>
      </c>
      <c r="G1380" s="1597" t="e">
        <f t="shared" si="132"/>
        <v>#REF!</v>
      </c>
      <c r="H1380" s="1644" t="e">
        <f t="shared" si="133"/>
        <v>#REF!</v>
      </c>
      <c r="I1380" s="1597" t="e">
        <f t="shared" si="134"/>
        <v>#REF!</v>
      </c>
      <c r="J1380" s="1644" t="e">
        <f t="shared" si="135"/>
        <v>#REF!</v>
      </c>
      <c r="M1380" s="1545"/>
      <c r="N1380" s="1545"/>
    </row>
    <row r="1381" spans="1:93" ht="15.5">
      <c r="A1381" s="1598">
        <v>26.901</v>
      </c>
      <c r="B1381" s="1599" t="s">
        <v>2835</v>
      </c>
      <c r="C1381" s="1643" t="e">
        <f>+SUMIF(#REF!,Final!A1381,#REF!)</f>
        <v>#REF!</v>
      </c>
      <c r="D1381" s="1597" t="e">
        <f>+SUMIF(#REF!,Final!A1381,#REF!)</f>
        <v>#REF!</v>
      </c>
      <c r="E1381" s="1643" t="e">
        <f>SUMIF(#REF!,Final!A1381,#REF!)</f>
        <v>#REF!</v>
      </c>
      <c r="F1381" s="1644" t="e">
        <f>SUMIF(#REF!,Final!A1381,#REF!)</f>
        <v>#REF!</v>
      </c>
      <c r="G1381" s="1597" t="e">
        <f t="shared" si="132"/>
        <v>#REF!</v>
      </c>
      <c r="H1381" s="1644" t="e">
        <f t="shared" si="133"/>
        <v>#REF!</v>
      </c>
      <c r="I1381" s="1597" t="e">
        <f t="shared" si="134"/>
        <v>#REF!</v>
      </c>
      <c r="J1381" s="1644" t="e">
        <f t="shared" si="135"/>
        <v>#REF!</v>
      </c>
      <c r="M1381" s="1545"/>
      <c r="N1381" s="1545"/>
    </row>
    <row r="1382" spans="1:93" s="1552" customFormat="1" ht="15.5">
      <c r="A1382" s="1598"/>
      <c r="B1382" s="1599" t="s">
        <v>2836</v>
      </c>
      <c r="C1382" s="1643" t="e">
        <f>+SUMIF(#REF!,Final!A1382,#REF!)</f>
        <v>#REF!</v>
      </c>
      <c r="D1382" s="1597" t="e">
        <f>+SUMIF(#REF!,Final!A1382,#REF!)</f>
        <v>#REF!</v>
      </c>
      <c r="E1382" s="1643" t="e">
        <f>SUMIF(#REF!,Final!A1382,#REF!)</f>
        <v>#REF!</v>
      </c>
      <c r="F1382" s="1644" t="e">
        <f>SUMIF(#REF!,Final!A1382,#REF!)</f>
        <v>#REF!</v>
      </c>
      <c r="G1382" s="1597" t="e">
        <f t="shared" si="132"/>
        <v>#REF!</v>
      </c>
      <c r="H1382" s="1644" t="e">
        <f t="shared" si="133"/>
        <v>#REF!</v>
      </c>
      <c r="I1382" s="1597" t="e">
        <f t="shared" si="134"/>
        <v>#REF!</v>
      </c>
      <c r="J1382" s="1644" t="e">
        <f t="shared" si="135"/>
        <v>#REF!</v>
      </c>
      <c r="K1382" s="1539"/>
      <c r="L1382" s="1539"/>
      <c r="M1382" s="1545"/>
      <c r="N1382" s="1545"/>
      <c r="O1382" s="1539"/>
      <c r="P1382" s="1539"/>
      <c r="Q1382" s="1539"/>
      <c r="R1382" s="1539"/>
      <c r="S1382" s="1539"/>
      <c r="T1382" s="1539"/>
      <c r="U1382" s="1539"/>
      <c r="V1382" s="1539"/>
      <c r="W1382" s="1539"/>
      <c r="X1382" s="1539"/>
      <c r="Y1382" s="1539"/>
      <c r="Z1382" s="1539"/>
      <c r="AA1382" s="1539"/>
      <c r="AB1382" s="1539"/>
      <c r="AC1382" s="1539"/>
      <c r="AD1382" s="1539"/>
      <c r="AE1382" s="1539"/>
      <c r="AF1382" s="1539"/>
      <c r="AG1382" s="1539"/>
      <c r="AH1382" s="1539"/>
      <c r="AI1382" s="1539"/>
      <c r="AJ1382" s="1539"/>
      <c r="AK1382" s="1539"/>
      <c r="AL1382" s="1539"/>
      <c r="AM1382" s="1539"/>
      <c r="AN1382" s="1539"/>
      <c r="AO1382" s="1539"/>
      <c r="AP1382" s="1539"/>
      <c r="AQ1382" s="1539"/>
      <c r="AR1382" s="1539"/>
      <c r="AS1382" s="1539"/>
      <c r="AT1382" s="1539"/>
      <c r="AU1382" s="1539"/>
      <c r="AV1382" s="1539"/>
      <c r="AW1382" s="1539"/>
      <c r="AX1382" s="1539"/>
      <c r="AY1382" s="1539"/>
      <c r="AZ1382" s="1539"/>
      <c r="BA1382" s="1539"/>
      <c r="BB1382" s="1539"/>
      <c r="BC1382" s="1539"/>
      <c r="BD1382" s="1539"/>
      <c r="BE1382" s="1539"/>
      <c r="BF1382" s="1539"/>
      <c r="BG1382" s="1539"/>
      <c r="BH1382" s="1539"/>
      <c r="BI1382" s="1539"/>
      <c r="BJ1382" s="1539"/>
      <c r="BK1382" s="1539"/>
      <c r="BL1382" s="1539"/>
      <c r="BM1382" s="1539"/>
      <c r="BN1382" s="1539"/>
      <c r="BO1382" s="1539"/>
      <c r="BP1382" s="1539"/>
      <c r="BQ1382" s="1539"/>
      <c r="BR1382" s="1539"/>
      <c r="BS1382" s="1539"/>
      <c r="BT1382" s="1539"/>
      <c r="BU1382" s="1539"/>
      <c r="BV1382" s="1539"/>
      <c r="BW1382" s="1539"/>
      <c r="BX1382" s="1539"/>
      <c r="BY1382" s="1539"/>
      <c r="BZ1382" s="1539"/>
      <c r="CA1382" s="1539"/>
      <c r="CB1382" s="1539"/>
      <c r="CC1382" s="1539"/>
      <c r="CD1382" s="1539"/>
      <c r="CE1382" s="1539"/>
      <c r="CF1382" s="1539"/>
      <c r="CG1382" s="1539"/>
      <c r="CH1382" s="1539"/>
      <c r="CI1382" s="1539"/>
      <c r="CJ1382" s="1539"/>
      <c r="CK1382" s="1539"/>
      <c r="CL1382" s="1539"/>
      <c r="CM1382" s="1539"/>
      <c r="CN1382" s="1539"/>
      <c r="CO1382" s="1539"/>
    </row>
    <row r="1383" spans="1:93" s="1552" customFormat="1" ht="15.5">
      <c r="A1383" s="1598" t="s">
        <v>2837</v>
      </c>
      <c r="B1383" s="1599" t="s">
        <v>1760</v>
      </c>
      <c r="C1383" s="1643" t="e">
        <f>+SUMIF(#REF!,Final!A1383,#REF!)</f>
        <v>#REF!</v>
      </c>
      <c r="D1383" s="1597" t="e">
        <f>+SUMIF(#REF!,Final!A1383,#REF!)</f>
        <v>#REF!</v>
      </c>
      <c r="E1383" s="1643" t="e">
        <f>SUMIF(#REF!,Final!A1383,#REF!)</f>
        <v>#REF!</v>
      </c>
      <c r="F1383" s="1644" t="e">
        <f>SUMIF(#REF!,Final!A1383,#REF!)</f>
        <v>#REF!</v>
      </c>
      <c r="G1383" s="1597" t="e">
        <f t="shared" si="132"/>
        <v>#REF!</v>
      </c>
      <c r="H1383" s="1644" t="e">
        <f t="shared" si="133"/>
        <v>#REF!</v>
      </c>
      <c r="I1383" s="1597" t="e">
        <f t="shared" si="134"/>
        <v>#REF!</v>
      </c>
      <c r="J1383" s="1644" t="e">
        <f t="shared" si="135"/>
        <v>#REF!</v>
      </c>
      <c r="K1383" s="1539"/>
      <c r="L1383" s="1539"/>
      <c r="M1383" s="1545"/>
      <c r="N1383" s="1545"/>
      <c r="O1383" s="1539"/>
      <c r="P1383" s="1539"/>
      <c r="Q1383" s="1539"/>
      <c r="R1383" s="1539"/>
      <c r="S1383" s="1539"/>
      <c r="T1383" s="1539"/>
      <c r="U1383" s="1539"/>
      <c r="V1383" s="1539"/>
      <c r="W1383" s="1539"/>
      <c r="X1383" s="1539"/>
      <c r="Y1383" s="1539"/>
      <c r="Z1383" s="1539"/>
      <c r="AA1383" s="1539"/>
      <c r="AB1383" s="1539"/>
      <c r="AC1383" s="1539"/>
      <c r="AD1383" s="1539"/>
      <c r="AE1383" s="1539"/>
      <c r="AF1383" s="1539"/>
      <c r="AG1383" s="1539"/>
      <c r="AH1383" s="1539"/>
      <c r="AI1383" s="1539"/>
      <c r="AJ1383" s="1539"/>
      <c r="AK1383" s="1539"/>
      <c r="AL1383" s="1539"/>
      <c r="AM1383" s="1539"/>
      <c r="AN1383" s="1539"/>
      <c r="AO1383" s="1539"/>
      <c r="AP1383" s="1539"/>
      <c r="AQ1383" s="1539"/>
      <c r="AR1383" s="1539"/>
      <c r="AS1383" s="1539"/>
      <c r="AT1383" s="1539"/>
      <c r="AU1383" s="1539"/>
      <c r="AV1383" s="1539"/>
      <c r="AW1383" s="1539"/>
      <c r="AX1383" s="1539"/>
      <c r="AY1383" s="1539"/>
      <c r="AZ1383" s="1539"/>
      <c r="BA1383" s="1539"/>
      <c r="BB1383" s="1539"/>
      <c r="BC1383" s="1539"/>
      <c r="BD1383" s="1539"/>
      <c r="BE1383" s="1539"/>
      <c r="BF1383" s="1539"/>
      <c r="BG1383" s="1539"/>
      <c r="BH1383" s="1539"/>
      <c r="BI1383" s="1539"/>
      <c r="BJ1383" s="1539"/>
      <c r="BK1383" s="1539"/>
      <c r="BL1383" s="1539"/>
      <c r="BM1383" s="1539"/>
      <c r="BN1383" s="1539"/>
      <c r="BO1383" s="1539"/>
      <c r="BP1383" s="1539"/>
      <c r="BQ1383" s="1539"/>
      <c r="BR1383" s="1539"/>
      <c r="BS1383" s="1539"/>
      <c r="BT1383" s="1539"/>
      <c r="BU1383" s="1539"/>
      <c r="BV1383" s="1539"/>
      <c r="BW1383" s="1539"/>
      <c r="BX1383" s="1539"/>
      <c r="BY1383" s="1539"/>
      <c r="BZ1383" s="1539"/>
      <c r="CA1383" s="1539"/>
      <c r="CB1383" s="1539"/>
      <c r="CC1383" s="1539"/>
      <c r="CD1383" s="1539"/>
      <c r="CE1383" s="1539"/>
      <c r="CF1383" s="1539"/>
      <c r="CG1383" s="1539"/>
      <c r="CH1383" s="1539"/>
      <c r="CI1383" s="1539"/>
      <c r="CJ1383" s="1539"/>
      <c r="CK1383" s="1539"/>
      <c r="CL1383" s="1539"/>
      <c r="CM1383" s="1539"/>
      <c r="CN1383" s="1539"/>
      <c r="CO1383" s="1539"/>
    </row>
    <row r="1384" spans="1:93" s="1542" customFormat="1" ht="15.5">
      <c r="A1384" s="1598" t="s">
        <v>543</v>
      </c>
      <c r="B1384" s="1599" t="s">
        <v>2838</v>
      </c>
      <c r="C1384" s="1643" t="e">
        <f>+SUMIF(#REF!,Final!A1384,#REF!)</f>
        <v>#REF!</v>
      </c>
      <c r="D1384" s="1597" t="e">
        <f>+SUMIF(#REF!,Final!A1384,#REF!)</f>
        <v>#REF!</v>
      </c>
      <c r="E1384" s="1643" t="e">
        <f>SUMIF(#REF!,Final!A1384,#REF!)</f>
        <v>#REF!</v>
      </c>
      <c r="F1384" s="1644" t="e">
        <f>SUMIF(#REF!,Final!A1384,#REF!)</f>
        <v>#REF!</v>
      </c>
      <c r="G1384" s="1597" t="e">
        <f t="shared" si="132"/>
        <v>#REF!</v>
      </c>
      <c r="H1384" s="1644" t="e">
        <f t="shared" si="133"/>
        <v>#REF!</v>
      </c>
      <c r="I1384" s="1597" t="e">
        <f t="shared" si="134"/>
        <v>#REF!</v>
      </c>
      <c r="J1384" s="1644" t="e">
        <f t="shared" si="135"/>
        <v>#REF!</v>
      </c>
      <c r="K1384" s="1539"/>
      <c r="L1384" s="1539"/>
      <c r="M1384" s="1545"/>
      <c r="N1384" s="1545"/>
      <c r="O1384" s="1539"/>
      <c r="P1384" s="1539"/>
      <c r="Q1384" s="1539"/>
      <c r="R1384" s="1539"/>
      <c r="S1384" s="1539"/>
      <c r="T1384" s="1539"/>
      <c r="U1384" s="1539"/>
      <c r="V1384" s="1539"/>
      <c r="W1384" s="1539"/>
      <c r="X1384" s="1539"/>
      <c r="Y1384" s="1539"/>
      <c r="Z1384" s="1539"/>
      <c r="AA1384" s="1539"/>
      <c r="AB1384" s="1539"/>
      <c r="AC1384" s="1539"/>
      <c r="AD1384" s="1539"/>
      <c r="AE1384" s="1539"/>
      <c r="AF1384" s="1539"/>
      <c r="AG1384" s="1539"/>
      <c r="AH1384" s="1539"/>
      <c r="AI1384" s="1539"/>
      <c r="AJ1384" s="1539"/>
      <c r="AK1384" s="1539"/>
      <c r="AL1384" s="1539"/>
      <c r="AM1384" s="1539"/>
      <c r="AN1384" s="1539"/>
      <c r="AO1384" s="1539"/>
      <c r="AP1384" s="1539"/>
      <c r="AQ1384" s="1539"/>
      <c r="AR1384" s="1539"/>
      <c r="AS1384" s="1539"/>
      <c r="AT1384" s="1539"/>
      <c r="AU1384" s="1539"/>
      <c r="AV1384" s="1539"/>
      <c r="AW1384" s="1539"/>
      <c r="AX1384" s="1539"/>
      <c r="AY1384" s="1539"/>
      <c r="AZ1384" s="1539"/>
      <c r="BA1384" s="1539"/>
      <c r="BB1384" s="1539"/>
      <c r="BC1384" s="1539"/>
      <c r="BD1384" s="1539"/>
      <c r="BE1384" s="1539"/>
      <c r="BF1384" s="1539"/>
      <c r="BG1384" s="1539"/>
      <c r="BH1384" s="1539"/>
      <c r="BI1384" s="1539"/>
      <c r="BJ1384" s="1539"/>
      <c r="BK1384" s="1539"/>
      <c r="BL1384" s="1539"/>
      <c r="BM1384" s="1539"/>
      <c r="BN1384" s="1539"/>
      <c r="BO1384" s="1539"/>
      <c r="BP1384" s="1539"/>
      <c r="BQ1384" s="1539"/>
      <c r="BR1384" s="1539"/>
      <c r="BS1384" s="1539"/>
      <c r="BT1384" s="1539"/>
      <c r="BU1384" s="1539"/>
      <c r="BV1384" s="1539"/>
      <c r="BW1384" s="1539"/>
      <c r="BX1384" s="1539"/>
      <c r="BY1384" s="1539"/>
      <c r="BZ1384" s="1539"/>
      <c r="CA1384" s="1539"/>
      <c r="CB1384" s="1539"/>
      <c r="CC1384" s="1539"/>
      <c r="CD1384" s="1539"/>
      <c r="CE1384" s="1539"/>
      <c r="CF1384" s="1539"/>
      <c r="CG1384" s="1539"/>
      <c r="CH1384" s="1539"/>
      <c r="CI1384" s="1539"/>
      <c r="CJ1384" s="1539"/>
      <c r="CK1384" s="1539"/>
      <c r="CL1384" s="1539"/>
      <c r="CM1384" s="1539"/>
      <c r="CN1384" s="1539"/>
      <c r="CO1384" s="1539"/>
    </row>
    <row r="1385" spans="1:93" s="1542" customFormat="1" ht="15.5">
      <c r="A1385" s="1598" t="s">
        <v>637</v>
      </c>
      <c r="B1385" s="1599" t="s">
        <v>2839</v>
      </c>
      <c r="C1385" s="1643" t="e">
        <f>+SUMIF(#REF!,Final!A1385,#REF!)</f>
        <v>#REF!</v>
      </c>
      <c r="D1385" s="1597" t="e">
        <f>+SUMIF(#REF!,Final!A1385,#REF!)</f>
        <v>#REF!</v>
      </c>
      <c r="E1385" s="1643" t="e">
        <f>SUMIF(#REF!,Final!A1385,#REF!)</f>
        <v>#REF!</v>
      </c>
      <c r="F1385" s="1644" t="e">
        <f>SUMIF(#REF!,Final!A1385,#REF!)</f>
        <v>#REF!</v>
      </c>
      <c r="G1385" s="1597" t="e">
        <f t="shared" si="132"/>
        <v>#REF!</v>
      </c>
      <c r="H1385" s="1644" t="e">
        <f t="shared" si="133"/>
        <v>#REF!</v>
      </c>
      <c r="I1385" s="1597" t="e">
        <f t="shared" si="134"/>
        <v>#REF!</v>
      </c>
      <c r="J1385" s="1644" t="e">
        <f t="shared" si="135"/>
        <v>#REF!</v>
      </c>
      <c r="K1385" s="1539"/>
      <c r="L1385" s="1539"/>
      <c r="M1385" s="1545"/>
      <c r="N1385" s="1545"/>
      <c r="O1385" s="1539"/>
      <c r="P1385" s="1539"/>
      <c r="Q1385" s="1539"/>
      <c r="R1385" s="1539"/>
      <c r="S1385" s="1539"/>
      <c r="T1385" s="1539"/>
      <c r="U1385" s="1539"/>
      <c r="V1385" s="1539"/>
      <c r="W1385" s="1539"/>
      <c r="X1385" s="1539"/>
      <c r="Y1385" s="1539"/>
      <c r="Z1385" s="1539"/>
      <c r="AA1385" s="1539"/>
      <c r="AB1385" s="1539"/>
      <c r="AC1385" s="1539"/>
      <c r="AD1385" s="1539"/>
      <c r="AE1385" s="1539"/>
      <c r="AF1385" s="1539"/>
      <c r="AG1385" s="1539"/>
      <c r="AH1385" s="1539"/>
      <c r="AI1385" s="1539"/>
      <c r="AJ1385" s="1539"/>
      <c r="AK1385" s="1539"/>
      <c r="AL1385" s="1539"/>
      <c r="AM1385" s="1539"/>
      <c r="AN1385" s="1539"/>
      <c r="AO1385" s="1539"/>
      <c r="AP1385" s="1539"/>
      <c r="AQ1385" s="1539"/>
      <c r="AR1385" s="1539"/>
      <c r="AS1385" s="1539"/>
      <c r="AT1385" s="1539"/>
      <c r="AU1385" s="1539"/>
      <c r="AV1385" s="1539"/>
      <c r="AW1385" s="1539"/>
      <c r="AX1385" s="1539"/>
      <c r="AY1385" s="1539"/>
      <c r="AZ1385" s="1539"/>
      <c r="BA1385" s="1539"/>
      <c r="BB1385" s="1539"/>
      <c r="BC1385" s="1539"/>
      <c r="BD1385" s="1539"/>
      <c r="BE1385" s="1539"/>
      <c r="BF1385" s="1539"/>
      <c r="BG1385" s="1539"/>
      <c r="BH1385" s="1539"/>
      <c r="BI1385" s="1539"/>
      <c r="BJ1385" s="1539"/>
      <c r="BK1385" s="1539"/>
      <c r="BL1385" s="1539"/>
      <c r="BM1385" s="1539"/>
      <c r="BN1385" s="1539"/>
      <c r="BO1385" s="1539"/>
      <c r="BP1385" s="1539"/>
      <c r="BQ1385" s="1539"/>
      <c r="BR1385" s="1539"/>
      <c r="BS1385" s="1539"/>
      <c r="BT1385" s="1539"/>
      <c r="BU1385" s="1539"/>
      <c r="BV1385" s="1539"/>
      <c r="BW1385" s="1539"/>
      <c r="BX1385" s="1539"/>
      <c r="BY1385" s="1539"/>
      <c r="BZ1385" s="1539"/>
      <c r="CA1385" s="1539"/>
      <c r="CB1385" s="1539"/>
      <c r="CC1385" s="1539"/>
      <c r="CD1385" s="1539"/>
      <c r="CE1385" s="1539"/>
      <c r="CF1385" s="1539"/>
      <c r="CG1385" s="1539"/>
      <c r="CH1385" s="1539"/>
      <c r="CI1385" s="1539"/>
      <c r="CJ1385" s="1539"/>
      <c r="CK1385" s="1539"/>
      <c r="CL1385" s="1539"/>
      <c r="CM1385" s="1539"/>
      <c r="CN1385" s="1539"/>
      <c r="CO1385" s="1539"/>
    </row>
    <row r="1386" spans="1:93" ht="15.5">
      <c r="A1386" s="1598">
        <v>27.100999999999999</v>
      </c>
      <c r="B1386" s="1599" t="s">
        <v>2840</v>
      </c>
      <c r="C1386" s="1643" t="e">
        <f>+SUMIF(#REF!,Final!A1386,#REF!)</f>
        <v>#REF!</v>
      </c>
      <c r="D1386" s="1597" t="e">
        <f>+SUMIF(#REF!,Final!A1386,#REF!)</f>
        <v>#REF!</v>
      </c>
      <c r="E1386" s="1643" t="e">
        <f>SUMIF(#REF!,Final!A1386,#REF!)</f>
        <v>#REF!</v>
      </c>
      <c r="F1386" s="1644" t="e">
        <f>SUMIF(#REF!,Final!A1386,#REF!)</f>
        <v>#REF!</v>
      </c>
      <c r="G1386" s="1597" t="e">
        <f t="shared" si="132"/>
        <v>#REF!</v>
      </c>
      <c r="H1386" s="1644" t="e">
        <f t="shared" si="133"/>
        <v>#REF!</v>
      </c>
      <c r="I1386" s="1597" t="e">
        <f t="shared" si="134"/>
        <v>#REF!</v>
      </c>
      <c r="J1386" s="1644" t="e">
        <f t="shared" si="135"/>
        <v>#REF!</v>
      </c>
      <c r="M1386" s="1545"/>
      <c r="N1386" s="1545"/>
    </row>
    <row r="1387" spans="1:93" ht="15.5">
      <c r="A1387" s="1598">
        <v>27.102</v>
      </c>
      <c r="B1387" s="1599" t="s">
        <v>2841</v>
      </c>
      <c r="C1387" s="1643" t="e">
        <f>+SUMIF(#REF!,Final!A1387,#REF!)</f>
        <v>#REF!</v>
      </c>
      <c r="D1387" s="1597" t="e">
        <f>+SUMIF(#REF!,Final!A1387,#REF!)</f>
        <v>#REF!</v>
      </c>
      <c r="E1387" s="1643" t="e">
        <f>SUMIF(#REF!,Final!A1387,#REF!)</f>
        <v>#REF!</v>
      </c>
      <c r="F1387" s="1644" t="e">
        <f>SUMIF(#REF!,Final!A1387,#REF!)</f>
        <v>#REF!</v>
      </c>
      <c r="G1387" s="1597" t="e">
        <f t="shared" si="132"/>
        <v>#REF!</v>
      </c>
      <c r="H1387" s="1644" t="e">
        <f t="shared" si="133"/>
        <v>#REF!</v>
      </c>
      <c r="I1387" s="1597" t="e">
        <f t="shared" si="134"/>
        <v>#REF!</v>
      </c>
      <c r="J1387" s="1644" t="e">
        <f t="shared" si="135"/>
        <v>#REF!</v>
      </c>
      <c r="M1387" s="1545"/>
      <c r="N1387" s="1545"/>
    </row>
    <row r="1388" spans="1:93" ht="15.5">
      <c r="A1388" s="1598">
        <v>27.103000000000002</v>
      </c>
      <c r="B1388" s="1599" t="s">
        <v>2842</v>
      </c>
      <c r="C1388" s="1643" t="e">
        <f>+SUMIF(#REF!,Final!A1388,#REF!)</f>
        <v>#REF!</v>
      </c>
      <c r="D1388" s="1597" t="e">
        <f>+SUMIF(#REF!,Final!A1388,#REF!)</f>
        <v>#REF!</v>
      </c>
      <c r="E1388" s="1643" t="e">
        <f>SUMIF(#REF!,Final!A1388,#REF!)</f>
        <v>#REF!</v>
      </c>
      <c r="F1388" s="1644" t="e">
        <f>SUMIF(#REF!,Final!A1388,#REF!)</f>
        <v>#REF!</v>
      </c>
      <c r="G1388" s="1597" t="e">
        <f t="shared" si="132"/>
        <v>#REF!</v>
      </c>
      <c r="H1388" s="1644" t="e">
        <f t="shared" si="133"/>
        <v>#REF!</v>
      </c>
      <c r="I1388" s="1597" t="e">
        <f t="shared" si="134"/>
        <v>#REF!</v>
      </c>
      <c r="J1388" s="1644" t="e">
        <f t="shared" si="135"/>
        <v>#REF!</v>
      </c>
      <c r="M1388" s="1545"/>
      <c r="N1388" s="1545"/>
    </row>
    <row r="1389" spans="1:93" ht="15.5">
      <c r="A1389" s="1598">
        <v>27.103999999999999</v>
      </c>
      <c r="B1389" s="1599" t="s">
        <v>2843</v>
      </c>
      <c r="C1389" s="1643" t="e">
        <f>+SUMIF(#REF!,Final!A1389,#REF!)</f>
        <v>#REF!</v>
      </c>
      <c r="D1389" s="1597" t="e">
        <f>+SUMIF(#REF!,Final!A1389,#REF!)</f>
        <v>#REF!</v>
      </c>
      <c r="E1389" s="1643" t="e">
        <f>SUMIF(#REF!,Final!A1389,#REF!)</f>
        <v>#REF!</v>
      </c>
      <c r="F1389" s="1644" t="e">
        <f>SUMIF(#REF!,Final!A1389,#REF!)</f>
        <v>#REF!</v>
      </c>
      <c r="G1389" s="1597" t="e">
        <f t="shared" si="132"/>
        <v>#REF!</v>
      </c>
      <c r="H1389" s="1644" t="e">
        <f t="shared" si="133"/>
        <v>#REF!</v>
      </c>
      <c r="I1389" s="1597" t="e">
        <f t="shared" si="134"/>
        <v>#REF!</v>
      </c>
      <c r="J1389" s="1644" t="e">
        <f t="shared" si="135"/>
        <v>#REF!</v>
      </c>
      <c r="M1389" s="1545"/>
      <c r="N1389" s="1545"/>
    </row>
    <row r="1390" spans="1:93" s="1552" customFormat="1" ht="15.5">
      <c r="A1390" s="1598"/>
      <c r="B1390" s="1599" t="s">
        <v>1747</v>
      </c>
      <c r="C1390" s="1643" t="e">
        <f>+SUMIF(#REF!,Final!A1390,#REF!)</f>
        <v>#REF!</v>
      </c>
      <c r="D1390" s="1597" t="e">
        <f>+SUMIF(#REF!,Final!A1390,#REF!)</f>
        <v>#REF!</v>
      </c>
      <c r="E1390" s="1643" t="e">
        <f>SUMIF(#REF!,Final!A1390,#REF!)</f>
        <v>#REF!</v>
      </c>
      <c r="F1390" s="1644" t="e">
        <f>SUMIF(#REF!,Final!A1390,#REF!)</f>
        <v>#REF!</v>
      </c>
      <c r="G1390" s="1597" t="e">
        <f t="shared" si="132"/>
        <v>#REF!</v>
      </c>
      <c r="H1390" s="1644" t="e">
        <f t="shared" si="133"/>
        <v>#REF!</v>
      </c>
      <c r="I1390" s="1597" t="e">
        <f t="shared" si="134"/>
        <v>#REF!</v>
      </c>
      <c r="J1390" s="1644" t="e">
        <f t="shared" si="135"/>
        <v>#REF!</v>
      </c>
      <c r="K1390" s="1539"/>
      <c r="L1390" s="1539"/>
      <c r="M1390" s="1545"/>
      <c r="N1390" s="1545"/>
      <c r="O1390" s="1539"/>
      <c r="P1390" s="1539"/>
      <c r="Q1390" s="1539"/>
      <c r="R1390" s="1539"/>
      <c r="S1390" s="1539"/>
      <c r="T1390" s="1539"/>
      <c r="U1390" s="1539"/>
      <c r="V1390" s="1539"/>
      <c r="W1390" s="1539"/>
      <c r="X1390" s="1539"/>
      <c r="Y1390" s="1539"/>
      <c r="Z1390" s="1539"/>
      <c r="AA1390" s="1539"/>
      <c r="AB1390" s="1539"/>
      <c r="AC1390" s="1539"/>
      <c r="AD1390" s="1539"/>
      <c r="AE1390" s="1539"/>
      <c r="AF1390" s="1539"/>
      <c r="AG1390" s="1539"/>
      <c r="AH1390" s="1539"/>
      <c r="AI1390" s="1539"/>
      <c r="AJ1390" s="1539"/>
      <c r="AK1390" s="1539"/>
      <c r="AL1390" s="1539"/>
      <c r="AM1390" s="1539"/>
      <c r="AN1390" s="1539"/>
      <c r="AO1390" s="1539"/>
      <c r="AP1390" s="1539"/>
      <c r="AQ1390" s="1539"/>
      <c r="AR1390" s="1539"/>
      <c r="AS1390" s="1539"/>
      <c r="AT1390" s="1539"/>
      <c r="AU1390" s="1539"/>
      <c r="AV1390" s="1539"/>
      <c r="AW1390" s="1539"/>
      <c r="AX1390" s="1539"/>
      <c r="AY1390" s="1539"/>
      <c r="AZ1390" s="1539"/>
      <c r="BA1390" s="1539"/>
      <c r="BB1390" s="1539"/>
      <c r="BC1390" s="1539"/>
      <c r="BD1390" s="1539"/>
      <c r="BE1390" s="1539"/>
      <c r="BF1390" s="1539"/>
      <c r="BG1390" s="1539"/>
      <c r="BH1390" s="1539"/>
      <c r="BI1390" s="1539"/>
      <c r="BJ1390" s="1539"/>
      <c r="BK1390" s="1539"/>
      <c r="BL1390" s="1539"/>
      <c r="BM1390" s="1539"/>
      <c r="BN1390" s="1539"/>
      <c r="BO1390" s="1539"/>
      <c r="BP1390" s="1539"/>
      <c r="BQ1390" s="1539"/>
      <c r="BR1390" s="1539"/>
      <c r="BS1390" s="1539"/>
      <c r="BT1390" s="1539"/>
      <c r="BU1390" s="1539"/>
      <c r="BV1390" s="1539"/>
      <c r="BW1390" s="1539"/>
      <c r="BX1390" s="1539"/>
      <c r="BY1390" s="1539"/>
      <c r="BZ1390" s="1539"/>
      <c r="CA1390" s="1539"/>
      <c r="CB1390" s="1539"/>
      <c r="CC1390" s="1539"/>
      <c r="CD1390" s="1539"/>
      <c r="CE1390" s="1539"/>
      <c r="CF1390" s="1539"/>
      <c r="CG1390" s="1539"/>
      <c r="CH1390" s="1539"/>
      <c r="CI1390" s="1539"/>
      <c r="CJ1390" s="1539"/>
      <c r="CK1390" s="1539"/>
      <c r="CL1390" s="1539"/>
      <c r="CM1390" s="1539"/>
      <c r="CN1390" s="1539"/>
      <c r="CO1390" s="1539"/>
    </row>
    <row r="1391" spans="1:93" s="1552" customFormat="1" ht="15.5">
      <c r="A1391" s="1598" t="s">
        <v>2837</v>
      </c>
      <c r="B1391" s="1599" t="s">
        <v>1760</v>
      </c>
      <c r="C1391" s="1643" t="e">
        <f>+SUMIF(#REF!,Final!A1391,#REF!)</f>
        <v>#REF!</v>
      </c>
      <c r="D1391" s="1597" t="e">
        <f>+SUMIF(#REF!,Final!A1391,#REF!)</f>
        <v>#REF!</v>
      </c>
      <c r="E1391" s="1643" t="e">
        <f>SUMIF(#REF!,Final!A1391,#REF!)</f>
        <v>#REF!</v>
      </c>
      <c r="F1391" s="1644" t="e">
        <f>SUMIF(#REF!,Final!A1391,#REF!)</f>
        <v>#REF!</v>
      </c>
      <c r="G1391" s="1597" t="e">
        <f t="shared" si="132"/>
        <v>#REF!</v>
      </c>
      <c r="H1391" s="1644" t="e">
        <f t="shared" si="133"/>
        <v>#REF!</v>
      </c>
      <c r="I1391" s="1597" t="e">
        <f t="shared" si="134"/>
        <v>#REF!</v>
      </c>
      <c r="J1391" s="1644" t="e">
        <f t="shared" si="135"/>
        <v>#REF!</v>
      </c>
      <c r="K1391" s="1539"/>
      <c r="L1391" s="1539"/>
      <c r="M1391" s="1545"/>
      <c r="N1391" s="1545"/>
      <c r="O1391" s="1539"/>
      <c r="P1391" s="1539"/>
      <c r="Q1391" s="1539"/>
      <c r="R1391" s="1539"/>
      <c r="S1391" s="1539"/>
      <c r="T1391" s="1539"/>
      <c r="U1391" s="1539"/>
      <c r="V1391" s="1539"/>
      <c r="W1391" s="1539"/>
      <c r="X1391" s="1539"/>
      <c r="Y1391" s="1539"/>
      <c r="Z1391" s="1539"/>
      <c r="AA1391" s="1539"/>
      <c r="AB1391" s="1539"/>
      <c r="AC1391" s="1539"/>
      <c r="AD1391" s="1539"/>
      <c r="AE1391" s="1539"/>
      <c r="AF1391" s="1539"/>
      <c r="AG1391" s="1539"/>
      <c r="AH1391" s="1539"/>
      <c r="AI1391" s="1539"/>
      <c r="AJ1391" s="1539"/>
      <c r="AK1391" s="1539"/>
      <c r="AL1391" s="1539"/>
      <c r="AM1391" s="1539"/>
      <c r="AN1391" s="1539"/>
      <c r="AO1391" s="1539"/>
      <c r="AP1391" s="1539"/>
      <c r="AQ1391" s="1539"/>
      <c r="AR1391" s="1539"/>
      <c r="AS1391" s="1539"/>
      <c r="AT1391" s="1539"/>
      <c r="AU1391" s="1539"/>
      <c r="AV1391" s="1539"/>
      <c r="AW1391" s="1539"/>
      <c r="AX1391" s="1539"/>
      <c r="AY1391" s="1539"/>
      <c r="AZ1391" s="1539"/>
      <c r="BA1391" s="1539"/>
      <c r="BB1391" s="1539"/>
      <c r="BC1391" s="1539"/>
      <c r="BD1391" s="1539"/>
      <c r="BE1391" s="1539"/>
      <c r="BF1391" s="1539"/>
      <c r="BG1391" s="1539"/>
      <c r="BH1391" s="1539"/>
      <c r="BI1391" s="1539"/>
      <c r="BJ1391" s="1539"/>
      <c r="BK1391" s="1539"/>
      <c r="BL1391" s="1539"/>
      <c r="BM1391" s="1539"/>
      <c r="BN1391" s="1539"/>
      <c r="BO1391" s="1539"/>
      <c r="BP1391" s="1539"/>
      <c r="BQ1391" s="1539"/>
      <c r="BR1391" s="1539"/>
      <c r="BS1391" s="1539"/>
      <c r="BT1391" s="1539"/>
      <c r="BU1391" s="1539"/>
      <c r="BV1391" s="1539"/>
      <c r="BW1391" s="1539"/>
      <c r="BX1391" s="1539"/>
      <c r="BY1391" s="1539"/>
      <c r="BZ1391" s="1539"/>
      <c r="CA1391" s="1539"/>
      <c r="CB1391" s="1539"/>
      <c r="CC1391" s="1539"/>
      <c r="CD1391" s="1539"/>
      <c r="CE1391" s="1539"/>
      <c r="CF1391" s="1539"/>
      <c r="CG1391" s="1539"/>
      <c r="CH1391" s="1539"/>
      <c r="CI1391" s="1539"/>
      <c r="CJ1391" s="1539"/>
      <c r="CK1391" s="1539"/>
      <c r="CL1391" s="1539"/>
      <c r="CM1391" s="1539"/>
      <c r="CN1391" s="1539"/>
      <c r="CO1391" s="1539"/>
    </row>
    <row r="1392" spans="1:93" s="1542" customFormat="1" ht="15.5">
      <c r="A1392" s="1598" t="s">
        <v>441</v>
      </c>
      <c r="B1392" s="1599" t="s">
        <v>2844</v>
      </c>
      <c r="C1392" s="1643" t="e">
        <f>+SUMIF(#REF!,Final!A1392,#REF!)</f>
        <v>#REF!</v>
      </c>
      <c r="D1392" s="1597" t="e">
        <f>+SUMIF(#REF!,Final!A1392,#REF!)</f>
        <v>#REF!</v>
      </c>
      <c r="E1392" s="1643" t="e">
        <f>SUMIF(#REF!,Final!A1392,#REF!)</f>
        <v>#REF!</v>
      </c>
      <c r="F1392" s="1644" t="e">
        <f>SUMIF(#REF!,Final!A1392,#REF!)</f>
        <v>#REF!</v>
      </c>
      <c r="G1392" s="1597" t="e">
        <f t="shared" si="132"/>
        <v>#REF!</v>
      </c>
      <c r="H1392" s="1644" t="e">
        <f t="shared" si="133"/>
        <v>#REF!</v>
      </c>
      <c r="I1392" s="1597" t="e">
        <f t="shared" si="134"/>
        <v>#REF!</v>
      </c>
      <c r="J1392" s="1644" t="e">
        <f t="shared" si="135"/>
        <v>#REF!</v>
      </c>
      <c r="K1392" s="1539"/>
      <c r="L1392" s="1539"/>
      <c r="M1392" s="1545"/>
      <c r="N1392" s="1545"/>
      <c r="O1392" s="1539"/>
      <c r="P1392" s="1539"/>
      <c r="Q1392" s="1539"/>
      <c r="R1392" s="1539"/>
      <c r="S1392" s="1539"/>
      <c r="T1392" s="1539"/>
      <c r="U1392" s="1539"/>
      <c r="V1392" s="1539"/>
      <c r="W1392" s="1539"/>
      <c r="X1392" s="1539"/>
      <c r="Y1392" s="1539"/>
      <c r="Z1392" s="1539"/>
      <c r="AA1392" s="1539"/>
      <c r="AB1392" s="1539"/>
      <c r="AC1392" s="1539"/>
      <c r="AD1392" s="1539"/>
      <c r="AE1392" s="1539"/>
      <c r="AF1392" s="1539"/>
      <c r="AG1392" s="1539"/>
      <c r="AH1392" s="1539"/>
      <c r="AI1392" s="1539"/>
      <c r="AJ1392" s="1539"/>
      <c r="AK1392" s="1539"/>
      <c r="AL1392" s="1539"/>
      <c r="AM1392" s="1539"/>
      <c r="AN1392" s="1539"/>
      <c r="AO1392" s="1539"/>
      <c r="AP1392" s="1539"/>
      <c r="AQ1392" s="1539"/>
      <c r="AR1392" s="1539"/>
      <c r="AS1392" s="1539"/>
      <c r="AT1392" s="1539"/>
      <c r="AU1392" s="1539"/>
      <c r="AV1392" s="1539"/>
      <c r="AW1392" s="1539"/>
      <c r="AX1392" s="1539"/>
      <c r="AY1392" s="1539"/>
      <c r="AZ1392" s="1539"/>
      <c r="BA1392" s="1539"/>
      <c r="BB1392" s="1539"/>
      <c r="BC1392" s="1539"/>
      <c r="BD1392" s="1539"/>
      <c r="BE1392" s="1539"/>
      <c r="BF1392" s="1539"/>
      <c r="BG1392" s="1539"/>
      <c r="BH1392" s="1539"/>
      <c r="BI1392" s="1539"/>
      <c r="BJ1392" s="1539"/>
      <c r="BK1392" s="1539"/>
      <c r="BL1392" s="1539"/>
      <c r="BM1392" s="1539"/>
      <c r="BN1392" s="1539"/>
      <c r="BO1392" s="1539"/>
      <c r="BP1392" s="1539"/>
      <c r="BQ1392" s="1539"/>
      <c r="BR1392" s="1539"/>
      <c r="BS1392" s="1539"/>
      <c r="BT1392" s="1539"/>
      <c r="BU1392" s="1539"/>
      <c r="BV1392" s="1539"/>
      <c r="BW1392" s="1539"/>
      <c r="BX1392" s="1539"/>
      <c r="BY1392" s="1539"/>
      <c r="BZ1392" s="1539"/>
      <c r="CA1392" s="1539"/>
      <c r="CB1392" s="1539"/>
      <c r="CC1392" s="1539"/>
      <c r="CD1392" s="1539"/>
      <c r="CE1392" s="1539"/>
      <c r="CF1392" s="1539"/>
      <c r="CG1392" s="1539"/>
      <c r="CH1392" s="1539"/>
      <c r="CI1392" s="1539"/>
      <c r="CJ1392" s="1539"/>
      <c r="CK1392" s="1539"/>
      <c r="CL1392" s="1539"/>
      <c r="CM1392" s="1539"/>
      <c r="CN1392" s="1539"/>
      <c r="CO1392" s="1539"/>
    </row>
    <row r="1393" spans="1:93" ht="15.5">
      <c r="A1393" s="1598">
        <v>27.201000000000001</v>
      </c>
      <c r="B1393" s="1599" t="s">
        <v>2845</v>
      </c>
      <c r="C1393" s="1643" t="e">
        <f>+SUMIF(#REF!,Final!A1393,#REF!)</f>
        <v>#REF!</v>
      </c>
      <c r="D1393" s="1597" t="e">
        <f>+SUMIF(#REF!,Final!A1393,#REF!)</f>
        <v>#REF!</v>
      </c>
      <c r="E1393" s="1643" t="e">
        <f>SUMIF(#REF!,Final!A1393,#REF!)</f>
        <v>#REF!</v>
      </c>
      <c r="F1393" s="1644" t="e">
        <f>SUMIF(#REF!,Final!A1393,#REF!)</f>
        <v>#REF!</v>
      </c>
      <c r="G1393" s="1597" t="e">
        <f t="shared" si="132"/>
        <v>#REF!</v>
      </c>
      <c r="H1393" s="1644" t="e">
        <f t="shared" si="133"/>
        <v>#REF!</v>
      </c>
      <c r="I1393" s="1597" t="e">
        <f t="shared" si="134"/>
        <v>#REF!</v>
      </c>
      <c r="J1393" s="1644" t="e">
        <f t="shared" si="135"/>
        <v>#REF!</v>
      </c>
      <c r="M1393" s="1545"/>
      <c r="N1393" s="1545"/>
    </row>
    <row r="1394" spans="1:93" ht="15.5">
      <c r="A1394" s="1598">
        <v>27.202000000000002</v>
      </c>
      <c r="B1394" s="1599" t="s">
        <v>2846</v>
      </c>
      <c r="C1394" s="1643" t="e">
        <f>+SUMIF(#REF!,Final!A1394,#REF!)</f>
        <v>#REF!</v>
      </c>
      <c r="D1394" s="1597" t="e">
        <f>+SUMIF(#REF!,Final!A1394,#REF!)</f>
        <v>#REF!</v>
      </c>
      <c r="E1394" s="1643" t="e">
        <f>SUMIF(#REF!,Final!A1394,#REF!)</f>
        <v>#REF!</v>
      </c>
      <c r="F1394" s="1644" t="e">
        <f>SUMIF(#REF!,Final!A1394,#REF!)</f>
        <v>#REF!</v>
      </c>
      <c r="G1394" s="1597" t="e">
        <f t="shared" si="132"/>
        <v>#REF!</v>
      </c>
      <c r="H1394" s="1644" t="e">
        <f t="shared" si="133"/>
        <v>#REF!</v>
      </c>
      <c r="I1394" s="1597" t="e">
        <f t="shared" si="134"/>
        <v>#REF!</v>
      </c>
      <c r="J1394" s="1644" t="e">
        <f t="shared" si="135"/>
        <v>#REF!</v>
      </c>
      <c r="M1394" s="1545"/>
      <c r="N1394" s="1545"/>
    </row>
    <row r="1395" spans="1:93" s="1542" customFormat="1" ht="15.5">
      <c r="A1395" s="1598">
        <v>27.202999999999999</v>
      </c>
      <c r="B1395" s="1599" t="s">
        <v>2847</v>
      </c>
      <c r="C1395" s="1643" t="e">
        <f>+SUMIF(#REF!,Final!A1395,#REF!)</f>
        <v>#REF!</v>
      </c>
      <c r="D1395" s="1597" t="e">
        <f>+SUMIF(#REF!,Final!A1395,#REF!)</f>
        <v>#REF!</v>
      </c>
      <c r="E1395" s="1643" t="e">
        <f>SUMIF(#REF!,Final!A1395,#REF!)</f>
        <v>#REF!</v>
      </c>
      <c r="F1395" s="1644" t="e">
        <f>SUMIF(#REF!,Final!A1395,#REF!)</f>
        <v>#REF!</v>
      </c>
      <c r="G1395" s="1597" t="e">
        <f t="shared" si="132"/>
        <v>#REF!</v>
      </c>
      <c r="H1395" s="1644" t="e">
        <f t="shared" si="133"/>
        <v>#REF!</v>
      </c>
      <c r="I1395" s="1597" t="e">
        <f t="shared" si="134"/>
        <v>#REF!</v>
      </c>
      <c r="J1395" s="1644" t="e">
        <f t="shared" si="135"/>
        <v>#REF!</v>
      </c>
      <c r="K1395" s="1539"/>
      <c r="L1395" s="1539"/>
      <c r="M1395" s="1545"/>
      <c r="N1395" s="1545"/>
      <c r="O1395" s="1539"/>
      <c r="P1395" s="1539"/>
      <c r="Q1395" s="1539"/>
      <c r="R1395" s="1539"/>
      <c r="S1395" s="1539"/>
      <c r="T1395" s="1539"/>
      <c r="U1395" s="1539"/>
      <c r="V1395" s="1539"/>
      <c r="W1395" s="1539"/>
      <c r="X1395" s="1539"/>
      <c r="Y1395" s="1539"/>
      <c r="Z1395" s="1539"/>
      <c r="AA1395" s="1539"/>
      <c r="AB1395" s="1539"/>
      <c r="AC1395" s="1539"/>
      <c r="AD1395" s="1539"/>
      <c r="AE1395" s="1539"/>
      <c r="AF1395" s="1539"/>
      <c r="AG1395" s="1539"/>
      <c r="AH1395" s="1539"/>
      <c r="AI1395" s="1539"/>
      <c r="AJ1395" s="1539"/>
      <c r="AK1395" s="1539"/>
      <c r="AL1395" s="1539"/>
      <c r="AM1395" s="1539"/>
      <c r="AN1395" s="1539"/>
      <c r="AO1395" s="1539"/>
      <c r="AP1395" s="1539"/>
      <c r="AQ1395" s="1539"/>
      <c r="AR1395" s="1539"/>
      <c r="AS1395" s="1539"/>
      <c r="AT1395" s="1539"/>
      <c r="AU1395" s="1539"/>
      <c r="AV1395" s="1539"/>
      <c r="AW1395" s="1539"/>
      <c r="AX1395" s="1539"/>
      <c r="AY1395" s="1539"/>
      <c r="AZ1395" s="1539"/>
      <c r="BA1395" s="1539"/>
      <c r="BB1395" s="1539"/>
      <c r="BC1395" s="1539"/>
      <c r="BD1395" s="1539"/>
      <c r="BE1395" s="1539"/>
      <c r="BF1395" s="1539"/>
      <c r="BG1395" s="1539"/>
      <c r="BH1395" s="1539"/>
      <c r="BI1395" s="1539"/>
      <c r="BJ1395" s="1539"/>
      <c r="BK1395" s="1539"/>
      <c r="BL1395" s="1539"/>
      <c r="BM1395" s="1539"/>
      <c r="BN1395" s="1539"/>
      <c r="BO1395" s="1539"/>
      <c r="BP1395" s="1539"/>
      <c r="BQ1395" s="1539"/>
      <c r="BR1395" s="1539"/>
      <c r="BS1395" s="1539"/>
      <c r="BT1395" s="1539"/>
      <c r="BU1395" s="1539"/>
      <c r="BV1395" s="1539"/>
      <c r="BW1395" s="1539"/>
      <c r="BX1395" s="1539"/>
      <c r="BY1395" s="1539"/>
      <c r="BZ1395" s="1539"/>
      <c r="CA1395" s="1539"/>
      <c r="CB1395" s="1539"/>
      <c r="CC1395" s="1539"/>
      <c r="CD1395" s="1539"/>
      <c r="CE1395" s="1539"/>
      <c r="CF1395" s="1539"/>
      <c r="CG1395" s="1539"/>
      <c r="CH1395" s="1539"/>
      <c r="CI1395" s="1539"/>
      <c r="CJ1395" s="1539"/>
      <c r="CK1395" s="1539"/>
      <c r="CL1395" s="1539"/>
      <c r="CM1395" s="1539"/>
      <c r="CN1395" s="1539"/>
      <c r="CO1395" s="1539"/>
    </row>
    <row r="1396" spans="1:93" ht="15.5">
      <c r="A1396" s="1598">
        <v>27.204999999999998</v>
      </c>
      <c r="B1396" s="1599" t="s">
        <v>2848</v>
      </c>
      <c r="C1396" s="1643" t="e">
        <f>+SUMIF(#REF!,Final!A1396,#REF!)</f>
        <v>#REF!</v>
      </c>
      <c r="D1396" s="1597" t="e">
        <f>+SUMIF(#REF!,Final!A1396,#REF!)</f>
        <v>#REF!</v>
      </c>
      <c r="E1396" s="1643" t="e">
        <f>SUMIF(#REF!,Final!A1396,#REF!)</f>
        <v>#REF!</v>
      </c>
      <c r="F1396" s="1644" t="e">
        <f>SUMIF(#REF!,Final!A1396,#REF!)</f>
        <v>#REF!</v>
      </c>
      <c r="G1396" s="1597" t="e">
        <f t="shared" si="132"/>
        <v>#REF!</v>
      </c>
      <c r="H1396" s="1644" t="e">
        <f t="shared" si="133"/>
        <v>#REF!</v>
      </c>
      <c r="I1396" s="1597" t="e">
        <f t="shared" si="134"/>
        <v>#REF!</v>
      </c>
      <c r="J1396" s="1644" t="e">
        <f t="shared" si="135"/>
        <v>#REF!</v>
      </c>
      <c r="M1396" s="1545"/>
      <c r="N1396" s="1545"/>
    </row>
    <row r="1397" spans="1:93" ht="15.5">
      <c r="A1397" s="1598">
        <v>27.206</v>
      </c>
      <c r="B1397" s="1599" t="s">
        <v>2849</v>
      </c>
      <c r="C1397" s="1643" t="e">
        <f>+SUMIF(#REF!,Final!A1397,#REF!)</f>
        <v>#REF!</v>
      </c>
      <c r="D1397" s="1597" t="e">
        <f>+SUMIF(#REF!,Final!A1397,#REF!)</f>
        <v>#REF!</v>
      </c>
      <c r="E1397" s="1643" t="e">
        <f>SUMIF(#REF!,Final!A1397,#REF!)</f>
        <v>#REF!</v>
      </c>
      <c r="F1397" s="1644" t="e">
        <f>SUMIF(#REF!,Final!A1397,#REF!)</f>
        <v>#REF!</v>
      </c>
      <c r="G1397" s="1597" t="e">
        <f t="shared" si="132"/>
        <v>#REF!</v>
      </c>
      <c r="H1397" s="1644" t="e">
        <f t="shared" si="133"/>
        <v>#REF!</v>
      </c>
      <c r="I1397" s="1597" t="e">
        <f t="shared" si="134"/>
        <v>#REF!</v>
      </c>
      <c r="J1397" s="1644" t="e">
        <f t="shared" si="135"/>
        <v>#REF!</v>
      </c>
      <c r="M1397" s="1545"/>
      <c r="N1397" s="1545"/>
    </row>
    <row r="1398" spans="1:93" ht="15.5">
      <c r="A1398" s="1598">
        <v>27.207000000000001</v>
      </c>
      <c r="B1398" s="1599" t="s">
        <v>2850</v>
      </c>
      <c r="C1398" s="1643" t="e">
        <f>+SUMIF(#REF!,Final!A1398,#REF!)</f>
        <v>#REF!</v>
      </c>
      <c r="D1398" s="1597" t="e">
        <f>+SUMIF(#REF!,Final!A1398,#REF!)</f>
        <v>#REF!</v>
      </c>
      <c r="E1398" s="1643" t="e">
        <f>SUMIF(#REF!,Final!A1398,#REF!)</f>
        <v>#REF!</v>
      </c>
      <c r="F1398" s="1644" t="e">
        <f>SUMIF(#REF!,Final!A1398,#REF!)</f>
        <v>#REF!</v>
      </c>
      <c r="G1398" s="1597" t="e">
        <f t="shared" si="132"/>
        <v>#REF!</v>
      </c>
      <c r="H1398" s="1644" t="e">
        <f t="shared" si="133"/>
        <v>#REF!</v>
      </c>
      <c r="I1398" s="1597" t="e">
        <f t="shared" si="134"/>
        <v>#REF!</v>
      </c>
      <c r="J1398" s="1644" t="e">
        <f t="shared" si="135"/>
        <v>#REF!</v>
      </c>
      <c r="M1398" s="1545"/>
      <c r="N1398" s="1545"/>
    </row>
    <row r="1399" spans="1:93" ht="15.5">
      <c r="A1399" s="1598">
        <v>27.207999999999998</v>
      </c>
      <c r="B1399" s="1599" t="s">
        <v>2851</v>
      </c>
      <c r="C1399" s="1643" t="e">
        <f>+SUMIF(#REF!,Final!A1399,#REF!)</f>
        <v>#REF!</v>
      </c>
      <c r="D1399" s="1597" t="e">
        <f>+SUMIF(#REF!,Final!A1399,#REF!)</f>
        <v>#REF!</v>
      </c>
      <c r="E1399" s="1643" t="e">
        <f>SUMIF(#REF!,Final!A1399,#REF!)</f>
        <v>#REF!</v>
      </c>
      <c r="F1399" s="1644" t="e">
        <f>SUMIF(#REF!,Final!A1399,#REF!)</f>
        <v>#REF!</v>
      </c>
      <c r="G1399" s="1597" t="e">
        <f t="shared" si="132"/>
        <v>#REF!</v>
      </c>
      <c r="H1399" s="1644" t="e">
        <f t="shared" si="133"/>
        <v>#REF!</v>
      </c>
      <c r="I1399" s="1597" t="e">
        <f t="shared" si="134"/>
        <v>#REF!</v>
      </c>
      <c r="J1399" s="1644" t="e">
        <f t="shared" si="135"/>
        <v>#REF!</v>
      </c>
      <c r="M1399" s="1545"/>
      <c r="N1399" s="1545"/>
    </row>
    <row r="1400" spans="1:93" ht="15.5">
      <c r="A1400" s="1598">
        <v>27.209</v>
      </c>
      <c r="B1400" s="1599" t="s">
        <v>2852</v>
      </c>
      <c r="C1400" s="1643" t="e">
        <f>+SUMIF(#REF!,Final!A1400,#REF!)</f>
        <v>#REF!</v>
      </c>
      <c r="D1400" s="1597" t="e">
        <f>+SUMIF(#REF!,Final!A1400,#REF!)</f>
        <v>#REF!</v>
      </c>
      <c r="E1400" s="1643" t="e">
        <f>SUMIF(#REF!,Final!A1400,#REF!)</f>
        <v>#REF!</v>
      </c>
      <c r="F1400" s="1644" t="e">
        <f>SUMIF(#REF!,Final!A1400,#REF!)</f>
        <v>#REF!</v>
      </c>
      <c r="G1400" s="1597" t="e">
        <f t="shared" si="132"/>
        <v>#REF!</v>
      </c>
      <c r="H1400" s="1644" t="e">
        <f t="shared" si="133"/>
        <v>#REF!</v>
      </c>
      <c r="I1400" s="1597" t="e">
        <f t="shared" si="134"/>
        <v>#REF!</v>
      </c>
      <c r="J1400" s="1644" t="e">
        <f t="shared" si="135"/>
        <v>#REF!</v>
      </c>
      <c r="M1400" s="1545"/>
      <c r="N1400" s="1545"/>
    </row>
    <row r="1401" spans="1:93" ht="15.5">
      <c r="A1401" s="1598">
        <v>27.21</v>
      </c>
      <c r="B1401" s="1599" t="s">
        <v>2853</v>
      </c>
      <c r="C1401" s="1643" t="e">
        <f>+SUMIF(#REF!,Final!A1401,#REF!)</f>
        <v>#REF!</v>
      </c>
      <c r="D1401" s="1597" t="e">
        <f>+SUMIF(#REF!,Final!A1401,#REF!)</f>
        <v>#REF!</v>
      </c>
      <c r="E1401" s="1643" t="e">
        <f>SUMIF(#REF!,Final!A1401,#REF!)</f>
        <v>#REF!</v>
      </c>
      <c r="F1401" s="1644" t="e">
        <f>SUMIF(#REF!,Final!A1401,#REF!)</f>
        <v>#REF!</v>
      </c>
      <c r="G1401" s="1597" t="e">
        <f t="shared" si="132"/>
        <v>#REF!</v>
      </c>
      <c r="H1401" s="1644" t="e">
        <f t="shared" si="133"/>
        <v>#REF!</v>
      </c>
      <c r="I1401" s="1597" t="e">
        <f t="shared" si="134"/>
        <v>#REF!</v>
      </c>
      <c r="J1401" s="1644" t="e">
        <f t="shared" si="135"/>
        <v>#REF!</v>
      </c>
      <c r="M1401" s="1545"/>
      <c r="N1401" s="1545"/>
    </row>
    <row r="1402" spans="1:93" ht="15.5">
      <c r="A1402" s="1598">
        <v>27.210999999999999</v>
      </c>
      <c r="B1402" s="1599" t="s">
        <v>2854</v>
      </c>
      <c r="C1402" s="1643" t="e">
        <f>+SUMIF(#REF!,Final!A1402,#REF!)</f>
        <v>#REF!</v>
      </c>
      <c r="D1402" s="1597" t="e">
        <f>+SUMIF(#REF!,Final!A1402,#REF!)</f>
        <v>#REF!</v>
      </c>
      <c r="E1402" s="1643" t="e">
        <f>SUMIF(#REF!,Final!A1402,#REF!)</f>
        <v>#REF!</v>
      </c>
      <c r="F1402" s="1644" t="e">
        <f>SUMIF(#REF!,Final!A1402,#REF!)</f>
        <v>#REF!</v>
      </c>
      <c r="G1402" s="1597" t="e">
        <f t="shared" si="132"/>
        <v>#REF!</v>
      </c>
      <c r="H1402" s="1644" t="e">
        <f t="shared" si="133"/>
        <v>#REF!</v>
      </c>
      <c r="I1402" s="1597" t="e">
        <f t="shared" si="134"/>
        <v>#REF!</v>
      </c>
      <c r="J1402" s="1644" t="e">
        <f t="shared" si="135"/>
        <v>#REF!</v>
      </c>
      <c r="M1402" s="1545"/>
      <c r="N1402" s="1545"/>
    </row>
    <row r="1403" spans="1:93" ht="15.5">
      <c r="A1403" s="1598">
        <v>27.212</v>
      </c>
      <c r="B1403" s="1599" t="s">
        <v>2855</v>
      </c>
      <c r="C1403" s="1643" t="e">
        <f>+SUMIF(#REF!,Final!A1403,#REF!)</f>
        <v>#REF!</v>
      </c>
      <c r="D1403" s="1597" t="e">
        <f>+SUMIF(#REF!,Final!A1403,#REF!)</f>
        <v>#REF!</v>
      </c>
      <c r="E1403" s="1643" t="e">
        <f>SUMIF(#REF!,Final!A1403,#REF!)</f>
        <v>#REF!</v>
      </c>
      <c r="F1403" s="1644" t="e">
        <f>SUMIF(#REF!,Final!A1403,#REF!)</f>
        <v>#REF!</v>
      </c>
      <c r="G1403" s="1597" t="e">
        <f t="shared" si="132"/>
        <v>#REF!</v>
      </c>
      <c r="H1403" s="1644" t="e">
        <f t="shared" si="133"/>
        <v>#REF!</v>
      </c>
      <c r="I1403" s="1597" t="e">
        <f t="shared" si="134"/>
        <v>#REF!</v>
      </c>
      <c r="J1403" s="1644" t="e">
        <f t="shared" si="135"/>
        <v>#REF!</v>
      </c>
      <c r="M1403" s="1545"/>
      <c r="N1403" s="1545"/>
    </row>
    <row r="1404" spans="1:93" ht="15.5">
      <c r="A1404" s="1598">
        <v>27.213000000000001</v>
      </c>
      <c r="B1404" s="1599" t="s">
        <v>116</v>
      </c>
      <c r="C1404" s="1643" t="e">
        <f>+SUMIF(#REF!,Final!A1404,#REF!)</f>
        <v>#REF!</v>
      </c>
      <c r="D1404" s="1597" t="e">
        <f>+SUMIF(#REF!,Final!A1404,#REF!)</f>
        <v>#REF!</v>
      </c>
      <c r="E1404" s="1643" t="e">
        <f>SUMIF(#REF!,Final!A1404,#REF!)</f>
        <v>#REF!</v>
      </c>
      <c r="F1404" s="1644" t="e">
        <f>SUMIF(#REF!,Final!A1404,#REF!)</f>
        <v>#REF!</v>
      </c>
      <c r="G1404" s="1597" t="e">
        <f t="shared" si="132"/>
        <v>#REF!</v>
      </c>
      <c r="H1404" s="1644" t="e">
        <f t="shared" si="133"/>
        <v>#REF!</v>
      </c>
      <c r="I1404" s="1597" t="e">
        <f t="shared" si="134"/>
        <v>#REF!</v>
      </c>
      <c r="J1404" s="1644" t="e">
        <f t="shared" si="135"/>
        <v>#REF!</v>
      </c>
      <c r="M1404" s="1545"/>
      <c r="N1404" s="1545"/>
    </row>
    <row r="1405" spans="1:93" s="1552" customFormat="1" ht="15.5">
      <c r="A1405" s="1598"/>
      <c r="B1405" s="1599" t="s">
        <v>1747</v>
      </c>
      <c r="C1405" s="1643" t="e">
        <f>+SUMIF(#REF!,Final!A1405,#REF!)</f>
        <v>#REF!</v>
      </c>
      <c r="D1405" s="1597" t="e">
        <f>+SUMIF(#REF!,Final!A1405,#REF!)</f>
        <v>#REF!</v>
      </c>
      <c r="E1405" s="1643" t="e">
        <f>SUMIF(#REF!,Final!A1405,#REF!)</f>
        <v>#REF!</v>
      </c>
      <c r="F1405" s="1644" t="e">
        <f>SUMIF(#REF!,Final!A1405,#REF!)</f>
        <v>#REF!</v>
      </c>
      <c r="G1405" s="1597" t="e">
        <f t="shared" si="132"/>
        <v>#REF!</v>
      </c>
      <c r="H1405" s="1644" t="e">
        <f t="shared" si="133"/>
        <v>#REF!</v>
      </c>
      <c r="I1405" s="1597" t="e">
        <f t="shared" si="134"/>
        <v>#REF!</v>
      </c>
      <c r="J1405" s="1644" t="e">
        <f t="shared" si="135"/>
        <v>#REF!</v>
      </c>
      <c r="K1405" s="1539"/>
      <c r="L1405" s="1539"/>
      <c r="M1405" s="1545"/>
      <c r="N1405" s="1545"/>
      <c r="O1405" s="1539"/>
      <c r="P1405" s="1539"/>
      <c r="Q1405" s="1539"/>
      <c r="R1405" s="1539"/>
      <c r="S1405" s="1539"/>
      <c r="T1405" s="1539"/>
      <c r="U1405" s="1539"/>
      <c r="V1405" s="1539"/>
      <c r="W1405" s="1539"/>
      <c r="X1405" s="1539"/>
      <c r="Y1405" s="1539"/>
      <c r="Z1405" s="1539"/>
      <c r="AA1405" s="1539"/>
      <c r="AB1405" s="1539"/>
      <c r="AC1405" s="1539"/>
      <c r="AD1405" s="1539"/>
      <c r="AE1405" s="1539"/>
      <c r="AF1405" s="1539"/>
      <c r="AG1405" s="1539"/>
      <c r="AH1405" s="1539"/>
      <c r="AI1405" s="1539"/>
      <c r="AJ1405" s="1539"/>
      <c r="AK1405" s="1539"/>
      <c r="AL1405" s="1539"/>
      <c r="AM1405" s="1539"/>
      <c r="AN1405" s="1539"/>
      <c r="AO1405" s="1539"/>
      <c r="AP1405" s="1539"/>
      <c r="AQ1405" s="1539"/>
      <c r="AR1405" s="1539"/>
      <c r="AS1405" s="1539"/>
      <c r="AT1405" s="1539"/>
      <c r="AU1405" s="1539"/>
      <c r="AV1405" s="1539"/>
      <c r="AW1405" s="1539"/>
      <c r="AX1405" s="1539"/>
      <c r="AY1405" s="1539"/>
      <c r="AZ1405" s="1539"/>
      <c r="BA1405" s="1539"/>
      <c r="BB1405" s="1539"/>
      <c r="BC1405" s="1539"/>
      <c r="BD1405" s="1539"/>
      <c r="BE1405" s="1539"/>
      <c r="BF1405" s="1539"/>
      <c r="BG1405" s="1539"/>
      <c r="BH1405" s="1539"/>
      <c r="BI1405" s="1539"/>
      <c r="BJ1405" s="1539"/>
      <c r="BK1405" s="1539"/>
      <c r="BL1405" s="1539"/>
      <c r="BM1405" s="1539"/>
      <c r="BN1405" s="1539"/>
      <c r="BO1405" s="1539"/>
      <c r="BP1405" s="1539"/>
      <c r="BQ1405" s="1539"/>
      <c r="BR1405" s="1539"/>
      <c r="BS1405" s="1539"/>
      <c r="BT1405" s="1539"/>
      <c r="BU1405" s="1539"/>
      <c r="BV1405" s="1539"/>
      <c r="BW1405" s="1539"/>
      <c r="BX1405" s="1539"/>
      <c r="BY1405" s="1539"/>
      <c r="BZ1405" s="1539"/>
      <c r="CA1405" s="1539"/>
      <c r="CB1405" s="1539"/>
      <c r="CC1405" s="1539"/>
      <c r="CD1405" s="1539"/>
      <c r="CE1405" s="1539"/>
      <c r="CF1405" s="1539"/>
      <c r="CG1405" s="1539"/>
      <c r="CH1405" s="1539"/>
      <c r="CI1405" s="1539"/>
      <c r="CJ1405" s="1539"/>
      <c r="CK1405" s="1539"/>
      <c r="CL1405" s="1539"/>
      <c r="CM1405" s="1539"/>
      <c r="CN1405" s="1539"/>
      <c r="CO1405" s="1539"/>
    </row>
    <row r="1406" spans="1:93" s="1552" customFormat="1" ht="15.5">
      <c r="A1406" s="1598" t="s">
        <v>2837</v>
      </c>
      <c r="B1406" s="1599" t="s">
        <v>1760</v>
      </c>
      <c r="C1406" s="1643" t="e">
        <f>+SUMIF(#REF!,Final!A1406,#REF!)</f>
        <v>#REF!</v>
      </c>
      <c r="D1406" s="1597" t="e">
        <f>+SUMIF(#REF!,Final!A1406,#REF!)</f>
        <v>#REF!</v>
      </c>
      <c r="E1406" s="1643" t="e">
        <f>SUMIF(#REF!,Final!A1406,#REF!)</f>
        <v>#REF!</v>
      </c>
      <c r="F1406" s="1644" t="e">
        <f>SUMIF(#REF!,Final!A1406,#REF!)</f>
        <v>#REF!</v>
      </c>
      <c r="G1406" s="1597" t="e">
        <f t="shared" si="132"/>
        <v>#REF!</v>
      </c>
      <c r="H1406" s="1644" t="e">
        <f t="shared" si="133"/>
        <v>#REF!</v>
      </c>
      <c r="I1406" s="1597" t="e">
        <f t="shared" si="134"/>
        <v>#REF!</v>
      </c>
      <c r="J1406" s="1644" t="e">
        <f t="shared" si="135"/>
        <v>#REF!</v>
      </c>
      <c r="K1406" s="1539"/>
      <c r="L1406" s="1539"/>
      <c r="M1406" s="1545"/>
      <c r="N1406" s="1545"/>
      <c r="O1406" s="1539"/>
      <c r="P1406" s="1539"/>
      <c r="Q1406" s="1539"/>
      <c r="R1406" s="1539"/>
      <c r="S1406" s="1539"/>
      <c r="T1406" s="1539"/>
      <c r="U1406" s="1539"/>
      <c r="V1406" s="1539"/>
      <c r="W1406" s="1539"/>
      <c r="X1406" s="1539"/>
      <c r="Y1406" s="1539"/>
      <c r="Z1406" s="1539"/>
      <c r="AA1406" s="1539"/>
      <c r="AB1406" s="1539"/>
      <c r="AC1406" s="1539"/>
      <c r="AD1406" s="1539"/>
      <c r="AE1406" s="1539"/>
      <c r="AF1406" s="1539"/>
      <c r="AG1406" s="1539"/>
      <c r="AH1406" s="1539"/>
      <c r="AI1406" s="1539"/>
      <c r="AJ1406" s="1539"/>
      <c r="AK1406" s="1539"/>
      <c r="AL1406" s="1539"/>
      <c r="AM1406" s="1539"/>
      <c r="AN1406" s="1539"/>
      <c r="AO1406" s="1539"/>
      <c r="AP1406" s="1539"/>
      <c r="AQ1406" s="1539"/>
      <c r="AR1406" s="1539"/>
      <c r="AS1406" s="1539"/>
      <c r="AT1406" s="1539"/>
      <c r="AU1406" s="1539"/>
      <c r="AV1406" s="1539"/>
      <c r="AW1406" s="1539"/>
      <c r="AX1406" s="1539"/>
      <c r="AY1406" s="1539"/>
      <c r="AZ1406" s="1539"/>
      <c r="BA1406" s="1539"/>
      <c r="BB1406" s="1539"/>
      <c r="BC1406" s="1539"/>
      <c r="BD1406" s="1539"/>
      <c r="BE1406" s="1539"/>
      <c r="BF1406" s="1539"/>
      <c r="BG1406" s="1539"/>
      <c r="BH1406" s="1539"/>
      <c r="BI1406" s="1539"/>
      <c r="BJ1406" s="1539"/>
      <c r="BK1406" s="1539"/>
      <c r="BL1406" s="1539"/>
      <c r="BM1406" s="1539"/>
      <c r="BN1406" s="1539"/>
      <c r="BO1406" s="1539"/>
      <c r="BP1406" s="1539"/>
      <c r="BQ1406" s="1539"/>
      <c r="BR1406" s="1539"/>
      <c r="BS1406" s="1539"/>
      <c r="BT1406" s="1539"/>
      <c r="BU1406" s="1539"/>
      <c r="BV1406" s="1539"/>
      <c r="BW1406" s="1539"/>
      <c r="BX1406" s="1539"/>
      <c r="BY1406" s="1539"/>
      <c r="BZ1406" s="1539"/>
      <c r="CA1406" s="1539"/>
      <c r="CB1406" s="1539"/>
      <c r="CC1406" s="1539"/>
      <c r="CD1406" s="1539"/>
      <c r="CE1406" s="1539"/>
      <c r="CF1406" s="1539"/>
      <c r="CG1406" s="1539"/>
      <c r="CH1406" s="1539"/>
      <c r="CI1406" s="1539"/>
      <c r="CJ1406" s="1539"/>
      <c r="CK1406" s="1539"/>
      <c r="CL1406" s="1539"/>
      <c r="CM1406" s="1539"/>
      <c r="CN1406" s="1539"/>
      <c r="CO1406" s="1539"/>
    </row>
    <row r="1407" spans="1:93" s="1542" customFormat="1" ht="15.5">
      <c r="A1407" s="1598" t="s">
        <v>544</v>
      </c>
      <c r="B1407" s="1599" t="s">
        <v>2856</v>
      </c>
      <c r="C1407" s="1643" t="e">
        <f>+SUMIF(#REF!,Final!A1407,#REF!)</f>
        <v>#REF!</v>
      </c>
      <c r="D1407" s="1597" t="e">
        <f>+SUMIF(#REF!,Final!A1407,#REF!)</f>
        <v>#REF!</v>
      </c>
      <c r="E1407" s="1643" t="e">
        <f>SUMIF(#REF!,Final!A1407,#REF!)</f>
        <v>#REF!</v>
      </c>
      <c r="F1407" s="1644" t="e">
        <f>SUMIF(#REF!,Final!A1407,#REF!)</f>
        <v>#REF!</v>
      </c>
      <c r="G1407" s="1597" t="e">
        <f t="shared" si="132"/>
        <v>#REF!</v>
      </c>
      <c r="H1407" s="1644" t="e">
        <f t="shared" si="133"/>
        <v>#REF!</v>
      </c>
      <c r="I1407" s="1597" t="e">
        <f t="shared" si="134"/>
        <v>#REF!</v>
      </c>
      <c r="J1407" s="1644" t="e">
        <f t="shared" si="135"/>
        <v>#REF!</v>
      </c>
      <c r="K1407" s="1539"/>
      <c r="L1407" s="1539"/>
      <c r="M1407" s="1545"/>
      <c r="N1407" s="1545"/>
      <c r="O1407" s="1539"/>
      <c r="P1407" s="1539"/>
      <c r="Q1407" s="1539"/>
      <c r="R1407" s="1539"/>
      <c r="S1407" s="1539"/>
      <c r="T1407" s="1539"/>
      <c r="U1407" s="1539"/>
      <c r="V1407" s="1539"/>
      <c r="W1407" s="1539"/>
      <c r="X1407" s="1539"/>
      <c r="Y1407" s="1539"/>
      <c r="Z1407" s="1539"/>
      <c r="AA1407" s="1539"/>
      <c r="AB1407" s="1539"/>
      <c r="AC1407" s="1539"/>
      <c r="AD1407" s="1539"/>
      <c r="AE1407" s="1539"/>
      <c r="AF1407" s="1539"/>
      <c r="AG1407" s="1539"/>
      <c r="AH1407" s="1539"/>
      <c r="AI1407" s="1539"/>
      <c r="AJ1407" s="1539"/>
      <c r="AK1407" s="1539"/>
      <c r="AL1407" s="1539"/>
      <c r="AM1407" s="1539"/>
      <c r="AN1407" s="1539"/>
      <c r="AO1407" s="1539"/>
      <c r="AP1407" s="1539"/>
      <c r="AQ1407" s="1539"/>
      <c r="AR1407" s="1539"/>
      <c r="AS1407" s="1539"/>
      <c r="AT1407" s="1539"/>
      <c r="AU1407" s="1539"/>
      <c r="AV1407" s="1539"/>
      <c r="AW1407" s="1539"/>
      <c r="AX1407" s="1539"/>
      <c r="AY1407" s="1539"/>
      <c r="AZ1407" s="1539"/>
      <c r="BA1407" s="1539"/>
      <c r="BB1407" s="1539"/>
      <c r="BC1407" s="1539"/>
      <c r="BD1407" s="1539"/>
      <c r="BE1407" s="1539"/>
      <c r="BF1407" s="1539"/>
      <c r="BG1407" s="1539"/>
      <c r="BH1407" s="1539"/>
      <c r="BI1407" s="1539"/>
      <c r="BJ1407" s="1539"/>
      <c r="BK1407" s="1539"/>
      <c r="BL1407" s="1539"/>
      <c r="BM1407" s="1539"/>
      <c r="BN1407" s="1539"/>
      <c r="BO1407" s="1539"/>
      <c r="BP1407" s="1539"/>
      <c r="BQ1407" s="1539"/>
      <c r="BR1407" s="1539"/>
      <c r="BS1407" s="1539"/>
      <c r="BT1407" s="1539"/>
      <c r="BU1407" s="1539"/>
      <c r="BV1407" s="1539"/>
      <c r="BW1407" s="1539"/>
      <c r="BX1407" s="1539"/>
      <c r="BY1407" s="1539"/>
      <c r="BZ1407" s="1539"/>
      <c r="CA1407" s="1539"/>
      <c r="CB1407" s="1539"/>
      <c r="CC1407" s="1539"/>
      <c r="CD1407" s="1539"/>
      <c r="CE1407" s="1539"/>
      <c r="CF1407" s="1539"/>
      <c r="CG1407" s="1539"/>
      <c r="CH1407" s="1539"/>
      <c r="CI1407" s="1539"/>
      <c r="CJ1407" s="1539"/>
      <c r="CK1407" s="1539"/>
      <c r="CL1407" s="1539"/>
      <c r="CM1407" s="1539"/>
      <c r="CN1407" s="1539"/>
      <c r="CO1407" s="1539"/>
    </row>
    <row r="1408" spans="1:93" ht="15.5">
      <c r="A1408" s="1600">
        <v>27.41</v>
      </c>
      <c r="B1408" s="1599" t="s">
        <v>3392</v>
      </c>
      <c r="C1408" s="1643" t="e">
        <f>+SUMIF(#REF!,Final!A1408,#REF!)</f>
        <v>#REF!</v>
      </c>
      <c r="D1408" s="1597" t="e">
        <f>+SUMIF(#REF!,Final!A1408,#REF!)</f>
        <v>#REF!</v>
      </c>
      <c r="E1408" s="1643" t="e">
        <f>SUMIF(#REF!,Final!A1408,#REF!)</f>
        <v>#REF!</v>
      </c>
      <c r="F1408" s="1644" t="e">
        <f>SUMIF(#REF!,Final!A1408,#REF!)</f>
        <v>#REF!</v>
      </c>
      <c r="G1408" s="1597" t="e">
        <f t="shared" si="132"/>
        <v>#REF!</v>
      </c>
      <c r="H1408" s="1644" t="e">
        <f t="shared" si="133"/>
        <v>#REF!</v>
      </c>
      <c r="I1408" s="1597" t="e">
        <f t="shared" si="134"/>
        <v>#REF!</v>
      </c>
      <c r="J1408" s="1644" t="e">
        <f t="shared" si="135"/>
        <v>#REF!</v>
      </c>
      <c r="M1408" s="1545"/>
      <c r="N1408" s="1545"/>
    </row>
    <row r="1409" spans="1:93" ht="15.5">
      <c r="A1409" s="1600">
        <v>27.42</v>
      </c>
      <c r="B1409" s="1599" t="s">
        <v>2857</v>
      </c>
      <c r="C1409" s="1643" t="e">
        <f>+SUMIF(#REF!,Final!A1409,#REF!)</f>
        <v>#REF!</v>
      </c>
      <c r="D1409" s="1597" t="e">
        <f>+SUMIF(#REF!,Final!A1409,#REF!)</f>
        <v>#REF!</v>
      </c>
      <c r="E1409" s="1643" t="e">
        <f>SUMIF(#REF!,Final!A1409,#REF!)</f>
        <v>#REF!</v>
      </c>
      <c r="F1409" s="1644" t="e">
        <f>SUMIF(#REF!,Final!A1409,#REF!)</f>
        <v>#REF!</v>
      </c>
      <c r="G1409" s="1597" t="e">
        <f t="shared" si="132"/>
        <v>#REF!</v>
      </c>
      <c r="H1409" s="1644" t="e">
        <f t="shared" si="133"/>
        <v>#REF!</v>
      </c>
      <c r="I1409" s="1597" t="e">
        <f t="shared" si="134"/>
        <v>#REF!</v>
      </c>
      <c r="J1409" s="1644" t="e">
        <f t="shared" si="135"/>
        <v>#REF!</v>
      </c>
      <c r="M1409" s="1545"/>
      <c r="N1409" s="1545"/>
    </row>
    <row r="1410" spans="1:93" s="1542" customFormat="1" ht="15.5">
      <c r="A1410" s="1600">
        <v>27.425000000000001</v>
      </c>
      <c r="B1410" s="1599" t="s">
        <v>2858</v>
      </c>
      <c r="C1410" s="1643" t="e">
        <f>+SUMIF(#REF!,Final!A1410,#REF!)</f>
        <v>#REF!</v>
      </c>
      <c r="D1410" s="1597" t="e">
        <f>+SUMIF(#REF!,Final!A1410,#REF!)</f>
        <v>#REF!</v>
      </c>
      <c r="E1410" s="1643" t="e">
        <f>SUMIF(#REF!,Final!A1410,#REF!)</f>
        <v>#REF!</v>
      </c>
      <c r="F1410" s="1644" t="e">
        <f>SUMIF(#REF!,Final!A1410,#REF!)</f>
        <v>#REF!</v>
      </c>
      <c r="G1410" s="1597" t="e">
        <f t="shared" si="132"/>
        <v>#REF!</v>
      </c>
      <c r="H1410" s="1644" t="e">
        <f t="shared" si="133"/>
        <v>#REF!</v>
      </c>
      <c r="I1410" s="1597" t="e">
        <f t="shared" si="134"/>
        <v>#REF!</v>
      </c>
      <c r="J1410" s="1644" t="e">
        <f t="shared" si="135"/>
        <v>#REF!</v>
      </c>
      <c r="K1410" s="1539"/>
      <c r="L1410" s="1539"/>
      <c r="M1410" s="1545"/>
      <c r="N1410" s="1545"/>
      <c r="O1410" s="1539"/>
      <c r="P1410" s="1539"/>
      <c r="Q1410" s="1539"/>
      <c r="R1410" s="1539"/>
      <c r="S1410" s="1539"/>
      <c r="T1410" s="1539"/>
      <c r="U1410" s="1539"/>
      <c r="V1410" s="1539"/>
      <c r="W1410" s="1539"/>
      <c r="X1410" s="1539"/>
      <c r="Y1410" s="1539"/>
      <c r="Z1410" s="1539"/>
      <c r="AA1410" s="1539"/>
      <c r="AB1410" s="1539"/>
      <c r="AC1410" s="1539"/>
      <c r="AD1410" s="1539"/>
      <c r="AE1410" s="1539"/>
      <c r="AF1410" s="1539"/>
      <c r="AG1410" s="1539"/>
      <c r="AH1410" s="1539"/>
      <c r="AI1410" s="1539"/>
      <c r="AJ1410" s="1539"/>
      <c r="AK1410" s="1539"/>
      <c r="AL1410" s="1539"/>
      <c r="AM1410" s="1539"/>
      <c r="AN1410" s="1539"/>
      <c r="AO1410" s="1539"/>
      <c r="AP1410" s="1539"/>
      <c r="AQ1410" s="1539"/>
      <c r="AR1410" s="1539"/>
      <c r="AS1410" s="1539"/>
      <c r="AT1410" s="1539"/>
      <c r="AU1410" s="1539"/>
      <c r="AV1410" s="1539"/>
      <c r="AW1410" s="1539"/>
      <c r="AX1410" s="1539"/>
      <c r="AY1410" s="1539"/>
      <c r="AZ1410" s="1539"/>
      <c r="BA1410" s="1539"/>
      <c r="BB1410" s="1539"/>
      <c r="BC1410" s="1539"/>
      <c r="BD1410" s="1539"/>
      <c r="BE1410" s="1539"/>
      <c r="BF1410" s="1539"/>
      <c r="BG1410" s="1539"/>
      <c r="BH1410" s="1539"/>
      <c r="BI1410" s="1539"/>
      <c r="BJ1410" s="1539"/>
      <c r="BK1410" s="1539"/>
      <c r="BL1410" s="1539"/>
      <c r="BM1410" s="1539"/>
      <c r="BN1410" s="1539"/>
      <c r="BO1410" s="1539"/>
      <c r="BP1410" s="1539"/>
      <c r="BQ1410" s="1539"/>
      <c r="BR1410" s="1539"/>
      <c r="BS1410" s="1539"/>
      <c r="BT1410" s="1539"/>
      <c r="BU1410" s="1539"/>
      <c r="BV1410" s="1539"/>
      <c r="BW1410" s="1539"/>
      <c r="BX1410" s="1539"/>
      <c r="BY1410" s="1539"/>
      <c r="BZ1410" s="1539"/>
      <c r="CA1410" s="1539"/>
      <c r="CB1410" s="1539"/>
      <c r="CC1410" s="1539"/>
      <c r="CD1410" s="1539"/>
      <c r="CE1410" s="1539"/>
      <c r="CF1410" s="1539"/>
      <c r="CG1410" s="1539"/>
      <c r="CH1410" s="1539"/>
      <c r="CI1410" s="1539"/>
      <c r="CJ1410" s="1539"/>
      <c r="CK1410" s="1539"/>
      <c r="CL1410" s="1539"/>
      <c r="CM1410" s="1539"/>
      <c r="CN1410" s="1539"/>
      <c r="CO1410" s="1539"/>
    </row>
    <row r="1411" spans="1:93" s="1542" customFormat="1" ht="16.5">
      <c r="A1411" s="1692">
        <v>27.425999999999998</v>
      </c>
      <c r="B1411" s="1693" t="s">
        <v>4974</v>
      </c>
      <c r="C1411" s="1643" t="e">
        <f>+SUMIF(#REF!,Final!A1411,#REF!)</f>
        <v>#REF!</v>
      </c>
      <c r="D1411" s="1597" t="e">
        <f>+SUMIF(#REF!,Final!A1411,#REF!)</f>
        <v>#REF!</v>
      </c>
      <c r="E1411" s="1643" t="e">
        <f>SUMIF(#REF!,Final!A1411,#REF!)</f>
        <v>#REF!</v>
      </c>
      <c r="F1411" s="1644" t="e">
        <f>SUMIF(#REF!,Final!A1411,#REF!)</f>
        <v>#REF!</v>
      </c>
      <c r="G1411" s="1597" t="e">
        <f t="shared" si="132"/>
        <v>#REF!</v>
      </c>
      <c r="H1411" s="1644" t="e">
        <f t="shared" si="133"/>
        <v>#REF!</v>
      </c>
      <c r="I1411" s="1597" t="e">
        <f t="shared" si="134"/>
        <v>#REF!</v>
      </c>
      <c r="J1411" s="1644" t="e">
        <f t="shared" si="135"/>
        <v>#REF!</v>
      </c>
      <c r="K1411" s="1539"/>
      <c r="L1411" s="1539"/>
      <c r="M1411" s="1545"/>
      <c r="N1411" s="1545"/>
      <c r="O1411" s="1539"/>
      <c r="P1411" s="1539"/>
      <c r="Q1411" s="1539"/>
      <c r="R1411" s="1539"/>
      <c r="S1411" s="1539"/>
      <c r="T1411" s="1539"/>
      <c r="U1411" s="1539"/>
      <c r="V1411" s="1539"/>
      <c r="W1411" s="1539"/>
      <c r="X1411" s="1539"/>
      <c r="Y1411" s="1539"/>
      <c r="Z1411" s="1539"/>
      <c r="AA1411" s="1539"/>
      <c r="AB1411" s="1539"/>
      <c r="AC1411" s="1539"/>
      <c r="AD1411" s="1539"/>
      <c r="AE1411" s="1539"/>
      <c r="AF1411" s="1539"/>
      <c r="AG1411" s="1539"/>
      <c r="AH1411" s="1539"/>
      <c r="AI1411" s="1539"/>
      <c r="AJ1411" s="1539"/>
      <c r="AK1411" s="1539"/>
      <c r="AL1411" s="1539"/>
      <c r="AM1411" s="1539"/>
      <c r="AN1411" s="1539"/>
      <c r="AO1411" s="1539"/>
      <c r="AP1411" s="1539"/>
      <c r="AQ1411" s="1539"/>
      <c r="AR1411" s="1539"/>
      <c r="AS1411" s="1539"/>
      <c r="AT1411" s="1539"/>
      <c r="AU1411" s="1539"/>
      <c r="AV1411" s="1539"/>
      <c r="AW1411" s="1539"/>
      <c r="AX1411" s="1539"/>
      <c r="AY1411" s="1539"/>
      <c r="AZ1411" s="1539"/>
      <c r="BA1411" s="1539"/>
      <c r="BB1411" s="1539"/>
      <c r="BC1411" s="1539"/>
      <c r="BD1411" s="1539"/>
      <c r="BE1411" s="1539"/>
      <c r="BF1411" s="1539"/>
      <c r="BG1411" s="1539"/>
      <c r="BH1411" s="1539"/>
      <c r="BI1411" s="1539"/>
      <c r="BJ1411" s="1539"/>
      <c r="BK1411" s="1539"/>
      <c r="BL1411" s="1539"/>
      <c r="BM1411" s="1539"/>
      <c r="BN1411" s="1539"/>
      <c r="BO1411" s="1539"/>
      <c r="BP1411" s="1539"/>
      <c r="BQ1411" s="1539"/>
      <c r="BR1411" s="1539"/>
      <c r="BS1411" s="1539"/>
      <c r="BT1411" s="1539"/>
      <c r="BU1411" s="1539"/>
      <c r="BV1411" s="1539"/>
      <c r="BW1411" s="1539"/>
      <c r="BX1411" s="1539"/>
      <c r="BY1411" s="1539"/>
      <c r="BZ1411" s="1539"/>
      <c r="CA1411" s="1539"/>
      <c r="CB1411" s="1539"/>
      <c r="CC1411" s="1539"/>
      <c r="CD1411" s="1539"/>
      <c r="CE1411" s="1539"/>
      <c r="CF1411" s="1539"/>
      <c r="CG1411" s="1539"/>
      <c r="CH1411" s="1539"/>
      <c r="CI1411" s="1539"/>
      <c r="CJ1411" s="1539"/>
      <c r="CK1411" s="1539"/>
      <c r="CL1411" s="1539"/>
      <c r="CM1411" s="1539"/>
      <c r="CN1411" s="1539"/>
      <c r="CO1411" s="1539"/>
    </row>
    <row r="1412" spans="1:93" s="1542" customFormat="1" ht="16.5">
      <c r="A1412" s="1692">
        <v>27.427</v>
      </c>
      <c r="B1412" s="1706" t="s">
        <v>4975</v>
      </c>
      <c r="C1412" s="1643" t="e">
        <f>+SUMIF(#REF!,Final!A1412,#REF!)</f>
        <v>#REF!</v>
      </c>
      <c r="D1412" s="1597" t="e">
        <f>+SUMIF(#REF!,Final!A1412,#REF!)</f>
        <v>#REF!</v>
      </c>
      <c r="E1412" s="1643" t="e">
        <f>SUMIF(#REF!,Final!A1412,#REF!)</f>
        <v>#REF!</v>
      </c>
      <c r="F1412" s="1644" t="e">
        <f>SUMIF(#REF!,Final!A1412,#REF!)</f>
        <v>#REF!</v>
      </c>
      <c r="G1412" s="1597" t="e">
        <f t="shared" si="132"/>
        <v>#REF!</v>
      </c>
      <c r="H1412" s="1644" t="e">
        <f t="shared" si="133"/>
        <v>#REF!</v>
      </c>
      <c r="I1412" s="1597" t="e">
        <f t="shared" si="134"/>
        <v>#REF!</v>
      </c>
      <c r="J1412" s="1644" t="e">
        <f t="shared" si="135"/>
        <v>#REF!</v>
      </c>
      <c r="K1412" s="1539"/>
      <c r="L1412" s="1539"/>
      <c r="M1412" s="1545"/>
      <c r="N1412" s="1545"/>
      <c r="O1412" s="1539"/>
      <c r="P1412" s="1539"/>
      <c r="Q1412" s="1539"/>
      <c r="R1412" s="1539"/>
      <c r="S1412" s="1539"/>
      <c r="T1412" s="1539"/>
      <c r="U1412" s="1539"/>
      <c r="V1412" s="1539"/>
      <c r="W1412" s="1539"/>
      <c r="X1412" s="1539"/>
      <c r="Y1412" s="1539"/>
      <c r="Z1412" s="1539"/>
      <c r="AA1412" s="1539"/>
      <c r="AB1412" s="1539"/>
      <c r="AC1412" s="1539"/>
      <c r="AD1412" s="1539"/>
      <c r="AE1412" s="1539"/>
      <c r="AF1412" s="1539"/>
      <c r="AG1412" s="1539"/>
      <c r="AH1412" s="1539"/>
      <c r="AI1412" s="1539"/>
      <c r="AJ1412" s="1539"/>
      <c r="AK1412" s="1539"/>
      <c r="AL1412" s="1539"/>
      <c r="AM1412" s="1539"/>
      <c r="AN1412" s="1539"/>
      <c r="AO1412" s="1539"/>
      <c r="AP1412" s="1539"/>
      <c r="AQ1412" s="1539"/>
      <c r="AR1412" s="1539"/>
      <c r="AS1412" s="1539"/>
      <c r="AT1412" s="1539"/>
      <c r="AU1412" s="1539"/>
      <c r="AV1412" s="1539"/>
      <c r="AW1412" s="1539"/>
      <c r="AX1412" s="1539"/>
      <c r="AY1412" s="1539"/>
      <c r="AZ1412" s="1539"/>
      <c r="BA1412" s="1539"/>
      <c r="BB1412" s="1539"/>
      <c r="BC1412" s="1539"/>
      <c r="BD1412" s="1539"/>
      <c r="BE1412" s="1539"/>
      <c r="BF1412" s="1539"/>
      <c r="BG1412" s="1539"/>
      <c r="BH1412" s="1539"/>
      <c r="BI1412" s="1539"/>
      <c r="BJ1412" s="1539"/>
      <c r="BK1412" s="1539"/>
      <c r="BL1412" s="1539"/>
      <c r="BM1412" s="1539"/>
      <c r="BN1412" s="1539"/>
      <c r="BO1412" s="1539"/>
      <c r="BP1412" s="1539"/>
      <c r="BQ1412" s="1539"/>
      <c r="BR1412" s="1539"/>
      <c r="BS1412" s="1539"/>
      <c r="BT1412" s="1539"/>
      <c r="BU1412" s="1539"/>
      <c r="BV1412" s="1539"/>
      <c r="BW1412" s="1539"/>
      <c r="BX1412" s="1539"/>
      <c r="BY1412" s="1539"/>
      <c r="BZ1412" s="1539"/>
      <c r="CA1412" s="1539"/>
      <c r="CB1412" s="1539"/>
      <c r="CC1412" s="1539"/>
      <c r="CD1412" s="1539"/>
      <c r="CE1412" s="1539"/>
      <c r="CF1412" s="1539"/>
      <c r="CG1412" s="1539"/>
      <c r="CH1412" s="1539"/>
      <c r="CI1412" s="1539"/>
      <c r="CJ1412" s="1539"/>
      <c r="CK1412" s="1539"/>
      <c r="CL1412" s="1539"/>
      <c r="CM1412" s="1539"/>
      <c r="CN1412" s="1539"/>
      <c r="CO1412" s="1539"/>
    </row>
    <row r="1413" spans="1:93" s="1542" customFormat="1" ht="15.5">
      <c r="A1413" s="1811">
        <v>27.428999999999998</v>
      </c>
      <c r="B1413" s="1812" t="s">
        <v>5420</v>
      </c>
      <c r="C1413" s="1643" t="e">
        <f>+SUMIF(#REF!,Final!A1413,#REF!)</f>
        <v>#REF!</v>
      </c>
      <c r="D1413" s="1597" t="e">
        <f>+SUMIF(#REF!,Final!A1413,#REF!)</f>
        <v>#REF!</v>
      </c>
      <c r="E1413" s="1643" t="e">
        <f>SUMIF(#REF!,Final!A1413,#REF!)</f>
        <v>#REF!</v>
      </c>
      <c r="F1413" s="1644" t="e">
        <f>SUMIF(#REF!,Final!A1413,#REF!)</f>
        <v>#REF!</v>
      </c>
      <c r="G1413" s="1597" t="e">
        <f t="shared" ref="G1413" si="140">C1413+E1413</f>
        <v>#REF!</v>
      </c>
      <c r="H1413" s="1644" t="e">
        <f t="shared" ref="H1413" si="141">D1413+F1413</f>
        <v>#REF!</v>
      </c>
      <c r="I1413" s="1597" t="e">
        <f t="shared" ref="I1413" si="142">IF(G1413&gt;H1413,G1413-H1413,0)</f>
        <v>#REF!</v>
      </c>
      <c r="J1413" s="1644" t="e">
        <f t="shared" ref="J1413" si="143">IF(H1413&gt;G1413,H1413-G1413,0)</f>
        <v>#REF!</v>
      </c>
      <c r="K1413" s="1539"/>
      <c r="L1413" s="1539"/>
      <c r="M1413" s="1545"/>
      <c r="N1413" s="1545"/>
      <c r="O1413" s="1539"/>
      <c r="P1413" s="1539"/>
      <c r="Q1413" s="1539"/>
      <c r="R1413" s="1539"/>
      <c r="S1413" s="1539"/>
      <c r="T1413" s="1539"/>
      <c r="U1413" s="1539"/>
      <c r="V1413" s="1539"/>
      <c r="W1413" s="1539"/>
      <c r="X1413" s="1539"/>
      <c r="Y1413" s="1539"/>
      <c r="Z1413" s="1539"/>
      <c r="AA1413" s="1539"/>
      <c r="AB1413" s="1539"/>
      <c r="AC1413" s="1539"/>
      <c r="AD1413" s="1539"/>
      <c r="AE1413" s="1539"/>
      <c r="AF1413" s="1539"/>
      <c r="AG1413" s="1539"/>
      <c r="AH1413" s="1539"/>
      <c r="AI1413" s="1539"/>
      <c r="AJ1413" s="1539"/>
      <c r="AK1413" s="1539"/>
      <c r="AL1413" s="1539"/>
      <c r="AM1413" s="1539"/>
      <c r="AN1413" s="1539"/>
      <c r="AO1413" s="1539"/>
      <c r="AP1413" s="1539"/>
      <c r="AQ1413" s="1539"/>
      <c r="AR1413" s="1539"/>
      <c r="AS1413" s="1539"/>
      <c r="AT1413" s="1539"/>
      <c r="AU1413" s="1539"/>
      <c r="AV1413" s="1539"/>
      <c r="AW1413" s="1539"/>
      <c r="AX1413" s="1539"/>
      <c r="AY1413" s="1539"/>
      <c r="AZ1413" s="1539"/>
      <c r="BA1413" s="1539"/>
      <c r="BB1413" s="1539"/>
      <c r="BC1413" s="1539"/>
      <c r="BD1413" s="1539"/>
      <c r="BE1413" s="1539"/>
      <c r="BF1413" s="1539"/>
      <c r="BG1413" s="1539"/>
      <c r="BH1413" s="1539"/>
      <c r="BI1413" s="1539"/>
      <c r="BJ1413" s="1539"/>
      <c r="BK1413" s="1539"/>
      <c r="BL1413" s="1539"/>
      <c r="BM1413" s="1539"/>
      <c r="BN1413" s="1539"/>
      <c r="BO1413" s="1539"/>
      <c r="BP1413" s="1539"/>
      <c r="BQ1413" s="1539"/>
      <c r="BR1413" s="1539"/>
      <c r="BS1413" s="1539"/>
      <c r="BT1413" s="1539"/>
      <c r="BU1413" s="1539"/>
      <c r="BV1413" s="1539"/>
      <c r="BW1413" s="1539"/>
      <c r="BX1413" s="1539"/>
      <c r="BY1413" s="1539"/>
      <c r="BZ1413" s="1539"/>
      <c r="CA1413" s="1539"/>
      <c r="CB1413" s="1539"/>
      <c r="CC1413" s="1539"/>
      <c r="CD1413" s="1539"/>
      <c r="CE1413" s="1539"/>
      <c r="CF1413" s="1539"/>
      <c r="CG1413" s="1539"/>
      <c r="CH1413" s="1539"/>
      <c r="CI1413" s="1539"/>
      <c r="CJ1413" s="1539"/>
      <c r="CK1413" s="1539"/>
      <c r="CL1413" s="1539"/>
      <c r="CM1413" s="1539"/>
      <c r="CN1413" s="1539"/>
      <c r="CO1413" s="1539"/>
    </row>
    <row r="1414" spans="1:93" s="1542" customFormat="1" ht="16.5">
      <c r="A1414" s="1692">
        <v>27.428000000000001</v>
      </c>
      <c r="B1414" s="1693" t="s">
        <v>4976</v>
      </c>
      <c r="C1414" s="1643" t="e">
        <f>+SUMIF(#REF!,Final!A1414,#REF!)</f>
        <v>#REF!</v>
      </c>
      <c r="D1414" s="1597" t="e">
        <f>+SUMIF(#REF!,Final!A1414,#REF!)</f>
        <v>#REF!</v>
      </c>
      <c r="E1414" s="1643" t="e">
        <f>SUMIF(#REF!,Final!A1414,#REF!)</f>
        <v>#REF!</v>
      </c>
      <c r="F1414" s="1644" t="e">
        <f>SUMIF(#REF!,Final!A1414,#REF!)</f>
        <v>#REF!</v>
      </c>
      <c r="G1414" s="1597" t="e">
        <f t="shared" si="132"/>
        <v>#REF!</v>
      </c>
      <c r="H1414" s="1644" t="e">
        <f t="shared" si="133"/>
        <v>#REF!</v>
      </c>
      <c r="I1414" s="1597" t="e">
        <f t="shared" si="134"/>
        <v>#REF!</v>
      </c>
      <c r="J1414" s="1644" t="e">
        <f t="shared" si="135"/>
        <v>#REF!</v>
      </c>
      <c r="K1414" s="1539"/>
      <c r="L1414" s="1539"/>
      <c r="M1414" s="1545"/>
      <c r="N1414" s="1545"/>
      <c r="O1414" s="1539"/>
      <c r="P1414" s="1539"/>
      <c r="Q1414" s="1539"/>
      <c r="R1414" s="1539"/>
      <c r="S1414" s="1539"/>
      <c r="T1414" s="1539"/>
      <c r="U1414" s="1539"/>
      <c r="V1414" s="1539"/>
      <c r="W1414" s="1539"/>
      <c r="X1414" s="1539"/>
      <c r="Y1414" s="1539"/>
      <c r="Z1414" s="1539"/>
      <c r="AA1414" s="1539"/>
      <c r="AB1414" s="1539"/>
      <c r="AC1414" s="1539"/>
      <c r="AD1414" s="1539"/>
      <c r="AE1414" s="1539"/>
      <c r="AF1414" s="1539"/>
      <c r="AG1414" s="1539"/>
      <c r="AH1414" s="1539"/>
      <c r="AI1414" s="1539"/>
      <c r="AJ1414" s="1539"/>
      <c r="AK1414" s="1539"/>
      <c r="AL1414" s="1539"/>
      <c r="AM1414" s="1539"/>
      <c r="AN1414" s="1539"/>
      <c r="AO1414" s="1539"/>
      <c r="AP1414" s="1539"/>
      <c r="AQ1414" s="1539"/>
      <c r="AR1414" s="1539"/>
      <c r="AS1414" s="1539"/>
      <c r="AT1414" s="1539"/>
      <c r="AU1414" s="1539"/>
      <c r="AV1414" s="1539"/>
      <c r="AW1414" s="1539"/>
      <c r="AX1414" s="1539"/>
      <c r="AY1414" s="1539"/>
      <c r="AZ1414" s="1539"/>
      <c r="BA1414" s="1539"/>
      <c r="BB1414" s="1539"/>
      <c r="BC1414" s="1539"/>
      <c r="BD1414" s="1539"/>
      <c r="BE1414" s="1539"/>
      <c r="BF1414" s="1539"/>
      <c r="BG1414" s="1539"/>
      <c r="BH1414" s="1539"/>
      <c r="BI1414" s="1539"/>
      <c r="BJ1414" s="1539"/>
      <c r="BK1414" s="1539"/>
      <c r="BL1414" s="1539"/>
      <c r="BM1414" s="1539"/>
      <c r="BN1414" s="1539"/>
      <c r="BO1414" s="1539"/>
      <c r="BP1414" s="1539"/>
      <c r="BQ1414" s="1539"/>
      <c r="BR1414" s="1539"/>
      <c r="BS1414" s="1539"/>
      <c r="BT1414" s="1539"/>
      <c r="BU1414" s="1539"/>
      <c r="BV1414" s="1539"/>
      <c r="BW1414" s="1539"/>
      <c r="BX1414" s="1539"/>
      <c r="BY1414" s="1539"/>
      <c r="BZ1414" s="1539"/>
      <c r="CA1414" s="1539"/>
      <c r="CB1414" s="1539"/>
      <c r="CC1414" s="1539"/>
      <c r="CD1414" s="1539"/>
      <c r="CE1414" s="1539"/>
      <c r="CF1414" s="1539"/>
      <c r="CG1414" s="1539"/>
      <c r="CH1414" s="1539"/>
      <c r="CI1414" s="1539"/>
      <c r="CJ1414" s="1539"/>
      <c r="CK1414" s="1539"/>
      <c r="CL1414" s="1539"/>
      <c r="CM1414" s="1539"/>
      <c r="CN1414" s="1539"/>
      <c r="CO1414" s="1539"/>
    </row>
    <row r="1415" spans="1:93" s="1552" customFormat="1" ht="15.5">
      <c r="A1415" s="1598"/>
      <c r="B1415" s="1599" t="s">
        <v>1747</v>
      </c>
      <c r="C1415" s="1643" t="e">
        <f>+SUMIF(#REF!,Final!A1415,#REF!)</f>
        <v>#REF!</v>
      </c>
      <c r="D1415" s="1597" t="e">
        <f>+SUMIF(#REF!,Final!A1415,#REF!)</f>
        <v>#REF!</v>
      </c>
      <c r="E1415" s="1643" t="e">
        <f>SUMIF(#REF!,Final!A1415,#REF!)</f>
        <v>#REF!</v>
      </c>
      <c r="F1415" s="1644" t="e">
        <f>SUMIF(#REF!,Final!A1415,#REF!)</f>
        <v>#REF!</v>
      </c>
      <c r="G1415" s="1597" t="e">
        <f t="shared" si="132"/>
        <v>#REF!</v>
      </c>
      <c r="H1415" s="1644" t="e">
        <f t="shared" si="133"/>
        <v>#REF!</v>
      </c>
      <c r="I1415" s="1597" t="e">
        <f t="shared" si="134"/>
        <v>#REF!</v>
      </c>
      <c r="J1415" s="1644" t="e">
        <f t="shared" si="135"/>
        <v>#REF!</v>
      </c>
      <c r="K1415" s="1539"/>
      <c r="L1415" s="1539"/>
      <c r="M1415" s="1545"/>
      <c r="N1415" s="1545"/>
      <c r="O1415" s="1539"/>
      <c r="P1415" s="1539"/>
      <c r="Q1415" s="1539"/>
      <c r="R1415" s="1539"/>
      <c r="S1415" s="1539"/>
      <c r="T1415" s="1539"/>
      <c r="U1415" s="1539"/>
      <c r="V1415" s="1539"/>
      <c r="W1415" s="1539"/>
      <c r="X1415" s="1539"/>
      <c r="Y1415" s="1539"/>
      <c r="Z1415" s="1539"/>
      <c r="AA1415" s="1539"/>
      <c r="AB1415" s="1539"/>
      <c r="AC1415" s="1539"/>
      <c r="AD1415" s="1539"/>
      <c r="AE1415" s="1539"/>
      <c r="AF1415" s="1539"/>
      <c r="AG1415" s="1539"/>
      <c r="AH1415" s="1539"/>
      <c r="AI1415" s="1539"/>
      <c r="AJ1415" s="1539"/>
      <c r="AK1415" s="1539"/>
      <c r="AL1415" s="1539"/>
      <c r="AM1415" s="1539"/>
      <c r="AN1415" s="1539"/>
      <c r="AO1415" s="1539"/>
      <c r="AP1415" s="1539"/>
      <c r="AQ1415" s="1539"/>
      <c r="AR1415" s="1539"/>
      <c r="AS1415" s="1539"/>
      <c r="AT1415" s="1539"/>
      <c r="AU1415" s="1539"/>
      <c r="AV1415" s="1539"/>
      <c r="AW1415" s="1539"/>
      <c r="AX1415" s="1539"/>
      <c r="AY1415" s="1539"/>
      <c r="AZ1415" s="1539"/>
      <c r="BA1415" s="1539"/>
      <c r="BB1415" s="1539"/>
      <c r="BC1415" s="1539"/>
      <c r="BD1415" s="1539"/>
      <c r="BE1415" s="1539"/>
      <c r="BF1415" s="1539"/>
      <c r="BG1415" s="1539"/>
      <c r="BH1415" s="1539"/>
      <c r="BI1415" s="1539"/>
      <c r="BJ1415" s="1539"/>
      <c r="BK1415" s="1539"/>
      <c r="BL1415" s="1539"/>
      <c r="BM1415" s="1539"/>
      <c r="BN1415" s="1539"/>
      <c r="BO1415" s="1539"/>
      <c r="BP1415" s="1539"/>
      <c r="BQ1415" s="1539"/>
      <c r="BR1415" s="1539"/>
      <c r="BS1415" s="1539"/>
      <c r="BT1415" s="1539"/>
      <c r="BU1415" s="1539"/>
      <c r="BV1415" s="1539"/>
      <c r="BW1415" s="1539"/>
      <c r="BX1415" s="1539"/>
      <c r="BY1415" s="1539"/>
      <c r="BZ1415" s="1539"/>
      <c r="CA1415" s="1539"/>
      <c r="CB1415" s="1539"/>
      <c r="CC1415" s="1539"/>
      <c r="CD1415" s="1539"/>
      <c r="CE1415" s="1539"/>
      <c r="CF1415" s="1539"/>
      <c r="CG1415" s="1539"/>
      <c r="CH1415" s="1539"/>
      <c r="CI1415" s="1539"/>
      <c r="CJ1415" s="1539"/>
      <c r="CK1415" s="1539"/>
      <c r="CL1415" s="1539"/>
      <c r="CM1415" s="1539"/>
      <c r="CN1415" s="1539"/>
      <c r="CO1415" s="1539"/>
    </row>
    <row r="1416" spans="1:93" s="1552" customFormat="1" ht="15.5">
      <c r="A1416" s="1598" t="s">
        <v>2837</v>
      </c>
      <c r="B1416" s="1599" t="s">
        <v>1760</v>
      </c>
      <c r="C1416" s="1643" t="e">
        <f>+SUMIF(#REF!,Final!A1416,#REF!)</f>
        <v>#REF!</v>
      </c>
      <c r="D1416" s="1597" t="e">
        <f>+SUMIF(#REF!,Final!A1416,#REF!)</f>
        <v>#REF!</v>
      </c>
      <c r="E1416" s="1643" t="e">
        <f>SUMIF(#REF!,Final!A1416,#REF!)</f>
        <v>#REF!</v>
      </c>
      <c r="F1416" s="1644" t="e">
        <f>SUMIF(#REF!,Final!A1416,#REF!)</f>
        <v>#REF!</v>
      </c>
      <c r="G1416" s="1597" t="e">
        <f t="shared" si="132"/>
        <v>#REF!</v>
      </c>
      <c r="H1416" s="1644" t="e">
        <f t="shared" si="133"/>
        <v>#REF!</v>
      </c>
      <c r="I1416" s="1597" t="e">
        <f t="shared" si="134"/>
        <v>#REF!</v>
      </c>
      <c r="J1416" s="1644" t="e">
        <f t="shared" si="135"/>
        <v>#REF!</v>
      </c>
      <c r="K1416" s="1539"/>
      <c r="L1416" s="1539"/>
      <c r="M1416" s="1545"/>
      <c r="N1416" s="1545"/>
      <c r="O1416" s="1539"/>
      <c r="P1416" s="1539"/>
      <c r="Q1416" s="1539"/>
      <c r="R1416" s="1539"/>
      <c r="S1416" s="1539"/>
      <c r="T1416" s="1539"/>
      <c r="U1416" s="1539"/>
      <c r="V1416" s="1539"/>
      <c r="W1416" s="1539"/>
      <c r="X1416" s="1539"/>
      <c r="Y1416" s="1539"/>
      <c r="Z1416" s="1539"/>
      <c r="AA1416" s="1539"/>
      <c r="AB1416" s="1539"/>
      <c r="AC1416" s="1539"/>
      <c r="AD1416" s="1539"/>
      <c r="AE1416" s="1539"/>
      <c r="AF1416" s="1539"/>
      <c r="AG1416" s="1539"/>
      <c r="AH1416" s="1539"/>
      <c r="AI1416" s="1539"/>
      <c r="AJ1416" s="1539"/>
      <c r="AK1416" s="1539"/>
      <c r="AL1416" s="1539"/>
      <c r="AM1416" s="1539"/>
      <c r="AN1416" s="1539"/>
      <c r="AO1416" s="1539"/>
      <c r="AP1416" s="1539"/>
      <c r="AQ1416" s="1539"/>
      <c r="AR1416" s="1539"/>
      <c r="AS1416" s="1539"/>
      <c r="AT1416" s="1539"/>
      <c r="AU1416" s="1539"/>
      <c r="AV1416" s="1539"/>
      <c r="AW1416" s="1539"/>
      <c r="AX1416" s="1539"/>
      <c r="AY1416" s="1539"/>
      <c r="AZ1416" s="1539"/>
      <c r="BA1416" s="1539"/>
      <c r="BB1416" s="1539"/>
      <c r="BC1416" s="1539"/>
      <c r="BD1416" s="1539"/>
      <c r="BE1416" s="1539"/>
      <c r="BF1416" s="1539"/>
      <c r="BG1416" s="1539"/>
      <c r="BH1416" s="1539"/>
      <c r="BI1416" s="1539"/>
      <c r="BJ1416" s="1539"/>
      <c r="BK1416" s="1539"/>
      <c r="BL1416" s="1539"/>
      <c r="BM1416" s="1539"/>
      <c r="BN1416" s="1539"/>
      <c r="BO1416" s="1539"/>
      <c r="BP1416" s="1539"/>
      <c r="BQ1416" s="1539"/>
      <c r="BR1416" s="1539"/>
      <c r="BS1416" s="1539"/>
      <c r="BT1416" s="1539"/>
      <c r="BU1416" s="1539"/>
      <c r="BV1416" s="1539"/>
      <c r="BW1416" s="1539"/>
      <c r="BX1416" s="1539"/>
      <c r="BY1416" s="1539"/>
      <c r="BZ1416" s="1539"/>
      <c r="CA1416" s="1539"/>
      <c r="CB1416" s="1539"/>
      <c r="CC1416" s="1539"/>
      <c r="CD1416" s="1539"/>
      <c r="CE1416" s="1539"/>
      <c r="CF1416" s="1539"/>
      <c r="CG1416" s="1539"/>
      <c r="CH1416" s="1539"/>
      <c r="CI1416" s="1539"/>
      <c r="CJ1416" s="1539"/>
      <c r="CK1416" s="1539"/>
      <c r="CL1416" s="1539"/>
      <c r="CM1416" s="1539"/>
      <c r="CN1416" s="1539"/>
      <c r="CO1416" s="1539"/>
    </row>
    <row r="1417" spans="1:93" s="1552" customFormat="1" ht="15.5">
      <c r="A1417" s="1598" t="s">
        <v>2837</v>
      </c>
      <c r="B1417" s="1599" t="s">
        <v>2859</v>
      </c>
      <c r="C1417" s="1643" t="e">
        <f>+SUMIF(#REF!,Final!A1417,#REF!)</f>
        <v>#REF!</v>
      </c>
      <c r="D1417" s="1597" t="e">
        <f>+SUMIF(#REF!,Final!A1417,#REF!)</f>
        <v>#REF!</v>
      </c>
      <c r="E1417" s="1643" t="e">
        <f>SUMIF(#REF!,Final!A1417,#REF!)</f>
        <v>#REF!</v>
      </c>
      <c r="F1417" s="1644" t="e">
        <f>SUMIF(#REF!,Final!A1417,#REF!)</f>
        <v>#REF!</v>
      </c>
      <c r="G1417" s="1597" t="e">
        <f t="shared" si="132"/>
        <v>#REF!</v>
      </c>
      <c r="H1417" s="1644" t="e">
        <f t="shared" si="133"/>
        <v>#REF!</v>
      </c>
      <c r="I1417" s="1597" t="e">
        <f t="shared" si="134"/>
        <v>#REF!</v>
      </c>
      <c r="J1417" s="1644" t="e">
        <f t="shared" si="135"/>
        <v>#REF!</v>
      </c>
      <c r="K1417" s="1539"/>
      <c r="L1417" s="1539"/>
      <c r="M1417" s="1545"/>
      <c r="N1417" s="1545"/>
      <c r="O1417" s="1539"/>
      <c r="P1417" s="1539"/>
      <c r="Q1417" s="1539"/>
      <c r="R1417" s="1539"/>
      <c r="S1417" s="1539"/>
      <c r="T1417" s="1539"/>
      <c r="U1417" s="1539"/>
      <c r="V1417" s="1539"/>
      <c r="W1417" s="1539"/>
      <c r="X1417" s="1539"/>
      <c r="Y1417" s="1539"/>
      <c r="Z1417" s="1539"/>
      <c r="AA1417" s="1539"/>
      <c r="AB1417" s="1539"/>
      <c r="AC1417" s="1539"/>
      <c r="AD1417" s="1539"/>
      <c r="AE1417" s="1539"/>
      <c r="AF1417" s="1539"/>
      <c r="AG1417" s="1539"/>
      <c r="AH1417" s="1539"/>
      <c r="AI1417" s="1539"/>
      <c r="AJ1417" s="1539"/>
      <c r="AK1417" s="1539"/>
      <c r="AL1417" s="1539"/>
      <c r="AM1417" s="1539"/>
      <c r="AN1417" s="1539"/>
      <c r="AO1417" s="1539"/>
      <c r="AP1417" s="1539"/>
      <c r="AQ1417" s="1539"/>
      <c r="AR1417" s="1539"/>
      <c r="AS1417" s="1539"/>
      <c r="AT1417" s="1539"/>
      <c r="AU1417" s="1539"/>
      <c r="AV1417" s="1539"/>
      <c r="AW1417" s="1539"/>
      <c r="AX1417" s="1539"/>
      <c r="AY1417" s="1539"/>
      <c r="AZ1417" s="1539"/>
      <c r="BA1417" s="1539"/>
      <c r="BB1417" s="1539"/>
      <c r="BC1417" s="1539"/>
      <c r="BD1417" s="1539"/>
      <c r="BE1417" s="1539"/>
      <c r="BF1417" s="1539"/>
      <c r="BG1417" s="1539"/>
      <c r="BH1417" s="1539"/>
      <c r="BI1417" s="1539"/>
      <c r="BJ1417" s="1539"/>
      <c r="BK1417" s="1539"/>
      <c r="BL1417" s="1539"/>
      <c r="BM1417" s="1539"/>
      <c r="BN1417" s="1539"/>
      <c r="BO1417" s="1539"/>
      <c r="BP1417" s="1539"/>
      <c r="BQ1417" s="1539"/>
      <c r="BR1417" s="1539"/>
      <c r="BS1417" s="1539"/>
      <c r="BT1417" s="1539"/>
      <c r="BU1417" s="1539"/>
      <c r="BV1417" s="1539"/>
      <c r="BW1417" s="1539"/>
      <c r="BX1417" s="1539"/>
      <c r="BY1417" s="1539"/>
      <c r="BZ1417" s="1539"/>
      <c r="CA1417" s="1539"/>
      <c r="CB1417" s="1539"/>
      <c r="CC1417" s="1539"/>
      <c r="CD1417" s="1539"/>
      <c r="CE1417" s="1539"/>
      <c r="CF1417" s="1539"/>
      <c r="CG1417" s="1539"/>
      <c r="CH1417" s="1539"/>
      <c r="CI1417" s="1539"/>
      <c r="CJ1417" s="1539"/>
      <c r="CK1417" s="1539"/>
      <c r="CL1417" s="1539"/>
      <c r="CM1417" s="1539"/>
      <c r="CN1417" s="1539"/>
      <c r="CO1417" s="1539"/>
    </row>
    <row r="1418" spans="1:93" ht="15.5">
      <c r="A1418" s="1598"/>
      <c r="B1418" s="1599" t="s">
        <v>2902</v>
      </c>
      <c r="C1418" s="1643" t="e">
        <f>+SUMIF(#REF!,Final!A1418,#REF!)</f>
        <v>#REF!</v>
      </c>
      <c r="D1418" s="1597" t="e">
        <f>+SUMIF(#REF!,Final!A1418,#REF!)</f>
        <v>#REF!</v>
      </c>
      <c r="E1418" s="1643" t="e">
        <f>SUMIF(#REF!,Final!A1418,#REF!)</f>
        <v>#REF!</v>
      </c>
      <c r="F1418" s="1644" t="e">
        <f>SUMIF(#REF!,Final!A1418,#REF!)</f>
        <v>#REF!</v>
      </c>
      <c r="G1418" s="1597" t="e">
        <f t="shared" si="132"/>
        <v>#REF!</v>
      </c>
      <c r="H1418" s="1644" t="e">
        <f t="shared" si="133"/>
        <v>#REF!</v>
      </c>
      <c r="I1418" s="1597" t="e">
        <f t="shared" si="134"/>
        <v>#REF!</v>
      </c>
      <c r="J1418" s="1644" t="e">
        <f t="shared" si="135"/>
        <v>#REF!</v>
      </c>
      <c r="M1418" s="1545"/>
      <c r="N1418" s="1545"/>
    </row>
    <row r="1419" spans="1:93" ht="15.5">
      <c r="A1419" s="1598">
        <v>27.501000000000001</v>
      </c>
      <c r="B1419" s="1599" t="s">
        <v>2903</v>
      </c>
      <c r="C1419" s="1643" t="e">
        <f>+SUMIF(#REF!,Final!A1419,#REF!)</f>
        <v>#REF!</v>
      </c>
      <c r="D1419" s="1597" t="e">
        <f>+SUMIF(#REF!,Final!A1419,#REF!)</f>
        <v>#REF!</v>
      </c>
      <c r="E1419" s="1643" t="e">
        <f>SUMIF(#REF!,Final!A1419,#REF!)</f>
        <v>#REF!</v>
      </c>
      <c r="F1419" s="1644" t="e">
        <f>SUMIF(#REF!,Final!A1419,#REF!)</f>
        <v>#REF!</v>
      </c>
      <c r="G1419" s="1597" t="e">
        <f t="shared" si="132"/>
        <v>#REF!</v>
      </c>
      <c r="H1419" s="1644" t="e">
        <f t="shared" si="133"/>
        <v>#REF!</v>
      </c>
      <c r="I1419" s="1597" t="e">
        <f t="shared" si="134"/>
        <v>#REF!</v>
      </c>
      <c r="J1419" s="1644" t="e">
        <f t="shared" si="135"/>
        <v>#REF!</v>
      </c>
      <c r="M1419" s="1545"/>
      <c r="N1419" s="1545"/>
    </row>
    <row r="1420" spans="1:93" s="1552" customFormat="1" ht="15.5">
      <c r="A1420" s="1598"/>
      <c r="B1420" s="1599" t="s">
        <v>1747</v>
      </c>
      <c r="C1420" s="1643" t="e">
        <f>+SUMIF(#REF!,Final!A1420,#REF!)</f>
        <v>#REF!</v>
      </c>
      <c r="D1420" s="1597" t="e">
        <f>+SUMIF(#REF!,Final!A1420,#REF!)</f>
        <v>#REF!</v>
      </c>
      <c r="E1420" s="1643" t="e">
        <f>SUMIF(#REF!,Final!A1420,#REF!)</f>
        <v>#REF!</v>
      </c>
      <c r="F1420" s="1644" t="e">
        <f>SUMIF(#REF!,Final!A1420,#REF!)</f>
        <v>#REF!</v>
      </c>
      <c r="G1420" s="1597" t="e">
        <f t="shared" si="132"/>
        <v>#REF!</v>
      </c>
      <c r="H1420" s="1644" t="e">
        <f t="shared" si="133"/>
        <v>#REF!</v>
      </c>
      <c r="I1420" s="1597" t="e">
        <f t="shared" si="134"/>
        <v>#REF!</v>
      </c>
      <c r="J1420" s="1644" t="e">
        <f t="shared" si="135"/>
        <v>#REF!</v>
      </c>
      <c r="K1420" s="1539"/>
      <c r="L1420" s="1539"/>
      <c r="M1420" s="1545"/>
      <c r="N1420" s="1545"/>
      <c r="O1420" s="1539"/>
      <c r="P1420" s="1539"/>
      <c r="Q1420" s="1539"/>
      <c r="R1420" s="1539"/>
      <c r="S1420" s="1539"/>
      <c r="T1420" s="1539"/>
      <c r="U1420" s="1539"/>
      <c r="V1420" s="1539"/>
      <c r="W1420" s="1539"/>
      <c r="X1420" s="1539"/>
      <c r="Y1420" s="1539"/>
      <c r="Z1420" s="1539"/>
      <c r="AA1420" s="1539"/>
      <c r="AB1420" s="1539"/>
      <c r="AC1420" s="1539"/>
      <c r="AD1420" s="1539"/>
      <c r="AE1420" s="1539"/>
      <c r="AF1420" s="1539"/>
      <c r="AG1420" s="1539"/>
      <c r="AH1420" s="1539"/>
      <c r="AI1420" s="1539"/>
      <c r="AJ1420" s="1539"/>
      <c r="AK1420" s="1539"/>
      <c r="AL1420" s="1539"/>
      <c r="AM1420" s="1539"/>
      <c r="AN1420" s="1539"/>
      <c r="AO1420" s="1539"/>
      <c r="AP1420" s="1539"/>
      <c r="AQ1420" s="1539"/>
      <c r="AR1420" s="1539"/>
      <c r="AS1420" s="1539"/>
      <c r="AT1420" s="1539"/>
      <c r="AU1420" s="1539"/>
      <c r="AV1420" s="1539"/>
      <c r="AW1420" s="1539"/>
      <c r="AX1420" s="1539"/>
      <c r="AY1420" s="1539"/>
      <c r="AZ1420" s="1539"/>
      <c r="BA1420" s="1539"/>
      <c r="BB1420" s="1539"/>
      <c r="BC1420" s="1539"/>
      <c r="BD1420" s="1539"/>
      <c r="BE1420" s="1539"/>
      <c r="BF1420" s="1539"/>
      <c r="BG1420" s="1539"/>
      <c r="BH1420" s="1539"/>
      <c r="BI1420" s="1539"/>
      <c r="BJ1420" s="1539"/>
      <c r="BK1420" s="1539"/>
      <c r="BL1420" s="1539"/>
      <c r="BM1420" s="1539"/>
      <c r="BN1420" s="1539"/>
      <c r="BO1420" s="1539"/>
      <c r="BP1420" s="1539"/>
      <c r="BQ1420" s="1539"/>
      <c r="BR1420" s="1539"/>
      <c r="BS1420" s="1539"/>
      <c r="BT1420" s="1539"/>
      <c r="BU1420" s="1539"/>
      <c r="BV1420" s="1539"/>
      <c r="BW1420" s="1539"/>
      <c r="BX1420" s="1539"/>
      <c r="BY1420" s="1539"/>
      <c r="BZ1420" s="1539"/>
      <c r="CA1420" s="1539"/>
      <c r="CB1420" s="1539"/>
      <c r="CC1420" s="1539"/>
      <c r="CD1420" s="1539"/>
      <c r="CE1420" s="1539"/>
      <c r="CF1420" s="1539"/>
      <c r="CG1420" s="1539"/>
      <c r="CH1420" s="1539"/>
      <c r="CI1420" s="1539"/>
      <c r="CJ1420" s="1539"/>
      <c r="CK1420" s="1539"/>
      <c r="CL1420" s="1539"/>
      <c r="CM1420" s="1539"/>
      <c r="CN1420" s="1539"/>
      <c r="CO1420" s="1539"/>
    </row>
    <row r="1421" spans="1:93" s="1552" customFormat="1" ht="15.5">
      <c r="A1421" s="1598" t="s">
        <v>2904</v>
      </c>
      <c r="B1421" s="1599" t="s">
        <v>2905</v>
      </c>
      <c r="C1421" s="1643" t="e">
        <f>+SUMIF(#REF!,Final!A1421,#REF!)</f>
        <v>#REF!</v>
      </c>
      <c r="D1421" s="1597" t="e">
        <f>+SUMIF(#REF!,Final!A1421,#REF!)</f>
        <v>#REF!</v>
      </c>
      <c r="E1421" s="1643" t="e">
        <f>SUMIF(#REF!,Final!A1421,#REF!)</f>
        <v>#REF!</v>
      </c>
      <c r="F1421" s="1644" t="e">
        <f>SUMIF(#REF!,Final!A1421,#REF!)</f>
        <v>#REF!</v>
      </c>
      <c r="G1421" s="1597" t="e">
        <f t="shared" si="132"/>
        <v>#REF!</v>
      </c>
      <c r="H1421" s="1644" t="e">
        <f t="shared" si="133"/>
        <v>#REF!</v>
      </c>
      <c r="I1421" s="1597" t="e">
        <f t="shared" si="134"/>
        <v>#REF!</v>
      </c>
      <c r="J1421" s="1644" t="e">
        <f t="shared" si="135"/>
        <v>#REF!</v>
      </c>
      <c r="K1421" s="1539"/>
      <c r="L1421" s="1539"/>
      <c r="M1421" s="1545"/>
      <c r="N1421" s="1545"/>
      <c r="O1421" s="1539"/>
      <c r="P1421" s="1539"/>
      <c r="Q1421" s="1539"/>
      <c r="R1421" s="1539"/>
      <c r="S1421" s="1539"/>
      <c r="T1421" s="1539"/>
      <c r="U1421" s="1539"/>
      <c r="V1421" s="1539"/>
      <c r="W1421" s="1539"/>
      <c r="X1421" s="1539"/>
      <c r="Y1421" s="1539"/>
      <c r="Z1421" s="1539"/>
      <c r="AA1421" s="1539"/>
      <c r="AB1421" s="1539"/>
      <c r="AC1421" s="1539"/>
      <c r="AD1421" s="1539"/>
      <c r="AE1421" s="1539"/>
      <c r="AF1421" s="1539"/>
      <c r="AG1421" s="1539"/>
      <c r="AH1421" s="1539"/>
      <c r="AI1421" s="1539"/>
      <c r="AJ1421" s="1539"/>
      <c r="AK1421" s="1539"/>
      <c r="AL1421" s="1539"/>
      <c r="AM1421" s="1539"/>
      <c r="AN1421" s="1539"/>
      <c r="AO1421" s="1539"/>
      <c r="AP1421" s="1539"/>
      <c r="AQ1421" s="1539"/>
      <c r="AR1421" s="1539"/>
      <c r="AS1421" s="1539"/>
      <c r="AT1421" s="1539"/>
      <c r="AU1421" s="1539"/>
      <c r="AV1421" s="1539"/>
      <c r="AW1421" s="1539"/>
      <c r="AX1421" s="1539"/>
      <c r="AY1421" s="1539"/>
      <c r="AZ1421" s="1539"/>
      <c r="BA1421" s="1539"/>
      <c r="BB1421" s="1539"/>
      <c r="BC1421" s="1539"/>
      <c r="BD1421" s="1539"/>
      <c r="BE1421" s="1539"/>
      <c r="BF1421" s="1539"/>
      <c r="BG1421" s="1539"/>
      <c r="BH1421" s="1539"/>
      <c r="BI1421" s="1539"/>
      <c r="BJ1421" s="1539"/>
      <c r="BK1421" s="1539"/>
      <c r="BL1421" s="1539"/>
      <c r="BM1421" s="1539"/>
      <c r="BN1421" s="1539"/>
      <c r="BO1421" s="1539"/>
      <c r="BP1421" s="1539"/>
      <c r="BQ1421" s="1539"/>
      <c r="BR1421" s="1539"/>
      <c r="BS1421" s="1539"/>
      <c r="BT1421" s="1539"/>
      <c r="BU1421" s="1539"/>
      <c r="BV1421" s="1539"/>
      <c r="BW1421" s="1539"/>
      <c r="BX1421" s="1539"/>
      <c r="BY1421" s="1539"/>
      <c r="BZ1421" s="1539"/>
      <c r="CA1421" s="1539"/>
      <c r="CB1421" s="1539"/>
      <c r="CC1421" s="1539"/>
      <c r="CD1421" s="1539"/>
      <c r="CE1421" s="1539"/>
      <c r="CF1421" s="1539"/>
      <c r="CG1421" s="1539"/>
      <c r="CH1421" s="1539"/>
      <c r="CI1421" s="1539"/>
      <c r="CJ1421" s="1539"/>
      <c r="CK1421" s="1539"/>
      <c r="CL1421" s="1539"/>
      <c r="CM1421" s="1539"/>
      <c r="CN1421" s="1539"/>
      <c r="CO1421" s="1539"/>
    </row>
    <row r="1422" spans="1:93" s="1552" customFormat="1" ht="15.5">
      <c r="A1422" s="1529">
        <v>27.501999999999999</v>
      </c>
      <c r="B1422" s="1868" t="s">
        <v>5511</v>
      </c>
      <c r="C1422" s="1643" t="e">
        <f>+SUMIF(#REF!,Final!A1422,#REF!)</f>
        <v>#REF!</v>
      </c>
      <c r="D1422" s="1597" t="e">
        <f>+SUMIF(#REF!,Final!A1422,#REF!)</f>
        <v>#REF!</v>
      </c>
      <c r="E1422" s="1643" t="e">
        <f>SUMIF(#REF!,Final!A1422,#REF!)</f>
        <v>#REF!</v>
      </c>
      <c r="F1422" s="1644" t="e">
        <f>SUMIF(#REF!,Final!A1422,#REF!)</f>
        <v>#REF!</v>
      </c>
      <c r="G1422" s="1597" t="e">
        <f t="shared" si="132"/>
        <v>#REF!</v>
      </c>
      <c r="H1422" s="1644" t="e">
        <f t="shared" si="133"/>
        <v>#REF!</v>
      </c>
      <c r="I1422" s="1597" t="e">
        <f t="shared" si="134"/>
        <v>#REF!</v>
      </c>
      <c r="J1422" s="1644" t="e">
        <f t="shared" si="135"/>
        <v>#REF!</v>
      </c>
      <c r="K1422" s="1539"/>
      <c r="L1422" s="1539"/>
      <c r="M1422" s="1545"/>
      <c r="N1422" s="1545"/>
      <c r="O1422" s="1539"/>
      <c r="P1422" s="1539"/>
      <c r="Q1422" s="1539"/>
      <c r="R1422" s="1539"/>
      <c r="S1422" s="1539"/>
      <c r="T1422" s="1539"/>
      <c r="U1422" s="1539"/>
      <c r="V1422" s="1539"/>
      <c r="W1422" s="1539"/>
      <c r="X1422" s="1539"/>
      <c r="Y1422" s="1539"/>
      <c r="Z1422" s="1539"/>
      <c r="AA1422" s="1539"/>
      <c r="AB1422" s="1539"/>
      <c r="AC1422" s="1539"/>
      <c r="AD1422" s="1539"/>
      <c r="AE1422" s="1539"/>
      <c r="AF1422" s="1539"/>
      <c r="AG1422" s="1539"/>
      <c r="AH1422" s="1539"/>
      <c r="AI1422" s="1539"/>
      <c r="AJ1422" s="1539"/>
      <c r="AK1422" s="1539"/>
      <c r="AL1422" s="1539"/>
      <c r="AM1422" s="1539"/>
      <c r="AN1422" s="1539"/>
      <c r="AO1422" s="1539"/>
      <c r="AP1422" s="1539"/>
      <c r="AQ1422" s="1539"/>
      <c r="AR1422" s="1539"/>
      <c r="AS1422" s="1539"/>
      <c r="AT1422" s="1539"/>
      <c r="AU1422" s="1539"/>
      <c r="AV1422" s="1539"/>
      <c r="AW1422" s="1539"/>
      <c r="AX1422" s="1539"/>
      <c r="AY1422" s="1539"/>
      <c r="AZ1422" s="1539"/>
      <c r="BA1422" s="1539"/>
      <c r="BB1422" s="1539"/>
      <c r="BC1422" s="1539"/>
      <c r="BD1422" s="1539"/>
      <c r="BE1422" s="1539"/>
      <c r="BF1422" s="1539"/>
      <c r="BG1422" s="1539"/>
      <c r="BH1422" s="1539"/>
      <c r="BI1422" s="1539"/>
      <c r="BJ1422" s="1539"/>
      <c r="BK1422" s="1539"/>
      <c r="BL1422" s="1539"/>
      <c r="BM1422" s="1539"/>
      <c r="BN1422" s="1539"/>
      <c r="BO1422" s="1539"/>
      <c r="BP1422" s="1539"/>
      <c r="BQ1422" s="1539"/>
      <c r="BR1422" s="1539"/>
      <c r="BS1422" s="1539"/>
      <c r="BT1422" s="1539"/>
      <c r="BU1422" s="1539"/>
      <c r="BV1422" s="1539"/>
      <c r="BW1422" s="1539"/>
      <c r="BX1422" s="1539"/>
      <c r="BY1422" s="1539"/>
      <c r="BZ1422" s="1539"/>
      <c r="CA1422" s="1539"/>
      <c r="CB1422" s="1539"/>
      <c r="CC1422" s="1539"/>
      <c r="CD1422" s="1539"/>
      <c r="CE1422" s="1539"/>
      <c r="CF1422" s="1539"/>
      <c r="CG1422" s="1539"/>
      <c r="CH1422" s="1539"/>
      <c r="CI1422" s="1539"/>
      <c r="CJ1422" s="1539"/>
      <c r="CK1422" s="1539"/>
      <c r="CL1422" s="1539"/>
      <c r="CM1422" s="1539"/>
      <c r="CN1422" s="1539"/>
      <c r="CO1422" s="1539"/>
    </row>
    <row r="1423" spans="1:93" s="1542" customFormat="1" ht="15.5">
      <c r="A1423" s="1598">
        <v>7</v>
      </c>
      <c r="B1423" s="1599" t="s">
        <v>3393</v>
      </c>
      <c r="C1423" s="1643" t="e">
        <f>+SUMIF(#REF!,Final!A1423,#REF!)</f>
        <v>#REF!</v>
      </c>
      <c r="D1423" s="1597" t="e">
        <f>+SUMIF(#REF!,Final!A1423,#REF!)</f>
        <v>#REF!</v>
      </c>
      <c r="E1423" s="1643" t="e">
        <f>SUMIF(#REF!,Final!A1423,#REF!)</f>
        <v>#REF!</v>
      </c>
      <c r="F1423" s="1644" t="e">
        <f>SUMIF(#REF!,Final!A1423,#REF!)</f>
        <v>#REF!</v>
      </c>
      <c r="G1423" s="1597" t="e">
        <f t="shared" si="132"/>
        <v>#REF!</v>
      </c>
      <c r="H1423" s="1644" t="e">
        <f t="shared" si="133"/>
        <v>#REF!</v>
      </c>
      <c r="I1423" s="1597" t="e">
        <f t="shared" si="134"/>
        <v>#REF!</v>
      </c>
      <c r="J1423" s="1644" t="e">
        <f t="shared" si="135"/>
        <v>#REF!</v>
      </c>
      <c r="K1423" s="1539"/>
      <c r="L1423" s="1539"/>
      <c r="M1423" s="1545"/>
      <c r="N1423" s="1545"/>
      <c r="O1423" s="1539"/>
      <c r="P1423" s="1539"/>
      <c r="Q1423" s="1539"/>
      <c r="R1423" s="1539"/>
      <c r="S1423" s="1539"/>
      <c r="T1423" s="1539"/>
      <c r="U1423" s="1539"/>
      <c r="V1423" s="1539"/>
      <c r="W1423" s="1539"/>
      <c r="X1423" s="1539"/>
      <c r="Y1423" s="1539"/>
      <c r="Z1423" s="1539"/>
      <c r="AA1423" s="1539"/>
      <c r="AB1423" s="1539"/>
      <c r="AC1423" s="1539"/>
      <c r="AD1423" s="1539"/>
      <c r="AE1423" s="1539"/>
      <c r="AF1423" s="1539"/>
      <c r="AG1423" s="1539"/>
      <c r="AH1423" s="1539"/>
      <c r="AI1423" s="1539"/>
      <c r="AJ1423" s="1539"/>
      <c r="AK1423" s="1539"/>
      <c r="AL1423" s="1539"/>
      <c r="AM1423" s="1539"/>
      <c r="AN1423" s="1539"/>
      <c r="AO1423" s="1539"/>
      <c r="AP1423" s="1539"/>
      <c r="AQ1423" s="1539"/>
      <c r="AR1423" s="1539"/>
      <c r="AS1423" s="1539"/>
      <c r="AT1423" s="1539"/>
      <c r="AU1423" s="1539"/>
      <c r="AV1423" s="1539"/>
      <c r="AW1423" s="1539"/>
      <c r="AX1423" s="1539"/>
      <c r="AY1423" s="1539"/>
      <c r="AZ1423" s="1539"/>
      <c r="BA1423" s="1539"/>
      <c r="BB1423" s="1539"/>
      <c r="BC1423" s="1539"/>
      <c r="BD1423" s="1539"/>
      <c r="BE1423" s="1539"/>
      <c r="BF1423" s="1539"/>
      <c r="BG1423" s="1539"/>
      <c r="BH1423" s="1539"/>
      <c r="BI1423" s="1539"/>
      <c r="BJ1423" s="1539"/>
      <c r="BK1423" s="1539"/>
      <c r="BL1423" s="1539"/>
      <c r="BM1423" s="1539"/>
      <c r="BN1423" s="1539"/>
      <c r="BO1423" s="1539"/>
      <c r="BP1423" s="1539"/>
      <c r="BQ1423" s="1539"/>
      <c r="BR1423" s="1539"/>
      <c r="BS1423" s="1539"/>
      <c r="BT1423" s="1539"/>
      <c r="BU1423" s="1539"/>
      <c r="BV1423" s="1539"/>
      <c r="BW1423" s="1539"/>
      <c r="BX1423" s="1539"/>
      <c r="BY1423" s="1539"/>
      <c r="BZ1423" s="1539"/>
      <c r="CA1423" s="1539"/>
      <c r="CB1423" s="1539"/>
      <c r="CC1423" s="1539"/>
      <c r="CD1423" s="1539"/>
      <c r="CE1423" s="1539"/>
      <c r="CF1423" s="1539"/>
      <c r="CG1423" s="1539"/>
      <c r="CH1423" s="1539"/>
      <c r="CI1423" s="1539"/>
      <c r="CJ1423" s="1539"/>
      <c r="CK1423" s="1539"/>
      <c r="CL1423" s="1539"/>
      <c r="CM1423" s="1539"/>
      <c r="CN1423" s="1539"/>
      <c r="CO1423" s="1539"/>
    </row>
    <row r="1424" spans="1:93" s="1542" customFormat="1" ht="15.5">
      <c r="A1424" s="1598" t="s">
        <v>543</v>
      </c>
      <c r="B1424" s="1599" t="s">
        <v>3394</v>
      </c>
      <c r="C1424" s="1643" t="e">
        <f>+SUMIF(#REF!,Final!A1424,#REF!)</f>
        <v>#REF!</v>
      </c>
      <c r="D1424" s="1597" t="e">
        <f>+SUMIF(#REF!,Final!A1424,#REF!)</f>
        <v>#REF!</v>
      </c>
      <c r="E1424" s="1643" t="e">
        <f>SUMIF(#REF!,Final!A1424,#REF!)</f>
        <v>#REF!</v>
      </c>
      <c r="F1424" s="1644" t="e">
        <f>SUMIF(#REF!,Final!A1424,#REF!)</f>
        <v>#REF!</v>
      </c>
      <c r="G1424" s="1597" t="e">
        <f t="shared" si="132"/>
        <v>#REF!</v>
      </c>
      <c r="H1424" s="1644" t="e">
        <f t="shared" si="133"/>
        <v>#REF!</v>
      </c>
      <c r="I1424" s="1597" t="e">
        <f t="shared" si="134"/>
        <v>#REF!</v>
      </c>
      <c r="J1424" s="1644" t="e">
        <f t="shared" si="135"/>
        <v>#REF!</v>
      </c>
      <c r="K1424" s="1539"/>
      <c r="L1424" s="1539"/>
      <c r="M1424" s="1545"/>
      <c r="N1424" s="1545"/>
      <c r="O1424" s="1539"/>
      <c r="P1424" s="1539"/>
      <c r="Q1424" s="1539"/>
      <c r="R1424" s="1539"/>
      <c r="S1424" s="1539"/>
      <c r="T1424" s="1539"/>
      <c r="U1424" s="1539"/>
      <c r="V1424" s="1539"/>
      <c r="W1424" s="1539"/>
      <c r="X1424" s="1539"/>
      <c r="Y1424" s="1539"/>
      <c r="Z1424" s="1539"/>
      <c r="AA1424" s="1539"/>
      <c r="AB1424" s="1539"/>
      <c r="AC1424" s="1539"/>
      <c r="AD1424" s="1539"/>
      <c r="AE1424" s="1539"/>
      <c r="AF1424" s="1539"/>
      <c r="AG1424" s="1539"/>
      <c r="AH1424" s="1539"/>
      <c r="AI1424" s="1539"/>
      <c r="AJ1424" s="1539"/>
      <c r="AK1424" s="1539"/>
      <c r="AL1424" s="1539"/>
      <c r="AM1424" s="1539"/>
      <c r="AN1424" s="1539"/>
      <c r="AO1424" s="1539"/>
      <c r="AP1424" s="1539"/>
      <c r="AQ1424" s="1539"/>
      <c r="AR1424" s="1539"/>
      <c r="AS1424" s="1539"/>
      <c r="AT1424" s="1539"/>
      <c r="AU1424" s="1539"/>
      <c r="AV1424" s="1539"/>
      <c r="AW1424" s="1539"/>
      <c r="AX1424" s="1539"/>
      <c r="AY1424" s="1539"/>
      <c r="AZ1424" s="1539"/>
      <c r="BA1424" s="1539"/>
      <c r="BB1424" s="1539"/>
      <c r="BC1424" s="1539"/>
      <c r="BD1424" s="1539"/>
      <c r="BE1424" s="1539"/>
      <c r="BF1424" s="1539"/>
      <c r="BG1424" s="1539"/>
      <c r="BH1424" s="1539"/>
      <c r="BI1424" s="1539"/>
      <c r="BJ1424" s="1539"/>
      <c r="BK1424" s="1539"/>
      <c r="BL1424" s="1539"/>
      <c r="BM1424" s="1539"/>
      <c r="BN1424" s="1539"/>
      <c r="BO1424" s="1539"/>
      <c r="BP1424" s="1539"/>
      <c r="BQ1424" s="1539"/>
      <c r="BR1424" s="1539"/>
      <c r="BS1424" s="1539"/>
      <c r="BT1424" s="1539"/>
      <c r="BU1424" s="1539"/>
      <c r="BV1424" s="1539"/>
      <c r="BW1424" s="1539"/>
      <c r="BX1424" s="1539"/>
      <c r="BY1424" s="1539"/>
      <c r="BZ1424" s="1539"/>
      <c r="CA1424" s="1539"/>
      <c r="CB1424" s="1539"/>
      <c r="CC1424" s="1539"/>
      <c r="CD1424" s="1539"/>
      <c r="CE1424" s="1539"/>
      <c r="CF1424" s="1539"/>
      <c r="CG1424" s="1539"/>
      <c r="CH1424" s="1539"/>
      <c r="CI1424" s="1539"/>
      <c r="CJ1424" s="1539"/>
      <c r="CK1424" s="1539"/>
      <c r="CL1424" s="1539"/>
      <c r="CM1424" s="1539"/>
      <c r="CN1424" s="1539"/>
      <c r="CO1424" s="1539"/>
    </row>
    <row r="1425" spans="1:93" s="1542" customFormat="1" ht="15.5">
      <c r="A1425" s="1598" t="s">
        <v>637</v>
      </c>
      <c r="B1425" s="1599" t="s">
        <v>3395</v>
      </c>
      <c r="C1425" s="1643" t="e">
        <f>+SUMIF(#REF!,Final!A1425,#REF!)</f>
        <v>#REF!</v>
      </c>
      <c r="D1425" s="1597" t="e">
        <f>+SUMIF(#REF!,Final!A1425,#REF!)</f>
        <v>#REF!</v>
      </c>
      <c r="E1425" s="1643" t="e">
        <f>SUMIF(#REF!,Final!A1425,#REF!)</f>
        <v>#REF!</v>
      </c>
      <c r="F1425" s="1644" t="e">
        <f>SUMIF(#REF!,Final!A1425,#REF!)</f>
        <v>#REF!</v>
      </c>
      <c r="G1425" s="1597" t="e">
        <f t="shared" si="132"/>
        <v>#REF!</v>
      </c>
      <c r="H1425" s="1644" t="e">
        <f t="shared" si="133"/>
        <v>#REF!</v>
      </c>
      <c r="I1425" s="1597" t="e">
        <f t="shared" si="134"/>
        <v>#REF!</v>
      </c>
      <c r="J1425" s="1644" t="e">
        <f t="shared" si="135"/>
        <v>#REF!</v>
      </c>
      <c r="K1425" s="1539"/>
      <c r="L1425" s="1539"/>
      <c r="M1425" s="1545"/>
      <c r="N1425" s="1545"/>
      <c r="O1425" s="1539"/>
      <c r="P1425" s="1539"/>
      <c r="Q1425" s="1539"/>
      <c r="R1425" s="1539"/>
      <c r="S1425" s="1539"/>
      <c r="T1425" s="1539"/>
      <c r="U1425" s="1539"/>
      <c r="V1425" s="1539"/>
      <c r="W1425" s="1539"/>
      <c r="X1425" s="1539"/>
      <c r="Y1425" s="1539"/>
      <c r="Z1425" s="1539"/>
      <c r="AA1425" s="1539"/>
      <c r="AB1425" s="1539"/>
      <c r="AC1425" s="1539"/>
      <c r="AD1425" s="1539"/>
      <c r="AE1425" s="1539"/>
      <c r="AF1425" s="1539"/>
      <c r="AG1425" s="1539"/>
      <c r="AH1425" s="1539"/>
      <c r="AI1425" s="1539"/>
      <c r="AJ1425" s="1539"/>
      <c r="AK1425" s="1539"/>
      <c r="AL1425" s="1539"/>
      <c r="AM1425" s="1539"/>
      <c r="AN1425" s="1539"/>
      <c r="AO1425" s="1539"/>
      <c r="AP1425" s="1539"/>
      <c r="AQ1425" s="1539"/>
      <c r="AR1425" s="1539"/>
      <c r="AS1425" s="1539"/>
      <c r="AT1425" s="1539"/>
      <c r="AU1425" s="1539"/>
      <c r="AV1425" s="1539"/>
      <c r="AW1425" s="1539"/>
      <c r="AX1425" s="1539"/>
      <c r="AY1425" s="1539"/>
      <c r="AZ1425" s="1539"/>
      <c r="BA1425" s="1539"/>
      <c r="BB1425" s="1539"/>
      <c r="BC1425" s="1539"/>
      <c r="BD1425" s="1539"/>
      <c r="BE1425" s="1539"/>
      <c r="BF1425" s="1539"/>
      <c r="BG1425" s="1539"/>
      <c r="BH1425" s="1539"/>
      <c r="BI1425" s="1539"/>
      <c r="BJ1425" s="1539"/>
      <c r="BK1425" s="1539"/>
      <c r="BL1425" s="1539"/>
      <c r="BM1425" s="1539"/>
      <c r="BN1425" s="1539"/>
      <c r="BO1425" s="1539"/>
      <c r="BP1425" s="1539"/>
      <c r="BQ1425" s="1539"/>
      <c r="BR1425" s="1539"/>
      <c r="BS1425" s="1539"/>
      <c r="BT1425" s="1539"/>
      <c r="BU1425" s="1539"/>
      <c r="BV1425" s="1539"/>
      <c r="BW1425" s="1539"/>
      <c r="BX1425" s="1539"/>
      <c r="BY1425" s="1539"/>
      <c r="BZ1425" s="1539"/>
      <c r="CA1425" s="1539"/>
      <c r="CB1425" s="1539"/>
      <c r="CC1425" s="1539"/>
      <c r="CD1425" s="1539"/>
      <c r="CE1425" s="1539"/>
      <c r="CF1425" s="1539"/>
      <c r="CG1425" s="1539"/>
      <c r="CH1425" s="1539"/>
      <c r="CI1425" s="1539"/>
      <c r="CJ1425" s="1539"/>
      <c r="CK1425" s="1539"/>
      <c r="CL1425" s="1539"/>
      <c r="CM1425" s="1539"/>
      <c r="CN1425" s="1539"/>
      <c r="CO1425" s="1539"/>
    </row>
    <row r="1426" spans="1:93" ht="15.5">
      <c r="A1426" s="1598">
        <v>28.103000000000002</v>
      </c>
      <c r="B1426" s="1599" t="s">
        <v>2861</v>
      </c>
      <c r="C1426" s="1643" t="e">
        <f>+SUMIF(#REF!,Final!A1426,#REF!)</f>
        <v>#REF!</v>
      </c>
      <c r="D1426" s="1597" t="e">
        <f>+SUMIF(#REF!,Final!A1426,#REF!)</f>
        <v>#REF!</v>
      </c>
      <c r="E1426" s="1643" t="e">
        <f>SUMIF(#REF!,Final!A1426,#REF!)</f>
        <v>#REF!</v>
      </c>
      <c r="F1426" s="1644" t="e">
        <f>SUMIF(#REF!,Final!A1426,#REF!)</f>
        <v>#REF!</v>
      </c>
      <c r="G1426" s="1597" t="e">
        <f t="shared" si="132"/>
        <v>#REF!</v>
      </c>
      <c r="H1426" s="1644" t="e">
        <f t="shared" si="133"/>
        <v>#REF!</v>
      </c>
      <c r="I1426" s="1597" t="e">
        <f t="shared" si="134"/>
        <v>#REF!</v>
      </c>
      <c r="J1426" s="1644" t="e">
        <f t="shared" si="135"/>
        <v>#REF!</v>
      </c>
      <c r="M1426" s="1545"/>
      <c r="N1426" s="1545"/>
    </row>
    <row r="1427" spans="1:93" ht="15.5">
      <c r="A1427" s="1598">
        <v>28.103999999999999</v>
      </c>
      <c r="B1427" s="1599" t="s">
        <v>2862</v>
      </c>
      <c r="C1427" s="1643" t="e">
        <f>+SUMIF(#REF!,Final!A1427,#REF!)</f>
        <v>#REF!</v>
      </c>
      <c r="D1427" s="1597" t="e">
        <f>+SUMIF(#REF!,Final!A1427,#REF!)</f>
        <v>#REF!</v>
      </c>
      <c r="E1427" s="1643" t="e">
        <f>SUMIF(#REF!,Final!A1427,#REF!)</f>
        <v>#REF!</v>
      </c>
      <c r="F1427" s="1644" t="e">
        <f>SUMIF(#REF!,Final!A1427,#REF!)</f>
        <v>#REF!</v>
      </c>
      <c r="G1427" s="1597" t="e">
        <f t="shared" si="132"/>
        <v>#REF!</v>
      </c>
      <c r="H1427" s="1644" t="e">
        <f t="shared" si="133"/>
        <v>#REF!</v>
      </c>
      <c r="I1427" s="1597" t="e">
        <f t="shared" si="134"/>
        <v>#REF!</v>
      </c>
      <c r="J1427" s="1644" t="e">
        <f t="shared" si="135"/>
        <v>#REF!</v>
      </c>
      <c r="M1427" s="1545"/>
      <c r="N1427" s="1545"/>
    </row>
    <row r="1428" spans="1:93" ht="15.5">
      <c r="A1428" s="1598">
        <v>28.106000000000002</v>
      </c>
      <c r="B1428" s="1599" t="s">
        <v>2863</v>
      </c>
      <c r="C1428" s="1643" t="e">
        <f>+SUMIF(#REF!,Final!A1428,#REF!)</f>
        <v>#REF!</v>
      </c>
      <c r="D1428" s="1597" t="e">
        <f>+SUMIF(#REF!,Final!A1428,#REF!)</f>
        <v>#REF!</v>
      </c>
      <c r="E1428" s="1643" t="e">
        <f>SUMIF(#REF!,Final!A1428,#REF!)</f>
        <v>#REF!</v>
      </c>
      <c r="F1428" s="1644" t="e">
        <f>SUMIF(#REF!,Final!A1428,#REF!)</f>
        <v>#REF!</v>
      </c>
      <c r="G1428" s="1597" t="e">
        <f t="shared" si="132"/>
        <v>#REF!</v>
      </c>
      <c r="H1428" s="1644" t="e">
        <f t="shared" si="133"/>
        <v>#REF!</v>
      </c>
      <c r="I1428" s="1597" t="e">
        <f t="shared" si="134"/>
        <v>#REF!</v>
      </c>
      <c r="J1428" s="1644" t="e">
        <f t="shared" si="135"/>
        <v>#REF!</v>
      </c>
      <c r="M1428" s="1545"/>
      <c r="N1428" s="1545"/>
    </row>
    <row r="1429" spans="1:93" s="1552" customFormat="1" ht="15.5">
      <c r="A1429" s="1598"/>
      <c r="B1429" s="1599" t="s">
        <v>1747</v>
      </c>
      <c r="C1429" s="1643" t="e">
        <f>+SUMIF(#REF!,Final!A1429,#REF!)</f>
        <v>#REF!</v>
      </c>
      <c r="D1429" s="1597" t="e">
        <f>+SUMIF(#REF!,Final!A1429,#REF!)</f>
        <v>#REF!</v>
      </c>
      <c r="E1429" s="1643" t="e">
        <f>SUMIF(#REF!,Final!A1429,#REF!)</f>
        <v>#REF!</v>
      </c>
      <c r="F1429" s="1644" t="e">
        <f>SUMIF(#REF!,Final!A1429,#REF!)</f>
        <v>#REF!</v>
      </c>
      <c r="G1429" s="1597" t="e">
        <f t="shared" si="132"/>
        <v>#REF!</v>
      </c>
      <c r="H1429" s="1644" t="e">
        <f t="shared" si="133"/>
        <v>#REF!</v>
      </c>
      <c r="I1429" s="1597" t="e">
        <f t="shared" si="134"/>
        <v>#REF!</v>
      </c>
      <c r="J1429" s="1644" t="e">
        <f t="shared" si="135"/>
        <v>#REF!</v>
      </c>
      <c r="K1429" s="1539"/>
      <c r="L1429" s="1539"/>
      <c r="M1429" s="1545"/>
      <c r="N1429" s="1545"/>
      <c r="O1429" s="1539"/>
      <c r="P1429" s="1539"/>
      <c r="Q1429" s="1539"/>
      <c r="R1429" s="1539"/>
      <c r="S1429" s="1539"/>
      <c r="T1429" s="1539"/>
      <c r="U1429" s="1539"/>
      <c r="V1429" s="1539"/>
      <c r="W1429" s="1539"/>
      <c r="X1429" s="1539"/>
      <c r="Y1429" s="1539"/>
      <c r="Z1429" s="1539"/>
      <c r="AA1429" s="1539"/>
      <c r="AB1429" s="1539"/>
      <c r="AC1429" s="1539"/>
      <c r="AD1429" s="1539"/>
      <c r="AE1429" s="1539"/>
      <c r="AF1429" s="1539"/>
      <c r="AG1429" s="1539"/>
      <c r="AH1429" s="1539"/>
      <c r="AI1429" s="1539"/>
      <c r="AJ1429" s="1539"/>
      <c r="AK1429" s="1539"/>
      <c r="AL1429" s="1539"/>
      <c r="AM1429" s="1539"/>
      <c r="AN1429" s="1539"/>
      <c r="AO1429" s="1539"/>
      <c r="AP1429" s="1539"/>
      <c r="AQ1429" s="1539"/>
      <c r="AR1429" s="1539"/>
      <c r="AS1429" s="1539"/>
      <c r="AT1429" s="1539"/>
      <c r="AU1429" s="1539"/>
      <c r="AV1429" s="1539"/>
      <c r="AW1429" s="1539"/>
      <c r="AX1429" s="1539"/>
      <c r="AY1429" s="1539"/>
      <c r="AZ1429" s="1539"/>
      <c r="BA1429" s="1539"/>
      <c r="BB1429" s="1539"/>
      <c r="BC1429" s="1539"/>
      <c r="BD1429" s="1539"/>
      <c r="BE1429" s="1539"/>
      <c r="BF1429" s="1539"/>
      <c r="BG1429" s="1539"/>
      <c r="BH1429" s="1539"/>
      <c r="BI1429" s="1539"/>
      <c r="BJ1429" s="1539"/>
      <c r="BK1429" s="1539"/>
      <c r="BL1429" s="1539"/>
      <c r="BM1429" s="1539"/>
      <c r="BN1429" s="1539"/>
      <c r="BO1429" s="1539"/>
      <c r="BP1429" s="1539"/>
      <c r="BQ1429" s="1539"/>
      <c r="BR1429" s="1539"/>
      <c r="BS1429" s="1539"/>
      <c r="BT1429" s="1539"/>
      <c r="BU1429" s="1539"/>
      <c r="BV1429" s="1539"/>
      <c r="BW1429" s="1539"/>
      <c r="BX1429" s="1539"/>
      <c r="BY1429" s="1539"/>
      <c r="BZ1429" s="1539"/>
      <c r="CA1429" s="1539"/>
      <c r="CB1429" s="1539"/>
      <c r="CC1429" s="1539"/>
      <c r="CD1429" s="1539"/>
      <c r="CE1429" s="1539"/>
      <c r="CF1429" s="1539"/>
      <c r="CG1429" s="1539"/>
      <c r="CH1429" s="1539"/>
      <c r="CI1429" s="1539"/>
      <c r="CJ1429" s="1539"/>
      <c r="CK1429" s="1539"/>
      <c r="CL1429" s="1539"/>
      <c r="CM1429" s="1539"/>
      <c r="CN1429" s="1539"/>
      <c r="CO1429" s="1539"/>
    </row>
    <row r="1430" spans="1:93" s="1552" customFormat="1" ht="15.5">
      <c r="A1430" s="1598"/>
      <c r="B1430" s="1599" t="s">
        <v>1760</v>
      </c>
      <c r="C1430" s="1643" t="e">
        <f>+SUMIF(#REF!,Final!A1430,#REF!)</f>
        <v>#REF!</v>
      </c>
      <c r="D1430" s="1597" t="e">
        <f>+SUMIF(#REF!,Final!A1430,#REF!)</f>
        <v>#REF!</v>
      </c>
      <c r="E1430" s="1643" t="e">
        <f>SUMIF(#REF!,Final!A1430,#REF!)</f>
        <v>#REF!</v>
      </c>
      <c r="F1430" s="1644" t="e">
        <f>SUMIF(#REF!,Final!A1430,#REF!)</f>
        <v>#REF!</v>
      </c>
      <c r="G1430" s="1597" t="e">
        <f t="shared" si="132"/>
        <v>#REF!</v>
      </c>
      <c r="H1430" s="1644" t="e">
        <f t="shared" si="133"/>
        <v>#REF!</v>
      </c>
      <c r="I1430" s="1597" t="e">
        <f t="shared" si="134"/>
        <v>#REF!</v>
      </c>
      <c r="J1430" s="1644" t="e">
        <f t="shared" si="135"/>
        <v>#REF!</v>
      </c>
      <c r="K1430" s="1539"/>
      <c r="L1430" s="1539"/>
      <c r="M1430" s="1545"/>
      <c r="N1430" s="1545"/>
      <c r="O1430" s="1539"/>
      <c r="P1430" s="1539"/>
      <c r="Q1430" s="1539"/>
      <c r="R1430" s="1539"/>
      <c r="S1430" s="1539"/>
      <c r="T1430" s="1539"/>
      <c r="U1430" s="1539"/>
      <c r="V1430" s="1539"/>
      <c r="W1430" s="1539"/>
      <c r="X1430" s="1539"/>
      <c r="Y1430" s="1539"/>
      <c r="Z1430" s="1539"/>
      <c r="AA1430" s="1539"/>
      <c r="AB1430" s="1539"/>
      <c r="AC1430" s="1539"/>
      <c r="AD1430" s="1539"/>
      <c r="AE1430" s="1539"/>
      <c r="AF1430" s="1539"/>
      <c r="AG1430" s="1539"/>
      <c r="AH1430" s="1539"/>
      <c r="AI1430" s="1539"/>
      <c r="AJ1430" s="1539"/>
      <c r="AK1430" s="1539"/>
      <c r="AL1430" s="1539"/>
      <c r="AM1430" s="1539"/>
      <c r="AN1430" s="1539"/>
      <c r="AO1430" s="1539"/>
      <c r="AP1430" s="1539"/>
      <c r="AQ1430" s="1539"/>
      <c r="AR1430" s="1539"/>
      <c r="AS1430" s="1539"/>
      <c r="AT1430" s="1539"/>
      <c r="AU1430" s="1539"/>
      <c r="AV1430" s="1539"/>
      <c r="AW1430" s="1539"/>
      <c r="AX1430" s="1539"/>
      <c r="AY1430" s="1539"/>
      <c r="AZ1430" s="1539"/>
      <c r="BA1430" s="1539"/>
      <c r="BB1430" s="1539"/>
      <c r="BC1430" s="1539"/>
      <c r="BD1430" s="1539"/>
      <c r="BE1430" s="1539"/>
      <c r="BF1430" s="1539"/>
      <c r="BG1430" s="1539"/>
      <c r="BH1430" s="1539"/>
      <c r="BI1430" s="1539"/>
      <c r="BJ1430" s="1539"/>
      <c r="BK1430" s="1539"/>
      <c r="BL1430" s="1539"/>
      <c r="BM1430" s="1539"/>
      <c r="BN1430" s="1539"/>
      <c r="BO1430" s="1539"/>
      <c r="BP1430" s="1539"/>
      <c r="BQ1430" s="1539"/>
      <c r="BR1430" s="1539"/>
      <c r="BS1430" s="1539"/>
      <c r="BT1430" s="1539"/>
      <c r="BU1430" s="1539"/>
      <c r="BV1430" s="1539"/>
      <c r="BW1430" s="1539"/>
      <c r="BX1430" s="1539"/>
      <c r="BY1430" s="1539"/>
      <c r="BZ1430" s="1539"/>
      <c r="CA1430" s="1539"/>
      <c r="CB1430" s="1539"/>
      <c r="CC1430" s="1539"/>
      <c r="CD1430" s="1539"/>
      <c r="CE1430" s="1539"/>
      <c r="CF1430" s="1539"/>
      <c r="CG1430" s="1539"/>
      <c r="CH1430" s="1539"/>
      <c r="CI1430" s="1539"/>
      <c r="CJ1430" s="1539"/>
      <c r="CK1430" s="1539"/>
      <c r="CL1430" s="1539"/>
      <c r="CM1430" s="1539"/>
      <c r="CN1430" s="1539"/>
      <c r="CO1430" s="1539"/>
    </row>
    <row r="1431" spans="1:93" s="1542" customFormat="1" ht="15.5">
      <c r="A1431" s="1598" t="s">
        <v>450</v>
      </c>
      <c r="B1431" s="1599" t="s">
        <v>3394</v>
      </c>
      <c r="C1431" s="1643" t="e">
        <f>+SUMIF(#REF!,Final!A1431,#REF!)</f>
        <v>#REF!</v>
      </c>
      <c r="D1431" s="1597" t="e">
        <f>+SUMIF(#REF!,Final!A1431,#REF!)</f>
        <v>#REF!</v>
      </c>
      <c r="E1431" s="1643" t="e">
        <f>SUMIF(#REF!,Final!A1431,#REF!)</f>
        <v>#REF!</v>
      </c>
      <c r="F1431" s="1644" t="e">
        <f>SUMIF(#REF!,Final!A1431,#REF!)</f>
        <v>#REF!</v>
      </c>
      <c r="G1431" s="1597" t="e">
        <f t="shared" si="132"/>
        <v>#REF!</v>
      </c>
      <c r="H1431" s="1644" t="e">
        <f t="shared" si="133"/>
        <v>#REF!</v>
      </c>
      <c r="I1431" s="1597" t="e">
        <f t="shared" si="134"/>
        <v>#REF!</v>
      </c>
      <c r="J1431" s="1644" t="e">
        <f t="shared" si="135"/>
        <v>#REF!</v>
      </c>
      <c r="K1431" s="1539"/>
      <c r="L1431" s="1539"/>
      <c r="M1431" s="1545"/>
      <c r="N1431" s="1545"/>
      <c r="O1431" s="1539"/>
      <c r="P1431" s="1539"/>
      <c r="Q1431" s="1539"/>
      <c r="R1431" s="1539"/>
      <c r="S1431" s="1539"/>
      <c r="T1431" s="1539"/>
      <c r="U1431" s="1539"/>
      <c r="V1431" s="1539"/>
      <c r="W1431" s="1539"/>
      <c r="X1431" s="1539"/>
      <c r="Y1431" s="1539"/>
      <c r="Z1431" s="1539"/>
      <c r="AA1431" s="1539"/>
      <c r="AB1431" s="1539"/>
      <c r="AC1431" s="1539"/>
      <c r="AD1431" s="1539"/>
      <c r="AE1431" s="1539"/>
      <c r="AF1431" s="1539"/>
      <c r="AG1431" s="1539"/>
      <c r="AH1431" s="1539"/>
      <c r="AI1431" s="1539"/>
      <c r="AJ1431" s="1539"/>
      <c r="AK1431" s="1539"/>
      <c r="AL1431" s="1539"/>
      <c r="AM1431" s="1539"/>
      <c r="AN1431" s="1539"/>
      <c r="AO1431" s="1539"/>
      <c r="AP1431" s="1539"/>
      <c r="AQ1431" s="1539"/>
      <c r="AR1431" s="1539"/>
      <c r="AS1431" s="1539"/>
      <c r="AT1431" s="1539"/>
      <c r="AU1431" s="1539"/>
      <c r="AV1431" s="1539"/>
      <c r="AW1431" s="1539"/>
      <c r="AX1431" s="1539"/>
      <c r="AY1431" s="1539"/>
      <c r="AZ1431" s="1539"/>
      <c r="BA1431" s="1539"/>
      <c r="BB1431" s="1539"/>
      <c r="BC1431" s="1539"/>
      <c r="BD1431" s="1539"/>
      <c r="BE1431" s="1539"/>
      <c r="BF1431" s="1539"/>
      <c r="BG1431" s="1539"/>
      <c r="BH1431" s="1539"/>
      <c r="BI1431" s="1539"/>
      <c r="BJ1431" s="1539"/>
      <c r="BK1431" s="1539"/>
      <c r="BL1431" s="1539"/>
      <c r="BM1431" s="1539"/>
      <c r="BN1431" s="1539"/>
      <c r="BO1431" s="1539"/>
      <c r="BP1431" s="1539"/>
      <c r="BQ1431" s="1539"/>
      <c r="BR1431" s="1539"/>
      <c r="BS1431" s="1539"/>
      <c r="BT1431" s="1539"/>
      <c r="BU1431" s="1539"/>
      <c r="BV1431" s="1539"/>
      <c r="BW1431" s="1539"/>
      <c r="BX1431" s="1539"/>
      <c r="BY1431" s="1539"/>
      <c r="BZ1431" s="1539"/>
      <c r="CA1431" s="1539"/>
      <c r="CB1431" s="1539"/>
      <c r="CC1431" s="1539"/>
      <c r="CD1431" s="1539"/>
      <c r="CE1431" s="1539"/>
      <c r="CF1431" s="1539"/>
      <c r="CG1431" s="1539"/>
      <c r="CH1431" s="1539"/>
      <c r="CI1431" s="1539"/>
      <c r="CJ1431" s="1539"/>
      <c r="CK1431" s="1539"/>
      <c r="CL1431" s="1539"/>
      <c r="CM1431" s="1539"/>
      <c r="CN1431" s="1539"/>
      <c r="CO1431" s="1539"/>
    </row>
    <row r="1432" spans="1:93" ht="15.5">
      <c r="A1432" s="1598">
        <v>28.114000000000001</v>
      </c>
      <c r="B1432" s="1599" t="s">
        <v>2864</v>
      </c>
      <c r="C1432" s="1643" t="e">
        <f>+SUMIF(#REF!,Final!A1432,#REF!)</f>
        <v>#REF!</v>
      </c>
      <c r="D1432" s="1597" t="e">
        <f>+SUMIF(#REF!,Final!A1432,#REF!)</f>
        <v>#REF!</v>
      </c>
      <c r="E1432" s="1643" t="e">
        <f>SUMIF(#REF!,Final!A1432,#REF!)</f>
        <v>#REF!</v>
      </c>
      <c r="F1432" s="1644" t="e">
        <f>SUMIF(#REF!,Final!A1432,#REF!)</f>
        <v>#REF!</v>
      </c>
      <c r="G1432" s="1597" t="e">
        <f t="shared" si="132"/>
        <v>#REF!</v>
      </c>
      <c r="H1432" s="1644" t="e">
        <f t="shared" si="133"/>
        <v>#REF!</v>
      </c>
      <c r="I1432" s="1597" t="e">
        <f t="shared" si="134"/>
        <v>#REF!</v>
      </c>
      <c r="J1432" s="1644" t="e">
        <f t="shared" si="135"/>
        <v>#REF!</v>
      </c>
      <c r="M1432" s="1545"/>
      <c r="N1432" s="1545"/>
    </row>
    <row r="1433" spans="1:93" s="1542" customFormat="1" ht="15.5">
      <c r="A1433" s="1598" t="s">
        <v>2865</v>
      </c>
      <c r="B1433" s="1599" t="s">
        <v>2866</v>
      </c>
      <c r="C1433" s="1643" t="e">
        <f>+SUMIF(#REF!,Final!A1433,#REF!)</f>
        <v>#REF!</v>
      </c>
      <c r="D1433" s="1597" t="e">
        <f>+SUMIF(#REF!,Final!A1433,#REF!)</f>
        <v>#REF!</v>
      </c>
      <c r="E1433" s="1643" t="e">
        <f>SUMIF(#REF!,Final!A1433,#REF!)</f>
        <v>#REF!</v>
      </c>
      <c r="F1433" s="1644" t="e">
        <f>SUMIF(#REF!,Final!A1433,#REF!)</f>
        <v>#REF!</v>
      </c>
      <c r="G1433" s="1597" t="e">
        <f t="shared" si="132"/>
        <v>#REF!</v>
      </c>
      <c r="H1433" s="1644" t="e">
        <f t="shared" si="133"/>
        <v>#REF!</v>
      </c>
      <c r="I1433" s="1597" t="e">
        <f t="shared" si="134"/>
        <v>#REF!</v>
      </c>
      <c r="J1433" s="1644" t="e">
        <f t="shared" si="135"/>
        <v>#REF!</v>
      </c>
      <c r="K1433" s="1539"/>
      <c r="L1433" s="1539"/>
      <c r="M1433" s="1545"/>
      <c r="N1433" s="1545"/>
      <c r="O1433" s="1539"/>
      <c r="P1433" s="1539"/>
      <c r="Q1433" s="1539"/>
      <c r="R1433" s="1539"/>
      <c r="S1433" s="1539"/>
      <c r="T1433" s="1539"/>
      <c r="U1433" s="1539"/>
      <c r="V1433" s="1539"/>
      <c r="W1433" s="1539"/>
      <c r="X1433" s="1539"/>
      <c r="Y1433" s="1539"/>
      <c r="Z1433" s="1539"/>
      <c r="AA1433" s="1539"/>
      <c r="AB1433" s="1539"/>
      <c r="AC1433" s="1539"/>
      <c r="AD1433" s="1539"/>
      <c r="AE1433" s="1539"/>
      <c r="AF1433" s="1539"/>
      <c r="AG1433" s="1539"/>
      <c r="AH1433" s="1539"/>
      <c r="AI1433" s="1539"/>
      <c r="AJ1433" s="1539"/>
      <c r="AK1433" s="1539"/>
      <c r="AL1433" s="1539"/>
      <c r="AM1433" s="1539"/>
      <c r="AN1433" s="1539"/>
      <c r="AO1433" s="1539"/>
      <c r="AP1433" s="1539"/>
      <c r="AQ1433" s="1539"/>
      <c r="AR1433" s="1539"/>
      <c r="AS1433" s="1539"/>
      <c r="AT1433" s="1539"/>
      <c r="AU1433" s="1539"/>
      <c r="AV1433" s="1539"/>
      <c r="AW1433" s="1539"/>
      <c r="AX1433" s="1539"/>
      <c r="AY1433" s="1539"/>
      <c r="AZ1433" s="1539"/>
      <c r="BA1433" s="1539"/>
      <c r="BB1433" s="1539"/>
      <c r="BC1433" s="1539"/>
      <c r="BD1433" s="1539"/>
      <c r="BE1433" s="1539"/>
      <c r="BF1433" s="1539"/>
      <c r="BG1433" s="1539"/>
      <c r="BH1433" s="1539"/>
      <c r="BI1433" s="1539"/>
      <c r="BJ1433" s="1539"/>
      <c r="BK1433" s="1539"/>
      <c r="BL1433" s="1539"/>
      <c r="BM1433" s="1539"/>
      <c r="BN1433" s="1539"/>
      <c r="BO1433" s="1539"/>
      <c r="BP1433" s="1539"/>
      <c r="BQ1433" s="1539"/>
      <c r="BR1433" s="1539"/>
      <c r="BS1433" s="1539"/>
      <c r="BT1433" s="1539"/>
      <c r="BU1433" s="1539"/>
      <c r="BV1433" s="1539"/>
      <c r="BW1433" s="1539"/>
      <c r="BX1433" s="1539"/>
      <c r="BY1433" s="1539"/>
      <c r="BZ1433" s="1539"/>
      <c r="CA1433" s="1539"/>
      <c r="CB1433" s="1539"/>
      <c r="CC1433" s="1539"/>
      <c r="CD1433" s="1539"/>
      <c r="CE1433" s="1539"/>
      <c r="CF1433" s="1539"/>
      <c r="CG1433" s="1539"/>
      <c r="CH1433" s="1539"/>
      <c r="CI1433" s="1539"/>
      <c r="CJ1433" s="1539"/>
      <c r="CK1433" s="1539"/>
      <c r="CL1433" s="1539"/>
      <c r="CM1433" s="1539"/>
      <c r="CN1433" s="1539"/>
      <c r="CO1433" s="1539"/>
    </row>
    <row r="1434" spans="1:93" ht="15.5">
      <c r="A1434" s="1598" t="s">
        <v>2867</v>
      </c>
      <c r="B1434" s="1599" t="s">
        <v>2868</v>
      </c>
      <c r="C1434" s="1643" t="e">
        <f>+SUMIF(#REF!,Final!A1434,#REF!)</f>
        <v>#REF!</v>
      </c>
      <c r="D1434" s="1597" t="e">
        <f>+SUMIF(#REF!,Final!A1434,#REF!)</f>
        <v>#REF!</v>
      </c>
      <c r="E1434" s="1643" t="e">
        <f>SUMIF(#REF!,Final!A1434,#REF!)</f>
        <v>#REF!</v>
      </c>
      <c r="F1434" s="1644" t="e">
        <f>SUMIF(#REF!,Final!A1434,#REF!)</f>
        <v>#REF!</v>
      </c>
      <c r="G1434" s="1597" t="e">
        <f t="shared" si="132"/>
        <v>#REF!</v>
      </c>
      <c r="H1434" s="1644" t="e">
        <f t="shared" si="133"/>
        <v>#REF!</v>
      </c>
      <c r="I1434" s="1597" t="e">
        <f t="shared" si="134"/>
        <v>#REF!</v>
      </c>
      <c r="J1434" s="1644" t="e">
        <f t="shared" si="135"/>
        <v>#REF!</v>
      </c>
      <c r="M1434" s="1545"/>
      <c r="N1434" s="1545"/>
    </row>
    <row r="1435" spans="1:93" ht="15.5">
      <c r="A1435" s="1598">
        <v>28.114999999999998</v>
      </c>
      <c r="B1435" s="1599" t="s">
        <v>4666</v>
      </c>
      <c r="C1435" s="1643" t="e">
        <f>+SUMIF(#REF!,Final!A1435,#REF!)</f>
        <v>#REF!</v>
      </c>
      <c r="D1435" s="1597" t="e">
        <f>+SUMIF(#REF!,Final!A1435,#REF!)</f>
        <v>#REF!</v>
      </c>
      <c r="E1435" s="1643" t="e">
        <f>SUMIF(#REF!,Final!A1435,#REF!)</f>
        <v>#REF!</v>
      </c>
      <c r="F1435" s="1644" t="e">
        <f>SUMIF(#REF!,Final!A1435,#REF!)</f>
        <v>#REF!</v>
      </c>
      <c r="G1435" s="1597" t="e">
        <f t="shared" si="132"/>
        <v>#REF!</v>
      </c>
      <c r="H1435" s="1644" t="e">
        <f t="shared" si="133"/>
        <v>#REF!</v>
      </c>
      <c r="I1435" s="1597" t="e">
        <f t="shared" si="134"/>
        <v>#REF!</v>
      </c>
      <c r="J1435" s="1644" t="e">
        <f t="shared" si="135"/>
        <v>#REF!</v>
      </c>
      <c r="M1435" s="1545"/>
      <c r="N1435" s="1545"/>
    </row>
    <row r="1436" spans="1:93" ht="15.5">
      <c r="A1436" s="1598">
        <v>28.116</v>
      </c>
      <c r="B1436" s="1599" t="s">
        <v>4667</v>
      </c>
      <c r="C1436" s="1643" t="e">
        <f>+SUMIF(#REF!,Final!A1436,#REF!)</f>
        <v>#REF!</v>
      </c>
      <c r="D1436" s="1597" t="e">
        <f>+SUMIF(#REF!,Final!A1436,#REF!)</f>
        <v>#REF!</v>
      </c>
      <c r="E1436" s="1643" t="e">
        <f>SUMIF(#REF!,Final!A1436,#REF!)</f>
        <v>#REF!</v>
      </c>
      <c r="F1436" s="1644" t="e">
        <f>SUMIF(#REF!,Final!A1436,#REF!)</f>
        <v>#REF!</v>
      </c>
      <c r="G1436" s="1597" t="e">
        <f t="shared" si="132"/>
        <v>#REF!</v>
      </c>
      <c r="H1436" s="1644" t="e">
        <f t="shared" si="133"/>
        <v>#REF!</v>
      </c>
      <c r="I1436" s="1597" t="e">
        <f t="shared" si="134"/>
        <v>#REF!</v>
      </c>
      <c r="J1436" s="1644" t="e">
        <f t="shared" si="135"/>
        <v>#REF!</v>
      </c>
      <c r="M1436" s="1545"/>
      <c r="N1436" s="1545"/>
    </row>
    <row r="1437" spans="1:93" ht="15.5">
      <c r="A1437" s="1598">
        <v>28.117000000000001</v>
      </c>
      <c r="B1437" s="1599" t="s">
        <v>4668</v>
      </c>
      <c r="C1437" s="1643" t="e">
        <f>+SUMIF(#REF!,Final!A1437,#REF!)</f>
        <v>#REF!</v>
      </c>
      <c r="D1437" s="1597" t="e">
        <f>+SUMIF(#REF!,Final!A1437,#REF!)</f>
        <v>#REF!</v>
      </c>
      <c r="E1437" s="1643" t="e">
        <f>SUMIF(#REF!,Final!A1437,#REF!)</f>
        <v>#REF!</v>
      </c>
      <c r="F1437" s="1644" t="e">
        <f>SUMIF(#REF!,Final!A1437,#REF!)</f>
        <v>#REF!</v>
      </c>
      <c r="G1437" s="1597" t="e">
        <f t="shared" si="132"/>
        <v>#REF!</v>
      </c>
      <c r="H1437" s="1644" t="e">
        <f t="shared" si="133"/>
        <v>#REF!</v>
      </c>
      <c r="I1437" s="1597" t="e">
        <f t="shared" si="134"/>
        <v>#REF!</v>
      </c>
      <c r="J1437" s="1644" t="e">
        <f t="shared" si="135"/>
        <v>#REF!</v>
      </c>
      <c r="M1437" s="1545"/>
      <c r="N1437" s="1545"/>
    </row>
    <row r="1438" spans="1:93" ht="15.5">
      <c r="A1438" s="1598">
        <v>28.117999999999999</v>
      </c>
      <c r="B1438" s="1599" t="s">
        <v>4669</v>
      </c>
      <c r="C1438" s="1643" t="e">
        <f>+SUMIF(#REF!,Final!A1438,#REF!)</f>
        <v>#REF!</v>
      </c>
      <c r="D1438" s="1597" t="e">
        <f>+SUMIF(#REF!,Final!A1438,#REF!)</f>
        <v>#REF!</v>
      </c>
      <c r="E1438" s="1643" t="e">
        <f>SUMIF(#REF!,Final!A1438,#REF!)</f>
        <v>#REF!</v>
      </c>
      <c r="F1438" s="1644" t="e">
        <f>SUMIF(#REF!,Final!A1438,#REF!)</f>
        <v>#REF!</v>
      </c>
      <c r="G1438" s="1597" t="e">
        <f t="shared" si="132"/>
        <v>#REF!</v>
      </c>
      <c r="H1438" s="1644" t="e">
        <f t="shared" si="133"/>
        <v>#REF!</v>
      </c>
      <c r="I1438" s="1597" t="e">
        <f t="shared" si="134"/>
        <v>#REF!</v>
      </c>
      <c r="J1438" s="1644" t="e">
        <f t="shared" si="135"/>
        <v>#REF!</v>
      </c>
      <c r="M1438" s="1545"/>
      <c r="N1438" s="1545"/>
    </row>
    <row r="1439" spans="1:93" ht="15.5">
      <c r="A1439" s="1598">
        <v>28.119</v>
      </c>
      <c r="B1439" s="1599" t="s">
        <v>4670</v>
      </c>
      <c r="C1439" s="1643" t="e">
        <f>+SUMIF(#REF!,Final!A1439,#REF!)</f>
        <v>#REF!</v>
      </c>
      <c r="D1439" s="1597" t="e">
        <f>+SUMIF(#REF!,Final!A1439,#REF!)</f>
        <v>#REF!</v>
      </c>
      <c r="E1439" s="1643" t="e">
        <f>SUMIF(#REF!,Final!A1439,#REF!)</f>
        <v>#REF!</v>
      </c>
      <c r="F1439" s="1644" t="e">
        <f>SUMIF(#REF!,Final!A1439,#REF!)</f>
        <v>#REF!</v>
      </c>
      <c r="G1439" s="1597" t="e">
        <f t="shared" ref="G1439:G1507" si="144">C1439+E1439</f>
        <v>#REF!</v>
      </c>
      <c r="H1439" s="1644" t="e">
        <f t="shared" ref="H1439:H1507" si="145">D1439+F1439</f>
        <v>#REF!</v>
      </c>
      <c r="I1439" s="1597" t="e">
        <f t="shared" ref="I1439:I1507" si="146">IF(G1439&gt;H1439,G1439-H1439,0)</f>
        <v>#REF!</v>
      </c>
      <c r="J1439" s="1644" t="e">
        <f t="shared" ref="J1439:J1507" si="147">IF(H1439&gt;G1439,H1439-G1439,0)</f>
        <v>#REF!</v>
      </c>
      <c r="M1439" s="1545"/>
      <c r="N1439" s="1545"/>
    </row>
    <row r="1440" spans="1:93" ht="15.5">
      <c r="A1440" s="1598">
        <v>28.12</v>
      </c>
      <c r="B1440" s="1599" t="s">
        <v>4777</v>
      </c>
      <c r="C1440" s="1643" t="e">
        <f>+SUMIF(#REF!,Final!A1440,#REF!)</f>
        <v>#REF!</v>
      </c>
      <c r="D1440" s="1597" t="e">
        <f>+SUMIF(#REF!,Final!A1440,#REF!)</f>
        <v>#REF!</v>
      </c>
      <c r="E1440" s="1643" t="e">
        <f>SUMIF(#REF!,Final!A1440,#REF!)</f>
        <v>#REF!</v>
      </c>
      <c r="F1440" s="1644" t="e">
        <f>SUMIF(#REF!,Final!A1440,#REF!)</f>
        <v>#REF!</v>
      </c>
      <c r="G1440" s="1597" t="e">
        <f t="shared" si="144"/>
        <v>#REF!</v>
      </c>
      <c r="H1440" s="1644" t="e">
        <f t="shared" si="145"/>
        <v>#REF!</v>
      </c>
      <c r="I1440" s="1597" t="e">
        <f t="shared" si="146"/>
        <v>#REF!</v>
      </c>
      <c r="J1440" s="1644" t="e">
        <f t="shared" si="147"/>
        <v>#REF!</v>
      </c>
      <c r="M1440" s="1545"/>
      <c r="N1440" s="1545"/>
    </row>
    <row r="1441" spans="1:93" ht="15.5">
      <c r="A1441" s="1598">
        <v>28.120999999999999</v>
      </c>
      <c r="B1441" s="1599" t="s">
        <v>4671</v>
      </c>
      <c r="C1441" s="1643" t="e">
        <f>+SUMIF(#REF!,Final!A1441,#REF!)</f>
        <v>#REF!</v>
      </c>
      <c r="D1441" s="1597" t="e">
        <f>+SUMIF(#REF!,Final!A1441,#REF!)</f>
        <v>#REF!</v>
      </c>
      <c r="E1441" s="1643" t="e">
        <f>SUMIF(#REF!,Final!A1441,#REF!)</f>
        <v>#REF!</v>
      </c>
      <c r="F1441" s="1644" t="e">
        <f>SUMIF(#REF!,Final!A1441,#REF!)</f>
        <v>#REF!</v>
      </c>
      <c r="G1441" s="1597" t="e">
        <f t="shared" si="144"/>
        <v>#REF!</v>
      </c>
      <c r="H1441" s="1644" t="e">
        <f t="shared" si="145"/>
        <v>#REF!</v>
      </c>
      <c r="I1441" s="1597" t="e">
        <f t="shared" si="146"/>
        <v>#REF!</v>
      </c>
      <c r="J1441" s="1644" t="e">
        <f t="shared" si="147"/>
        <v>#REF!</v>
      </c>
      <c r="M1441" s="1545"/>
      <c r="N1441" s="1545"/>
    </row>
    <row r="1442" spans="1:93" ht="15.5">
      <c r="A1442" s="1598">
        <v>28.122</v>
      </c>
      <c r="B1442" s="1599" t="s">
        <v>4672</v>
      </c>
      <c r="C1442" s="1643" t="e">
        <f>+SUMIF(#REF!,Final!A1442,#REF!)</f>
        <v>#REF!</v>
      </c>
      <c r="D1442" s="1597" t="e">
        <f>+SUMIF(#REF!,Final!A1442,#REF!)</f>
        <v>#REF!</v>
      </c>
      <c r="E1442" s="1643" t="e">
        <f>SUMIF(#REF!,Final!A1442,#REF!)</f>
        <v>#REF!</v>
      </c>
      <c r="F1442" s="1644" t="e">
        <f>SUMIF(#REF!,Final!A1442,#REF!)</f>
        <v>#REF!</v>
      </c>
      <c r="G1442" s="1597" t="e">
        <f t="shared" si="144"/>
        <v>#REF!</v>
      </c>
      <c r="H1442" s="1644" t="e">
        <f t="shared" si="145"/>
        <v>#REF!</v>
      </c>
      <c r="I1442" s="1597" t="e">
        <f t="shared" si="146"/>
        <v>#REF!</v>
      </c>
      <c r="J1442" s="1644" t="e">
        <f t="shared" si="147"/>
        <v>#REF!</v>
      </c>
      <c r="M1442" s="1545"/>
      <c r="N1442" s="1545"/>
    </row>
    <row r="1443" spans="1:93" ht="15.5">
      <c r="A1443" s="1598">
        <v>28.123000000000001</v>
      </c>
      <c r="B1443" s="1599" t="s">
        <v>4673</v>
      </c>
      <c r="C1443" s="1643" t="e">
        <f>+SUMIF(#REF!,Final!A1443,#REF!)</f>
        <v>#REF!</v>
      </c>
      <c r="D1443" s="1597" t="e">
        <f>+SUMIF(#REF!,Final!A1443,#REF!)</f>
        <v>#REF!</v>
      </c>
      <c r="E1443" s="1643" t="e">
        <f>SUMIF(#REF!,Final!A1443,#REF!)</f>
        <v>#REF!</v>
      </c>
      <c r="F1443" s="1644" t="e">
        <f>SUMIF(#REF!,Final!A1443,#REF!)</f>
        <v>#REF!</v>
      </c>
      <c r="G1443" s="1597" t="e">
        <f t="shared" si="144"/>
        <v>#REF!</v>
      </c>
      <c r="H1443" s="1644" t="e">
        <f t="shared" si="145"/>
        <v>#REF!</v>
      </c>
      <c r="I1443" s="1597" t="e">
        <f t="shared" si="146"/>
        <v>#REF!</v>
      </c>
      <c r="J1443" s="1644" t="e">
        <f t="shared" si="147"/>
        <v>#REF!</v>
      </c>
      <c r="M1443" s="1545"/>
      <c r="N1443" s="1545"/>
    </row>
    <row r="1444" spans="1:93" ht="15.5">
      <c r="A1444" s="1598">
        <v>28.123999999999999</v>
      </c>
      <c r="B1444" s="1599" t="s">
        <v>4748</v>
      </c>
      <c r="C1444" s="1643" t="e">
        <f>+SUMIF(#REF!,Final!A1444,#REF!)</f>
        <v>#REF!</v>
      </c>
      <c r="D1444" s="1597" t="e">
        <f>+SUMIF(#REF!,Final!A1444,#REF!)</f>
        <v>#REF!</v>
      </c>
      <c r="E1444" s="1643" t="e">
        <f>SUMIF(#REF!,Final!A1444,#REF!)</f>
        <v>#REF!</v>
      </c>
      <c r="F1444" s="1644" t="e">
        <f>SUMIF(#REF!,Final!A1444,#REF!)</f>
        <v>#REF!</v>
      </c>
      <c r="G1444" s="1597" t="e">
        <f t="shared" si="144"/>
        <v>#REF!</v>
      </c>
      <c r="H1444" s="1644" t="e">
        <f t="shared" si="145"/>
        <v>#REF!</v>
      </c>
      <c r="I1444" s="1597" t="e">
        <f t="shared" si="146"/>
        <v>#REF!</v>
      </c>
      <c r="J1444" s="1644" t="e">
        <f t="shared" si="147"/>
        <v>#REF!</v>
      </c>
      <c r="M1444" s="1545"/>
      <c r="N1444" s="1545"/>
    </row>
    <row r="1445" spans="1:93" ht="15.5">
      <c r="A1445" s="1598">
        <v>28.125</v>
      </c>
      <c r="B1445" s="1599" t="s">
        <v>4749</v>
      </c>
      <c r="C1445" s="1643" t="e">
        <f>+SUMIF(#REF!,Final!A1445,#REF!)</f>
        <v>#REF!</v>
      </c>
      <c r="D1445" s="1597" t="e">
        <f>+SUMIF(#REF!,Final!A1445,#REF!)</f>
        <v>#REF!</v>
      </c>
      <c r="E1445" s="1643" t="e">
        <f>SUMIF(#REF!,Final!A1445,#REF!)</f>
        <v>#REF!</v>
      </c>
      <c r="F1445" s="1644" t="e">
        <f>SUMIF(#REF!,Final!A1445,#REF!)</f>
        <v>#REF!</v>
      </c>
      <c r="G1445" s="1597" t="e">
        <f t="shared" si="144"/>
        <v>#REF!</v>
      </c>
      <c r="H1445" s="1644" t="e">
        <f t="shared" si="145"/>
        <v>#REF!</v>
      </c>
      <c r="I1445" s="1597" t="e">
        <f t="shared" si="146"/>
        <v>#REF!</v>
      </c>
      <c r="J1445" s="1644" t="e">
        <f t="shared" si="147"/>
        <v>#REF!</v>
      </c>
      <c r="M1445" s="1545"/>
      <c r="N1445" s="1545"/>
    </row>
    <row r="1446" spans="1:93" ht="15.5">
      <c r="A1446" s="1813">
        <v>28.126999999999999</v>
      </c>
      <c r="B1446" s="1800"/>
      <c r="C1446" s="1643" t="e">
        <f>+SUMIF(#REF!,Final!A1446,#REF!)</f>
        <v>#REF!</v>
      </c>
      <c r="D1446" s="1597" t="e">
        <f>+SUMIF(#REF!,Final!A1446,#REF!)</f>
        <v>#REF!</v>
      </c>
      <c r="E1446" s="1643" t="e">
        <f>SUMIF(#REF!,Final!A1446,#REF!)</f>
        <v>#REF!</v>
      </c>
      <c r="F1446" s="1644" t="e">
        <f>SUMIF(#REF!,Final!A1446,#REF!)</f>
        <v>#REF!</v>
      </c>
      <c r="G1446" s="1597" t="e">
        <f t="shared" ref="G1446:G1448" si="148">C1446+E1446</f>
        <v>#REF!</v>
      </c>
      <c r="H1446" s="1644" t="e">
        <f t="shared" ref="H1446:H1448" si="149">D1446+F1446</f>
        <v>#REF!</v>
      </c>
      <c r="I1446" s="1597" t="e">
        <f t="shared" ref="I1446:I1448" si="150">IF(G1446&gt;H1446,G1446-H1446,0)</f>
        <v>#REF!</v>
      </c>
      <c r="J1446" s="1644" t="e">
        <f t="shared" ref="J1446:J1448" si="151">IF(H1446&gt;G1446,H1446-G1446,0)</f>
        <v>#REF!</v>
      </c>
      <c r="M1446" s="1545"/>
      <c r="N1446" s="1545"/>
    </row>
    <row r="1447" spans="1:93" ht="15.5">
      <c r="A1447" s="1813">
        <v>28.128</v>
      </c>
      <c r="B1447" s="1800"/>
      <c r="C1447" s="1643" t="e">
        <f>+SUMIF(#REF!,Final!A1447,#REF!)</f>
        <v>#REF!</v>
      </c>
      <c r="D1447" s="1597" t="e">
        <f>+SUMIF(#REF!,Final!A1447,#REF!)</f>
        <v>#REF!</v>
      </c>
      <c r="E1447" s="1643" t="e">
        <f>SUMIF(#REF!,Final!A1447,#REF!)</f>
        <v>#REF!</v>
      </c>
      <c r="F1447" s="1644" t="e">
        <f>SUMIF(#REF!,Final!A1447,#REF!)</f>
        <v>#REF!</v>
      </c>
      <c r="G1447" s="1597" t="e">
        <f t="shared" si="148"/>
        <v>#REF!</v>
      </c>
      <c r="H1447" s="1644" t="e">
        <f t="shared" si="149"/>
        <v>#REF!</v>
      </c>
      <c r="I1447" s="1597" t="e">
        <f t="shared" si="150"/>
        <v>#REF!</v>
      </c>
      <c r="J1447" s="1644" t="e">
        <f t="shared" si="151"/>
        <v>#REF!</v>
      </c>
      <c r="M1447" s="1545"/>
      <c r="N1447" s="1545"/>
    </row>
    <row r="1448" spans="1:93" ht="15.5">
      <c r="A1448" s="1813">
        <v>28.129000000000001</v>
      </c>
      <c r="B1448" s="1800"/>
      <c r="C1448" s="1643" t="e">
        <f>+SUMIF(#REF!,Final!A1448,#REF!)</f>
        <v>#REF!</v>
      </c>
      <c r="D1448" s="1597" t="e">
        <f>+SUMIF(#REF!,Final!A1448,#REF!)</f>
        <v>#REF!</v>
      </c>
      <c r="E1448" s="1643" t="e">
        <f>SUMIF(#REF!,Final!A1448,#REF!)</f>
        <v>#REF!</v>
      </c>
      <c r="F1448" s="1644" t="e">
        <f>SUMIF(#REF!,Final!A1448,#REF!)</f>
        <v>#REF!</v>
      </c>
      <c r="G1448" s="1597" t="e">
        <f t="shared" si="148"/>
        <v>#REF!</v>
      </c>
      <c r="H1448" s="1644" t="e">
        <f t="shared" si="149"/>
        <v>#REF!</v>
      </c>
      <c r="I1448" s="1597" t="e">
        <f t="shared" si="150"/>
        <v>#REF!</v>
      </c>
      <c r="J1448" s="1644" t="e">
        <f t="shared" si="151"/>
        <v>#REF!</v>
      </c>
      <c r="M1448" s="1545"/>
      <c r="N1448" s="1545"/>
    </row>
    <row r="1449" spans="1:93" ht="15.5">
      <c r="A1449" s="1813">
        <v>28.13</v>
      </c>
      <c r="B1449" s="1867" t="s">
        <v>5508</v>
      </c>
      <c r="C1449" s="1643" t="e">
        <f>+SUMIF(#REF!,Final!A1449,#REF!)</f>
        <v>#REF!</v>
      </c>
      <c r="D1449" s="1597" t="e">
        <f>+SUMIF(#REF!,Final!A1449,#REF!)</f>
        <v>#REF!</v>
      </c>
      <c r="E1449" s="1643" t="e">
        <f>SUMIF(#REF!,Final!A1449,#REF!)</f>
        <v>#REF!</v>
      </c>
      <c r="F1449" s="1644" t="e">
        <f>SUMIF(#REF!,Final!A1449,#REF!)</f>
        <v>#REF!</v>
      </c>
      <c r="G1449" s="1597" t="e">
        <f t="shared" ref="G1449" si="152">C1449+E1449</f>
        <v>#REF!</v>
      </c>
      <c r="H1449" s="1644" t="e">
        <f t="shared" ref="H1449" si="153">D1449+F1449</f>
        <v>#REF!</v>
      </c>
      <c r="I1449" s="1597" t="e">
        <f t="shared" ref="I1449" si="154">IF(G1449&gt;H1449,G1449-H1449,0)</f>
        <v>#REF!</v>
      </c>
      <c r="J1449" s="1644" t="e">
        <f t="shared" ref="J1449" si="155">IF(H1449&gt;G1449,H1449-G1449,0)</f>
        <v>#REF!</v>
      </c>
      <c r="M1449" s="1545"/>
      <c r="N1449" s="1545"/>
    </row>
    <row r="1450" spans="1:93" ht="15.5">
      <c r="A1450" s="1601">
        <v>28.126000000000001</v>
      </c>
      <c r="B1450" s="1801" t="s">
        <v>5327</v>
      </c>
      <c r="C1450" s="1643" t="e">
        <f>+SUMIF(#REF!,Final!A1450,#REF!)</f>
        <v>#REF!</v>
      </c>
      <c r="D1450" s="1597" t="e">
        <f>+SUMIF(#REF!,Final!A1450,#REF!)</f>
        <v>#REF!</v>
      </c>
      <c r="E1450" s="1643" t="e">
        <f>SUMIF(#REF!,Final!A1450,#REF!)</f>
        <v>#REF!</v>
      </c>
      <c r="F1450" s="1644" t="e">
        <f>SUMIF(#REF!,Final!A1450,#REF!)</f>
        <v>#REF!</v>
      </c>
      <c r="G1450" s="1597" t="e">
        <f t="shared" ref="G1450" si="156">C1450+E1450</f>
        <v>#REF!</v>
      </c>
      <c r="H1450" s="1644" t="e">
        <f t="shared" ref="H1450" si="157">D1450+F1450</f>
        <v>#REF!</v>
      </c>
      <c r="I1450" s="1597" t="e">
        <f t="shared" ref="I1450" si="158">IF(G1450&gt;H1450,G1450-H1450,0)</f>
        <v>#REF!</v>
      </c>
      <c r="J1450" s="1644" t="e">
        <f t="shared" ref="J1450" si="159">IF(H1450&gt;G1450,H1450-G1450,0)</f>
        <v>#REF!</v>
      </c>
      <c r="M1450" s="1545"/>
      <c r="N1450" s="1545"/>
    </row>
    <row r="1451" spans="1:93" s="1552" customFormat="1" ht="15.5">
      <c r="A1451" s="1598"/>
      <c r="B1451" s="1599" t="s">
        <v>1747</v>
      </c>
      <c r="C1451" s="1643" t="e">
        <f>+SUMIF(#REF!,Final!A1451,#REF!)</f>
        <v>#REF!</v>
      </c>
      <c r="D1451" s="1597" t="e">
        <f>+SUMIF(#REF!,Final!A1451,#REF!)</f>
        <v>#REF!</v>
      </c>
      <c r="E1451" s="1643" t="e">
        <f>SUMIF(#REF!,Final!A1451,#REF!)</f>
        <v>#REF!</v>
      </c>
      <c r="F1451" s="1644" t="e">
        <f>SUMIF(#REF!,Final!A1451,#REF!)</f>
        <v>#REF!</v>
      </c>
      <c r="G1451" s="1597" t="e">
        <f t="shared" si="144"/>
        <v>#REF!</v>
      </c>
      <c r="H1451" s="1644" t="e">
        <f t="shared" si="145"/>
        <v>#REF!</v>
      </c>
      <c r="I1451" s="1597" t="e">
        <f t="shared" si="146"/>
        <v>#REF!</v>
      </c>
      <c r="J1451" s="1644" t="e">
        <f t="shared" si="147"/>
        <v>#REF!</v>
      </c>
      <c r="K1451" s="1539"/>
      <c r="L1451" s="1539"/>
      <c r="M1451" s="1545"/>
      <c r="N1451" s="1545"/>
      <c r="O1451" s="1539"/>
      <c r="P1451" s="1539"/>
      <c r="Q1451" s="1539"/>
      <c r="R1451" s="1539"/>
      <c r="S1451" s="1539"/>
      <c r="T1451" s="1539"/>
      <c r="U1451" s="1539"/>
      <c r="V1451" s="1539"/>
      <c r="W1451" s="1539"/>
      <c r="X1451" s="1539"/>
      <c r="Y1451" s="1539"/>
      <c r="Z1451" s="1539"/>
      <c r="AA1451" s="1539"/>
      <c r="AB1451" s="1539"/>
      <c r="AC1451" s="1539"/>
      <c r="AD1451" s="1539"/>
      <c r="AE1451" s="1539"/>
      <c r="AF1451" s="1539"/>
      <c r="AG1451" s="1539"/>
      <c r="AH1451" s="1539"/>
      <c r="AI1451" s="1539"/>
      <c r="AJ1451" s="1539"/>
      <c r="AK1451" s="1539"/>
      <c r="AL1451" s="1539"/>
      <c r="AM1451" s="1539"/>
      <c r="AN1451" s="1539"/>
      <c r="AO1451" s="1539"/>
      <c r="AP1451" s="1539"/>
      <c r="AQ1451" s="1539"/>
      <c r="AR1451" s="1539"/>
      <c r="AS1451" s="1539"/>
      <c r="AT1451" s="1539"/>
      <c r="AU1451" s="1539"/>
      <c r="AV1451" s="1539"/>
      <c r="AW1451" s="1539"/>
      <c r="AX1451" s="1539"/>
      <c r="AY1451" s="1539"/>
      <c r="AZ1451" s="1539"/>
      <c r="BA1451" s="1539"/>
      <c r="BB1451" s="1539"/>
      <c r="BC1451" s="1539"/>
      <c r="BD1451" s="1539"/>
      <c r="BE1451" s="1539"/>
      <c r="BF1451" s="1539"/>
      <c r="BG1451" s="1539"/>
      <c r="BH1451" s="1539"/>
      <c r="BI1451" s="1539"/>
      <c r="BJ1451" s="1539"/>
      <c r="BK1451" s="1539"/>
      <c r="BL1451" s="1539"/>
      <c r="BM1451" s="1539"/>
      <c r="BN1451" s="1539"/>
      <c r="BO1451" s="1539"/>
      <c r="BP1451" s="1539"/>
      <c r="BQ1451" s="1539"/>
      <c r="BR1451" s="1539"/>
      <c r="BS1451" s="1539"/>
      <c r="BT1451" s="1539"/>
      <c r="BU1451" s="1539"/>
      <c r="BV1451" s="1539"/>
      <c r="BW1451" s="1539"/>
      <c r="BX1451" s="1539"/>
      <c r="BY1451" s="1539"/>
      <c r="BZ1451" s="1539"/>
      <c r="CA1451" s="1539"/>
      <c r="CB1451" s="1539"/>
      <c r="CC1451" s="1539"/>
      <c r="CD1451" s="1539"/>
      <c r="CE1451" s="1539"/>
      <c r="CF1451" s="1539"/>
      <c r="CG1451" s="1539"/>
      <c r="CH1451" s="1539"/>
      <c r="CI1451" s="1539"/>
      <c r="CJ1451" s="1539"/>
      <c r="CK1451" s="1539"/>
      <c r="CL1451" s="1539"/>
      <c r="CM1451" s="1539"/>
      <c r="CN1451" s="1539"/>
      <c r="CO1451" s="1539"/>
    </row>
    <row r="1452" spans="1:93" s="1552" customFormat="1" ht="15.5">
      <c r="A1452" s="1598"/>
      <c r="B1452" s="1599" t="s">
        <v>1760</v>
      </c>
      <c r="C1452" s="1643" t="e">
        <f>+SUMIF(#REF!,Final!A1452,#REF!)</f>
        <v>#REF!</v>
      </c>
      <c r="D1452" s="1597" t="e">
        <f>+SUMIF(#REF!,Final!A1452,#REF!)</f>
        <v>#REF!</v>
      </c>
      <c r="E1452" s="1643" t="e">
        <f>SUMIF(#REF!,Final!A1452,#REF!)</f>
        <v>#REF!</v>
      </c>
      <c r="F1452" s="1644" t="e">
        <f>SUMIF(#REF!,Final!A1452,#REF!)</f>
        <v>#REF!</v>
      </c>
      <c r="G1452" s="1597" t="e">
        <f t="shared" si="144"/>
        <v>#REF!</v>
      </c>
      <c r="H1452" s="1644" t="e">
        <f t="shared" si="145"/>
        <v>#REF!</v>
      </c>
      <c r="I1452" s="1597" t="e">
        <f t="shared" si="146"/>
        <v>#REF!</v>
      </c>
      <c r="J1452" s="1644" t="e">
        <f t="shared" si="147"/>
        <v>#REF!</v>
      </c>
      <c r="K1452" s="1539"/>
      <c r="L1452" s="1539"/>
      <c r="M1452" s="1545"/>
      <c r="N1452" s="1545"/>
      <c r="O1452" s="1539"/>
      <c r="P1452" s="1539"/>
      <c r="Q1452" s="1539"/>
      <c r="R1452" s="1539"/>
      <c r="S1452" s="1539"/>
      <c r="T1452" s="1539"/>
      <c r="U1452" s="1539"/>
      <c r="V1452" s="1539"/>
      <c r="W1452" s="1539"/>
      <c r="X1452" s="1539"/>
      <c r="Y1452" s="1539"/>
      <c r="Z1452" s="1539"/>
      <c r="AA1452" s="1539"/>
      <c r="AB1452" s="1539"/>
      <c r="AC1452" s="1539"/>
      <c r="AD1452" s="1539"/>
      <c r="AE1452" s="1539"/>
      <c r="AF1452" s="1539"/>
      <c r="AG1452" s="1539"/>
      <c r="AH1452" s="1539"/>
      <c r="AI1452" s="1539"/>
      <c r="AJ1452" s="1539"/>
      <c r="AK1452" s="1539"/>
      <c r="AL1452" s="1539"/>
      <c r="AM1452" s="1539"/>
      <c r="AN1452" s="1539"/>
      <c r="AO1452" s="1539"/>
      <c r="AP1452" s="1539"/>
      <c r="AQ1452" s="1539"/>
      <c r="AR1452" s="1539"/>
      <c r="AS1452" s="1539"/>
      <c r="AT1452" s="1539"/>
      <c r="AU1452" s="1539"/>
      <c r="AV1452" s="1539"/>
      <c r="AW1452" s="1539"/>
      <c r="AX1452" s="1539"/>
      <c r="AY1452" s="1539"/>
      <c r="AZ1452" s="1539"/>
      <c r="BA1452" s="1539"/>
      <c r="BB1452" s="1539"/>
      <c r="BC1452" s="1539"/>
      <c r="BD1452" s="1539"/>
      <c r="BE1452" s="1539"/>
      <c r="BF1452" s="1539"/>
      <c r="BG1452" s="1539"/>
      <c r="BH1452" s="1539"/>
      <c r="BI1452" s="1539"/>
      <c r="BJ1452" s="1539"/>
      <c r="BK1452" s="1539"/>
      <c r="BL1452" s="1539"/>
      <c r="BM1452" s="1539"/>
      <c r="BN1452" s="1539"/>
      <c r="BO1452" s="1539"/>
      <c r="BP1452" s="1539"/>
      <c r="BQ1452" s="1539"/>
      <c r="BR1452" s="1539"/>
      <c r="BS1452" s="1539"/>
      <c r="BT1452" s="1539"/>
      <c r="BU1452" s="1539"/>
      <c r="BV1452" s="1539"/>
      <c r="BW1452" s="1539"/>
      <c r="BX1452" s="1539"/>
      <c r="BY1452" s="1539"/>
      <c r="BZ1452" s="1539"/>
      <c r="CA1452" s="1539"/>
      <c r="CB1452" s="1539"/>
      <c r="CC1452" s="1539"/>
      <c r="CD1452" s="1539"/>
      <c r="CE1452" s="1539"/>
      <c r="CF1452" s="1539"/>
      <c r="CG1452" s="1539"/>
      <c r="CH1452" s="1539"/>
      <c r="CI1452" s="1539"/>
      <c r="CJ1452" s="1539"/>
      <c r="CK1452" s="1539"/>
      <c r="CL1452" s="1539"/>
      <c r="CM1452" s="1539"/>
      <c r="CN1452" s="1539"/>
      <c r="CO1452" s="1539"/>
    </row>
    <row r="1453" spans="1:93" s="1542" customFormat="1" ht="15.5">
      <c r="A1453" s="1598" t="s">
        <v>441</v>
      </c>
      <c r="B1453" s="1599" t="s">
        <v>3396</v>
      </c>
      <c r="C1453" s="1643" t="e">
        <f>+SUMIF(#REF!,Final!A1453,#REF!)</f>
        <v>#REF!</v>
      </c>
      <c r="D1453" s="1597" t="e">
        <f>+SUMIF(#REF!,Final!A1453,#REF!)</f>
        <v>#REF!</v>
      </c>
      <c r="E1453" s="1643" t="e">
        <f>SUMIF(#REF!,Final!A1453,#REF!)</f>
        <v>#REF!</v>
      </c>
      <c r="F1453" s="1644" t="e">
        <f>SUMIF(#REF!,Final!A1453,#REF!)</f>
        <v>#REF!</v>
      </c>
      <c r="G1453" s="1597" t="e">
        <f t="shared" si="144"/>
        <v>#REF!</v>
      </c>
      <c r="H1453" s="1644" t="e">
        <f t="shared" si="145"/>
        <v>#REF!</v>
      </c>
      <c r="I1453" s="1597" t="e">
        <f t="shared" si="146"/>
        <v>#REF!</v>
      </c>
      <c r="J1453" s="1644" t="e">
        <f t="shared" si="147"/>
        <v>#REF!</v>
      </c>
      <c r="K1453" s="1539"/>
      <c r="L1453" s="1539"/>
      <c r="M1453" s="1545"/>
      <c r="N1453" s="1545"/>
      <c r="O1453" s="1539"/>
      <c r="P1453" s="1539"/>
      <c r="Q1453" s="1539"/>
      <c r="R1453" s="1539"/>
      <c r="S1453" s="1539"/>
      <c r="T1453" s="1539"/>
      <c r="U1453" s="1539"/>
      <c r="V1453" s="1539"/>
      <c r="W1453" s="1539"/>
      <c r="X1453" s="1539"/>
      <c r="Y1453" s="1539"/>
      <c r="Z1453" s="1539"/>
      <c r="AA1453" s="1539"/>
      <c r="AB1453" s="1539"/>
      <c r="AC1453" s="1539"/>
      <c r="AD1453" s="1539"/>
      <c r="AE1453" s="1539"/>
      <c r="AF1453" s="1539"/>
      <c r="AG1453" s="1539"/>
      <c r="AH1453" s="1539"/>
      <c r="AI1453" s="1539"/>
      <c r="AJ1453" s="1539"/>
      <c r="AK1453" s="1539"/>
      <c r="AL1453" s="1539"/>
      <c r="AM1453" s="1539"/>
      <c r="AN1453" s="1539"/>
      <c r="AO1453" s="1539"/>
      <c r="AP1453" s="1539"/>
      <c r="AQ1453" s="1539"/>
      <c r="AR1453" s="1539"/>
      <c r="AS1453" s="1539"/>
      <c r="AT1453" s="1539"/>
      <c r="AU1453" s="1539"/>
      <c r="AV1453" s="1539"/>
      <c r="AW1453" s="1539"/>
      <c r="AX1453" s="1539"/>
      <c r="AY1453" s="1539"/>
      <c r="AZ1453" s="1539"/>
      <c r="BA1453" s="1539"/>
      <c r="BB1453" s="1539"/>
      <c r="BC1453" s="1539"/>
      <c r="BD1453" s="1539"/>
      <c r="BE1453" s="1539"/>
      <c r="BF1453" s="1539"/>
      <c r="BG1453" s="1539"/>
      <c r="BH1453" s="1539"/>
      <c r="BI1453" s="1539"/>
      <c r="BJ1453" s="1539"/>
      <c r="BK1453" s="1539"/>
      <c r="BL1453" s="1539"/>
      <c r="BM1453" s="1539"/>
      <c r="BN1453" s="1539"/>
      <c r="BO1453" s="1539"/>
      <c r="BP1453" s="1539"/>
      <c r="BQ1453" s="1539"/>
      <c r="BR1453" s="1539"/>
      <c r="BS1453" s="1539"/>
      <c r="BT1453" s="1539"/>
      <c r="BU1453" s="1539"/>
      <c r="BV1453" s="1539"/>
      <c r="BW1453" s="1539"/>
      <c r="BX1453" s="1539"/>
      <c r="BY1453" s="1539"/>
      <c r="BZ1453" s="1539"/>
      <c r="CA1453" s="1539"/>
      <c r="CB1453" s="1539"/>
      <c r="CC1453" s="1539"/>
      <c r="CD1453" s="1539"/>
      <c r="CE1453" s="1539"/>
      <c r="CF1453" s="1539"/>
      <c r="CG1453" s="1539"/>
      <c r="CH1453" s="1539"/>
      <c r="CI1453" s="1539"/>
      <c r="CJ1453" s="1539"/>
      <c r="CK1453" s="1539"/>
      <c r="CL1453" s="1539"/>
      <c r="CM1453" s="1539"/>
      <c r="CN1453" s="1539"/>
      <c r="CO1453" s="1539"/>
    </row>
    <row r="1454" spans="1:93" ht="15.5">
      <c r="A1454" s="1598">
        <v>28.228000000000002</v>
      </c>
      <c r="B1454" s="1599" t="s">
        <v>2869</v>
      </c>
      <c r="C1454" s="1643" t="e">
        <f>+SUMIF(#REF!,Final!A1454,#REF!)</f>
        <v>#REF!</v>
      </c>
      <c r="D1454" s="1597" t="e">
        <f>+SUMIF(#REF!,Final!A1454,#REF!)</f>
        <v>#REF!</v>
      </c>
      <c r="E1454" s="1643" t="e">
        <f>SUMIF(#REF!,Final!A1454,#REF!)</f>
        <v>#REF!</v>
      </c>
      <c r="F1454" s="1644" t="e">
        <f>SUMIF(#REF!,Final!A1454,#REF!)</f>
        <v>#REF!</v>
      </c>
      <c r="G1454" s="1597" t="e">
        <f t="shared" si="144"/>
        <v>#REF!</v>
      </c>
      <c r="H1454" s="1644" t="e">
        <f t="shared" si="145"/>
        <v>#REF!</v>
      </c>
      <c r="I1454" s="1597" t="e">
        <f t="shared" si="146"/>
        <v>#REF!</v>
      </c>
      <c r="J1454" s="1644" t="e">
        <f t="shared" si="147"/>
        <v>#REF!</v>
      </c>
      <c r="M1454" s="1545"/>
      <c r="N1454" s="1545"/>
    </row>
    <row r="1455" spans="1:93" ht="15.5">
      <c r="A1455" s="1598">
        <v>28.228999999999999</v>
      </c>
      <c r="B1455" s="1599" t="s">
        <v>2870</v>
      </c>
      <c r="C1455" s="1643" t="e">
        <f>+SUMIF(#REF!,Final!A1455,#REF!)</f>
        <v>#REF!</v>
      </c>
      <c r="D1455" s="1597" t="e">
        <f>+SUMIF(#REF!,Final!A1455,#REF!)</f>
        <v>#REF!</v>
      </c>
      <c r="E1455" s="1643" t="e">
        <f>SUMIF(#REF!,Final!A1455,#REF!)</f>
        <v>#REF!</v>
      </c>
      <c r="F1455" s="1644" t="e">
        <f>SUMIF(#REF!,Final!A1455,#REF!)</f>
        <v>#REF!</v>
      </c>
      <c r="G1455" s="1597" t="e">
        <f t="shared" si="144"/>
        <v>#REF!</v>
      </c>
      <c r="H1455" s="1644" t="e">
        <f t="shared" si="145"/>
        <v>#REF!</v>
      </c>
      <c r="I1455" s="1597" t="e">
        <f t="shared" si="146"/>
        <v>#REF!</v>
      </c>
      <c r="J1455" s="1644" t="e">
        <f t="shared" si="147"/>
        <v>#REF!</v>
      </c>
      <c r="M1455" s="1545"/>
      <c r="N1455" s="1545"/>
    </row>
    <row r="1456" spans="1:93" s="1552" customFormat="1" ht="15.5">
      <c r="A1456" s="1598"/>
      <c r="B1456" s="1599" t="s">
        <v>1747</v>
      </c>
      <c r="C1456" s="1643" t="e">
        <f>+SUMIF(#REF!,Final!A1456,#REF!)</f>
        <v>#REF!</v>
      </c>
      <c r="D1456" s="1597" t="e">
        <f>+SUMIF(#REF!,Final!A1456,#REF!)</f>
        <v>#REF!</v>
      </c>
      <c r="E1456" s="1643" t="e">
        <f>SUMIF(#REF!,Final!A1456,#REF!)</f>
        <v>#REF!</v>
      </c>
      <c r="F1456" s="1644" t="e">
        <f>SUMIF(#REF!,Final!A1456,#REF!)</f>
        <v>#REF!</v>
      </c>
      <c r="G1456" s="1597" t="e">
        <f t="shared" si="144"/>
        <v>#REF!</v>
      </c>
      <c r="H1456" s="1644" t="e">
        <f t="shared" si="145"/>
        <v>#REF!</v>
      </c>
      <c r="I1456" s="1597" t="e">
        <f t="shared" si="146"/>
        <v>#REF!</v>
      </c>
      <c r="J1456" s="1644" t="e">
        <f t="shared" si="147"/>
        <v>#REF!</v>
      </c>
      <c r="K1456" s="1539"/>
      <c r="L1456" s="1539"/>
      <c r="M1456" s="1545"/>
      <c r="N1456" s="1545"/>
      <c r="O1456" s="1539"/>
      <c r="P1456" s="1539"/>
      <c r="Q1456" s="1539"/>
      <c r="R1456" s="1539"/>
      <c r="S1456" s="1539"/>
      <c r="T1456" s="1539"/>
      <c r="U1456" s="1539"/>
      <c r="V1456" s="1539"/>
      <c r="W1456" s="1539"/>
      <c r="X1456" s="1539"/>
      <c r="Y1456" s="1539"/>
      <c r="Z1456" s="1539"/>
      <c r="AA1456" s="1539"/>
      <c r="AB1456" s="1539"/>
      <c r="AC1456" s="1539"/>
      <c r="AD1456" s="1539"/>
      <c r="AE1456" s="1539"/>
      <c r="AF1456" s="1539"/>
      <c r="AG1456" s="1539"/>
      <c r="AH1456" s="1539"/>
      <c r="AI1456" s="1539"/>
      <c r="AJ1456" s="1539"/>
      <c r="AK1456" s="1539"/>
      <c r="AL1456" s="1539"/>
      <c r="AM1456" s="1539"/>
      <c r="AN1456" s="1539"/>
      <c r="AO1456" s="1539"/>
      <c r="AP1456" s="1539"/>
      <c r="AQ1456" s="1539"/>
      <c r="AR1456" s="1539"/>
      <c r="AS1456" s="1539"/>
      <c r="AT1456" s="1539"/>
      <c r="AU1456" s="1539"/>
      <c r="AV1456" s="1539"/>
      <c r="AW1456" s="1539"/>
      <c r="AX1456" s="1539"/>
      <c r="AY1456" s="1539"/>
      <c r="AZ1456" s="1539"/>
      <c r="BA1456" s="1539"/>
      <c r="BB1456" s="1539"/>
      <c r="BC1456" s="1539"/>
      <c r="BD1456" s="1539"/>
      <c r="BE1456" s="1539"/>
      <c r="BF1456" s="1539"/>
      <c r="BG1456" s="1539"/>
      <c r="BH1456" s="1539"/>
      <c r="BI1456" s="1539"/>
      <c r="BJ1456" s="1539"/>
      <c r="BK1456" s="1539"/>
      <c r="BL1456" s="1539"/>
      <c r="BM1456" s="1539"/>
      <c r="BN1456" s="1539"/>
      <c r="BO1456" s="1539"/>
      <c r="BP1456" s="1539"/>
      <c r="BQ1456" s="1539"/>
      <c r="BR1456" s="1539"/>
      <c r="BS1456" s="1539"/>
      <c r="BT1456" s="1539"/>
      <c r="BU1456" s="1539"/>
      <c r="BV1456" s="1539"/>
      <c r="BW1456" s="1539"/>
      <c r="BX1456" s="1539"/>
      <c r="BY1456" s="1539"/>
      <c r="BZ1456" s="1539"/>
      <c r="CA1456" s="1539"/>
      <c r="CB1456" s="1539"/>
      <c r="CC1456" s="1539"/>
      <c r="CD1456" s="1539"/>
      <c r="CE1456" s="1539"/>
      <c r="CF1456" s="1539"/>
      <c r="CG1456" s="1539"/>
      <c r="CH1456" s="1539"/>
      <c r="CI1456" s="1539"/>
      <c r="CJ1456" s="1539"/>
      <c r="CK1456" s="1539"/>
      <c r="CL1456" s="1539"/>
      <c r="CM1456" s="1539"/>
      <c r="CN1456" s="1539"/>
      <c r="CO1456" s="1539"/>
    </row>
    <row r="1457" spans="1:93" s="1552" customFormat="1" ht="15.5">
      <c r="A1457" s="1598"/>
      <c r="B1457" s="1599" t="s">
        <v>1760</v>
      </c>
      <c r="C1457" s="1643" t="e">
        <f>+SUMIF(#REF!,Final!A1457,#REF!)</f>
        <v>#REF!</v>
      </c>
      <c r="D1457" s="1597" t="e">
        <f>+SUMIF(#REF!,Final!A1457,#REF!)</f>
        <v>#REF!</v>
      </c>
      <c r="E1457" s="1643" t="e">
        <f>SUMIF(#REF!,Final!A1457,#REF!)</f>
        <v>#REF!</v>
      </c>
      <c r="F1457" s="1644" t="e">
        <f>SUMIF(#REF!,Final!A1457,#REF!)</f>
        <v>#REF!</v>
      </c>
      <c r="G1457" s="1597" t="e">
        <f t="shared" si="144"/>
        <v>#REF!</v>
      </c>
      <c r="H1457" s="1644" t="e">
        <f t="shared" si="145"/>
        <v>#REF!</v>
      </c>
      <c r="I1457" s="1597" t="e">
        <f t="shared" si="146"/>
        <v>#REF!</v>
      </c>
      <c r="J1457" s="1644" t="e">
        <f t="shared" si="147"/>
        <v>#REF!</v>
      </c>
      <c r="K1457" s="1539"/>
      <c r="L1457" s="1539"/>
      <c r="M1457" s="1545"/>
      <c r="N1457" s="1545"/>
      <c r="O1457" s="1539"/>
      <c r="P1457" s="1539"/>
      <c r="Q1457" s="1539"/>
      <c r="R1457" s="1539"/>
      <c r="S1457" s="1539"/>
      <c r="T1457" s="1539"/>
      <c r="U1457" s="1539"/>
      <c r="V1457" s="1539"/>
      <c r="W1457" s="1539"/>
      <c r="X1457" s="1539"/>
      <c r="Y1457" s="1539"/>
      <c r="Z1457" s="1539"/>
      <c r="AA1457" s="1539"/>
      <c r="AB1457" s="1539"/>
      <c r="AC1457" s="1539"/>
      <c r="AD1457" s="1539"/>
      <c r="AE1457" s="1539"/>
      <c r="AF1457" s="1539"/>
      <c r="AG1457" s="1539"/>
      <c r="AH1457" s="1539"/>
      <c r="AI1457" s="1539"/>
      <c r="AJ1457" s="1539"/>
      <c r="AK1457" s="1539"/>
      <c r="AL1457" s="1539"/>
      <c r="AM1457" s="1539"/>
      <c r="AN1457" s="1539"/>
      <c r="AO1457" s="1539"/>
      <c r="AP1457" s="1539"/>
      <c r="AQ1457" s="1539"/>
      <c r="AR1457" s="1539"/>
      <c r="AS1457" s="1539"/>
      <c r="AT1457" s="1539"/>
      <c r="AU1457" s="1539"/>
      <c r="AV1457" s="1539"/>
      <c r="AW1457" s="1539"/>
      <c r="AX1457" s="1539"/>
      <c r="AY1457" s="1539"/>
      <c r="AZ1457" s="1539"/>
      <c r="BA1457" s="1539"/>
      <c r="BB1457" s="1539"/>
      <c r="BC1457" s="1539"/>
      <c r="BD1457" s="1539"/>
      <c r="BE1457" s="1539"/>
      <c r="BF1457" s="1539"/>
      <c r="BG1457" s="1539"/>
      <c r="BH1457" s="1539"/>
      <c r="BI1457" s="1539"/>
      <c r="BJ1457" s="1539"/>
      <c r="BK1457" s="1539"/>
      <c r="BL1457" s="1539"/>
      <c r="BM1457" s="1539"/>
      <c r="BN1457" s="1539"/>
      <c r="BO1457" s="1539"/>
      <c r="BP1457" s="1539"/>
      <c r="BQ1457" s="1539"/>
      <c r="BR1457" s="1539"/>
      <c r="BS1457" s="1539"/>
      <c r="BT1457" s="1539"/>
      <c r="BU1457" s="1539"/>
      <c r="BV1457" s="1539"/>
      <c r="BW1457" s="1539"/>
      <c r="BX1457" s="1539"/>
      <c r="BY1457" s="1539"/>
      <c r="BZ1457" s="1539"/>
      <c r="CA1457" s="1539"/>
      <c r="CB1457" s="1539"/>
      <c r="CC1457" s="1539"/>
      <c r="CD1457" s="1539"/>
      <c r="CE1457" s="1539"/>
      <c r="CF1457" s="1539"/>
      <c r="CG1457" s="1539"/>
      <c r="CH1457" s="1539"/>
      <c r="CI1457" s="1539"/>
      <c r="CJ1457" s="1539"/>
      <c r="CK1457" s="1539"/>
      <c r="CL1457" s="1539"/>
      <c r="CM1457" s="1539"/>
      <c r="CN1457" s="1539"/>
      <c r="CO1457" s="1539"/>
    </row>
    <row r="1458" spans="1:93" s="1542" customFormat="1" ht="15.5">
      <c r="A1458" s="1598" t="s">
        <v>443</v>
      </c>
      <c r="B1458" s="1599" t="s">
        <v>3397</v>
      </c>
      <c r="C1458" s="1643" t="e">
        <f>+SUMIF(#REF!,Final!A1458,#REF!)</f>
        <v>#REF!</v>
      </c>
      <c r="D1458" s="1597" t="e">
        <f>+SUMIF(#REF!,Final!A1458,#REF!)</f>
        <v>#REF!</v>
      </c>
      <c r="E1458" s="1643" t="e">
        <f>SUMIF(#REF!,Final!A1458,#REF!)</f>
        <v>#REF!</v>
      </c>
      <c r="F1458" s="1644" t="e">
        <f>SUMIF(#REF!,Final!A1458,#REF!)</f>
        <v>#REF!</v>
      </c>
      <c r="G1458" s="1597" t="e">
        <f t="shared" si="144"/>
        <v>#REF!</v>
      </c>
      <c r="H1458" s="1644" t="e">
        <f t="shared" si="145"/>
        <v>#REF!</v>
      </c>
      <c r="I1458" s="1597" t="e">
        <f t="shared" si="146"/>
        <v>#REF!</v>
      </c>
      <c r="J1458" s="1644" t="e">
        <f t="shared" si="147"/>
        <v>#REF!</v>
      </c>
      <c r="K1458" s="1539"/>
      <c r="L1458" s="1539"/>
      <c r="M1458" s="1545"/>
      <c r="N1458" s="1545"/>
      <c r="O1458" s="1539"/>
      <c r="P1458" s="1539"/>
      <c r="Q1458" s="1539"/>
      <c r="R1458" s="1539"/>
      <c r="S1458" s="1539"/>
      <c r="T1458" s="1539"/>
      <c r="U1458" s="1539"/>
      <c r="V1458" s="1539"/>
      <c r="W1458" s="1539"/>
      <c r="X1458" s="1539"/>
      <c r="Y1458" s="1539"/>
      <c r="Z1458" s="1539"/>
      <c r="AA1458" s="1539"/>
      <c r="AB1458" s="1539"/>
      <c r="AC1458" s="1539"/>
      <c r="AD1458" s="1539"/>
      <c r="AE1458" s="1539"/>
      <c r="AF1458" s="1539"/>
      <c r="AG1458" s="1539"/>
      <c r="AH1458" s="1539"/>
      <c r="AI1458" s="1539"/>
      <c r="AJ1458" s="1539"/>
      <c r="AK1458" s="1539"/>
      <c r="AL1458" s="1539"/>
      <c r="AM1458" s="1539"/>
      <c r="AN1458" s="1539"/>
      <c r="AO1458" s="1539"/>
      <c r="AP1458" s="1539"/>
      <c r="AQ1458" s="1539"/>
      <c r="AR1458" s="1539"/>
      <c r="AS1458" s="1539"/>
      <c r="AT1458" s="1539"/>
      <c r="AU1458" s="1539"/>
      <c r="AV1458" s="1539"/>
      <c r="AW1458" s="1539"/>
      <c r="AX1458" s="1539"/>
      <c r="AY1458" s="1539"/>
      <c r="AZ1458" s="1539"/>
      <c r="BA1458" s="1539"/>
      <c r="BB1458" s="1539"/>
      <c r="BC1458" s="1539"/>
      <c r="BD1458" s="1539"/>
      <c r="BE1458" s="1539"/>
      <c r="BF1458" s="1539"/>
      <c r="BG1458" s="1539"/>
      <c r="BH1458" s="1539"/>
      <c r="BI1458" s="1539"/>
      <c r="BJ1458" s="1539"/>
      <c r="BK1458" s="1539"/>
      <c r="BL1458" s="1539"/>
      <c r="BM1458" s="1539"/>
      <c r="BN1458" s="1539"/>
      <c r="BO1458" s="1539"/>
      <c r="BP1458" s="1539"/>
      <c r="BQ1458" s="1539"/>
      <c r="BR1458" s="1539"/>
      <c r="BS1458" s="1539"/>
      <c r="BT1458" s="1539"/>
      <c r="BU1458" s="1539"/>
      <c r="BV1458" s="1539"/>
      <c r="BW1458" s="1539"/>
      <c r="BX1458" s="1539"/>
      <c r="BY1458" s="1539"/>
      <c r="BZ1458" s="1539"/>
      <c r="CA1458" s="1539"/>
      <c r="CB1458" s="1539"/>
      <c r="CC1458" s="1539"/>
      <c r="CD1458" s="1539"/>
      <c r="CE1458" s="1539"/>
      <c r="CF1458" s="1539"/>
      <c r="CG1458" s="1539"/>
      <c r="CH1458" s="1539"/>
      <c r="CI1458" s="1539"/>
      <c r="CJ1458" s="1539"/>
      <c r="CK1458" s="1539"/>
      <c r="CL1458" s="1539"/>
      <c r="CM1458" s="1539"/>
      <c r="CN1458" s="1539"/>
      <c r="CO1458" s="1539"/>
    </row>
    <row r="1459" spans="1:93" ht="15.5">
      <c r="A1459" s="1598">
        <v>28.251000000000001</v>
      </c>
      <c r="B1459" s="1599" t="s">
        <v>2871</v>
      </c>
      <c r="C1459" s="1643" t="e">
        <f>+SUMIF(#REF!,Final!A1459,#REF!)</f>
        <v>#REF!</v>
      </c>
      <c r="D1459" s="1597" t="e">
        <f>+SUMIF(#REF!,Final!A1459,#REF!)</f>
        <v>#REF!</v>
      </c>
      <c r="E1459" s="1643" t="e">
        <f>SUMIF(#REF!,Final!A1459,#REF!)</f>
        <v>#REF!</v>
      </c>
      <c r="F1459" s="1644" t="e">
        <f>SUMIF(#REF!,Final!A1459,#REF!)</f>
        <v>#REF!</v>
      </c>
      <c r="G1459" s="1597" t="e">
        <f t="shared" si="144"/>
        <v>#REF!</v>
      </c>
      <c r="H1459" s="1644" t="e">
        <f t="shared" si="145"/>
        <v>#REF!</v>
      </c>
      <c r="I1459" s="1597" t="e">
        <f t="shared" si="146"/>
        <v>#REF!</v>
      </c>
      <c r="J1459" s="1644" t="e">
        <f t="shared" si="147"/>
        <v>#REF!</v>
      </c>
      <c r="M1459" s="1545"/>
      <c r="N1459" s="1545"/>
    </row>
    <row r="1460" spans="1:93" ht="15.5">
      <c r="A1460" s="1598">
        <v>28.251999999999999</v>
      </c>
      <c r="B1460" s="1599" t="s">
        <v>2872</v>
      </c>
      <c r="C1460" s="1643" t="e">
        <f>+SUMIF(#REF!,Final!A1460,#REF!)</f>
        <v>#REF!</v>
      </c>
      <c r="D1460" s="1597" t="e">
        <f>+SUMIF(#REF!,Final!A1460,#REF!)</f>
        <v>#REF!</v>
      </c>
      <c r="E1460" s="1643" t="e">
        <f>SUMIF(#REF!,Final!A1460,#REF!)</f>
        <v>#REF!</v>
      </c>
      <c r="F1460" s="1644" t="e">
        <f>SUMIF(#REF!,Final!A1460,#REF!)</f>
        <v>#REF!</v>
      </c>
      <c r="G1460" s="1597" t="e">
        <f t="shared" si="144"/>
        <v>#REF!</v>
      </c>
      <c r="H1460" s="1644" t="e">
        <f t="shared" si="145"/>
        <v>#REF!</v>
      </c>
      <c r="I1460" s="1597" t="e">
        <f t="shared" si="146"/>
        <v>#REF!</v>
      </c>
      <c r="J1460" s="1644" t="e">
        <f t="shared" si="147"/>
        <v>#REF!</v>
      </c>
      <c r="M1460" s="1545"/>
      <c r="N1460" s="1545"/>
    </row>
    <row r="1461" spans="1:93" ht="15.5">
      <c r="A1461" s="1598">
        <v>28.253</v>
      </c>
      <c r="B1461" s="1599" t="s">
        <v>2873</v>
      </c>
      <c r="C1461" s="1643" t="e">
        <f>+SUMIF(#REF!,Final!A1461,#REF!)</f>
        <v>#REF!</v>
      </c>
      <c r="D1461" s="1597" t="e">
        <f>+SUMIF(#REF!,Final!A1461,#REF!)</f>
        <v>#REF!</v>
      </c>
      <c r="E1461" s="1643" t="e">
        <f>SUMIF(#REF!,Final!A1461,#REF!)</f>
        <v>#REF!</v>
      </c>
      <c r="F1461" s="1644" t="e">
        <f>SUMIF(#REF!,Final!A1461,#REF!)</f>
        <v>#REF!</v>
      </c>
      <c r="G1461" s="1597" t="e">
        <f t="shared" si="144"/>
        <v>#REF!</v>
      </c>
      <c r="H1461" s="1644" t="e">
        <f t="shared" si="145"/>
        <v>#REF!</v>
      </c>
      <c r="I1461" s="1597" t="e">
        <f t="shared" si="146"/>
        <v>#REF!</v>
      </c>
      <c r="J1461" s="1644" t="e">
        <f t="shared" si="147"/>
        <v>#REF!</v>
      </c>
      <c r="M1461" s="1545"/>
      <c r="N1461" s="1545"/>
    </row>
    <row r="1462" spans="1:93" ht="15.5">
      <c r="A1462" s="1598">
        <v>28.254000000000001</v>
      </c>
      <c r="B1462" s="1599" t="s">
        <v>2874</v>
      </c>
      <c r="C1462" s="1643" t="e">
        <f>+SUMIF(#REF!,Final!A1462,#REF!)</f>
        <v>#REF!</v>
      </c>
      <c r="D1462" s="1597" t="e">
        <f>+SUMIF(#REF!,Final!A1462,#REF!)</f>
        <v>#REF!</v>
      </c>
      <c r="E1462" s="1643" t="e">
        <f>SUMIF(#REF!,Final!A1462,#REF!)</f>
        <v>#REF!</v>
      </c>
      <c r="F1462" s="1644" t="e">
        <f>SUMIF(#REF!,Final!A1462,#REF!)</f>
        <v>#REF!</v>
      </c>
      <c r="G1462" s="1597" t="e">
        <f t="shared" si="144"/>
        <v>#REF!</v>
      </c>
      <c r="H1462" s="1644" t="e">
        <f t="shared" si="145"/>
        <v>#REF!</v>
      </c>
      <c r="I1462" s="1597" t="e">
        <f t="shared" si="146"/>
        <v>#REF!</v>
      </c>
      <c r="J1462" s="1644" t="e">
        <f t="shared" si="147"/>
        <v>#REF!</v>
      </c>
      <c r="M1462" s="1545"/>
      <c r="N1462" s="1545"/>
    </row>
    <row r="1463" spans="1:93" s="1542" customFormat="1" ht="15.5">
      <c r="A1463" s="1598">
        <v>28.254999999999999</v>
      </c>
      <c r="B1463" s="1599" t="s">
        <v>2875</v>
      </c>
      <c r="C1463" s="1643" t="e">
        <f>+SUMIF(#REF!,Final!A1463,#REF!)</f>
        <v>#REF!</v>
      </c>
      <c r="D1463" s="1597" t="e">
        <f>+SUMIF(#REF!,Final!A1463,#REF!)</f>
        <v>#REF!</v>
      </c>
      <c r="E1463" s="1643" t="e">
        <f>SUMIF(#REF!,Final!A1463,#REF!)</f>
        <v>#REF!</v>
      </c>
      <c r="F1463" s="1644" t="e">
        <f>SUMIF(#REF!,Final!A1463,#REF!)</f>
        <v>#REF!</v>
      </c>
      <c r="G1463" s="1597" t="e">
        <f t="shared" si="144"/>
        <v>#REF!</v>
      </c>
      <c r="H1463" s="1644" t="e">
        <f t="shared" si="145"/>
        <v>#REF!</v>
      </c>
      <c r="I1463" s="1597" t="e">
        <f t="shared" si="146"/>
        <v>#REF!</v>
      </c>
      <c r="J1463" s="1644" t="e">
        <f t="shared" si="147"/>
        <v>#REF!</v>
      </c>
      <c r="K1463" s="1539"/>
      <c r="L1463" s="1539"/>
      <c r="M1463" s="1545"/>
      <c r="N1463" s="1545"/>
      <c r="O1463" s="1539"/>
      <c r="P1463" s="1539"/>
      <c r="Q1463" s="1539"/>
      <c r="R1463" s="1539"/>
      <c r="S1463" s="1539"/>
      <c r="T1463" s="1539"/>
      <c r="U1463" s="1539"/>
      <c r="V1463" s="1539"/>
      <c r="W1463" s="1539"/>
      <c r="X1463" s="1539"/>
      <c r="Y1463" s="1539"/>
      <c r="Z1463" s="1539"/>
      <c r="AA1463" s="1539"/>
      <c r="AB1463" s="1539"/>
      <c r="AC1463" s="1539"/>
      <c r="AD1463" s="1539"/>
      <c r="AE1463" s="1539"/>
      <c r="AF1463" s="1539"/>
      <c r="AG1463" s="1539"/>
      <c r="AH1463" s="1539"/>
      <c r="AI1463" s="1539"/>
      <c r="AJ1463" s="1539"/>
      <c r="AK1463" s="1539"/>
      <c r="AL1463" s="1539"/>
      <c r="AM1463" s="1539"/>
      <c r="AN1463" s="1539"/>
      <c r="AO1463" s="1539"/>
      <c r="AP1463" s="1539"/>
      <c r="AQ1463" s="1539"/>
      <c r="AR1463" s="1539"/>
      <c r="AS1463" s="1539"/>
      <c r="AT1463" s="1539"/>
      <c r="AU1463" s="1539"/>
      <c r="AV1463" s="1539"/>
      <c r="AW1463" s="1539"/>
      <c r="AX1463" s="1539"/>
      <c r="AY1463" s="1539"/>
      <c r="AZ1463" s="1539"/>
      <c r="BA1463" s="1539"/>
      <c r="BB1463" s="1539"/>
      <c r="BC1463" s="1539"/>
      <c r="BD1463" s="1539"/>
      <c r="BE1463" s="1539"/>
      <c r="BF1463" s="1539"/>
      <c r="BG1463" s="1539"/>
      <c r="BH1463" s="1539"/>
      <c r="BI1463" s="1539"/>
      <c r="BJ1463" s="1539"/>
      <c r="BK1463" s="1539"/>
      <c r="BL1463" s="1539"/>
      <c r="BM1463" s="1539"/>
      <c r="BN1463" s="1539"/>
      <c r="BO1463" s="1539"/>
      <c r="BP1463" s="1539"/>
      <c r="BQ1463" s="1539"/>
      <c r="BR1463" s="1539"/>
      <c r="BS1463" s="1539"/>
      <c r="BT1463" s="1539"/>
      <c r="BU1463" s="1539"/>
      <c r="BV1463" s="1539"/>
      <c r="BW1463" s="1539"/>
      <c r="BX1463" s="1539"/>
      <c r="BY1463" s="1539"/>
      <c r="BZ1463" s="1539"/>
      <c r="CA1463" s="1539"/>
      <c r="CB1463" s="1539"/>
      <c r="CC1463" s="1539"/>
      <c r="CD1463" s="1539"/>
      <c r="CE1463" s="1539"/>
      <c r="CF1463" s="1539"/>
      <c r="CG1463" s="1539"/>
      <c r="CH1463" s="1539"/>
      <c r="CI1463" s="1539"/>
      <c r="CJ1463" s="1539"/>
      <c r="CK1463" s="1539"/>
      <c r="CL1463" s="1539"/>
      <c r="CM1463" s="1539"/>
      <c r="CN1463" s="1539"/>
      <c r="CO1463" s="1539"/>
    </row>
    <row r="1464" spans="1:93" s="1552" customFormat="1" ht="15.5">
      <c r="A1464" s="1598"/>
      <c r="B1464" s="1599" t="s">
        <v>1747</v>
      </c>
      <c r="C1464" s="1643" t="e">
        <f>+SUMIF(#REF!,Final!A1464,#REF!)</f>
        <v>#REF!</v>
      </c>
      <c r="D1464" s="1597" t="e">
        <f>+SUMIF(#REF!,Final!A1464,#REF!)</f>
        <v>#REF!</v>
      </c>
      <c r="E1464" s="1643" t="e">
        <f>SUMIF(#REF!,Final!A1464,#REF!)</f>
        <v>#REF!</v>
      </c>
      <c r="F1464" s="1644" t="e">
        <f>SUMIF(#REF!,Final!A1464,#REF!)</f>
        <v>#REF!</v>
      </c>
      <c r="G1464" s="1597" t="e">
        <f t="shared" si="144"/>
        <v>#REF!</v>
      </c>
      <c r="H1464" s="1644" t="e">
        <f t="shared" si="145"/>
        <v>#REF!</v>
      </c>
      <c r="I1464" s="1597" t="e">
        <f t="shared" si="146"/>
        <v>#REF!</v>
      </c>
      <c r="J1464" s="1644" t="e">
        <f t="shared" si="147"/>
        <v>#REF!</v>
      </c>
      <c r="K1464" s="1539"/>
      <c r="L1464" s="1539"/>
      <c r="M1464" s="1545"/>
      <c r="N1464" s="1545"/>
      <c r="O1464" s="1539"/>
      <c r="P1464" s="1539"/>
      <c r="Q1464" s="1539"/>
      <c r="R1464" s="1539"/>
      <c r="S1464" s="1539"/>
      <c r="T1464" s="1539"/>
      <c r="U1464" s="1539"/>
      <c r="V1464" s="1539"/>
      <c r="W1464" s="1539"/>
      <c r="X1464" s="1539"/>
      <c r="Y1464" s="1539"/>
      <c r="Z1464" s="1539"/>
      <c r="AA1464" s="1539"/>
      <c r="AB1464" s="1539"/>
      <c r="AC1464" s="1539"/>
      <c r="AD1464" s="1539"/>
      <c r="AE1464" s="1539"/>
      <c r="AF1464" s="1539"/>
      <c r="AG1464" s="1539"/>
      <c r="AH1464" s="1539"/>
      <c r="AI1464" s="1539"/>
      <c r="AJ1464" s="1539"/>
      <c r="AK1464" s="1539"/>
      <c r="AL1464" s="1539"/>
      <c r="AM1464" s="1539"/>
      <c r="AN1464" s="1539"/>
      <c r="AO1464" s="1539"/>
      <c r="AP1464" s="1539"/>
      <c r="AQ1464" s="1539"/>
      <c r="AR1464" s="1539"/>
      <c r="AS1464" s="1539"/>
      <c r="AT1464" s="1539"/>
      <c r="AU1464" s="1539"/>
      <c r="AV1464" s="1539"/>
      <c r="AW1464" s="1539"/>
      <c r="AX1464" s="1539"/>
      <c r="AY1464" s="1539"/>
      <c r="AZ1464" s="1539"/>
      <c r="BA1464" s="1539"/>
      <c r="BB1464" s="1539"/>
      <c r="BC1464" s="1539"/>
      <c r="BD1464" s="1539"/>
      <c r="BE1464" s="1539"/>
      <c r="BF1464" s="1539"/>
      <c r="BG1464" s="1539"/>
      <c r="BH1464" s="1539"/>
      <c r="BI1464" s="1539"/>
      <c r="BJ1464" s="1539"/>
      <c r="BK1464" s="1539"/>
      <c r="BL1464" s="1539"/>
      <c r="BM1464" s="1539"/>
      <c r="BN1464" s="1539"/>
      <c r="BO1464" s="1539"/>
      <c r="BP1464" s="1539"/>
      <c r="BQ1464" s="1539"/>
      <c r="BR1464" s="1539"/>
      <c r="BS1464" s="1539"/>
      <c r="BT1464" s="1539"/>
      <c r="BU1464" s="1539"/>
      <c r="BV1464" s="1539"/>
      <c r="BW1464" s="1539"/>
      <c r="BX1464" s="1539"/>
      <c r="BY1464" s="1539"/>
      <c r="BZ1464" s="1539"/>
      <c r="CA1464" s="1539"/>
      <c r="CB1464" s="1539"/>
      <c r="CC1464" s="1539"/>
      <c r="CD1464" s="1539"/>
      <c r="CE1464" s="1539"/>
      <c r="CF1464" s="1539"/>
      <c r="CG1464" s="1539"/>
      <c r="CH1464" s="1539"/>
      <c r="CI1464" s="1539"/>
      <c r="CJ1464" s="1539"/>
      <c r="CK1464" s="1539"/>
      <c r="CL1464" s="1539"/>
      <c r="CM1464" s="1539"/>
      <c r="CN1464" s="1539"/>
      <c r="CO1464" s="1539"/>
    </row>
    <row r="1465" spans="1:93" s="1552" customFormat="1" ht="15.5">
      <c r="A1465" s="1598"/>
      <c r="B1465" s="1599" t="s">
        <v>1760</v>
      </c>
      <c r="C1465" s="1643" t="e">
        <f>+SUMIF(#REF!,Final!A1465,#REF!)</f>
        <v>#REF!</v>
      </c>
      <c r="D1465" s="1597" t="e">
        <f>+SUMIF(#REF!,Final!A1465,#REF!)</f>
        <v>#REF!</v>
      </c>
      <c r="E1465" s="1643" t="e">
        <f>SUMIF(#REF!,Final!A1465,#REF!)</f>
        <v>#REF!</v>
      </c>
      <c r="F1465" s="1644" t="e">
        <f>SUMIF(#REF!,Final!A1465,#REF!)</f>
        <v>#REF!</v>
      </c>
      <c r="G1465" s="1597" t="e">
        <f t="shared" si="144"/>
        <v>#REF!</v>
      </c>
      <c r="H1465" s="1644" t="e">
        <f t="shared" si="145"/>
        <v>#REF!</v>
      </c>
      <c r="I1465" s="1597" t="e">
        <f t="shared" si="146"/>
        <v>#REF!</v>
      </c>
      <c r="J1465" s="1644" t="e">
        <f t="shared" si="147"/>
        <v>#REF!</v>
      </c>
      <c r="K1465" s="1539"/>
      <c r="L1465" s="1539"/>
      <c r="M1465" s="1545"/>
      <c r="N1465" s="1545"/>
      <c r="O1465" s="1539"/>
      <c r="P1465" s="1539"/>
      <c r="Q1465" s="1539"/>
      <c r="R1465" s="1539"/>
      <c r="S1465" s="1539"/>
      <c r="T1465" s="1539"/>
      <c r="U1465" s="1539"/>
      <c r="V1465" s="1539"/>
      <c r="W1465" s="1539"/>
      <c r="X1465" s="1539"/>
      <c r="Y1465" s="1539"/>
      <c r="Z1465" s="1539"/>
      <c r="AA1465" s="1539"/>
      <c r="AB1465" s="1539"/>
      <c r="AC1465" s="1539"/>
      <c r="AD1465" s="1539"/>
      <c r="AE1465" s="1539"/>
      <c r="AF1465" s="1539"/>
      <c r="AG1465" s="1539"/>
      <c r="AH1465" s="1539"/>
      <c r="AI1465" s="1539"/>
      <c r="AJ1465" s="1539"/>
      <c r="AK1465" s="1539"/>
      <c r="AL1465" s="1539"/>
      <c r="AM1465" s="1539"/>
      <c r="AN1465" s="1539"/>
      <c r="AO1465" s="1539"/>
      <c r="AP1465" s="1539"/>
      <c r="AQ1465" s="1539"/>
      <c r="AR1465" s="1539"/>
      <c r="AS1465" s="1539"/>
      <c r="AT1465" s="1539"/>
      <c r="AU1465" s="1539"/>
      <c r="AV1465" s="1539"/>
      <c r="AW1465" s="1539"/>
      <c r="AX1465" s="1539"/>
      <c r="AY1465" s="1539"/>
      <c r="AZ1465" s="1539"/>
      <c r="BA1465" s="1539"/>
      <c r="BB1465" s="1539"/>
      <c r="BC1465" s="1539"/>
      <c r="BD1465" s="1539"/>
      <c r="BE1465" s="1539"/>
      <c r="BF1465" s="1539"/>
      <c r="BG1465" s="1539"/>
      <c r="BH1465" s="1539"/>
      <c r="BI1465" s="1539"/>
      <c r="BJ1465" s="1539"/>
      <c r="BK1465" s="1539"/>
      <c r="BL1465" s="1539"/>
      <c r="BM1465" s="1539"/>
      <c r="BN1465" s="1539"/>
      <c r="BO1465" s="1539"/>
      <c r="BP1465" s="1539"/>
      <c r="BQ1465" s="1539"/>
      <c r="BR1465" s="1539"/>
      <c r="BS1465" s="1539"/>
      <c r="BT1465" s="1539"/>
      <c r="BU1465" s="1539"/>
      <c r="BV1465" s="1539"/>
      <c r="BW1465" s="1539"/>
      <c r="BX1465" s="1539"/>
      <c r="BY1465" s="1539"/>
      <c r="BZ1465" s="1539"/>
      <c r="CA1465" s="1539"/>
      <c r="CB1465" s="1539"/>
      <c r="CC1465" s="1539"/>
      <c r="CD1465" s="1539"/>
      <c r="CE1465" s="1539"/>
      <c r="CF1465" s="1539"/>
      <c r="CG1465" s="1539"/>
      <c r="CH1465" s="1539"/>
      <c r="CI1465" s="1539"/>
      <c r="CJ1465" s="1539"/>
      <c r="CK1465" s="1539"/>
      <c r="CL1465" s="1539"/>
      <c r="CM1465" s="1539"/>
      <c r="CN1465" s="1539"/>
      <c r="CO1465" s="1539"/>
    </row>
    <row r="1466" spans="1:93" s="1542" customFormat="1" ht="15.5">
      <c r="A1466" s="1598" t="s">
        <v>441</v>
      </c>
      <c r="B1466" s="1599" t="s">
        <v>3396</v>
      </c>
      <c r="C1466" s="1643" t="e">
        <f>+SUMIF(#REF!,Final!A1466,#REF!)</f>
        <v>#REF!</v>
      </c>
      <c r="D1466" s="1597" t="e">
        <f>+SUMIF(#REF!,Final!A1466,#REF!)</f>
        <v>#REF!</v>
      </c>
      <c r="E1466" s="1643" t="e">
        <f>SUMIF(#REF!,Final!A1466,#REF!)</f>
        <v>#REF!</v>
      </c>
      <c r="F1466" s="1644" t="e">
        <f>SUMIF(#REF!,Final!A1466,#REF!)</f>
        <v>#REF!</v>
      </c>
      <c r="G1466" s="1597" t="e">
        <f t="shared" si="144"/>
        <v>#REF!</v>
      </c>
      <c r="H1466" s="1644" t="e">
        <f t="shared" si="145"/>
        <v>#REF!</v>
      </c>
      <c r="I1466" s="1597" t="e">
        <f t="shared" si="146"/>
        <v>#REF!</v>
      </c>
      <c r="J1466" s="1644" t="e">
        <f t="shared" si="147"/>
        <v>#REF!</v>
      </c>
      <c r="K1466" s="1539"/>
      <c r="L1466" s="1539"/>
      <c r="M1466" s="1545"/>
      <c r="N1466" s="1545"/>
      <c r="O1466" s="1539"/>
      <c r="P1466" s="1539"/>
      <c r="Q1466" s="1539"/>
      <c r="R1466" s="1539"/>
      <c r="S1466" s="1539"/>
      <c r="T1466" s="1539"/>
      <c r="U1466" s="1539"/>
      <c r="V1466" s="1539"/>
      <c r="W1466" s="1539"/>
      <c r="X1466" s="1539"/>
      <c r="Y1466" s="1539"/>
      <c r="Z1466" s="1539"/>
      <c r="AA1466" s="1539"/>
      <c r="AB1466" s="1539"/>
      <c r="AC1466" s="1539"/>
      <c r="AD1466" s="1539"/>
      <c r="AE1466" s="1539"/>
      <c r="AF1466" s="1539"/>
      <c r="AG1466" s="1539"/>
      <c r="AH1466" s="1539"/>
      <c r="AI1466" s="1539"/>
      <c r="AJ1466" s="1539"/>
      <c r="AK1466" s="1539"/>
      <c r="AL1466" s="1539"/>
      <c r="AM1466" s="1539"/>
      <c r="AN1466" s="1539"/>
      <c r="AO1466" s="1539"/>
      <c r="AP1466" s="1539"/>
      <c r="AQ1466" s="1539"/>
      <c r="AR1466" s="1539"/>
      <c r="AS1466" s="1539"/>
      <c r="AT1466" s="1539"/>
      <c r="AU1466" s="1539"/>
      <c r="AV1466" s="1539"/>
      <c r="AW1466" s="1539"/>
      <c r="AX1466" s="1539"/>
      <c r="AY1466" s="1539"/>
      <c r="AZ1466" s="1539"/>
      <c r="BA1466" s="1539"/>
      <c r="BB1466" s="1539"/>
      <c r="BC1466" s="1539"/>
      <c r="BD1466" s="1539"/>
      <c r="BE1466" s="1539"/>
      <c r="BF1466" s="1539"/>
      <c r="BG1466" s="1539"/>
      <c r="BH1466" s="1539"/>
      <c r="BI1466" s="1539"/>
      <c r="BJ1466" s="1539"/>
      <c r="BK1466" s="1539"/>
      <c r="BL1466" s="1539"/>
      <c r="BM1466" s="1539"/>
      <c r="BN1466" s="1539"/>
      <c r="BO1466" s="1539"/>
      <c r="BP1466" s="1539"/>
      <c r="BQ1466" s="1539"/>
      <c r="BR1466" s="1539"/>
      <c r="BS1466" s="1539"/>
      <c r="BT1466" s="1539"/>
      <c r="BU1466" s="1539"/>
      <c r="BV1466" s="1539"/>
      <c r="BW1466" s="1539"/>
      <c r="BX1466" s="1539"/>
      <c r="BY1466" s="1539"/>
      <c r="BZ1466" s="1539"/>
      <c r="CA1466" s="1539"/>
      <c r="CB1466" s="1539"/>
      <c r="CC1466" s="1539"/>
      <c r="CD1466" s="1539"/>
      <c r="CE1466" s="1539"/>
      <c r="CF1466" s="1539"/>
      <c r="CG1466" s="1539"/>
      <c r="CH1466" s="1539"/>
      <c r="CI1466" s="1539"/>
      <c r="CJ1466" s="1539"/>
      <c r="CK1466" s="1539"/>
      <c r="CL1466" s="1539"/>
      <c r="CM1466" s="1539"/>
      <c r="CN1466" s="1539"/>
      <c r="CO1466" s="1539"/>
    </row>
    <row r="1467" spans="1:93" ht="15.5">
      <c r="A1467" s="1598">
        <v>28.327999999999999</v>
      </c>
      <c r="B1467" s="1599" t="s">
        <v>2876</v>
      </c>
      <c r="C1467" s="1643" t="e">
        <f>+SUMIF(#REF!,Final!A1467,#REF!)</f>
        <v>#REF!</v>
      </c>
      <c r="D1467" s="1597" t="e">
        <f>+SUMIF(#REF!,Final!A1467,#REF!)</f>
        <v>#REF!</v>
      </c>
      <c r="E1467" s="1643" t="e">
        <f>SUMIF(#REF!,Final!A1467,#REF!)</f>
        <v>#REF!</v>
      </c>
      <c r="F1467" s="1644" t="e">
        <f>SUMIF(#REF!,Final!A1467,#REF!)</f>
        <v>#REF!</v>
      </c>
      <c r="G1467" s="1597" t="e">
        <f t="shared" si="144"/>
        <v>#REF!</v>
      </c>
      <c r="H1467" s="1644" t="e">
        <f t="shared" si="145"/>
        <v>#REF!</v>
      </c>
      <c r="I1467" s="1597" t="e">
        <f t="shared" si="146"/>
        <v>#REF!</v>
      </c>
      <c r="J1467" s="1644" t="e">
        <f t="shared" si="147"/>
        <v>#REF!</v>
      </c>
      <c r="M1467" s="1545"/>
      <c r="N1467" s="1545"/>
    </row>
    <row r="1468" spans="1:93" s="1552" customFormat="1" ht="15.5">
      <c r="A1468" s="1598"/>
      <c r="B1468" s="1599" t="s">
        <v>1747</v>
      </c>
      <c r="C1468" s="1643" t="e">
        <f>+SUMIF(#REF!,Final!A1468,#REF!)</f>
        <v>#REF!</v>
      </c>
      <c r="D1468" s="1597" t="e">
        <f>+SUMIF(#REF!,Final!A1468,#REF!)</f>
        <v>#REF!</v>
      </c>
      <c r="E1468" s="1643" t="e">
        <f>SUMIF(#REF!,Final!A1468,#REF!)</f>
        <v>#REF!</v>
      </c>
      <c r="F1468" s="1644" t="e">
        <f>SUMIF(#REF!,Final!A1468,#REF!)</f>
        <v>#REF!</v>
      </c>
      <c r="G1468" s="1597" t="e">
        <f t="shared" si="144"/>
        <v>#REF!</v>
      </c>
      <c r="H1468" s="1644" t="e">
        <f t="shared" si="145"/>
        <v>#REF!</v>
      </c>
      <c r="I1468" s="1597" t="e">
        <f t="shared" si="146"/>
        <v>#REF!</v>
      </c>
      <c r="J1468" s="1644" t="e">
        <f t="shared" si="147"/>
        <v>#REF!</v>
      </c>
      <c r="K1468" s="1539"/>
      <c r="L1468" s="1539"/>
      <c r="M1468" s="1545"/>
      <c r="N1468" s="1545"/>
      <c r="O1468" s="1539"/>
      <c r="P1468" s="1539"/>
      <c r="Q1468" s="1539"/>
      <c r="R1468" s="1539"/>
      <c r="S1468" s="1539"/>
      <c r="T1468" s="1539"/>
      <c r="U1468" s="1539"/>
      <c r="V1468" s="1539"/>
      <c r="W1468" s="1539"/>
      <c r="X1468" s="1539"/>
      <c r="Y1468" s="1539"/>
      <c r="Z1468" s="1539"/>
      <c r="AA1468" s="1539"/>
      <c r="AB1468" s="1539"/>
      <c r="AC1468" s="1539"/>
      <c r="AD1468" s="1539"/>
      <c r="AE1468" s="1539"/>
      <c r="AF1468" s="1539"/>
      <c r="AG1468" s="1539"/>
      <c r="AH1468" s="1539"/>
      <c r="AI1468" s="1539"/>
      <c r="AJ1468" s="1539"/>
      <c r="AK1468" s="1539"/>
      <c r="AL1468" s="1539"/>
      <c r="AM1468" s="1539"/>
      <c r="AN1468" s="1539"/>
      <c r="AO1468" s="1539"/>
      <c r="AP1468" s="1539"/>
      <c r="AQ1468" s="1539"/>
      <c r="AR1468" s="1539"/>
      <c r="AS1468" s="1539"/>
      <c r="AT1468" s="1539"/>
      <c r="AU1468" s="1539"/>
      <c r="AV1468" s="1539"/>
      <c r="AW1468" s="1539"/>
      <c r="AX1468" s="1539"/>
      <c r="AY1468" s="1539"/>
      <c r="AZ1468" s="1539"/>
      <c r="BA1468" s="1539"/>
      <c r="BB1468" s="1539"/>
      <c r="BC1468" s="1539"/>
      <c r="BD1468" s="1539"/>
      <c r="BE1468" s="1539"/>
      <c r="BF1468" s="1539"/>
      <c r="BG1468" s="1539"/>
      <c r="BH1468" s="1539"/>
      <c r="BI1468" s="1539"/>
      <c r="BJ1468" s="1539"/>
      <c r="BK1468" s="1539"/>
      <c r="BL1468" s="1539"/>
      <c r="BM1468" s="1539"/>
      <c r="BN1468" s="1539"/>
      <c r="BO1468" s="1539"/>
      <c r="BP1468" s="1539"/>
      <c r="BQ1468" s="1539"/>
      <c r="BR1468" s="1539"/>
      <c r="BS1468" s="1539"/>
      <c r="BT1468" s="1539"/>
      <c r="BU1468" s="1539"/>
      <c r="BV1468" s="1539"/>
      <c r="BW1468" s="1539"/>
      <c r="BX1468" s="1539"/>
      <c r="BY1468" s="1539"/>
      <c r="BZ1468" s="1539"/>
      <c r="CA1468" s="1539"/>
      <c r="CB1468" s="1539"/>
      <c r="CC1468" s="1539"/>
      <c r="CD1468" s="1539"/>
      <c r="CE1468" s="1539"/>
      <c r="CF1468" s="1539"/>
      <c r="CG1468" s="1539"/>
      <c r="CH1468" s="1539"/>
      <c r="CI1468" s="1539"/>
      <c r="CJ1468" s="1539"/>
      <c r="CK1468" s="1539"/>
      <c r="CL1468" s="1539"/>
      <c r="CM1468" s="1539"/>
      <c r="CN1468" s="1539"/>
      <c r="CO1468" s="1539"/>
    </row>
    <row r="1469" spans="1:93" s="1552" customFormat="1" ht="15.5">
      <c r="A1469" s="1598"/>
      <c r="B1469" s="1599" t="s">
        <v>1760</v>
      </c>
      <c r="C1469" s="1643" t="e">
        <f>+SUMIF(#REF!,Final!A1469,#REF!)</f>
        <v>#REF!</v>
      </c>
      <c r="D1469" s="1597" t="e">
        <f>+SUMIF(#REF!,Final!A1469,#REF!)</f>
        <v>#REF!</v>
      </c>
      <c r="E1469" s="1643" t="e">
        <f>SUMIF(#REF!,Final!A1469,#REF!)</f>
        <v>#REF!</v>
      </c>
      <c r="F1469" s="1644" t="e">
        <f>SUMIF(#REF!,Final!A1469,#REF!)</f>
        <v>#REF!</v>
      </c>
      <c r="G1469" s="1597" t="e">
        <f t="shared" si="144"/>
        <v>#REF!</v>
      </c>
      <c r="H1469" s="1644" t="e">
        <f t="shared" si="145"/>
        <v>#REF!</v>
      </c>
      <c r="I1469" s="1597" t="e">
        <f t="shared" si="146"/>
        <v>#REF!</v>
      </c>
      <c r="J1469" s="1644" t="e">
        <f t="shared" si="147"/>
        <v>#REF!</v>
      </c>
      <c r="K1469" s="1539"/>
      <c r="L1469" s="1539"/>
      <c r="M1469" s="1545"/>
      <c r="N1469" s="1545"/>
      <c r="O1469" s="1539"/>
      <c r="P1469" s="1539"/>
      <c r="Q1469" s="1539"/>
      <c r="R1469" s="1539"/>
      <c r="S1469" s="1539"/>
      <c r="T1469" s="1539"/>
      <c r="U1469" s="1539"/>
      <c r="V1469" s="1539"/>
      <c r="W1469" s="1539"/>
      <c r="X1469" s="1539"/>
      <c r="Y1469" s="1539"/>
      <c r="Z1469" s="1539"/>
      <c r="AA1469" s="1539"/>
      <c r="AB1469" s="1539"/>
      <c r="AC1469" s="1539"/>
      <c r="AD1469" s="1539"/>
      <c r="AE1469" s="1539"/>
      <c r="AF1469" s="1539"/>
      <c r="AG1469" s="1539"/>
      <c r="AH1469" s="1539"/>
      <c r="AI1469" s="1539"/>
      <c r="AJ1469" s="1539"/>
      <c r="AK1469" s="1539"/>
      <c r="AL1469" s="1539"/>
      <c r="AM1469" s="1539"/>
      <c r="AN1469" s="1539"/>
      <c r="AO1469" s="1539"/>
      <c r="AP1469" s="1539"/>
      <c r="AQ1469" s="1539"/>
      <c r="AR1469" s="1539"/>
      <c r="AS1469" s="1539"/>
      <c r="AT1469" s="1539"/>
      <c r="AU1469" s="1539"/>
      <c r="AV1469" s="1539"/>
      <c r="AW1469" s="1539"/>
      <c r="AX1469" s="1539"/>
      <c r="AY1469" s="1539"/>
      <c r="AZ1469" s="1539"/>
      <c r="BA1469" s="1539"/>
      <c r="BB1469" s="1539"/>
      <c r="BC1469" s="1539"/>
      <c r="BD1469" s="1539"/>
      <c r="BE1469" s="1539"/>
      <c r="BF1469" s="1539"/>
      <c r="BG1469" s="1539"/>
      <c r="BH1469" s="1539"/>
      <c r="BI1469" s="1539"/>
      <c r="BJ1469" s="1539"/>
      <c r="BK1469" s="1539"/>
      <c r="BL1469" s="1539"/>
      <c r="BM1469" s="1539"/>
      <c r="BN1469" s="1539"/>
      <c r="BO1469" s="1539"/>
      <c r="BP1469" s="1539"/>
      <c r="BQ1469" s="1539"/>
      <c r="BR1469" s="1539"/>
      <c r="BS1469" s="1539"/>
      <c r="BT1469" s="1539"/>
      <c r="BU1469" s="1539"/>
      <c r="BV1469" s="1539"/>
      <c r="BW1469" s="1539"/>
      <c r="BX1469" s="1539"/>
      <c r="BY1469" s="1539"/>
      <c r="BZ1469" s="1539"/>
      <c r="CA1469" s="1539"/>
      <c r="CB1469" s="1539"/>
      <c r="CC1469" s="1539"/>
      <c r="CD1469" s="1539"/>
      <c r="CE1469" s="1539"/>
      <c r="CF1469" s="1539"/>
      <c r="CG1469" s="1539"/>
      <c r="CH1469" s="1539"/>
      <c r="CI1469" s="1539"/>
      <c r="CJ1469" s="1539"/>
      <c r="CK1469" s="1539"/>
      <c r="CL1469" s="1539"/>
      <c r="CM1469" s="1539"/>
      <c r="CN1469" s="1539"/>
      <c r="CO1469" s="1539"/>
    </row>
    <row r="1470" spans="1:93" s="1542" customFormat="1" ht="15.5">
      <c r="A1470" s="1598" t="s">
        <v>444</v>
      </c>
      <c r="B1470" s="1599" t="s">
        <v>3398</v>
      </c>
      <c r="C1470" s="1643" t="e">
        <f>+SUMIF(#REF!,Final!A1470,#REF!)</f>
        <v>#REF!</v>
      </c>
      <c r="D1470" s="1597" t="e">
        <f>+SUMIF(#REF!,Final!A1470,#REF!)</f>
        <v>#REF!</v>
      </c>
      <c r="E1470" s="1643" t="e">
        <f>SUMIF(#REF!,Final!A1470,#REF!)</f>
        <v>#REF!</v>
      </c>
      <c r="F1470" s="1644" t="e">
        <f>SUMIF(#REF!,Final!A1470,#REF!)</f>
        <v>#REF!</v>
      </c>
      <c r="G1470" s="1597" t="e">
        <f t="shared" si="144"/>
        <v>#REF!</v>
      </c>
      <c r="H1470" s="1644" t="e">
        <f t="shared" si="145"/>
        <v>#REF!</v>
      </c>
      <c r="I1470" s="1597" t="e">
        <f t="shared" si="146"/>
        <v>#REF!</v>
      </c>
      <c r="J1470" s="1644" t="e">
        <f t="shared" si="147"/>
        <v>#REF!</v>
      </c>
      <c r="K1470" s="1539"/>
      <c r="L1470" s="1539"/>
      <c r="M1470" s="1545"/>
      <c r="N1470" s="1545"/>
      <c r="O1470" s="1539"/>
      <c r="P1470" s="1539"/>
      <c r="Q1470" s="1539"/>
      <c r="R1470" s="1539"/>
      <c r="S1470" s="1539"/>
      <c r="T1470" s="1539"/>
      <c r="U1470" s="1539"/>
      <c r="V1470" s="1539"/>
      <c r="W1470" s="1539"/>
      <c r="X1470" s="1539"/>
      <c r="Y1470" s="1539"/>
      <c r="Z1470" s="1539"/>
      <c r="AA1470" s="1539"/>
      <c r="AB1470" s="1539"/>
      <c r="AC1470" s="1539"/>
      <c r="AD1470" s="1539"/>
      <c r="AE1470" s="1539"/>
      <c r="AF1470" s="1539"/>
      <c r="AG1470" s="1539"/>
      <c r="AH1470" s="1539"/>
      <c r="AI1470" s="1539"/>
      <c r="AJ1470" s="1539"/>
      <c r="AK1470" s="1539"/>
      <c r="AL1470" s="1539"/>
      <c r="AM1470" s="1539"/>
      <c r="AN1470" s="1539"/>
      <c r="AO1470" s="1539"/>
      <c r="AP1470" s="1539"/>
      <c r="AQ1470" s="1539"/>
      <c r="AR1470" s="1539"/>
      <c r="AS1470" s="1539"/>
      <c r="AT1470" s="1539"/>
      <c r="AU1470" s="1539"/>
      <c r="AV1470" s="1539"/>
      <c r="AW1470" s="1539"/>
      <c r="AX1470" s="1539"/>
      <c r="AY1470" s="1539"/>
      <c r="AZ1470" s="1539"/>
      <c r="BA1470" s="1539"/>
      <c r="BB1470" s="1539"/>
      <c r="BC1470" s="1539"/>
      <c r="BD1470" s="1539"/>
      <c r="BE1470" s="1539"/>
      <c r="BF1470" s="1539"/>
      <c r="BG1470" s="1539"/>
      <c r="BH1470" s="1539"/>
      <c r="BI1470" s="1539"/>
      <c r="BJ1470" s="1539"/>
      <c r="BK1470" s="1539"/>
      <c r="BL1470" s="1539"/>
      <c r="BM1470" s="1539"/>
      <c r="BN1470" s="1539"/>
      <c r="BO1470" s="1539"/>
      <c r="BP1470" s="1539"/>
      <c r="BQ1470" s="1539"/>
      <c r="BR1470" s="1539"/>
      <c r="BS1470" s="1539"/>
      <c r="BT1470" s="1539"/>
      <c r="BU1470" s="1539"/>
      <c r="BV1470" s="1539"/>
      <c r="BW1470" s="1539"/>
      <c r="BX1470" s="1539"/>
      <c r="BY1470" s="1539"/>
      <c r="BZ1470" s="1539"/>
      <c r="CA1470" s="1539"/>
      <c r="CB1470" s="1539"/>
      <c r="CC1470" s="1539"/>
      <c r="CD1470" s="1539"/>
      <c r="CE1470" s="1539"/>
      <c r="CF1470" s="1539"/>
      <c r="CG1470" s="1539"/>
      <c r="CH1470" s="1539"/>
      <c r="CI1470" s="1539"/>
      <c r="CJ1470" s="1539"/>
      <c r="CK1470" s="1539"/>
      <c r="CL1470" s="1539"/>
      <c r="CM1470" s="1539"/>
      <c r="CN1470" s="1539"/>
      <c r="CO1470" s="1539"/>
    </row>
    <row r="1471" spans="1:93" ht="15.5">
      <c r="A1471" s="1598">
        <v>28.401</v>
      </c>
      <c r="B1471" s="1599" t="s">
        <v>2877</v>
      </c>
      <c r="C1471" s="1643" t="e">
        <f>+SUMIF(#REF!,Final!A1471,#REF!)</f>
        <v>#REF!</v>
      </c>
      <c r="D1471" s="1597" t="e">
        <f>+SUMIF(#REF!,Final!A1471,#REF!)</f>
        <v>#REF!</v>
      </c>
      <c r="E1471" s="1643" t="e">
        <f>SUMIF(#REF!,Final!A1471,#REF!)</f>
        <v>#REF!</v>
      </c>
      <c r="F1471" s="1644" t="e">
        <f>SUMIF(#REF!,Final!A1471,#REF!)</f>
        <v>#REF!</v>
      </c>
      <c r="G1471" s="1597" t="e">
        <f t="shared" si="144"/>
        <v>#REF!</v>
      </c>
      <c r="H1471" s="1644" t="e">
        <f t="shared" si="145"/>
        <v>#REF!</v>
      </c>
      <c r="I1471" s="1597" t="e">
        <f t="shared" si="146"/>
        <v>#REF!</v>
      </c>
      <c r="J1471" s="1644" t="e">
        <f t="shared" si="147"/>
        <v>#REF!</v>
      </c>
      <c r="M1471" s="1545"/>
      <c r="N1471" s="1545"/>
    </row>
    <row r="1472" spans="1:93" ht="15.5">
      <c r="A1472" s="1598">
        <v>28.402000000000001</v>
      </c>
      <c r="B1472" s="1599" t="s">
        <v>2878</v>
      </c>
      <c r="C1472" s="1643" t="e">
        <f>+SUMIF(#REF!,Final!A1472,#REF!)</f>
        <v>#REF!</v>
      </c>
      <c r="D1472" s="1597" t="e">
        <f>+SUMIF(#REF!,Final!A1472,#REF!)</f>
        <v>#REF!</v>
      </c>
      <c r="E1472" s="1643" t="e">
        <f>SUMIF(#REF!,Final!A1472,#REF!)</f>
        <v>#REF!</v>
      </c>
      <c r="F1472" s="1644" t="e">
        <f>SUMIF(#REF!,Final!A1472,#REF!)</f>
        <v>#REF!</v>
      </c>
      <c r="G1472" s="1597" t="e">
        <f t="shared" si="144"/>
        <v>#REF!</v>
      </c>
      <c r="H1472" s="1644" t="e">
        <f t="shared" si="145"/>
        <v>#REF!</v>
      </c>
      <c r="I1472" s="1597" t="e">
        <f t="shared" si="146"/>
        <v>#REF!</v>
      </c>
      <c r="J1472" s="1644" t="e">
        <f t="shared" si="147"/>
        <v>#REF!</v>
      </c>
      <c r="M1472" s="1545"/>
      <c r="N1472" s="1545"/>
    </row>
    <row r="1473" spans="1:93" s="1552" customFormat="1" ht="15.5">
      <c r="A1473" s="1598"/>
      <c r="B1473" s="1599" t="s">
        <v>1747</v>
      </c>
      <c r="C1473" s="1643" t="e">
        <f>+SUMIF(#REF!,Final!A1473,#REF!)</f>
        <v>#REF!</v>
      </c>
      <c r="D1473" s="1597" t="e">
        <f>+SUMIF(#REF!,Final!A1473,#REF!)</f>
        <v>#REF!</v>
      </c>
      <c r="E1473" s="1643" t="e">
        <f>SUMIF(#REF!,Final!A1473,#REF!)</f>
        <v>#REF!</v>
      </c>
      <c r="F1473" s="1644" t="e">
        <f>SUMIF(#REF!,Final!A1473,#REF!)</f>
        <v>#REF!</v>
      </c>
      <c r="G1473" s="1597" t="e">
        <f t="shared" si="144"/>
        <v>#REF!</v>
      </c>
      <c r="H1473" s="1644" t="e">
        <f t="shared" si="145"/>
        <v>#REF!</v>
      </c>
      <c r="I1473" s="1597" t="e">
        <f t="shared" si="146"/>
        <v>#REF!</v>
      </c>
      <c r="J1473" s="1644" t="e">
        <f t="shared" si="147"/>
        <v>#REF!</v>
      </c>
      <c r="K1473" s="1539"/>
      <c r="L1473" s="1539"/>
      <c r="M1473" s="1545"/>
      <c r="N1473" s="1545"/>
      <c r="O1473" s="1539"/>
      <c r="P1473" s="1539"/>
      <c r="Q1473" s="1539"/>
      <c r="R1473" s="1539"/>
      <c r="S1473" s="1539"/>
      <c r="T1473" s="1539"/>
      <c r="U1473" s="1539"/>
      <c r="V1473" s="1539"/>
      <c r="W1473" s="1539"/>
      <c r="X1473" s="1539"/>
      <c r="Y1473" s="1539"/>
      <c r="Z1473" s="1539"/>
      <c r="AA1473" s="1539"/>
      <c r="AB1473" s="1539"/>
      <c r="AC1473" s="1539"/>
      <c r="AD1473" s="1539"/>
      <c r="AE1473" s="1539"/>
      <c r="AF1473" s="1539"/>
      <c r="AG1473" s="1539"/>
      <c r="AH1473" s="1539"/>
      <c r="AI1473" s="1539"/>
      <c r="AJ1473" s="1539"/>
      <c r="AK1473" s="1539"/>
      <c r="AL1473" s="1539"/>
      <c r="AM1473" s="1539"/>
      <c r="AN1473" s="1539"/>
      <c r="AO1473" s="1539"/>
      <c r="AP1473" s="1539"/>
      <c r="AQ1473" s="1539"/>
      <c r="AR1473" s="1539"/>
      <c r="AS1473" s="1539"/>
      <c r="AT1473" s="1539"/>
      <c r="AU1473" s="1539"/>
      <c r="AV1473" s="1539"/>
      <c r="AW1473" s="1539"/>
      <c r="AX1473" s="1539"/>
      <c r="AY1473" s="1539"/>
      <c r="AZ1473" s="1539"/>
      <c r="BA1473" s="1539"/>
      <c r="BB1473" s="1539"/>
      <c r="BC1473" s="1539"/>
      <c r="BD1473" s="1539"/>
      <c r="BE1473" s="1539"/>
      <c r="BF1473" s="1539"/>
      <c r="BG1473" s="1539"/>
      <c r="BH1473" s="1539"/>
      <c r="BI1473" s="1539"/>
      <c r="BJ1473" s="1539"/>
      <c r="BK1473" s="1539"/>
      <c r="BL1473" s="1539"/>
      <c r="BM1473" s="1539"/>
      <c r="BN1473" s="1539"/>
      <c r="BO1473" s="1539"/>
      <c r="BP1473" s="1539"/>
      <c r="BQ1473" s="1539"/>
      <c r="BR1473" s="1539"/>
      <c r="BS1473" s="1539"/>
      <c r="BT1473" s="1539"/>
      <c r="BU1473" s="1539"/>
      <c r="BV1473" s="1539"/>
      <c r="BW1473" s="1539"/>
      <c r="BX1473" s="1539"/>
      <c r="BY1473" s="1539"/>
      <c r="BZ1473" s="1539"/>
      <c r="CA1473" s="1539"/>
      <c r="CB1473" s="1539"/>
      <c r="CC1473" s="1539"/>
      <c r="CD1473" s="1539"/>
      <c r="CE1473" s="1539"/>
      <c r="CF1473" s="1539"/>
      <c r="CG1473" s="1539"/>
      <c r="CH1473" s="1539"/>
      <c r="CI1473" s="1539"/>
      <c r="CJ1473" s="1539"/>
      <c r="CK1473" s="1539"/>
      <c r="CL1473" s="1539"/>
      <c r="CM1473" s="1539"/>
      <c r="CN1473" s="1539"/>
      <c r="CO1473" s="1539"/>
    </row>
    <row r="1474" spans="1:93" s="1552" customFormat="1" ht="15.5">
      <c r="A1474" s="1598"/>
      <c r="B1474" s="1599" t="s">
        <v>1760</v>
      </c>
      <c r="C1474" s="1643" t="e">
        <f>+SUMIF(#REF!,Final!A1474,#REF!)</f>
        <v>#REF!</v>
      </c>
      <c r="D1474" s="1597" t="e">
        <f>+SUMIF(#REF!,Final!A1474,#REF!)</f>
        <v>#REF!</v>
      </c>
      <c r="E1474" s="1643" t="e">
        <f>SUMIF(#REF!,Final!A1474,#REF!)</f>
        <v>#REF!</v>
      </c>
      <c r="F1474" s="1644" t="e">
        <f>SUMIF(#REF!,Final!A1474,#REF!)</f>
        <v>#REF!</v>
      </c>
      <c r="G1474" s="1597" t="e">
        <f t="shared" si="144"/>
        <v>#REF!</v>
      </c>
      <c r="H1474" s="1644" t="e">
        <f t="shared" si="145"/>
        <v>#REF!</v>
      </c>
      <c r="I1474" s="1597" t="e">
        <f t="shared" si="146"/>
        <v>#REF!</v>
      </c>
      <c r="J1474" s="1644" t="e">
        <f t="shared" si="147"/>
        <v>#REF!</v>
      </c>
      <c r="K1474" s="1539"/>
      <c r="L1474" s="1539"/>
      <c r="M1474" s="1545"/>
      <c r="N1474" s="1545"/>
      <c r="O1474" s="1539"/>
      <c r="P1474" s="1539"/>
      <c r="Q1474" s="1539"/>
      <c r="R1474" s="1539"/>
      <c r="S1474" s="1539"/>
      <c r="T1474" s="1539"/>
      <c r="U1474" s="1539"/>
      <c r="V1474" s="1539"/>
      <c r="W1474" s="1539"/>
      <c r="X1474" s="1539"/>
      <c r="Y1474" s="1539"/>
      <c r="Z1474" s="1539"/>
      <c r="AA1474" s="1539"/>
      <c r="AB1474" s="1539"/>
      <c r="AC1474" s="1539"/>
      <c r="AD1474" s="1539"/>
      <c r="AE1474" s="1539"/>
      <c r="AF1474" s="1539"/>
      <c r="AG1474" s="1539"/>
      <c r="AH1474" s="1539"/>
      <c r="AI1474" s="1539"/>
      <c r="AJ1474" s="1539"/>
      <c r="AK1474" s="1539"/>
      <c r="AL1474" s="1539"/>
      <c r="AM1474" s="1539"/>
      <c r="AN1474" s="1539"/>
      <c r="AO1474" s="1539"/>
      <c r="AP1474" s="1539"/>
      <c r="AQ1474" s="1539"/>
      <c r="AR1474" s="1539"/>
      <c r="AS1474" s="1539"/>
      <c r="AT1474" s="1539"/>
      <c r="AU1474" s="1539"/>
      <c r="AV1474" s="1539"/>
      <c r="AW1474" s="1539"/>
      <c r="AX1474" s="1539"/>
      <c r="AY1474" s="1539"/>
      <c r="AZ1474" s="1539"/>
      <c r="BA1474" s="1539"/>
      <c r="BB1474" s="1539"/>
      <c r="BC1474" s="1539"/>
      <c r="BD1474" s="1539"/>
      <c r="BE1474" s="1539"/>
      <c r="BF1474" s="1539"/>
      <c r="BG1474" s="1539"/>
      <c r="BH1474" s="1539"/>
      <c r="BI1474" s="1539"/>
      <c r="BJ1474" s="1539"/>
      <c r="BK1474" s="1539"/>
      <c r="BL1474" s="1539"/>
      <c r="BM1474" s="1539"/>
      <c r="BN1474" s="1539"/>
      <c r="BO1474" s="1539"/>
      <c r="BP1474" s="1539"/>
      <c r="BQ1474" s="1539"/>
      <c r="BR1474" s="1539"/>
      <c r="BS1474" s="1539"/>
      <c r="BT1474" s="1539"/>
      <c r="BU1474" s="1539"/>
      <c r="BV1474" s="1539"/>
      <c r="BW1474" s="1539"/>
      <c r="BX1474" s="1539"/>
      <c r="BY1474" s="1539"/>
      <c r="BZ1474" s="1539"/>
      <c r="CA1474" s="1539"/>
      <c r="CB1474" s="1539"/>
      <c r="CC1474" s="1539"/>
      <c r="CD1474" s="1539"/>
      <c r="CE1474" s="1539"/>
      <c r="CF1474" s="1539"/>
      <c r="CG1474" s="1539"/>
      <c r="CH1474" s="1539"/>
      <c r="CI1474" s="1539"/>
      <c r="CJ1474" s="1539"/>
      <c r="CK1474" s="1539"/>
      <c r="CL1474" s="1539"/>
      <c r="CM1474" s="1539"/>
      <c r="CN1474" s="1539"/>
      <c r="CO1474" s="1539"/>
    </row>
    <row r="1475" spans="1:93" s="1542" customFormat="1" ht="15.5">
      <c r="A1475" s="1598" t="s">
        <v>1102</v>
      </c>
      <c r="B1475" s="1599" t="s">
        <v>3399</v>
      </c>
      <c r="C1475" s="1643" t="e">
        <f>+SUMIF(#REF!,Final!A1475,#REF!)</f>
        <v>#REF!</v>
      </c>
      <c r="D1475" s="1597" t="e">
        <f>+SUMIF(#REF!,Final!A1475,#REF!)</f>
        <v>#REF!</v>
      </c>
      <c r="E1475" s="1643" t="e">
        <f>SUMIF(#REF!,Final!A1475,#REF!)</f>
        <v>#REF!</v>
      </c>
      <c r="F1475" s="1644" t="e">
        <f>SUMIF(#REF!,Final!A1475,#REF!)</f>
        <v>#REF!</v>
      </c>
      <c r="G1475" s="1597" t="e">
        <f t="shared" si="144"/>
        <v>#REF!</v>
      </c>
      <c r="H1475" s="1644" t="e">
        <f t="shared" si="145"/>
        <v>#REF!</v>
      </c>
      <c r="I1475" s="1597" t="e">
        <f t="shared" si="146"/>
        <v>#REF!</v>
      </c>
      <c r="J1475" s="1644" t="e">
        <f t="shared" si="147"/>
        <v>#REF!</v>
      </c>
      <c r="K1475" s="1539"/>
      <c r="L1475" s="1539"/>
      <c r="M1475" s="1545"/>
      <c r="N1475" s="1545"/>
      <c r="O1475" s="1539"/>
      <c r="P1475" s="1539"/>
      <c r="Q1475" s="1539"/>
      <c r="R1475" s="1539"/>
      <c r="S1475" s="1539"/>
      <c r="T1475" s="1539"/>
      <c r="U1475" s="1539"/>
      <c r="V1475" s="1539"/>
      <c r="W1475" s="1539"/>
      <c r="X1475" s="1539"/>
      <c r="Y1475" s="1539"/>
      <c r="Z1475" s="1539"/>
      <c r="AA1475" s="1539"/>
      <c r="AB1475" s="1539"/>
      <c r="AC1475" s="1539"/>
      <c r="AD1475" s="1539"/>
      <c r="AE1475" s="1539"/>
      <c r="AF1475" s="1539"/>
      <c r="AG1475" s="1539"/>
      <c r="AH1475" s="1539"/>
      <c r="AI1475" s="1539"/>
      <c r="AJ1475" s="1539"/>
      <c r="AK1475" s="1539"/>
      <c r="AL1475" s="1539"/>
      <c r="AM1475" s="1539"/>
      <c r="AN1475" s="1539"/>
      <c r="AO1475" s="1539"/>
      <c r="AP1475" s="1539"/>
      <c r="AQ1475" s="1539"/>
      <c r="AR1475" s="1539"/>
      <c r="AS1475" s="1539"/>
      <c r="AT1475" s="1539"/>
      <c r="AU1475" s="1539"/>
      <c r="AV1475" s="1539"/>
      <c r="AW1475" s="1539"/>
      <c r="AX1475" s="1539"/>
      <c r="AY1475" s="1539"/>
      <c r="AZ1475" s="1539"/>
      <c r="BA1475" s="1539"/>
      <c r="BB1475" s="1539"/>
      <c r="BC1475" s="1539"/>
      <c r="BD1475" s="1539"/>
      <c r="BE1475" s="1539"/>
      <c r="BF1475" s="1539"/>
      <c r="BG1475" s="1539"/>
      <c r="BH1475" s="1539"/>
      <c r="BI1475" s="1539"/>
      <c r="BJ1475" s="1539"/>
      <c r="BK1475" s="1539"/>
      <c r="BL1475" s="1539"/>
      <c r="BM1475" s="1539"/>
      <c r="BN1475" s="1539"/>
      <c r="BO1475" s="1539"/>
      <c r="BP1475" s="1539"/>
      <c r="BQ1475" s="1539"/>
      <c r="BR1475" s="1539"/>
      <c r="BS1475" s="1539"/>
      <c r="BT1475" s="1539"/>
      <c r="BU1475" s="1539"/>
      <c r="BV1475" s="1539"/>
      <c r="BW1475" s="1539"/>
      <c r="BX1475" s="1539"/>
      <c r="BY1475" s="1539"/>
      <c r="BZ1475" s="1539"/>
      <c r="CA1475" s="1539"/>
      <c r="CB1475" s="1539"/>
      <c r="CC1475" s="1539"/>
      <c r="CD1475" s="1539"/>
      <c r="CE1475" s="1539"/>
      <c r="CF1475" s="1539"/>
      <c r="CG1475" s="1539"/>
      <c r="CH1475" s="1539"/>
      <c r="CI1475" s="1539"/>
      <c r="CJ1475" s="1539"/>
      <c r="CK1475" s="1539"/>
      <c r="CL1475" s="1539"/>
      <c r="CM1475" s="1539"/>
      <c r="CN1475" s="1539"/>
      <c r="CO1475" s="1539"/>
    </row>
    <row r="1476" spans="1:93" s="1542" customFormat="1" ht="15.5">
      <c r="A1476" s="1598" t="s">
        <v>637</v>
      </c>
      <c r="B1476" s="1599" t="s">
        <v>3400</v>
      </c>
      <c r="C1476" s="1643" t="e">
        <f>+SUMIF(#REF!,Final!A1476,#REF!)</f>
        <v>#REF!</v>
      </c>
      <c r="D1476" s="1597" t="e">
        <f>+SUMIF(#REF!,Final!A1476,#REF!)</f>
        <v>#REF!</v>
      </c>
      <c r="E1476" s="1643" t="e">
        <f>SUMIF(#REF!,Final!A1476,#REF!)</f>
        <v>#REF!</v>
      </c>
      <c r="F1476" s="1644" t="e">
        <f>SUMIF(#REF!,Final!A1476,#REF!)</f>
        <v>#REF!</v>
      </c>
      <c r="G1476" s="1597" t="e">
        <f t="shared" si="144"/>
        <v>#REF!</v>
      </c>
      <c r="H1476" s="1644" t="e">
        <f t="shared" si="145"/>
        <v>#REF!</v>
      </c>
      <c r="I1476" s="1597" t="e">
        <f t="shared" si="146"/>
        <v>#REF!</v>
      </c>
      <c r="J1476" s="1644" t="e">
        <f t="shared" si="147"/>
        <v>#REF!</v>
      </c>
      <c r="K1476" s="1539"/>
      <c r="L1476" s="1539"/>
      <c r="M1476" s="1545"/>
      <c r="N1476" s="1545"/>
      <c r="O1476" s="1539"/>
      <c r="P1476" s="1539"/>
      <c r="Q1476" s="1539"/>
      <c r="R1476" s="1539"/>
      <c r="S1476" s="1539"/>
      <c r="T1476" s="1539"/>
      <c r="U1476" s="1539"/>
      <c r="V1476" s="1539"/>
      <c r="W1476" s="1539"/>
      <c r="X1476" s="1539"/>
      <c r="Y1476" s="1539"/>
      <c r="Z1476" s="1539"/>
      <c r="AA1476" s="1539"/>
      <c r="AB1476" s="1539"/>
      <c r="AC1476" s="1539"/>
      <c r="AD1476" s="1539"/>
      <c r="AE1476" s="1539"/>
      <c r="AF1476" s="1539"/>
      <c r="AG1476" s="1539"/>
      <c r="AH1476" s="1539"/>
      <c r="AI1476" s="1539"/>
      <c r="AJ1476" s="1539"/>
      <c r="AK1476" s="1539"/>
      <c r="AL1476" s="1539"/>
      <c r="AM1476" s="1539"/>
      <c r="AN1476" s="1539"/>
      <c r="AO1476" s="1539"/>
      <c r="AP1476" s="1539"/>
      <c r="AQ1476" s="1539"/>
      <c r="AR1476" s="1539"/>
      <c r="AS1476" s="1539"/>
      <c r="AT1476" s="1539"/>
      <c r="AU1476" s="1539"/>
      <c r="AV1476" s="1539"/>
      <c r="AW1476" s="1539"/>
      <c r="AX1476" s="1539"/>
      <c r="AY1476" s="1539"/>
      <c r="AZ1476" s="1539"/>
      <c r="BA1476" s="1539"/>
      <c r="BB1476" s="1539"/>
      <c r="BC1476" s="1539"/>
      <c r="BD1476" s="1539"/>
      <c r="BE1476" s="1539"/>
      <c r="BF1476" s="1539"/>
      <c r="BG1476" s="1539"/>
      <c r="BH1476" s="1539"/>
      <c r="BI1476" s="1539"/>
      <c r="BJ1476" s="1539"/>
      <c r="BK1476" s="1539"/>
      <c r="BL1476" s="1539"/>
      <c r="BM1476" s="1539"/>
      <c r="BN1476" s="1539"/>
      <c r="BO1476" s="1539"/>
      <c r="BP1476" s="1539"/>
      <c r="BQ1476" s="1539"/>
      <c r="BR1476" s="1539"/>
      <c r="BS1476" s="1539"/>
      <c r="BT1476" s="1539"/>
      <c r="BU1476" s="1539"/>
      <c r="BV1476" s="1539"/>
      <c r="BW1476" s="1539"/>
      <c r="BX1476" s="1539"/>
      <c r="BY1476" s="1539"/>
      <c r="BZ1476" s="1539"/>
      <c r="CA1476" s="1539"/>
      <c r="CB1476" s="1539"/>
      <c r="CC1476" s="1539"/>
      <c r="CD1476" s="1539"/>
      <c r="CE1476" s="1539"/>
      <c r="CF1476" s="1539"/>
      <c r="CG1476" s="1539"/>
      <c r="CH1476" s="1539"/>
      <c r="CI1476" s="1539"/>
      <c r="CJ1476" s="1539"/>
      <c r="CK1476" s="1539"/>
      <c r="CL1476" s="1539"/>
      <c r="CM1476" s="1539"/>
      <c r="CN1476" s="1539"/>
      <c r="CO1476" s="1539"/>
    </row>
    <row r="1477" spans="1:93" ht="15.5">
      <c r="A1477" s="1598">
        <v>28.61</v>
      </c>
      <c r="B1477" s="1599" t="s">
        <v>2879</v>
      </c>
      <c r="C1477" s="1643" t="e">
        <f>+SUMIF(#REF!,Final!A1477,#REF!)</f>
        <v>#REF!</v>
      </c>
      <c r="D1477" s="1597" t="e">
        <f>+SUMIF(#REF!,Final!A1477,#REF!)</f>
        <v>#REF!</v>
      </c>
      <c r="E1477" s="1643" t="e">
        <f>SUMIF(#REF!,Final!A1477,#REF!)</f>
        <v>#REF!</v>
      </c>
      <c r="F1477" s="1644" t="e">
        <f>SUMIF(#REF!,Final!A1477,#REF!)</f>
        <v>#REF!</v>
      </c>
      <c r="G1477" s="1597" t="e">
        <f t="shared" si="144"/>
        <v>#REF!</v>
      </c>
      <c r="H1477" s="1644" t="e">
        <f t="shared" si="145"/>
        <v>#REF!</v>
      </c>
      <c r="I1477" s="1597" t="e">
        <f t="shared" si="146"/>
        <v>#REF!</v>
      </c>
      <c r="J1477" s="1644" t="e">
        <f t="shared" si="147"/>
        <v>#REF!</v>
      </c>
      <c r="M1477" s="1545"/>
      <c r="N1477" s="1545"/>
    </row>
    <row r="1478" spans="1:93" ht="15.5">
      <c r="A1478" s="1598" t="s">
        <v>4745</v>
      </c>
      <c r="B1478" s="1599" t="s">
        <v>4746</v>
      </c>
      <c r="C1478" s="1643" t="e">
        <f>+SUMIF(#REF!,Final!A1478,#REF!)</f>
        <v>#REF!</v>
      </c>
      <c r="D1478" s="1597" t="e">
        <f>+SUMIF(#REF!,Final!A1478,#REF!)</f>
        <v>#REF!</v>
      </c>
      <c r="E1478" s="1643" t="e">
        <f>SUMIF(#REF!,Final!A1478,#REF!)</f>
        <v>#REF!</v>
      </c>
      <c r="F1478" s="1644" t="e">
        <f>SUMIF(#REF!,Final!A1478,#REF!)</f>
        <v>#REF!</v>
      </c>
      <c r="G1478" s="1597" t="e">
        <f t="shared" si="144"/>
        <v>#REF!</v>
      </c>
      <c r="H1478" s="1644" t="e">
        <f t="shared" si="145"/>
        <v>#REF!</v>
      </c>
      <c r="I1478" s="1597" t="e">
        <f t="shared" si="146"/>
        <v>#REF!</v>
      </c>
      <c r="J1478" s="1644" t="e">
        <f t="shared" si="147"/>
        <v>#REF!</v>
      </c>
      <c r="M1478" s="1545"/>
      <c r="N1478" s="1545"/>
    </row>
    <row r="1479" spans="1:93" s="1552" customFormat="1" ht="15.5">
      <c r="A1479" s="1598"/>
      <c r="B1479" s="1599" t="s">
        <v>1747</v>
      </c>
      <c r="C1479" s="1643" t="e">
        <f>+SUMIF(#REF!,Final!A1479,#REF!)</f>
        <v>#REF!</v>
      </c>
      <c r="D1479" s="1597" t="e">
        <f>+SUMIF(#REF!,Final!A1479,#REF!)</f>
        <v>#REF!</v>
      </c>
      <c r="E1479" s="1643" t="e">
        <f>SUMIF(#REF!,Final!A1479,#REF!)</f>
        <v>#REF!</v>
      </c>
      <c r="F1479" s="1644" t="e">
        <f>SUMIF(#REF!,Final!A1479,#REF!)</f>
        <v>#REF!</v>
      </c>
      <c r="G1479" s="1597" t="e">
        <f t="shared" si="144"/>
        <v>#REF!</v>
      </c>
      <c r="H1479" s="1644" t="e">
        <f t="shared" si="145"/>
        <v>#REF!</v>
      </c>
      <c r="I1479" s="1597" t="e">
        <f t="shared" si="146"/>
        <v>#REF!</v>
      </c>
      <c r="J1479" s="1644" t="e">
        <f t="shared" si="147"/>
        <v>#REF!</v>
      </c>
      <c r="K1479" s="1539"/>
      <c r="L1479" s="1539"/>
      <c r="M1479" s="1545"/>
      <c r="N1479" s="1545"/>
      <c r="O1479" s="1539"/>
      <c r="P1479" s="1539"/>
      <c r="Q1479" s="1539"/>
      <c r="R1479" s="1539"/>
      <c r="S1479" s="1539"/>
      <c r="T1479" s="1539"/>
      <c r="U1479" s="1539"/>
      <c r="V1479" s="1539"/>
      <c r="W1479" s="1539"/>
      <c r="X1479" s="1539"/>
      <c r="Y1479" s="1539"/>
      <c r="Z1479" s="1539"/>
      <c r="AA1479" s="1539"/>
      <c r="AB1479" s="1539"/>
      <c r="AC1479" s="1539"/>
      <c r="AD1479" s="1539"/>
      <c r="AE1479" s="1539"/>
      <c r="AF1479" s="1539"/>
      <c r="AG1479" s="1539"/>
      <c r="AH1479" s="1539"/>
      <c r="AI1479" s="1539"/>
      <c r="AJ1479" s="1539"/>
      <c r="AK1479" s="1539"/>
      <c r="AL1479" s="1539"/>
      <c r="AM1479" s="1539"/>
      <c r="AN1479" s="1539"/>
      <c r="AO1479" s="1539"/>
      <c r="AP1479" s="1539"/>
      <c r="AQ1479" s="1539"/>
      <c r="AR1479" s="1539"/>
      <c r="AS1479" s="1539"/>
      <c r="AT1479" s="1539"/>
      <c r="AU1479" s="1539"/>
      <c r="AV1479" s="1539"/>
      <c r="AW1479" s="1539"/>
      <c r="AX1479" s="1539"/>
      <c r="AY1479" s="1539"/>
      <c r="AZ1479" s="1539"/>
      <c r="BA1479" s="1539"/>
      <c r="BB1479" s="1539"/>
      <c r="BC1479" s="1539"/>
      <c r="BD1479" s="1539"/>
      <c r="BE1479" s="1539"/>
      <c r="BF1479" s="1539"/>
      <c r="BG1479" s="1539"/>
      <c r="BH1479" s="1539"/>
      <c r="BI1479" s="1539"/>
      <c r="BJ1479" s="1539"/>
      <c r="BK1479" s="1539"/>
      <c r="BL1479" s="1539"/>
      <c r="BM1479" s="1539"/>
      <c r="BN1479" s="1539"/>
      <c r="BO1479" s="1539"/>
      <c r="BP1479" s="1539"/>
      <c r="BQ1479" s="1539"/>
      <c r="BR1479" s="1539"/>
      <c r="BS1479" s="1539"/>
      <c r="BT1479" s="1539"/>
      <c r="BU1479" s="1539"/>
      <c r="BV1479" s="1539"/>
      <c r="BW1479" s="1539"/>
      <c r="BX1479" s="1539"/>
      <c r="BY1479" s="1539"/>
      <c r="BZ1479" s="1539"/>
      <c r="CA1479" s="1539"/>
      <c r="CB1479" s="1539"/>
      <c r="CC1479" s="1539"/>
      <c r="CD1479" s="1539"/>
      <c r="CE1479" s="1539"/>
      <c r="CF1479" s="1539"/>
      <c r="CG1479" s="1539"/>
      <c r="CH1479" s="1539"/>
      <c r="CI1479" s="1539"/>
      <c r="CJ1479" s="1539"/>
      <c r="CK1479" s="1539"/>
      <c r="CL1479" s="1539"/>
      <c r="CM1479" s="1539"/>
      <c r="CN1479" s="1539"/>
      <c r="CO1479" s="1539"/>
    </row>
    <row r="1480" spans="1:93" s="1552" customFormat="1" ht="15.5">
      <c r="A1480" s="1598"/>
      <c r="B1480" s="1599" t="s">
        <v>1760</v>
      </c>
      <c r="C1480" s="1643" t="e">
        <f>+SUMIF(#REF!,Final!A1480,#REF!)</f>
        <v>#REF!</v>
      </c>
      <c r="D1480" s="1597" t="e">
        <f>+SUMIF(#REF!,Final!A1480,#REF!)</f>
        <v>#REF!</v>
      </c>
      <c r="E1480" s="1643" t="e">
        <f>SUMIF(#REF!,Final!A1480,#REF!)</f>
        <v>#REF!</v>
      </c>
      <c r="F1480" s="1644" t="e">
        <f>SUMIF(#REF!,Final!A1480,#REF!)</f>
        <v>#REF!</v>
      </c>
      <c r="G1480" s="1597" t="e">
        <f t="shared" si="144"/>
        <v>#REF!</v>
      </c>
      <c r="H1480" s="1644" t="e">
        <f t="shared" si="145"/>
        <v>#REF!</v>
      </c>
      <c r="I1480" s="1597" t="e">
        <f t="shared" si="146"/>
        <v>#REF!</v>
      </c>
      <c r="J1480" s="1644" t="e">
        <f t="shared" si="147"/>
        <v>#REF!</v>
      </c>
      <c r="K1480" s="1539"/>
      <c r="L1480" s="1539"/>
      <c r="M1480" s="1545"/>
      <c r="N1480" s="1545"/>
      <c r="O1480" s="1539"/>
      <c r="P1480" s="1539"/>
      <c r="Q1480" s="1539"/>
      <c r="R1480" s="1539"/>
      <c r="S1480" s="1539"/>
      <c r="T1480" s="1539"/>
      <c r="U1480" s="1539"/>
      <c r="V1480" s="1539"/>
      <c r="W1480" s="1539"/>
      <c r="X1480" s="1539"/>
      <c r="Y1480" s="1539"/>
      <c r="Z1480" s="1539"/>
      <c r="AA1480" s="1539"/>
      <c r="AB1480" s="1539"/>
      <c r="AC1480" s="1539"/>
      <c r="AD1480" s="1539"/>
      <c r="AE1480" s="1539"/>
      <c r="AF1480" s="1539"/>
      <c r="AG1480" s="1539"/>
      <c r="AH1480" s="1539"/>
      <c r="AI1480" s="1539"/>
      <c r="AJ1480" s="1539"/>
      <c r="AK1480" s="1539"/>
      <c r="AL1480" s="1539"/>
      <c r="AM1480" s="1539"/>
      <c r="AN1480" s="1539"/>
      <c r="AO1480" s="1539"/>
      <c r="AP1480" s="1539"/>
      <c r="AQ1480" s="1539"/>
      <c r="AR1480" s="1539"/>
      <c r="AS1480" s="1539"/>
      <c r="AT1480" s="1539"/>
      <c r="AU1480" s="1539"/>
      <c r="AV1480" s="1539"/>
      <c r="AW1480" s="1539"/>
      <c r="AX1480" s="1539"/>
      <c r="AY1480" s="1539"/>
      <c r="AZ1480" s="1539"/>
      <c r="BA1480" s="1539"/>
      <c r="BB1480" s="1539"/>
      <c r="BC1480" s="1539"/>
      <c r="BD1480" s="1539"/>
      <c r="BE1480" s="1539"/>
      <c r="BF1480" s="1539"/>
      <c r="BG1480" s="1539"/>
      <c r="BH1480" s="1539"/>
      <c r="BI1480" s="1539"/>
      <c r="BJ1480" s="1539"/>
      <c r="BK1480" s="1539"/>
      <c r="BL1480" s="1539"/>
      <c r="BM1480" s="1539"/>
      <c r="BN1480" s="1539"/>
      <c r="BO1480" s="1539"/>
      <c r="BP1480" s="1539"/>
      <c r="BQ1480" s="1539"/>
      <c r="BR1480" s="1539"/>
      <c r="BS1480" s="1539"/>
      <c r="BT1480" s="1539"/>
      <c r="BU1480" s="1539"/>
      <c r="BV1480" s="1539"/>
      <c r="BW1480" s="1539"/>
      <c r="BX1480" s="1539"/>
      <c r="BY1480" s="1539"/>
      <c r="BZ1480" s="1539"/>
      <c r="CA1480" s="1539"/>
      <c r="CB1480" s="1539"/>
      <c r="CC1480" s="1539"/>
      <c r="CD1480" s="1539"/>
      <c r="CE1480" s="1539"/>
      <c r="CF1480" s="1539"/>
      <c r="CG1480" s="1539"/>
      <c r="CH1480" s="1539"/>
      <c r="CI1480" s="1539"/>
      <c r="CJ1480" s="1539"/>
      <c r="CK1480" s="1539"/>
      <c r="CL1480" s="1539"/>
      <c r="CM1480" s="1539"/>
      <c r="CN1480" s="1539"/>
      <c r="CO1480" s="1539"/>
    </row>
    <row r="1481" spans="1:93" s="1542" customFormat="1" ht="15.5">
      <c r="A1481" s="1598" t="s">
        <v>441</v>
      </c>
      <c r="B1481" s="1599" t="s">
        <v>3401</v>
      </c>
      <c r="C1481" s="1643" t="e">
        <f>+SUMIF(#REF!,Final!A1481,#REF!)</f>
        <v>#REF!</v>
      </c>
      <c r="D1481" s="1597" t="e">
        <f>+SUMIF(#REF!,Final!A1481,#REF!)</f>
        <v>#REF!</v>
      </c>
      <c r="E1481" s="1643" t="e">
        <f>SUMIF(#REF!,Final!A1481,#REF!)</f>
        <v>#REF!</v>
      </c>
      <c r="F1481" s="1644" t="e">
        <f>SUMIF(#REF!,Final!A1481,#REF!)</f>
        <v>#REF!</v>
      </c>
      <c r="G1481" s="1597" t="e">
        <f t="shared" si="144"/>
        <v>#REF!</v>
      </c>
      <c r="H1481" s="1644" t="e">
        <f t="shared" si="145"/>
        <v>#REF!</v>
      </c>
      <c r="I1481" s="1597" t="e">
        <f t="shared" si="146"/>
        <v>#REF!</v>
      </c>
      <c r="J1481" s="1644" t="e">
        <f t="shared" si="147"/>
        <v>#REF!</v>
      </c>
      <c r="K1481" s="1539"/>
      <c r="L1481" s="1539"/>
      <c r="M1481" s="1545"/>
      <c r="N1481" s="1545"/>
      <c r="O1481" s="1539"/>
      <c r="P1481" s="1539"/>
      <c r="Q1481" s="1539"/>
      <c r="R1481" s="1539"/>
      <c r="S1481" s="1539"/>
      <c r="T1481" s="1539"/>
      <c r="U1481" s="1539"/>
      <c r="V1481" s="1539"/>
      <c r="W1481" s="1539"/>
      <c r="X1481" s="1539"/>
      <c r="Y1481" s="1539"/>
      <c r="Z1481" s="1539"/>
      <c r="AA1481" s="1539"/>
      <c r="AB1481" s="1539"/>
      <c r="AC1481" s="1539"/>
      <c r="AD1481" s="1539"/>
      <c r="AE1481" s="1539"/>
      <c r="AF1481" s="1539"/>
      <c r="AG1481" s="1539"/>
      <c r="AH1481" s="1539"/>
      <c r="AI1481" s="1539"/>
      <c r="AJ1481" s="1539"/>
      <c r="AK1481" s="1539"/>
      <c r="AL1481" s="1539"/>
      <c r="AM1481" s="1539"/>
      <c r="AN1481" s="1539"/>
      <c r="AO1481" s="1539"/>
      <c r="AP1481" s="1539"/>
      <c r="AQ1481" s="1539"/>
      <c r="AR1481" s="1539"/>
      <c r="AS1481" s="1539"/>
      <c r="AT1481" s="1539"/>
      <c r="AU1481" s="1539"/>
      <c r="AV1481" s="1539"/>
      <c r="AW1481" s="1539"/>
      <c r="AX1481" s="1539"/>
      <c r="AY1481" s="1539"/>
      <c r="AZ1481" s="1539"/>
      <c r="BA1481" s="1539"/>
      <c r="BB1481" s="1539"/>
      <c r="BC1481" s="1539"/>
      <c r="BD1481" s="1539"/>
      <c r="BE1481" s="1539"/>
      <c r="BF1481" s="1539"/>
      <c r="BG1481" s="1539"/>
      <c r="BH1481" s="1539"/>
      <c r="BI1481" s="1539"/>
      <c r="BJ1481" s="1539"/>
      <c r="BK1481" s="1539"/>
      <c r="BL1481" s="1539"/>
      <c r="BM1481" s="1539"/>
      <c r="BN1481" s="1539"/>
      <c r="BO1481" s="1539"/>
      <c r="BP1481" s="1539"/>
      <c r="BQ1481" s="1539"/>
      <c r="BR1481" s="1539"/>
      <c r="BS1481" s="1539"/>
      <c r="BT1481" s="1539"/>
      <c r="BU1481" s="1539"/>
      <c r="BV1481" s="1539"/>
      <c r="BW1481" s="1539"/>
      <c r="BX1481" s="1539"/>
      <c r="BY1481" s="1539"/>
      <c r="BZ1481" s="1539"/>
      <c r="CA1481" s="1539"/>
      <c r="CB1481" s="1539"/>
      <c r="CC1481" s="1539"/>
      <c r="CD1481" s="1539"/>
      <c r="CE1481" s="1539"/>
      <c r="CF1481" s="1539"/>
      <c r="CG1481" s="1539"/>
      <c r="CH1481" s="1539"/>
      <c r="CI1481" s="1539"/>
      <c r="CJ1481" s="1539"/>
      <c r="CK1481" s="1539"/>
      <c r="CL1481" s="1539"/>
      <c r="CM1481" s="1539"/>
      <c r="CN1481" s="1539"/>
      <c r="CO1481" s="1539"/>
    </row>
    <row r="1482" spans="1:93" ht="15.5">
      <c r="A1482" s="1598">
        <v>28.62</v>
      </c>
      <c r="B1482" s="1599" t="s">
        <v>2880</v>
      </c>
      <c r="C1482" s="1643" t="e">
        <f>+SUMIF(#REF!,Final!A1482,#REF!)</f>
        <v>#REF!</v>
      </c>
      <c r="D1482" s="1597" t="e">
        <f>+SUMIF(#REF!,Final!A1482,#REF!)</f>
        <v>#REF!</v>
      </c>
      <c r="E1482" s="1643" t="e">
        <f>SUMIF(#REF!,Final!A1482,#REF!)</f>
        <v>#REF!</v>
      </c>
      <c r="F1482" s="1644" t="e">
        <f>SUMIF(#REF!,Final!A1482,#REF!)</f>
        <v>#REF!</v>
      </c>
      <c r="G1482" s="1597" t="e">
        <f t="shared" si="144"/>
        <v>#REF!</v>
      </c>
      <c r="H1482" s="1644" t="e">
        <f t="shared" si="145"/>
        <v>#REF!</v>
      </c>
      <c r="I1482" s="1597" t="e">
        <f t="shared" si="146"/>
        <v>#REF!</v>
      </c>
      <c r="J1482" s="1644" t="e">
        <f t="shared" si="147"/>
        <v>#REF!</v>
      </c>
      <c r="M1482" s="1545"/>
      <c r="N1482" s="1545"/>
    </row>
    <row r="1483" spans="1:93" s="1552" customFormat="1" ht="15.5">
      <c r="A1483" s="1598"/>
      <c r="B1483" s="1599" t="s">
        <v>1747</v>
      </c>
      <c r="C1483" s="1643" t="e">
        <f>+SUMIF(#REF!,Final!A1483,#REF!)</f>
        <v>#REF!</v>
      </c>
      <c r="D1483" s="1597" t="e">
        <f>+SUMIF(#REF!,Final!A1483,#REF!)</f>
        <v>#REF!</v>
      </c>
      <c r="E1483" s="1643" t="e">
        <f>SUMIF(#REF!,Final!A1483,#REF!)</f>
        <v>#REF!</v>
      </c>
      <c r="F1483" s="1644" t="e">
        <f>SUMIF(#REF!,Final!A1483,#REF!)</f>
        <v>#REF!</v>
      </c>
      <c r="G1483" s="1597" t="e">
        <f t="shared" si="144"/>
        <v>#REF!</v>
      </c>
      <c r="H1483" s="1644" t="e">
        <f t="shared" si="145"/>
        <v>#REF!</v>
      </c>
      <c r="I1483" s="1597" t="e">
        <f t="shared" si="146"/>
        <v>#REF!</v>
      </c>
      <c r="J1483" s="1644" t="e">
        <f t="shared" si="147"/>
        <v>#REF!</v>
      </c>
      <c r="K1483" s="1539"/>
      <c r="L1483" s="1539"/>
      <c r="M1483" s="1545"/>
      <c r="N1483" s="1545"/>
      <c r="O1483" s="1539"/>
      <c r="P1483" s="1539"/>
      <c r="Q1483" s="1539"/>
      <c r="R1483" s="1539"/>
      <c r="S1483" s="1539"/>
      <c r="T1483" s="1539"/>
      <c r="U1483" s="1539"/>
      <c r="V1483" s="1539"/>
      <c r="W1483" s="1539"/>
      <c r="X1483" s="1539"/>
      <c r="Y1483" s="1539"/>
      <c r="Z1483" s="1539"/>
      <c r="AA1483" s="1539"/>
      <c r="AB1483" s="1539"/>
      <c r="AC1483" s="1539"/>
      <c r="AD1483" s="1539"/>
      <c r="AE1483" s="1539"/>
      <c r="AF1483" s="1539"/>
      <c r="AG1483" s="1539"/>
      <c r="AH1483" s="1539"/>
      <c r="AI1483" s="1539"/>
      <c r="AJ1483" s="1539"/>
      <c r="AK1483" s="1539"/>
      <c r="AL1483" s="1539"/>
      <c r="AM1483" s="1539"/>
      <c r="AN1483" s="1539"/>
      <c r="AO1483" s="1539"/>
      <c r="AP1483" s="1539"/>
      <c r="AQ1483" s="1539"/>
      <c r="AR1483" s="1539"/>
      <c r="AS1483" s="1539"/>
      <c r="AT1483" s="1539"/>
      <c r="AU1483" s="1539"/>
      <c r="AV1483" s="1539"/>
      <c r="AW1483" s="1539"/>
      <c r="AX1483" s="1539"/>
      <c r="AY1483" s="1539"/>
      <c r="AZ1483" s="1539"/>
      <c r="BA1483" s="1539"/>
      <c r="BB1483" s="1539"/>
      <c r="BC1483" s="1539"/>
      <c r="BD1483" s="1539"/>
      <c r="BE1483" s="1539"/>
      <c r="BF1483" s="1539"/>
      <c r="BG1483" s="1539"/>
      <c r="BH1483" s="1539"/>
      <c r="BI1483" s="1539"/>
      <c r="BJ1483" s="1539"/>
      <c r="BK1483" s="1539"/>
      <c r="BL1483" s="1539"/>
      <c r="BM1483" s="1539"/>
      <c r="BN1483" s="1539"/>
      <c r="BO1483" s="1539"/>
      <c r="BP1483" s="1539"/>
      <c r="BQ1483" s="1539"/>
      <c r="BR1483" s="1539"/>
      <c r="BS1483" s="1539"/>
      <c r="BT1483" s="1539"/>
      <c r="BU1483" s="1539"/>
      <c r="BV1483" s="1539"/>
      <c r="BW1483" s="1539"/>
      <c r="BX1483" s="1539"/>
      <c r="BY1483" s="1539"/>
      <c r="BZ1483" s="1539"/>
      <c r="CA1483" s="1539"/>
      <c r="CB1483" s="1539"/>
      <c r="CC1483" s="1539"/>
      <c r="CD1483" s="1539"/>
      <c r="CE1483" s="1539"/>
      <c r="CF1483" s="1539"/>
      <c r="CG1483" s="1539"/>
      <c r="CH1483" s="1539"/>
      <c r="CI1483" s="1539"/>
      <c r="CJ1483" s="1539"/>
      <c r="CK1483" s="1539"/>
      <c r="CL1483" s="1539"/>
      <c r="CM1483" s="1539"/>
      <c r="CN1483" s="1539"/>
      <c r="CO1483" s="1539"/>
    </row>
    <row r="1484" spans="1:93" s="1552" customFormat="1" ht="15.5">
      <c r="A1484" s="1598"/>
      <c r="B1484" s="1599" t="s">
        <v>1760</v>
      </c>
      <c r="C1484" s="1643" t="e">
        <f>+SUMIF(#REF!,Final!A1484,#REF!)</f>
        <v>#REF!</v>
      </c>
      <c r="D1484" s="1597" t="e">
        <f>+SUMIF(#REF!,Final!A1484,#REF!)</f>
        <v>#REF!</v>
      </c>
      <c r="E1484" s="1643" t="e">
        <f>SUMIF(#REF!,Final!A1484,#REF!)</f>
        <v>#REF!</v>
      </c>
      <c r="F1484" s="1644" t="e">
        <f>SUMIF(#REF!,Final!A1484,#REF!)</f>
        <v>#REF!</v>
      </c>
      <c r="G1484" s="1597" t="e">
        <f t="shared" si="144"/>
        <v>#REF!</v>
      </c>
      <c r="H1484" s="1644" t="e">
        <f t="shared" si="145"/>
        <v>#REF!</v>
      </c>
      <c r="I1484" s="1597" t="e">
        <f t="shared" si="146"/>
        <v>#REF!</v>
      </c>
      <c r="J1484" s="1644" t="e">
        <f t="shared" si="147"/>
        <v>#REF!</v>
      </c>
      <c r="K1484" s="1539"/>
      <c r="L1484" s="1539"/>
      <c r="M1484" s="1545"/>
      <c r="N1484" s="1545"/>
      <c r="O1484" s="1539"/>
      <c r="P1484" s="1539"/>
      <c r="Q1484" s="1539"/>
      <c r="R1484" s="1539"/>
      <c r="S1484" s="1539"/>
      <c r="T1484" s="1539"/>
      <c r="U1484" s="1539"/>
      <c r="V1484" s="1539"/>
      <c r="W1484" s="1539"/>
      <c r="X1484" s="1539"/>
      <c r="Y1484" s="1539"/>
      <c r="Z1484" s="1539"/>
      <c r="AA1484" s="1539"/>
      <c r="AB1484" s="1539"/>
      <c r="AC1484" s="1539"/>
      <c r="AD1484" s="1539"/>
      <c r="AE1484" s="1539"/>
      <c r="AF1484" s="1539"/>
      <c r="AG1484" s="1539"/>
      <c r="AH1484" s="1539"/>
      <c r="AI1484" s="1539"/>
      <c r="AJ1484" s="1539"/>
      <c r="AK1484" s="1539"/>
      <c r="AL1484" s="1539"/>
      <c r="AM1484" s="1539"/>
      <c r="AN1484" s="1539"/>
      <c r="AO1484" s="1539"/>
      <c r="AP1484" s="1539"/>
      <c r="AQ1484" s="1539"/>
      <c r="AR1484" s="1539"/>
      <c r="AS1484" s="1539"/>
      <c r="AT1484" s="1539"/>
      <c r="AU1484" s="1539"/>
      <c r="AV1484" s="1539"/>
      <c r="AW1484" s="1539"/>
      <c r="AX1484" s="1539"/>
      <c r="AY1484" s="1539"/>
      <c r="AZ1484" s="1539"/>
      <c r="BA1484" s="1539"/>
      <c r="BB1484" s="1539"/>
      <c r="BC1484" s="1539"/>
      <c r="BD1484" s="1539"/>
      <c r="BE1484" s="1539"/>
      <c r="BF1484" s="1539"/>
      <c r="BG1484" s="1539"/>
      <c r="BH1484" s="1539"/>
      <c r="BI1484" s="1539"/>
      <c r="BJ1484" s="1539"/>
      <c r="BK1484" s="1539"/>
      <c r="BL1484" s="1539"/>
      <c r="BM1484" s="1539"/>
      <c r="BN1484" s="1539"/>
      <c r="BO1484" s="1539"/>
      <c r="BP1484" s="1539"/>
      <c r="BQ1484" s="1539"/>
      <c r="BR1484" s="1539"/>
      <c r="BS1484" s="1539"/>
      <c r="BT1484" s="1539"/>
      <c r="BU1484" s="1539"/>
      <c r="BV1484" s="1539"/>
      <c r="BW1484" s="1539"/>
      <c r="BX1484" s="1539"/>
      <c r="BY1484" s="1539"/>
      <c r="BZ1484" s="1539"/>
      <c r="CA1484" s="1539"/>
      <c r="CB1484" s="1539"/>
      <c r="CC1484" s="1539"/>
      <c r="CD1484" s="1539"/>
      <c r="CE1484" s="1539"/>
      <c r="CF1484" s="1539"/>
      <c r="CG1484" s="1539"/>
      <c r="CH1484" s="1539"/>
      <c r="CI1484" s="1539"/>
      <c r="CJ1484" s="1539"/>
      <c r="CK1484" s="1539"/>
      <c r="CL1484" s="1539"/>
      <c r="CM1484" s="1539"/>
      <c r="CN1484" s="1539"/>
      <c r="CO1484" s="1539"/>
    </row>
    <row r="1485" spans="1:93" s="1542" customFormat="1" ht="15.5">
      <c r="A1485" s="1598" t="s">
        <v>543</v>
      </c>
      <c r="B1485" s="1599" t="s">
        <v>3394</v>
      </c>
      <c r="C1485" s="1643" t="e">
        <f>+SUMIF(#REF!,Final!A1485,#REF!)</f>
        <v>#REF!</v>
      </c>
      <c r="D1485" s="1597" t="e">
        <f>+SUMIF(#REF!,Final!A1485,#REF!)</f>
        <v>#REF!</v>
      </c>
      <c r="E1485" s="1643" t="e">
        <f>SUMIF(#REF!,Final!A1485,#REF!)</f>
        <v>#REF!</v>
      </c>
      <c r="F1485" s="1644" t="e">
        <f>SUMIF(#REF!,Final!A1485,#REF!)</f>
        <v>#REF!</v>
      </c>
      <c r="G1485" s="1597" t="e">
        <f t="shared" si="144"/>
        <v>#REF!</v>
      </c>
      <c r="H1485" s="1644" t="e">
        <f t="shared" si="145"/>
        <v>#REF!</v>
      </c>
      <c r="I1485" s="1597" t="e">
        <f t="shared" si="146"/>
        <v>#REF!</v>
      </c>
      <c r="J1485" s="1644" t="e">
        <f t="shared" si="147"/>
        <v>#REF!</v>
      </c>
      <c r="K1485" s="1539"/>
      <c r="L1485" s="1539"/>
      <c r="M1485" s="1545"/>
      <c r="N1485" s="1545"/>
      <c r="O1485" s="1539"/>
      <c r="P1485" s="1539"/>
      <c r="Q1485" s="1539"/>
      <c r="R1485" s="1539"/>
      <c r="S1485" s="1539"/>
      <c r="T1485" s="1539"/>
      <c r="U1485" s="1539"/>
      <c r="V1485" s="1539"/>
      <c r="W1485" s="1539"/>
      <c r="X1485" s="1539"/>
      <c r="Y1485" s="1539"/>
      <c r="Z1485" s="1539"/>
      <c r="AA1485" s="1539"/>
      <c r="AB1485" s="1539"/>
      <c r="AC1485" s="1539"/>
      <c r="AD1485" s="1539"/>
      <c r="AE1485" s="1539"/>
      <c r="AF1485" s="1539"/>
      <c r="AG1485" s="1539"/>
      <c r="AH1485" s="1539"/>
      <c r="AI1485" s="1539"/>
      <c r="AJ1485" s="1539"/>
      <c r="AK1485" s="1539"/>
      <c r="AL1485" s="1539"/>
      <c r="AM1485" s="1539"/>
      <c r="AN1485" s="1539"/>
      <c r="AO1485" s="1539"/>
      <c r="AP1485" s="1539"/>
      <c r="AQ1485" s="1539"/>
      <c r="AR1485" s="1539"/>
      <c r="AS1485" s="1539"/>
      <c r="AT1485" s="1539"/>
      <c r="AU1485" s="1539"/>
      <c r="AV1485" s="1539"/>
      <c r="AW1485" s="1539"/>
      <c r="AX1485" s="1539"/>
      <c r="AY1485" s="1539"/>
      <c r="AZ1485" s="1539"/>
      <c r="BA1485" s="1539"/>
      <c r="BB1485" s="1539"/>
      <c r="BC1485" s="1539"/>
      <c r="BD1485" s="1539"/>
      <c r="BE1485" s="1539"/>
      <c r="BF1485" s="1539"/>
      <c r="BG1485" s="1539"/>
      <c r="BH1485" s="1539"/>
      <c r="BI1485" s="1539"/>
      <c r="BJ1485" s="1539"/>
      <c r="BK1485" s="1539"/>
      <c r="BL1485" s="1539"/>
      <c r="BM1485" s="1539"/>
      <c r="BN1485" s="1539"/>
      <c r="BO1485" s="1539"/>
      <c r="BP1485" s="1539"/>
      <c r="BQ1485" s="1539"/>
      <c r="BR1485" s="1539"/>
      <c r="BS1485" s="1539"/>
      <c r="BT1485" s="1539"/>
      <c r="BU1485" s="1539"/>
      <c r="BV1485" s="1539"/>
      <c r="BW1485" s="1539"/>
      <c r="BX1485" s="1539"/>
      <c r="BY1485" s="1539"/>
      <c r="BZ1485" s="1539"/>
      <c r="CA1485" s="1539"/>
      <c r="CB1485" s="1539"/>
      <c r="CC1485" s="1539"/>
      <c r="CD1485" s="1539"/>
      <c r="CE1485" s="1539"/>
      <c r="CF1485" s="1539"/>
      <c r="CG1485" s="1539"/>
      <c r="CH1485" s="1539"/>
      <c r="CI1485" s="1539"/>
      <c r="CJ1485" s="1539"/>
      <c r="CK1485" s="1539"/>
      <c r="CL1485" s="1539"/>
      <c r="CM1485" s="1539"/>
      <c r="CN1485" s="1539"/>
      <c r="CO1485" s="1539"/>
    </row>
    <row r="1486" spans="1:93" s="1542" customFormat="1" ht="15.5">
      <c r="A1486" s="1598" t="s">
        <v>446</v>
      </c>
      <c r="B1486" s="1599" t="s">
        <v>3402</v>
      </c>
      <c r="C1486" s="1643" t="e">
        <f>+SUMIF(#REF!,Final!A1486,#REF!)</f>
        <v>#REF!</v>
      </c>
      <c r="D1486" s="1597" t="e">
        <f>+SUMIF(#REF!,Final!A1486,#REF!)</f>
        <v>#REF!</v>
      </c>
      <c r="E1486" s="1643" t="e">
        <f>SUMIF(#REF!,Final!A1486,#REF!)</f>
        <v>#REF!</v>
      </c>
      <c r="F1486" s="1644" t="e">
        <f>SUMIF(#REF!,Final!A1486,#REF!)</f>
        <v>#REF!</v>
      </c>
      <c r="G1486" s="1597" t="e">
        <f t="shared" si="144"/>
        <v>#REF!</v>
      </c>
      <c r="H1486" s="1644" t="e">
        <f t="shared" si="145"/>
        <v>#REF!</v>
      </c>
      <c r="I1486" s="1597" t="e">
        <f t="shared" si="146"/>
        <v>#REF!</v>
      </c>
      <c r="J1486" s="1644" t="e">
        <f t="shared" si="147"/>
        <v>#REF!</v>
      </c>
      <c r="K1486" s="1539"/>
      <c r="L1486" s="1539"/>
      <c r="M1486" s="1545"/>
      <c r="N1486" s="1545"/>
      <c r="O1486" s="1539"/>
      <c r="P1486" s="1539"/>
      <c r="Q1486" s="1539"/>
      <c r="R1486" s="1539"/>
      <c r="S1486" s="1539"/>
      <c r="T1486" s="1539"/>
      <c r="U1486" s="1539"/>
      <c r="V1486" s="1539"/>
      <c r="W1486" s="1539"/>
      <c r="X1486" s="1539"/>
      <c r="Y1486" s="1539"/>
      <c r="Z1486" s="1539"/>
      <c r="AA1486" s="1539"/>
      <c r="AB1486" s="1539"/>
      <c r="AC1486" s="1539"/>
      <c r="AD1486" s="1539"/>
      <c r="AE1486" s="1539"/>
      <c r="AF1486" s="1539"/>
      <c r="AG1486" s="1539"/>
      <c r="AH1486" s="1539"/>
      <c r="AI1486" s="1539"/>
      <c r="AJ1486" s="1539"/>
      <c r="AK1486" s="1539"/>
      <c r="AL1486" s="1539"/>
      <c r="AM1486" s="1539"/>
      <c r="AN1486" s="1539"/>
      <c r="AO1486" s="1539"/>
      <c r="AP1486" s="1539"/>
      <c r="AQ1486" s="1539"/>
      <c r="AR1486" s="1539"/>
      <c r="AS1486" s="1539"/>
      <c r="AT1486" s="1539"/>
      <c r="AU1486" s="1539"/>
      <c r="AV1486" s="1539"/>
      <c r="AW1486" s="1539"/>
      <c r="AX1486" s="1539"/>
      <c r="AY1486" s="1539"/>
      <c r="AZ1486" s="1539"/>
      <c r="BA1486" s="1539"/>
      <c r="BB1486" s="1539"/>
      <c r="BC1486" s="1539"/>
      <c r="BD1486" s="1539"/>
      <c r="BE1486" s="1539"/>
      <c r="BF1486" s="1539"/>
      <c r="BG1486" s="1539"/>
      <c r="BH1486" s="1539"/>
      <c r="BI1486" s="1539"/>
      <c r="BJ1486" s="1539"/>
      <c r="BK1486" s="1539"/>
      <c r="BL1486" s="1539"/>
      <c r="BM1486" s="1539"/>
      <c r="BN1486" s="1539"/>
      <c r="BO1486" s="1539"/>
      <c r="BP1486" s="1539"/>
      <c r="BQ1486" s="1539"/>
      <c r="BR1486" s="1539"/>
      <c r="BS1486" s="1539"/>
      <c r="BT1486" s="1539"/>
      <c r="BU1486" s="1539"/>
      <c r="BV1486" s="1539"/>
      <c r="BW1486" s="1539"/>
      <c r="BX1486" s="1539"/>
      <c r="BY1486" s="1539"/>
      <c r="BZ1486" s="1539"/>
      <c r="CA1486" s="1539"/>
      <c r="CB1486" s="1539"/>
      <c r="CC1486" s="1539"/>
      <c r="CD1486" s="1539"/>
      <c r="CE1486" s="1539"/>
      <c r="CF1486" s="1539"/>
      <c r="CG1486" s="1539"/>
      <c r="CH1486" s="1539"/>
      <c r="CI1486" s="1539"/>
      <c r="CJ1486" s="1539"/>
      <c r="CK1486" s="1539"/>
      <c r="CL1486" s="1539"/>
      <c r="CM1486" s="1539"/>
      <c r="CN1486" s="1539"/>
      <c r="CO1486" s="1539"/>
    </row>
    <row r="1487" spans="1:93" ht="15.5">
      <c r="A1487" s="1598">
        <v>28.744</v>
      </c>
      <c r="B1487" s="1599" t="s">
        <v>2881</v>
      </c>
      <c r="C1487" s="1643" t="e">
        <f>+SUMIF(#REF!,Final!A1487,#REF!)</f>
        <v>#REF!</v>
      </c>
      <c r="D1487" s="1597" t="e">
        <f>+SUMIF(#REF!,Final!A1487,#REF!)</f>
        <v>#REF!</v>
      </c>
      <c r="E1487" s="1643" t="e">
        <f>SUMIF(#REF!,Final!A1487,#REF!)</f>
        <v>#REF!</v>
      </c>
      <c r="F1487" s="1644" t="e">
        <f>SUMIF(#REF!,Final!A1487,#REF!)</f>
        <v>#REF!</v>
      </c>
      <c r="G1487" s="1597" t="e">
        <f t="shared" si="144"/>
        <v>#REF!</v>
      </c>
      <c r="H1487" s="1644" t="e">
        <f t="shared" si="145"/>
        <v>#REF!</v>
      </c>
      <c r="I1487" s="1597" t="e">
        <f t="shared" si="146"/>
        <v>#REF!</v>
      </c>
      <c r="J1487" s="1644" t="e">
        <f t="shared" si="147"/>
        <v>#REF!</v>
      </c>
      <c r="M1487" s="1545"/>
      <c r="N1487" s="1545"/>
    </row>
    <row r="1488" spans="1:93" ht="15.5">
      <c r="A1488" s="1598">
        <v>28.745000000000001</v>
      </c>
      <c r="B1488" s="1599" t="s">
        <v>2882</v>
      </c>
      <c r="C1488" s="1643" t="e">
        <f>+SUMIF(#REF!,Final!A1488,#REF!)</f>
        <v>#REF!</v>
      </c>
      <c r="D1488" s="1597" t="e">
        <f>+SUMIF(#REF!,Final!A1488,#REF!)</f>
        <v>#REF!</v>
      </c>
      <c r="E1488" s="1643" t="e">
        <f>SUMIF(#REF!,Final!A1488,#REF!)</f>
        <v>#REF!</v>
      </c>
      <c r="F1488" s="1644" t="e">
        <f>SUMIF(#REF!,Final!A1488,#REF!)</f>
        <v>#REF!</v>
      </c>
      <c r="G1488" s="1597" t="e">
        <f t="shared" si="144"/>
        <v>#REF!</v>
      </c>
      <c r="H1488" s="1644" t="e">
        <f t="shared" si="145"/>
        <v>#REF!</v>
      </c>
      <c r="I1488" s="1597" t="e">
        <f t="shared" si="146"/>
        <v>#REF!</v>
      </c>
      <c r="J1488" s="1644" t="e">
        <f t="shared" si="147"/>
        <v>#REF!</v>
      </c>
      <c r="M1488" s="1545"/>
      <c r="N1488" s="1545"/>
    </row>
    <row r="1489" spans="1:93" ht="15.5">
      <c r="A1489" s="1598">
        <v>28.745999999999999</v>
      </c>
      <c r="B1489" s="1599" t="s">
        <v>2883</v>
      </c>
      <c r="C1489" s="1643" t="e">
        <f>+SUMIF(#REF!,Final!A1489,#REF!)</f>
        <v>#REF!</v>
      </c>
      <c r="D1489" s="1597" t="e">
        <f>+SUMIF(#REF!,Final!A1489,#REF!)</f>
        <v>#REF!</v>
      </c>
      <c r="E1489" s="1643" t="e">
        <f>SUMIF(#REF!,Final!A1489,#REF!)</f>
        <v>#REF!</v>
      </c>
      <c r="F1489" s="1644" t="e">
        <f>SUMIF(#REF!,Final!A1489,#REF!)</f>
        <v>#REF!</v>
      </c>
      <c r="G1489" s="1597" t="e">
        <f t="shared" si="144"/>
        <v>#REF!</v>
      </c>
      <c r="H1489" s="1644" t="e">
        <f t="shared" si="145"/>
        <v>#REF!</v>
      </c>
      <c r="I1489" s="1597" t="e">
        <f t="shared" si="146"/>
        <v>#REF!</v>
      </c>
      <c r="J1489" s="1644" t="e">
        <f t="shared" si="147"/>
        <v>#REF!</v>
      </c>
      <c r="M1489" s="1545"/>
      <c r="N1489" s="1545"/>
    </row>
    <row r="1490" spans="1:93" ht="15.5">
      <c r="A1490" s="1598">
        <v>28.748999999999999</v>
      </c>
      <c r="B1490" s="1599" t="s">
        <v>2884</v>
      </c>
      <c r="C1490" s="1643" t="e">
        <f>+SUMIF(#REF!,Final!A1490,#REF!)</f>
        <v>#REF!</v>
      </c>
      <c r="D1490" s="1597" t="e">
        <f>+SUMIF(#REF!,Final!A1490,#REF!)</f>
        <v>#REF!</v>
      </c>
      <c r="E1490" s="1643" t="e">
        <f>SUMIF(#REF!,Final!A1490,#REF!)</f>
        <v>#REF!</v>
      </c>
      <c r="F1490" s="1644" t="e">
        <f>SUMIF(#REF!,Final!A1490,#REF!)</f>
        <v>#REF!</v>
      </c>
      <c r="G1490" s="1597" t="e">
        <f t="shared" si="144"/>
        <v>#REF!</v>
      </c>
      <c r="H1490" s="1644" t="e">
        <f t="shared" si="145"/>
        <v>#REF!</v>
      </c>
      <c r="I1490" s="1597" t="e">
        <f t="shared" si="146"/>
        <v>#REF!</v>
      </c>
      <c r="J1490" s="1644" t="e">
        <f t="shared" si="147"/>
        <v>#REF!</v>
      </c>
      <c r="M1490" s="1545"/>
      <c r="N1490" s="1545"/>
    </row>
    <row r="1491" spans="1:93" s="1552" customFormat="1" ht="15.5">
      <c r="A1491" s="1598"/>
      <c r="B1491" s="1599" t="s">
        <v>1747</v>
      </c>
      <c r="C1491" s="1643" t="e">
        <f>+SUMIF(#REF!,Final!A1491,#REF!)</f>
        <v>#REF!</v>
      </c>
      <c r="D1491" s="1597" t="e">
        <f>+SUMIF(#REF!,Final!A1491,#REF!)</f>
        <v>#REF!</v>
      </c>
      <c r="E1491" s="1643" t="e">
        <f>SUMIF(#REF!,Final!A1491,#REF!)</f>
        <v>#REF!</v>
      </c>
      <c r="F1491" s="1644" t="e">
        <f>SUMIF(#REF!,Final!A1491,#REF!)</f>
        <v>#REF!</v>
      </c>
      <c r="G1491" s="1597" t="e">
        <f t="shared" si="144"/>
        <v>#REF!</v>
      </c>
      <c r="H1491" s="1644" t="e">
        <f t="shared" si="145"/>
        <v>#REF!</v>
      </c>
      <c r="I1491" s="1597" t="e">
        <f t="shared" si="146"/>
        <v>#REF!</v>
      </c>
      <c r="J1491" s="1644" t="e">
        <f t="shared" si="147"/>
        <v>#REF!</v>
      </c>
      <c r="K1491" s="1539"/>
      <c r="L1491" s="1539"/>
      <c r="M1491" s="1545"/>
      <c r="N1491" s="1545"/>
      <c r="O1491" s="1539"/>
      <c r="P1491" s="1539"/>
      <c r="Q1491" s="1539"/>
      <c r="R1491" s="1539"/>
      <c r="S1491" s="1539"/>
      <c r="T1491" s="1539"/>
      <c r="U1491" s="1539"/>
      <c r="V1491" s="1539"/>
      <c r="W1491" s="1539"/>
      <c r="X1491" s="1539"/>
      <c r="Y1491" s="1539"/>
      <c r="Z1491" s="1539"/>
      <c r="AA1491" s="1539"/>
      <c r="AB1491" s="1539"/>
      <c r="AC1491" s="1539"/>
      <c r="AD1491" s="1539"/>
      <c r="AE1491" s="1539"/>
      <c r="AF1491" s="1539"/>
      <c r="AG1491" s="1539"/>
      <c r="AH1491" s="1539"/>
      <c r="AI1491" s="1539"/>
      <c r="AJ1491" s="1539"/>
      <c r="AK1491" s="1539"/>
      <c r="AL1491" s="1539"/>
      <c r="AM1491" s="1539"/>
      <c r="AN1491" s="1539"/>
      <c r="AO1491" s="1539"/>
      <c r="AP1491" s="1539"/>
      <c r="AQ1491" s="1539"/>
      <c r="AR1491" s="1539"/>
      <c r="AS1491" s="1539"/>
      <c r="AT1491" s="1539"/>
      <c r="AU1491" s="1539"/>
      <c r="AV1491" s="1539"/>
      <c r="AW1491" s="1539"/>
      <c r="AX1491" s="1539"/>
      <c r="AY1491" s="1539"/>
      <c r="AZ1491" s="1539"/>
      <c r="BA1491" s="1539"/>
      <c r="BB1491" s="1539"/>
      <c r="BC1491" s="1539"/>
      <c r="BD1491" s="1539"/>
      <c r="BE1491" s="1539"/>
      <c r="BF1491" s="1539"/>
      <c r="BG1491" s="1539"/>
      <c r="BH1491" s="1539"/>
      <c r="BI1491" s="1539"/>
      <c r="BJ1491" s="1539"/>
      <c r="BK1491" s="1539"/>
      <c r="BL1491" s="1539"/>
      <c r="BM1491" s="1539"/>
      <c r="BN1491" s="1539"/>
      <c r="BO1491" s="1539"/>
      <c r="BP1491" s="1539"/>
      <c r="BQ1491" s="1539"/>
      <c r="BR1491" s="1539"/>
      <c r="BS1491" s="1539"/>
      <c r="BT1491" s="1539"/>
      <c r="BU1491" s="1539"/>
      <c r="BV1491" s="1539"/>
      <c r="BW1491" s="1539"/>
      <c r="BX1491" s="1539"/>
      <c r="BY1491" s="1539"/>
      <c r="BZ1491" s="1539"/>
      <c r="CA1491" s="1539"/>
      <c r="CB1491" s="1539"/>
      <c r="CC1491" s="1539"/>
      <c r="CD1491" s="1539"/>
      <c r="CE1491" s="1539"/>
      <c r="CF1491" s="1539"/>
      <c r="CG1491" s="1539"/>
      <c r="CH1491" s="1539"/>
      <c r="CI1491" s="1539"/>
      <c r="CJ1491" s="1539"/>
      <c r="CK1491" s="1539"/>
      <c r="CL1491" s="1539"/>
      <c r="CM1491" s="1539"/>
      <c r="CN1491" s="1539"/>
      <c r="CO1491" s="1539"/>
    </row>
    <row r="1492" spans="1:93" s="1552" customFormat="1" ht="15.5">
      <c r="A1492" s="1598"/>
      <c r="B1492" s="1599" t="s">
        <v>1760</v>
      </c>
      <c r="C1492" s="1643" t="e">
        <f>+SUMIF(#REF!,Final!A1492,#REF!)</f>
        <v>#REF!</v>
      </c>
      <c r="D1492" s="1597" t="e">
        <f>+SUMIF(#REF!,Final!A1492,#REF!)</f>
        <v>#REF!</v>
      </c>
      <c r="E1492" s="1643" t="e">
        <f>SUMIF(#REF!,Final!A1492,#REF!)</f>
        <v>#REF!</v>
      </c>
      <c r="F1492" s="1644" t="e">
        <f>SUMIF(#REF!,Final!A1492,#REF!)</f>
        <v>#REF!</v>
      </c>
      <c r="G1492" s="1597" t="e">
        <f t="shared" si="144"/>
        <v>#REF!</v>
      </c>
      <c r="H1492" s="1644" t="e">
        <f t="shared" si="145"/>
        <v>#REF!</v>
      </c>
      <c r="I1492" s="1597" t="e">
        <f t="shared" si="146"/>
        <v>#REF!</v>
      </c>
      <c r="J1492" s="1644" t="e">
        <f t="shared" si="147"/>
        <v>#REF!</v>
      </c>
      <c r="K1492" s="1539"/>
      <c r="L1492" s="1539"/>
      <c r="M1492" s="1545"/>
      <c r="N1492" s="1545"/>
      <c r="O1492" s="1539"/>
      <c r="P1492" s="1539"/>
      <c r="Q1492" s="1539"/>
      <c r="R1492" s="1539"/>
      <c r="S1492" s="1539"/>
      <c r="T1492" s="1539"/>
      <c r="U1492" s="1539"/>
      <c r="V1492" s="1539"/>
      <c r="W1492" s="1539"/>
      <c r="X1492" s="1539"/>
      <c r="Y1492" s="1539"/>
      <c r="Z1492" s="1539"/>
      <c r="AA1492" s="1539"/>
      <c r="AB1492" s="1539"/>
      <c r="AC1492" s="1539"/>
      <c r="AD1492" s="1539"/>
      <c r="AE1492" s="1539"/>
      <c r="AF1492" s="1539"/>
      <c r="AG1492" s="1539"/>
      <c r="AH1492" s="1539"/>
      <c r="AI1492" s="1539"/>
      <c r="AJ1492" s="1539"/>
      <c r="AK1492" s="1539"/>
      <c r="AL1492" s="1539"/>
      <c r="AM1492" s="1539"/>
      <c r="AN1492" s="1539"/>
      <c r="AO1492" s="1539"/>
      <c r="AP1492" s="1539"/>
      <c r="AQ1492" s="1539"/>
      <c r="AR1492" s="1539"/>
      <c r="AS1492" s="1539"/>
      <c r="AT1492" s="1539"/>
      <c r="AU1492" s="1539"/>
      <c r="AV1492" s="1539"/>
      <c r="AW1492" s="1539"/>
      <c r="AX1492" s="1539"/>
      <c r="AY1492" s="1539"/>
      <c r="AZ1492" s="1539"/>
      <c r="BA1492" s="1539"/>
      <c r="BB1492" s="1539"/>
      <c r="BC1492" s="1539"/>
      <c r="BD1492" s="1539"/>
      <c r="BE1492" s="1539"/>
      <c r="BF1492" s="1539"/>
      <c r="BG1492" s="1539"/>
      <c r="BH1492" s="1539"/>
      <c r="BI1492" s="1539"/>
      <c r="BJ1492" s="1539"/>
      <c r="BK1492" s="1539"/>
      <c r="BL1492" s="1539"/>
      <c r="BM1492" s="1539"/>
      <c r="BN1492" s="1539"/>
      <c r="BO1492" s="1539"/>
      <c r="BP1492" s="1539"/>
      <c r="BQ1492" s="1539"/>
      <c r="BR1492" s="1539"/>
      <c r="BS1492" s="1539"/>
      <c r="BT1492" s="1539"/>
      <c r="BU1492" s="1539"/>
      <c r="BV1492" s="1539"/>
      <c r="BW1492" s="1539"/>
      <c r="BX1492" s="1539"/>
      <c r="BY1492" s="1539"/>
      <c r="BZ1492" s="1539"/>
      <c r="CA1492" s="1539"/>
      <c r="CB1492" s="1539"/>
      <c r="CC1492" s="1539"/>
      <c r="CD1492" s="1539"/>
      <c r="CE1492" s="1539"/>
      <c r="CF1492" s="1539"/>
      <c r="CG1492" s="1539"/>
      <c r="CH1492" s="1539"/>
      <c r="CI1492" s="1539"/>
      <c r="CJ1492" s="1539"/>
      <c r="CK1492" s="1539"/>
      <c r="CL1492" s="1539"/>
      <c r="CM1492" s="1539"/>
      <c r="CN1492" s="1539"/>
      <c r="CO1492" s="1539"/>
    </row>
    <row r="1493" spans="1:93" s="1542" customFormat="1" ht="15.5">
      <c r="A1493" s="1598" t="s">
        <v>450</v>
      </c>
      <c r="B1493" s="1599" t="s">
        <v>3394</v>
      </c>
      <c r="C1493" s="1643" t="e">
        <f>+SUMIF(#REF!,Final!A1493,#REF!)</f>
        <v>#REF!</v>
      </c>
      <c r="D1493" s="1597" t="e">
        <f>+SUMIF(#REF!,Final!A1493,#REF!)</f>
        <v>#REF!</v>
      </c>
      <c r="E1493" s="1643" t="e">
        <f>SUMIF(#REF!,Final!A1493,#REF!)</f>
        <v>#REF!</v>
      </c>
      <c r="F1493" s="1644" t="e">
        <f>SUMIF(#REF!,Final!A1493,#REF!)</f>
        <v>#REF!</v>
      </c>
      <c r="G1493" s="1597" t="e">
        <f t="shared" si="144"/>
        <v>#REF!</v>
      </c>
      <c r="H1493" s="1644" t="e">
        <f t="shared" si="145"/>
        <v>#REF!</v>
      </c>
      <c r="I1493" s="1597" t="e">
        <f t="shared" si="146"/>
        <v>#REF!</v>
      </c>
      <c r="J1493" s="1644" t="e">
        <f t="shared" si="147"/>
        <v>#REF!</v>
      </c>
      <c r="K1493" s="1539"/>
      <c r="L1493" s="1539"/>
      <c r="M1493" s="1545"/>
      <c r="N1493" s="1545"/>
      <c r="O1493" s="1539"/>
      <c r="P1493" s="1539"/>
      <c r="Q1493" s="1539"/>
      <c r="R1493" s="1539"/>
      <c r="S1493" s="1539"/>
      <c r="T1493" s="1539"/>
      <c r="U1493" s="1539"/>
      <c r="V1493" s="1539"/>
      <c r="W1493" s="1539"/>
      <c r="X1493" s="1539"/>
      <c r="Y1493" s="1539"/>
      <c r="Z1493" s="1539"/>
      <c r="AA1493" s="1539"/>
      <c r="AB1493" s="1539"/>
      <c r="AC1493" s="1539"/>
      <c r="AD1493" s="1539"/>
      <c r="AE1493" s="1539"/>
      <c r="AF1493" s="1539"/>
      <c r="AG1493" s="1539"/>
      <c r="AH1493" s="1539"/>
      <c r="AI1493" s="1539"/>
      <c r="AJ1493" s="1539"/>
      <c r="AK1493" s="1539"/>
      <c r="AL1493" s="1539"/>
      <c r="AM1493" s="1539"/>
      <c r="AN1493" s="1539"/>
      <c r="AO1493" s="1539"/>
      <c r="AP1493" s="1539"/>
      <c r="AQ1493" s="1539"/>
      <c r="AR1493" s="1539"/>
      <c r="AS1493" s="1539"/>
      <c r="AT1493" s="1539"/>
      <c r="AU1493" s="1539"/>
      <c r="AV1493" s="1539"/>
      <c r="AW1493" s="1539"/>
      <c r="AX1493" s="1539"/>
      <c r="AY1493" s="1539"/>
      <c r="AZ1493" s="1539"/>
      <c r="BA1493" s="1539"/>
      <c r="BB1493" s="1539"/>
      <c r="BC1493" s="1539"/>
      <c r="BD1493" s="1539"/>
      <c r="BE1493" s="1539"/>
      <c r="BF1493" s="1539"/>
      <c r="BG1493" s="1539"/>
      <c r="BH1493" s="1539"/>
      <c r="BI1493" s="1539"/>
      <c r="BJ1493" s="1539"/>
      <c r="BK1493" s="1539"/>
      <c r="BL1493" s="1539"/>
      <c r="BM1493" s="1539"/>
      <c r="BN1493" s="1539"/>
      <c r="BO1493" s="1539"/>
      <c r="BP1493" s="1539"/>
      <c r="BQ1493" s="1539"/>
      <c r="BR1493" s="1539"/>
      <c r="BS1493" s="1539"/>
      <c r="BT1493" s="1539"/>
      <c r="BU1493" s="1539"/>
      <c r="BV1493" s="1539"/>
      <c r="BW1493" s="1539"/>
      <c r="BX1493" s="1539"/>
      <c r="BY1493" s="1539"/>
      <c r="BZ1493" s="1539"/>
      <c r="CA1493" s="1539"/>
      <c r="CB1493" s="1539"/>
      <c r="CC1493" s="1539"/>
      <c r="CD1493" s="1539"/>
      <c r="CE1493" s="1539"/>
      <c r="CF1493" s="1539"/>
      <c r="CG1493" s="1539"/>
      <c r="CH1493" s="1539"/>
      <c r="CI1493" s="1539"/>
      <c r="CJ1493" s="1539"/>
      <c r="CK1493" s="1539"/>
      <c r="CL1493" s="1539"/>
      <c r="CM1493" s="1539"/>
      <c r="CN1493" s="1539"/>
      <c r="CO1493" s="1539"/>
    </row>
    <row r="1494" spans="1:93" ht="15.5">
      <c r="A1494" s="1598">
        <v>28.800999999999998</v>
      </c>
      <c r="B1494" s="1599" t="s">
        <v>2885</v>
      </c>
      <c r="C1494" s="1643" t="e">
        <f>+SUMIF(#REF!,Final!A1494,#REF!)</f>
        <v>#REF!</v>
      </c>
      <c r="D1494" s="1597" t="e">
        <f>+SUMIF(#REF!,Final!A1494,#REF!)</f>
        <v>#REF!</v>
      </c>
      <c r="E1494" s="1643" t="e">
        <f>SUMIF(#REF!,Final!A1494,#REF!)</f>
        <v>#REF!</v>
      </c>
      <c r="F1494" s="1644" t="e">
        <f>SUMIF(#REF!,Final!A1494,#REF!)</f>
        <v>#REF!</v>
      </c>
      <c r="G1494" s="1597" t="e">
        <f t="shared" si="144"/>
        <v>#REF!</v>
      </c>
      <c r="H1494" s="1644" t="e">
        <f t="shared" si="145"/>
        <v>#REF!</v>
      </c>
      <c r="I1494" s="1597" t="e">
        <f t="shared" si="146"/>
        <v>#REF!</v>
      </c>
      <c r="J1494" s="1644" t="e">
        <f t="shared" si="147"/>
        <v>#REF!</v>
      </c>
      <c r="M1494" s="1545"/>
      <c r="N1494" s="1545"/>
    </row>
    <row r="1495" spans="1:93" ht="15.5">
      <c r="A1495" s="1598">
        <v>28.802</v>
      </c>
      <c r="B1495" s="1599" t="s">
        <v>2886</v>
      </c>
      <c r="C1495" s="1643" t="e">
        <f>+SUMIF(#REF!,Final!A1495,#REF!)</f>
        <v>#REF!</v>
      </c>
      <c r="D1495" s="1597" t="e">
        <f>+SUMIF(#REF!,Final!A1495,#REF!)</f>
        <v>#REF!</v>
      </c>
      <c r="E1495" s="1643" t="e">
        <f>SUMIF(#REF!,Final!A1495,#REF!)</f>
        <v>#REF!</v>
      </c>
      <c r="F1495" s="1644" t="e">
        <f>SUMIF(#REF!,Final!A1495,#REF!)</f>
        <v>#REF!</v>
      </c>
      <c r="G1495" s="1597" t="e">
        <f t="shared" si="144"/>
        <v>#REF!</v>
      </c>
      <c r="H1495" s="1644" t="e">
        <f t="shared" si="145"/>
        <v>#REF!</v>
      </c>
      <c r="I1495" s="1597" t="e">
        <f t="shared" si="146"/>
        <v>#REF!</v>
      </c>
      <c r="J1495" s="1644" t="e">
        <f t="shared" si="147"/>
        <v>#REF!</v>
      </c>
      <c r="M1495" s="1545"/>
      <c r="N1495" s="1545"/>
    </row>
    <row r="1496" spans="1:93" s="1542" customFormat="1" ht="15.5">
      <c r="A1496" s="1598">
        <v>28.803000000000001</v>
      </c>
      <c r="B1496" s="1599" t="s">
        <v>2887</v>
      </c>
      <c r="C1496" s="1643" t="e">
        <f>+SUMIF(#REF!,Final!A1496,#REF!)</f>
        <v>#REF!</v>
      </c>
      <c r="D1496" s="1597" t="e">
        <f>+SUMIF(#REF!,Final!A1496,#REF!)</f>
        <v>#REF!</v>
      </c>
      <c r="E1496" s="1643" t="e">
        <f>SUMIF(#REF!,Final!A1496,#REF!)</f>
        <v>#REF!</v>
      </c>
      <c r="F1496" s="1644" t="e">
        <f>SUMIF(#REF!,Final!A1496,#REF!)</f>
        <v>#REF!</v>
      </c>
      <c r="G1496" s="1597" t="e">
        <f t="shared" si="144"/>
        <v>#REF!</v>
      </c>
      <c r="H1496" s="1644" t="e">
        <f t="shared" si="145"/>
        <v>#REF!</v>
      </c>
      <c r="I1496" s="1597" t="e">
        <f t="shared" si="146"/>
        <v>#REF!</v>
      </c>
      <c r="J1496" s="1644" t="e">
        <f t="shared" si="147"/>
        <v>#REF!</v>
      </c>
      <c r="K1496" s="1539"/>
      <c r="L1496" s="1539"/>
      <c r="M1496" s="1545"/>
      <c r="N1496" s="1545"/>
      <c r="O1496" s="1539"/>
      <c r="P1496" s="1539"/>
      <c r="Q1496" s="1539"/>
      <c r="R1496" s="1539"/>
      <c r="S1496" s="1539"/>
      <c r="T1496" s="1539"/>
      <c r="U1496" s="1539"/>
      <c r="V1496" s="1539"/>
      <c r="W1496" s="1539"/>
      <c r="X1496" s="1539"/>
      <c r="Y1496" s="1539"/>
      <c r="Z1496" s="1539"/>
      <c r="AA1496" s="1539"/>
      <c r="AB1496" s="1539"/>
      <c r="AC1496" s="1539"/>
      <c r="AD1496" s="1539"/>
      <c r="AE1496" s="1539"/>
      <c r="AF1496" s="1539"/>
      <c r="AG1496" s="1539"/>
      <c r="AH1496" s="1539"/>
      <c r="AI1496" s="1539"/>
      <c r="AJ1496" s="1539"/>
      <c r="AK1496" s="1539"/>
      <c r="AL1496" s="1539"/>
      <c r="AM1496" s="1539"/>
      <c r="AN1496" s="1539"/>
      <c r="AO1496" s="1539"/>
      <c r="AP1496" s="1539"/>
      <c r="AQ1496" s="1539"/>
      <c r="AR1496" s="1539"/>
      <c r="AS1496" s="1539"/>
      <c r="AT1496" s="1539"/>
      <c r="AU1496" s="1539"/>
      <c r="AV1496" s="1539"/>
      <c r="AW1496" s="1539"/>
      <c r="AX1496" s="1539"/>
      <c r="AY1496" s="1539"/>
      <c r="AZ1496" s="1539"/>
      <c r="BA1496" s="1539"/>
      <c r="BB1496" s="1539"/>
      <c r="BC1496" s="1539"/>
      <c r="BD1496" s="1539"/>
      <c r="BE1496" s="1539"/>
      <c r="BF1496" s="1539"/>
      <c r="BG1496" s="1539"/>
      <c r="BH1496" s="1539"/>
      <c r="BI1496" s="1539"/>
      <c r="BJ1496" s="1539"/>
      <c r="BK1496" s="1539"/>
      <c r="BL1496" s="1539"/>
      <c r="BM1496" s="1539"/>
      <c r="BN1496" s="1539"/>
      <c r="BO1496" s="1539"/>
      <c r="BP1496" s="1539"/>
      <c r="BQ1496" s="1539"/>
      <c r="BR1496" s="1539"/>
      <c r="BS1496" s="1539"/>
      <c r="BT1496" s="1539"/>
      <c r="BU1496" s="1539"/>
      <c r="BV1496" s="1539"/>
      <c r="BW1496" s="1539"/>
      <c r="BX1496" s="1539"/>
      <c r="BY1496" s="1539"/>
      <c r="BZ1496" s="1539"/>
      <c r="CA1496" s="1539"/>
      <c r="CB1496" s="1539"/>
      <c r="CC1496" s="1539"/>
      <c r="CD1496" s="1539"/>
      <c r="CE1496" s="1539"/>
      <c r="CF1496" s="1539"/>
      <c r="CG1496" s="1539"/>
      <c r="CH1496" s="1539"/>
      <c r="CI1496" s="1539"/>
      <c r="CJ1496" s="1539"/>
      <c r="CK1496" s="1539"/>
      <c r="CL1496" s="1539"/>
      <c r="CM1496" s="1539"/>
      <c r="CN1496" s="1539"/>
      <c r="CO1496" s="1539"/>
    </row>
    <row r="1497" spans="1:93" s="1552" customFormat="1" ht="15.5">
      <c r="A1497" s="1598"/>
      <c r="B1497" s="1599" t="s">
        <v>1747</v>
      </c>
      <c r="C1497" s="1643" t="e">
        <f>+SUMIF(#REF!,Final!A1497,#REF!)</f>
        <v>#REF!</v>
      </c>
      <c r="D1497" s="1597" t="e">
        <f>+SUMIF(#REF!,Final!A1497,#REF!)</f>
        <v>#REF!</v>
      </c>
      <c r="E1497" s="1643" t="e">
        <f>SUMIF(#REF!,Final!A1497,#REF!)</f>
        <v>#REF!</v>
      </c>
      <c r="F1497" s="1644" t="e">
        <f>SUMIF(#REF!,Final!A1497,#REF!)</f>
        <v>#REF!</v>
      </c>
      <c r="G1497" s="1597" t="e">
        <f t="shared" si="144"/>
        <v>#REF!</v>
      </c>
      <c r="H1497" s="1644" t="e">
        <f t="shared" si="145"/>
        <v>#REF!</v>
      </c>
      <c r="I1497" s="1597" t="e">
        <f t="shared" si="146"/>
        <v>#REF!</v>
      </c>
      <c r="J1497" s="1644" t="e">
        <f t="shared" si="147"/>
        <v>#REF!</v>
      </c>
      <c r="K1497" s="1539"/>
      <c r="L1497" s="1539"/>
      <c r="M1497" s="1545"/>
      <c r="N1497" s="1545"/>
      <c r="O1497" s="1539"/>
      <c r="P1497" s="1539"/>
      <c r="Q1497" s="1539"/>
      <c r="R1497" s="1539"/>
      <c r="S1497" s="1539"/>
      <c r="T1497" s="1539"/>
      <c r="U1497" s="1539"/>
      <c r="V1497" s="1539"/>
      <c r="W1497" s="1539"/>
      <c r="X1497" s="1539"/>
      <c r="Y1497" s="1539"/>
      <c r="Z1497" s="1539"/>
      <c r="AA1497" s="1539"/>
      <c r="AB1497" s="1539"/>
      <c r="AC1497" s="1539"/>
      <c r="AD1497" s="1539"/>
      <c r="AE1497" s="1539"/>
      <c r="AF1497" s="1539"/>
      <c r="AG1497" s="1539"/>
      <c r="AH1497" s="1539"/>
      <c r="AI1497" s="1539"/>
      <c r="AJ1497" s="1539"/>
      <c r="AK1497" s="1539"/>
      <c r="AL1497" s="1539"/>
      <c r="AM1497" s="1539"/>
      <c r="AN1497" s="1539"/>
      <c r="AO1497" s="1539"/>
      <c r="AP1497" s="1539"/>
      <c r="AQ1497" s="1539"/>
      <c r="AR1497" s="1539"/>
      <c r="AS1497" s="1539"/>
      <c r="AT1497" s="1539"/>
      <c r="AU1497" s="1539"/>
      <c r="AV1497" s="1539"/>
      <c r="AW1497" s="1539"/>
      <c r="AX1497" s="1539"/>
      <c r="AY1497" s="1539"/>
      <c r="AZ1497" s="1539"/>
      <c r="BA1497" s="1539"/>
      <c r="BB1497" s="1539"/>
      <c r="BC1497" s="1539"/>
      <c r="BD1497" s="1539"/>
      <c r="BE1497" s="1539"/>
      <c r="BF1497" s="1539"/>
      <c r="BG1497" s="1539"/>
      <c r="BH1497" s="1539"/>
      <c r="BI1497" s="1539"/>
      <c r="BJ1497" s="1539"/>
      <c r="BK1497" s="1539"/>
      <c r="BL1497" s="1539"/>
      <c r="BM1497" s="1539"/>
      <c r="BN1497" s="1539"/>
      <c r="BO1497" s="1539"/>
      <c r="BP1497" s="1539"/>
      <c r="BQ1497" s="1539"/>
      <c r="BR1497" s="1539"/>
      <c r="BS1497" s="1539"/>
      <c r="BT1497" s="1539"/>
      <c r="BU1497" s="1539"/>
      <c r="BV1497" s="1539"/>
      <c r="BW1497" s="1539"/>
      <c r="BX1497" s="1539"/>
      <c r="BY1497" s="1539"/>
      <c r="BZ1497" s="1539"/>
      <c r="CA1497" s="1539"/>
      <c r="CB1497" s="1539"/>
      <c r="CC1497" s="1539"/>
      <c r="CD1497" s="1539"/>
      <c r="CE1497" s="1539"/>
      <c r="CF1497" s="1539"/>
      <c r="CG1497" s="1539"/>
      <c r="CH1497" s="1539"/>
      <c r="CI1497" s="1539"/>
      <c r="CJ1497" s="1539"/>
      <c r="CK1497" s="1539"/>
      <c r="CL1497" s="1539"/>
      <c r="CM1497" s="1539"/>
      <c r="CN1497" s="1539"/>
      <c r="CO1497" s="1539"/>
    </row>
    <row r="1498" spans="1:93" s="1552" customFormat="1" ht="15.5">
      <c r="A1498" s="1603"/>
      <c r="B1498" s="1696" t="s">
        <v>4977</v>
      </c>
      <c r="C1498" s="1643" t="e">
        <f>+SUMIF(#REF!,Final!A1498,#REF!)</f>
        <v>#REF!</v>
      </c>
      <c r="D1498" s="1597" t="e">
        <f>+SUMIF(#REF!,Final!A1498,#REF!)</f>
        <v>#REF!</v>
      </c>
      <c r="E1498" s="1643" t="e">
        <f>SUMIF(#REF!,Final!A1498,#REF!)</f>
        <v>#REF!</v>
      </c>
      <c r="F1498" s="1644" t="e">
        <f>SUMIF(#REF!,Final!A1498,#REF!)</f>
        <v>#REF!</v>
      </c>
      <c r="G1498" s="1597" t="e">
        <f t="shared" si="144"/>
        <v>#REF!</v>
      </c>
      <c r="H1498" s="1644" t="e">
        <f t="shared" si="145"/>
        <v>#REF!</v>
      </c>
      <c r="I1498" s="1597" t="e">
        <f t="shared" si="146"/>
        <v>#REF!</v>
      </c>
      <c r="J1498" s="1644" t="e">
        <f t="shared" si="147"/>
        <v>#REF!</v>
      </c>
      <c r="K1498" s="1539"/>
      <c r="L1498" s="1539"/>
      <c r="M1498" s="1545"/>
      <c r="N1498" s="1545"/>
      <c r="O1498" s="1539"/>
      <c r="P1498" s="1539"/>
      <c r="Q1498" s="1539"/>
      <c r="R1498" s="1539"/>
      <c r="S1498" s="1539"/>
      <c r="T1498" s="1539"/>
      <c r="U1498" s="1539"/>
      <c r="V1498" s="1539"/>
      <c r="W1498" s="1539"/>
      <c r="X1498" s="1539"/>
      <c r="Y1498" s="1539"/>
      <c r="Z1498" s="1539"/>
      <c r="AA1498" s="1539"/>
      <c r="AB1498" s="1539"/>
      <c r="AC1498" s="1539"/>
      <c r="AD1498" s="1539"/>
      <c r="AE1498" s="1539"/>
      <c r="AF1498" s="1539"/>
      <c r="AG1498" s="1539"/>
      <c r="AH1498" s="1539"/>
      <c r="AI1498" s="1539"/>
      <c r="AJ1498" s="1539"/>
      <c r="AK1498" s="1539"/>
      <c r="AL1498" s="1539"/>
      <c r="AM1498" s="1539"/>
      <c r="AN1498" s="1539"/>
      <c r="AO1498" s="1539"/>
      <c r="AP1498" s="1539"/>
      <c r="AQ1498" s="1539"/>
      <c r="AR1498" s="1539"/>
      <c r="AS1498" s="1539"/>
      <c r="AT1498" s="1539"/>
      <c r="AU1498" s="1539"/>
      <c r="AV1498" s="1539"/>
      <c r="AW1498" s="1539"/>
      <c r="AX1498" s="1539"/>
      <c r="AY1498" s="1539"/>
      <c r="AZ1498" s="1539"/>
      <c r="BA1498" s="1539"/>
      <c r="BB1498" s="1539"/>
      <c r="BC1498" s="1539"/>
      <c r="BD1498" s="1539"/>
      <c r="BE1498" s="1539"/>
      <c r="BF1498" s="1539"/>
      <c r="BG1498" s="1539"/>
      <c r="BH1498" s="1539"/>
      <c r="BI1498" s="1539"/>
      <c r="BJ1498" s="1539"/>
      <c r="BK1498" s="1539"/>
      <c r="BL1498" s="1539"/>
      <c r="BM1498" s="1539"/>
      <c r="BN1498" s="1539"/>
      <c r="BO1498" s="1539"/>
      <c r="BP1498" s="1539"/>
      <c r="BQ1498" s="1539"/>
      <c r="BR1498" s="1539"/>
      <c r="BS1498" s="1539"/>
      <c r="BT1498" s="1539"/>
      <c r="BU1498" s="1539"/>
      <c r="BV1498" s="1539"/>
      <c r="BW1498" s="1539"/>
      <c r="BX1498" s="1539"/>
      <c r="BY1498" s="1539"/>
      <c r="BZ1498" s="1539"/>
      <c r="CA1498" s="1539"/>
      <c r="CB1498" s="1539"/>
      <c r="CC1498" s="1539"/>
      <c r="CD1498" s="1539"/>
      <c r="CE1498" s="1539"/>
      <c r="CF1498" s="1539"/>
      <c r="CG1498" s="1539"/>
      <c r="CH1498" s="1539"/>
      <c r="CI1498" s="1539"/>
      <c r="CJ1498" s="1539"/>
      <c r="CK1498" s="1539"/>
      <c r="CL1498" s="1539"/>
      <c r="CM1498" s="1539"/>
      <c r="CN1498" s="1539"/>
      <c r="CO1498" s="1539"/>
    </row>
    <row r="1499" spans="1:93" s="1552" customFormat="1" ht="15.5">
      <c r="A1499" s="1658">
        <v>28.814</v>
      </c>
      <c r="B1499" s="1707" t="s">
        <v>4978</v>
      </c>
      <c r="C1499" s="1643" t="e">
        <f>+SUMIF(#REF!,Final!A1499,#REF!)</f>
        <v>#REF!</v>
      </c>
      <c r="D1499" s="1597" t="e">
        <f>+SUMIF(#REF!,Final!A1499,#REF!)</f>
        <v>#REF!</v>
      </c>
      <c r="E1499" s="1643" t="e">
        <f>SUMIF(#REF!,Final!A1499,#REF!)</f>
        <v>#REF!</v>
      </c>
      <c r="F1499" s="1644" t="e">
        <f>SUMIF(#REF!,Final!A1499,#REF!)</f>
        <v>#REF!</v>
      </c>
      <c r="G1499" s="1597" t="e">
        <f t="shared" si="144"/>
        <v>#REF!</v>
      </c>
      <c r="H1499" s="1644" t="e">
        <f t="shared" si="145"/>
        <v>#REF!</v>
      </c>
      <c r="I1499" s="1597" t="e">
        <f t="shared" si="146"/>
        <v>#REF!</v>
      </c>
      <c r="J1499" s="1644" t="e">
        <f t="shared" si="147"/>
        <v>#REF!</v>
      </c>
      <c r="K1499" s="1539"/>
      <c r="L1499" s="1539"/>
      <c r="M1499" s="1545"/>
      <c r="N1499" s="1545"/>
      <c r="O1499" s="1539"/>
      <c r="P1499" s="1539"/>
      <c r="Q1499" s="1539"/>
      <c r="R1499" s="1539"/>
      <c r="S1499" s="1539"/>
      <c r="T1499" s="1539"/>
      <c r="U1499" s="1539"/>
      <c r="V1499" s="1539"/>
      <c r="W1499" s="1539"/>
      <c r="X1499" s="1539"/>
      <c r="Y1499" s="1539"/>
      <c r="Z1499" s="1539"/>
      <c r="AA1499" s="1539"/>
      <c r="AB1499" s="1539"/>
      <c r="AC1499" s="1539"/>
      <c r="AD1499" s="1539"/>
      <c r="AE1499" s="1539"/>
      <c r="AF1499" s="1539"/>
      <c r="AG1499" s="1539"/>
      <c r="AH1499" s="1539"/>
      <c r="AI1499" s="1539"/>
      <c r="AJ1499" s="1539"/>
      <c r="AK1499" s="1539"/>
      <c r="AL1499" s="1539"/>
      <c r="AM1499" s="1539"/>
      <c r="AN1499" s="1539"/>
      <c r="AO1499" s="1539"/>
      <c r="AP1499" s="1539"/>
      <c r="AQ1499" s="1539"/>
      <c r="AR1499" s="1539"/>
      <c r="AS1499" s="1539"/>
      <c r="AT1499" s="1539"/>
      <c r="AU1499" s="1539"/>
      <c r="AV1499" s="1539"/>
      <c r="AW1499" s="1539"/>
      <c r="AX1499" s="1539"/>
      <c r="AY1499" s="1539"/>
      <c r="AZ1499" s="1539"/>
      <c r="BA1499" s="1539"/>
      <c r="BB1499" s="1539"/>
      <c r="BC1499" s="1539"/>
      <c r="BD1499" s="1539"/>
      <c r="BE1499" s="1539"/>
      <c r="BF1499" s="1539"/>
      <c r="BG1499" s="1539"/>
      <c r="BH1499" s="1539"/>
      <c r="BI1499" s="1539"/>
      <c r="BJ1499" s="1539"/>
      <c r="BK1499" s="1539"/>
      <c r="BL1499" s="1539"/>
      <c r="BM1499" s="1539"/>
      <c r="BN1499" s="1539"/>
      <c r="BO1499" s="1539"/>
      <c r="BP1499" s="1539"/>
      <c r="BQ1499" s="1539"/>
      <c r="BR1499" s="1539"/>
      <c r="BS1499" s="1539"/>
      <c r="BT1499" s="1539"/>
      <c r="BU1499" s="1539"/>
      <c r="BV1499" s="1539"/>
      <c r="BW1499" s="1539"/>
      <c r="BX1499" s="1539"/>
      <c r="BY1499" s="1539"/>
      <c r="BZ1499" s="1539"/>
      <c r="CA1499" s="1539"/>
      <c r="CB1499" s="1539"/>
      <c r="CC1499" s="1539"/>
      <c r="CD1499" s="1539"/>
      <c r="CE1499" s="1539"/>
      <c r="CF1499" s="1539"/>
      <c r="CG1499" s="1539"/>
      <c r="CH1499" s="1539"/>
      <c r="CI1499" s="1539"/>
      <c r="CJ1499" s="1539"/>
      <c r="CK1499" s="1539"/>
      <c r="CL1499" s="1539"/>
      <c r="CM1499" s="1539"/>
      <c r="CN1499" s="1539"/>
      <c r="CO1499" s="1539"/>
    </row>
    <row r="1500" spans="1:93" s="1552" customFormat="1" ht="15.5">
      <c r="A1500" s="1598"/>
      <c r="B1500" s="1599" t="s">
        <v>1760</v>
      </c>
      <c r="C1500" s="1643" t="e">
        <f>+SUMIF(#REF!,Final!A1500,#REF!)</f>
        <v>#REF!</v>
      </c>
      <c r="D1500" s="1597" t="e">
        <f>+SUMIF(#REF!,Final!A1500,#REF!)</f>
        <v>#REF!</v>
      </c>
      <c r="E1500" s="1643" t="e">
        <f>SUMIF(#REF!,Final!A1500,#REF!)</f>
        <v>#REF!</v>
      </c>
      <c r="F1500" s="1644" t="e">
        <f>SUMIF(#REF!,Final!A1500,#REF!)</f>
        <v>#REF!</v>
      </c>
      <c r="G1500" s="1597" t="e">
        <f t="shared" si="144"/>
        <v>#REF!</v>
      </c>
      <c r="H1500" s="1644" t="e">
        <f t="shared" si="145"/>
        <v>#REF!</v>
      </c>
      <c r="I1500" s="1597" t="e">
        <f t="shared" si="146"/>
        <v>#REF!</v>
      </c>
      <c r="J1500" s="1644" t="e">
        <f t="shared" si="147"/>
        <v>#REF!</v>
      </c>
      <c r="K1500" s="1539"/>
      <c r="L1500" s="1539"/>
      <c r="M1500" s="1545"/>
      <c r="N1500" s="1545"/>
      <c r="O1500" s="1539"/>
      <c r="P1500" s="1539"/>
      <c r="Q1500" s="1539"/>
      <c r="R1500" s="1539"/>
      <c r="S1500" s="1539"/>
      <c r="T1500" s="1539"/>
      <c r="U1500" s="1539"/>
      <c r="V1500" s="1539"/>
      <c r="W1500" s="1539"/>
      <c r="X1500" s="1539"/>
      <c r="Y1500" s="1539"/>
      <c r="Z1500" s="1539"/>
      <c r="AA1500" s="1539"/>
      <c r="AB1500" s="1539"/>
      <c r="AC1500" s="1539"/>
      <c r="AD1500" s="1539"/>
      <c r="AE1500" s="1539"/>
      <c r="AF1500" s="1539"/>
      <c r="AG1500" s="1539"/>
      <c r="AH1500" s="1539"/>
      <c r="AI1500" s="1539"/>
      <c r="AJ1500" s="1539"/>
      <c r="AK1500" s="1539"/>
      <c r="AL1500" s="1539"/>
      <c r="AM1500" s="1539"/>
      <c r="AN1500" s="1539"/>
      <c r="AO1500" s="1539"/>
      <c r="AP1500" s="1539"/>
      <c r="AQ1500" s="1539"/>
      <c r="AR1500" s="1539"/>
      <c r="AS1500" s="1539"/>
      <c r="AT1500" s="1539"/>
      <c r="AU1500" s="1539"/>
      <c r="AV1500" s="1539"/>
      <c r="AW1500" s="1539"/>
      <c r="AX1500" s="1539"/>
      <c r="AY1500" s="1539"/>
      <c r="AZ1500" s="1539"/>
      <c r="BA1500" s="1539"/>
      <c r="BB1500" s="1539"/>
      <c r="BC1500" s="1539"/>
      <c r="BD1500" s="1539"/>
      <c r="BE1500" s="1539"/>
      <c r="BF1500" s="1539"/>
      <c r="BG1500" s="1539"/>
      <c r="BH1500" s="1539"/>
      <c r="BI1500" s="1539"/>
      <c r="BJ1500" s="1539"/>
      <c r="BK1500" s="1539"/>
      <c r="BL1500" s="1539"/>
      <c r="BM1500" s="1539"/>
      <c r="BN1500" s="1539"/>
      <c r="BO1500" s="1539"/>
      <c r="BP1500" s="1539"/>
      <c r="BQ1500" s="1539"/>
      <c r="BR1500" s="1539"/>
      <c r="BS1500" s="1539"/>
      <c r="BT1500" s="1539"/>
      <c r="BU1500" s="1539"/>
      <c r="BV1500" s="1539"/>
      <c r="BW1500" s="1539"/>
      <c r="BX1500" s="1539"/>
      <c r="BY1500" s="1539"/>
      <c r="BZ1500" s="1539"/>
      <c r="CA1500" s="1539"/>
      <c r="CB1500" s="1539"/>
      <c r="CC1500" s="1539"/>
      <c r="CD1500" s="1539"/>
      <c r="CE1500" s="1539"/>
      <c r="CF1500" s="1539"/>
      <c r="CG1500" s="1539"/>
      <c r="CH1500" s="1539"/>
      <c r="CI1500" s="1539"/>
      <c r="CJ1500" s="1539"/>
      <c r="CK1500" s="1539"/>
      <c r="CL1500" s="1539"/>
      <c r="CM1500" s="1539"/>
      <c r="CN1500" s="1539"/>
      <c r="CO1500" s="1539"/>
    </row>
    <row r="1501" spans="1:93" s="1542" customFormat="1" ht="15.5">
      <c r="A1501" s="1598" t="s">
        <v>448</v>
      </c>
      <c r="B1501" s="1599" t="s">
        <v>2888</v>
      </c>
      <c r="C1501" s="1643" t="e">
        <f>+SUMIF(#REF!,Final!A1501,#REF!)</f>
        <v>#REF!</v>
      </c>
      <c r="D1501" s="1597" t="e">
        <f>+SUMIF(#REF!,Final!A1501,#REF!)</f>
        <v>#REF!</v>
      </c>
      <c r="E1501" s="1643" t="e">
        <f>SUMIF(#REF!,Final!A1501,#REF!)</f>
        <v>#REF!</v>
      </c>
      <c r="F1501" s="1644" t="e">
        <f>SUMIF(#REF!,Final!A1501,#REF!)</f>
        <v>#REF!</v>
      </c>
      <c r="G1501" s="1597" t="e">
        <f t="shared" si="144"/>
        <v>#REF!</v>
      </c>
      <c r="H1501" s="1644" t="e">
        <f t="shared" si="145"/>
        <v>#REF!</v>
      </c>
      <c r="I1501" s="1597" t="e">
        <f t="shared" si="146"/>
        <v>#REF!</v>
      </c>
      <c r="J1501" s="1644" t="e">
        <f t="shared" si="147"/>
        <v>#REF!</v>
      </c>
      <c r="K1501" s="1539"/>
      <c r="L1501" s="1539"/>
      <c r="M1501" s="1545"/>
      <c r="N1501" s="1545"/>
      <c r="O1501" s="1539"/>
      <c r="P1501" s="1539"/>
      <c r="Q1501" s="1539"/>
      <c r="R1501" s="1539"/>
      <c r="S1501" s="1539"/>
      <c r="T1501" s="1539"/>
      <c r="U1501" s="1539"/>
      <c r="V1501" s="1539"/>
      <c r="W1501" s="1539"/>
      <c r="X1501" s="1539"/>
      <c r="Y1501" s="1539"/>
      <c r="Z1501" s="1539"/>
      <c r="AA1501" s="1539"/>
      <c r="AB1501" s="1539"/>
      <c r="AC1501" s="1539"/>
      <c r="AD1501" s="1539"/>
      <c r="AE1501" s="1539"/>
      <c r="AF1501" s="1539"/>
      <c r="AG1501" s="1539"/>
      <c r="AH1501" s="1539"/>
      <c r="AI1501" s="1539"/>
      <c r="AJ1501" s="1539"/>
      <c r="AK1501" s="1539"/>
      <c r="AL1501" s="1539"/>
      <c r="AM1501" s="1539"/>
      <c r="AN1501" s="1539"/>
      <c r="AO1501" s="1539"/>
      <c r="AP1501" s="1539"/>
      <c r="AQ1501" s="1539"/>
      <c r="AR1501" s="1539"/>
      <c r="AS1501" s="1539"/>
      <c r="AT1501" s="1539"/>
      <c r="AU1501" s="1539"/>
      <c r="AV1501" s="1539"/>
      <c r="AW1501" s="1539"/>
      <c r="AX1501" s="1539"/>
      <c r="AY1501" s="1539"/>
      <c r="AZ1501" s="1539"/>
      <c r="BA1501" s="1539"/>
      <c r="BB1501" s="1539"/>
      <c r="BC1501" s="1539"/>
      <c r="BD1501" s="1539"/>
      <c r="BE1501" s="1539"/>
      <c r="BF1501" s="1539"/>
      <c r="BG1501" s="1539"/>
      <c r="BH1501" s="1539"/>
      <c r="BI1501" s="1539"/>
      <c r="BJ1501" s="1539"/>
      <c r="BK1501" s="1539"/>
      <c r="BL1501" s="1539"/>
      <c r="BM1501" s="1539"/>
      <c r="BN1501" s="1539"/>
      <c r="BO1501" s="1539"/>
      <c r="BP1501" s="1539"/>
      <c r="BQ1501" s="1539"/>
      <c r="BR1501" s="1539"/>
      <c r="BS1501" s="1539"/>
      <c r="BT1501" s="1539"/>
      <c r="BU1501" s="1539"/>
      <c r="BV1501" s="1539"/>
      <c r="BW1501" s="1539"/>
      <c r="BX1501" s="1539"/>
      <c r="BY1501" s="1539"/>
      <c r="BZ1501" s="1539"/>
      <c r="CA1501" s="1539"/>
      <c r="CB1501" s="1539"/>
      <c r="CC1501" s="1539"/>
      <c r="CD1501" s="1539"/>
      <c r="CE1501" s="1539"/>
      <c r="CF1501" s="1539"/>
      <c r="CG1501" s="1539"/>
      <c r="CH1501" s="1539"/>
      <c r="CI1501" s="1539"/>
      <c r="CJ1501" s="1539"/>
      <c r="CK1501" s="1539"/>
      <c r="CL1501" s="1539"/>
      <c r="CM1501" s="1539"/>
      <c r="CN1501" s="1539"/>
      <c r="CO1501" s="1539"/>
    </row>
    <row r="1502" spans="1:93" ht="15.5">
      <c r="A1502" s="1598">
        <v>28.803999999999998</v>
      </c>
      <c r="B1502" s="1599" t="s">
        <v>2888</v>
      </c>
      <c r="C1502" s="1643" t="e">
        <f>+SUMIF(#REF!,Final!A1502,#REF!)</f>
        <v>#REF!</v>
      </c>
      <c r="D1502" s="1597" t="e">
        <f>+SUMIF(#REF!,Final!A1502,#REF!)</f>
        <v>#REF!</v>
      </c>
      <c r="E1502" s="1643" t="e">
        <f>SUMIF(#REF!,Final!A1502,#REF!)</f>
        <v>#REF!</v>
      </c>
      <c r="F1502" s="1644" t="e">
        <f>SUMIF(#REF!,Final!A1502,#REF!)</f>
        <v>#REF!</v>
      </c>
      <c r="G1502" s="1597" t="e">
        <f t="shared" si="144"/>
        <v>#REF!</v>
      </c>
      <c r="H1502" s="1644" t="e">
        <f t="shared" si="145"/>
        <v>#REF!</v>
      </c>
      <c r="I1502" s="1597" t="e">
        <f t="shared" si="146"/>
        <v>#REF!</v>
      </c>
      <c r="J1502" s="1644" t="e">
        <f t="shared" si="147"/>
        <v>#REF!</v>
      </c>
      <c r="M1502" s="1545"/>
      <c r="N1502" s="1545"/>
    </row>
    <row r="1503" spans="1:93" s="1552" customFormat="1" ht="15.5">
      <c r="A1503" s="1598"/>
      <c r="B1503" s="1599" t="s">
        <v>1747</v>
      </c>
      <c r="C1503" s="1643" t="e">
        <f>+SUMIF(#REF!,Final!A1503,#REF!)</f>
        <v>#REF!</v>
      </c>
      <c r="D1503" s="1597" t="e">
        <f>+SUMIF(#REF!,Final!A1503,#REF!)</f>
        <v>#REF!</v>
      </c>
      <c r="E1503" s="1643" t="e">
        <f>SUMIF(#REF!,Final!A1503,#REF!)</f>
        <v>#REF!</v>
      </c>
      <c r="F1503" s="1644" t="e">
        <f>SUMIF(#REF!,Final!A1503,#REF!)</f>
        <v>#REF!</v>
      </c>
      <c r="G1503" s="1597" t="e">
        <f t="shared" si="144"/>
        <v>#REF!</v>
      </c>
      <c r="H1503" s="1644" t="e">
        <f t="shared" si="145"/>
        <v>#REF!</v>
      </c>
      <c r="I1503" s="1597" t="e">
        <f t="shared" si="146"/>
        <v>#REF!</v>
      </c>
      <c r="J1503" s="1644" t="e">
        <f t="shared" si="147"/>
        <v>#REF!</v>
      </c>
      <c r="K1503" s="1539"/>
      <c r="L1503" s="1539"/>
      <c r="M1503" s="1545"/>
      <c r="N1503" s="1545"/>
      <c r="O1503" s="1539"/>
      <c r="P1503" s="1539"/>
      <c r="Q1503" s="1539"/>
      <c r="R1503" s="1539"/>
      <c r="S1503" s="1539"/>
      <c r="T1503" s="1539"/>
      <c r="U1503" s="1539"/>
      <c r="V1503" s="1539"/>
      <c r="W1503" s="1539"/>
      <c r="X1503" s="1539"/>
      <c r="Y1503" s="1539"/>
      <c r="Z1503" s="1539"/>
      <c r="AA1503" s="1539"/>
      <c r="AB1503" s="1539"/>
      <c r="AC1503" s="1539"/>
      <c r="AD1503" s="1539"/>
      <c r="AE1503" s="1539"/>
      <c r="AF1503" s="1539"/>
      <c r="AG1503" s="1539"/>
      <c r="AH1503" s="1539"/>
      <c r="AI1503" s="1539"/>
      <c r="AJ1503" s="1539"/>
      <c r="AK1503" s="1539"/>
      <c r="AL1503" s="1539"/>
      <c r="AM1503" s="1539"/>
      <c r="AN1503" s="1539"/>
      <c r="AO1503" s="1539"/>
      <c r="AP1503" s="1539"/>
      <c r="AQ1503" s="1539"/>
      <c r="AR1503" s="1539"/>
      <c r="AS1503" s="1539"/>
      <c r="AT1503" s="1539"/>
      <c r="AU1503" s="1539"/>
      <c r="AV1503" s="1539"/>
      <c r="AW1503" s="1539"/>
      <c r="AX1503" s="1539"/>
      <c r="AY1503" s="1539"/>
      <c r="AZ1503" s="1539"/>
      <c r="BA1503" s="1539"/>
      <c r="BB1503" s="1539"/>
      <c r="BC1503" s="1539"/>
      <c r="BD1503" s="1539"/>
      <c r="BE1503" s="1539"/>
      <c r="BF1503" s="1539"/>
      <c r="BG1503" s="1539"/>
      <c r="BH1503" s="1539"/>
      <c r="BI1503" s="1539"/>
      <c r="BJ1503" s="1539"/>
      <c r="BK1503" s="1539"/>
      <c r="BL1503" s="1539"/>
      <c r="BM1503" s="1539"/>
      <c r="BN1503" s="1539"/>
      <c r="BO1503" s="1539"/>
      <c r="BP1503" s="1539"/>
      <c r="BQ1503" s="1539"/>
      <c r="BR1503" s="1539"/>
      <c r="BS1503" s="1539"/>
      <c r="BT1503" s="1539"/>
      <c r="BU1503" s="1539"/>
      <c r="BV1503" s="1539"/>
      <c r="BW1503" s="1539"/>
      <c r="BX1503" s="1539"/>
      <c r="BY1503" s="1539"/>
      <c r="BZ1503" s="1539"/>
      <c r="CA1503" s="1539"/>
      <c r="CB1503" s="1539"/>
      <c r="CC1503" s="1539"/>
      <c r="CD1503" s="1539"/>
      <c r="CE1503" s="1539"/>
      <c r="CF1503" s="1539"/>
      <c r="CG1503" s="1539"/>
      <c r="CH1503" s="1539"/>
      <c r="CI1503" s="1539"/>
      <c r="CJ1503" s="1539"/>
      <c r="CK1503" s="1539"/>
      <c r="CL1503" s="1539"/>
      <c r="CM1503" s="1539"/>
      <c r="CN1503" s="1539"/>
      <c r="CO1503" s="1539"/>
    </row>
    <row r="1504" spans="1:93" s="1552" customFormat="1" ht="15.5">
      <c r="A1504" s="1598"/>
      <c r="B1504" s="1599" t="s">
        <v>1760</v>
      </c>
      <c r="C1504" s="1643" t="e">
        <f>+SUMIF(#REF!,Final!A1504,#REF!)</f>
        <v>#REF!</v>
      </c>
      <c r="D1504" s="1597" t="e">
        <f>+SUMIF(#REF!,Final!A1504,#REF!)</f>
        <v>#REF!</v>
      </c>
      <c r="E1504" s="1643" t="e">
        <f>SUMIF(#REF!,Final!A1504,#REF!)</f>
        <v>#REF!</v>
      </c>
      <c r="F1504" s="1644" t="e">
        <f>SUMIF(#REF!,Final!A1504,#REF!)</f>
        <v>#REF!</v>
      </c>
      <c r="G1504" s="1597" t="e">
        <f t="shared" si="144"/>
        <v>#REF!</v>
      </c>
      <c r="H1504" s="1644" t="e">
        <f t="shared" si="145"/>
        <v>#REF!</v>
      </c>
      <c r="I1504" s="1597" t="e">
        <f t="shared" si="146"/>
        <v>#REF!</v>
      </c>
      <c r="J1504" s="1644" t="e">
        <f t="shared" si="147"/>
        <v>#REF!</v>
      </c>
      <c r="K1504" s="1539"/>
      <c r="L1504" s="1539"/>
      <c r="M1504" s="1545"/>
      <c r="N1504" s="1545"/>
      <c r="O1504" s="1539"/>
      <c r="P1504" s="1539"/>
      <c r="Q1504" s="1539"/>
      <c r="R1504" s="1539"/>
      <c r="S1504" s="1539"/>
      <c r="T1504" s="1539"/>
      <c r="U1504" s="1539"/>
      <c r="V1504" s="1539"/>
      <c r="W1504" s="1539"/>
      <c r="X1504" s="1539"/>
      <c r="Y1504" s="1539"/>
      <c r="Z1504" s="1539"/>
      <c r="AA1504" s="1539"/>
      <c r="AB1504" s="1539"/>
      <c r="AC1504" s="1539"/>
      <c r="AD1504" s="1539"/>
      <c r="AE1504" s="1539"/>
      <c r="AF1504" s="1539"/>
      <c r="AG1504" s="1539"/>
      <c r="AH1504" s="1539"/>
      <c r="AI1504" s="1539"/>
      <c r="AJ1504" s="1539"/>
      <c r="AK1504" s="1539"/>
      <c r="AL1504" s="1539"/>
      <c r="AM1504" s="1539"/>
      <c r="AN1504" s="1539"/>
      <c r="AO1504" s="1539"/>
      <c r="AP1504" s="1539"/>
      <c r="AQ1504" s="1539"/>
      <c r="AR1504" s="1539"/>
      <c r="AS1504" s="1539"/>
      <c r="AT1504" s="1539"/>
      <c r="AU1504" s="1539"/>
      <c r="AV1504" s="1539"/>
      <c r="AW1504" s="1539"/>
      <c r="AX1504" s="1539"/>
      <c r="AY1504" s="1539"/>
      <c r="AZ1504" s="1539"/>
      <c r="BA1504" s="1539"/>
      <c r="BB1504" s="1539"/>
      <c r="BC1504" s="1539"/>
      <c r="BD1504" s="1539"/>
      <c r="BE1504" s="1539"/>
      <c r="BF1504" s="1539"/>
      <c r="BG1504" s="1539"/>
      <c r="BH1504" s="1539"/>
      <c r="BI1504" s="1539"/>
      <c r="BJ1504" s="1539"/>
      <c r="BK1504" s="1539"/>
      <c r="BL1504" s="1539"/>
      <c r="BM1504" s="1539"/>
      <c r="BN1504" s="1539"/>
      <c r="BO1504" s="1539"/>
      <c r="BP1504" s="1539"/>
      <c r="BQ1504" s="1539"/>
      <c r="BR1504" s="1539"/>
      <c r="BS1504" s="1539"/>
      <c r="BT1504" s="1539"/>
      <c r="BU1504" s="1539"/>
      <c r="BV1504" s="1539"/>
      <c r="BW1504" s="1539"/>
      <c r="BX1504" s="1539"/>
      <c r="BY1504" s="1539"/>
      <c r="BZ1504" s="1539"/>
      <c r="CA1504" s="1539"/>
      <c r="CB1504" s="1539"/>
      <c r="CC1504" s="1539"/>
      <c r="CD1504" s="1539"/>
      <c r="CE1504" s="1539"/>
      <c r="CF1504" s="1539"/>
      <c r="CG1504" s="1539"/>
      <c r="CH1504" s="1539"/>
      <c r="CI1504" s="1539"/>
      <c r="CJ1504" s="1539"/>
      <c r="CK1504" s="1539"/>
      <c r="CL1504" s="1539"/>
      <c r="CM1504" s="1539"/>
      <c r="CN1504" s="1539"/>
      <c r="CO1504" s="1539"/>
    </row>
    <row r="1505" spans="1:93" s="1542" customFormat="1" ht="15.5">
      <c r="A1505" s="1598" t="s">
        <v>450</v>
      </c>
      <c r="B1505" s="1599" t="s">
        <v>3394</v>
      </c>
      <c r="C1505" s="1643" t="e">
        <f>+SUMIF(#REF!,Final!A1505,#REF!)</f>
        <v>#REF!</v>
      </c>
      <c r="D1505" s="1597" t="e">
        <f>+SUMIF(#REF!,Final!A1505,#REF!)</f>
        <v>#REF!</v>
      </c>
      <c r="E1505" s="1643" t="e">
        <f>SUMIF(#REF!,Final!A1505,#REF!)</f>
        <v>#REF!</v>
      </c>
      <c r="F1505" s="1644" t="e">
        <f>SUMIF(#REF!,Final!A1505,#REF!)</f>
        <v>#REF!</v>
      </c>
      <c r="G1505" s="1597" t="e">
        <f t="shared" si="144"/>
        <v>#REF!</v>
      </c>
      <c r="H1505" s="1644" t="e">
        <f t="shared" si="145"/>
        <v>#REF!</v>
      </c>
      <c r="I1505" s="1597" t="e">
        <f t="shared" si="146"/>
        <v>#REF!</v>
      </c>
      <c r="J1505" s="1644" t="e">
        <f t="shared" si="147"/>
        <v>#REF!</v>
      </c>
      <c r="K1505" s="1539"/>
      <c r="L1505" s="1539"/>
      <c r="M1505" s="1545"/>
      <c r="N1505" s="1545"/>
      <c r="O1505" s="1539"/>
      <c r="P1505" s="1539"/>
      <c r="Q1505" s="1539"/>
      <c r="R1505" s="1539"/>
      <c r="S1505" s="1539"/>
      <c r="T1505" s="1539"/>
      <c r="U1505" s="1539"/>
      <c r="V1505" s="1539"/>
      <c r="W1505" s="1539"/>
      <c r="X1505" s="1539"/>
      <c r="Y1505" s="1539"/>
      <c r="Z1505" s="1539"/>
      <c r="AA1505" s="1539"/>
      <c r="AB1505" s="1539"/>
      <c r="AC1505" s="1539"/>
      <c r="AD1505" s="1539"/>
      <c r="AE1505" s="1539"/>
      <c r="AF1505" s="1539"/>
      <c r="AG1505" s="1539"/>
      <c r="AH1505" s="1539"/>
      <c r="AI1505" s="1539"/>
      <c r="AJ1505" s="1539"/>
      <c r="AK1505" s="1539"/>
      <c r="AL1505" s="1539"/>
      <c r="AM1505" s="1539"/>
      <c r="AN1505" s="1539"/>
      <c r="AO1505" s="1539"/>
      <c r="AP1505" s="1539"/>
      <c r="AQ1505" s="1539"/>
      <c r="AR1505" s="1539"/>
      <c r="AS1505" s="1539"/>
      <c r="AT1505" s="1539"/>
      <c r="AU1505" s="1539"/>
      <c r="AV1505" s="1539"/>
      <c r="AW1505" s="1539"/>
      <c r="AX1505" s="1539"/>
      <c r="AY1505" s="1539"/>
      <c r="AZ1505" s="1539"/>
      <c r="BA1505" s="1539"/>
      <c r="BB1505" s="1539"/>
      <c r="BC1505" s="1539"/>
      <c r="BD1505" s="1539"/>
      <c r="BE1505" s="1539"/>
      <c r="BF1505" s="1539"/>
      <c r="BG1505" s="1539"/>
      <c r="BH1505" s="1539"/>
      <c r="BI1505" s="1539"/>
      <c r="BJ1505" s="1539"/>
      <c r="BK1505" s="1539"/>
      <c r="BL1505" s="1539"/>
      <c r="BM1505" s="1539"/>
      <c r="BN1505" s="1539"/>
      <c r="BO1505" s="1539"/>
      <c r="BP1505" s="1539"/>
      <c r="BQ1505" s="1539"/>
      <c r="BR1505" s="1539"/>
      <c r="BS1505" s="1539"/>
      <c r="BT1505" s="1539"/>
      <c r="BU1505" s="1539"/>
      <c r="BV1505" s="1539"/>
      <c r="BW1505" s="1539"/>
      <c r="BX1505" s="1539"/>
      <c r="BY1505" s="1539"/>
      <c r="BZ1505" s="1539"/>
      <c r="CA1505" s="1539"/>
      <c r="CB1505" s="1539"/>
      <c r="CC1505" s="1539"/>
      <c r="CD1505" s="1539"/>
      <c r="CE1505" s="1539"/>
      <c r="CF1505" s="1539"/>
      <c r="CG1505" s="1539"/>
      <c r="CH1505" s="1539"/>
      <c r="CI1505" s="1539"/>
      <c r="CJ1505" s="1539"/>
      <c r="CK1505" s="1539"/>
      <c r="CL1505" s="1539"/>
      <c r="CM1505" s="1539"/>
      <c r="CN1505" s="1539"/>
      <c r="CO1505" s="1539"/>
    </row>
    <row r="1506" spans="1:93" ht="15.5">
      <c r="A1506" s="1598">
        <v>28.805</v>
      </c>
      <c r="B1506" s="1599" t="s">
        <v>2889</v>
      </c>
      <c r="C1506" s="1643" t="e">
        <f>+SUMIF(#REF!,Final!A1506,#REF!)</f>
        <v>#REF!</v>
      </c>
      <c r="D1506" s="1597" t="e">
        <f>+SUMIF(#REF!,Final!A1506,#REF!)</f>
        <v>#REF!</v>
      </c>
      <c r="E1506" s="1643" t="e">
        <f>SUMIF(#REF!,Final!A1506,#REF!)</f>
        <v>#REF!</v>
      </c>
      <c r="F1506" s="1644" t="e">
        <f>SUMIF(#REF!,Final!A1506,#REF!)</f>
        <v>#REF!</v>
      </c>
      <c r="G1506" s="1597" t="e">
        <f t="shared" si="144"/>
        <v>#REF!</v>
      </c>
      <c r="H1506" s="1644" t="e">
        <f t="shared" si="145"/>
        <v>#REF!</v>
      </c>
      <c r="I1506" s="1597" t="e">
        <f t="shared" si="146"/>
        <v>#REF!</v>
      </c>
      <c r="J1506" s="1644" t="e">
        <f t="shared" si="147"/>
        <v>#REF!</v>
      </c>
      <c r="M1506" s="1545"/>
      <c r="N1506" s="1545"/>
    </row>
    <row r="1507" spans="1:93" ht="15.5">
      <c r="A1507" s="1598">
        <v>28.821999999999999</v>
      </c>
      <c r="B1507" s="1599" t="s">
        <v>2890</v>
      </c>
      <c r="C1507" s="1643" t="e">
        <f>+SUMIF(#REF!,Final!A1507,#REF!)</f>
        <v>#REF!</v>
      </c>
      <c r="D1507" s="1597" t="e">
        <f>+SUMIF(#REF!,Final!A1507,#REF!)</f>
        <v>#REF!</v>
      </c>
      <c r="E1507" s="1643" t="e">
        <f>SUMIF(#REF!,Final!A1507,#REF!)</f>
        <v>#REF!</v>
      </c>
      <c r="F1507" s="1644" t="e">
        <f>SUMIF(#REF!,Final!A1507,#REF!)</f>
        <v>#REF!</v>
      </c>
      <c r="G1507" s="1597" t="e">
        <f t="shared" si="144"/>
        <v>#REF!</v>
      </c>
      <c r="H1507" s="1644" t="e">
        <f t="shared" si="145"/>
        <v>#REF!</v>
      </c>
      <c r="I1507" s="1597" t="e">
        <f t="shared" si="146"/>
        <v>#REF!</v>
      </c>
      <c r="J1507" s="1644" t="e">
        <f t="shared" si="147"/>
        <v>#REF!</v>
      </c>
      <c r="M1507" s="1545"/>
      <c r="N1507" s="1545"/>
    </row>
    <row r="1508" spans="1:93" ht="15.5">
      <c r="A1508" s="1598">
        <v>28.823</v>
      </c>
      <c r="B1508" s="1599" t="s">
        <v>2891</v>
      </c>
      <c r="C1508" s="1643" t="e">
        <f>+SUMIF(#REF!,Final!A1508,#REF!)</f>
        <v>#REF!</v>
      </c>
      <c r="D1508" s="1597" t="e">
        <f>+SUMIF(#REF!,Final!A1508,#REF!)</f>
        <v>#REF!</v>
      </c>
      <c r="E1508" s="1643" t="e">
        <f>SUMIF(#REF!,Final!A1508,#REF!)</f>
        <v>#REF!</v>
      </c>
      <c r="F1508" s="1644" t="e">
        <f>SUMIF(#REF!,Final!A1508,#REF!)</f>
        <v>#REF!</v>
      </c>
      <c r="G1508" s="1597" t="e">
        <f t="shared" ref="G1508:G1578" si="160">C1508+E1508</f>
        <v>#REF!</v>
      </c>
      <c r="H1508" s="1644" t="e">
        <f t="shared" ref="H1508:H1578" si="161">D1508+F1508</f>
        <v>#REF!</v>
      </c>
      <c r="I1508" s="1597" t="e">
        <f t="shared" ref="I1508:I1578" si="162">IF(G1508&gt;H1508,G1508-H1508,0)</f>
        <v>#REF!</v>
      </c>
      <c r="J1508" s="1644" t="e">
        <f t="shared" ref="J1508:J1578" si="163">IF(H1508&gt;G1508,H1508-G1508,0)</f>
        <v>#REF!</v>
      </c>
      <c r="M1508" s="1545"/>
      <c r="N1508" s="1545"/>
    </row>
    <row r="1509" spans="1:93" ht="15.5">
      <c r="A1509" s="1598">
        <v>28.826000000000001</v>
      </c>
      <c r="B1509" s="1599" t="s">
        <v>2892</v>
      </c>
      <c r="C1509" s="1643" t="e">
        <f>+SUMIF(#REF!,Final!A1509,#REF!)</f>
        <v>#REF!</v>
      </c>
      <c r="D1509" s="1597" t="e">
        <f>+SUMIF(#REF!,Final!A1509,#REF!)</f>
        <v>#REF!</v>
      </c>
      <c r="E1509" s="1643" t="e">
        <f>SUMIF(#REF!,Final!A1509,#REF!)</f>
        <v>#REF!</v>
      </c>
      <c r="F1509" s="1644" t="e">
        <f>SUMIF(#REF!,Final!A1509,#REF!)</f>
        <v>#REF!</v>
      </c>
      <c r="G1509" s="1597" t="e">
        <f t="shared" si="160"/>
        <v>#REF!</v>
      </c>
      <c r="H1509" s="1644" t="e">
        <f t="shared" si="161"/>
        <v>#REF!</v>
      </c>
      <c r="I1509" s="1597" t="e">
        <f t="shared" si="162"/>
        <v>#REF!</v>
      </c>
      <c r="J1509" s="1644" t="e">
        <f t="shared" si="163"/>
        <v>#REF!</v>
      </c>
      <c r="M1509" s="1545"/>
      <c r="N1509" s="1545"/>
    </row>
    <row r="1510" spans="1:93" ht="15.5">
      <c r="A1510" s="1598">
        <v>28.827999999999999</v>
      </c>
      <c r="B1510" s="1599" t="s">
        <v>2893</v>
      </c>
      <c r="C1510" s="1643" t="e">
        <f>+SUMIF(#REF!,Final!A1510,#REF!)</f>
        <v>#REF!</v>
      </c>
      <c r="D1510" s="1597" t="e">
        <f>+SUMIF(#REF!,Final!A1510,#REF!)</f>
        <v>#REF!</v>
      </c>
      <c r="E1510" s="1643" t="e">
        <f>SUMIF(#REF!,Final!A1510,#REF!)</f>
        <v>#REF!</v>
      </c>
      <c r="F1510" s="1644" t="e">
        <f>SUMIF(#REF!,Final!A1510,#REF!)</f>
        <v>#REF!</v>
      </c>
      <c r="G1510" s="1597" t="e">
        <f t="shared" si="160"/>
        <v>#REF!</v>
      </c>
      <c r="H1510" s="1644" t="e">
        <f t="shared" si="161"/>
        <v>#REF!</v>
      </c>
      <c r="I1510" s="1597" t="e">
        <f t="shared" si="162"/>
        <v>#REF!</v>
      </c>
      <c r="J1510" s="1644" t="e">
        <f t="shared" si="163"/>
        <v>#REF!</v>
      </c>
      <c r="M1510" s="1545"/>
      <c r="N1510" s="1545"/>
    </row>
    <row r="1511" spans="1:93" ht="15.5">
      <c r="A1511" s="1598">
        <v>28.829000000000001</v>
      </c>
      <c r="B1511" s="1599" t="s">
        <v>2894</v>
      </c>
      <c r="C1511" s="1643" t="e">
        <f>+SUMIF(#REF!,Final!A1511,#REF!)</f>
        <v>#REF!</v>
      </c>
      <c r="D1511" s="1597" t="e">
        <f>+SUMIF(#REF!,Final!A1511,#REF!)</f>
        <v>#REF!</v>
      </c>
      <c r="E1511" s="1643" t="e">
        <f>SUMIF(#REF!,Final!A1511,#REF!)</f>
        <v>#REF!</v>
      </c>
      <c r="F1511" s="1644" t="e">
        <f>SUMIF(#REF!,Final!A1511,#REF!)</f>
        <v>#REF!</v>
      </c>
      <c r="G1511" s="1597" t="e">
        <f t="shared" si="160"/>
        <v>#REF!</v>
      </c>
      <c r="H1511" s="1644" t="e">
        <f t="shared" si="161"/>
        <v>#REF!</v>
      </c>
      <c r="I1511" s="1597" t="e">
        <f t="shared" si="162"/>
        <v>#REF!</v>
      </c>
      <c r="J1511" s="1644" t="e">
        <f t="shared" si="163"/>
        <v>#REF!</v>
      </c>
      <c r="M1511" s="1545"/>
      <c r="N1511" s="1545"/>
    </row>
    <row r="1512" spans="1:93" s="1552" customFormat="1" ht="15.5">
      <c r="A1512" s="1598"/>
      <c r="B1512" s="1599" t="s">
        <v>1747</v>
      </c>
      <c r="C1512" s="1643" t="e">
        <f>+SUMIF(#REF!,Final!A1512,#REF!)</f>
        <v>#REF!</v>
      </c>
      <c r="D1512" s="1597" t="e">
        <f>+SUMIF(#REF!,Final!A1512,#REF!)</f>
        <v>#REF!</v>
      </c>
      <c r="E1512" s="1643" t="e">
        <f>SUMIF(#REF!,Final!A1512,#REF!)</f>
        <v>#REF!</v>
      </c>
      <c r="F1512" s="1644" t="e">
        <f>SUMIF(#REF!,Final!A1512,#REF!)</f>
        <v>#REF!</v>
      </c>
      <c r="G1512" s="1597" t="e">
        <f t="shared" si="160"/>
        <v>#REF!</v>
      </c>
      <c r="H1512" s="1644" t="e">
        <f t="shared" si="161"/>
        <v>#REF!</v>
      </c>
      <c r="I1512" s="1597" t="e">
        <f t="shared" si="162"/>
        <v>#REF!</v>
      </c>
      <c r="J1512" s="1644" t="e">
        <f t="shared" si="163"/>
        <v>#REF!</v>
      </c>
      <c r="K1512" s="1539"/>
      <c r="L1512" s="1539"/>
      <c r="M1512" s="1545"/>
      <c r="N1512" s="1545"/>
      <c r="O1512" s="1539"/>
      <c r="P1512" s="1539"/>
      <c r="Q1512" s="1539"/>
      <c r="R1512" s="1539"/>
      <c r="S1512" s="1539"/>
      <c r="T1512" s="1539"/>
      <c r="U1512" s="1539"/>
      <c r="V1512" s="1539"/>
      <c r="W1512" s="1539"/>
      <c r="X1512" s="1539"/>
      <c r="Y1512" s="1539"/>
      <c r="Z1512" s="1539"/>
      <c r="AA1512" s="1539"/>
      <c r="AB1512" s="1539"/>
      <c r="AC1512" s="1539"/>
      <c r="AD1512" s="1539"/>
      <c r="AE1512" s="1539"/>
      <c r="AF1512" s="1539"/>
      <c r="AG1512" s="1539"/>
      <c r="AH1512" s="1539"/>
      <c r="AI1512" s="1539"/>
      <c r="AJ1512" s="1539"/>
      <c r="AK1512" s="1539"/>
      <c r="AL1512" s="1539"/>
      <c r="AM1512" s="1539"/>
      <c r="AN1512" s="1539"/>
      <c r="AO1512" s="1539"/>
      <c r="AP1512" s="1539"/>
      <c r="AQ1512" s="1539"/>
      <c r="AR1512" s="1539"/>
      <c r="AS1512" s="1539"/>
      <c r="AT1512" s="1539"/>
      <c r="AU1512" s="1539"/>
      <c r="AV1512" s="1539"/>
      <c r="AW1512" s="1539"/>
      <c r="AX1512" s="1539"/>
      <c r="AY1512" s="1539"/>
      <c r="AZ1512" s="1539"/>
      <c r="BA1512" s="1539"/>
      <c r="BB1512" s="1539"/>
      <c r="BC1512" s="1539"/>
      <c r="BD1512" s="1539"/>
      <c r="BE1512" s="1539"/>
      <c r="BF1512" s="1539"/>
      <c r="BG1512" s="1539"/>
      <c r="BH1512" s="1539"/>
      <c r="BI1512" s="1539"/>
      <c r="BJ1512" s="1539"/>
      <c r="BK1512" s="1539"/>
      <c r="BL1512" s="1539"/>
      <c r="BM1512" s="1539"/>
      <c r="BN1512" s="1539"/>
      <c r="BO1512" s="1539"/>
      <c r="BP1512" s="1539"/>
      <c r="BQ1512" s="1539"/>
      <c r="BR1512" s="1539"/>
      <c r="BS1512" s="1539"/>
      <c r="BT1512" s="1539"/>
      <c r="BU1512" s="1539"/>
      <c r="BV1512" s="1539"/>
      <c r="BW1512" s="1539"/>
      <c r="BX1512" s="1539"/>
      <c r="BY1512" s="1539"/>
      <c r="BZ1512" s="1539"/>
      <c r="CA1512" s="1539"/>
      <c r="CB1512" s="1539"/>
      <c r="CC1512" s="1539"/>
      <c r="CD1512" s="1539"/>
      <c r="CE1512" s="1539"/>
      <c r="CF1512" s="1539"/>
      <c r="CG1512" s="1539"/>
      <c r="CH1512" s="1539"/>
      <c r="CI1512" s="1539"/>
      <c r="CJ1512" s="1539"/>
      <c r="CK1512" s="1539"/>
      <c r="CL1512" s="1539"/>
      <c r="CM1512" s="1539"/>
      <c r="CN1512" s="1539"/>
      <c r="CO1512" s="1539"/>
    </row>
    <row r="1513" spans="1:93" s="1552" customFormat="1" ht="15.5">
      <c r="A1513" s="1598"/>
      <c r="B1513" s="1599" t="s">
        <v>1760</v>
      </c>
      <c r="C1513" s="1643" t="e">
        <f>+SUMIF(#REF!,Final!A1513,#REF!)</f>
        <v>#REF!</v>
      </c>
      <c r="D1513" s="1597" t="e">
        <f>+SUMIF(#REF!,Final!A1513,#REF!)</f>
        <v>#REF!</v>
      </c>
      <c r="E1513" s="1643" t="e">
        <f>SUMIF(#REF!,Final!A1513,#REF!)</f>
        <v>#REF!</v>
      </c>
      <c r="F1513" s="1644" t="e">
        <f>SUMIF(#REF!,Final!A1513,#REF!)</f>
        <v>#REF!</v>
      </c>
      <c r="G1513" s="1597" t="e">
        <f t="shared" si="160"/>
        <v>#REF!</v>
      </c>
      <c r="H1513" s="1644" t="e">
        <f t="shared" si="161"/>
        <v>#REF!</v>
      </c>
      <c r="I1513" s="1597" t="e">
        <f t="shared" si="162"/>
        <v>#REF!</v>
      </c>
      <c r="J1513" s="1644" t="e">
        <f t="shared" si="163"/>
        <v>#REF!</v>
      </c>
      <c r="K1513" s="1539"/>
      <c r="L1513" s="1539"/>
      <c r="M1513" s="1545"/>
      <c r="N1513" s="1545"/>
      <c r="O1513" s="1539"/>
      <c r="P1513" s="1539"/>
      <c r="Q1513" s="1539"/>
      <c r="R1513" s="1539"/>
      <c r="S1513" s="1539"/>
      <c r="T1513" s="1539"/>
      <c r="U1513" s="1539"/>
      <c r="V1513" s="1539"/>
      <c r="W1513" s="1539"/>
      <c r="X1513" s="1539"/>
      <c r="Y1513" s="1539"/>
      <c r="Z1513" s="1539"/>
      <c r="AA1513" s="1539"/>
      <c r="AB1513" s="1539"/>
      <c r="AC1513" s="1539"/>
      <c r="AD1513" s="1539"/>
      <c r="AE1513" s="1539"/>
      <c r="AF1513" s="1539"/>
      <c r="AG1513" s="1539"/>
      <c r="AH1513" s="1539"/>
      <c r="AI1513" s="1539"/>
      <c r="AJ1513" s="1539"/>
      <c r="AK1513" s="1539"/>
      <c r="AL1513" s="1539"/>
      <c r="AM1513" s="1539"/>
      <c r="AN1513" s="1539"/>
      <c r="AO1513" s="1539"/>
      <c r="AP1513" s="1539"/>
      <c r="AQ1513" s="1539"/>
      <c r="AR1513" s="1539"/>
      <c r="AS1513" s="1539"/>
      <c r="AT1513" s="1539"/>
      <c r="AU1513" s="1539"/>
      <c r="AV1513" s="1539"/>
      <c r="AW1513" s="1539"/>
      <c r="AX1513" s="1539"/>
      <c r="AY1513" s="1539"/>
      <c r="AZ1513" s="1539"/>
      <c r="BA1513" s="1539"/>
      <c r="BB1513" s="1539"/>
      <c r="BC1513" s="1539"/>
      <c r="BD1513" s="1539"/>
      <c r="BE1513" s="1539"/>
      <c r="BF1513" s="1539"/>
      <c r="BG1513" s="1539"/>
      <c r="BH1513" s="1539"/>
      <c r="BI1513" s="1539"/>
      <c r="BJ1513" s="1539"/>
      <c r="BK1513" s="1539"/>
      <c r="BL1513" s="1539"/>
      <c r="BM1513" s="1539"/>
      <c r="BN1513" s="1539"/>
      <c r="BO1513" s="1539"/>
      <c r="BP1513" s="1539"/>
      <c r="BQ1513" s="1539"/>
      <c r="BR1513" s="1539"/>
      <c r="BS1513" s="1539"/>
      <c r="BT1513" s="1539"/>
      <c r="BU1513" s="1539"/>
      <c r="BV1513" s="1539"/>
      <c r="BW1513" s="1539"/>
      <c r="BX1513" s="1539"/>
      <c r="BY1513" s="1539"/>
      <c r="BZ1513" s="1539"/>
      <c r="CA1513" s="1539"/>
      <c r="CB1513" s="1539"/>
      <c r="CC1513" s="1539"/>
      <c r="CD1513" s="1539"/>
      <c r="CE1513" s="1539"/>
      <c r="CF1513" s="1539"/>
      <c r="CG1513" s="1539"/>
      <c r="CH1513" s="1539"/>
      <c r="CI1513" s="1539"/>
      <c r="CJ1513" s="1539"/>
      <c r="CK1513" s="1539"/>
      <c r="CL1513" s="1539"/>
      <c r="CM1513" s="1539"/>
      <c r="CN1513" s="1539"/>
      <c r="CO1513" s="1539"/>
    </row>
    <row r="1514" spans="1:93" s="1542" customFormat="1" ht="15.5">
      <c r="A1514" s="1598" t="s">
        <v>545</v>
      </c>
      <c r="B1514" s="1599" t="s">
        <v>2914</v>
      </c>
      <c r="C1514" s="1643" t="e">
        <f>+SUMIF(#REF!,Final!A1514,#REF!)</f>
        <v>#REF!</v>
      </c>
      <c r="D1514" s="1597" t="e">
        <f>+SUMIF(#REF!,Final!A1514,#REF!)</f>
        <v>#REF!</v>
      </c>
      <c r="E1514" s="1643" t="e">
        <f>SUMIF(#REF!,Final!A1514,#REF!)</f>
        <v>#REF!</v>
      </c>
      <c r="F1514" s="1644" t="e">
        <f>SUMIF(#REF!,Final!A1514,#REF!)</f>
        <v>#REF!</v>
      </c>
      <c r="G1514" s="1597" t="e">
        <f t="shared" si="160"/>
        <v>#REF!</v>
      </c>
      <c r="H1514" s="1644" t="e">
        <f t="shared" si="161"/>
        <v>#REF!</v>
      </c>
      <c r="I1514" s="1597" t="e">
        <f t="shared" si="162"/>
        <v>#REF!</v>
      </c>
      <c r="J1514" s="1644" t="e">
        <f t="shared" si="163"/>
        <v>#REF!</v>
      </c>
      <c r="K1514" s="1539"/>
      <c r="L1514" s="1539"/>
      <c r="M1514" s="1545"/>
      <c r="N1514" s="1545"/>
      <c r="O1514" s="1539"/>
      <c r="P1514" s="1539"/>
      <c r="Q1514" s="1539"/>
      <c r="R1514" s="1539"/>
      <c r="S1514" s="1539"/>
      <c r="T1514" s="1539"/>
      <c r="U1514" s="1539"/>
      <c r="V1514" s="1539"/>
      <c r="W1514" s="1539"/>
      <c r="X1514" s="1539"/>
      <c r="Y1514" s="1539"/>
      <c r="Z1514" s="1539"/>
      <c r="AA1514" s="1539"/>
      <c r="AB1514" s="1539"/>
      <c r="AC1514" s="1539"/>
      <c r="AD1514" s="1539"/>
      <c r="AE1514" s="1539"/>
      <c r="AF1514" s="1539"/>
      <c r="AG1514" s="1539"/>
      <c r="AH1514" s="1539"/>
      <c r="AI1514" s="1539"/>
      <c r="AJ1514" s="1539"/>
      <c r="AK1514" s="1539"/>
      <c r="AL1514" s="1539"/>
      <c r="AM1514" s="1539"/>
      <c r="AN1514" s="1539"/>
      <c r="AO1514" s="1539"/>
      <c r="AP1514" s="1539"/>
      <c r="AQ1514" s="1539"/>
      <c r="AR1514" s="1539"/>
      <c r="AS1514" s="1539"/>
      <c r="AT1514" s="1539"/>
      <c r="AU1514" s="1539"/>
      <c r="AV1514" s="1539"/>
      <c r="AW1514" s="1539"/>
      <c r="AX1514" s="1539"/>
      <c r="AY1514" s="1539"/>
      <c r="AZ1514" s="1539"/>
      <c r="BA1514" s="1539"/>
      <c r="BB1514" s="1539"/>
      <c r="BC1514" s="1539"/>
      <c r="BD1514" s="1539"/>
      <c r="BE1514" s="1539"/>
      <c r="BF1514" s="1539"/>
      <c r="BG1514" s="1539"/>
      <c r="BH1514" s="1539"/>
      <c r="BI1514" s="1539"/>
      <c r="BJ1514" s="1539"/>
      <c r="BK1514" s="1539"/>
      <c r="BL1514" s="1539"/>
      <c r="BM1514" s="1539"/>
      <c r="BN1514" s="1539"/>
      <c r="BO1514" s="1539"/>
      <c r="BP1514" s="1539"/>
      <c r="BQ1514" s="1539"/>
      <c r="BR1514" s="1539"/>
      <c r="BS1514" s="1539"/>
      <c r="BT1514" s="1539"/>
      <c r="BU1514" s="1539"/>
      <c r="BV1514" s="1539"/>
      <c r="BW1514" s="1539"/>
      <c r="BX1514" s="1539"/>
      <c r="BY1514" s="1539"/>
      <c r="BZ1514" s="1539"/>
      <c r="CA1514" s="1539"/>
      <c r="CB1514" s="1539"/>
      <c r="CC1514" s="1539"/>
      <c r="CD1514" s="1539"/>
      <c r="CE1514" s="1539"/>
      <c r="CF1514" s="1539"/>
      <c r="CG1514" s="1539"/>
      <c r="CH1514" s="1539"/>
      <c r="CI1514" s="1539"/>
      <c r="CJ1514" s="1539"/>
      <c r="CK1514" s="1539"/>
      <c r="CL1514" s="1539"/>
      <c r="CM1514" s="1539"/>
      <c r="CN1514" s="1539"/>
      <c r="CO1514" s="1539"/>
    </row>
    <row r="1515" spans="1:93" s="1542" customFormat="1" ht="15.5">
      <c r="A1515" s="1598" t="s">
        <v>444</v>
      </c>
      <c r="B1515" s="1599" t="s">
        <v>2915</v>
      </c>
      <c r="C1515" s="1643" t="e">
        <f>+SUMIF(#REF!,Final!A1515,#REF!)</f>
        <v>#REF!</v>
      </c>
      <c r="D1515" s="1597" t="e">
        <f>+SUMIF(#REF!,Final!A1515,#REF!)</f>
        <v>#REF!</v>
      </c>
      <c r="E1515" s="1643" t="e">
        <f>SUMIF(#REF!,Final!A1515,#REF!)</f>
        <v>#REF!</v>
      </c>
      <c r="F1515" s="1644" t="e">
        <f>SUMIF(#REF!,Final!A1515,#REF!)</f>
        <v>#REF!</v>
      </c>
      <c r="G1515" s="1597" t="e">
        <f t="shared" si="160"/>
        <v>#REF!</v>
      </c>
      <c r="H1515" s="1644" t="e">
        <f t="shared" si="161"/>
        <v>#REF!</v>
      </c>
      <c r="I1515" s="1597" t="e">
        <f t="shared" si="162"/>
        <v>#REF!</v>
      </c>
      <c r="J1515" s="1644" t="e">
        <f t="shared" si="163"/>
        <v>#REF!</v>
      </c>
      <c r="K1515" s="1539"/>
      <c r="L1515" s="1539"/>
      <c r="M1515" s="1545"/>
      <c r="N1515" s="1545"/>
      <c r="O1515" s="1539"/>
      <c r="P1515" s="1539"/>
      <c r="Q1515" s="1539"/>
      <c r="R1515" s="1539"/>
      <c r="S1515" s="1539"/>
      <c r="T1515" s="1539"/>
      <c r="U1515" s="1539"/>
      <c r="V1515" s="1539"/>
      <c r="W1515" s="1539"/>
      <c r="X1515" s="1539"/>
      <c r="Y1515" s="1539"/>
      <c r="Z1515" s="1539"/>
      <c r="AA1515" s="1539"/>
      <c r="AB1515" s="1539"/>
      <c r="AC1515" s="1539"/>
      <c r="AD1515" s="1539"/>
      <c r="AE1515" s="1539"/>
      <c r="AF1515" s="1539"/>
      <c r="AG1515" s="1539"/>
      <c r="AH1515" s="1539"/>
      <c r="AI1515" s="1539"/>
      <c r="AJ1515" s="1539"/>
      <c r="AK1515" s="1539"/>
      <c r="AL1515" s="1539"/>
      <c r="AM1515" s="1539"/>
      <c r="AN1515" s="1539"/>
      <c r="AO1515" s="1539"/>
      <c r="AP1515" s="1539"/>
      <c r="AQ1515" s="1539"/>
      <c r="AR1515" s="1539"/>
      <c r="AS1515" s="1539"/>
      <c r="AT1515" s="1539"/>
      <c r="AU1515" s="1539"/>
      <c r="AV1515" s="1539"/>
      <c r="AW1515" s="1539"/>
      <c r="AX1515" s="1539"/>
      <c r="AY1515" s="1539"/>
      <c r="AZ1515" s="1539"/>
      <c r="BA1515" s="1539"/>
      <c r="BB1515" s="1539"/>
      <c r="BC1515" s="1539"/>
      <c r="BD1515" s="1539"/>
      <c r="BE1515" s="1539"/>
      <c r="BF1515" s="1539"/>
      <c r="BG1515" s="1539"/>
      <c r="BH1515" s="1539"/>
      <c r="BI1515" s="1539"/>
      <c r="BJ1515" s="1539"/>
      <c r="BK1515" s="1539"/>
      <c r="BL1515" s="1539"/>
      <c r="BM1515" s="1539"/>
      <c r="BN1515" s="1539"/>
      <c r="BO1515" s="1539"/>
      <c r="BP1515" s="1539"/>
      <c r="BQ1515" s="1539"/>
      <c r="BR1515" s="1539"/>
      <c r="BS1515" s="1539"/>
      <c r="BT1515" s="1539"/>
      <c r="BU1515" s="1539"/>
      <c r="BV1515" s="1539"/>
      <c r="BW1515" s="1539"/>
      <c r="BX1515" s="1539"/>
      <c r="BY1515" s="1539"/>
      <c r="BZ1515" s="1539"/>
      <c r="CA1515" s="1539"/>
      <c r="CB1515" s="1539"/>
      <c r="CC1515" s="1539"/>
      <c r="CD1515" s="1539"/>
      <c r="CE1515" s="1539"/>
      <c r="CF1515" s="1539"/>
      <c r="CG1515" s="1539"/>
      <c r="CH1515" s="1539"/>
      <c r="CI1515" s="1539"/>
      <c r="CJ1515" s="1539"/>
      <c r="CK1515" s="1539"/>
      <c r="CL1515" s="1539"/>
      <c r="CM1515" s="1539"/>
      <c r="CN1515" s="1539"/>
      <c r="CO1515" s="1539"/>
    </row>
    <row r="1516" spans="1:93" ht="15.5">
      <c r="A1516" s="1598">
        <v>28.858000000000001</v>
      </c>
      <c r="B1516" s="1599" t="s">
        <v>2895</v>
      </c>
      <c r="C1516" s="1643" t="e">
        <f>+SUMIF(#REF!,Final!A1516,#REF!)</f>
        <v>#REF!</v>
      </c>
      <c r="D1516" s="1597" t="e">
        <f>+SUMIF(#REF!,Final!A1516,#REF!)</f>
        <v>#REF!</v>
      </c>
      <c r="E1516" s="1643" t="e">
        <f>SUMIF(#REF!,Final!A1516,#REF!)</f>
        <v>#REF!</v>
      </c>
      <c r="F1516" s="1644" t="e">
        <f>SUMIF(#REF!,Final!A1516,#REF!)</f>
        <v>#REF!</v>
      </c>
      <c r="G1516" s="1597" t="e">
        <f t="shared" si="160"/>
        <v>#REF!</v>
      </c>
      <c r="H1516" s="1644" t="e">
        <f t="shared" si="161"/>
        <v>#REF!</v>
      </c>
      <c r="I1516" s="1597" t="e">
        <f t="shared" si="162"/>
        <v>#REF!</v>
      </c>
      <c r="J1516" s="1644" t="e">
        <f t="shared" si="163"/>
        <v>#REF!</v>
      </c>
      <c r="M1516" s="1545"/>
      <c r="N1516" s="1545"/>
    </row>
    <row r="1517" spans="1:93" s="1552" customFormat="1" ht="15.5">
      <c r="A1517" s="1598"/>
      <c r="B1517" s="1599" t="s">
        <v>1747</v>
      </c>
      <c r="C1517" s="1643" t="e">
        <f>+SUMIF(#REF!,Final!A1517,#REF!)</f>
        <v>#REF!</v>
      </c>
      <c r="D1517" s="1597" t="e">
        <f>+SUMIF(#REF!,Final!A1517,#REF!)</f>
        <v>#REF!</v>
      </c>
      <c r="E1517" s="1643" t="e">
        <f>SUMIF(#REF!,Final!A1517,#REF!)</f>
        <v>#REF!</v>
      </c>
      <c r="F1517" s="1644" t="e">
        <f>SUMIF(#REF!,Final!A1517,#REF!)</f>
        <v>#REF!</v>
      </c>
      <c r="G1517" s="1597" t="e">
        <f t="shared" si="160"/>
        <v>#REF!</v>
      </c>
      <c r="H1517" s="1644" t="e">
        <f t="shared" si="161"/>
        <v>#REF!</v>
      </c>
      <c r="I1517" s="1597" t="e">
        <f t="shared" si="162"/>
        <v>#REF!</v>
      </c>
      <c r="J1517" s="1644" t="e">
        <f t="shared" si="163"/>
        <v>#REF!</v>
      </c>
      <c r="K1517" s="1539"/>
      <c r="L1517" s="1539"/>
      <c r="M1517" s="1545"/>
      <c r="N1517" s="1545"/>
      <c r="O1517" s="1539"/>
      <c r="P1517" s="1539"/>
      <c r="Q1517" s="1539"/>
      <c r="R1517" s="1539"/>
      <c r="S1517" s="1539"/>
      <c r="T1517" s="1539"/>
      <c r="U1517" s="1539"/>
      <c r="V1517" s="1539"/>
      <c r="W1517" s="1539"/>
      <c r="X1517" s="1539"/>
      <c r="Y1517" s="1539"/>
      <c r="Z1517" s="1539"/>
      <c r="AA1517" s="1539"/>
      <c r="AB1517" s="1539"/>
      <c r="AC1517" s="1539"/>
      <c r="AD1517" s="1539"/>
      <c r="AE1517" s="1539"/>
      <c r="AF1517" s="1539"/>
      <c r="AG1517" s="1539"/>
      <c r="AH1517" s="1539"/>
      <c r="AI1517" s="1539"/>
      <c r="AJ1517" s="1539"/>
      <c r="AK1517" s="1539"/>
      <c r="AL1517" s="1539"/>
      <c r="AM1517" s="1539"/>
      <c r="AN1517" s="1539"/>
      <c r="AO1517" s="1539"/>
      <c r="AP1517" s="1539"/>
      <c r="AQ1517" s="1539"/>
      <c r="AR1517" s="1539"/>
      <c r="AS1517" s="1539"/>
      <c r="AT1517" s="1539"/>
      <c r="AU1517" s="1539"/>
      <c r="AV1517" s="1539"/>
      <c r="AW1517" s="1539"/>
      <c r="AX1517" s="1539"/>
      <c r="AY1517" s="1539"/>
      <c r="AZ1517" s="1539"/>
      <c r="BA1517" s="1539"/>
      <c r="BB1517" s="1539"/>
      <c r="BC1517" s="1539"/>
      <c r="BD1517" s="1539"/>
      <c r="BE1517" s="1539"/>
      <c r="BF1517" s="1539"/>
      <c r="BG1517" s="1539"/>
      <c r="BH1517" s="1539"/>
      <c r="BI1517" s="1539"/>
      <c r="BJ1517" s="1539"/>
      <c r="BK1517" s="1539"/>
      <c r="BL1517" s="1539"/>
      <c r="BM1517" s="1539"/>
      <c r="BN1517" s="1539"/>
      <c r="BO1517" s="1539"/>
      <c r="BP1517" s="1539"/>
      <c r="BQ1517" s="1539"/>
      <c r="BR1517" s="1539"/>
      <c r="BS1517" s="1539"/>
      <c r="BT1517" s="1539"/>
      <c r="BU1517" s="1539"/>
      <c r="BV1517" s="1539"/>
      <c r="BW1517" s="1539"/>
      <c r="BX1517" s="1539"/>
      <c r="BY1517" s="1539"/>
      <c r="BZ1517" s="1539"/>
      <c r="CA1517" s="1539"/>
      <c r="CB1517" s="1539"/>
      <c r="CC1517" s="1539"/>
      <c r="CD1517" s="1539"/>
      <c r="CE1517" s="1539"/>
      <c r="CF1517" s="1539"/>
      <c r="CG1517" s="1539"/>
      <c r="CH1517" s="1539"/>
      <c r="CI1517" s="1539"/>
      <c r="CJ1517" s="1539"/>
      <c r="CK1517" s="1539"/>
      <c r="CL1517" s="1539"/>
      <c r="CM1517" s="1539"/>
      <c r="CN1517" s="1539"/>
      <c r="CO1517" s="1539"/>
    </row>
    <row r="1518" spans="1:93" s="1552" customFormat="1" ht="15.5">
      <c r="A1518" s="1598" t="s">
        <v>2916</v>
      </c>
      <c r="B1518" s="1599" t="s">
        <v>1760</v>
      </c>
      <c r="C1518" s="1643" t="e">
        <f>+SUMIF(#REF!,Final!A1518,#REF!)</f>
        <v>#REF!</v>
      </c>
      <c r="D1518" s="1597" t="e">
        <f>+SUMIF(#REF!,Final!A1518,#REF!)</f>
        <v>#REF!</v>
      </c>
      <c r="E1518" s="1643" t="e">
        <f>SUMIF(#REF!,Final!A1518,#REF!)</f>
        <v>#REF!</v>
      </c>
      <c r="F1518" s="1644" t="e">
        <f>SUMIF(#REF!,Final!A1518,#REF!)</f>
        <v>#REF!</v>
      </c>
      <c r="G1518" s="1597" t="e">
        <f t="shared" si="160"/>
        <v>#REF!</v>
      </c>
      <c r="H1518" s="1644" t="e">
        <f t="shared" si="161"/>
        <v>#REF!</v>
      </c>
      <c r="I1518" s="1597" t="e">
        <f t="shared" si="162"/>
        <v>#REF!</v>
      </c>
      <c r="J1518" s="1644" t="e">
        <f t="shared" si="163"/>
        <v>#REF!</v>
      </c>
      <c r="K1518" s="1539"/>
      <c r="L1518" s="1539"/>
      <c r="M1518" s="1545"/>
      <c r="N1518" s="1545"/>
      <c r="O1518" s="1539"/>
      <c r="P1518" s="1539"/>
      <c r="Q1518" s="1539"/>
      <c r="R1518" s="1539"/>
      <c r="S1518" s="1539"/>
      <c r="T1518" s="1539"/>
      <c r="U1518" s="1539"/>
      <c r="V1518" s="1539"/>
      <c r="W1518" s="1539"/>
      <c r="X1518" s="1539"/>
      <c r="Y1518" s="1539"/>
      <c r="Z1518" s="1539"/>
      <c r="AA1518" s="1539"/>
      <c r="AB1518" s="1539"/>
      <c r="AC1518" s="1539"/>
      <c r="AD1518" s="1539"/>
      <c r="AE1518" s="1539"/>
      <c r="AF1518" s="1539"/>
      <c r="AG1518" s="1539"/>
      <c r="AH1518" s="1539"/>
      <c r="AI1518" s="1539"/>
      <c r="AJ1518" s="1539"/>
      <c r="AK1518" s="1539"/>
      <c r="AL1518" s="1539"/>
      <c r="AM1518" s="1539"/>
      <c r="AN1518" s="1539"/>
      <c r="AO1518" s="1539"/>
      <c r="AP1518" s="1539"/>
      <c r="AQ1518" s="1539"/>
      <c r="AR1518" s="1539"/>
      <c r="AS1518" s="1539"/>
      <c r="AT1518" s="1539"/>
      <c r="AU1518" s="1539"/>
      <c r="AV1518" s="1539"/>
      <c r="AW1518" s="1539"/>
      <c r="AX1518" s="1539"/>
      <c r="AY1518" s="1539"/>
      <c r="AZ1518" s="1539"/>
      <c r="BA1518" s="1539"/>
      <c r="BB1518" s="1539"/>
      <c r="BC1518" s="1539"/>
      <c r="BD1518" s="1539"/>
      <c r="BE1518" s="1539"/>
      <c r="BF1518" s="1539"/>
      <c r="BG1518" s="1539"/>
      <c r="BH1518" s="1539"/>
      <c r="BI1518" s="1539"/>
      <c r="BJ1518" s="1539"/>
      <c r="BK1518" s="1539"/>
      <c r="BL1518" s="1539"/>
      <c r="BM1518" s="1539"/>
      <c r="BN1518" s="1539"/>
      <c r="BO1518" s="1539"/>
      <c r="BP1518" s="1539"/>
      <c r="BQ1518" s="1539"/>
      <c r="BR1518" s="1539"/>
      <c r="BS1518" s="1539"/>
      <c r="BT1518" s="1539"/>
      <c r="BU1518" s="1539"/>
      <c r="BV1518" s="1539"/>
      <c r="BW1518" s="1539"/>
      <c r="BX1518" s="1539"/>
      <c r="BY1518" s="1539"/>
      <c r="BZ1518" s="1539"/>
      <c r="CA1518" s="1539"/>
      <c r="CB1518" s="1539"/>
      <c r="CC1518" s="1539"/>
      <c r="CD1518" s="1539"/>
      <c r="CE1518" s="1539"/>
      <c r="CF1518" s="1539"/>
      <c r="CG1518" s="1539"/>
      <c r="CH1518" s="1539"/>
      <c r="CI1518" s="1539"/>
      <c r="CJ1518" s="1539"/>
      <c r="CK1518" s="1539"/>
      <c r="CL1518" s="1539"/>
      <c r="CM1518" s="1539"/>
      <c r="CN1518" s="1539"/>
      <c r="CO1518" s="1539"/>
    </row>
    <row r="1519" spans="1:93" s="1542" customFormat="1" ht="15.5">
      <c r="A1519" s="1598" t="s">
        <v>545</v>
      </c>
      <c r="B1519" s="1599" t="s">
        <v>2914</v>
      </c>
      <c r="C1519" s="1643" t="e">
        <f>+SUMIF(#REF!,Final!A1519,#REF!)</f>
        <v>#REF!</v>
      </c>
      <c r="D1519" s="1597" t="e">
        <f>+SUMIF(#REF!,Final!A1519,#REF!)</f>
        <v>#REF!</v>
      </c>
      <c r="E1519" s="1643" t="e">
        <f>SUMIF(#REF!,Final!A1519,#REF!)</f>
        <v>#REF!</v>
      </c>
      <c r="F1519" s="1644" t="e">
        <f>SUMIF(#REF!,Final!A1519,#REF!)</f>
        <v>#REF!</v>
      </c>
      <c r="G1519" s="1597" t="e">
        <f t="shared" si="160"/>
        <v>#REF!</v>
      </c>
      <c r="H1519" s="1644" t="e">
        <f t="shared" si="161"/>
        <v>#REF!</v>
      </c>
      <c r="I1519" s="1597" t="e">
        <f t="shared" si="162"/>
        <v>#REF!</v>
      </c>
      <c r="J1519" s="1644" t="e">
        <f t="shared" si="163"/>
        <v>#REF!</v>
      </c>
      <c r="K1519" s="1539"/>
      <c r="L1519" s="1539"/>
      <c r="M1519" s="1545"/>
      <c r="N1519" s="1545"/>
      <c r="O1519" s="1539"/>
      <c r="P1519" s="1539"/>
      <c r="Q1519" s="1539"/>
      <c r="R1519" s="1539"/>
      <c r="S1519" s="1539"/>
      <c r="T1519" s="1539"/>
      <c r="U1519" s="1539"/>
      <c r="V1519" s="1539"/>
      <c r="W1519" s="1539"/>
      <c r="X1519" s="1539"/>
      <c r="Y1519" s="1539"/>
      <c r="Z1519" s="1539"/>
      <c r="AA1519" s="1539"/>
      <c r="AB1519" s="1539"/>
      <c r="AC1519" s="1539"/>
      <c r="AD1519" s="1539"/>
      <c r="AE1519" s="1539"/>
      <c r="AF1519" s="1539"/>
      <c r="AG1519" s="1539"/>
      <c r="AH1519" s="1539"/>
      <c r="AI1519" s="1539"/>
      <c r="AJ1519" s="1539"/>
      <c r="AK1519" s="1539"/>
      <c r="AL1519" s="1539"/>
      <c r="AM1519" s="1539"/>
      <c r="AN1519" s="1539"/>
      <c r="AO1519" s="1539"/>
      <c r="AP1519" s="1539"/>
      <c r="AQ1519" s="1539"/>
      <c r="AR1519" s="1539"/>
      <c r="AS1519" s="1539"/>
      <c r="AT1519" s="1539"/>
      <c r="AU1519" s="1539"/>
      <c r="AV1519" s="1539"/>
      <c r="AW1519" s="1539"/>
      <c r="AX1519" s="1539"/>
      <c r="AY1519" s="1539"/>
      <c r="AZ1519" s="1539"/>
      <c r="BA1519" s="1539"/>
      <c r="BB1519" s="1539"/>
      <c r="BC1519" s="1539"/>
      <c r="BD1519" s="1539"/>
      <c r="BE1519" s="1539"/>
      <c r="BF1519" s="1539"/>
      <c r="BG1519" s="1539"/>
      <c r="BH1519" s="1539"/>
      <c r="BI1519" s="1539"/>
      <c r="BJ1519" s="1539"/>
      <c r="BK1519" s="1539"/>
      <c r="BL1519" s="1539"/>
      <c r="BM1519" s="1539"/>
      <c r="BN1519" s="1539"/>
      <c r="BO1519" s="1539"/>
      <c r="BP1519" s="1539"/>
      <c r="BQ1519" s="1539"/>
      <c r="BR1519" s="1539"/>
      <c r="BS1519" s="1539"/>
      <c r="BT1519" s="1539"/>
      <c r="BU1519" s="1539"/>
      <c r="BV1519" s="1539"/>
      <c r="BW1519" s="1539"/>
      <c r="BX1519" s="1539"/>
      <c r="BY1519" s="1539"/>
      <c r="BZ1519" s="1539"/>
      <c r="CA1519" s="1539"/>
      <c r="CB1519" s="1539"/>
      <c r="CC1519" s="1539"/>
      <c r="CD1519" s="1539"/>
      <c r="CE1519" s="1539"/>
      <c r="CF1519" s="1539"/>
      <c r="CG1519" s="1539"/>
      <c r="CH1519" s="1539"/>
      <c r="CI1519" s="1539"/>
      <c r="CJ1519" s="1539"/>
      <c r="CK1519" s="1539"/>
      <c r="CL1519" s="1539"/>
      <c r="CM1519" s="1539"/>
      <c r="CN1519" s="1539"/>
      <c r="CO1519" s="1539"/>
    </row>
    <row r="1520" spans="1:93" s="1542" customFormat="1" ht="15.5">
      <c r="A1520" s="1598" t="s">
        <v>446</v>
      </c>
      <c r="B1520" s="1599" t="s">
        <v>3403</v>
      </c>
      <c r="C1520" s="1643" t="e">
        <f>+SUMIF(#REF!,Final!A1520,#REF!)</f>
        <v>#REF!</v>
      </c>
      <c r="D1520" s="1597" t="e">
        <f>+SUMIF(#REF!,Final!A1520,#REF!)</f>
        <v>#REF!</v>
      </c>
      <c r="E1520" s="1643" t="e">
        <f>SUMIF(#REF!,Final!A1520,#REF!)</f>
        <v>#REF!</v>
      </c>
      <c r="F1520" s="1644" t="e">
        <f>SUMIF(#REF!,Final!A1520,#REF!)</f>
        <v>#REF!</v>
      </c>
      <c r="G1520" s="1597" t="e">
        <f t="shared" si="160"/>
        <v>#REF!</v>
      </c>
      <c r="H1520" s="1644" t="e">
        <f t="shared" si="161"/>
        <v>#REF!</v>
      </c>
      <c r="I1520" s="1597" t="e">
        <f t="shared" si="162"/>
        <v>#REF!</v>
      </c>
      <c r="J1520" s="1644" t="e">
        <f t="shared" si="163"/>
        <v>#REF!</v>
      </c>
      <c r="K1520" s="1539"/>
      <c r="L1520" s="1539"/>
      <c r="M1520" s="1545"/>
      <c r="N1520" s="1545"/>
      <c r="O1520" s="1539"/>
      <c r="P1520" s="1539"/>
      <c r="Q1520" s="1539"/>
      <c r="R1520" s="1539"/>
      <c r="S1520" s="1539"/>
      <c r="T1520" s="1539"/>
      <c r="U1520" s="1539"/>
      <c r="V1520" s="1539"/>
      <c r="W1520" s="1539"/>
      <c r="X1520" s="1539"/>
      <c r="Y1520" s="1539"/>
      <c r="Z1520" s="1539"/>
      <c r="AA1520" s="1539"/>
      <c r="AB1520" s="1539"/>
      <c r="AC1520" s="1539"/>
      <c r="AD1520" s="1539"/>
      <c r="AE1520" s="1539"/>
      <c r="AF1520" s="1539"/>
      <c r="AG1520" s="1539"/>
      <c r="AH1520" s="1539"/>
      <c r="AI1520" s="1539"/>
      <c r="AJ1520" s="1539"/>
      <c r="AK1520" s="1539"/>
      <c r="AL1520" s="1539"/>
      <c r="AM1520" s="1539"/>
      <c r="AN1520" s="1539"/>
      <c r="AO1520" s="1539"/>
      <c r="AP1520" s="1539"/>
      <c r="AQ1520" s="1539"/>
      <c r="AR1520" s="1539"/>
      <c r="AS1520" s="1539"/>
      <c r="AT1520" s="1539"/>
      <c r="AU1520" s="1539"/>
      <c r="AV1520" s="1539"/>
      <c r="AW1520" s="1539"/>
      <c r="AX1520" s="1539"/>
      <c r="AY1520" s="1539"/>
      <c r="AZ1520" s="1539"/>
      <c r="BA1520" s="1539"/>
      <c r="BB1520" s="1539"/>
      <c r="BC1520" s="1539"/>
      <c r="BD1520" s="1539"/>
      <c r="BE1520" s="1539"/>
      <c r="BF1520" s="1539"/>
      <c r="BG1520" s="1539"/>
      <c r="BH1520" s="1539"/>
      <c r="BI1520" s="1539"/>
      <c r="BJ1520" s="1539"/>
      <c r="BK1520" s="1539"/>
      <c r="BL1520" s="1539"/>
      <c r="BM1520" s="1539"/>
      <c r="BN1520" s="1539"/>
      <c r="BO1520" s="1539"/>
      <c r="BP1520" s="1539"/>
      <c r="BQ1520" s="1539"/>
      <c r="BR1520" s="1539"/>
      <c r="BS1520" s="1539"/>
      <c r="BT1520" s="1539"/>
      <c r="BU1520" s="1539"/>
      <c r="BV1520" s="1539"/>
      <c r="BW1520" s="1539"/>
      <c r="BX1520" s="1539"/>
      <c r="BY1520" s="1539"/>
      <c r="BZ1520" s="1539"/>
      <c r="CA1520" s="1539"/>
      <c r="CB1520" s="1539"/>
      <c r="CC1520" s="1539"/>
      <c r="CD1520" s="1539"/>
      <c r="CE1520" s="1539"/>
      <c r="CF1520" s="1539"/>
      <c r="CG1520" s="1539"/>
      <c r="CH1520" s="1539"/>
      <c r="CI1520" s="1539"/>
      <c r="CJ1520" s="1539"/>
      <c r="CK1520" s="1539"/>
      <c r="CL1520" s="1539"/>
      <c r="CM1520" s="1539"/>
      <c r="CN1520" s="1539"/>
      <c r="CO1520" s="1539"/>
    </row>
    <row r="1521" spans="1:93" ht="15.5">
      <c r="A1521" s="1598">
        <v>28.859000000000002</v>
      </c>
      <c r="B1521" s="1599" t="s">
        <v>2896</v>
      </c>
      <c r="C1521" s="1643" t="e">
        <f>+SUMIF(#REF!,Final!A1521,#REF!)</f>
        <v>#REF!</v>
      </c>
      <c r="D1521" s="1597" t="e">
        <f>+SUMIF(#REF!,Final!A1521,#REF!)</f>
        <v>#REF!</v>
      </c>
      <c r="E1521" s="1643" t="e">
        <f>SUMIF(#REF!,Final!A1521,#REF!)</f>
        <v>#REF!</v>
      </c>
      <c r="F1521" s="1644" t="e">
        <f>SUMIF(#REF!,Final!A1521,#REF!)</f>
        <v>#REF!</v>
      </c>
      <c r="G1521" s="1597" t="e">
        <f t="shared" si="160"/>
        <v>#REF!</v>
      </c>
      <c r="H1521" s="1644" t="e">
        <f t="shared" si="161"/>
        <v>#REF!</v>
      </c>
      <c r="I1521" s="1597" t="e">
        <f t="shared" si="162"/>
        <v>#REF!</v>
      </c>
      <c r="J1521" s="1644" t="e">
        <f t="shared" si="163"/>
        <v>#REF!</v>
      </c>
      <c r="M1521" s="1545"/>
      <c r="N1521" s="1545"/>
    </row>
    <row r="1522" spans="1:93" s="1552" customFormat="1" ht="15.5">
      <c r="A1522" s="1598"/>
      <c r="B1522" s="1599" t="s">
        <v>1747</v>
      </c>
      <c r="C1522" s="1643" t="e">
        <f>+SUMIF(#REF!,Final!A1522,#REF!)</f>
        <v>#REF!</v>
      </c>
      <c r="D1522" s="1597" t="e">
        <f>+SUMIF(#REF!,Final!A1522,#REF!)</f>
        <v>#REF!</v>
      </c>
      <c r="E1522" s="1643" t="e">
        <f>SUMIF(#REF!,Final!A1522,#REF!)</f>
        <v>#REF!</v>
      </c>
      <c r="F1522" s="1644" t="e">
        <f>SUMIF(#REF!,Final!A1522,#REF!)</f>
        <v>#REF!</v>
      </c>
      <c r="G1522" s="1597" t="e">
        <f t="shared" si="160"/>
        <v>#REF!</v>
      </c>
      <c r="H1522" s="1644" t="e">
        <f t="shared" si="161"/>
        <v>#REF!</v>
      </c>
      <c r="I1522" s="1597" t="e">
        <f t="shared" si="162"/>
        <v>#REF!</v>
      </c>
      <c r="J1522" s="1644" t="e">
        <f t="shared" si="163"/>
        <v>#REF!</v>
      </c>
      <c r="K1522" s="1539"/>
      <c r="L1522" s="1539"/>
      <c r="M1522" s="1545"/>
      <c r="N1522" s="1545"/>
      <c r="O1522" s="1539"/>
      <c r="P1522" s="1539"/>
      <c r="Q1522" s="1539"/>
      <c r="R1522" s="1539"/>
      <c r="S1522" s="1539"/>
      <c r="T1522" s="1539"/>
      <c r="U1522" s="1539"/>
      <c r="V1522" s="1539"/>
      <c r="W1522" s="1539"/>
      <c r="X1522" s="1539"/>
      <c r="Y1522" s="1539"/>
      <c r="Z1522" s="1539"/>
      <c r="AA1522" s="1539"/>
      <c r="AB1522" s="1539"/>
      <c r="AC1522" s="1539"/>
      <c r="AD1522" s="1539"/>
      <c r="AE1522" s="1539"/>
      <c r="AF1522" s="1539"/>
      <c r="AG1522" s="1539"/>
      <c r="AH1522" s="1539"/>
      <c r="AI1522" s="1539"/>
      <c r="AJ1522" s="1539"/>
      <c r="AK1522" s="1539"/>
      <c r="AL1522" s="1539"/>
      <c r="AM1522" s="1539"/>
      <c r="AN1522" s="1539"/>
      <c r="AO1522" s="1539"/>
      <c r="AP1522" s="1539"/>
      <c r="AQ1522" s="1539"/>
      <c r="AR1522" s="1539"/>
      <c r="AS1522" s="1539"/>
      <c r="AT1522" s="1539"/>
      <c r="AU1522" s="1539"/>
      <c r="AV1522" s="1539"/>
      <c r="AW1522" s="1539"/>
      <c r="AX1522" s="1539"/>
      <c r="AY1522" s="1539"/>
      <c r="AZ1522" s="1539"/>
      <c r="BA1522" s="1539"/>
      <c r="BB1522" s="1539"/>
      <c r="BC1522" s="1539"/>
      <c r="BD1522" s="1539"/>
      <c r="BE1522" s="1539"/>
      <c r="BF1522" s="1539"/>
      <c r="BG1522" s="1539"/>
      <c r="BH1522" s="1539"/>
      <c r="BI1522" s="1539"/>
      <c r="BJ1522" s="1539"/>
      <c r="BK1522" s="1539"/>
      <c r="BL1522" s="1539"/>
      <c r="BM1522" s="1539"/>
      <c r="BN1522" s="1539"/>
      <c r="BO1522" s="1539"/>
      <c r="BP1522" s="1539"/>
      <c r="BQ1522" s="1539"/>
      <c r="BR1522" s="1539"/>
      <c r="BS1522" s="1539"/>
      <c r="BT1522" s="1539"/>
      <c r="BU1522" s="1539"/>
      <c r="BV1522" s="1539"/>
      <c r="BW1522" s="1539"/>
      <c r="BX1522" s="1539"/>
      <c r="BY1522" s="1539"/>
      <c r="BZ1522" s="1539"/>
      <c r="CA1522" s="1539"/>
      <c r="CB1522" s="1539"/>
      <c r="CC1522" s="1539"/>
      <c r="CD1522" s="1539"/>
      <c r="CE1522" s="1539"/>
      <c r="CF1522" s="1539"/>
      <c r="CG1522" s="1539"/>
      <c r="CH1522" s="1539"/>
      <c r="CI1522" s="1539"/>
      <c r="CJ1522" s="1539"/>
      <c r="CK1522" s="1539"/>
      <c r="CL1522" s="1539"/>
      <c r="CM1522" s="1539"/>
      <c r="CN1522" s="1539"/>
      <c r="CO1522" s="1539"/>
    </row>
    <row r="1523" spans="1:93" s="1552" customFormat="1" ht="15.5">
      <c r="A1523" s="1598"/>
      <c r="B1523" s="1599" t="s">
        <v>1760</v>
      </c>
      <c r="C1523" s="1643" t="e">
        <f>+SUMIF(#REF!,Final!A1523,#REF!)</f>
        <v>#REF!</v>
      </c>
      <c r="D1523" s="1597" t="e">
        <f>+SUMIF(#REF!,Final!A1523,#REF!)</f>
        <v>#REF!</v>
      </c>
      <c r="E1523" s="1643" t="e">
        <f>SUMIF(#REF!,Final!A1523,#REF!)</f>
        <v>#REF!</v>
      </c>
      <c r="F1523" s="1644" t="e">
        <f>SUMIF(#REF!,Final!A1523,#REF!)</f>
        <v>#REF!</v>
      </c>
      <c r="G1523" s="1597" t="e">
        <f t="shared" si="160"/>
        <v>#REF!</v>
      </c>
      <c r="H1523" s="1644" t="e">
        <f t="shared" si="161"/>
        <v>#REF!</v>
      </c>
      <c r="I1523" s="1597" t="e">
        <f t="shared" si="162"/>
        <v>#REF!</v>
      </c>
      <c r="J1523" s="1644" t="e">
        <f t="shared" si="163"/>
        <v>#REF!</v>
      </c>
      <c r="K1523" s="1539"/>
      <c r="L1523" s="1539"/>
      <c r="M1523" s="1545"/>
      <c r="N1523" s="1545"/>
      <c r="O1523" s="1539"/>
      <c r="P1523" s="1539"/>
      <c r="Q1523" s="1539"/>
      <c r="R1523" s="1539"/>
      <c r="S1523" s="1539"/>
      <c r="T1523" s="1539"/>
      <c r="U1523" s="1539"/>
      <c r="V1523" s="1539"/>
      <c r="W1523" s="1539"/>
      <c r="X1523" s="1539"/>
      <c r="Y1523" s="1539"/>
      <c r="Z1523" s="1539"/>
      <c r="AA1523" s="1539"/>
      <c r="AB1523" s="1539"/>
      <c r="AC1523" s="1539"/>
      <c r="AD1523" s="1539"/>
      <c r="AE1523" s="1539"/>
      <c r="AF1523" s="1539"/>
      <c r="AG1523" s="1539"/>
      <c r="AH1523" s="1539"/>
      <c r="AI1523" s="1539"/>
      <c r="AJ1523" s="1539"/>
      <c r="AK1523" s="1539"/>
      <c r="AL1523" s="1539"/>
      <c r="AM1523" s="1539"/>
      <c r="AN1523" s="1539"/>
      <c r="AO1523" s="1539"/>
      <c r="AP1523" s="1539"/>
      <c r="AQ1523" s="1539"/>
      <c r="AR1523" s="1539"/>
      <c r="AS1523" s="1539"/>
      <c r="AT1523" s="1539"/>
      <c r="AU1523" s="1539"/>
      <c r="AV1523" s="1539"/>
      <c r="AW1523" s="1539"/>
      <c r="AX1523" s="1539"/>
      <c r="AY1523" s="1539"/>
      <c r="AZ1523" s="1539"/>
      <c r="BA1523" s="1539"/>
      <c r="BB1523" s="1539"/>
      <c r="BC1523" s="1539"/>
      <c r="BD1523" s="1539"/>
      <c r="BE1523" s="1539"/>
      <c r="BF1523" s="1539"/>
      <c r="BG1523" s="1539"/>
      <c r="BH1523" s="1539"/>
      <c r="BI1523" s="1539"/>
      <c r="BJ1523" s="1539"/>
      <c r="BK1523" s="1539"/>
      <c r="BL1523" s="1539"/>
      <c r="BM1523" s="1539"/>
      <c r="BN1523" s="1539"/>
      <c r="BO1523" s="1539"/>
      <c r="BP1523" s="1539"/>
      <c r="BQ1523" s="1539"/>
      <c r="BR1523" s="1539"/>
      <c r="BS1523" s="1539"/>
      <c r="BT1523" s="1539"/>
      <c r="BU1523" s="1539"/>
      <c r="BV1523" s="1539"/>
      <c r="BW1523" s="1539"/>
      <c r="BX1523" s="1539"/>
      <c r="BY1523" s="1539"/>
      <c r="BZ1523" s="1539"/>
      <c r="CA1523" s="1539"/>
      <c r="CB1523" s="1539"/>
      <c r="CC1523" s="1539"/>
      <c r="CD1523" s="1539"/>
      <c r="CE1523" s="1539"/>
      <c r="CF1523" s="1539"/>
      <c r="CG1523" s="1539"/>
      <c r="CH1523" s="1539"/>
      <c r="CI1523" s="1539"/>
      <c r="CJ1523" s="1539"/>
      <c r="CK1523" s="1539"/>
      <c r="CL1523" s="1539"/>
      <c r="CM1523" s="1539"/>
      <c r="CN1523" s="1539"/>
      <c r="CO1523" s="1539"/>
    </row>
    <row r="1524" spans="1:93" s="1542" customFormat="1" ht="15.5">
      <c r="A1524" s="1598" t="s">
        <v>543</v>
      </c>
      <c r="B1524" s="1599" t="s">
        <v>3394</v>
      </c>
      <c r="C1524" s="1643" t="e">
        <f>+SUMIF(#REF!,Final!A1524,#REF!)</f>
        <v>#REF!</v>
      </c>
      <c r="D1524" s="1597" t="e">
        <f>+SUMIF(#REF!,Final!A1524,#REF!)</f>
        <v>#REF!</v>
      </c>
      <c r="E1524" s="1643" t="e">
        <f>SUMIF(#REF!,Final!A1524,#REF!)</f>
        <v>#REF!</v>
      </c>
      <c r="F1524" s="1644" t="e">
        <f>SUMIF(#REF!,Final!A1524,#REF!)</f>
        <v>#REF!</v>
      </c>
      <c r="G1524" s="1597" t="e">
        <f t="shared" si="160"/>
        <v>#REF!</v>
      </c>
      <c r="H1524" s="1644" t="e">
        <f t="shared" si="161"/>
        <v>#REF!</v>
      </c>
      <c r="I1524" s="1597" t="e">
        <f t="shared" si="162"/>
        <v>#REF!</v>
      </c>
      <c r="J1524" s="1644" t="e">
        <f t="shared" si="163"/>
        <v>#REF!</v>
      </c>
      <c r="K1524" s="1539"/>
      <c r="L1524" s="1539"/>
      <c r="M1524" s="1545"/>
      <c r="N1524" s="1545"/>
      <c r="O1524" s="1539"/>
      <c r="P1524" s="1539"/>
      <c r="Q1524" s="1539"/>
      <c r="R1524" s="1539"/>
      <c r="S1524" s="1539"/>
      <c r="T1524" s="1539"/>
      <c r="U1524" s="1539"/>
      <c r="V1524" s="1539"/>
      <c r="W1524" s="1539"/>
      <c r="X1524" s="1539"/>
      <c r="Y1524" s="1539"/>
      <c r="Z1524" s="1539"/>
      <c r="AA1524" s="1539"/>
      <c r="AB1524" s="1539"/>
      <c r="AC1524" s="1539"/>
      <c r="AD1524" s="1539"/>
      <c r="AE1524" s="1539"/>
      <c r="AF1524" s="1539"/>
      <c r="AG1524" s="1539"/>
      <c r="AH1524" s="1539"/>
      <c r="AI1524" s="1539"/>
      <c r="AJ1524" s="1539"/>
      <c r="AK1524" s="1539"/>
      <c r="AL1524" s="1539"/>
      <c r="AM1524" s="1539"/>
      <c r="AN1524" s="1539"/>
      <c r="AO1524" s="1539"/>
      <c r="AP1524" s="1539"/>
      <c r="AQ1524" s="1539"/>
      <c r="AR1524" s="1539"/>
      <c r="AS1524" s="1539"/>
      <c r="AT1524" s="1539"/>
      <c r="AU1524" s="1539"/>
      <c r="AV1524" s="1539"/>
      <c r="AW1524" s="1539"/>
      <c r="AX1524" s="1539"/>
      <c r="AY1524" s="1539"/>
      <c r="AZ1524" s="1539"/>
      <c r="BA1524" s="1539"/>
      <c r="BB1524" s="1539"/>
      <c r="BC1524" s="1539"/>
      <c r="BD1524" s="1539"/>
      <c r="BE1524" s="1539"/>
      <c r="BF1524" s="1539"/>
      <c r="BG1524" s="1539"/>
      <c r="BH1524" s="1539"/>
      <c r="BI1524" s="1539"/>
      <c r="BJ1524" s="1539"/>
      <c r="BK1524" s="1539"/>
      <c r="BL1524" s="1539"/>
      <c r="BM1524" s="1539"/>
      <c r="BN1524" s="1539"/>
      <c r="BO1524" s="1539"/>
      <c r="BP1524" s="1539"/>
      <c r="BQ1524" s="1539"/>
      <c r="BR1524" s="1539"/>
      <c r="BS1524" s="1539"/>
      <c r="BT1524" s="1539"/>
      <c r="BU1524" s="1539"/>
      <c r="BV1524" s="1539"/>
      <c r="BW1524" s="1539"/>
      <c r="BX1524" s="1539"/>
      <c r="BY1524" s="1539"/>
      <c r="BZ1524" s="1539"/>
      <c r="CA1524" s="1539"/>
      <c r="CB1524" s="1539"/>
      <c r="CC1524" s="1539"/>
      <c r="CD1524" s="1539"/>
      <c r="CE1524" s="1539"/>
      <c r="CF1524" s="1539"/>
      <c r="CG1524" s="1539"/>
      <c r="CH1524" s="1539"/>
      <c r="CI1524" s="1539"/>
      <c r="CJ1524" s="1539"/>
      <c r="CK1524" s="1539"/>
      <c r="CL1524" s="1539"/>
      <c r="CM1524" s="1539"/>
      <c r="CN1524" s="1539"/>
      <c r="CO1524" s="1539"/>
    </row>
    <row r="1525" spans="1:93" s="1542" customFormat="1" ht="15.5">
      <c r="A1525" s="1598" t="s">
        <v>594</v>
      </c>
      <c r="B1525" s="1599" t="s">
        <v>2897</v>
      </c>
      <c r="C1525" s="1643" t="e">
        <f>+SUMIF(#REF!,Final!A1525,#REF!)</f>
        <v>#REF!</v>
      </c>
      <c r="D1525" s="1597" t="e">
        <f>+SUMIF(#REF!,Final!A1525,#REF!)</f>
        <v>#REF!</v>
      </c>
      <c r="E1525" s="1643" t="e">
        <f>SUMIF(#REF!,Final!A1525,#REF!)</f>
        <v>#REF!</v>
      </c>
      <c r="F1525" s="1644" t="e">
        <f>SUMIF(#REF!,Final!A1525,#REF!)</f>
        <v>#REF!</v>
      </c>
      <c r="G1525" s="1597" t="e">
        <f t="shared" si="160"/>
        <v>#REF!</v>
      </c>
      <c r="H1525" s="1644" t="e">
        <f t="shared" si="161"/>
        <v>#REF!</v>
      </c>
      <c r="I1525" s="1597" t="e">
        <f t="shared" si="162"/>
        <v>#REF!</v>
      </c>
      <c r="J1525" s="1644" t="e">
        <f t="shared" si="163"/>
        <v>#REF!</v>
      </c>
      <c r="K1525" s="1539"/>
      <c r="L1525" s="1539"/>
      <c r="M1525" s="1545"/>
      <c r="N1525" s="1545"/>
      <c r="O1525" s="1539"/>
      <c r="P1525" s="1539"/>
      <c r="Q1525" s="1539"/>
      <c r="R1525" s="1539"/>
      <c r="S1525" s="1539"/>
      <c r="T1525" s="1539"/>
      <c r="U1525" s="1539"/>
      <c r="V1525" s="1539"/>
      <c r="W1525" s="1539"/>
      <c r="X1525" s="1539"/>
      <c r="Y1525" s="1539"/>
      <c r="Z1525" s="1539"/>
      <c r="AA1525" s="1539"/>
      <c r="AB1525" s="1539"/>
      <c r="AC1525" s="1539"/>
      <c r="AD1525" s="1539"/>
      <c r="AE1525" s="1539"/>
      <c r="AF1525" s="1539"/>
      <c r="AG1525" s="1539"/>
      <c r="AH1525" s="1539"/>
      <c r="AI1525" s="1539"/>
      <c r="AJ1525" s="1539"/>
      <c r="AK1525" s="1539"/>
      <c r="AL1525" s="1539"/>
      <c r="AM1525" s="1539"/>
      <c r="AN1525" s="1539"/>
      <c r="AO1525" s="1539"/>
      <c r="AP1525" s="1539"/>
      <c r="AQ1525" s="1539"/>
      <c r="AR1525" s="1539"/>
      <c r="AS1525" s="1539"/>
      <c r="AT1525" s="1539"/>
      <c r="AU1525" s="1539"/>
      <c r="AV1525" s="1539"/>
      <c r="AW1525" s="1539"/>
      <c r="AX1525" s="1539"/>
      <c r="AY1525" s="1539"/>
      <c r="AZ1525" s="1539"/>
      <c r="BA1525" s="1539"/>
      <c r="BB1525" s="1539"/>
      <c r="BC1525" s="1539"/>
      <c r="BD1525" s="1539"/>
      <c r="BE1525" s="1539"/>
      <c r="BF1525" s="1539"/>
      <c r="BG1525" s="1539"/>
      <c r="BH1525" s="1539"/>
      <c r="BI1525" s="1539"/>
      <c r="BJ1525" s="1539"/>
      <c r="BK1525" s="1539"/>
      <c r="BL1525" s="1539"/>
      <c r="BM1525" s="1539"/>
      <c r="BN1525" s="1539"/>
      <c r="BO1525" s="1539"/>
      <c r="BP1525" s="1539"/>
      <c r="BQ1525" s="1539"/>
      <c r="BR1525" s="1539"/>
      <c r="BS1525" s="1539"/>
      <c r="BT1525" s="1539"/>
      <c r="BU1525" s="1539"/>
      <c r="BV1525" s="1539"/>
      <c r="BW1525" s="1539"/>
      <c r="BX1525" s="1539"/>
      <c r="BY1525" s="1539"/>
      <c r="BZ1525" s="1539"/>
      <c r="CA1525" s="1539"/>
      <c r="CB1525" s="1539"/>
      <c r="CC1525" s="1539"/>
      <c r="CD1525" s="1539"/>
      <c r="CE1525" s="1539"/>
      <c r="CF1525" s="1539"/>
      <c r="CG1525" s="1539"/>
      <c r="CH1525" s="1539"/>
      <c r="CI1525" s="1539"/>
      <c r="CJ1525" s="1539"/>
      <c r="CK1525" s="1539"/>
      <c r="CL1525" s="1539"/>
      <c r="CM1525" s="1539"/>
      <c r="CN1525" s="1539"/>
      <c r="CO1525" s="1539"/>
    </row>
    <row r="1526" spans="1:93" ht="15.5">
      <c r="A1526" s="1598">
        <v>28.86</v>
      </c>
      <c r="B1526" s="1599" t="s">
        <v>2897</v>
      </c>
      <c r="C1526" s="1643" t="e">
        <f>+SUMIF(#REF!,Final!A1526,#REF!)</f>
        <v>#REF!</v>
      </c>
      <c r="D1526" s="1597" t="e">
        <f>+SUMIF(#REF!,Final!A1526,#REF!)</f>
        <v>#REF!</v>
      </c>
      <c r="E1526" s="1643" t="e">
        <f>SUMIF(#REF!,Final!A1526,#REF!)</f>
        <v>#REF!</v>
      </c>
      <c r="F1526" s="1644" t="e">
        <f>SUMIF(#REF!,Final!A1526,#REF!)</f>
        <v>#REF!</v>
      </c>
      <c r="G1526" s="1597" t="e">
        <f t="shared" si="160"/>
        <v>#REF!</v>
      </c>
      <c r="H1526" s="1644" t="e">
        <f t="shared" si="161"/>
        <v>#REF!</v>
      </c>
      <c r="I1526" s="1597" t="e">
        <f t="shared" si="162"/>
        <v>#REF!</v>
      </c>
      <c r="J1526" s="1644" t="e">
        <f t="shared" si="163"/>
        <v>#REF!</v>
      </c>
      <c r="M1526" s="1545"/>
      <c r="N1526" s="1545"/>
    </row>
    <row r="1527" spans="1:93" s="1552" customFormat="1" ht="15.5">
      <c r="A1527" s="1598"/>
      <c r="B1527" s="1599" t="s">
        <v>1747</v>
      </c>
      <c r="C1527" s="1643" t="e">
        <f>+SUMIF(#REF!,Final!A1527,#REF!)</f>
        <v>#REF!</v>
      </c>
      <c r="D1527" s="1597" t="e">
        <f>+SUMIF(#REF!,Final!A1527,#REF!)</f>
        <v>#REF!</v>
      </c>
      <c r="E1527" s="1643" t="e">
        <f>SUMIF(#REF!,Final!A1527,#REF!)</f>
        <v>#REF!</v>
      </c>
      <c r="F1527" s="1644" t="e">
        <f>SUMIF(#REF!,Final!A1527,#REF!)</f>
        <v>#REF!</v>
      </c>
      <c r="G1527" s="1597" t="e">
        <f t="shared" si="160"/>
        <v>#REF!</v>
      </c>
      <c r="H1527" s="1644" t="e">
        <f t="shared" si="161"/>
        <v>#REF!</v>
      </c>
      <c r="I1527" s="1597" t="e">
        <f t="shared" si="162"/>
        <v>#REF!</v>
      </c>
      <c r="J1527" s="1644" t="e">
        <f t="shared" si="163"/>
        <v>#REF!</v>
      </c>
      <c r="K1527" s="1539"/>
      <c r="L1527" s="1539"/>
      <c r="M1527" s="1545"/>
      <c r="N1527" s="1545"/>
      <c r="O1527" s="1539"/>
      <c r="P1527" s="1539"/>
      <c r="Q1527" s="1539"/>
      <c r="R1527" s="1539"/>
      <c r="S1527" s="1539"/>
      <c r="T1527" s="1539"/>
      <c r="U1527" s="1539"/>
      <c r="V1527" s="1539"/>
      <c r="W1527" s="1539"/>
      <c r="X1527" s="1539"/>
      <c r="Y1527" s="1539"/>
      <c r="Z1527" s="1539"/>
      <c r="AA1527" s="1539"/>
      <c r="AB1527" s="1539"/>
      <c r="AC1527" s="1539"/>
      <c r="AD1527" s="1539"/>
      <c r="AE1527" s="1539"/>
      <c r="AF1527" s="1539"/>
      <c r="AG1527" s="1539"/>
      <c r="AH1527" s="1539"/>
      <c r="AI1527" s="1539"/>
      <c r="AJ1527" s="1539"/>
      <c r="AK1527" s="1539"/>
      <c r="AL1527" s="1539"/>
      <c r="AM1527" s="1539"/>
      <c r="AN1527" s="1539"/>
      <c r="AO1527" s="1539"/>
      <c r="AP1527" s="1539"/>
      <c r="AQ1527" s="1539"/>
      <c r="AR1527" s="1539"/>
      <c r="AS1527" s="1539"/>
      <c r="AT1527" s="1539"/>
      <c r="AU1527" s="1539"/>
      <c r="AV1527" s="1539"/>
      <c r="AW1527" s="1539"/>
      <c r="AX1527" s="1539"/>
      <c r="AY1527" s="1539"/>
      <c r="AZ1527" s="1539"/>
      <c r="BA1527" s="1539"/>
      <c r="BB1527" s="1539"/>
      <c r="BC1527" s="1539"/>
      <c r="BD1527" s="1539"/>
      <c r="BE1527" s="1539"/>
      <c r="BF1527" s="1539"/>
      <c r="BG1527" s="1539"/>
      <c r="BH1527" s="1539"/>
      <c r="BI1527" s="1539"/>
      <c r="BJ1527" s="1539"/>
      <c r="BK1527" s="1539"/>
      <c r="BL1527" s="1539"/>
      <c r="BM1527" s="1539"/>
      <c r="BN1527" s="1539"/>
      <c r="BO1527" s="1539"/>
      <c r="BP1527" s="1539"/>
      <c r="BQ1527" s="1539"/>
      <c r="BR1527" s="1539"/>
      <c r="BS1527" s="1539"/>
      <c r="BT1527" s="1539"/>
      <c r="BU1527" s="1539"/>
      <c r="BV1527" s="1539"/>
      <c r="BW1527" s="1539"/>
      <c r="BX1527" s="1539"/>
      <c r="BY1527" s="1539"/>
      <c r="BZ1527" s="1539"/>
      <c r="CA1527" s="1539"/>
      <c r="CB1527" s="1539"/>
      <c r="CC1527" s="1539"/>
      <c r="CD1527" s="1539"/>
      <c r="CE1527" s="1539"/>
      <c r="CF1527" s="1539"/>
      <c r="CG1527" s="1539"/>
      <c r="CH1527" s="1539"/>
      <c r="CI1527" s="1539"/>
      <c r="CJ1527" s="1539"/>
      <c r="CK1527" s="1539"/>
      <c r="CL1527" s="1539"/>
      <c r="CM1527" s="1539"/>
      <c r="CN1527" s="1539"/>
      <c r="CO1527" s="1539"/>
    </row>
    <row r="1528" spans="1:93" s="1552" customFormat="1" ht="15.5">
      <c r="A1528" s="1598"/>
      <c r="B1528" s="1599" t="s">
        <v>1760</v>
      </c>
      <c r="C1528" s="1643" t="e">
        <f>+SUMIF(#REF!,Final!A1528,#REF!)</f>
        <v>#REF!</v>
      </c>
      <c r="D1528" s="1597" t="e">
        <f>+SUMIF(#REF!,Final!A1528,#REF!)</f>
        <v>#REF!</v>
      </c>
      <c r="E1528" s="1643" t="e">
        <f>SUMIF(#REF!,Final!A1528,#REF!)</f>
        <v>#REF!</v>
      </c>
      <c r="F1528" s="1644" t="e">
        <f>SUMIF(#REF!,Final!A1528,#REF!)</f>
        <v>#REF!</v>
      </c>
      <c r="G1528" s="1597" t="e">
        <f t="shared" si="160"/>
        <v>#REF!</v>
      </c>
      <c r="H1528" s="1644" t="e">
        <f t="shared" si="161"/>
        <v>#REF!</v>
      </c>
      <c r="I1528" s="1597" t="e">
        <f t="shared" si="162"/>
        <v>#REF!</v>
      </c>
      <c r="J1528" s="1644" t="e">
        <f t="shared" si="163"/>
        <v>#REF!</v>
      </c>
      <c r="K1528" s="1539"/>
      <c r="L1528" s="1539"/>
      <c r="M1528" s="1545"/>
      <c r="N1528" s="1545"/>
      <c r="O1528" s="1539"/>
      <c r="P1528" s="1539"/>
      <c r="Q1528" s="1539"/>
      <c r="R1528" s="1539"/>
      <c r="S1528" s="1539"/>
      <c r="T1528" s="1539"/>
      <c r="U1528" s="1539"/>
      <c r="V1528" s="1539"/>
      <c r="W1528" s="1539"/>
      <c r="X1528" s="1539"/>
      <c r="Y1528" s="1539"/>
      <c r="Z1528" s="1539"/>
      <c r="AA1528" s="1539"/>
      <c r="AB1528" s="1539"/>
      <c r="AC1528" s="1539"/>
      <c r="AD1528" s="1539"/>
      <c r="AE1528" s="1539"/>
      <c r="AF1528" s="1539"/>
      <c r="AG1528" s="1539"/>
      <c r="AH1528" s="1539"/>
      <c r="AI1528" s="1539"/>
      <c r="AJ1528" s="1539"/>
      <c r="AK1528" s="1539"/>
      <c r="AL1528" s="1539"/>
      <c r="AM1528" s="1539"/>
      <c r="AN1528" s="1539"/>
      <c r="AO1528" s="1539"/>
      <c r="AP1528" s="1539"/>
      <c r="AQ1528" s="1539"/>
      <c r="AR1528" s="1539"/>
      <c r="AS1528" s="1539"/>
      <c r="AT1528" s="1539"/>
      <c r="AU1528" s="1539"/>
      <c r="AV1528" s="1539"/>
      <c r="AW1528" s="1539"/>
      <c r="AX1528" s="1539"/>
      <c r="AY1528" s="1539"/>
      <c r="AZ1528" s="1539"/>
      <c r="BA1528" s="1539"/>
      <c r="BB1528" s="1539"/>
      <c r="BC1528" s="1539"/>
      <c r="BD1528" s="1539"/>
      <c r="BE1528" s="1539"/>
      <c r="BF1528" s="1539"/>
      <c r="BG1528" s="1539"/>
      <c r="BH1528" s="1539"/>
      <c r="BI1528" s="1539"/>
      <c r="BJ1528" s="1539"/>
      <c r="BK1528" s="1539"/>
      <c r="BL1528" s="1539"/>
      <c r="BM1528" s="1539"/>
      <c r="BN1528" s="1539"/>
      <c r="BO1528" s="1539"/>
      <c r="BP1528" s="1539"/>
      <c r="BQ1528" s="1539"/>
      <c r="BR1528" s="1539"/>
      <c r="BS1528" s="1539"/>
      <c r="BT1528" s="1539"/>
      <c r="BU1528" s="1539"/>
      <c r="BV1528" s="1539"/>
      <c r="BW1528" s="1539"/>
      <c r="BX1528" s="1539"/>
      <c r="BY1528" s="1539"/>
      <c r="BZ1528" s="1539"/>
      <c r="CA1528" s="1539"/>
      <c r="CB1528" s="1539"/>
      <c r="CC1528" s="1539"/>
      <c r="CD1528" s="1539"/>
      <c r="CE1528" s="1539"/>
      <c r="CF1528" s="1539"/>
      <c r="CG1528" s="1539"/>
      <c r="CH1528" s="1539"/>
      <c r="CI1528" s="1539"/>
      <c r="CJ1528" s="1539"/>
      <c r="CK1528" s="1539"/>
      <c r="CL1528" s="1539"/>
      <c r="CM1528" s="1539"/>
      <c r="CN1528" s="1539"/>
      <c r="CO1528" s="1539"/>
    </row>
    <row r="1529" spans="1:93" s="1542" customFormat="1" ht="15.5">
      <c r="A1529" s="1598" t="s">
        <v>545</v>
      </c>
      <c r="B1529" s="1599" t="s">
        <v>2914</v>
      </c>
      <c r="C1529" s="1643" t="e">
        <f>+SUMIF(#REF!,Final!A1529,#REF!)</f>
        <v>#REF!</v>
      </c>
      <c r="D1529" s="1597" t="e">
        <f>+SUMIF(#REF!,Final!A1529,#REF!)</f>
        <v>#REF!</v>
      </c>
      <c r="E1529" s="1643" t="e">
        <f>SUMIF(#REF!,Final!A1529,#REF!)</f>
        <v>#REF!</v>
      </c>
      <c r="F1529" s="1644" t="e">
        <f>SUMIF(#REF!,Final!A1529,#REF!)</f>
        <v>#REF!</v>
      </c>
      <c r="G1529" s="1597" t="e">
        <f t="shared" si="160"/>
        <v>#REF!</v>
      </c>
      <c r="H1529" s="1644" t="e">
        <f t="shared" si="161"/>
        <v>#REF!</v>
      </c>
      <c r="I1529" s="1597" t="e">
        <f t="shared" si="162"/>
        <v>#REF!</v>
      </c>
      <c r="J1529" s="1644" t="e">
        <f t="shared" si="163"/>
        <v>#REF!</v>
      </c>
      <c r="K1529" s="1539"/>
      <c r="L1529" s="1539"/>
      <c r="M1529" s="1545"/>
      <c r="N1529" s="1545"/>
      <c r="O1529" s="1539"/>
      <c r="P1529" s="1539"/>
      <c r="Q1529" s="1539"/>
      <c r="R1529" s="1539"/>
      <c r="S1529" s="1539"/>
      <c r="T1529" s="1539"/>
      <c r="U1529" s="1539"/>
      <c r="V1529" s="1539"/>
      <c r="W1529" s="1539"/>
      <c r="X1529" s="1539"/>
      <c r="Y1529" s="1539"/>
      <c r="Z1529" s="1539"/>
      <c r="AA1529" s="1539"/>
      <c r="AB1529" s="1539"/>
      <c r="AC1529" s="1539"/>
      <c r="AD1529" s="1539"/>
      <c r="AE1529" s="1539"/>
      <c r="AF1529" s="1539"/>
      <c r="AG1529" s="1539"/>
      <c r="AH1529" s="1539"/>
      <c r="AI1529" s="1539"/>
      <c r="AJ1529" s="1539"/>
      <c r="AK1529" s="1539"/>
      <c r="AL1529" s="1539"/>
      <c r="AM1529" s="1539"/>
      <c r="AN1529" s="1539"/>
      <c r="AO1529" s="1539"/>
      <c r="AP1529" s="1539"/>
      <c r="AQ1529" s="1539"/>
      <c r="AR1529" s="1539"/>
      <c r="AS1529" s="1539"/>
      <c r="AT1529" s="1539"/>
      <c r="AU1529" s="1539"/>
      <c r="AV1529" s="1539"/>
      <c r="AW1529" s="1539"/>
      <c r="AX1529" s="1539"/>
      <c r="AY1529" s="1539"/>
      <c r="AZ1529" s="1539"/>
      <c r="BA1529" s="1539"/>
      <c r="BB1529" s="1539"/>
      <c r="BC1529" s="1539"/>
      <c r="BD1529" s="1539"/>
      <c r="BE1529" s="1539"/>
      <c r="BF1529" s="1539"/>
      <c r="BG1529" s="1539"/>
      <c r="BH1529" s="1539"/>
      <c r="BI1529" s="1539"/>
      <c r="BJ1529" s="1539"/>
      <c r="BK1529" s="1539"/>
      <c r="BL1529" s="1539"/>
      <c r="BM1529" s="1539"/>
      <c r="BN1529" s="1539"/>
      <c r="BO1529" s="1539"/>
      <c r="BP1529" s="1539"/>
      <c r="BQ1529" s="1539"/>
      <c r="BR1529" s="1539"/>
      <c r="BS1529" s="1539"/>
      <c r="BT1529" s="1539"/>
      <c r="BU1529" s="1539"/>
      <c r="BV1529" s="1539"/>
      <c r="BW1529" s="1539"/>
      <c r="BX1529" s="1539"/>
      <c r="BY1529" s="1539"/>
      <c r="BZ1529" s="1539"/>
      <c r="CA1529" s="1539"/>
      <c r="CB1529" s="1539"/>
      <c r="CC1529" s="1539"/>
      <c r="CD1529" s="1539"/>
      <c r="CE1529" s="1539"/>
      <c r="CF1529" s="1539"/>
      <c r="CG1529" s="1539"/>
      <c r="CH1529" s="1539"/>
      <c r="CI1529" s="1539"/>
      <c r="CJ1529" s="1539"/>
      <c r="CK1529" s="1539"/>
      <c r="CL1529" s="1539"/>
      <c r="CM1529" s="1539"/>
      <c r="CN1529" s="1539"/>
      <c r="CO1529" s="1539"/>
    </row>
    <row r="1530" spans="1:93" s="1542" customFormat="1" ht="15.5">
      <c r="A1530" s="1598" t="s">
        <v>637</v>
      </c>
      <c r="B1530" s="1599" t="s">
        <v>3404</v>
      </c>
      <c r="C1530" s="1643" t="e">
        <f>+SUMIF(#REF!,Final!A1530,#REF!)</f>
        <v>#REF!</v>
      </c>
      <c r="D1530" s="1597" t="e">
        <f>+SUMIF(#REF!,Final!A1530,#REF!)</f>
        <v>#REF!</v>
      </c>
      <c r="E1530" s="1643" t="e">
        <f>SUMIF(#REF!,Final!A1530,#REF!)</f>
        <v>#REF!</v>
      </c>
      <c r="F1530" s="1644" t="e">
        <f>SUMIF(#REF!,Final!A1530,#REF!)</f>
        <v>#REF!</v>
      </c>
      <c r="G1530" s="1597" t="e">
        <f t="shared" si="160"/>
        <v>#REF!</v>
      </c>
      <c r="H1530" s="1644" t="e">
        <f t="shared" si="161"/>
        <v>#REF!</v>
      </c>
      <c r="I1530" s="1597" t="e">
        <f t="shared" si="162"/>
        <v>#REF!</v>
      </c>
      <c r="J1530" s="1644" t="e">
        <f t="shared" si="163"/>
        <v>#REF!</v>
      </c>
      <c r="K1530" s="1539"/>
      <c r="L1530" s="1539"/>
      <c r="M1530" s="1545"/>
      <c r="N1530" s="1545"/>
      <c r="O1530" s="1539"/>
      <c r="P1530" s="1539"/>
      <c r="Q1530" s="1539"/>
      <c r="R1530" s="1539"/>
      <c r="S1530" s="1539"/>
      <c r="T1530" s="1539"/>
      <c r="U1530" s="1539"/>
      <c r="V1530" s="1539"/>
      <c r="W1530" s="1539"/>
      <c r="X1530" s="1539"/>
      <c r="Y1530" s="1539"/>
      <c r="Z1530" s="1539"/>
      <c r="AA1530" s="1539"/>
      <c r="AB1530" s="1539"/>
      <c r="AC1530" s="1539"/>
      <c r="AD1530" s="1539"/>
      <c r="AE1530" s="1539"/>
      <c r="AF1530" s="1539"/>
      <c r="AG1530" s="1539"/>
      <c r="AH1530" s="1539"/>
      <c r="AI1530" s="1539"/>
      <c r="AJ1530" s="1539"/>
      <c r="AK1530" s="1539"/>
      <c r="AL1530" s="1539"/>
      <c r="AM1530" s="1539"/>
      <c r="AN1530" s="1539"/>
      <c r="AO1530" s="1539"/>
      <c r="AP1530" s="1539"/>
      <c r="AQ1530" s="1539"/>
      <c r="AR1530" s="1539"/>
      <c r="AS1530" s="1539"/>
      <c r="AT1530" s="1539"/>
      <c r="AU1530" s="1539"/>
      <c r="AV1530" s="1539"/>
      <c r="AW1530" s="1539"/>
      <c r="AX1530" s="1539"/>
      <c r="AY1530" s="1539"/>
      <c r="AZ1530" s="1539"/>
      <c r="BA1530" s="1539"/>
      <c r="BB1530" s="1539"/>
      <c r="BC1530" s="1539"/>
      <c r="BD1530" s="1539"/>
      <c r="BE1530" s="1539"/>
      <c r="BF1530" s="1539"/>
      <c r="BG1530" s="1539"/>
      <c r="BH1530" s="1539"/>
      <c r="BI1530" s="1539"/>
      <c r="BJ1530" s="1539"/>
      <c r="BK1530" s="1539"/>
      <c r="BL1530" s="1539"/>
      <c r="BM1530" s="1539"/>
      <c r="BN1530" s="1539"/>
      <c r="BO1530" s="1539"/>
      <c r="BP1530" s="1539"/>
      <c r="BQ1530" s="1539"/>
      <c r="BR1530" s="1539"/>
      <c r="BS1530" s="1539"/>
      <c r="BT1530" s="1539"/>
      <c r="BU1530" s="1539"/>
      <c r="BV1530" s="1539"/>
      <c r="BW1530" s="1539"/>
      <c r="BX1530" s="1539"/>
      <c r="BY1530" s="1539"/>
      <c r="BZ1530" s="1539"/>
      <c r="CA1530" s="1539"/>
      <c r="CB1530" s="1539"/>
      <c r="CC1530" s="1539"/>
      <c r="CD1530" s="1539"/>
      <c r="CE1530" s="1539"/>
      <c r="CF1530" s="1539"/>
      <c r="CG1530" s="1539"/>
      <c r="CH1530" s="1539"/>
      <c r="CI1530" s="1539"/>
      <c r="CJ1530" s="1539"/>
      <c r="CK1530" s="1539"/>
      <c r="CL1530" s="1539"/>
      <c r="CM1530" s="1539"/>
      <c r="CN1530" s="1539"/>
      <c r="CO1530" s="1539"/>
    </row>
    <row r="1531" spans="1:93" ht="15.5">
      <c r="A1531" s="1598">
        <v>28.861000000000001</v>
      </c>
      <c r="B1531" s="1599" t="s">
        <v>2898</v>
      </c>
      <c r="C1531" s="1643" t="e">
        <f>+SUMIF(#REF!,Final!A1531,#REF!)</f>
        <v>#REF!</v>
      </c>
      <c r="D1531" s="1597" t="e">
        <f>+SUMIF(#REF!,Final!A1531,#REF!)</f>
        <v>#REF!</v>
      </c>
      <c r="E1531" s="1643" t="e">
        <f>SUMIF(#REF!,Final!A1531,#REF!)</f>
        <v>#REF!</v>
      </c>
      <c r="F1531" s="1644" t="e">
        <f>SUMIF(#REF!,Final!A1531,#REF!)</f>
        <v>#REF!</v>
      </c>
      <c r="G1531" s="1597" t="e">
        <f t="shared" si="160"/>
        <v>#REF!</v>
      </c>
      <c r="H1531" s="1644" t="e">
        <f t="shared" si="161"/>
        <v>#REF!</v>
      </c>
      <c r="I1531" s="1597" t="e">
        <f t="shared" si="162"/>
        <v>#REF!</v>
      </c>
      <c r="J1531" s="1644" t="e">
        <f t="shared" si="163"/>
        <v>#REF!</v>
      </c>
      <c r="M1531" s="1545"/>
      <c r="N1531" s="1545"/>
    </row>
    <row r="1532" spans="1:93" s="1552" customFormat="1" ht="15.5">
      <c r="A1532" s="1598"/>
      <c r="B1532" s="1599" t="s">
        <v>1747</v>
      </c>
      <c r="C1532" s="1643" t="e">
        <f>+SUMIF(#REF!,Final!A1532,#REF!)</f>
        <v>#REF!</v>
      </c>
      <c r="D1532" s="1597" t="e">
        <f>+SUMIF(#REF!,Final!A1532,#REF!)</f>
        <v>#REF!</v>
      </c>
      <c r="E1532" s="1643" t="e">
        <f>SUMIF(#REF!,Final!A1532,#REF!)</f>
        <v>#REF!</v>
      </c>
      <c r="F1532" s="1644" t="e">
        <f>SUMIF(#REF!,Final!A1532,#REF!)</f>
        <v>#REF!</v>
      </c>
      <c r="G1532" s="1597" t="e">
        <f t="shared" si="160"/>
        <v>#REF!</v>
      </c>
      <c r="H1532" s="1644" t="e">
        <f t="shared" si="161"/>
        <v>#REF!</v>
      </c>
      <c r="I1532" s="1597" t="e">
        <f t="shared" si="162"/>
        <v>#REF!</v>
      </c>
      <c r="J1532" s="1644" t="e">
        <f t="shared" si="163"/>
        <v>#REF!</v>
      </c>
      <c r="K1532" s="1539"/>
      <c r="L1532" s="1539"/>
      <c r="M1532" s="1545"/>
      <c r="N1532" s="1545"/>
      <c r="O1532" s="1539"/>
      <c r="P1532" s="1539"/>
      <c r="Q1532" s="1539"/>
      <c r="R1532" s="1539"/>
      <c r="S1532" s="1539"/>
      <c r="T1532" s="1539"/>
      <c r="U1532" s="1539"/>
      <c r="V1532" s="1539"/>
      <c r="W1532" s="1539"/>
      <c r="X1532" s="1539"/>
      <c r="Y1532" s="1539"/>
      <c r="Z1532" s="1539"/>
      <c r="AA1532" s="1539"/>
      <c r="AB1532" s="1539"/>
      <c r="AC1532" s="1539"/>
      <c r="AD1532" s="1539"/>
      <c r="AE1532" s="1539"/>
      <c r="AF1532" s="1539"/>
      <c r="AG1532" s="1539"/>
      <c r="AH1532" s="1539"/>
      <c r="AI1532" s="1539"/>
      <c r="AJ1532" s="1539"/>
      <c r="AK1532" s="1539"/>
      <c r="AL1532" s="1539"/>
      <c r="AM1532" s="1539"/>
      <c r="AN1532" s="1539"/>
      <c r="AO1532" s="1539"/>
      <c r="AP1532" s="1539"/>
      <c r="AQ1532" s="1539"/>
      <c r="AR1532" s="1539"/>
      <c r="AS1532" s="1539"/>
      <c r="AT1532" s="1539"/>
      <c r="AU1532" s="1539"/>
      <c r="AV1532" s="1539"/>
      <c r="AW1532" s="1539"/>
      <c r="AX1532" s="1539"/>
      <c r="AY1532" s="1539"/>
      <c r="AZ1532" s="1539"/>
      <c r="BA1532" s="1539"/>
      <c r="BB1532" s="1539"/>
      <c r="BC1532" s="1539"/>
      <c r="BD1532" s="1539"/>
      <c r="BE1532" s="1539"/>
      <c r="BF1532" s="1539"/>
      <c r="BG1532" s="1539"/>
      <c r="BH1532" s="1539"/>
      <c r="BI1532" s="1539"/>
      <c r="BJ1532" s="1539"/>
      <c r="BK1532" s="1539"/>
      <c r="BL1532" s="1539"/>
      <c r="BM1532" s="1539"/>
      <c r="BN1532" s="1539"/>
      <c r="BO1532" s="1539"/>
      <c r="BP1532" s="1539"/>
      <c r="BQ1532" s="1539"/>
      <c r="BR1532" s="1539"/>
      <c r="BS1532" s="1539"/>
      <c r="BT1532" s="1539"/>
      <c r="BU1532" s="1539"/>
      <c r="BV1532" s="1539"/>
      <c r="BW1532" s="1539"/>
      <c r="BX1532" s="1539"/>
      <c r="BY1532" s="1539"/>
      <c r="BZ1532" s="1539"/>
      <c r="CA1532" s="1539"/>
      <c r="CB1532" s="1539"/>
      <c r="CC1532" s="1539"/>
      <c r="CD1532" s="1539"/>
      <c r="CE1532" s="1539"/>
      <c r="CF1532" s="1539"/>
      <c r="CG1532" s="1539"/>
      <c r="CH1532" s="1539"/>
      <c r="CI1532" s="1539"/>
      <c r="CJ1532" s="1539"/>
      <c r="CK1532" s="1539"/>
      <c r="CL1532" s="1539"/>
      <c r="CM1532" s="1539"/>
      <c r="CN1532" s="1539"/>
      <c r="CO1532" s="1539"/>
    </row>
    <row r="1533" spans="1:93" s="1552" customFormat="1" ht="15.5">
      <c r="A1533" s="1598"/>
      <c r="B1533" s="1599" t="s">
        <v>1760</v>
      </c>
      <c r="C1533" s="1643" t="e">
        <f>+SUMIF(#REF!,Final!A1533,#REF!)</f>
        <v>#REF!</v>
      </c>
      <c r="D1533" s="1597" t="e">
        <f>+SUMIF(#REF!,Final!A1533,#REF!)</f>
        <v>#REF!</v>
      </c>
      <c r="E1533" s="1643" t="e">
        <f>SUMIF(#REF!,Final!A1533,#REF!)</f>
        <v>#REF!</v>
      </c>
      <c r="F1533" s="1644" t="e">
        <f>SUMIF(#REF!,Final!A1533,#REF!)</f>
        <v>#REF!</v>
      </c>
      <c r="G1533" s="1597" t="e">
        <f t="shared" si="160"/>
        <v>#REF!</v>
      </c>
      <c r="H1533" s="1644" t="e">
        <f t="shared" si="161"/>
        <v>#REF!</v>
      </c>
      <c r="I1533" s="1597" t="e">
        <f t="shared" si="162"/>
        <v>#REF!</v>
      </c>
      <c r="J1533" s="1644" t="e">
        <f t="shared" si="163"/>
        <v>#REF!</v>
      </c>
      <c r="K1533" s="1539"/>
      <c r="L1533" s="1539"/>
      <c r="M1533" s="1545"/>
      <c r="N1533" s="1545"/>
      <c r="O1533" s="1539"/>
      <c r="P1533" s="1539"/>
      <c r="Q1533" s="1539"/>
      <c r="R1533" s="1539"/>
      <c r="S1533" s="1539"/>
      <c r="T1533" s="1539"/>
      <c r="U1533" s="1539"/>
      <c r="V1533" s="1539"/>
      <c r="W1533" s="1539"/>
      <c r="X1533" s="1539"/>
      <c r="Y1533" s="1539"/>
      <c r="Z1533" s="1539"/>
      <c r="AA1533" s="1539"/>
      <c r="AB1533" s="1539"/>
      <c r="AC1533" s="1539"/>
      <c r="AD1533" s="1539"/>
      <c r="AE1533" s="1539"/>
      <c r="AF1533" s="1539"/>
      <c r="AG1533" s="1539"/>
      <c r="AH1533" s="1539"/>
      <c r="AI1533" s="1539"/>
      <c r="AJ1533" s="1539"/>
      <c r="AK1533" s="1539"/>
      <c r="AL1533" s="1539"/>
      <c r="AM1533" s="1539"/>
      <c r="AN1533" s="1539"/>
      <c r="AO1533" s="1539"/>
      <c r="AP1533" s="1539"/>
      <c r="AQ1533" s="1539"/>
      <c r="AR1533" s="1539"/>
      <c r="AS1533" s="1539"/>
      <c r="AT1533" s="1539"/>
      <c r="AU1533" s="1539"/>
      <c r="AV1533" s="1539"/>
      <c r="AW1533" s="1539"/>
      <c r="AX1533" s="1539"/>
      <c r="AY1533" s="1539"/>
      <c r="AZ1533" s="1539"/>
      <c r="BA1533" s="1539"/>
      <c r="BB1533" s="1539"/>
      <c r="BC1533" s="1539"/>
      <c r="BD1533" s="1539"/>
      <c r="BE1533" s="1539"/>
      <c r="BF1533" s="1539"/>
      <c r="BG1533" s="1539"/>
      <c r="BH1533" s="1539"/>
      <c r="BI1533" s="1539"/>
      <c r="BJ1533" s="1539"/>
      <c r="BK1533" s="1539"/>
      <c r="BL1533" s="1539"/>
      <c r="BM1533" s="1539"/>
      <c r="BN1533" s="1539"/>
      <c r="BO1533" s="1539"/>
      <c r="BP1533" s="1539"/>
      <c r="BQ1533" s="1539"/>
      <c r="BR1533" s="1539"/>
      <c r="BS1533" s="1539"/>
      <c r="BT1533" s="1539"/>
      <c r="BU1533" s="1539"/>
      <c r="BV1533" s="1539"/>
      <c r="BW1533" s="1539"/>
      <c r="BX1533" s="1539"/>
      <c r="BY1533" s="1539"/>
      <c r="BZ1533" s="1539"/>
      <c r="CA1533" s="1539"/>
      <c r="CB1533" s="1539"/>
      <c r="CC1533" s="1539"/>
      <c r="CD1533" s="1539"/>
      <c r="CE1533" s="1539"/>
      <c r="CF1533" s="1539"/>
      <c r="CG1533" s="1539"/>
      <c r="CH1533" s="1539"/>
      <c r="CI1533" s="1539"/>
      <c r="CJ1533" s="1539"/>
      <c r="CK1533" s="1539"/>
      <c r="CL1533" s="1539"/>
      <c r="CM1533" s="1539"/>
      <c r="CN1533" s="1539"/>
      <c r="CO1533" s="1539"/>
    </row>
    <row r="1534" spans="1:93" s="1542" customFormat="1" ht="15.5">
      <c r="A1534" s="1598" t="s">
        <v>544</v>
      </c>
      <c r="B1534" s="1599" t="s">
        <v>2013</v>
      </c>
      <c r="C1534" s="1643" t="e">
        <f>+SUMIF(#REF!,Final!A1534,#REF!)</f>
        <v>#REF!</v>
      </c>
      <c r="D1534" s="1597" t="e">
        <f>+SUMIF(#REF!,Final!A1534,#REF!)</f>
        <v>#REF!</v>
      </c>
      <c r="E1534" s="1643" t="e">
        <f>SUMIF(#REF!,Final!A1534,#REF!)</f>
        <v>#REF!</v>
      </c>
      <c r="F1534" s="1644" t="e">
        <f>SUMIF(#REF!,Final!A1534,#REF!)</f>
        <v>#REF!</v>
      </c>
      <c r="G1534" s="1597" t="e">
        <f t="shared" si="160"/>
        <v>#REF!</v>
      </c>
      <c r="H1534" s="1644" t="e">
        <f t="shared" si="161"/>
        <v>#REF!</v>
      </c>
      <c r="I1534" s="1597" t="e">
        <f t="shared" si="162"/>
        <v>#REF!</v>
      </c>
      <c r="J1534" s="1644" t="e">
        <f t="shared" si="163"/>
        <v>#REF!</v>
      </c>
      <c r="K1534" s="1539"/>
      <c r="L1534" s="1539"/>
      <c r="M1534" s="1545"/>
      <c r="N1534" s="1545"/>
      <c r="O1534" s="1539"/>
      <c r="P1534" s="1539"/>
      <c r="Q1534" s="1539"/>
      <c r="R1534" s="1539"/>
      <c r="S1534" s="1539"/>
      <c r="T1534" s="1539"/>
      <c r="U1534" s="1539"/>
      <c r="V1534" s="1539"/>
      <c r="W1534" s="1539"/>
      <c r="X1534" s="1539"/>
      <c r="Y1534" s="1539"/>
      <c r="Z1534" s="1539"/>
      <c r="AA1534" s="1539"/>
      <c r="AB1534" s="1539"/>
      <c r="AC1534" s="1539"/>
      <c r="AD1534" s="1539"/>
      <c r="AE1534" s="1539"/>
      <c r="AF1534" s="1539"/>
      <c r="AG1534" s="1539"/>
      <c r="AH1534" s="1539"/>
      <c r="AI1534" s="1539"/>
      <c r="AJ1534" s="1539"/>
      <c r="AK1534" s="1539"/>
      <c r="AL1534" s="1539"/>
      <c r="AM1534" s="1539"/>
      <c r="AN1534" s="1539"/>
      <c r="AO1534" s="1539"/>
      <c r="AP1534" s="1539"/>
      <c r="AQ1534" s="1539"/>
      <c r="AR1534" s="1539"/>
      <c r="AS1534" s="1539"/>
      <c r="AT1534" s="1539"/>
      <c r="AU1534" s="1539"/>
      <c r="AV1534" s="1539"/>
      <c r="AW1534" s="1539"/>
      <c r="AX1534" s="1539"/>
      <c r="AY1534" s="1539"/>
      <c r="AZ1534" s="1539"/>
      <c r="BA1534" s="1539"/>
      <c r="BB1534" s="1539"/>
      <c r="BC1534" s="1539"/>
      <c r="BD1534" s="1539"/>
      <c r="BE1534" s="1539"/>
      <c r="BF1534" s="1539"/>
      <c r="BG1534" s="1539"/>
      <c r="BH1534" s="1539"/>
      <c r="BI1534" s="1539"/>
      <c r="BJ1534" s="1539"/>
      <c r="BK1534" s="1539"/>
      <c r="BL1534" s="1539"/>
      <c r="BM1534" s="1539"/>
      <c r="BN1534" s="1539"/>
      <c r="BO1534" s="1539"/>
      <c r="BP1534" s="1539"/>
      <c r="BQ1534" s="1539"/>
      <c r="BR1534" s="1539"/>
      <c r="BS1534" s="1539"/>
      <c r="BT1534" s="1539"/>
      <c r="BU1534" s="1539"/>
      <c r="BV1534" s="1539"/>
      <c r="BW1534" s="1539"/>
      <c r="BX1534" s="1539"/>
      <c r="BY1534" s="1539"/>
      <c r="BZ1534" s="1539"/>
      <c r="CA1534" s="1539"/>
      <c r="CB1534" s="1539"/>
      <c r="CC1534" s="1539"/>
      <c r="CD1534" s="1539"/>
      <c r="CE1534" s="1539"/>
      <c r="CF1534" s="1539"/>
      <c r="CG1534" s="1539"/>
      <c r="CH1534" s="1539"/>
      <c r="CI1534" s="1539"/>
      <c r="CJ1534" s="1539"/>
      <c r="CK1534" s="1539"/>
      <c r="CL1534" s="1539"/>
      <c r="CM1534" s="1539"/>
      <c r="CN1534" s="1539"/>
      <c r="CO1534" s="1539"/>
    </row>
    <row r="1535" spans="1:93" s="1542" customFormat="1" ht="15.5">
      <c r="A1535" s="1598">
        <v>28.861999999999998</v>
      </c>
      <c r="B1535" s="1599" t="s">
        <v>2014</v>
      </c>
      <c r="C1535" s="1643" t="e">
        <f>+SUMIF(#REF!,Final!A1535,#REF!)</f>
        <v>#REF!</v>
      </c>
      <c r="D1535" s="1597" t="e">
        <f>+SUMIF(#REF!,Final!A1535,#REF!)</f>
        <v>#REF!</v>
      </c>
      <c r="E1535" s="1643" t="e">
        <f>SUMIF(#REF!,Final!A1535,#REF!)</f>
        <v>#REF!</v>
      </c>
      <c r="F1535" s="1644" t="e">
        <f>SUMIF(#REF!,Final!A1535,#REF!)</f>
        <v>#REF!</v>
      </c>
      <c r="G1535" s="1597" t="e">
        <f t="shared" si="160"/>
        <v>#REF!</v>
      </c>
      <c r="H1535" s="1644" t="e">
        <f t="shared" si="161"/>
        <v>#REF!</v>
      </c>
      <c r="I1535" s="1597" t="e">
        <f t="shared" si="162"/>
        <v>#REF!</v>
      </c>
      <c r="J1535" s="1644" t="e">
        <f t="shared" si="163"/>
        <v>#REF!</v>
      </c>
      <c r="K1535" s="1539"/>
      <c r="L1535" s="1539"/>
      <c r="M1535" s="1545"/>
      <c r="N1535" s="1545"/>
      <c r="O1535" s="1539"/>
      <c r="P1535" s="1539"/>
      <c r="Q1535" s="1539"/>
      <c r="R1535" s="1539"/>
      <c r="S1535" s="1539"/>
      <c r="T1535" s="1539"/>
      <c r="U1535" s="1539"/>
      <c r="V1535" s="1539"/>
      <c r="W1535" s="1539"/>
      <c r="X1535" s="1539"/>
      <c r="Y1535" s="1539"/>
      <c r="Z1535" s="1539"/>
      <c r="AA1535" s="1539"/>
      <c r="AB1535" s="1539"/>
      <c r="AC1535" s="1539"/>
      <c r="AD1535" s="1539"/>
      <c r="AE1535" s="1539"/>
      <c r="AF1535" s="1539"/>
      <c r="AG1535" s="1539"/>
      <c r="AH1535" s="1539"/>
      <c r="AI1535" s="1539"/>
      <c r="AJ1535" s="1539"/>
      <c r="AK1535" s="1539"/>
      <c r="AL1535" s="1539"/>
      <c r="AM1535" s="1539"/>
      <c r="AN1535" s="1539"/>
      <c r="AO1535" s="1539"/>
      <c r="AP1535" s="1539"/>
      <c r="AQ1535" s="1539"/>
      <c r="AR1535" s="1539"/>
      <c r="AS1535" s="1539"/>
      <c r="AT1535" s="1539"/>
      <c r="AU1535" s="1539"/>
      <c r="AV1535" s="1539"/>
      <c r="AW1535" s="1539"/>
      <c r="AX1535" s="1539"/>
      <c r="AY1535" s="1539"/>
      <c r="AZ1535" s="1539"/>
      <c r="BA1535" s="1539"/>
      <c r="BB1535" s="1539"/>
      <c r="BC1535" s="1539"/>
      <c r="BD1535" s="1539"/>
      <c r="BE1535" s="1539"/>
      <c r="BF1535" s="1539"/>
      <c r="BG1535" s="1539"/>
      <c r="BH1535" s="1539"/>
      <c r="BI1535" s="1539"/>
      <c r="BJ1535" s="1539"/>
      <c r="BK1535" s="1539"/>
      <c r="BL1535" s="1539"/>
      <c r="BM1535" s="1539"/>
      <c r="BN1535" s="1539"/>
      <c r="BO1535" s="1539"/>
      <c r="BP1535" s="1539"/>
      <c r="BQ1535" s="1539"/>
      <c r="BR1535" s="1539"/>
      <c r="BS1535" s="1539"/>
      <c r="BT1535" s="1539"/>
      <c r="BU1535" s="1539"/>
      <c r="BV1535" s="1539"/>
      <c r="BW1535" s="1539"/>
      <c r="BX1535" s="1539"/>
      <c r="BY1535" s="1539"/>
      <c r="BZ1535" s="1539"/>
      <c r="CA1535" s="1539"/>
      <c r="CB1535" s="1539"/>
      <c r="CC1535" s="1539"/>
      <c r="CD1535" s="1539"/>
      <c r="CE1535" s="1539"/>
      <c r="CF1535" s="1539"/>
      <c r="CG1535" s="1539"/>
      <c r="CH1535" s="1539"/>
      <c r="CI1535" s="1539"/>
      <c r="CJ1535" s="1539"/>
      <c r="CK1535" s="1539"/>
      <c r="CL1535" s="1539"/>
      <c r="CM1535" s="1539"/>
      <c r="CN1535" s="1539"/>
      <c r="CO1535" s="1539"/>
    </row>
    <row r="1536" spans="1:93" s="1552" customFormat="1" ht="15.5">
      <c r="A1536" s="1598"/>
      <c r="B1536" s="1599" t="s">
        <v>1747</v>
      </c>
      <c r="C1536" s="1643" t="e">
        <f>+SUMIF(#REF!,Final!A1536,#REF!)</f>
        <v>#REF!</v>
      </c>
      <c r="D1536" s="1597" t="e">
        <f>+SUMIF(#REF!,Final!A1536,#REF!)</f>
        <v>#REF!</v>
      </c>
      <c r="E1536" s="1643" t="e">
        <f>SUMIF(#REF!,Final!A1536,#REF!)</f>
        <v>#REF!</v>
      </c>
      <c r="F1536" s="1644" t="e">
        <f>SUMIF(#REF!,Final!A1536,#REF!)</f>
        <v>#REF!</v>
      </c>
      <c r="G1536" s="1597" t="e">
        <f t="shared" si="160"/>
        <v>#REF!</v>
      </c>
      <c r="H1536" s="1644" t="e">
        <f t="shared" si="161"/>
        <v>#REF!</v>
      </c>
      <c r="I1536" s="1597" t="e">
        <f t="shared" si="162"/>
        <v>#REF!</v>
      </c>
      <c r="J1536" s="1644" t="e">
        <f t="shared" si="163"/>
        <v>#REF!</v>
      </c>
      <c r="K1536" s="1539"/>
      <c r="L1536" s="1539"/>
      <c r="M1536" s="1545"/>
      <c r="N1536" s="1545"/>
      <c r="O1536" s="1539"/>
      <c r="P1536" s="1539"/>
      <c r="Q1536" s="1539"/>
      <c r="R1536" s="1539"/>
      <c r="S1536" s="1539"/>
      <c r="T1536" s="1539"/>
      <c r="U1536" s="1539"/>
      <c r="V1536" s="1539"/>
      <c r="W1536" s="1539"/>
      <c r="X1536" s="1539"/>
      <c r="Y1536" s="1539"/>
      <c r="Z1536" s="1539"/>
      <c r="AA1536" s="1539"/>
      <c r="AB1536" s="1539"/>
      <c r="AC1536" s="1539"/>
      <c r="AD1536" s="1539"/>
      <c r="AE1536" s="1539"/>
      <c r="AF1536" s="1539"/>
      <c r="AG1536" s="1539"/>
      <c r="AH1536" s="1539"/>
      <c r="AI1536" s="1539"/>
      <c r="AJ1536" s="1539"/>
      <c r="AK1536" s="1539"/>
      <c r="AL1536" s="1539"/>
      <c r="AM1536" s="1539"/>
      <c r="AN1536" s="1539"/>
      <c r="AO1536" s="1539"/>
      <c r="AP1536" s="1539"/>
      <c r="AQ1536" s="1539"/>
      <c r="AR1536" s="1539"/>
      <c r="AS1536" s="1539"/>
      <c r="AT1536" s="1539"/>
      <c r="AU1536" s="1539"/>
      <c r="AV1536" s="1539"/>
      <c r="AW1536" s="1539"/>
      <c r="AX1536" s="1539"/>
      <c r="AY1536" s="1539"/>
      <c r="AZ1536" s="1539"/>
      <c r="BA1536" s="1539"/>
      <c r="BB1536" s="1539"/>
      <c r="BC1536" s="1539"/>
      <c r="BD1536" s="1539"/>
      <c r="BE1536" s="1539"/>
      <c r="BF1536" s="1539"/>
      <c r="BG1536" s="1539"/>
      <c r="BH1536" s="1539"/>
      <c r="BI1536" s="1539"/>
      <c r="BJ1536" s="1539"/>
      <c r="BK1536" s="1539"/>
      <c r="BL1536" s="1539"/>
      <c r="BM1536" s="1539"/>
      <c r="BN1536" s="1539"/>
      <c r="BO1536" s="1539"/>
      <c r="BP1536" s="1539"/>
      <c r="BQ1536" s="1539"/>
      <c r="BR1536" s="1539"/>
      <c r="BS1536" s="1539"/>
      <c r="BT1536" s="1539"/>
      <c r="BU1536" s="1539"/>
      <c r="BV1536" s="1539"/>
      <c r="BW1536" s="1539"/>
      <c r="BX1536" s="1539"/>
      <c r="BY1536" s="1539"/>
      <c r="BZ1536" s="1539"/>
      <c r="CA1536" s="1539"/>
      <c r="CB1536" s="1539"/>
      <c r="CC1536" s="1539"/>
      <c r="CD1536" s="1539"/>
      <c r="CE1536" s="1539"/>
      <c r="CF1536" s="1539"/>
      <c r="CG1536" s="1539"/>
      <c r="CH1536" s="1539"/>
      <c r="CI1536" s="1539"/>
      <c r="CJ1536" s="1539"/>
      <c r="CK1536" s="1539"/>
      <c r="CL1536" s="1539"/>
      <c r="CM1536" s="1539"/>
      <c r="CN1536" s="1539"/>
      <c r="CO1536" s="1539"/>
    </row>
    <row r="1537" spans="1:93" s="1552" customFormat="1" ht="15.5">
      <c r="A1537" s="1598"/>
      <c r="B1537" s="1599" t="s">
        <v>1760</v>
      </c>
      <c r="C1537" s="1643" t="e">
        <f>+SUMIF(#REF!,Final!A1537,#REF!)</f>
        <v>#REF!</v>
      </c>
      <c r="D1537" s="1597" t="e">
        <f>+SUMIF(#REF!,Final!A1537,#REF!)</f>
        <v>#REF!</v>
      </c>
      <c r="E1537" s="1643" t="e">
        <f>SUMIF(#REF!,Final!A1537,#REF!)</f>
        <v>#REF!</v>
      </c>
      <c r="F1537" s="1644" t="e">
        <f>SUMIF(#REF!,Final!A1537,#REF!)</f>
        <v>#REF!</v>
      </c>
      <c r="G1537" s="1597" t="e">
        <f t="shared" si="160"/>
        <v>#REF!</v>
      </c>
      <c r="H1537" s="1644" t="e">
        <f t="shared" si="161"/>
        <v>#REF!</v>
      </c>
      <c r="I1537" s="1597" t="e">
        <f t="shared" si="162"/>
        <v>#REF!</v>
      </c>
      <c r="J1537" s="1644" t="e">
        <f t="shared" si="163"/>
        <v>#REF!</v>
      </c>
      <c r="K1537" s="1539"/>
      <c r="L1537" s="1539"/>
      <c r="M1537" s="1545"/>
      <c r="N1537" s="1545"/>
      <c r="O1537" s="1539"/>
      <c r="P1537" s="1539"/>
      <c r="Q1537" s="1539"/>
      <c r="R1537" s="1539"/>
      <c r="S1537" s="1539"/>
      <c r="T1537" s="1539"/>
      <c r="U1537" s="1539"/>
      <c r="V1537" s="1539"/>
      <c r="W1537" s="1539"/>
      <c r="X1537" s="1539"/>
      <c r="Y1537" s="1539"/>
      <c r="Z1537" s="1539"/>
      <c r="AA1537" s="1539"/>
      <c r="AB1537" s="1539"/>
      <c r="AC1537" s="1539"/>
      <c r="AD1537" s="1539"/>
      <c r="AE1537" s="1539"/>
      <c r="AF1537" s="1539"/>
      <c r="AG1537" s="1539"/>
      <c r="AH1537" s="1539"/>
      <c r="AI1537" s="1539"/>
      <c r="AJ1537" s="1539"/>
      <c r="AK1537" s="1539"/>
      <c r="AL1537" s="1539"/>
      <c r="AM1537" s="1539"/>
      <c r="AN1537" s="1539"/>
      <c r="AO1537" s="1539"/>
      <c r="AP1537" s="1539"/>
      <c r="AQ1537" s="1539"/>
      <c r="AR1537" s="1539"/>
      <c r="AS1537" s="1539"/>
      <c r="AT1537" s="1539"/>
      <c r="AU1537" s="1539"/>
      <c r="AV1537" s="1539"/>
      <c r="AW1537" s="1539"/>
      <c r="AX1537" s="1539"/>
      <c r="AY1537" s="1539"/>
      <c r="AZ1537" s="1539"/>
      <c r="BA1537" s="1539"/>
      <c r="BB1537" s="1539"/>
      <c r="BC1537" s="1539"/>
      <c r="BD1537" s="1539"/>
      <c r="BE1537" s="1539"/>
      <c r="BF1537" s="1539"/>
      <c r="BG1537" s="1539"/>
      <c r="BH1537" s="1539"/>
      <c r="BI1537" s="1539"/>
      <c r="BJ1537" s="1539"/>
      <c r="BK1537" s="1539"/>
      <c r="BL1537" s="1539"/>
      <c r="BM1537" s="1539"/>
      <c r="BN1537" s="1539"/>
      <c r="BO1537" s="1539"/>
      <c r="BP1537" s="1539"/>
      <c r="BQ1537" s="1539"/>
      <c r="BR1537" s="1539"/>
      <c r="BS1537" s="1539"/>
      <c r="BT1537" s="1539"/>
      <c r="BU1537" s="1539"/>
      <c r="BV1537" s="1539"/>
      <c r="BW1537" s="1539"/>
      <c r="BX1537" s="1539"/>
      <c r="BY1537" s="1539"/>
      <c r="BZ1537" s="1539"/>
      <c r="CA1537" s="1539"/>
      <c r="CB1537" s="1539"/>
      <c r="CC1537" s="1539"/>
      <c r="CD1537" s="1539"/>
      <c r="CE1537" s="1539"/>
      <c r="CF1537" s="1539"/>
      <c r="CG1537" s="1539"/>
      <c r="CH1537" s="1539"/>
      <c r="CI1537" s="1539"/>
      <c r="CJ1537" s="1539"/>
      <c r="CK1537" s="1539"/>
      <c r="CL1537" s="1539"/>
      <c r="CM1537" s="1539"/>
      <c r="CN1537" s="1539"/>
      <c r="CO1537" s="1539"/>
    </row>
    <row r="1538" spans="1:93" s="1542" customFormat="1" ht="15.5">
      <c r="A1538" s="1598" t="s">
        <v>544</v>
      </c>
      <c r="B1538" s="1599" t="s">
        <v>2013</v>
      </c>
      <c r="C1538" s="1643" t="e">
        <f>+SUMIF(#REF!,Final!A1538,#REF!)</f>
        <v>#REF!</v>
      </c>
      <c r="D1538" s="1597" t="e">
        <f>+SUMIF(#REF!,Final!A1538,#REF!)</f>
        <v>#REF!</v>
      </c>
      <c r="E1538" s="1643" t="e">
        <f>SUMIF(#REF!,Final!A1538,#REF!)</f>
        <v>#REF!</v>
      </c>
      <c r="F1538" s="1644" t="e">
        <f>SUMIF(#REF!,Final!A1538,#REF!)</f>
        <v>#REF!</v>
      </c>
      <c r="G1538" s="1597" t="e">
        <f t="shared" si="160"/>
        <v>#REF!</v>
      </c>
      <c r="H1538" s="1644" t="e">
        <f t="shared" si="161"/>
        <v>#REF!</v>
      </c>
      <c r="I1538" s="1597" t="e">
        <f t="shared" si="162"/>
        <v>#REF!</v>
      </c>
      <c r="J1538" s="1644" t="e">
        <f t="shared" si="163"/>
        <v>#REF!</v>
      </c>
      <c r="K1538" s="1539"/>
      <c r="L1538" s="1539"/>
      <c r="M1538" s="1545"/>
      <c r="N1538" s="1545"/>
      <c r="O1538" s="1539"/>
      <c r="P1538" s="1539"/>
      <c r="Q1538" s="1539"/>
      <c r="R1538" s="1539"/>
      <c r="S1538" s="1539"/>
      <c r="T1538" s="1539"/>
      <c r="U1538" s="1539"/>
      <c r="V1538" s="1539"/>
      <c r="W1538" s="1539"/>
      <c r="X1538" s="1539"/>
      <c r="Y1538" s="1539"/>
      <c r="Z1538" s="1539"/>
      <c r="AA1538" s="1539"/>
      <c r="AB1538" s="1539"/>
      <c r="AC1538" s="1539"/>
      <c r="AD1538" s="1539"/>
      <c r="AE1538" s="1539"/>
      <c r="AF1538" s="1539"/>
      <c r="AG1538" s="1539"/>
      <c r="AH1538" s="1539"/>
      <c r="AI1538" s="1539"/>
      <c r="AJ1538" s="1539"/>
      <c r="AK1538" s="1539"/>
      <c r="AL1538" s="1539"/>
      <c r="AM1538" s="1539"/>
      <c r="AN1538" s="1539"/>
      <c r="AO1538" s="1539"/>
      <c r="AP1538" s="1539"/>
      <c r="AQ1538" s="1539"/>
      <c r="AR1538" s="1539"/>
      <c r="AS1538" s="1539"/>
      <c r="AT1538" s="1539"/>
      <c r="AU1538" s="1539"/>
      <c r="AV1538" s="1539"/>
      <c r="AW1538" s="1539"/>
      <c r="AX1538" s="1539"/>
      <c r="AY1538" s="1539"/>
      <c r="AZ1538" s="1539"/>
      <c r="BA1538" s="1539"/>
      <c r="BB1538" s="1539"/>
      <c r="BC1538" s="1539"/>
      <c r="BD1538" s="1539"/>
      <c r="BE1538" s="1539"/>
      <c r="BF1538" s="1539"/>
      <c r="BG1538" s="1539"/>
      <c r="BH1538" s="1539"/>
      <c r="BI1538" s="1539"/>
      <c r="BJ1538" s="1539"/>
      <c r="BK1538" s="1539"/>
      <c r="BL1538" s="1539"/>
      <c r="BM1538" s="1539"/>
      <c r="BN1538" s="1539"/>
      <c r="BO1538" s="1539"/>
      <c r="BP1538" s="1539"/>
      <c r="BQ1538" s="1539"/>
      <c r="BR1538" s="1539"/>
      <c r="BS1538" s="1539"/>
      <c r="BT1538" s="1539"/>
      <c r="BU1538" s="1539"/>
      <c r="BV1538" s="1539"/>
      <c r="BW1538" s="1539"/>
      <c r="BX1538" s="1539"/>
      <c r="BY1538" s="1539"/>
      <c r="BZ1538" s="1539"/>
      <c r="CA1538" s="1539"/>
      <c r="CB1538" s="1539"/>
      <c r="CC1538" s="1539"/>
      <c r="CD1538" s="1539"/>
      <c r="CE1538" s="1539"/>
      <c r="CF1538" s="1539"/>
      <c r="CG1538" s="1539"/>
      <c r="CH1538" s="1539"/>
      <c r="CI1538" s="1539"/>
      <c r="CJ1538" s="1539"/>
      <c r="CK1538" s="1539"/>
      <c r="CL1538" s="1539"/>
      <c r="CM1538" s="1539"/>
      <c r="CN1538" s="1539"/>
      <c r="CO1538" s="1539"/>
    </row>
    <row r="1539" spans="1:93" s="1542" customFormat="1" ht="15.5">
      <c r="A1539" s="1598" t="s">
        <v>443</v>
      </c>
      <c r="B1539" s="1599" t="s">
        <v>2917</v>
      </c>
      <c r="C1539" s="1643" t="e">
        <f>+SUMIF(#REF!,Final!A1539,#REF!)</f>
        <v>#REF!</v>
      </c>
      <c r="D1539" s="1597" t="e">
        <f>+SUMIF(#REF!,Final!A1539,#REF!)</f>
        <v>#REF!</v>
      </c>
      <c r="E1539" s="1643" t="e">
        <f>SUMIF(#REF!,Final!A1539,#REF!)</f>
        <v>#REF!</v>
      </c>
      <c r="F1539" s="1644" t="e">
        <f>SUMIF(#REF!,Final!A1539,#REF!)</f>
        <v>#REF!</v>
      </c>
      <c r="G1539" s="1597" t="e">
        <f t="shared" si="160"/>
        <v>#REF!</v>
      </c>
      <c r="H1539" s="1644" t="e">
        <f t="shared" si="161"/>
        <v>#REF!</v>
      </c>
      <c r="I1539" s="1597" t="e">
        <f t="shared" si="162"/>
        <v>#REF!</v>
      </c>
      <c r="J1539" s="1644" t="e">
        <f t="shared" si="163"/>
        <v>#REF!</v>
      </c>
      <c r="K1539" s="1539"/>
      <c r="L1539" s="1539"/>
      <c r="M1539" s="1545"/>
      <c r="N1539" s="1545"/>
      <c r="O1539" s="1539"/>
      <c r="P1539" s="1539"/>
      <c r="Q1539" s="1539"/>
      <c r="R1539" s="1539"/>
      <c r="S1539" s="1539"/>
      <c r="T1539" s="1539"/>
      <c r="U1539" s="1539"/>
      <c r="V1539" s="1539"/>
      <c r="W1539" s="1539"/>
      <c r="X1539" s="1539"/>
      <c r="Y1539" s="1539"/>
      <c r="Z1539" s="1539"/>
      <c r="AA1539" s="1539"/>
      <c r="AB1539" s="1539"/>
      <c r="AC1539" s="1539"/>
      <c r="AD1539" s="1539"/>
      <c r="AE1539" s="1539"/>
      <c r="AF1539" s="1539"/>
      <c r="AG1539" s="1539"/>
      <c r="AH1539" s="1539"/>
      <c r="AI1539" s="1539"/>
      <c r="AJ1539" s="1539"/>
      <c r="AK1539" s="1539"/>
      <c r="AL1539" s="1539"/>
      <c r="AM1539" s="1539"/>
      <c r="AN1539" s="1539"/>
      <c r="AO1539" s="1539"/>
      <c r="AP1539" s="1539"/>
      <c r="AQ1539" s="1539"/>
      <c r="AR1539" s="1539"/>
      <c r="AS1539" s="1539"/>
      <c r="AT1539" s="1539"/>
      <c r="AU1539" s="1539"/>
      <c r="AV1539" s="1539"/>
      <c r="AW1539" s="1539"/>
      <c r="AX1539" s="1539"/>
      <c r="AY1539" s="1539"/>
      <c r="AZ1539" s="1539"/>
      <c r="BA1539" s="1539"/>
      <c r="BB1539" s="1539"/>
      <c r="BC1539" s="1539"/>
      <c r="BD1539" s="1539"/>
      <c r="BE1539" s="1539"/>
      <c r="BF1539" s="1539"/>
      <c r="BG1539" s="1539"/>
      <c r="BH1539" s="1539"/>
      <c r="BI1539" s="1539"/>
      <c r="BJ1539" s="1539"/>
      <c r="BK1539" s="1539"/>
      <c r="BL1539" s="1539"/>
      <c r="BM1539" s="1539"/>
      <c r="BN1539" s="1539"/>
      <c r="BO1539" s="1539"/>
      <c r="BP1539" s="1539"/>
      <c r="BQ1539" s="1539"/>
      <c r="BR1539" s="1539"/>
      <c r="BS1539" s="1539"/>
      <c r="BT1539" s="1539"/>
      <c r="BU1539" s="1539"/>
      <c r="BV1539" s="1539"/>
      <c r="BW1539" s="1539"/>
      <c r="BX1539" s="1539"/>
      <c r="BY1539" s="1539"/>
      <c r="BZ1539" s="1539"/>
      <c r="CA1539" s="1539"/>
      <c r="CB1539" s="1539"/>
      <c r="CC1539" s="1539"/>
      <c r="CD1539" s="1539"/>
      <c r="CE1539" s="1539"/>
      <c r="CF1539" s="1539"/>
      <c r="CG1539" s="1539"/>
      <c r="CH1539" s="1539"/>
      <c r="CI1539" s="1539"/>
      <c r="CJ1539" s="1539"/>
      <c r="CK1539" s="1539"/>
      <c r="CL1539" s="1539"/>
      <c r="CM1539" s="1539"/>
      <c r="CN1539" s="1539"/>
      <c r="CO1539" s="1539"/>
    </row>
    <row r="1540" spans="1:93" ht="15.5">
      <c r="A1540" s="1598">
        <v>28.863</v>
      </c>
      <c r="B1540" s="1599" t="s">
        <v>2899</v>
      </c>
      <c r="C1540" s="1643" t="e">
        <f>+SUMIF(#REF!,Final!A1540,#REF!)</f>
        <v>#REF!</v>
      </c>
      <c r="D1540" s="1597" t="e">
        <f>+SUMIF(#REF!,Final!A1540,#REF!)</f>
        <v>#REF!</v>
      </c>
      <c r="E1540" s="1643" t="e">
        <f>SUMIF(#REF!,Final!A1540,#REF!)</f>
        <v>#REF!</v>
      </c>
      <c r="F1540" s="1644" t="e">
        <f>SUMIF(#REF!,Final!A1540,#REF!)</f>
        <v>#REF!</v>
      </c>
      <c r="G1540" s="1597" t="e">
        <f t="shared" si="160"/>
        <v>#REF!</v>
      </c>
      <c r="H1540" s="1644" t="e">
        <f t="shared" si="161"/>
        <v>#REF!</v>
      </c>
      <c r="I1540" s="1597" t="e">
        <f t="shared" si="162"/>
        <v>#REF!</v>
      </c>
      <c r="J1540" s="1644" t="e">
        <f t="shared" si="163"/>
        <v>#REF!</v>
      </c>
      <c r="M1540" s="1545"/>
      <c r="N1540" s="1545"/>
    </row>
    <row r="1541" spans="1:93" s="1552" customFormat="1" ht="15.5">
      <c r="A1541" s="1598"/>
      <c r="B1541" s="1599" t="s">
        <v>1747</v>
      </c>
      <c r="C1541" s="1643" t="e">
        <f>+SUMIF(#REF!,Final!A1541,#REF!)</f>
        <v>#REF!</v>
      </c>
      <c r="D1541" s="1597" t="e">
        <f>+SUMIF(#REF!,Final!A1541,#REF!)</f>
        <v>#REF!</v>
      </c>
      <c r="E1541" s="1643" t="e">
        <f>SUMIF(#REF!,Final!A1541,#REF!)</f>
        <v>#REF!</v>
      </c>
      <c r="F1541" s="1644" t="e">
        <f>SUMIF(#REF!,Final!A1541,#REF!)</f>
        <v>#REF!</v>
      </c>
      <c r="G1541" s="1597" t="e">
        <f t="shared" si="160"/>
        <v>#REF!</v>
      </c>
      <c r="H1541" s="1644" t="e">
        <f t="shared" si="161"/>
        <v>#REF!</v>
      </c>
      <c r="I1541" s="1597" t="e">
        <f t="shared" si="162"/>
        <v>#REF!</v>
      </c>
      <c r="J1541" s="1644" t="e">
        <f t="shared" si="163"/>
        <v>#REF!</v>
      </c>
      <c r="K1541" s="1539"/>
      <c r="L1541" s="1539"/>
      <c r="M1541" s="1545"/>
      <c r="N1541" s="1545"/>
      <c r="O1541" s="1539"/>
      <c r="P1541" s="1539"/>
      <c r="Q1541" s="1539"/>
      <c r="R1541" s="1539"/>
      <c r="S1541" s="1539"/>
      <c r="T1541" s="1539"/>
      <c r="U1541" s="1539"/>
      <c r="V1541" s="1539"/>
      <c r="W1541" s="1539"/>
      <c r="X1541" s="1539"/>
      <c r="Y1541" s="1539"/>
      <c r="Z1541" s="1539"/>
      <c r="AA1541" s="1539"/>
      <c r="AB1541" s="1539"/>
      <c r="AC1541" s="1539"/>
      <c r="AD1541" s="1539"/>
      <c r="AE1541" s="1539"/>
      <c r="AF1541" s="1539"/>
      <c r="AG1541" s="1539"/>
      <c r="AH1541" s="1539"/>
      <c r="AI1541" s="1539"/>
      <c r="AJ1541" s="1539"/>
      <c r="AK1541" s="1539"/>
      <c r="AL1541" s="1539"/>
      <c r="AM1541" s="1539"/>
      <c r="AN1541" s="1539"/>
      <c r="AO1541" s="1539"/>
      <c r="AP1541" s="1539"/>
      <c r="AQ1541" s="1539"/>
      <c r="AR1541" s="1539"/>
      <c r="AS1541" s="1539"/>
      <c r="AT1541" s="1539"/>
      <c r="AU1541" s="1539"/>
      <c r="AV1541" s="1539"/>
      <c r="AW1541" s="1539"/>
      <c r="AX1541" s="1539"/>
      <c r="AY1541" s="1539"/>
      <c r="AZ1541" s="1539"/>
      <c r="BA1541" s="1539"/>
      <c r="BB1541" s="1539"/>
      <c r="BC1541" s="1539"/>
      <c r="BD1541" s="1539"/>
      <c r="BE1541" s="1539"/>
      <c r="BF1541" s="1539"/>
      <c r="BG1541" s="1539"/>
      <c r="BH1541" s="1539"/>
      <c r="BI1541" s="1539"/>
      <c r="BJ1541" s="1539"/>
      <c r="BK1541" s="1539"/>
      <c r="BL1541" s="1539"/>
      <c r="BM1541" s="1539"/>
      <c r="BN1541" s="1539"/>
      <c r="BO1541" s="1539"/>
      <c r="BP1541" s="1539"/>
      <c r="BQ1541" s="1539"/>
      <c r="BR1541" s="1539"/>
      <c r="BS1541" s="1539"/>
      <c r="BT1541" s="1539"/>
      <c r="BU1541" s="1539"/>
      <c r="BV1541" s="1539"/>
      <c r="BW1541" s="1539"/>
      <c r="BX1541" s="1539"/>
      <c r="BY1541" s="1539"/>
      <c r="BZ1541" s="1539"/>
      <c r="CA1541" s="1539"/>
      <c r="CB1541" s="1539"/>
      <c r="CC1541" s="1539"/>
      <c r="CD1541" s="1539"/>
      <c r="CE1541" s="1539"/>
      <c r="CF1541" s="1539"/>
      <c r="CG1541" s="1539"/>
      <c r="CH1541" s="1539"/>
      <c r="CI1541" s="1539"/>
      <c r="CJ1541" s="1539"/>
      <c r="CK1541" s="1539"/>
      <c r="CL1541" s="1539"/>
      <c r="CM1541" s="1539"/>
      <c r="CN1541" s="1539"/>
      <c r="CO1541" s="1539"/>
    </row>
    <row r="1542" spans="1:93" s="1552" customFormat="1" ht="15.5">
      <c r="A1542" s="1603"/>
      <c r="B1542" s="1696" t="s">
        <v>4778</v>
      </c>
      <c r="C1542" s="1643" t="e">
        <f>+SUMIF(#REF!,Final!A1542,#REF!)</f>
        <v>#REF!</v>
      </c>
      <c r="D1542" s="1597" t="e">
        <f>+SUMIF(#REF!,Final!A1542,#REF!)</f>
        <v>#REF!</v>
      </c>
      <c r="E1542" s="1643" t="e">
        <f>SUMIF(#REF!,Final!A1542,#REF!)</f>
        <v>#REF!</v>
      </c>
      <c r="F1542" s="1644" t="e">
        <f>SUMIF(#REF!,Final!A1542,#REF!)</f>
        <v>#REF!</v>
      </c>
      <c r="G1542" s="1597" t="e">
        <f t="shared" si="160"/>
        <v>#REF!</v>
      </c>
      <c r="H1542" s="1644" t="e">
        <f t="shared" si="161"/>
        <v>#REF!</v>
      </c>
      <c r="I1542" s="1597" t="e">
        <f t="shared" si="162"/>
        <v>#REF!</v>
      </c>
      <c r="J1542" s="1644" t="e">
        <f t="shared" si="163"/>
        <v>#REF!</v>
      </c>
      <c r="K1542" s="1539"/>
      <c r="L1542" s="1539"/>
      <c r="M1542" s="1545"/>
      <c r="N1542" s="1545"/>
      <c r="O1542" s="1539"/>
      <c r="P1542" s="1539"/>
      <c r="Q1542" s="1539"/>
      <c r="R1542" s="1539"/>
      <c r="S1542" s="1539"/>
      <c r="T1542" s="1539"/>
      <c r="U1542" s="1539"/>
      <c r="V1542" s="1539"/>
      <c r="W1542" s="1539"/>
      <c r="X1542" s="1539"/>
      <c r="Y1542" s="1539"/>
      <c r="Z1542" s="1539"/>
      <c r="AA1542" s="1539"/>
      <c r="AB1542" s="1539"/>
      <c r="AC1542" s="1539"/>
      <c r="AD1542" s="1539"/>
      <c r="AE1542" s="1539"/>
      <c r="AF1542" s="1539"/>
      <c r="AG1542" s="1539"/>
      <c r="AH1542" s="1539"/>
      <c r="AI1542" s="1539"/>
      <c r="AJ1542" s="1539"/>
      <c r="AK1542" s="1539"/>
      <c r="AL1542" s="1539"/>
      <c r="AM1542" s="1539"/>
      <c r="AN1542" s="1539"/>
      <c r="AO1542" s="1539"/>
      <c r="AP1542" s="1539"/>
      <c r="AQ1542" s="1539"/>
      <c r="AR1542" s="1539"/>
      <c r="AS1542" s="1539"/>
      <c r="AT1542" s="1539"/>
      <c r="AU1542" s="1539"/>
      <c r="AV1542" s="1539"/>
      <c r="AW1542" s="1539"/>
      <c r="AX1542" s="1539"/>
      <c r="AY1542" s="1539"/>
      <c r="AZ1542" s="1539"/>
      <c r="BA1542" s="1539"/>
      <c r="BB1542" s="1539"/>
      <c r="BC1542" s="1539"/>
      <c r="BD1542" s="1539"/>
      <c r="BE1542" s="1539"/>
      <c r="BF1542" s="1539"/>
      <c r="BG1542" s="1539"/>
      <c r="BH1542" s="1539"/>
      <c r="BI1542" s="1539"/>
      <c r="BJ1542" s="1539"/>
      <c r="BK1542" s="1539"/>
      <c r="BL1542" s="1539"/>
      <c r="BM1542" s="1539"/>
      <c r="BN1542" s="1539"/>
      <c r="BO1542" s="1539"/>
      <c r="BP1542" s="1539"/>
      <c r="BQ1542" s="1539"/>
      <c r="BR1542" s="1539"/>
      <c r="BS1542" s="1539"/>
      <c r="BT1542" s="1539"/>
      <c r="BU1542" s="1539"/>
      <c r="BV1542" s="1539"/>
      <c r="BW1542" s="1539"/>
      <c r="BX1542" s="1539"/>
      <c r="BY1542" s="1539"/>
      <c r="BZ1542" s="1539"/>
      <c r="CA1542" s="1539"/>
      <c r="CB1542" s="1539"/>
      <c r="CC1542" s="1539"/>
      <c r="CD1542" s="1539"/>
      <c r="CE1542" s="1539"/>
      <c r="CF1542" s="1539"/>
      <c r="CG1542" s="1539"/>
      <c r="CH1542" s="1539"/>
      <c r="CI1542" s="1539"/>
      <c r="CJ1542" s="1539"/>
      <c r="CK1542" s="1539"/>
      <c r="CL1542" s="1539"/>
      <c r="CM1542" s="1539"/>
      <c r="CN1542" s="1539"/>
      <c r="CO1542" s="1539"/>
    </row>
    <row r="1543" spans="1:93" s="1552" customFormat="1" ht="15.5">
      <c r="A1543" s="1677">
        <v>28.864000000000001</v>
      </c>
      <c r="B1543" s="1708" t="s">
        <v>4779</v>
      </c>
      <c r="C1543" s="1643" t="e">
        <f>+SUMIF(#REF!,Final!A1543,#REF!)</f>
        <v>#REF!</v>
      </c>
      <c r="D1543" s="1597" t="e">
        <f>+SUMIF(#REF!,Final!A1543,#REF!)</f>
        <v>#REF!</v>
      </c>
      <c r="E1543" s="1643" t="e">
        <f>SUMIF(#REF!,Final!A1543,#REF!)</f>
        <v>#REF!</v>
      </c>
      <c r="F1543" s="1644" t="e">
        <f>SUMIF(#REF!,Final!A1543,#REF!)</f>
        <v>#REF!</v>
      </c>
      <c r="G1543" s="1597" t="e">
        <f t="shared" si="160"/>
        <v>#REF!</v>
      </c>
      <c r="H1543" s="1644" t="e">
        <f t="shared" si="161"/>
        <v>#REF!</v>
      </c>
      <c r="I1543" s="1597" t="e">
        <f t="shared" si="162"/>
        <v>#REF!</v>
      </c>
      <c r="J1543" s="1644" t="e">
        <f t="shared" si="163"/>
        <v>#REF!</v>
      </c>
      <c r="K1543" s="1539"/>
      <c r="L1543" s="1539"/>
      <c r="M1543" s="1545"/>
      <c r="N1543" s="1545"/>
      <c r="O1543" s="1539"/>
      <c r="P1543" s="1539"/>
      <c r="Q1543" s="1539"/>
      <c r="R1543" s="1539"/>
      <c r="S1543" s="1539"/>
      <c r="T1543" s="1539"/>
      <c r="U1543" s="1539"/>
      <c r="V1543" s="1539"/>
      <c r="W1543" s="1539"/>
      <c r="X1543" s="1539"/>
      <c r="Y1543" s="1539"/>
      <c r="Z1543" s="1539"/>
      <c r="AA1543" s="1539"/>
      <c r="AB1543" s="1539"/>
      <c r="AC1543" s="1539"/>
      <c r="AD1543" s="1539"/>
      <c r="AE1543" s="1539"/>
      <c r="AF1543" s="1539"/>
      <c r="AG1543" s="1539"/>
      <c r="AH1543" s="1539"/>
      <c r="AI1543" s="1539"/>
      <c r="AJ1543" s="1539"/>
      <c r="AK1543" s="1539"/>
      <c r="AL1543" s="1539"/>
      <c r="AM1543" s="1539"/>
      <c r="AN1543" s="1539"/>
      <c r="AO1543" s="1539"/>
      <c r="AP1543" s="1539"/>
      <c r="AQ1543" s="1539"/>
      <c r="AR1543" s="1539"/>
      <c r="AS1543" s="1539"/>
      <c r="AT1543" s="1539"/>
      <c r="AU1543" s="1539"/>
      <c r="AV1543" s="1539"/>
      <c r="AW1543" s="1539"/>
      <c r="AX1543" s="1539"/>
      <c r="AY1543" s="1539"/>
      <c r="AZ1543" s="1539"/>
      <c r="BA1543" s="1539"/>
      <c r="BB1543" s="1539"/>
      <c r="BC1543" s="1539"/>
      <c r="BD1543" s="1539"/>
      <c r="BE1543" s="1539"/>
      <c r="BF1543" s="1539"/>
      <c r="BG1543" s="1539"/>
      <c r="BH1543" s="1539"/>
      <c r="BI1543" s="1539"/>
      <c r="BJ1543" s="1539"/>
      <c r="BK1543" s="1539"/>
      <c r="BL1543" s="1539"/>
      <c r="BM1543" s="1539"/>
      <c r="BN1543" s="1539"/>
      <c r="BO1543" s="1539"/>
      <c r="BP1543" s="1539"/>
      <c r="BQ1543" s="1539"/>
      <c r="BR1543" s="1539"/>
      <c r="BS1543" s="1539"/>
      <c r="BT1543" s="1539"/>
      <c r="BU1543" s="1539"/>
      <c r="BV1543" s="1539"/>
      <c r="BW1543" s="1539"/>
      <c r="BX1543" s="1539"/>
      <c r="BY1543" s="1539"/>
      <c r="BZ1543" s="1539"/>
      <c r="CA1543" s="1539"/>
      <c r="CB1543" s="1539"/>
      <c r="CC1543" s="1539"/>
      <c r="CD1543" s="1539"/>
      <c r="CE1543" s="1539"/>
      <c r="CF1543" s="1539"/>
      <c r="CG1543" s="1539"/>
      <c r="CH1543" s="1539"/>
      <c r="CI1543" s="1539"/>
      <c r="CJ1543" s="1539"/>
      <c r="CK1543" s="1539"/>
      <c r="CL1543" s="1539"/>
      <c r="CM1543" s="1539"/>
      <c r="CN1543" s="1539"/>
      <c r="CO1543" s="1539"/>
    </row>
    <row r="1544" spans="1:93" s="1542" customFormat="1" ht="15.5">
      <c r="A1544" s="1598" t="s">
        <v>545</v>
      </c>
      <c r="B1544" s="1599" t="s">
        <v>2914</v>
      </c>
      <c r="C1544" s="1643" t="e">
        <f>+SUMIF(#REF!,Final!A1544,#REF!)</f>
        <v>#REF!</v>
      </c>
      <c r="D1544" s="1597" t="e">
        <f>+SUMIF(#REF!,Final!A1544,#REF!)</f>
        <v>#REF!</v>
      </c>
      <c r="E1544" s="1643" t="e">
        <f>SUMIF(#REF!,Final!A1544,#REF!)</f>
        <v>#REF!</v>
      </c>
      <c r="F1544" s="1644" t="e">
        <f>SUMIF(#REF!,Final!A1544,#REF!)</f>
        <v>#REF!</v>
      </c>
      <c r="G1544" s="1597" t="e">
        <f t="shared" si="160"/>
        <v>#REF!</v>
      </c>
      <c r="H1544" s="1644" t="e">
        <f t="shared" si="161"/>
        <v>#REF!</v>
      </c>
      <c r="I1544" s="1597" t="e">
        <f t="shared" si="162"/>
        <v>#REF!</v>
      </c>
      <c r="J1544" s="1644" t="e">
        <f t="shared" si="163"/>
        <v>#REF!</v>
      </c>
      <c r="K1544" s="1539"/>
      <c r="L1544" s="1539"/>
      <c r="M1544" s="1545"/>
      <c r="N1544" s="1545"/>
      <c r="O1544" s="1539"/>
      <c r="P1544" s="1539"/>
      <c r="Q1544" s="1539"/>
      <c r="R1544" s="1539"/>
      <c r="S1544" s="1539"/>
      <c r="T1544" s="1539"/>
      <c r="U1544" s="1539"/>
      <c r="V1544" s="1539"/>
      <c r="W1544" s="1539"/>
      <c r="X1544" s="1539"/>
      <c r="Y1544" s="1539"/>
      <c r="Z1544" s="1539"/>
      <c r="AA1544" s="1539"/>
      <c r="AB1544" s="1539"/>
      <c r="AC1544" s="1539"/>
      <c r="AD1544" s="1539"/>
      <c r="AE1544" s="1539"/>
      <c r="AF1544" s="1539"/>
      <c r="AG1544" s="1539"/>
      <c r="AH1544" s="1539"/>
      <c r="AI1544" s="1539"/>
      <c r="AJ1544" s="1539"/>
      <c r="AK1544" s="1539"/>
      <c r="AL1544" s="1539"/>
      <c r="AM1544" s="1539"/>
      <c r="AN1544" s="1539"/>
      <c r="AO1544" s="1539"/>
      <c r="AP1544" s="1539"/>
      <c r="AQ1544" s="1539"/>
      <c r="AR1544" s="1539"/>
      <c r="AS1544" s="1539"/>
      <c r="AT1544" s="1539"/>
      <c r="AU1544" s="1539"/>
      <c r="AV1544" s="1539"/>
      <c r="AW1544" s="1539"/>
      <c r="AX1544" s="1539"/>
      <c r="AY1544" s="1539"/>
      <c r="AZ1544" s="1539"/>
      <c r="BA1544" s="1539"/>
      <c r="BB1544" s="1539"/>
      <c r="BC1544" s="1539"/>
      <c r="BD1544" s="1539"/>
      <c r="BE1544" s="1539"/>
      <c r="BF1544" s="1539"/>
      <c r="BG1544" s="1539"/>
      <c r="BH1544" s="1539"/>
      <c r="BI1544" s="1539"/>
      <c r="BJ1544" s="1539"/>
      <c r="BK1544" s="1539"/>
      <c r="BL1544" s="1539"/>
      <c r="BM1544" s="1539"/>
      <c r="BN1544" s="1539"/>
      <c r="BO1544" s="1539"/>
      <c r="BP1544" s="1539"/>
      <c r="BQ1544" s="1539"/>
      <c r="BR1544" s="1539"/>
      <c r="BS1544" s="1539"/>
      <c r="BT1544" s="1539"/>
      <c r="BU1544" s="1539"/>
      <c r="BV1544" s="1539"/>
      <c r="BW1544" s="1539"/>
      <c r="BX1544" s="1539"/>
      <c r="BY1544" s="1539"/>
      <c r="BZ1544" s="1539"/>
      <c r="CA1544" s="1539"/>
      <c r="CB1544" s="1539"/>
      <c r="CC1544" s="1539"/>
      <c r="CD1544" s="1539"/>
      <c r="CE1544" s="1539"/>
      <c r="CF1544" s="1539"/>
      <c r="CG1544" s="1539"/>
      <c r="CH1544" s="1539"/>
      <c r="CI1544" s="1539"/>
      <c r="CJ1544" s="1539"/>
      <c r="CK1544" s="1539"/>
      <c r="CL1544" s="1539"/>
      <c r="CM1544" s="1539"/>
      <c r="CN1544" s="1539"/>
      <c r="CO1544" s="1539"/>
    </row>
    <row r="1545" spans="1:93" s="1542" customFormat="1" ht="15.5">
      <c r="A1545" s="1814"/>
      <c r="B1545" s="1815" t="s">
        <v>5421</v>
      </c>
      <c r="C1545" s="1643" t="e">
        <f>+SUMIF(#REF!,Final!A1545,#REF!)</f>
        <v>#REF!</v>
      </c>
      <c r="D1545" s="1597" t="e">
        <f>+SUMIF(#REF!,Final!A1545,#REF!)</f>
        <v>#REF!</v>
      </c>
      <c r="E1545" s="1643" t="e">
        <f>SUMIF(#REF!,Final!A1545,#REF!)</f>
        <v>#REF!</v>
      </c>
      <c r="F1545" s="1644" t="e">
        <f>SUMIF(#REF!,Final!A1545,#REF!)</f>
        <v>#REF!</v>
      </c>
      <c r="G1545" s="1597" t="e">
        <f t="shared" ref="G1545:G1546" si="164">C1545+E1545</f>
        <v>#REF!</v>
      </c>
      <c r="H1545" s="1644" t="e">
        <f t="shared" ref="H1545:H1546" si="165">D1545+F1545</f>
        <v>#REF!</v>
      </c>
      <c r="I1545" s="1597" t="e">
        <f t="shared" ref="I1545:I1546" si="166">IF(G1545&gt;H1545,G1545-H1545,0)</f>
        <v>#REF!</v>
      </c>
      <c r="J1545" s="1644" t="e">
        <f t="shared" ref="J1545:J1546" si="167">IF(H1545&gt;G1545,H1545-G1545,0)</f>
        <v>#REF!</v>
      </c>
      <c r="K1545" s="1539"/>
      <c r="L1545" s="1539"/>
      <c r="M1545" s="1545"/>
      <c r="N1545" s="1545"/>
      <c r="O1545" s="1539"/>
      <c r="P1545" s="1539"/>
      <c r="Q1545" s="1539"/>
      <c r="R1545" s="1539"/>
      <c r="S1545" s="1539"/>
      <c r="T1545" s="1539"/>
      <c r="U1545" s="1539"/>
      <c r="V1545" s="1539"/>
      <c r="W1545" s="1539"/>
      <c r="X1545" s="1539"/>
      <c r="Y1545" s="1539"/>
      <c r="Z1545" s="1539"/>
      <c r="AA1545" s="1539"/>
      <c r="AB1545" s="1539"/>
      <c r="AC1545" s="1539"/>
      <c r="AD1545" s="1539"/>
      <c r="AE1545" s="1539"/>
      <c r="AF1545" s="1539"/>
      <c r="AG1545" s="1539"/>
      <c r="AH1545" s="1539"/>
      <c r="AI1545" s="1539"/>
      <c r="AJ1545" s="1539"/>
      <c r="AK1545" s="1539"/>
      <c r="AL1545" s="1539"/>
      <c r="AM1545" s="1539"/>
      <c r="AN1545" s="1539"/>
      <c r="AO1545" s="1539"/>
      <c r="AP1545" s="1539"/>
      <c r="AQ1545" s="1539"/>
      <c r="AR1545" s="1539"/>
      <c r="AS1545" s="1539"/>
      <c r="AT1545" s="1539"/>
      <c r="AU1545" s="1539"/>
      <c r="AV1545" s="1539"/>
      <c r="AW1545" s="1539"/>
      <c r="AX1545" s="1539"/>
      <c r="AY1545" s="1539"/>
      <c r="AZ1545" s="1539"/>
      <c r="BA1545" s="1539"/>
      <c r="BB1545" s="1539"/>
      <c r="BC1545" s="1539"/>
      <c r="BD1545" s="1539"/>
      <c r="BE1545" s="1539"/>
      <c r="BF1545" s="1539"/>
      <c r="BG1545" s="1539"/>
      <c r="BH1545" s="1539"/>
      <c r="BI1545" s="1539"/>
      <c r="BJ1545" s="1539"/>
      <c r="BK1545" s="1539"/>
      <c r="BL1545" s="1539"/>
      <c r="BM1545" s="1539"/>
      <c r="BN1545" s="1539"/>
      <c r="BO1545" s="1539"/>
      <c r="BP1545" s="1539"/>
      <c r="BQ1545" s="1539"/>
      <c r="BR1545" s="1539"/>
      <c r="BS1545" s="1539"/>
      <c r="BT1545" s="1539"/>
      <c r="BU1545" s="1539"/>
      <c r="BV1545" s="1539"/>
      <c r="BW1545" s="1539"/>
      <c r="BX1545" s="1539"/>
      <c r="BY1545" s="1539"/>
      <c r="BZ1545" s="1539"/>
      <c r="CA1545" s="1539"/>
      <c r="CB1545" s="1539"/>
      <c r="CC1545" s="1539"/>
      <c r="CD1545" s="1539"/>
      <c r="CE1545" s="1539"/>
      <c r="CF1545" s="1539"/>
      <c r="CG1545" s="1539"/>
      <c r="CH1545" s="1539"/>
      <c r="CI1545" s="1539"/>
      <c r="CJ1545" s="1539"/>
      <c r="CK1545" s="1539"/>
      <c r="CL1545" s="1539"/>
      <c r="CM1545" s="1539"/>
      <c r="CN1545" s="1539"/>
      <c r="CO1545" s="1539"/>
    </row>
    <row r="1546" spans="1:93" s="1542" customFormat="1" ht="15.5">
      <c r="A1546" s="1527">
        <v>28.864999999999998</v>
      </c>
      <c r="B1546" s="1528" t="s">
        <v>5422</v>
      </c>
      <c r="C1546" s="1643" t="e">
        <f>+SUMIF(#REF!,Final!A1546,#REF!)</f>
        <v>#REF!</v>
      </c>
      <c r="D1546" s="1597" t="e">
        <f>+SUMIF(#REF!,Final!A1546,#REF!)</f>
        <v>#REF!</v>
      </c>
      <c r="E1546" s="1643" t="e">
        <f>SUMIF(#REF!,Final!A1546,#REF!)</f>
        <v>#REF!</v>
      </c>
      <c r="F1546" s="1644" t="e">
        <f>SUMIF(#REF!,Final!A1546,#REF!)</f>
        <v>#REF!</v>
      </c>
      <c r="G1546" s="1597" t="e">
        <f t="shared" si="164"/>
        <v>#REF!</v>
      </c>
      <c r="H1546" s="1644" t="e">
        <f t="shared" si="165"/>
        <v>#REF!</v>
      </c>
      <c r="I1546" s="1597" t="e">
        <f t="shared" si="166"/>
        <v>#REF!</v>
      </c>
      <c r="J1546" s="1644" t="e">
        <f t="shared" si="167"/>
        <v>#REF!</v>
      </c>
      <c r="K1546" s="1539"/>
      <c r="L1546" s="1539"/>
      <c r="M1546" s="1545"/>
      <c r="N1546" s="1545"/>
      <c r="O1546" s="1539"/>
      <c r="P1546" s="1539"/>
      <c r="Q1546" s="1539"/>
      <c r="R1546" s="1539"/>
      <c r="S1546" s="1539"/>
      <c r="T1546" s="1539"/>
      <c r="U1546" s="1539"/>
      <c r="V1546" s="1539"/>
      <c r="W1546" s="1539"/>
      <c r="X1546" s="1539"/>
      <c r="Y1546" s="1539"/>
      <c r="Z1546" s="1539"/>
      <c r="AA1546" s="1539"/>
      <c r="AB1546" s="1539"/>
      <c r="AC1546" s="1539"/>
      <c r="AD1546" s="1539"/>
      <c r="AE1546" s="1539"/>
      <c r="AF1546" s="1539"/>
      <c r="AG1546" s="1539"/>
      <c r="AH1546" s="1539"/>
      <c r="AI1546" s="1539"/>
      <c r="AJ1546" s="1539"/>
      <c r="AK1546" s="1539"/>
      <c r="AL1546" s="1539"/>
      <c r="AM1546" s="1539"/>
      <c r="AN1546" s="1539"/>
      <c r="AO1546" s="1539"/>
      <c r="AP1546" s="1539"/>
      <c r="AQ1546" s="1539"/>
      <c r="AR1546" s="1539"/>
      <c r="AS1546" s="1539"/>
      <c r="AT1546" s="1539"/>
      <c r="AU1546" s="1539"/>
      <c r="AV1546" s="1539"/>
      <c r="AW1546" s="1539"/>
      <c r="AX1546" s="1539"/>
      <c r="AY1546" s="1539"/>
      <c r="AZ1546" s="1539"/>
      <c r="BA1546" s="1539"/>
      <c r="BB1546" s="1539"/>
      <c r="BC1546" s="1539"/>
      <c r="BD1546" s="1539"/>
      <c r="BE1546" s="1539"/>
      <c r="BF1546" s="1539"/>
      <c r="BG1546" s="1539"/>
      <c r="BH1546" s="1539"/>
      <c r="BI1546" s="1539"/>
      <c r="BJ1546" s="1539"/>
      <c r="BK1546" s="1539"/>
      <c r="BL1546" s="1539"/>
      <c r="BM1546" s="1539"/>
      <c r="BN1546" s="1539"/>
      <c r="BO1546" s="1539"/>
      <c r="BP1546" s="1539"/>
      <c r="BQ1546" s="1539"/>
      <c r="BR1546" s="1539"/>
      <c r="BS1546" s="1539"/>
      <c r="BT1546" s="1539"/>
      <c r="BU1546" s="1539"/>
      <c r="BV1546" s="1539"/>
      <c r="BW1546" s="1539"/>
      <c r="BX1546" s="1539"/>
      <c r="BY1546" s="1539"/>
      <c r="BZ1546" s="1539"/>
      <c r="CA1546" s="1539"/>
      <c r="CB1546" s="1539"/>
      <c r="CC1546" s="1539"/>
      <c r="CD1546" s="1539"/>
      <c r="CE1546" s="1539"/>
      <c r="CF1546" s="1539"/>
      <c r="CG1546" s="1539"/>
      <c r="CH1546" s="1539"/>
      <c r="CI1546" s="1539"/>
      <c r="CJ1546" s="1539"/>
      <c r="CK1546" s="1539"/>
      <c r="CL1546" s="1539"/>
      <c r="CM1546" s="1539"/>
      <c r="CN1546" s="1539"/>
      <c r="CO1546" s="1539"/>
    </row>
    <row r="1547" spans="1:93" s="1542" customFormat="1" ht="15.5">
      <c r="A1547" s="1598" t="s">
        <v>448</v>
      </c>
      <c r="B1547" s="1599" t="s">
        <v>3405</v>
      </c>
      <c r="C1547" s="1643" t="e">
        <f>+SUMIF(#REF!,Final!A1547,#REF!)</f>
        <v>#REF!</v>
      </c>
      <c r="D1547" s="1597" t="e">
        <f>+SUMIF(#REF!,Final!A1547,#REF!)</f>
        <v>#REF!</v>
      </c>
      <c r="E1547" s="1643" t="e">
        <f>SUMIF(#REF!,Final!A1547,#REF!)</f>
        <v>#REF!</v>
      </c>
      <c r="F1547" s="1644" t="e">
        <f>SUMIF(#REF!,Final!A1547,#REF!)</f>
        <v>#REF!</v>
      </c>
      <c r="G1547" s="1597" t="e">
        <f t="shared" si="160"/>
        <v>#REF!</v>
      </c>
      <c r="H1547" s="1644" t="e">
        <f t="shared" si="161"/>
        <v>#REF!</v>
      </c>
      <c r="I1547" s="1597" t="e">
        <f t="shared" si="162"/>
        <v>#REF!</v>
      </c>
      <c r="J1547" s="1644" t="e">
        <f t="shared" si="163"/>
        <v>#REF!</v>
      </c>
      <c r="K1547" s="1539"/>
      <c r="L1547" s="1539"/>
      <c r="M1547" s="1545"/>
      <c r="N1547" s="1545"/>
      <c r="O1547" s="1539"/>
      <c r="P1547" s="1539"/>
      <c r="Q1547" s="1539"/>
      <c r="R1547" s="1539"/>
      <c r="S1547" s="1539"/>
      <c r="T1547" s="1539"/>
      <c r="U1547" s="1539"/>
      <c r="V1547" s="1539"/>
      <c r="W1547" s="1539"/>
      <c r="X1547" s="1539"/>
      <c r="Y1547" s="1539"/>
      <c r="Z1547" s="1539"/>
      <c r="AA1547" s="1539"/>
      <c r="AB1547" s="1539"/>
      <c r="AC1547" s="1539"/>
      <c r="AD1547" s="1539"/>
      <c r="AE1547" s="1539"/>
      <c r="AF1547" s="1539"/>
      <c r="AG1547" s="1539"/>
      <c r="AH1547" s="1539"/>
      <c r="AI1547" s="1539"/>
      <c r="AJ1547" s="1539"/>
      <c r="AK1547" s="1539"/>
      <c r="AL1547" s="1539"/>
      <c r="AM1547" s="1539"/>
      <c r="AN1547" s="1539"/>
      <c r="AO1547" s="1539"/>
      <c r="AP1547" s="1539"/>
      <c r="AQ1547" s="1539"/>
      <c r="AR1547" s="1539"/>
      <c r="AS1547" s="1539"/>
      <c r="AT1547" s="1539"/>
      <c r="AU1547" s="1539"/>
      <c r="AV1547" s="1539"/>
      <c r="AW1547" s="1539"/>
      <c r="AX1547" s="1539"/>
      <c r="AY1547" s="1539"/>
      <c r="AZ1547" s="1539"/>
      <c r="BA1547" s="1539"/>
      <c r="BB1547" s="1539"/>
      <c r="BC1547" s="1539"/>
      <c r="BD1547" s="1539"/>
      <c r="BE1547" s="1539"/>
      <c r="BF1547" s="1539"/>
      <c r="BG1547" s="1539"/>
      <c r="BH1547" s="1539"/>
      <c r="BI1547" s="1539"/>
      <c r="BJ1547" s="1539"/>
      <c r="BK1547" s="1539"/>
      <c r="BL1547" s="1539"/>
      <c r="BM1547" s="1539"/>
      <c r="BN1547" s="1539"/>
      <c r="BO1547" s="1539"/>
      <c r="BP1547" s="1539"/>
      <c r="BQ1547" s="1539"/>
      <c r="BR1547" s="1539"/>
      <c r="BS1547" s="1539"/>
      <c r="BT1547" s="1539"/>
      <c r="BU1547" s="1539"/>
      <c r="BV1547" s="1539"/>
      <c r="BW1547" s="1539"/>
      <c r="BX1547" s="1539"/>
      <c r="BY1547" s="1539"/>
      <c r="BZ1547" s="1539"/>
      <c r="CA1547" s="1539"/>
      <c r="CB1547" s="1539"/>
      <c r="CC1547" s="1539"/>
      <c r="CD1547" s="1539"/>
      <c r="CE1547" s="1539"/>
      <c r="CF1547" s="1539"/>
      <c r="CG1547" s="1539"/>
      <c r="CH1547" s="1539"/>
      <c r="CI1547" s="1539"/>
      <c r="CJ1547" s="1539"/>
      <c r="CK1547" s="1539"/>
      <c r="CL1547" s="1539"/>
      <c r="CM1547" s="1539"/>
      <c r="CN1547" s="1539"/>
      <c r="CO1547" s="1539"/>
    </row>
    <row r="1548" spans="1:93" ht="16" thickBot="1">
      <c r="A1548" s="1598">
        <v>28.866</v>
      </c>
      <c r="B1548" s="1599" t="s">
        <v>2900</v>
      </c>
      <c r="C1548" s="1643" t="e">
        <f>+SUMIF(#REF!,Final!A1548,#REF!)</f>
        <v>#REF!</v>
      </c>
      <c r="D1548" s="1597" t="e">
        <f>+SUMIF(#REF!,Final!A1548,#REF!)</f>
        <v>#REF!</v>
      </c>
      <c r="E1548" s="1643" t="e">
        <f>SUMIF(#REF!,Final!A1548,#REF!)</f>
        <v>#REF!</v>
      </c>
      <c r="F1548" s="1644" t="e">
        <f>SUMIF(#REF!,Final!A1548,#REF!)</f>
        <v>#REF!</v>
      </c>
      <c r="G1548" s="1597" t="e">
        <f t="shared" si="160"/>
        <v>#REF!</v>
      </c>
      <c r="H1548" s="1644" t="e">
        <f t="shared" si="161"/>
        <v>#REF!</v>
      </c>
      <c r="I1548" s="1597" t="e">
        <f t="shared" si="162"/>
        <v>#REF!</v>
      </c>
      <c r="J1548" s="1644" t="e">
        <f t="shared" si="163"/>
        <v>#REF!</v>
      </c>
      <c r="M1548" s="1545"/>
      <c r="N1548" s="1545"/>
    </row>
    <row r="1549" spans="1:93" ht="15.5">
      <c r="A1549" s="1861">
        <v>28.867000000000001</v>
      </c>
      <c r="B1549" s="1862" t="s">
        <v>5503</v>
      </c>
      <c r="C1549" s="1643" t="e">
        <f>+SUMIF(#REF!,Final!A1549,#REF!)</f>
        <v>#REF!</v>
      </c>
      <c r="D1549" s="1597" t="e">
        <f>+SUMIF(#REF!,Final!A1549,#REF!)</f>
        <v>#REF!</v>
      </c>
      <c r="E1549" s="1643" t="e">
        <f>SUMIF(#REF!,Final!A1549,#REF!)</f>
        <v>#REF!</v>
      </c>
      <c r="F1549" s="1644" t="e">
        <f>SUMIF(#REF!,Final!A1549,#REF!)</f>
        <v>#REF!</v>
      </c>
      <c r="G1549" s="1597" t="e">
        <f t="shared" ref="G1549:G1553" si="168">C1549+E1549</f>
        <v>#REF!</v>
      </c>
      <c r="H1549" s="1644" t="e">
        <f t="shared" ref="H1549:H1553" si="169">D1549+F1549</f>
        <v>#REF!</v>
      </c>
      <c r="I1549" s="1597" t="e">
        <f t="shared" ref="I1549:I1553" si="170">IF(G1549&gt;H1549,G1549-H1549,0)</f>
        <v>#REF!</v>
      </c>
      <c r="J1549" s="1644" t="e">
        <f t="shared" ref="J1549:J1553" si="171">IF(H1549&gt;G1549,H1549-G1549,0)</f>
        <v>#REF!</v>
      </c>
      <c r="M1549" s="1545"/>
      <c r="N1549" s="1545"/>
    </row>
    <row r="1550" spans="1:93" ht="15.5">
      <c r="A1550" s="1863">
        <v>28.867999999999999</v>
      </c>
      <c r="B1550" s="1809" t="s">
        <v>5504</v>
      </c>
      <c r="C1550" s="1643" t="e">
        <f>+SUMIF(#REF!,Final!A1550,#REF!)</f>
        <v>#REF!</v>
      </c>
      <c r="D1550" s="1597" t="e">
        <f>+SUMIF(#REF!,Final!A1550,#REF!)</f>
        <v>#REF!</v>
      </c>
      <c r="E1550" s="1643" t="e">
        <f>SUMIF(#REF!,Final!A1550,#REF!)</f>
        <v>#REF!</v>
      </c>
      <c r="F1550" s="1644" t="e">
        <f>SUMIF(#REF!,Final!A1550,#REF!)</f>
        <v>#REF!</v>
      </c>
      <c r="G1550" s="1597" t="e">
        <f t="shared" si="168"/>
        <v>#REF!</v>
      </c>
      <c r="H1550" s="1644" t="e">
        <f t="shared" si="169"/>
        <v>#REF!</v>
      </c>
      <c r="I1550" s="1597" t="e">
        <f t="shared" si="170"/>
        <v>#REF!</v>
      </c>
      <c r="J1550" s="1644" t="e">
        <f t="shared" si="171"/>
        <v>#REF!</v>
      </c>
      <c r="M1550" s="1545"/>
      <c r="N1550" s="1545"/>
    </row>
    <row r="1551" spans="1:93" ht="15.5">
      <c r="A1551" s="1863">
        <v>28.869</v>
      </c>
      <c r="B1551" s="1809" t="s">
        <v>5505</v>
      </c>
      <c r="C1551" s="1643" t="e">
        <f>+SUMIF(#REF!,Final!A1551,#REF!)</f>
        <v>#REF!</v>
      </c>
      <c r="D1551" s="1597" t="e">
        <f>+SUMIF(#REF!,Final!A1551,#REF!)</f>
        <v>#REF!</v>
      </c>
      <c r="E1551" s="1643" t="e">
        <f>SUMIF(#REF!,Final!A1551,#REF!)</f>
        <v>#REF!</v>
      </c>
      <c r="F1551" s="1644" t="e">
        <f>SUMIF(#REF!,Final!A1551,#REF!)</f>
        <v>#REF!</v>
      </c>
      <c r="G1551" s="1597" t="e">
        <f t="shared" si="168"/>
        <v>#REF!</v>
      </c>
      <c r="H1551" s="1644" t="e">
        <f t="shared" si="169"/>
        <v>#REF!</v>
      </c>
      <c r="I1551" s="1597" t="e">
        <f t="shared" si="170"/>
        <v>#REF!</v>
      </c>
      <c r="J1551" s="1644" t="e">
        <f t="shared" si="171"/>
        <v>#REF!</v>
      </c>
      <c r="M1551" s="1545"/>
      <c r="N1551" s="1545"/>
    </row>
    <row r="1552" spans="1:93" ht="15.5">
      <c r="A1552" s="1866">
        <v>28.87</v>
      </c>
      <c r="B1552" s="1809" t="s">
        <v>5506</v>
      </c>
      <c r="C1552" s="1643" t="e">
        <f>+SUMIF(#REF!,Final!A1552,#REF!)</f>
        <v>#REF!</v>
      </c>
      <c r="D1552" s="1597" t="e">
        <f>+SUMIF(#REF!,Final!A1552,#REF!)</f>
        <v>#REF!</v>
      </c>
      <c r="E1552" s="1643" t="e">
        <f>SUMIF(#REF!,Final!A1552,#REF!)</f>
        <v>#REF!</v>
      </c>
      <c r="F1552" s="1644" t="e">
        <f>SUMIF(#REF!,Final!A1552,#REF!)</f>
        <v>#REF!</v>
      </c>
      <c r="G1552" s="1597" t="e">
        <f t="shared" si="168"/>
        <v>#REF!</v>
      </c>
      <c r="H1552" s="1644" t="e">
        <f t="shared" si="169"/>
        <v>#REF!</v>
      </c>
      <c r="I1552" s="1597" t="e">
        <f t="shared" si="170"/>
        <v>#REF!</v>
      </c>
      <c r="J1552" s="1644" t="e">
        <f t="shared" si="171"/>
        <v>#REF!</v>
      </c>
      <c r="M1552" s="1545"/>
      <c r="N1552" s="1545"/>
    </row>
    <row r="1553" spans="1:93" ht="15.5">
      <c r="A1553" s="1863">
        <v>28.870999999999999</v>
      </c>
      <c r="B1553" s="1809" t="s">
        <v>5507</v>
      </c>
      <c r="C1553" s="1643" t="e">
        <f>+SUMIF(#REF!,Final!A1553,#REF!)</f>
        <v>#REF!</v>
      </c>
      <c r="D1553" s="1597" t="e">
        <f>+SUMIF(#REF!,Final!A1553,#REF!)</f>
        <v>#REF!</v>
      </c>
      <c r="E1553" s="1643" t="e">
        <f>SUMIF(#REF!,Final!A1553,#REF!)</f>
        <v>#REF!</v>
      </c>
      <c r="F1553" s="1644" t="e">
        <f>SUMIF(#REF!,Final!A1553,#REF!)</f>
        <v>#REF!</v>
      </c>
      <c r="G1553" s="1597" t="e">
        <f t="shared" si="168"/>
        <v>#REF!</v>
      </c>
      <c r="H1553" s="1644" t="e">
        <f t="shared" si="169"/>
        <v>#REF!</v>
      </c>
      <c r="I1553" s="1597" t="e">
        <f t="shared" si="170"/>
        <v>#REF!</v>
      </c>
      <c r="J1553" s="1644" t="e">
        <f t="shared" si="171"/>
        <v>#REF!</v>
      </c>
      <c r="M1553" s="1545"/>
      <c r="N1553" s="1545"/>
    </row>
    <row r="1554" spans="1:93" s="1552" customFormat="1" ht="15.5">
      <c r="A1554" s="1598"/>
      <c r="B1554" s="1599" t="s">
        <v>1747</v>
      </c>
      <c r="C1554" s="1643" t="e">
        <f>+SUMIF(#REF!,Final!A1554,#REF!)</f>
        <v>#REF!</v>
      </c>
      <c r="D1554" s="1597" t="e">
        <f>+SUMIF(#REF!,Final!A1554,#REF!)</f>
        <v>#REF!</v>
      </c>
      <c r="E1554" s="1643" t="e">
        <f>SUMIF(#REF!,Final!A1554,#REF!)</f>
        <v>#REF!</v>
      </c>
      <c r="F1554" s="1644" t="e">
        <f>SUMIF(#REF!,Final!A1554,#REF!)</f>
        <v>#REF!</v>
      </c>
      <c r="G1554" s="1597" t="e">
        <f t="shared" si="160"/>
        <v>#REF!</v>
      </c>
      <c r="H1554" s="1644" t="e">
        <f t="shared" si="161"/>
        <v>#REF!</v>
      </c>
      <c r="I1554" s="1597" t="e">
        <f t="shared" si="162"/>
        <v>#REF!</v>
      </c>
      <c r="J1554" s="1644" t="e">
        <f t="shared" si="163"/>
        <v>#REF!</v>
      </c>
      <c r="K1554" s="1539"/>
      <c r="L1554" s="1539"/>
      <c r="M1554" s="1545"/>
      <c r="N1554" s="1545"/>
      <c r="O1554" s="1539"/>
      <c r="P1554" s="1539"/>
      <c r="Q1554" s="1539"/>
      <c r="R1554" s="1539"/>
      <c r="S1554" s="1539"/>
      <c r="T1554" s="1539"/>
      <c r="U1554" s="1539"/>
      <c r="V1554" s="1539"/>
      <c r="W1554" s="1539"/>
      <c r="X1554" s="1539"/>
      <c r="Y1554" s="1539"/>
      <c r="Z1554" s="1539"/>
      <c r="AA1554" s="1539"/>
      <c r="AB1554" s="1539"/>
      <c r="AC1554" s="1539"/>
      <c r="AD1554" s="1539"/>
      <c r="AE1554" s="1539"/>
      <c r="AF1554" s="1539"/>
      <c r="AG1554" s="1539"/>
      <c r="AH1554" s="1539"/>
      <c r="AI1554" s="1539"/>
      <c r="AJ1554" s="1539"/>
      <c r="AK1554" s="1539"/>
      <c r="AL1554" s="1539"/>
      <c r="AM1554" s="1539"/>
      <c r="AN1554" s="1539"/>
      <c r="AO1554" s="1539"/>
      <c r="AP1554" s="1539"/>
      <c r="AQ1554" s="1539"/>
      <c r="AR1554" s="1539"/>
      <c r="AS1554" s="1539"/>
      <c r="AT1554" s="1539"/>
      <c r="AU1554" s="1539"/>
      <c r="AV1554" s="1539"/>
      <c r="AW1554" s="1539"/>
      <c r="AX1554" s="1539"/>
      <c r="AY1554" s="1539"/>
      <c r="AZ1554" s="1539"/>
      <c r="BA1554" s="1539"/>
      <c r="BB1554" s="1539"/>
      <c r="BC1554" s="1539"/>
      <c r="BD1554" s="1539"/>
      <c r="BE1554" s="1539"/>
      <c r="BF1554" s="1539"/>
      <c r="BG1554" s="1539"/>
      <c r="BH1554" s="1539"/>
      <c r="BI1554" s="1539"/>
      <c r="BJ1554" s="1539"/>
      <c r="BK1554" s="1539"/>
      <c r="BL1554" s="1539"/>
      <c r="BM1554" s="1539"/>
      <c r="BN1554" s="1539"/>
      <c r="BO1554" s="1539"/>
      <c r="BP1554" s="1539"/>
      <c r="BQ1554" s="1539"/>
      <c r="BR1554" s="1539"/>
      <c r="BS1554" s="1539"/>
      <c r="BT1554" s="1539"/>
      <c r="BU1554" s="1539"/>
      <c r="BV1554" s="1539"/>
      <c r="BW1554" s="1539"/>
      <c r="BX1554" s="1539"/>
      <c r="BY1554" s="1539"/>
      <c r="BZ1554" s="1539"/>
      <c r="CA1554" s="1539"/>
      <c r="CB1554" s="1539"/>
      <c r="CC1554" s="1539"/>
      <c r="CD1554" s="1539"/>
      <c r="CE1554" s="1539"/>
      <c r="CF1554" s="1539"/>
      <c r="CG1554" s="1539"/>
      <c r="CH1554" s="1539"/>
      <c r="CI1554" s="1539"/>
      <c r="CJ1554" s="1539"/>
      <c r="CK1554" s="1539"/>
      <c r="CL1554" s="1539"/>
      <c r="CM1554" s="1539"/>
      <c r="CN1554" s="1539"/>
      <c r="CO1554" s="1539"/>
    </row>
    <row r="1555" spans="1:93" s="1552" customFormat="1" ht="15.5">
      <c r="A1555" s="1598"/>
      <c r="B1555" s="1599" t="s">
        <v>1760</v>
      </c>
      <c r="C1555" s="1643" t="e">
        <f>+SUMIF(#REF!,Final!A1555,#REF!)</f>
        <v>#REF!</v>
      </c>
      <c r="D1555" s="1597" t="e">
        <f>+SUMIF(#REF!,Final!A1555,#REF!)</f>
        <v>#REF!</v>
      </c>
      <c r="E1555" s="1643" t="e">
        <f>SUMIF(#REF!,Final!A1555,#REF!)</f>
        <v>#REF!</v>
      </c>
      <c r="F1555" s="1644" t="e">
        <f>SUMIF(#REF!,Final!A1555,#REF!)</f>
        <v>#REF!</v>
      </c>
      <c r="G1555" s="1597" t="e">
        <f t="shared" si="160"/>
        <v>#REF!</v>
      </c>
      <c r="H1555" s="1644" t="e">
        <f t="shared" si="161"/>
        <v>#REF!</v>
      </c>
      <c r="I1555" s="1597" t="e">
        <f t="shared" si="162"/>
        <v>#REF!</v>
      </c>
      <c r="J1555" s="1644" t="e">
        <f t="shared" si="163"/>
        <v>#REF!</v>
      </c>
      <c r="K1555" s="1539"/>
      <c r="L1555" s="1539"/>
      <c r="M1555" s="1545"/>
      <c r="N1555" s="1545"/>
      <c r="O1555" s="1539"/>
      <c r="P1555" s="1539"/>
      <c r="Q1555" s="1539"/>
      <c r="R1555" s="1539"/>
      <c r="S1555" s="1539"/>
      <c r="T1555" s="1539"/>
      <c r="U1555" s="1539"/>
      <c r="V1555" s="1539"/>
      <c r="W1555" s="1539"/>
      <c r="X1555" s="1539"/>
      <c r="Y1555" s="1539"/>
      <c r="Z1555" s="1539"/>
      <c r="AA1555" s="1539"/>
      <c r="AB1555" s="1539"/>
      <c r="AC1555" s="1539"/>
      <c r="AD1555" s="1539"/>
      <c r="AE1555" s="1539"/>
      <c r="AF1555" s="1539"/>
      <c r="AG1555" s="1539"/>
      <c r="AH1555" s="1539"/>
      <c r="AI1555" s="1539"/>
      <c r="AJ1555" s="1539"/>
      <c r="AK1555" s="1539"/>
      <c r="AL1555" s="1539"/>
      <c r="AM1555" s="1539"/>
      <c r="AN1555" s="1539"/>
      <c r="AO1555" s="1539"/>
      <c r="AP1555" s="1539"/>
      <c r="AQ1555" s="1539"/>
      <c r="AR1555" s="1539"/>
      <c r="AS1555" s="1539"/>
      <c r="AT1555" s="1539"/>
      <c r="AU1555" s="1539"/>
      <c r="AV1555" s="1539"/>
      <c r="AW1555" s="1539"/>
      <c r="AX1555" s="1539"/>
      <c r="AY1555" s="1539"/>
      <c r="AZ1555" s="1539"/>
      <c r="BA1555" s="1539"/>
      <c r="BB1555" s="1539"/>
      <c r="BC1555" s="1539"/>
      <c r="BD1555" s="1539"/>
      <c r="BE1555" s="1539"/>
      <c r="BF1555" s="1539"/>
      <c r="BG1555" s="1539"/>
      <c r="BH1555" s="1539"/>
      <c r="BI1555" s="1539"/>
      <c r="BJ1555" s="1539"/>
      <c r="BK1555" s="1539"/>
      <c r="BL1555" s="1539"/>
      <c r="BM1555" s="1539"/>
      <c r="BN1555" s="1539"/>
      <c r="BO1555" s="1539"/>
      <c r="BP1555" s="1539"/>
      <c r="BQ1555" s="1539"/>
      <c r="BR1555" s="1539"/>
      <c r="BS1555" s="1539"/>
      <c r="BT1555" s="1539"/>
      <c r="BU1555" s="1539"/>
      <c r="BV1555" s="1539"/>
      <c r="BW1555" s="1539"/>
      <c r="BX1555" s="1539"/>
      <c r="BY1555" s="1539"/>
      <c r="BZ1555" s="1539"/>
      <c r="CA1555" s="1539"/>
      <c r="CB1555" s="1539"/>
      <c r="CC1555" s="1539"/>
      <c r="CD1555" s="1539"/>
      <c r="CE1555" s="1539"/>
      <c r="CF1555" s="1539"/>
      <c r="CG1555" s="1539"/>
      <c r="CH1555" s="1539"/>
      <c r="CI1555" s="1539"/>
      <c r="CJ1555" s="1539"/>
      <c r="CK1555" s="1539"/>
      <c r="CL1555" s="1539"/>
      <c r="CM1555" s="1539"/>
      <c r="CN1555" s="1539"/>
      <c r="CO1555" s="1539"/>
    </row>
    <row r="1556" spans="1:93" s="1542" customFormat="1" ht="15.5">
      <c r="A1556" s="1598">
        <v>9</v>
      </c>
      <c r="B1556" s="1599" t="s">
        <v>2906</v>
      </c>
      <c r="C1556" s="1643" t="e">
        <f>+SUMIF(#REF!,Final!A1556,#REF!)</f>
        <v>#REF!</v>
      </c>
      <c r="D1556" s="1597" t="e">
        <f>+SUMIF(#REF!,Final!A1556,#REF!)</f>
        <v>#REF!</v>
      </c>
      <c r="E1556" s="1643" t="e">
        <f>SUMIF(#REF!,Final!A1556,#REF!)</f>
        <v>#REF!</v>
      </c>
      <c r="F1556" s="1644" t="e">
        <f>SUMIF(#REF!,Final!A1556,#REF!)</f>
        <v>#REF!</v>
      </c>
      <c r="G1556" s="1597" t="e">
        <f t="shared" si="160"/>
        <v>#REF!</v>
      </c>
      <c r="H1556" s="1644" t="e">
        <f t="shared" si="161"/>
        <v>#REF!</v>
      </c>
      <c r="I1556" s="1597" t="e">
        <f t="shared" si="162"/>
        <v>#REF!</v>
      </c>
      <c r="J1556" s="1644" t="e">
        <f t="shared" si="163"/>
        <v>#REF!</v>
      </c>
      <c r="K1556" s="1539"/>
      <c r="L1556" s="1539"/>
      <c r="M1556" s="1545"/>
      <c r="N1556" s="1545"/>
      <c r="O1556" s="1539"/>
      <c r="P1556" s="1539"/>
      <c r="Q1556" s="1539"/>
      <c r="R1556" s="1539"/>
      <c r="S1556" s="1539"/>
      <c r="T1556" s="1539"/>
      <c r="U1556" s="1539"/>
      <c r="V1556" s="1539"/>
      <c r="W1556" s="1539"/>
      <c r="X1556" s="1539"/>
      <c r="Y1556" s="1539"/>
      <c r="Z1556" s="1539"/>
      <c r="AA1556" s="1539"/>
      <c r="AB1556" s="1539"/>
      <c r="AC1556" s="1539"/>
      <c r="AD1556" s="1539"/>
      <c r="AE1556" s="1539"/>
      <c r="AF1556" s="1539"/>
      <c r="AG1556" s="1539"/>
      <c r="AH1556" s="1539"/>
      <c r="AI1556" s="1539"/>
      <c r="AJ1556" s="1539"/>
      <c r="AK1556" s="1539"/>
      <c r="AL1556" s="1539"/>
      <c r="AM1556" s="1539"/>
      <c r="AN1556" s="1539"/>
      <c r="AO1556" s="1539"/>
      <c r="AP1556" s="1539"/>
      <c r="AQ1556" s="1539"/>
      <c r="AR1556" s="1539"/>
      <c r="AS1556" s="1539"/>
      <c r="AT1556" s="1539"/>
      <c r="AU1556" s="1539"/>
      <c r="AV1556" s="1539"/>
      <c r="AW1556" s="1539"/>
      <c r="AX1556" s="1539"/>
      <c r="AY1556" s="1539"/>
      <c r="AZ1556" s="1539"/>
      <c r="BA1556" s="1539"/>
      <c r="BB1556" s="1539"/>
      <c r="BC1556" s="1539"/>
      <c r="BD1556" s="1539"/>
      <c r="BE1556" s="1539"/>
      <c r="BF1556" s="1539"/>
      <c r="BG1556" s="1539"/>
      <c r="BH1556" s="1539"/>
      <c r="BI1556" s="1539"/>
      <c r="BJ1556" s="1539"/>
      <c r="BK1556" s="1539"/>
      <c r="BL1556" s="1539"/>
      <c r="BM1556" s="1539"/>
      <c r="BN1556" s="1539"/>
      <c r="BO1556" s="1539"/>
      <c r="BP1556" s="1539"/>
      <c r="BQ1556" s="1539"/>
      <c r="BR1556" s="1539"/>
      <c r="BS1556" s="1539"/>
      <c r="BT1556" s="1539"/>
      <c r="BU1556" s="1539"/>
      <c r="BV1556" s="1539"/>
      <c r="BW1556" s="1539"/>
      <c r="BX1556" s="1539"/>
      <c r="BY1556" s="1539"/>
      <c r="BZ1556" s="1539"/>
      <c r="CA1556" s="1539"/>
      <c r="CB1556" s="1539"/>
      <c r="CC1556" s="1539"/>
      <c r="CD1556" s="1539"/>
      <c r="CE1556" s="1539"/>
      <c r="CF1556" s="1539"/>
      <c r="CG1556" s="1539"/>
      <c r="CH1556" s="1539"/>
      <c r="CI1556" s="1539"/>
      <c r="CJ1556" s="1539"/>
      <c r="CK1556" s="1539"/>
      <c r="CL1556" s="1539"/>
      <c r="CM1556" s="1539"/>
      <c r="CN1556" s="1539"/>
      <c r="CO1556" s="1539"/>
    </row>
    <row r="1557" spans="1:93" ht="15.5">
      <c r="A1557" s="1598">
        <v>28.914000000000001</v>
      </c>
      <c r="B1557" s="1599" t="s">
        <v>2907</v>
      </c>
      <c r="C1557" s="1643" t="e">
        <f>+SUMIF(#REF!,Final!A1557,#REF!)</f>
        <v>#REF!</v>
      </c>
      <c r="D1557" s="1597" t="e">
        <f>+SUMIF(#REF!,Final!A1557,#REF!)</f>
        <v>#REF!</v>
      </c>
      <c r="E1557" s="1643" t="e">
        <f>SUMIF(#REF!,Final!A1557,#REF!)</f>
        <v>#REF!</v>
      </c>
      <c r="F1557" s="1644" t="e">
        <f>SUMIF(#REF!,Final!A1557,#REF!)</f>
        <v>#REF!</v>
      </c>
      <c r="G1557" s="1597" t="e">
        <f t="shared" si="160"/>
        <v>#REF!</v>
      </c>
      <c r="H1557" s="1644" t="e">
        <f t="shared" si="161"/>
        <v>#REF!</v>
      </c>
      <c r="I1557" s="1597" t="e">
        <f t="shared" si="162"/>
        <v>#REF!</v>
      </c>
      <c r="J1557" s="1644" t="e">
        <f t="shared" si="163"/>
        <v>#REF!</v>
      </c>
      <c r="M1557" s="1545"/>
      <c r="N1557" s="1545"/>
    </row>
    <row r="1558" spans="1:93" s="1542" customFormat="1" ht="15.5">
      <c r="A1558" s="1598">
        <v>28.919</v>
      </c>
      <c r="B1558" s="1599" t="s">
        <v>2908</v>
      </c>
      <c r="C1558" s="1643" t="e">
        <f>+SUMIF(#REF!,Final!A1558,#REF!)</f>
        <v>#REF!</v>
      </c>
      <c r="D1558" s="1597" t="e">
        <f>+SUMIF(#REF!,Final!A1558,#REF!)</f>
        <v>#REF!</v>
      </c>
      <c r="E1558" s="1643" t="e">
        <f>SUMIF(#REF!,Final!A1558,#REF!)</f>
        <v>#REF!</v>
      </c>
      <c r="F1558" s="1644" t="e">
        <f>SUMIF(#REF!,Final!A1558,#REF!)</f>
        <v>#REF!</v>
      </c>
      <c r="G1558" s="1597" t="e">
        <f t="shared" si="160"/>
        <v>#REF!</v>
      </c>
      <c r="H1558" s="1644" t="e">
        <f t="shared" si="161"/>
        <v>#REF!</v>
      </c>
      <c r="I1558" s="1597" t="e">
        <f t="shared" si="162"/>
        <v>#REF!</v>
      </c>
      <c r="J1558" s="1644" t="e">
        <f t="shared" si="163"/>
        <v>#REF!</v>
      </c>
      <c r="K1558" s="1539"/>
      <c r="L1558" s="1539"/>
      <c r="M1558" s="1545"/>
      <c r="N1558" s="1545"/>
      <c r="O1558" s="1539"/>
      <c r="P1558" s="1539"/>
      <c r="Q1558" s="1539"/>
      <c r="R1558" s="1539"/>
      <c r="S1558" s="1539"/>
      <c r="T1558" s="1539"/>
      <c r="U1558" s="1539"/>
      <c r="V1558" s="1539"/>
      <c r="W1558" s="1539"/>
      <c r="X1558" s="1539"/>
      <c r="Y1558" s="1539"/>
      <c r="Z1558" s="1539"/>
      <c r="AA1558" s="1539"/>
      <c r="AB1558" s="1539"/>
      <c r="AC1558" s="1539"/>
      <c r="AD1558" s="1539"/>
      <c r="AE1558" s="1539"/>
      <c r="AF1558" s="1539"/>
      <c r="AG1558" s="1539"/>
      <c r="AH1558" s="1539"/>
      <c r="AI1558" s="1539"/>
      <c r="AJ1558" s="1539"/>
      <c r="AK1558" s="1539"/>
      <c r="AL1558" s="1539"/>
      <c r="AM1558" s="1539"/>
      <c r="AN1558" s="1539"/>
      <c r="AO1558" s="1539"/>
      <c r="AP1558" s="1539"/>
      <c r="AQ1558" s="1539"/>
      <c r="AR1558" s="1539"/>
      <c r="AS1558" s="1539"/>
      <c r="AT1558" s="1539"/>
      <c r="AU1558" s="1539"/>
      <c r="AV1558" s="1539"/>
      <c r="AW1558" s="1539"/>
      <c r="AX1558" s="1539"/>
      <c r="AY1558" s="1539"/>
      <c r="AZ1558" s="1539"/>
      <c r="BA1558" s="1539"/>
      <c r="BB1558" s="1539"/>
      <c r="BC1558" s="1539"/>
      <c r="BD1558" s="1539"/>
      <c r="BE1558" s="1539"/>
      <c r="BF1558" s="1539"/>
      <c r="BG1558" s="1539"/>
      <c r="BH1558" s="1539"/>
      <c r="BI1558" s="1539"/>
      <c r="BJ1558" s="1539"/>
      <c r="BK1558" s="1539"/>
      <c r="BL1558" s="1539"/>
      <c r="BM1558" s="1539"/>
      <c r="BN1558" s="1539"/>
      <c r="BO1558" s="1539"/>
      <c r="BP1558" s="1539"/>
      <c r="BQ1558" s="1539"/>
      <c r="BR1558" s="1539"/>
      <c r="BS1558" s="1539"/>
      <c r="BT1558" s="1539"/>
      <c r="BU1558" s="1539"/>
      <c r="BV1558" s="1539"/>
      <c r="BW1558" s="1539"/>
      <c r="BX1558" s="1539"/>
      <c r="BY1558" s="1539"/>
      <c r="BZ1558" s="1539"/>
      <c r="CA1558" s="1539"/>
      <c r="CB1558" s="1539"/>
      <c r="CC1558" s="1539"/>
      <c r="CD1558" s="1539"/>
      <c r="CE1558" s="1539"/>
      <c r="CF1558" s="1539"/>
      <c r="CG1558" s="1539"/>
      <c r="CH1558" s="1539"/>
      <c r="CI1558" s="1539"/>
      <c r="CJ1558" s="1539"/>
      <c r="CK1558" s="1539"/>
      <c r="CL1558" s="1539"/>
      <c r="CM1558" s="1539"/>
      <c r="CN1558" s="1539"/>
      <c r="CO1558" s="1539"/>
    </row>
    <row r="1559" spans="1:93" ht="15.5">
      <c r="A1559" s="1598">
        <v>28.93</v>
      </c>
      <c r="B1559" s="1599" t="s">
        <v>2909</v>
      </c>
      <c r="C1559" s="1643" t="e">
        <f>+SUMIF(#REF!,Final!A1559,#REF!)</f>
        <v>#REF!</v>
      </c>
      <c r="D1559" s="1597" t="e">
        <f>+SUMIF(#REF!,Final!A1559,#REF!)</f>
        <v>#REF!</v>
      </c>
      <c r="E1559" s="1643" t="e">
        <f>SUMIF(#REF!,Final!A1559,#REF!)</f>
        <v>#REF!</v>
      </c>
      <c r="F1559" s="1644" t="e">
        <f>SUMIF(#REF!,Final!A1559,#REF!)</f>
        <v>#REF!</v>
      </c>
      <c r="G1559" s="1597" t="e">
        <f t="shared" si="160"/>
        <v>#REF!</v>
      </c>
      <c r="H1559" s="1644" t="e">
        <f t="shared" si="161"/>
        <v>#REF!</v>
      </c>
      <c r="I1559" s="1597" t="e">
        <f t="shared" si="162"/>
        <v>#REF!</v>
      </c>
      <c r="J1559" s="1644" t="e">
        <f t="shared" si="163"/>
        <v>#REF!</v>
      </c>
      <c r="M1559" s="1545"/>
      <c r="N1559" s="1545"/>
    </row>
    <row r="1560" spans="1:93" s="1542" customFormat="1" ht="15.5">
      <c r="A1560" s="1598">
        <v>28.931999999999999</v>
      </c>
      <c r="B1560" s="1599" t="s">
        <v>2910</v>
      </c>
      <c r="C1560" s="1643" t="e">
        <f>+SUMIF(#REF!,Final!A1560,#REF!)</f>
        <v>#REF!</v>
      </c>
      <c r="D1560" s="1597" t="e">
        <f>+SUMIF(#REF!,Final!A1560,#REF!)</f>
        <v>#REF!</v>
      </c>
      <c r="E1560" s="1643" t="e">
        <f>SUMIF(#REF!,Final!A1560,#REF!)</f>
        <v>#REF!</v>
      </c>
      <c r="F1560" s="1644" t="e">
        <f>SUMIF(#REF!,Final!A1560,#REF!)</f>
        <v>#REF!</v>
      </c>
      <c r="G1560" s="1597" t="e">
        <f t="shared" si="160"/>
        <v>#REF!</v>
      </c>
      <c r="H1560" s="1644" t="e">
        <f t="shared" si="161"/>
        <v>#REF!</v>
      </c>
      <c r="I1560" s="1597" t="e">
        <f t="shared" si="162"/>
        <v>#REF!</v>
      </c>
      <c r="J1560" s="1644" t="e">
        <f t="shared" si="163"/>
        <v>#REF!</v>
      </c>
      <c r="K1560" s="1539"/>
      <c r="L1560" s="1539"/>
      <c r="M1560" s="1545"/>
      <c r="N1560" s="1545"/>
      <c r="O1560" s="1539"/>
      <c r="P1560" s="1539"/>
      <c r="Q1560" s="1539"/>
      <c r="R1560" s="1539"/>
      <c r="S1560" s="1539"/>
      <c r="T1560" s="1539"/>
      <c r="U1560" s="1539"/>
      <c r="V1560" s="1539"/>
      <c r="W1560" s="1539"/>
      <c r="X1560" s="1539"/>
      <c r="Y1560" s="1539"/>
      <c r="Z1560" s="1539"/>
      <c r="AA1560" s="1539"/>
      <c r="AB1560" s="1539"/>
      <c r="AC1560" s="1539"/>
      <c r="AD1560" s="1539"/>
      <c r="AE1560" s="1539"/>
      <c r="AF1560" s="1539"/>
      <c r="AG1560" s="1539"/>
      <c r="AH1560" s="1539"/>
      <c r="AI1560" s="1539"/>
      <c r="AJ1560" s="1539"/>
      <c r="AK1560" s="1539"/>
      <c r="AL1560" s="1539"/>
      <c r="AM1560" s="1539"/>
      <c r="AN1560" s="1539"/>
      <c r="AO1560" s="1539"/>
      <c r="AP1560" s="1539"/>
      <c r="AQ1560" s="1539"/>
      <c r="AR1560" s="1539"/>
      <c r="AS1560" s="1539"/>
      <c r="AT1560" s="1539"/>
      <c r="AU1560" s="1539"/>
      <c r="AV1560" s="1539"/>
      <c r="AW1560" s="1539"/>
      <c r="AX1560" s="1539"/>
      <c r="AY1560" s="1539"/>
      <c r="AZ1560" s="1539"/>
      <c r="BA1560" s="1539"/>
      <c r="BB1560" s="1539"/>
      <c r="BC1560" s="1539"/>
      <c r="BD1560" s="1539"/>
      <c r="BE1560" s="1539"/>
      <c r="BF1560" s="1539"/>
      <c r="BG1560" s="1539"/>
      <c r="BH1560" s="1539"/>
      <c r="BI1560" s="1539"/>
      <c r="BJ1560" s="1539"/>
      <c r="BK1560" s="1539"/>
      <c r="BL1560" s="1539"/>
      <c r="BM1560" s="1539"/>
      <c r="BN1560" s="1539"/>
      <c r="BO1560" s="1539"/>
      <c r="BP1560" s="1539"/>
      <c r="BQ1560" s="1539"/>
      <c r="BR1560" s="1539"/>
      <c r="BS1560" s="1539"/>
      <c r="BT1560" s="1539"/>
      <c r="BU1560" s="1539"/>
      <c r="BV1560" s="1539"/>
      <c r="BW1560" s="1539"/>
      <c r="BX1560" s="1539"/>
      <c r="BY1560" s="1539"/>
      <c r="BZ1560" s="1539"/>
      <c r="CA1560" s="1539"/>
      <c r="CB1560" s="1539"/>
      <c r="CC1560" s="1539"/>
      <c r="CD1560" s="1539"/>
      <c r="CE1560" s="1539"/>
      <c r="CF1560" s="1539"/>
      <c r="CG1560" s="1539"/>
      <c r="CH1560" s="1539"/>
      <c r="CI1560" s="1539"/>
      <c r="CJ1560" s="1539"/>
      <c r="CK1560" s="1539"/>
      <c r="CL1560" s="1539"/>
      <c r="CM1560" s="1539"/>
      <c r="CN1560" s="1539"/>
      <c r="CO1560" s="1539"/>
    </row>
    <row r="1561" spans="1:93" s="1542" customFormat="1" ht="15.5">
      <c r="A1561" s="1598">
        <v>28.94</v>
      </c>
      <c r="B1561" s="1599" t="s">
        <v>2911</v>
      </c>
      <c r="C1561" s="1643" t="e">
        <f>+SUMIF(#REF!,Final!A1561,#REF!)</f>
        <v>#REF!</v>
      </c>
      <c r="D1561" s="1597" t="e">
        <f>+SUMIF(#REF!,Final!A1561,#REF!)</f>
        <v>#REF!</v>
      </c>
      <c r="E1561" s="1643" t="e">
        <f>SUMIF(#REF!,Final!A1561,#REF!)</f>
        <v>#REF!</v>
      </c>
      <c r="F1561" s="1644" t="e">
        <f>SUMIF(#REF!,Final!A1561,#REF!)</f>
        <v>#REF!</v>
      </c>
      <c r="G1561" s="1597" t="e">
        <f t="shared" si="160"/>
        <v>#REF!</v>
      </c>
      <c r="H1561" s="1644" t="e">
        <f t="shared" si="161"/>
        <v>#REF!</v>
      </c>
      <c r="I1561" s="1597" t="e">
        <f t="shared" si="162"/>
        <v>#REF!</v>
      </c>
      <c r="J1561" s="1644" t="e">
        <f t="shared" si="163"/>
        <v>#REF!</v>
      </c>
      <c r="K1561" s="1539"/>
      <c r="L1561" s="1539"/>
      <c r="M1561" s="1545"/>
      <c r="N1561" s="1545"/>
      <c r="O1561" s="1539"/>
      <c r="P1561" s="1539"/>
      <c r="Q1561" s="1539"/>
      <c r="R1561" s="1539"/>
      <c r="S1561" s="1539"/>
      <c r="T1561" s="1539"/>
      <c r="U1561" s="1539"/>
      <c r="V1561" s="1539"/>
      <c r="W1561" s="1539"/>
      <c r="X1561" s="1539"/>
      <c r="Y1561" s="1539"/>
      <c r="Z1561" s="1539"/>
      <c r="AA1561" s="1539"/>
      <c r="AB1561" s="1539"/>
      <c r="AC1561" s="1539"/>
      <c r="AD1561" s="1539"/>
      <c r="AE1561" s="1539"/>
      <c r="AF1561" s="1539"/>
      <c r="AG1561" s="1539"/>
      <c r="AH1561" s="1539"/>
      <c r="AI1561" s="1539"/>
      <c r="AJ1561" s="1539"/>
      <c r="AK1561" s="1539"/>
      <c r="AL1561" s="1539"/>
      <c r="AM1561" s="1539"/>
      <c r="AN1561" s="1539"/>
      <c r="AO1561" s="1539"/>
      <c r="AP1561" s="1539"/>
      <c r="AQ1561" s="1539"/>
      <c r="AR1561" s="1539"/>
      <c r="AS1561" s="1539"/>
      <c r="AT1561" s="1539"/>
      <c r="AU1561" s="1539"/>
      <c r="AV1561" s="1539"/>
      <c r="AW1561" s="1539"/>
      <c r="AX1561" s="1539"/>
      <c r="AY1561" s="1539"/>
      <c r="AZ1561" s="1539"/>
      <c r="BA1561" s="1539"/>
      <c r="BB1561" s="1539"/>
      <c r="BC1561" s="1539"/>
      <c r="BD1561" s="1539"/>
      <c r="BE1561" s="1539"/>
      <c r="BF1561" s="1539"/>
      <c r="BG1561" s="1539"/>
      <c r="BH1561" s="1539"/>
      <c r="BI1561" s="1539"/>
      <c r="BJ1561" s="1539"/>
      <c r="BK1561" s="1539"/>
      <c r="BL1561" s="1539"/>
      <c r="BM1561" s="1539"/>
      <c r="BN1561" s="1539"/>
      <c r="BO1561" s="1539"/>
      <c r="BP1561" s="1539"/>
      <c r="BQ1561" s="1539"/>
      <c r="BR1561" s="1539"/>
      <c r="BS1561" s="1539"/>
      <c r="BT1561" s="1539"/>
      <c r="BU1561" s="1539"/>
      <c r="BV1561" s="1539"/>
      <c r="BW1561" s="1539"/>
      <c r="BX1561" s="1539"/>
      <c r="BY1561" s="1539"/>
      <c r="BZ1561" s="1539"/>
      <c r="CA1561" s="1539"/>
      <c r="CB1561" s="1539"/>
      <c r="CC1561" s="1539"/>
      <c r="CD1561" s="1539"/>
      <c r="CE1561" s="1539"/>
      <c r="CF1561" s="1539"/>
      <c r="CG1561" s="1539"/>
      <c r="CH1561" s="1539"/>
      <c r="CI1561" s="1539"/>
      <c r="CJ1561" s="1539"/>
      <c r="CK1561" s="1539"/>
      <c r="CL1561" s="1539"/>
      <c r="CM1561" s="1539"/>
      <c r="CN1561" s="1539"/>
      <c r="CO1561" s="1539"/>
    </row>
    <row r="1562" spans="1:93" s="1552" customFormat="1" ht="15.5">
      <c r="A1562" s="1598"/>
      <c r="B1562" s="1599" t="s">
        <v>1747</v>
      </c>
      <c r="C1562" s="1643" t="e">
        <f>+SUMIF(#REF!,Final!A1562,#REF!)</f>
        <v>#REF!</v>
      </c>
      <c r="D1562" s="1597" t="e">
        <f>+SUMIF(#REF!,Final!A1562,#REF!)</f>
        <v>#REF!</v>
      </c>
      <c r="E1562" s="1643" t="e">
        <f>SUMIF(#REF!,Final!A1562,#REF!)</f>
        <v>#REF!</v>
      </c>
      <c r="F1562" s="1644" t="e">
        <f>SUMIF(#REF!,Final!A1562,#REF!)</f>
        <v>#REF!</v>
      </c>
      <c r="G1562" s="1597" t="e">
        <f t="shared" si="160"/>
        <v>#REF!</v>
      </c>
      <c r="H1562" s="1644" t="e">
        <f t="shared" si="161"/>
        <v>#REF!</v>
      </c>
      <c r="I1562" s="1597" t="e">
        <f t="shared" si="162"/>
        <v>#REF!</v>
      </c>
      <c r="J1562" s="1644" t="e">
        <f t="shared" si="163"/>
        <v>#REF!</v>
      </c>
      <c r="K1562" s="1539"/>
      <c r="L1562" s="1539"/>
      <c r="M1562" s="1545"/>
      <c r="N1562" s="1545"/>
      <c r="O1562" s="1539"/>
      <c r="P1562" s="1539"/>
      <c r="Q1562" s="1539"/>
      <c r="R1562" s="1539"/>
      <c r="S1562" s="1539"/>
      <c r="T1562" s="1539"/>
      <c r="U1562" s="1539"/>
      <c r="V1562" s="1539"/>
      <c r="W1562" s="1539"/>
      <c r="X1562" s="1539"/>
      <c r="Y1562" s="1539"/>
      <c r="Z1562" s="1539"/>
      <c r="AA1562" s="1539"/>
      <c r="AB1562" s="1539"/>
      <c r="AC1562" s="1539"/>
      <c r="AD1562" s="1539"/>
      <c r="AE1562" s="1539"/>
      <c r="AF1562" s="1539"/>
      <c r="AG1562" s="1539"/>
      <c r="AH1562" s="1539"/>
      <c r="AI1562" s="1539"/>
      <c r="AJ1562" s="1539"/>
      <c r="AK1562" s="1539"/>
      <c r="AL1562" s="1539"/>
      <c r="AM1562" s="1539"/>
      <c r="AN1562" s="1539"/>
      <c r="AO1562" s="1539"/>
      <c r="AP1562" s="1539"/>
      <c r="AQ1562" s="1539"/>
      <c r="AR1562" s="1539"/>
      <c r="AS1562" s="1539"/>
      <c r="AT1562" s="1539"/>
      <c r="AU1562" s="1539"/>
      <c r="AV1562" s="1539"/>
      <c r="AW1562" s="1539"/>
      <c r="AX1562" s="1539"/>
      <c r="AY1562" s="1539"/>
      <c r="AZ1562" s="1539"/>
      <c r="BA1562" s="1539"/>
      <c r="BB1562" s="1539"/>
      <c r="BC1562" s="1539"/>
      <c r="BD1562" s="1539"/>
      <c r="BE1562" s="1539"/>
      <c r="BF1562" s="1539"/>
      <c r="BG1562" s="1539"/>
      <c r="BH1562" s="1539"/>
      <c r="BI1562" s="1539"/>
      <c r="BJ1562" s="1539"/>
      <c r="BK1562" s="1539"/>
      <c r="BL1562" s="1539"/>
      <c r="BM1562" s="1539"/>
      <c r="BN1562" s="1539"/>
      <c r="BO1562" s="1539"/>
      <c r="BP1562" s="1539"/>
      <c r="BQ1562" s="1539"/>
      <c r="BR1562" s="1539"/>
      <c r="BS1562" s="1539"/>
      <c r="BT1562" s="1539"/>
      <c r="BU1562" s="1539"/>
      <c r="BV1562" s="1539"/>
      <c r="BW1562" s="1539"/>
      <c r="BX1562" s="1539"/>
      <c r="BY1562" s="1539"/>
      <c r="BZ1562" s="1539"/>
      <c r="CA1562" s="1539"/>
      <c r="CB1562" s="1539"/>
      <c r="CC1562" s="1539"/>
      <c r="CD1562" s="1539"/>
      <c r="CE1562" s="1539"/>
      <c r="CF1562" s="1539"/>
      <c r="CG1562" s="1539"/>
      <c r="CH1562" s="1539"/>
      <c r="CI1562" s="1539"/>
      <c r="CJ1562" s="1539"/>
      <c r="CK1562" s="1539"/>
      <c r="CL1562" s="1539"/>
      <c r="CM1562" s="1539"/>
      <c r="CN1562" s="1539"/>
      <c r="CO1562" s="1539"/>
    </row>
    <row r="1563" spans="1:93" s="1552" customFormat="1" ht="15.5">
      <c r="A1563" s="1598" t="s">
        <v>2912</v>
      </c>
      <c r="B1563" s="1599" t="s">
        <v>2913</v>
      </c>
      <c r="C1563" s="1643" t="e">
        <f>+SUMIF(#REF!,Final!A1563,#REF!)</f>
        <v>#REF!</v>
      </c>
      <c r="D1563" s="1597" t="e">
        <f>+SUMIF(#REF!,Final!A1563,#REF!)</f>
        <v>#REF!</v>
      </c>
      <c r="E1563" s="1643" t="e">
        <f>SUMIF(#REF!,Final!A1563,#REF!)</f>
        <v>#REF!</v>
      </c>
      <c r="F1563" s="1644" t="e">
        <f>SUMIF(#REF!,Final!A1563,#REF!)</f>
        <v>#REF!</v>
      </c>
      <c r="G1563" s="1597" t="e">
        <f t="shared" si="160"/>
        <v>#REF!</v>
      </c>
      <c r="H1563" s="1644" t="e">
        <f t="shared" si="161"/>
        <v>#REF!</v>
      </c>
      <c r="I1563" s="1597" t="e">
        <f t="shared" si="162"/>
        <v>#REF!</v>
      </c>
      <c r="J1563" s="1644" t="e">
        <f t="shared" si="163"/>
        <v>#REF!</v>
      </c>
      <c r="K1563" s="1539"/>
      <c r="L1563" s="1539"/>
      <c r="M1563" s="1545"/>
      <c r="N1563" s="1545"/>
      <c r="O1563" s="1539"/>
      <c r="P1563" s="1539"/>
      <c r="Q1563" s="1539"/>
      <c r="R1563" s="1539"/>
      <c r="S1563" s="1539"/>
      <c r="T1563" s="1539"/>
      <c r="U1563" s="1539"/>
      <c r="V1563" s="1539"/>
      <c r="W1563" s="1539"/>
      <c r="X1563" s="1539"/>
      <c r="Y1563" s="1539"/>
      <c r="Z1563" s="1539"/>
      <c r="AA1563" s="1539"/>
      <c r="AB1563" s="1539"/>
      <c r="AC1563" s="1539"/>
      <c r="AD1563" s="1539"/>
      <c r="AE1563" s="1539"/>
      <c r="AF1563" s="1539"/>
      <c r="AG1563" s="1539"/>
      <c r="AH1563" s="1539"/>
      <c r="AI1563" s="1539"/>
      <c r="AJ1563" s="1539"/>
      <c r="AK1563" s="1539"/>
      <c r="AL1563" s="1539"/>
      <c r="AM1563" s="1539"/>
      <c r="AN1563" s="1539"/>
      <c r="AO1563" s="1539"/>
      <c r="AP1563" s="1539"/>
      <c r="AQ1563" s="1539"/>
      <c r="AR1563" s="1539"/>
      <c r="AS1563" s="1539"/>
      <c r="AT1563" s="1539"/>
      <c r="AU1563" s="1539"/>
      <c r="AV1563" s="1539"/>
      <c r="AW1563" s="1539"/>
      <c r="AX1563" s="1539"/>
      <c r="AY1563" s="1539"/>
      <c r="AZ1563" s="1539"/>
      <c r="BA1563" s="1539"/>
      <c r="BB1563" s="1539"/>
      <c r="BC1563" s="1539"/>
      <c r="BD1563" s="1539"/>
      <c r="BE1563" s="1539"/>
      <c r="BF1563" s="1539"/>
      <c r="BG1563" s="1539"/>
      <c r="BH1563" s="1539"/>
      <c r="BI1563" s="1539"/>
      <c r="BJ1563" s="1539"/>
      <c r="BK1563" s="1539"/>
      <c r="BL1563" s="1539"/>
      <c r="BM1563" s="1539"/>
      <c r="BN1563" s="1539"/>
      <c r="BO1563" s="1539"/>
      <c r="BP1563" s="1539"/>
      <c r="BQ1563" s="1539"/>
      <c r="BR1563" s="1539"/>
      <c r="BS1563" s="1539"/>
      <c r="BT1563" s="1539"/>
      <c r="BU1563" s="1539"/>
      <c r="BV1563" s="1539"/>
      <c r="BW1563" s="1539"/>
      <c r="BX1563" s="1539"/>
      <c r="BY1563" s="1539"/>
      <c r="BZ1563" s="1539"/>
      <c r="CA1563" s="1539"/>
      <c r="CB1563" s="1539"/>
      <c r="CC1563" s="1539"/>
      <c r="CD1563" s="1539"/>
      <c r="CE1563" s="1539"/>
      <c r="CF1563" s="1539"/>
      <c r="CG1563" s="1539"/>
      <c r="CH1563" s="1539"/>
      <c r="CI1563" s="1539"/>
      <c r="CJ1563" s="1539"/>
      <c r="CK1563" s="1539"/>
      <c r="CL1563" s="1539"/>
      <c r="CM1563" s="1539"/>
      <c r="CN1563" s="1539"/>
      <c r="CO1563" s="1539"/>
    </row>
    <row r="1564" spans="1:93" s="1552" customFormat="1" ht="15.5">
      <c r="A1564" s="1598"/>
      <c r="B1564" s="1599" t="s">
        <v>3406</v>
      </c>
      <c r="C1564" s="1643" t="e">
        <f>+SUMIF(#REF!,Final!A1564,#REF!)</f>
        <v>#REF!</v>
      </c>
      <c r="D1564" s="1597" t="e">
        <f>+SUMIF(#REF!,Final!A1564,#REF!)</f>
        <v>#REF!</v>
      </c>
      <c r="E1564" s="1643" t="e">
        <f>SUMIF(#REF!,Final!A1564,#REF!)</f>
        <v>#REF!</v>
      </c>
      <c r="F1564" s="1644" t="e">
        <f>SUMIF(#REF!,Final!A1564,#REF!)</f>
        <v>#REF!</v>
      </c>
      <c r="G1564" s="1597" t="e">
        <f t="shared" si="160"/>
        <v>#REF!</v>
      </c>
      <c r="H1564" s="1644" t="e">
        <f t="shared" si="161"/>
        <v>#REF!</v>
      </c>
      <c r="I1564" s="1597" t="e">
        <f t="shared" si="162"/>
        <v>#REF!</v>
      </c>
      <c r="J1564" s="1644" t="e">
        <f t="shared" si="163"/>
        <v>#REF!</v>
      </c>
      <c r="K1564" s="1539"/>
      <c r="L1564" s="1539"/>
      <c r="M1564" s="1545"/>
      <c r="N1564" s="1545"/>
      <c r="O1564" s="1539"/>
      <c r="P1564" s="1539"/>
      <c r="Q1564" s="1539"/>
      <c r="R1564" s="1539"/>
      <c r="S1564" s="1539"/>
      <c r="T1564" s="1539"/>
      <c r="U1564" s="1539"/>
      <c r="V1564" s="1539"/>
      <c r="W1564" s="1539"/>
      <c r="X1564" s="1539"/>
      <c r="Y1564" s="1539"/>
      <c r="Z1564" s="1539"/>
      <c r="AA1564" s="1539"/>
      <c r="AB1564" s="1539"/>
      <c r="AC1564" s="1539"/>
      <c r="AD1564" s="1539"/>
      <c r="AE1564" s="1539"/>
      <c r="AF1564" s="1539"/>
      <c r="AG1564" s="1539"/>
      <c r="AH1564" s="1539"/>
      <c r="AI1564" s="1539"/>
      <c r="AJ1564" s="1539"/>
      <c r="AK1564" s="1539"/>
      <c r="AL1564" s="1539"/>
      <c r="AM1564" s="1539"/>
      <c r="AN1564" s="1539"/>
      <c r="AO1564" s="1539"/>
      <c r="AP1564" s="1539"/>
      <c r="AQ1564" s="1539"/>
      <c r="AR1564" s="1539"/>
      <c r="AS1564" s="1539"/>
      <c r="AT1564" s="1539"/>
      <c r="AU1564" s="1539"/>
      <c r="AV1564" s="1539"/>
      <c r="AW1564" s="1539"/>
      <c r="AX1564" s="1539"/>
      <c r="AY1564" s="1539"/>
      <c r="AZ1564" s="1539"/>
      <c r="BA1564" s="1539"/>
      <c r="BB1564" s="1539"/>
      <c r="BC1564" s="1539"/>
      <c r="BD1564" s="1539"/>
      <c r="BE1564" s="1539"/>
      <c r="BF1564" s="1539"/>
      <c r="BG1564" s="1539"/>
      <c r="BH1564" s="1539"/>
      <c r="BI1564" s="1539"/>
      <c r="BJ1564" s="1539"/>
      <c r="BK1564" s="1539"/>
      <c r="BL1564" s="1539"/>
      <c r="BM1564" s="1539"/>
      <c r="BN1564" s="1539"/>
      <c r="BO1564" s="1539"/>
      <c r="BP1564" s="1539"/>
      <c r="BQ1564" s="1539"/>
      <c r="BR1564" s="1539"/>
      <c r="BS1564" s="1539"/>
      <c r="BT1564" s="1539"/>
      <c r="BU1564" s="1539"/>
      <c r="BV1564" s="1539"/>
      <c r="BW1564" s="1539"/>
      <c r="BX1564" s="1539"/>
      <c r="BY1564" s="1539"/>
      <c r="BZ1564" s="1539"/>
      <c r="CA1564" s="1539"/>
      <c r="CB1564" s="1539"/>
      <c r="CC1564" s="1539"/>
      <c r="CD1564" s="1539"/>
      <c r="CE1564" s="1539"/>
      <c r="CF1564" s="1539"/>
      <c r="CG1564" s="1539"/>
      <c r="CH1564" s="1539"/>
      <c r="CI1564" s="1539"/>
      <c r="CJ1564" s="1539"/>
      <c r="CK1564" s="1539"/>
      <c r="CL1564" s="1539"/>
      <c r="CM1564" s="1539"/>
      <c r="CN1564" s="1539"/>
      <c r="CO1564" s="1539"/>
    </row>
    <row r="1565" spans="1:93" s="1542" customFormat="1" ht="15.5">
      <c r="A1565" s="1598">
        <v>10</v>
      </c>
      <c r="B1565" s="1599" t="s">
        <v>3407</v>
      </c>
      <c r="C1565" s="1643" t="e">
        <f>+SUMIF(#REF!,Final!A1565,#REF!)</f>
        <v>#REF!</v>
      </c>
      <c r="D1565" s="1597" t="e">
        <f>+SUMIF(#REF!,Final!A1565,#REF!)</f>
        <v>#REF!</v>
      </c>
      <c r="E1565" s="1643" t="e">
        <f>SUMIF(#REF!,Final!A1565,#REF!)</f>
        <v>#REF!</v>
      </c>
      <c r="F1565" s="1644" t="e">
        <f>SUMIF(#REF!,Final!A1565,#REF!)</f>
        <v>#REF!</v>
      </c>
      <c r="G1565" s="1597" t="e">
        <f t="shared" si="160"/>
        <v>#REF!</v>
      </c>
      <c r="H1565" s="1644" t="e">
        <f t="shared" si="161"/>
        <v>#REF!</v>
      </c>
      <c r="I1565" s="1597" t="e">
        <f t="shared" si="162"/>
        <v>#REF!</v>
      </c>
      <c r="J1565" s="1644" t="e">
        <f t="shared" si="163"/>
        <v>#REF!</v>
      </c>
      <c r="K1565" s="1539"/>
      <c r="L1565" s="1539"/>
      <c r="M1565" s="1545"/>
      <c r="N1565" s="1545"/>
      <c r="O1565" s="1539"/>
      <c r="P1565" s="1539"/>
      <c r="Q1565" s="1539"/>
      <c r="R1565" s="1539"/>
      <c r="S1565" s="1539"/>
      <c r="T1565" s="1539"/>
      <c r="U1565" s="1539"/>
      <c r="V1565" s="1539"/>
      <c r="W1565" s="1539"/>
      <c r="X1565" s="1539"/>
      <c r="Y1565" s="1539"/>
      <c r="Z1565" s="1539"/>
      <c r="AA1565" s="1539"/>
      <c r="AB1565" s="1539"/>
      <c r="AC1565" s="1539"/>
      <c r="AD1565" s="1539"/>
      <c r="AE1565" s="1539"/>
      <c r="AF1565" s="1539"/>
      <c r="AG1565" s="1539"/>
      <c r="AH1565" s="1539"/>
      <c r="AI1565" s="1539"/>
      <c r="AJ1565" s="1539"/>
      <c r="AK1565" s="1539"/>
      <c r="AL1565" s="1539"/>
      <c r="AM1565" s="1539"/>
      <c r="AN1565" s="1539"/>
      <c r="AO1565" s="1539"/>
      <c r="AP1565" s="1539"/>
      <c r="AQ1565" s="1539"/>
      <c r="AR1565" s="1539"/>
      <c r="AS1565" s="1539"/>
      <c r="AT1565" s="1539"/>
      <c r="AU1565" s="1539"/>
      <c r="AV1565" s="1539"/>
      <c r="AW1565" s="1539"/>
      <c r="AX1565" s="1539"/>
      <c r="AY1565" s="1539"/>
      <c r="AZ1565" s="1539"/>
      <c r="BA1565" s="1539"/>
      <c r="BB1565" s="1539"/>
      <c r="BC1565" s="1539"/>
      <c r="BD1565" s="1539"/>
      <c r="BE1565" s="1539"/>
      <c r="BF1565" s="1539"/>
      <c r="BG1565" s="1539"/>
      <c r="BH1565" s="1539"/>
      <c r="BI1565" s="1539"/>
      <c r="BJ1565" s="1539"/>
      <c r="BK1565" s="1539"/>
      <c r="BL1565" s="1539"/>
      <c r="BM1565" s="1539"/>
      <c r="BN1565" s="1539"/>
      <c r="BO1565" s="1539"/>
      <c r="BP1565" s="1539"/>
      <c r="BQ1565" s="1539"/>
      <c r="BR1565" s="1539"/>
      <c r="BS1565" s="1539"/>
      <c r="BT1565" s="1539"/>
      <c r="BU1565" s="1539"/>
      <c r="BV1565" s="1539"/>
      <c r="BW1565" s="1539"/>
      <c r="BX1565" s="1539"/>
      <c r="BY1565" s="1539"/>
      <c r="BZ1565" s="1539"/>
      <c r="CA1565" s="1539"/>
      <c r="CB1565" s="1539"/>
      <c r="CC1565" s="1539"/>
      <c r="CD1565" s="1539"/>
      <c r="CE1565" s="1539"/>
      <c r="CF1565" s="1539"/>
      <c r="CG1565" s="1539"/>
      <c r="CH1565" s="1539"/>
      <c r="CI1565" s="1539"/>
      <c r="CJ1565" s="1539"/>
      <c r="CK1565" s="1539"/>
      <c r="CL1565" s="1539"/>
      <c r="CM1565" s="1539"/>
      <c r="CN1565" s="1539"/>
      <c r="CO1565" s="1539"/>
    </row>
    <row r="1566" spans="1:93" ht="15.5">
      <c r="A1566" s="1598">
        <v>29.001000000000001</v>
      </c>
      <c r="B1566" s="1599" t="s">
        <v>3408</v>
      </c>
      <c r="C1566" s="1643" t="e">
        <f>+SUMIF(#REF!,Final!A1566,#REF!)</f>
        <v>#REF!</v>
      </c>
      <c r="D1566" s="1597" t="e">
        <f>+SUMIF(#REF!,Final!A1566,#REF!)</f>
        <v>#REF!</v>
      </c>
      <c r="E1566" s="1643" t="e">
        <f>SUMIF(#REF!,Final!A1566,#REF!)</f>
        <v>#REF!</v>
      </c>
      <c r="F1566" s="1644" t="e">
        <f>SUMIF(#REF!,Final!A1566,#REF!)</f>
        <v>#REF!</v>
      </c>
      <c r="G1566" s="1597" t="e">
        <f t="shared" si="160"/>
        <v>#REF!</v>
      </c>
      <c r="H1566" s="1644" t="e">
        <f t="shared" si="161"/>
        <v>#REF!</v>
      </c>
      <c r="I1566" s="1597" t="e">
        <f t="shared" si="162"/>
        <v>#REF!</v>
      </c>
      <c r="J1566" s="1644" t="e">
        <f t="shared" si="163"/>
        <v>#REF!</v>
      </c>
      <c r="M1566" s="1545"/>
      <c r="N1566" s="1545"/>
    </row>
    <row r="1567" spans="1:93" s="1552" customFormat="1" ht="15.5">
      <c r="A1567" s="1598"/>
      <c r="B1567" s="1599" t="s">
        <v>3409</v>
      </c>
      <c r="C1567" s="1643" t="e">
        <f>+SUMIF(#REF!,Final!A1567,#REF!)</f>
        <v>#REF!</v>
      </c>
      <c r="D1567" s="1597" t="e">
        <f>+SUMIF(#REF!,Final!A1567,#REF!)</f>
        <v>#REF!</v>
      </c>
      <c r="E1567" s="1643" t="e">
        <f>SUMIF(#REF!,Final!A1567,#REF!)</f>
        <v>#REF!</v>
      </c>
      <c r="F1567" s="1644" t="e">
        <f>SUMIF(#REF!,Final!A1567,#REF!)</f>
        <v>#REF!</v>
      </c>
      <c r="G1567" s="1597" t="e">
        <f t="shared" si="160"/>
        <v>#REF!</v>
      </c>
      <c r="H1567" s="1644" t="e">
        <f t="shared" si="161"/>
        <v>#REF!</v>
      </c>
      <c r="I1567" s="1597" t="e">
        <f t="shared" si="162"/>
        <v>#REF!</v>
      </c>
      <c r="J1567" s="1644" t="e">
        <f t="shared" si="163"/>
        <v>#REF!</v>
      </c>
      <c r="K1567" s="1539"/>
      <c r="L1567" s="1539"/>
      <c r="M1567" s="1545"/>
      <c r="N1567" s="1545"/>
      <c r="O1567" s="1539"/>
      <c r="P1567" s="1539"/>
      <c r="Q1567" s="1539"/>
      <c r="R1567" s="1539"/>
      <c r="S1567" s="1539"/>
      <c r="T1567" s="1539"/>
      <c r="U1567" s="1539"/>
      <c r="V1567" s="1539"/>
      <c r="W1567" s="1539"/>
      <c r="X1567" s="1539"/>
      <c r="Y1567" s="1539"/>
      <c r="Z1567" s="1539"/>
      <c r="AA1567" s="1539"/>
      <c r="AB1567" s="1539"/>
      <c r="AC1567" s="1539"/>
      <c r="AD1567" s="1539"/>
      <c r="AE1567" s="1539"/>
      <c r="AF1567" s="1539"/>
      <c r="AG1567" s="1539"/>
      <c r="AH1567" s="1539"/>
      <c r="AI1567" s="1539"/>
      <c r="AJ1567" s="1539"/>
      <c r="AK1567" s="1539"/>
      <c r="AL1567" s="1539"/>
      <c r="AM1567" s="1539"/>
      <c r="AN1567" s="1539"/>
      <c r="AO1567" s="1539"/>
      <c r="AP1567" s="1539"/>
      <c r="AQ1567" s="1539"/>
      <c r="AR1567" s="1539"/>
      <c r="AS1567" s="1539"/>
      <c r="AT1567" s="1539"/>
      <c r="AU1567" s="1539"/>
      <c r="AV1567" s="1539"/>
      <c r="AW1567" s="1539"/>
      <c r="AX1567" s="1539"/>
      <c r="AY1567" s="1539"/>
      <c r="AZ1567" s="1539"/>
      <c r="BA1567" s="1539"/>
      <c r="BB1567" s="1539"/>
      <c r="BC1567" s="1539"/>
      <c r="BD1567" s="1539"/>
      <c r="BE1567" s="1539"/>
      <c r="BF1567" s="1539"/>
      <c r="BG1567" s="1539"/>
      <c r="BH1567" s="1539"/>
      <c r="BI1567" s="1539"/>
      <c r="BJ1567" s="1539"/>
      <c r="BK1567" s="1539"/>
      <c r="BL1567" s="1539"/>
      <c r="BM1567" s="1539"/>
      <c r="BN1567" s="1539"/>
      <c r="BO1567" s="1539"/>
      <c r="BP1567" s="1539"/>
      <c r="BQ1567" s="1539"/>
      <c r="BR1567" s="1539"/>
      <c r="BS1567" s="1539"/>
      <c r="BT1567" s="1539"/>
      <c r="BU1567" s="1539"/>
      <c r="BV1567" s="1539"/>
      <c r="BW1567" s="1539"/>
      <c r="BX1567" s="1539"/>
      <c r="BY1567" s="1539"/>
      <c r="BZ1567" s="1539"/>
      <c r="CA1567" s="1539"/>
      <c r="CB1567" s="1539"/>
      <c r="CC1567" s="1539"/>
      <c r="CD1567" s="1539"/>
      <c r="CE1567" s="1539"/>
      <c r="CF1567" s="1539"/>
      <c r="CG1567" s="1539"/>
      <c r="CH1567" s="1539"/>
      <c r="CI1567" s="1539"/>
      <c r="CJ1567" s="1539"/>
      <c r="CK1567" s="1539"/>
      <c r="CL1567" s="1539"/>
      <c r="CM1567" s="1539"/>
      <c r="CN1567" s="1539"/>
      <c r="CO1567" s="1539"/>
    </row>
    <row r="1568" spans="1:93" s="1542" customFormat="1" ht="15.5">
      <c r="A1568" s="1598">
        <v>8</v>
      </c>
      <c r="B1568" s="1599" t="s">
        <v>2828</v>
      </c>
      <c r="C1568" s="1643" t="e">
        <f>+SUMIF(#REF!,Final!A1568,#REF!)</f>
        <v>#REF!</v>
      </c>
      <c r="D1568" s="1597" t="e">
        <f>+SUMIF(#REF!,Final!A1568,#REF!)</f>
        <v>#REF!</v>
      </c>
      <c r="E1568" s="1643" t="e">
        <f>SUMIF(#REF!,Final!A1568,#REF!)</f>
        <v>#REF!</v>
      </c>
      <c r="F1568" s="1644" t="e">
        <f>SUMIF(#REF!,Final!A1568,#REF!)</f>
        <v>#REF!</v>
      </c>
      <c r="G1568" s="1597" t="e">
        <f t="shared" si="160"/>
        <v>#REF!</v>
      </c>
      <c r="H1568" s="1644" t="e">
        <f t="shared" si="161"/>
        <v>#REF!</v>
      </c>
      <c r="I1568" s="1597" t="e">
        <f t="shared" si="162"/>
        <v>#REF!</v>
      </c>
      <c r="J1568" s="1644" t="e">
        <f t="shared" si="163"/>
        <v>#REF!</v>
      </c>
      <c r="K1568" s="1539"/>
      <c r="L1568" s="1539"/>
      <c r="M1568" s="1545"/>
      <c r="N1568" s="1545"/>
      <c r="O1568" s="1539"/>
      <c r="P1568" s="1539"/>
      <c r="Q1568" s="1539"/>
      <c r="R1568" s="1539"/>
      <c r="S1568" s="1539"/>
      <c r="T1568" s="1539"/>
      <c r="U1568" s="1539"/>
      <c r="V1568" s="1539"/>
      <c r="W1568" s="1539"/>
      <c r="X1568" s="1539"/>
      <c r="Y1568" s="1539"/>
      <c r="Z1568" s="1539"/>
      <c r="AA1568" s="1539"/>
      <c r="AB1568" s="1539"/>
      <c r="AC1568" s="1539"/>
      <c r="AD1568" s="1539"/>
      <c r="AE1568" s="1539"/>
      <c r="AF1568" s="1539"/>
      <c r="AG1568" s="1539"/>
      <c r="AH1568" s="1539"/>
      <c r="AI1568" s="1539"/>
      <c r="AJ1568" s="1539"/>
      <c r="AK1568" s="1539"/>
      <c r="AL1568" s="1539"/>
      <c r="AM1568" s="1539"/>
      <c r="AN1568" s="1539"/>
      <c r="AO1568" s="1539"/>
      <c r="AP1568" s="1539"/>
      <c r="AQ1568" s="1539"/>
      <c r="AR1568" s="1539"/>
      <c r="AS1568" s="1539"/>
      <c r="AT1568" s="1539"/>
      <c r="AU1568" s="1539"/>
      <c r="AV1568" s="1539"/>
      <c r="AW1568" s="1539"/>
      <c r="AX1568" s="1539"/>
      <c r="AY1568" s="1539"/>
      <c r="AZ1568" s="1539"/>
      <c r="BA1568" s="1539"/>
      <c r="BB1568" s="1539"/>
      <c r="BC1568" s="1539"/>
      <c r="BD1568" s="1539"/>
      <c r="BE1568" s="1539"/>
      <c r="BF1568" s="1539"/>
      <c r="BG1568" s="1539"/>
      <c r="BH1568" s="1539"/>
      <c r="BI1568" s="1539"/>
      <c r="BJ1568" s="1539"/>
      <c r="BK1568" s="1539"/>
      <c r="BL1568" s="1539"/>
      <c r="BM1568" s="1539"/>
      <c r="BN1568" s="1539"/>
      <c r="BO1568" s="1539"/>
      <c r="BP1568" s="1539"/>
      <c r="BQ1568" s="1539"/>
      <c r="BR1568" s="1539"/>
      <c r="BS1568" s="1539"/>
      <c r="BT1568" s="1539"/>
      <c r="BU1568" s="1539"/>
      <c r="BV1568" s="1539"/>
      <c r="BW1568" s="1539"/>
      <c r="BX1568" s="1539"/>
      <c r="BY1568" s="1539"/>
      <c r="BZ1568" s="1539"/>
      <c r="CA1568" s="1539"/>
      <c r="CB1568" s="1539"/>
      <c r="CC1568" s="1539"/>
      <c r="CD1568" s="1539"/>
      <c r="CE1568" s="1539"/>
      <c r="CF1568" s="1539"/>
      <c r="CG1568" s="1539"/>
      <c r="CH1568" s="1539"/>
      <c r="CI1568" s="1539"/>
      <c r="CJ1568" s="1539"/>
      <c r="CK1568" s="1539"/>
      <c r="CL1568" s="1539"/>
      <c r="CM1568" s="1539"/>
      <c r="CN1568" s="1539"/>
      <c r="CO1568" s="1539"/>
    </row>
    <row r="1569" spans="1:93" s="1542" customFormat="1" ht="15.5">
      <c r="A1569" s="1598" t="s">
        <v>545</v>
      </c>
      <c r="B1569" s="1599" t="s">
        <v>3410</v>
      </c>
      <c r="C1569" s="1643" t="e">
        <f>+SUMIF(#REF!,Final!A1569,#REF!)</f>
        <v>#REF!</v>
      </c>
      <c r="D1569" s="1597" t="e">
        <f>+SUMIF(#REF!,Final!A1569,#REF!)</f>
        <v>#REF!</v>
      </c>
      <c r="E1569" s="1643" t="e">
        <f>SUMIF(#REF!,Final!A1569,#REF!)</f>
        <v>#REF!</v>
      </c>
      <c r="F1569" s="1644" t="e">
        <f>SUMIF(#REF!,Final!A1569,#REF!)</f>
        <v>#REF!</v>
      </c>
      <c r="G1569" s="1597" t="e">
        <f t="shared" si="160"/>
        <v>#REF!</v>
      </c>
      <c r="H1569" s="1644" t="e">
        <f t="shared" si="161"/>
        <v>#REF!</v>
      </c>
      <c r="I1569" s="1597" t="e">
        <f t="shared" si="162"/>
        <v>#REF!</v>
      </c>
      <c r="J1569" s="1644" t="e">
        <f t="shared" si="163"/>
        <v>#REF!</v>
      </c>
      <c r="K1569" s="1539"/>
      <c r="L1569" s="1539"/>
      <c r="M1569" s="1545"/>
      <c r="N1569" s="1545"/>
      <c r="O1569" s="1539"/>
      <c r="P1569" s="1539"/>
      <c r="Q1569" s="1539"/>
      <c r="R1569" s="1539"/>
      <c r="S1569" s="1539"/>
      <c r="T1569" s="1539"/>
      <c r="U1569" s="1539"/>
      <c r="V1569" s="1539"/>
      <c r="W1569" s="1539"/>
      <c r="X1569" s="1539"/>
      <c r="Y1569" s="1539"/>
      <c r="Z1569" s="1539"/>
      <c r="AA1569" s="1539"/>
      <c r="AB1569" s="1539"/>
      <c r="AC1569" s="1539"/>
      <c r="AD1569" s="1539"/>
      <c r="AE1569" s="1539"/>
      <c r="AF1569" s="1539"/>
      <c r="AG1569" s="1539"/>
      <c r="AH1569" s="1539"/>
      <c r="AI1569" s="1539"/>
      <c r="AJ1569" s="1539"/>
      <c r="AK1569" s="1539"/>
      <c r="AL1569" s="1539"/>
      <c r="AM1569" s="1539"/>
      <c r="AN1569" s="1539"/>
      <c r="AO1569" s="1539"/>
      <c r="AP1569" s="1539"/>
      <c r="AQ1569" s="1539"/>
      <c r="AR1569" s="1539"/>
      <c r="AS1569" s="1539"/>
      <c r="AT1569" s="1539"/>
      <c r="AU1569" s="1539"/>
      <c r="AV1569" s="1539"/>
      <c r="AW1569" s="1539"/>
      <c r="AX1569" s="1539"/>
      <c r="AY1569" s="1539"/>
      <c r="AZ1569" s="1539"/>
      <c r="BA1569" s="1539"/>
      <c r="BB1569" s="1539"/>
      <c r="BC1569" s="1539"/>
      <c r="BD1569" s="1539"/>
      <c r="BE1569" s="1539"/>
      <c r="BF1569" s="1539"/>
      <c r="BG1569" s="1539"/>
      <c r="BH1569" s="1539"/>
      <c r="BI1569" s="1539"/>
      <c r="BJ1569" s="1539"/>
      <c r="BK1569" s="1539"/>
      <c r="BL1569" s="1539"/>
      <c r="BM1569" s="1539"/>
      <c r="BN1569" s="1539"/>
      <c r="BO1569" s="1539"/>
      <c r="BP1569" s="1539"/>
      <c r="BQ1569" s="1539"/>
      <c r="BR1569" s="1539"/>
      <c r="BS1569" s="1539"/>
      <c r="BT1569" s="1539"/>
      <c r="BU1569" s="1539"/>
      <c r="BV1569" s="1539"/>
      <c r="BW1569" s="1539"/>
      <c r="BX1569" s="1539"/>
      <c r="BY1569" s="1539"/>
      <c r="BZ1569" s="1539"/>
      <c r="CA1569" s="1539"/>
      <c r="CB1569" s="1539"/>
      <c r="CC1569" s="1539"/>
      <c r="CD1569" s="1539"/>
      <c r="CE1569" s="1539"/>
      <c r="CF1569" s="1539"/>
      <c r="CG1569" s="1539"/>
      <c r="CH1569" s="1539"/>
      <c r="CI1569" s="1539"/>
      <c r="CJ1569" s="1539"/>
      <c r="CK1569" s="1539"/>
      <c r="CL1569" s="1539"/>
      <c r="CM1569" s="1539"/>
      <c r="CN1569" s="1539"/>
      <c r="CO1569" s="1539"/>
    </row>
    <row r="1570" spans="1:93" s="1542" customFormat="1" ht="15.5">
      <c r="A1570" s="1598" t="s">
        <v>637</v>
      </c>
      <c r="B1570" s="1599" t="s">
        <v>2860</v>
      </c>
      <c r="C1570" s="1643" t="e">
        <f>+SUMIF(#REF!,Final!A1570,#REF!)</f>
        <v>#REF!</v>
      </c>
      <c r="D1570" s="1597" t="e">
        <f>+SUMIF(#REF!,Final!A1570,#REF!)</f>
        <v>#REF!</v>
      </c>
      <c r="E1570" s="1643" t="e">
        <f>SUMIF(#REF!,Final!A1570,#REF!)</f>
        <v>#REF!</v>
      </c>
      <c r="F1570" s="1644" t="e">
        <f>SUMIF(#REF!,Final!A1570,#REF!)</f>
        <v>#REF!</v>
      </c>
      <c r="G1570" s="1597" t="e">
        <f t="shared" si="160"/>
        <v>#REF!</v>
      </c>
      <c r="H1570" s="1644" t="e">
        <f t="shared" si="161"/>
        <v>#REF!</v>
      </c>
      <c r="I1570" s="1597" t="e">
        <f t="shared" si="162"/>
        <v>#REF!</v>
      </c>
      <c r="J1570" s="1644" t="e">
        <f t="shared" si="163"/>
        <v>#REF!</v>
      </c>
      <c r="K1570" s="1539"/>
      <c r="L1570" s="1539"/>
      <c r="M1570" s="1545"/>
      <c r="N1570" s="1545"/>
      <c r="O1570" s="1539"/>
      <c r="P1570" s="1539"/>
      <c r="Q1570" s="1539"/>
      <c r="R1570" s="1539"/>
      <c r="S1570" s="1539"/>
      <c r="T1570" s="1539"/>
      <c r="U1570" s="1539"/>
      <c r="V1570" s="1539"/>
      <c r="W1570" s="1539"/>
      <c r="X1570" s="1539"/>
      <c r="Y1570" s="1539"/>
      <c r="Z1570" s="1539"/>
      <c r="AA1570" s="1539"/>
      <c r="AB1570" s="1539"/>
      <c r="AC1570" s="1539"/>
      <c r="AD1570" s="1539"/>
      <c r="AE1570" s="1539"/>
      <c r="AF1570" s="1539"/>
      <c r="AG1570" s="1539"/>
      <c r="AH1570" s="1539"/>
      <c r="AI1570" s="1539"/>
      <c r="AJ1570" s="1539"/>
      <c r="AK1570" s="1539"/>
      <c r="AL1570" s="1539"/>
      <c r="AM1570" s="1539"/>
      <c r="AN1570" s="1539"/>
      <c r="AO1570" s="1539"/>
      <c r="AP1570" s="1539"/>
      <c r="AQ1570" s="1539"/>
      <c r="AR1570" s="1539"/>
      <c r="AS1570" s="1539"/>
      <c r="AT1570" s="1539"/>
      <c r="AU1570" s="1539"/>
      <c r="AV1570" s="1539"/>
      <c r="AW1570" s="1539"/>
      <c r="AX1570" s="1539"/>
      <c r="AY1570" s="1539"/>
      <c r="AZ1570" s="1539"/>
      <c r="BA1570" s="1539"/>
      <c r="BB1570" s="1539"/>
      <c r="BC1570" s="1539"/>
      <c r="BD1570" s="1539"/>
      <c r="BE1570" s="1539"/>
      <c r="BF1570" s="1539"/>
      <c r="BG1570" s="1539"/>
      <c r="BH1570" s="1539"/>
      <c r="BI1570" s="1539"/>
      <c r="BJ1570" s="1539"/>
      <c r="BK1570" s="1539"/>
      <c r="BL1570" s="1539"/>
      <c r="BM1570" s="1539"/>
      <c r="BN1570" s="1539"/>
      <c r="BO1570" s="1539"/>
      <c r="BP1570" s="1539"/>
      <c r="BQ1570" s="1539"/>
      <c r="BR1570" s="1539"/>
      <c r="BS1570" s="1539"/>
      <c r="BT1570" s="1539"/>
      <c r="BU1570" s="1539"/>
      <c r="BV1570" s="1539"/>
      <c r="BW1570" s="1539"/>
      <c r="BX1570" s="1539"/>
      <c r="BY1570" s="1539"/>
      <c r="BZ1570" s="1539"/>
      <c r="CA1570" s="1539"/>
      <c r="CB1570" s="1539"/>
      <c r="CC1570" s="1539"/>
      <c r="CD1570" s="1539"/>
      <c r="CE1570" s="1539"/>
      <c r="CF1570" s="1539"/>
      <c r="CG1570" s="1539"/>
      <c r="CH1570" s="1539"/>
      <c r="CI1570" s="1539"/>
      <c r="CJ1570" s="1539"/>
      <c r="CK1570" s="1539"/>
      <c r="CL1570" s="1539"/>
      <c r="CM1570" s="1539"/>
      <c r="CN1570" s="1539"/>
      <c r="CO1570" s="1539"/>
    </row>
    <row r="1571" spans="1:93" ht="15.5">
      <c r="A1571" s="1598">
        <v>31.001000000000001</v>
      </c>
      <c r="B1571" s="1599" t="s">
        <v>2901</v>
      </c>
      <c r="C1571" s="1643" t="e">
        <f>+SUMIF(#REF!,Final!A1571,#REF!)</f>
        <v>#REF!</v>
      </c>
      <c r="D1571" s="1597" t="e">
        <f>+SUMIF(#REF!,Final!A1571,#REF!)</f>
        <v>#REF!</v>
      </c>
      <c r="E1571" s="1643" t="e">
        <f>SUMIF(#REF!,Final!A1571,#REF!)</f>
        <v>#REF!</v>
      </c>
      <c r="F1571" s="1644" t="e">
        <f>SUMIF(#REF!,Final!A1571,#REF!)</f>
        <v>#REF!</v>
      </c>
      <c r="G1571" s="1597" t="e">
        <f t="shared" si="160"/>
        <v>#REF!</v>
      </c>
      <c r="H1571" s="1644" t="e">
        <f t="shared" si="161"/>
        <v>#REF!</v>
      </c>
      <c r="I1571" s="1597" t="e">
        <f t="shared" si="162"/>
        <v>#REF!</v>
      </c>
      <c r="J1571" s="1644" t="e">
        <f t="shared" si="163"/>
        <v>#REF!</v>
      </c>
      <c r="M1571" s="1545"/>
      <c r="N1571" s="1545"/>
    </row>
    <row r="1572" spans="1:93" ht="15.5">
      <c r="A1572" s="1598">
        <v>31.02</v>
      </c>
      <c r="B1572" s="1599" t="s">
        <v>3411</v>
      </c>
      <c r="C1572" s="1643" t="e">
        <f>+SUMIF(#REF!,Final!A1572,#REF!)</f>
        <v>#REF!</v>
      </c>
      <c r="D1572" s="1597" t="e">
        <f>+SUMIF(#REF!,Final!A1572,#REF!)</f>
        <v>#REF!</v>
      </c>
      <c r="E1572" s="1643" t="e">
        <f>SUMIF(#REF!,Final!A1572,#REF!)</f>
        <v>#REF!</v>
      </c>
      <c r="F1572" s="1644" t="e">
        <f>SUMIF(#REF!,Final!A1572,#REF!)</f>
        <v>#REF!</v>
      </c>
      <c r="G1572" s="1597" t="e">
        <f t="shared" si="160"/>
        <v>#REF!</v>
      </c>
      <c r="H1572" s="1644" t="e">
        <f t="shared" si="161"/>
        <v>#REF!</v>
      </c>
      <c r="I1572" s="1597" t="e">
        <f t="shared" si="162"/>
        <v>#REF!</v>
      </c>
      <c r="J1572" s="1644" t="e">
        <f t="shared" si="163"/>
        <v>#REF!</v>
      </c>
      <c r="M1572" s="1545"/>
      <c r="N1572" s="1545"/>
    </row>
    <row r="1573" spans="1:93" ht="15.5">
      <c r="A1573" s="1598">
        <v>31.021000000000001</v>
      </c>
      <c r="B1573" s="1599" t="s">
        <v>3412</v>
      </c>
      <c r="C1573" s="1643" t="e">
        <f>+SUMIF(#REF!,Final!A1573,#REF!)</f>
        <v>#REF!</v>
      </c>
      <c r="D1573" s="1597" t="e">
        <f>+SUMIF(#REF!,Final!A1573,#REF!)</f>
        <v>#REF!</v>
      </c>
      <c r="E1573" s="1643" t="e">
        <f>SUMIF(#REF!,Final!A1573,#REF!)</f>
        <v>#REF!</v>
      </c>
      <c r="F1573" s="1644" t="e">
        <f>SUMIF(#REF!,Final!A1573,#REF!)</f>
        <v>#REF!</v>
      </c>
      <c r="G1573" s="1597" t="e">
        <f t="shared" si="160"/>
        <v>#REF!</v>
      </c>
      <c r="H1573" s="1644" t="e">
        <f t="shared" si="161"/>
        <v>#REF!</v>
      </c>
      <c r="I1573" s="1597" t="e">
        <f t="shared" si="162"/>
        <v>#REF!</v>
      </c>
      <c r="J1573" s="1644" t="e">
        <f t="shared" si="163"/>
        <v>#REF!</v>
      </c>
      <c r="M1573" s="1545"/>
      <c r="N1573" s="1545"/>
    </row>
    <row r="1574" spans="1:93" ht="15.5">
      <c r="A1574" s="1598">
        <v>31.021999999999998</v>
      </c>
      <c r="B1574" s="1599" t="s">
        <v>3413</v>
      </c>
      <c r="C1574" s="1643" t="e">
        <f>+SUMIF(#REF!,Final!A1574,#REF!)</f>
        <v>#REF!</v>
      </c>
      <c r="D1574" s="1597" t="e">
        <f>+SUMIF(#REF!,Final!A1574,#REF!)</f>
        <v>#REF!</v>
      </c>
      <c r="E1574" s="1643" t="e">
        <f>SUMIF(#REF!,Final!A1574,#REF!)</f>
        <v>#REF!</v>
      </c>
      <c r="F1574" s="1644" t="e">
        <f>SUMIF(#REF!,Final!A1574,#REF!)</f>
        <v>#REF!</v>
      </c>
      <c r="G1574" s="1597" t="e">
        <f t="shared" si="160"/>
        <v>#REF!</v>
      </c>
      <c r="H1574" s="1644" t="e">
        <f t="shared" si="161"/>
        <v>#REF!</v>
      </c>
      <c r="I1574" s="1597" t="e">
        <f t="shared" si="162"/>
        <v>#REF!</v>
      </c>
      <c r="J1574" s="1644" t="e">
        <f t="shared" si="163"/>
        <v>#REF!</v>
      </c>
      <c r="M1574" s="1545"/>
      <c r="N1574" s="1545"/>
    </row>
    <row r="1575" spans="1:93" ht="15.5">
      <c r="A1575" s="1598">
        <v>31.023</v>
      </c>
      <c r="B1575" s="1599" t="s">
        <v>3414</v>
      </c>
      <c r="C1575" s="1643" t="e">
        <f>+SUMIF(#REF!,Final!A1575,#REF!)</f>
        <v>#REF!</v>
      </c>
      <c r="D1575" s="1597" t="e">
        <f>+SUMIF(#REF!,Final!A1575,#REF!)</f>
        <v>#REF!</v>
      </c>
      <c r="E1575" s="1643" t="e">
        <f>SUMIF(#REF!,Final!A1575,#REF!)</f>
        <v>#REF!</v>
      </c>
      <c r="F1575" s="1644" t="e">
        <f>SUMIF(#REF!,Final!A1575,#REF!)</f>
        <v>#REF!</v>
      </c>
      <c r="G1575" s="1597" t="e">
        <f t="shared" si="160"/>
        <v>#REF!</v>
      </c>
      <c r="H1575" s="1644" t="e">
        <f t="shared" si="161"/>
        <v>#REF!</v>
      </c>
      <c r="I1575" s="1597" t="e">
        <f t="shared" si="162"/>
        <v>#REF!</v>
      </c>
      <c r="J1575" s="1644" t="e">
        <f t="shared" si="163"/>
        <v>#REF!</v>
      </c>
      <c r="M1575" s="1545"/>
      <c r="N1575" s="1545"/>
    </row>
    <row r="1576" spans="1:93" ht="15.5">
      <c r="A1576" s="1598">
        <v>31.024000000000001</v>
      </c>
      <c r="B1576" s="1599" t="s">
        <v>3415</v>
      </c>
      <c r="C1576" s="1643" t="e">
        <f>+SUMIF(#REF!,Final!A1576,#REF!)</f>
        <v>#REF!</v>
      </c>
      <c r="D1576" s="1597" t="e">
        <f>+SUMIF(#REF!,Final!A1576,#REF!)</f>
        <v>#REF!</v>
      </c>
      <c r="E1576" s="1643" t="e">
        <f>SUMIF(#REF!,Final!A1576,#REF!)</f>
        <v>#REF!</v>
      </c>
      <c r="F1576" s="1644" t="e">
        <f>SUMIF(#REF!,Final!A1576,#REF!)</f>
        <v>#REF!</v>
      </c>
      <c r="G1576" s="1597" t="e">
        <f t="shared" si="160"/>
        <v>#REF!</v>
      </c>
      <c r="H1576" s="1644" t="e">
        <f t="shared" si="161"/>
        <v>#REF!</v>
      </c>
      <c r="I1576" s="1597" t="e">
        <f t="shared" si="162"/>
        <v>#REF!</v>
      </c>
      <c r="J1576" s="1644" t="e">
        <f t="shared" si="163"/>
        <v>#REF!</v>
      </c>
      <c r="M1576" s="1545"/>
      <c r="N1576" s="1545"/>
    </row>
    <row r="1577" spans="1:93" ht="15.5">
      <c r="A1577" s="1598">
        <v>31.024999999999999</v>
      </c>
      <c r="B1577" s="1599" t="s">
        <v>3416</v>
      </c>
      <c r="C1577" s="1643" t="e">
        <f>+SUMIF(#REF!,Final!A1577,#REF!)</f>
        <v>#REF!</v>
      </c>
      <c r="D1577" s="1597" t="e">
        <f>+SUMIF(#REF!,Final!A1577,#REF!)</f>
        <v>#REF!</v>
      </c>
      <c r="E1577" s="1643" t="e">
        <f>SUMIF(#REF!,Final!A1577,#REF!)</f>
        <v>#REF!</v>
      </c>
      <c r="F1577" s="1644" t="e">
        <f>SUMIF(#REF!,Final!A1577,#REF!)</f>
        <v>#REF!</v>
      </c>
      <c r="G1577" s="1597" t="e">
        <f t="shared" si="160"/>
        <v>#REF!</v>
      </c>
      <c r="H1577" s="1644" t="e">
        <f t="shared" si="161"/>
        <v>#REF!</v>
      </c>
      <c r="I1577" s="1597" t="e">
        <f t="shared" si="162"/>
        <v>#REF!</v>
      </c>
      <c r="J1577" s="1644" t="e">
        <f t="shared" si="163"/>
        <v>#REF!</v>
      </c>
      <c r="M1577" s="1545"/>
      <c r="N1577" s="1545"/>
    </row>
    <row r="1578" spans="1:93" s="1542" customFormat="1" ht="15.5">
      <c r="A1578" s="1598">
        <v>31.026</v>
      </c>
      <c r="B1578" s="1599" t="s">
        <v>3417</v>
      </c>
      <c r="C1578" s="1643" t="e">
        <f>+SUMIF(#REF!,Final!A1578,#REF!)</f>
        <v>#REF!</v>
      </c>
      <c r="D1578" s="1597" t="e">
        <f>+SUMIF(#REF!,Final!A1578,#REF!)</f>
        <v>#REF!</v>
      </c>
      <c r="E1578" s="1643" t="e">
        <f>SUMIF(#REF!,Final!A1578,#REF!)</f>
        <v>#REF!</v>
      </c>
      <c r="F1578" s="1644" t="e">
        <f>SUMIF(#REF!,Final!A1578,#REF!)</f>
        <v>#REF!</v>
      </c>
      <c r="G1578" s="1597" t="e">
        <f t="shared" si="160"/>
        <v>#REF!</v>
      </c>
      <c r="H1578" s="1644" t="e">
        <f t="shared" si="161"/>
        <v>#REF!</v>
      </c>
      <c r="I1578" s="1597" t="e">
        <f t="shared" si="162"/>
        <v>#REF!</v>
      </c>
      <c r="J1578" s="1644" t="e">
        <f t="shared" si="163"/>
        <v>#REF!</v>
      </c>
      <c r="K1578" s="1539"/>
      <c r="L1578" s="1539"/>
      <c r="M1578" s="1545"/>
      <c r="N1578" s="1545"/>
      <c r="O1578" s="1539"/>
      <c r="P1578" s="1539"/>
      <c r="Q1578" s="1539"/>
      <c r="R1578" s="1539"/>
      <c r="S1578" s="1539"/>
      <c r="T1578" s="1539"/>
      <c r="U1578" s="1539"/>
      <c r="V1578" s="1539"/>
      <c r="W1578" s="1539"/>
      <c r="X1578" s="1539"/>
      <c r="Y1578" s="1539"/>
      <c r="Z1578" s="1539"/>
      <c r="AA1578" s="1539"/>
      <c r="AB1578" s="1539"/>
      <c r="AC1578" s="1539"/>
      <c r="AD1578" s="1539"/>
      <c r="AE1578" s="1539"/>
      <c r="AF1578" s="1539"/>
      <c r="AG1578" s="1539"/>
      <c r="AH1578" s="1539"/>
      <c r="AI1578" s="1539"/>
      <c r="AJ1578" s="1539"/>
      <c r="AK1578" s="1539"/>
      <c r="AL1578" s="1539"/>
      <c r="AM1578" s="1539"/>
      <c r="AN1578" s="1539"/>
      <c r="AO1578" s="1539"/>
      <c r="AP1578" s="1539"/>
      <c r="AQ1578" s="1539"/>
      <c r="AR1578" s="1539"/>
      <c r="AS1578" s="1539"/>
      <c r="AT1578" s="1539"/>
      <c r="AU1578" s="1539"/>
      <c r="AV1578" s="1539"/>
      <c r="AW1578" s="1539"/>
      <c r="AX1578" s="1539"/>
      <c r="AY1578" s="1539"/>
      <c r="AZ1578" s="1539"/>
      <c r="BA1578" s="1539"/>
      <c r="BB1578" s="1539"/>
      <c r="BC1578" s="1539"/>
      <c r="BD1578" s="1539"/>
      <c r="BE1578" s="1539"/>
      <c r="BF1578" s="1539"/>
      <c r="BG1578" s="1539"/>
      <c r="BH1578" s="1539"/>
      <c r="BI1578" s="1539"/>
      <c r="BJ1578" s="1539"/>
      <c r="BK1578" s="1539"/>
      <c r="BL1578" s="1539"/>
      <c r="BM1578" s="1539"/>
      <c r="BN1578" s="1539"/>
      <c r="BO1578" s="1539"/>
      <c r="BP1578" s="1539"/>
      <c r="BQ1578" s="1539"/>
      <c r="BR1578" s="1539"/>
      <c r="BS1578" s="1539"/>
      <c r="BT1578" s="1539"/>
      <c r="BU1578" s="1539"/>
      <c r="BV1578" s="1539"/>
      <c r="BW1578" s="1539"/>
      <c r="BX1578" s="1539"/>
      <c r="BY1578" s="1539"/>
      <c r="BZ1578" s="1539"/>
      <c r="CA1578" s="1539"/>
      <c r="CB1578" s="1539"/>
      <c r="CC1578" s="1539"/>
      <c r="CD1578" s="1539"/>
      <c r="CE1578" s="1539"/>
      <c r="CF1578" s="1539"/>
      <c r="CG1578" s="1539"/>
      <c r="CH1578" s="1539"/>
      <c r="CI1578" s="1539"/>
      <c r="CJ1578" s="1539"/>
      <c r="CK1578" s="1539"/>
      <c r="CL1578" s="1539"/>
      <c r="CM1578" s="1539"/>
      <c r="CN1578" s="1539"/>
      <c r="CO1578" s="1539"/>
    </row>
    <row r="1579" spans="1:93" ht="15.5">
      <c r="A1579" s="1598">
        <v>31.027000000000001</v>
      </c>
      <c r="B1579" s="1599" t="s">
        <v>3418</v>
      </c>
      <c r="C1579" s="1643" t="e">
        <f>+SUMIF(#REF!,Final!A1579,#REF!)</f>
        <v>#REF!</v>
      </c>
      <c r="D1579" s="1597" t="e">
        <f>+SUMIF(#REF!,Final!A1579,#REF!)</f>
        <v>#REF!</v>
      </c>
      <c r="E1579" s="1643" t="e">
        <f>SUMIF(#REF!,Final!A1579,#REF!)</f>
        <v>#REF!</v>
      </c>
      <c r="F1579" s="1644" t="e">
        <f>SUMIF(#REF!,Final!A1579,#REF!)</f>
        <v>#REF!</v>
      </c>
      <c r="G1579" s="1597" t="e">
        <f t="shared" ref="G1579:G1642" si="172">C1579+E1579</f>
        <v>#REF!</v>
      </c>
      <c r="H1579" s="1644" t="e">
        <f t="shared" ref="H1579:H1642" si="173">D1579+F1579</f>
        <v>#REF!</v>
      </c>
      <c r="I1579" s="1597" t="e">
        <f t="shared" ref="I1579:I1642" si="174">IF(G1579&gt;H1579,G1579-H1579,0)</f>
        <v>#REF!</v>
      </c>
      <c r="J1579" s="1644" t="e">
        <f t="shared" ref="J1579:J1642" si="175">IF(H1579&gt;G1579,H1579-G1579,0)</f>
        <v>#REF!</v>
      </c>
      <c r="M1579" s="1545"/>
      <c r="N1579" s="1545"/>
    </row>
    <row r="1580" spans="1:93" ht="15.5">
      <c r="A1580" s="1598">
        <v>31.027999999999999</v>
      </c>
      <c r="B1580" s="1599" t="s">
        <v>3419</v>
      </c>
      <c r="C1580" s="1643" t="e">
        <f>+SUMIF(#REF!,Final!A1580,#REF!)</f>
        <v>#REF!</v>
      </c>
      <c r="D1580" s="1597" t="e">
        <f>+SUMIF(#REF!,Final!A1580,#REF!)</f>
        <v>#REF!</v>
      </c>
      <c r="E1580" s="1643" t="e">
        <f>SUMIF(#REF!,Final!A1580,#REF!)</f>
        <v>#REF!</v>
      </c>
      <c r="F1580" s="1644" t="e">
        <f>SUMIF(#REF!,Final!A1580,#REF!)</f>
        <v>#REF!</v>
      </c>
      <c r="G1580" s="1597" t="e">
        <f t="shared" si="172"/>
        <v>#REF!</v>
      </c>
      <c r="H1580" s="1644" t="e">
        <f t="shared" si="173"/>
        <v>#REF!</v>
      </c>
      <c r="I1580" s="1597" t="e">
        <f t="shared" si="174"/>
        <v>#REF!</v>
      </c>
      <c r="J1580" s="1644" t="e">
        <f t="shared" si="175"/>
        <v>#REF!</v>
      </c>
      <c r="M1580" s="1545"/>
      <c r="N1580" s="1545"/>
    </row>
    <row r="1581" spans="1:93" ht="15.5">
      <c r="A1581" s="1598">
        <v>31.029</v>
      </c>
      <c r="B1581" s="1599" t="s">
        <v>3420</v>
      </c>
      <c r="C1581" s="1643" t="e">
        <f>+SUMIF(#REF!,Final!A1581,#REF!)</f>
        <v>#REF!</v>
      </c>
      <c r="D1581" s="1597" t="e">
        <f>+SUMIF(#REF!,Final!A1581,#REF!)</f>
        <v>#REF!</v>
      </c>
      <c r="E1581" s="1643" t="e">
        <f>SUMIF(#REF!,Final!A1581,#REF!)</f>
        <v>#REF!</v>
      </c>
      <c r="F1581" s="1644" t="e">
        <f>SUMIF(#REF!,Final!A1581,#REF!)</f>
        <v>#REF!</v>
      </c>
      <c r="G1581" s="1597" t="e">
        <f t="shared" si="172"/>
        <v>#REF!</v>
      </c>
      <c r="H1581" s="1644" t="e">
        <f t="shared" si="173"/>
        <v>#REF!</v>
      </c>
      <c r="I1581" s="1597" t="e">
        <f t="shared" si="174"/>
        <v>#REF!</v>
      </c>
      <c r="J1581" s="1644" t="e">
        <f t="shared" si="175"/>
        <v>#REF!</v>
      </c>
      <c r="M1581" s="1545"/>
      <c r="N1581" s="1545"/>
    </row>
    <row r="1582" spans="1:93" ht="15.5">
      <c r="A1582" s="1600">
        <v>31.03</v>
      </c>
      <c r="B1582" s="1599" t="s">
        <v>3421</v>
      </c>
      <c r="C1582" s="1643" t="e">
        <f>+SUMIF(#REF!,Final!A1582,#REF!)</f>
        <v>#REF!</v>
      </c>
      <c r="D1582" s="1597" t="e">
        <f>+SUMIF(#REF!,Final!A1582,#REF!)</f>
        <v>#REF!</v>
      </c>
      <c r="E1582" s="1643" t="e">
        <f>SUMIF(#REF!,Final!A1582,#REF!)</f>
        <v>#REF!</v>
      </c>
      <c r="F1582" s="1644" t="e">
        <f>SUMIF(#REF!,Final!A1582,#REF!)</f>
        <v>#REF!</v>
      </c>
      <c r="G1582" s="1597" t="e">
        <f t="shared" si="172"/>
        <v>#REF!</v>
      </c>
      <c r="H1582" s="1644" t="e">
        <f t="shared" si="173"/>
        <v>#REF!</v>
      </c>
      <c r="I1582" s="1597" t="e">
        <f t="shared" si="174"/>
        <v>#REF!</v>
      </c>
      <c r="J1582" s="1644" t="e">
        <f t="shared" si="175"/>
        <v>#REF!</v>
      </c>
      <c r="M1582" s="1545"/>
      <c r="N1582" s="1545"/>
    </row>
    <row r="1583" spans="1:93" ht="15.5">
      <c r="A1583" s="1598">
        <v>31.030999999999999</v>
      </c>
      <c r="B1583" s="1599" t="s">
        <v>3422</v>
      </c>
      <c r="C1583" s="1643" t="e">
        <f>+SUMIF(#REF!,Final!A1583,#REF!)</f>
        <v>#REF!</v>
      </c>
      <c r="D1583" s="1597" t="e">
        <f>+SUMIF(#REF!,Final!A1583,#REF!)</f>
        <v>#REF!</v>
      </c>
      <c r="E1583" s="1643" t="e">
        <f>SUMIF(#REF!,Final!A1583,#REF!)</f>
        <v>#REF!</v>
      </c>
      <c r="F1583" s="1644" t="e">
        <f>SUMIF(#REF!,Final!A1583,#REF!)</f>
        <v>#REF!</v>
      </c>
      <c r="G1583" s="1597" t="e">
        <f t="shared" si="172"/>
        <v>#REF!</v>
      </c>
      <c r="H1583" s="1644" t="e">
        <f t="shared" si="173"/>
        <v>#REF!</v>
      </c>
      <c r="I1583" s="1597" t="e">
        <f t="shared" si="174"/>
        <v>#REF!</v>
      </c>
      <c r="J1583" s="1644" t="e">
        <f t="shared" si="175"/>
        <v>#REF!</v>
      </c>
      <c r="M1583" s="1545"/>
      <c r="N1583" s="1545"/>
    </row>
    <row r="1584" spans="1:93" ht="15.5">
      <c r="A1584" s="1598">
        <v>31.032</v>
      </c>
      <c r="B1584" s="1599" t="s">
        <v>3423</v>
      </c>
      <c r="C1584" s="1643" t="e">
        <f>+SUMIF(#REF!,Final!A1584,#REF!)</f>
        <v>#REF!</v>
      </c>
      <c r="D1584" s="1597" t="e">
        <f>+SUMIF(#REF!,Final!A1584,#REF!)</f>
        <v>#REF!</v>
      </c>
      <c r="E1584" s="1643" t="e">
        <f>SUMIF(#REF!,Final!A1584,#REF!)</f>
        <v>#REF!</v>
      </c>
      <c r="F1584" s="1644" t="e">
        <f>SUMIF(#REF!,Final!A1584,#REF!)</f>
        <v>#REF!</v>
      </c>
      <c r="G1584" s="1597" t="e">
        <f t="shared" si="172"/>
        <v>#REF!</v>
      </c>
      <c r="H1584" s="1644" t="e">
        <f t="shared" si="173"/>
        <v>#REF!</v>
      </c>
      <c r="I1584" s="1597" t="e">
        <f t="shared" si="174"/>
        <v>#REF!</v>
      </c>
      <c r="J1584" s="1644" t="e">
        <f t="shared" si="175"/>
        <v>#REF!</v>
      </c>
      <c r="M1584" s="1545"/>
      <c r="N1584" s="1545"/>
    </row>
    <row r="1585" spans="1:93" ht="15.5">
      <c r="A1585" s="1598">
        <v>31.033000000000001</v>
      </c>
      <c r="B1585" s="1599" t="s">
        <v>3424</v>
      </c>
      <c r="C1585" s="1643" t="e">
        <f>+SUMIF(#REF!,Final!A1585,#REF!)</f>
        <v>#REF!</v>
      </c>
      <c r="D1585" s="1597" t="e">
        <f>+SUMIF(#REF!,Final!A1585,#REF!)</f>
        <v>#REF!</v>
      </c>
      <c r="E1585" s="1643" t="e">
        <f>SUMIF(#REF!,Final!A1585,#REF!)</f>
        <v>#REF!</v>
      </c>
      <c r="F1585" s="1644" t="e">
        <f>SUMIF(#REF!,Final!A1585,#REF!)</f>
        <v>#REF!</v>
      </c>
      <c r="G1585" s="1597" t="e">
        <f t="shared" si="172"/>
        <v>#REF!</v>
      </c>
      <c r="H1585" s="1644" t="e">
        <f t="shared" si="173"/>
        <v>#REF!</v>
      </c>
      <c r="I1585" s="1597" t="e">
        <f t="shared" si="174"/>
        <v>#REF!</v>
      </c>
      <c r="J1585" s="1644" t="e">
        <f t="shared" si="175"/>
        <v>#REF!</v>
      </c>
      <c r="M1585" s="1545"/>
      <c r="N1585" s="1545"/>
    </row>
    <row r="1586" spans="1:93" ht="15.5">
      <c r="A1586" s="1598">
        <v>31.033999999999999</v>
      </c>
      <c r="B1586" s="1599" t="s">
        <v>3425</v>
      </c>
      <c r="C1586" s="1643" t="e">
        <f>+SUMIF(#REF!,Final!A1586,#REF!)</f>
        <v>#REF!</v>
      </c>
      <c r="D1586" s="1597" t="e">
        <f>+SUMIF(#REF!,Final!A1586,#REF!)</f>
        <v>#REF!</v>
      </c>
      <c r="E1586" s="1643" t="e">
        <f>SUMIF(#REF!,Final!A1586,#REF!)</f>
        <v>#REF!</v>
      </c>
      <c r="F1586" s="1644" t="e">
        <f>SUMIF(#REF!,Final!A1586,#REF!)</f>
        <v>#REF!</v>
      </c>
      <c r="G1586" s="1597" t="e">
        <f t="shared" si="172"/>
        <v>#REF!</v>
      </c>
      <c r="H1586" s="1644" t="e">
        <f t="shared" si="173"/>
        <v>#REF!</v>
      </c>
      <c r="I1586" s="1597" t="e">
        <f t="shared" si="174"/>
        <v>#REF!</v>
      </c>
      <c r="J1586" s="1644" t="e">
        <f t="shared" si="175"/>
        <v>#REF!</v>
      </c>
      <c r="M1586" s="1545"/>
      <c r="N1586" s="1545"/>
    </row>
    <row r="1587" spans="1:93" ht="15.5">
      <c r="A1587" s="1598">
        <v>31.035</v>
      </c>
      <c r="B1587" s="1599" t="s">
        <v>3426</v>
      </c>
      <c r="C1587" s="1643" t="e">
        <f>+SUMIF(#REF!,Final!A1587,#REF!)</f>
        <v>#REF!</v>
      </c>
      <c r="D1587" s="1597" t="e">
        <f>+SUMIF(#REF!,Final!A1587,#REF!)</f>
        <v>#REF!</v>
      </c>
      <c r="E1587" s="1643" t="e">
        <f>SUMIF(#REF!,Final!A1587,#REF!)</f>
        <v>#REF!</v>
      </c>
      <c r="F1587" s="1644" t="e">
        <f>SUMIF(#REF!,Final!A1587,#REF!)</f>
        <v>#REF!</v>
      </c>
      <c r="G1587" s="1597" t="e">
        <f t="shared" si="172"/>
        <v>#REF!</v>
      </c>
      <c r="H1587" s="1644" t="e">
        <f t="shared" si="173"/>
        <v>#REF!</v>
      </c>
      <c r="I1587" s="1597" t="e">
        <f t="shared" si="174"/>
        <v>#REF!</v>
      </c>
      <c r="J1587" s="1644" t="e">
        <f t="shared" si="175"/>
        <v>#REF!</v>
      </c>
      <c r="M1587" s="1545"/>
      <c r="N1587" s="1545"/>
    </row>
    <row r="1588" spans="1:93" ht="15.5">
      <c r="A1588" s="1598">
        <v>31.036000000000001</v>
      </c>
      <c r="B1588" s="1599" t="s">
        <v>3427</v>
      </c>
      <c r="C1588" s="1643" t="e">
        <f>+SUMIF(#REF!,Final!A1588,#REF!)</f>
        <v>#REF!</v>
      </c>
      <c r="D1588" s="1597" t="e">
        <f>+SUMIF(#REF!,Final!A1588,#REF!)</f>
        <v>#REF!</v>
      </c>
      <c r="E1588" s="1643" t="e">
        <f>SUMIF(#REF!,Final!A1588,#REF!)</f>
        <v>#REF!</v>
      </c>
      <c r="F1588" s="1644" t="e">
        <f>SUMIF(#REF!,Final!A1588,#REF!)</f>
        <v>#REF!</v>
      </c>
      <c r="G1588" s="1597" t="e">
        <f t="shared" si="172"/>
        <v>#REF!</v>
      </c>
      <c r="H1588" s="1644" t="e">
        <f t="shared" si="173"/>
        <v>#REF!</v>
      </c>
      <c r="I1588" s="1597" t="e">
        <f t="shared" si="174"/>
        <v>#REF!</v>
      </c>
      <c r="J1588" s="1644" t="e">
        <f t="shared" si="175"/>
        <v>#REF!</v>
      </c>
      <c r="M1588" s="1545"/>
      <c r="N1588" s="1545"/>
    </row>
    <row r="1589" spans="1:93" ht="15.5">
      <c r="A1589" s="1598">
        <v>31.036999999999999</v>
      </c>
      <c r="B1589" s="1599" t="s">
        <v>3428</v>
      </c>
      <c r="C1589" s="1643" t="e">
        <f>+SUMIF(#REF!,Final!A1589,#REF!)</f>
        <v>#REF!</v>
      </c>
      <c r="D1589" s="1597" t="e">
        <f>+SUMIF(#REF!,Final!A1589,#REF!)</f>
        <v>#REF!</v>
      </c>
      <c r="E1589" s="1643" t="e">
        <f>SUMIF(#REF!,Final!A1589,#REF!)</f>
        <v>#REF!</v>
      </c>
      <c r="F1589" s="1644" t="e">
        <f>SUMIF(#REF!,Final!A1589,#REF!)</f>
        <v>#REF!</v>
      </c>
      <c r="G1589" s="1597" t="e">
        <f t="shared" si="172"/>
        <v>#REF!</v>
      </c>
      <c r="H1589" s="1644" t="e">
        <f t="shared" si="173"/>
        <v>#REF!</v>
      </c>
      <c r="I1589" s="1597" t="e">
        <f t="shared" si="174"/>
        <v>#REF!</v>
      </c>
      <c r="J1589" s="1644" t="e">
        <f t="shared" si="175"/>
        <v>#REF!</v>
      </c>
      <c r="M1589" s="1545"/>
      <c r="N1589" s="1545"/>
    </row>
    <row r="1590" spans="1:93" s="1542" customFormat="1" ht="15.5">
      <c r="A1590" s="1598">
        <v>31.038</v>
      </c>
      <c r="B1590" s="1599" t="s">
        <v>3429</v>
      </c>
      <c r="C1590" s="1643" t="e">
        <f>+SUMIF(#REF!,Final!A1590,#REF!)</f>
        <v>#REF!</v>
      </c>
      <c r="D1590" s="1597" t="e">
        <f>+SUMIF(#REF!,Final!A1590,#REF!)</f>
        <v>#REF!</v>
      </c>
      <c r="E1590" s="1643" t="e">
        <f>SUMIF(#REF!,Final!A1590,#REF!)</f>
        <v>#REF!</v>
      </c>
      <c r="F1590" s="1644" t="e">
        <f>SUMIF(#REF!,Final!A1590,#REF!)</f>
        <v>#REF!</v>
      </c>
      <c r="G1590" s="1597" t="e">
        <f t="shared" si="172"/>
        <v>#REF!</v>
      </c>
      <c r="H1590" s="1644" t="e">
        <f t="shared" si="173"/>
        <v>#REF!</v>
      </c>
      <c r="I1590" s="1597" t="e">
        <f t="shared" si="174"/>
        <v>#REF!</v>
      </c>
      <c r="J1590" s="1644" t="e">
        <f t="shared" si="175"/>
        <v>#REF!</v>
      </c>
      <c r="K1590" s="1539"/>
      <c r="L1590" s="1539"/>
      <c r="M1590" s="1545"/>
      <c r="N1590" s="1545"/>
      <c r="O1590" s="1539"/>
      <c r="P1590" s="1539"/>
      <c r="Q1590" s="1539"/>
      <c r="R1590" s="1539"/>
      <c r="S1590" s="1539"/>
      <c r="T1590" s="1539"/>
      <c r="U1590" s="1539"/>
      <c r="V1590" s="1539"/>
      <c r="W1590" s="1539"/>
      <c r="X1590" s="1539"/>
      <c r="Y1590" s="1539"/>
      <c r="Z1590" s="1539"/>
      <c r="AA1590" s="1539"/>
      <c r="AB1590" s="1539"/>
      <c r="AC1590" s="1539"/>
      <c r="AD1590" s="1539"/>
      <c r="AE1590" s="1539"/>
      <c r="AF1590" s="1539"/>
      <c r="AG1590" s="1539"/>
      <c r="AH1590" s="1539"/>
      <c r="AI1590" s="1539"/>
      <c r="AJ1590" s="1539"/>
      <c r="AK1590" s="1539"/>
      <c r="AL1590" s="1539"/>
      <c r="AM1590" s="1539"/>
      <c r="AN1590" s="1539"/>
      <c r="AO1590" s="1539"/>
      <c r="AP1590" s="1539"/>
      <c r="AQ1590" s="1539"/>
      <c r="AR1590" s="1539"/>
      <c r="AS1590" s="1539"/>
      <c r="AT1590" s="1539"/>
      <c r="AU1590" s="1539"/>
      <c r="AV1590" s="1539"/>
      <c r="AW1590" s="1539"/>
      <c r="AX1590" s="1539"/>
      <c r="AY1590" s="1539"/>
      <c r="AZ1590" s="1539"/>
      <c r="BA1590" s="1539"/>
      <c r="BB1590" s="1539"/>
      <c r="BC1590" s="1539"/>
      <c r="BD1590" s="1539"/>
      <c r="BE1590" s="1539"/>
      <c r="BF1590" s="1539"/>
      <c r="BG1590" s="1539"/>
      <c r="BH1590" s="1539"/>
      <c r="BI1590" s="1539"/>
      <c r="BJ1590" s="1539"/>
      <c r="BK1590" s="1539"/>
      <c r="BL1590" s="1539"/>
      <c r="BM1590" s="1539"/>
      <c r="BN1590" s="1539"/>
      <c r="BO1590" s="1539"/>
      <c r="BP1590" s="1539"/>
      <c r="BQ1590" s="1539"/>
      <c r="BR1590" s="1539"/>
      <c r="BS1590" s="1539"/>
      <c r="BT1590" s="1539"/>
      <c r="BU1590" s="1539"/>
      <c r="BV1590" s="1539"/>
      <c r="BW1590" s="1539"/>
      <c r="BX1590" s="1539"/>
      <c r="BY1590" s="1539"/>
      <c r="BZ1590" s="1539"/>
      <c r="CA1590" s="1539"/>
      <c r="CB1590" s="1539"/>
      <c r="CC1590" s="1539"/>
      <c r="CD1590" s="1539"/>
      <c r="CE1590" s="1539"/>
      <c r="CF1590" s="1539"/>
      <c r="CG1590" s="1539"/>
      <c r="CH1590" s="1539"/>
      <c r="CI1590" s="1539"/>
      <c r="CJ1590" s="1539"/>
      <c r="CK1590" s="1539"/>
      <c r="CL1590" s="1539"/>
      <c r="CM1590" s="1539"/>
      <c r="CN1590" s="1539"/>
      <c r="CO1590" s="1539"/>
    </row>
    <row r="1591" spans="1:93" s="1542" customFormat="1" ht="15.5">
      <c r="A1591" s="1598">
        <v>31.039000000000001</v>
      </c>
      <c r="B1591" s="1599" t="s">
        <v>4674</v>
      </c>
      <c r="C1591" s="1643" t="e">
        <f>+SUMIF(#REF!,Final!A1591,#REF!)</f>
        <v>#REF!</v>
      </c>
      <c r="D1591" s="1597" t="e">
        <f>+SUMIF(#REF!,Final!A1591,#REF!)</f>
        <v>#REF!</v>
      </c>
      <c r="E1591" s="1643" t="e">
        <f>SUMIF(#REF!,Final!A1591,#REF!)</f>
        <v>#REF!</v>
      </c>
      <c r="F1591" s="1644" t="e">
        <f>SUMIF(#REF!,Final!A1591,#REF!)</f>
        <v>#REF!</v>
      </c>
      <c r="G1591" s="1597" t="e">
        <f t="shared" si="172"/>
        <v>#REF!</v>
      </c>
      <c r="H1591" s="1644" t="e">
        <f t="shared" si="173"/>
        <v>#REF!</v>
      </c>
      <c r="I1591" s="1597" t="e">
        <f t="shared" si="174"/>
        <v>#REF!</v>
      </c>
      <c r="J1591" s="1644" t="e">
        <f t="shared" si="175"/>
        <v>#REF!</v>
      </c>
      <c r="K1591" s="1539"/>
      <c r="L1591" s="1539"/>
      <c r="M1591" s="1545"/>
      <c r="N1591" s="1545"/>
      <c r="O1591" s="1539"/>
      <c r="P1591" s="1539"/>
      <c r="Q1591" s="1539"/>
      <c r="R1591" s="1539"/>
      <c r="S1591" s="1539"/>
      <c r="T1591" s="1539"/>
      <c r="U1591" s="1539"/>
      <c r="V1591" s="1539"/>
      <c r="W1591" s="1539"/>
      <c r="X1591" s="1539"/>
      <c r="Y1591" s="1539"/>
      <c r="Z1591" s="1539"/>
      <c r="AA1591" s="1539"/>
      <c r="AB1591" s="1539"/>
      <c r="AC1591" s="1539"/>
      <c r="AD1591" s="1539"/>
      <c r="AE1591" s="1539"/>
      <c r="AF1591" s="1539"/>
      <c r="AG1591" s="1539"/>
      <c r="AH1591" s="1539"/>
      <c r="AI1591" s="1539"/>
      <c r="AJ1591" s="1539"/>
      <c r="AK1591" s="1539"/>
      <c r="AL1591" s="1539"/>
      <c r="AM1591" s="1539"/>
      <c r="AN1591" s="1539"/>
      <c r="AO1591" s="1539"/>
      <c r="AP1591" s="1539"/>
      <c r="AQ1591" s="1539"/>
      <c r="AR1591" s="1539"/>
      <c r="AS1591" s="1539"/>
      <c r="AT1591" s="1539"/>
      <c r="AU1591" s="1539"/>
      <c r="AV1591" s="1539"/>
      <c r="AW1591" s="1539"/>
      <c r="AX1591" s="1539"/>
      <c r="AY1591" s="1539"/>
      <c r="AZ1591" s="1539"/>
      <c r="BA1591" s="1539"/>
      <c r="BB1591" s="1539"/>
      <c r="BC1591" s="1539"/>
      <c r="BD1591" s="1539"/>
      <c r="BE1591" s="1539"/>
      <c r="BF1591" s="1539"/>
      <c r="BG1591" s="1539"/>
      <c r="BH1591" s="1539"/>
      <c r="BI1591" s="1539"/>
      <c r="BJ1591" s="1539"/>
      <c r="BK1591" s="1539"/>
      <c r="BL1591" s="1539"/>
      <c r="BM1591" s="1539"/>
      <c r="BN1591" s="1539"/>
      <c r="BO1591" s="1539"/>
      <c r="BP1591" s="1539"/>
      <c r="BQ1591" s="1539"/>
      <c r="BR1591" s="1539"/>
      <c r="BS1591" s="1539"/>
      <c r="BT1591" s="1539"/>
      <c r="BU1591" s="1539"/>
      <c r="BV1591" s="1539"/>
      <c r="BW1591" s="1539"/>
      <c r="BX1591" s="1539"/>
      <c r="BY1591" s="1539"/>
      <c r="BZ1591" s="1539"/>
      <c r="CA1591" s="1539"/>
      <c r="CB1591" s="1539"/>
      <c r="CC1591" s="1539"/>
      <c r="CD1591" s="1539"/>
      <c r="CE1591" s="1539"/>
      <c r="CF1591" s="1539"/>
      <c r="CG1591" s="1539"/>
      <c r="CH1591" s="1539"/>
      <c r="CI1591" s="1539"/>
      <c r="CJ1591" s="1539"/>
      <c r="CK1591" s="1539"/>
      <c r="CL1591" s="1539"/>
      <c r="CM1591" s="1539"/>
      <c r="CN1591" s="1539"/>
      <c r="CO1591" s="1539"/>
    </row>
    <row r="1592" spans="1:93" ht="15.5">
      <c r="A1592" s="1598">
        <v>31.071000000000002</v>
      </c>
      <c r="B1592" s="1599" t="s">
        <v>3430</v>
      </c>
      <c r="C1592" s="1643" t="e">
        <f>+SUMIF(#REF!,Final!A1592,#REF!)</f>
        <v>#REF!</v>
      </c>
      <c r="D1592" s="1597" t="e">
        <f>+SUMIF(#REF!,Final!A1592,#REF!)</f>
        <v>#REF!</v>
      </c>
      <c r="E1592" s="1643" t="e">
        <f>SUMIF(#REF!,Final!A1592,#REF!)</f>
        <v>#REF!</v>
      </c>
      <c r="F1592" s="1644" t="e">
        <f>SUMIF(#REF!,Final!A1592,#REF!)</f>
        <v>#REF!</v>
      </c>
      <c r="G1592" s="1597" t="e">
        <f t="shared" si="172"/>
        <v>#REF!</v>
      </c>
      <c r="H1592" s="1644" t="e">
        <f t="shared" si="173"/>
        <v>#REF!</v>
      </c>
      <c r="I1592" s="1597" t="e">
        <f t="shared" si="174"/>
        <v>#REF!</v>
      </c>
      <c r="J1592" s="1644" t="e">
        <f t="shared" si="175"/>
        <v>#REF!</v>
      </c>
      <c r="M1592" s="1545"/>
      <c r="N1592" s="1545"/>
    </row>
    <row r="1593" spans="1:93" ht="15.5">
      <c r="A1593" s="1598">
        <v>31.071999999999999</v>
      </c>
      <c r="B1593" s="1599" t="s">
        <v>3431</v>
      </c>
      <c r="C1593" s="1643" t="e">
        <f>+SUMIF(#REF!,Final!A1593,#REF!)</f>
        <v>#REF!</v>
      </c>
      <c r="D1593" s="1597" t="e">
        <f>+SUMIF(#REF!,Final!A1593,#REF!)</f>
        <v>#REF!</v>
      </c>
      <c r="E1593" s="1643" t="e">
        <f>SUMIF(#REF!,Final!A1593,#REF!)</f>
        <v>#REF!</v>
      </c>
      <c r="F1593" s="1644" t="e">
        <f>SUMIF(#REF!,Final!A1593,#REF!)</f>
        <v>#REF!</v>
      </c>
      <c r="G1593" s="1597" t="e">
        <f t="shared" si="172"/>
        <v>#REF!</v>
      </c>
      <c r="H1593" s="1644" t="e">
        <f t="shared" si="173"/>
        <v>#REF!</v>
      </c>
      <c r="I1593" s="1597" t="e">
        <f t="shared" si="174"/>
        <v>#REF!</v>
      </c>
      <c r="J1593" s="1644" t="e">
        <f t="shared" si="175"/>
        <v>#REF!</v>
      </c>
      <c r="M1593" s="1545"/>
      <c r="N1593" s="1545"/>
    </row>
    <row r="1594" spans="1:93" ht="15.5">
      <c r="A1594" s="1598">
        <v>31.073</v>
      </c>
      <c r="B1594" s="1599" t="s">
        <v>3432</v>
      </c>
      <c r="C1594" s="1643" t="e">
        <f>+SUMIF(#REF!,Final!A1594,#REF!)</f>
        <v>#REF!</v>
      </c>
      <c r="D1594" s="1597" t="e">
        <f>+SUMIF(#REF!,Final!A1594,#REF!)</f>
        <v>#REF!</v>
      </c>
      <c r="E1594" s="1643" t="e">
        <f>SUMIF(#REF!,Final!A1594,#REF!)</f>
        <v>#REF!</v>
      </c>
      <c r="F1594" s="1644" t="e">
        <f>SUMIF(#REF!,Final!A1594,#REF!)</f>
        <v>#REF!</v>
      </c>
      <c r="G1594" s="1597" t="e">
        <f t="shared" si="172"/>
        <v>#REF!</v>
      </c>
      <c r="H1594" s="1644" t="e">
        <f t="shared" si="173"/>
        <v>#REF!</v>
      </c>
      <c r="I1594" s="1597" t="e">
        <f t="shared" si="174"/>
        <v>#REF!</v>
      </c>
      <c r="J1594" s="1644" t="e">
        <f t="shared" si="175"/>
        <v>#REF!</v>
      </c>
      <c r="M1594" s="1545"/>
      <c r="N1594" s="1545"/>
    </row>
    <row r="1595" spans="1:93" ht="15.5">
      <c r="A1595" s="1598">
        <v>31.074000000000002</v>
      </c>
      <c r="B1595" s="1599" t="s">
        <v>3433</v>
      </c>
      <c r="C1595" s="1643" t="e">
        <f>+SUMIF(#REF!,Final!A1595,#REF!)</f>
        <v>#REF!</v>
      </c>
      <c r="D1595" s="1597" t="e">
        <f>+SUMIF(#REF!,Final!A1595,#REF!)</f>
        <v>#REF!</v>
      </c>
      <c r="E1595" s="1643" t="e">
        <f>SUMIF(#REF!,Final!A1595,#REF!)</f>
        <v>#REF!</v>
      </c>
      <c r="F1595" s="1644" t="e">
        <f>SUMIF(#REF!,Final!A1595,#REF!)</f>
        <v>#REF!</v>
      </c>
      <c r="G1595" s="1597" t="e">
        <f t="shared" si="172"/>
        <v>#REF!</v>
      </c>
      <c r="H1595" s="1644" t="e">
        <f t="shared" si="173"/>
        <v>#REF!</v>
      </c>
      <c r="I1595" s="1597" t="e">
        <f t="shared" si="174"/>
        <v>#REF!</v>
      </c>
      <c r="J1595" s="1644" t="e">
        <f t="shared" si="175"/>
        <v>#REF!</v>
      </c>
      <c r="M1595" s="1545"/>
      <c r="N1595" s="1545"/>
    </row>
    <row r="1596" spans="1:93" ht="15.5">
      <c r="A1596" s="1598">
        <v>31.074999999999999</v>
      </c>
      <c r="B1596" s="1599" t="s">
        <v>3434</v>
      </c>
      <c r="C1596" s="1643" t="e">
        <f>+SUMIF(#REF!,Final!A1596,#REF!)</f>
        <v>#REF!</v>
      </c>
      <c r="D1596" s="1597" t="e">
        <f>+SUMIF(#REF!,Final!A1596,#REF!)</f>
        <v>#REF!</v>
      </c>
      <c r="E1596" s="1643" t="e">
        <f>SUMIF(#REF!,Final!A1596,#REF!)</f>
        <v>#REF!</v>
      </c>
      <c r="F1596" s="1644" t="e">
        <f>SUMIF(#REF!,Final!A1596,#REF!)</f>
        <v>#REF!</v>
      </c>
      <c r="G1596" s="1597" t="e">
        <f t="shared" si="172"/>
        <v>#REF!</v>
      </c>
      <c r="H1596" s="1644" t="e">
        <f t="shared" si="173"/>
        <v>#REF!</v>
      </c>
      <c r="I1596" s="1597" t="e">
        <f t="shared" si="174"/>
        <v>#REF!</v>
      </c>
      <c r="J1596" s="1644" t="e">
        <f t="shared" si="175"/>
        <v>#REF!</v>
      </c>
      <c r="M1596" s="1545"/>
      <c r="N1596" s="1545"/>
    </row>
    <row r="1597" spans="1:93" ht="15.5">
      <c r="A1597" s="1598">
        <v>31.076000000000001</v>
      </c>
      <c r="B1597" s="1599" t="s">
        <v>3435</v>
      </c>
      <c r="C1597" s="1643" t="e">
        <f>+SUMIF(#REF!,Final!A1597,#REF!)</f>
        <v>#REF!</v>
      </c>
      <c r="D1597" s="1597" t="e">
        <f>+SUMIF(#REF!,Final!A1597,#REF!)</f>
        <v>#REF!</v>
      </c>
      <c r="E1597" s="1643" t="e">
        <f>SUMIF(#REF!,Final!A1597,#REF!)</f>
        <v>#REF!</v>
      </c>
      <c r="F1597" s="1644" t="e">
        <f>SUMIF(#REF!,Final!A1597,#REF!)</f>
        <v>#REF!</v>
      </c>
      <c r="G1597" s="1597" t="e">
        <f t="shared" si="172"/>
        <v>#REF!</v>
      </c>
      <c r="H1597" s="1644" t="e">
        <f t="shared" si="173"/>
        <v>#REF!</v>
      </c>
      <c r="I1597" s="1597" t="e">
        <f t="shared" si="174"/>
        <v>#REF!</v>
      </c>
      <c r="J1597" s="1644" t="e">
        <f t="shared" si="175"/>
        <v>#REF!</v>
      </c>
      <c r="M1597" s="1545"/>
      <c r="N1597" s="1545"/>
    </row>
    <row r="1598" spans="1:93" ht="15.5">
      <c r="A1598" s="1598">
        <v>31.114000000000001</v>
      </c>
      <c r="B1598" s="1599" t="s">
        <v>3436</v>
      </c>
      <c r="C1598" s="1643" t="e">
        <f>+SUMIF(#REF!,Final!A1598,#REF!)</f>
        <v>#REF!</v>
      </c>
      <c r="D1598" s="1597" t="e">
        <f>+SUMIF(#REF!,Final!A1598,#REF!)</f>
        <v>#REF!</v>
      </c>
      <c r="E1598" s="1643" t="e">
        <f>SUMIF(#REF!,Final!A1598,#REF!)</f>
        <v>#REF!</v>
      </c>
      <c r="F1598" s="1644" t="e">
        <f>SUMIF(#REF!,Final!A1598,#REF!)</f>
        <v>#REF!</v>
      </c>
      <c r="G1598" s="1597" t="e">
        <f t="shared" si="172"/>
        <v>#REF!</v>
      </c>
      <c r="H1598" s="1644" t="e">
        <f t="shared" si="173"/>
        <v>#REF!</v>
      </c>
      <c r="I1598" s="1597" t="e">
        <f t="shared" si="174"/>
        <v>#REF!</v>
      </c>
      <c r="J1598" s="1644" t="e">
        <f t="shared" si="175"/>
        <v>#REF!</v>
      </c>
      <c r="M1598" s="1545"/>
      <c r="N1598" s="1545"/>
    </row>
    <row r="1599" spans="1:93" ht="15.5">
      <c r="A1599" s="1598">
        <v>31.114999999999998</v>
      </c>
      <c r="B1599" s="1599" t="s">
        <v>3437</v>
      </c>
      <c r="C1599" s="1643" t="e">
        <f>+SUMIF(#REF!,Final!A1599,#REF!)</f>
        <v>#REF!</v>
      </c>
      <c r="D1599" s="1597" t="e">
        <f>+SUMIF(#REF!,Final!A1599,#REF!)</f>
        <v>#REF!</v>
      </c>
      <c r="E1599" s="1643" t="e">
        <f>SUMIF(#REF!,Final!A1599,#REF!)</f>
        <v>#REF!</v>
      </c>
      <c r="F1599" s="1644" t="e">
        <f>SUMIF(#REF!,Final!A1599,#REF!)</f>
        <v>#REF!</v>
      </c>
      <c r="G1599" s="1597" t="e">
        <f t="shared" si="172"/>
        <v>#REF!</v>
      </c>
      <c r="H1599" s="1644" t="e">
        <f t="shared" si="173"/>
        <v>#REF!</v>
      </c>
      <c r="I1599" s="1597" t="e">
        <f t="shared" si="174"/>
        <v>#REF!</v>
      </c>
      <c r="J1599" s="1644" t="e">
        <f t="shared" si="175"/>
        <v>#REF!</v>
      </c>
      <c r="M1599" s="1545"/>
      <c r="N1599" s="1545"/>
    </row>
    <row r="1600" spans="1:93" ht="15.5">
      <c r="A1600" s="1605">
        <v>32.020000000000003</v>
      </c>
      <c r="B1600" s="1705" t="s">
        <v>4979</v>
      </c>
      <c r="C1600" s="1643" t="e">
        <f>+SUMIF(#REF!,Final!A1600,#REF!)</f>
        <v>#REF!</v>
      </c>
      <c r="D1600" s="1597" t="e">
        <f>+SUMIF(#REF!,Final!A1600,#REF!)</f>
        <v>#REF!</v>
      </c>
      <c r="E1600" s="1643" t="e">
        <f>SUMIF(#REF!,Final!A1600,#REF!)</f>
        <v>#REF!</v>
      </c>
      <c r="F1600" s="1644" t="e">
        <f>SUMIF(#REF!,Final!A1600,#REF!)</f>
        <v>#REF!</v>
      </c>
      <c r="G1600" s="1597" t="e">
        <f t="shared" si="172"/>
        <v>#REF!</v>
      </c>
      <c r="H1600" s="1644" t="e">
        <f t="shared" si="173"/>
        <v>#REF!</v>
      </c>
      <c r="I1600" s="1597" t="e">
        <f t="shared" si="174"/>
        <v>#REF!</v>
      </c>
      <c r="J1600" s="1644" t="e">
        <f t="shared" si="175"/>
        <v>#REF!</v>
      </c>
      <c r="M1600" s="1545"/>
      <c r="N1600" s="1545"/>
    </row>
    <row r="1601" spans="1:14" ht="15.5">
      <c r="A1601" s="1605">
        <v>32.021000000000001</v>
      </c>
      <c r="B1601" s="1705" t="s">
        <v>3412</v>
      </c>
      <c r="C1601" s="1643" t="e">
        <f>+SUMIF(#REF!,Final!A1601,#REF!)</f>
        <v>#REF!</v>
      </c>
      <c r="D1601" s="1597" t="e">
        <f>+SUMIF(#REF!,Final!A1601,#REF!)</f>
        <v>#REF!</v>
      </c>
      <c r="E1601" s="1643" t="e">
        <f>SUMIF(#REF!,Final!A1601,#REF!)</f>
        <v>#REF!</v>
      </c>
      <c r="F1601" s="1644" t="e">
        <f>SUMIF(#REF!,Final!A1601,#REF!)</f>
        <v>#REF!</v>
      </c>
      <c r="G1601" s="1597" t="e">
        <f t="shared" si="172"/>
        <v>#REF!</v>
      </c>
      <c r="H1601" s="1644" t="e">
        <f t="shared" si="173"/>
        <v>#REF!</v>
      </c>
      <c r="I1601" s="1597" t="e">
        <f t="shared" si="174"/>
        <v>#REF!</v>
      </c>
      <c r="J1601" s="1644" t="e">
        <f t="shared" si="175"/>
        <v>#REF!</v>
      </c>
      <c r="M1601" s="1545"/>
      <c r="N1601" s="1545"/>
    </row>
    <row r="1602" spans="1:14" ht="15.5">
      <c r="A1602" s="1605">
        <v>32.021999999999998</v>
      </c>
      <c r="B1602" s="1705" t="s">
        <v>3413</v>
      </c>
      <c r="C1602" s="1643" t="e">
        <f>+SUMIF(#REF!,Final!A1602,#REF!)</f>
        <v>#REF!</v>
      </c>
      <c r="D1602" s="1597" t="e">
        <f>+SUMIF(#REF!,Final!A1602,#REF!)</f>
        <v>#REF!</v>
      </c>
      <c r="E1602" s="1643" t="e">
        <f>SUMIF(#REF!,Final!A1602,#REF!)</f>
        <v>#REF!</v>
      </c>
      <c r="F1602" s="1644" t="e">
        <f>SUMIF(#REF!,Final!A1602,#REF!)</f>
        <v>#REF!</v>
      </c>
      <c r="G1602" s="1597" t="e">
        <f t="shared" si="172"/>
        <v>#REF!</v>
      </c>
      <c r="H1602" s="1644" t="e">
        <f t="shared" si="173"/>
        <v>#REF!</v>
      </c>
      <c r="I1602" s="1597" t="e">
        <f t="shared" si="174"/>
        <v>#REF!</v>
      </c>
      <c r="J1602" s="1644" t="e">
        <f t="shared" si="175"/>
        <v>#REF!</v>
      </c>
      <c r="M1602" s="1545"/>
      <c r="N1602" s="1545"/>
    </row>
    <row r="1603" spans="1:14" ht="15.5">
      <c r="A1603" s="1605">
        <v>32.023000000000003</v>
      </c>
      <c r="B1603" s="1705" t="s">
        <v>3414</v>
      </c>
      <c r="C1603" s="1643" t="e">
        <f>+SUMIF(#REF!,Final!A1603,#REF!)</f>
        <v>#REF!</v>
      </c>
      <c r="D1603" s="1597" t="e">
        <f>+SUMIF(#REF!,Final!A1603,#REF!)</f>
        <v>#REF!</v>
      </c>
      <c r="E1603" s="1643" t="e">
        <f>SUMIF(#REF!,Final!A1603,#REF!)</f>
        <v>#REF!</v>
      </c>
      <c r="F1603" s="1644" t="e">
        <f>SUMIF(#REF!,Final!A1603,#REF!)</f>
        <v>#REF!</v>
      </c>
      <c r="G1603" s="1597" t="e">
        <f t="shared" si="172"/>
        <v>#REF!</v>
      </c>
      <c r="H1603" s="1644" t="e">
        <f t="shared" si="173"/>
        <v>#REF!</v>
      </c>
      <c r="I1603" s="1597" t="e">
        <f t="shared" si="174"/>
        <v>#REF!</v>
      </c>
      <c r="J1603" s="1644" t="e">
        <f t="shared" si="175"/>
        <v>#REF!</v>
      </c>
      <c r="M1603" s="1545"/>
      <c r="N1603" s="1545"/>
    </row>
    <row r="1604" spans="1:14" ht="15.5">
      <c r="A1604" s="1605">
        <v>32.024000000000001</v>
      </c>
      <c r="B1604" s="1705" t="s">
        <v>3415</v>
      </c>
      <c r="C1604" s="1643" t="e">
        <f>+SUMIF(#REF!,Final!A1604,#REF!)</f>
        <v>#REF!</v>
      </c>
      <c r="D1604" s="1597" t="e">
        <f>+SUMIF(#REF!,Final!A1604,#REF!)</f>
        <v>#REF!</v>
      </c>
      <c r="E1604" s="1643" t="e">
        <f>SUMIF(#REF!,Final!A1604,#REF!)</f>
        <v>#REF!</v>
      </c>
      <c r="F1604" s="1644" t="e">
        <f>SUMIF(#REF!,Final!A1604,#REF!)</f>
        <v>#REF!</v>
      </c>
      <c r="G1604" s="1597" t="e">
        <f t="shared" si="172"/>
        <v>#REF!</v>
      </c>
      <c r="H1604" s="1644" t="e">
        <f t="shared" si="173"/>
        <v>#REF!</v>
      </c>
      <c r="I1604" s="1597" t="e">
        <f t="shared" si="174"/>
        <v>#REF!</v>
      </c>
      <c r="J1604" s="1644" t="e">
        <f t="shared" si="175"/>
        <v>#REF!</v>
      </c>
      <c r="M1604" s="1545"/>
      <c r="N1604" s="1545"/>
    </row>
    <row r="1605" spans="1:14" ht="15.5">
      <c r="A1605" s="1605">
        <v>32.024999999999999</v>
      </c>
      <c r="B1605" s="1705" t="s">
        <v>3416</v>
      </c>
      <c r="C1605" s="1643" t="e">
        <f>+SUMIF(#REF!,Final!A1605,#REF!)</f>
        <v>#REF!</v>
      </c>
      <c r="D1605" s="1597" t="e">
        <f>+SUMIF(#REF!,Final!A1605,#REF!)</f>
        <v>#REF!</v>
      </c>
      <c r="E1605" s="1643" t="e">
        <f>SUMIF(#REF!,Final!A1605,#REF!)</f>
        <v>#REF!</v>
      </c>
      <c r="F1605" s="1644" t="e">
        <f>SUMIF(#REF!,Final!A1605,#REF!)</f>
        <v>#REF!</v>
      </c>
      <c r="G1605" s="1597" t="e">
        <f t="shared" si="172"/>
        <v>#REF!</v>
      </c>
      <c r="H1605" s="1644" t="e">
        <f t="shared" si="173"/>
        <v>#REF!</v>
      </c>
      <c r="I1605" s="1597" t="e">
        <f t="shared" si="174"/>
        <v>#REF!</v>
      </c>
      <c r="J1605" s="1644" t="e">
        <f t="shared" si="175"/>
        <v>#REF!</v>
      </c>
      <c r="M1605" s="1545"/>
      <c r="N1605" s="1545"/>
    </row>
    <row r="1606" spans="1:14" ht="15.5">
      <c r="A1606" s="1605">
        <v>32.026000000000003</v>
      </c>
      <c r="B1606" s="1705" t="s">
        <v>3417</v>
      </c>
      <c r="C1606" s="1643" t="e">
        <f>+SUMIF(#REF!,Final!A1606,#REF!)</f>
        <v>#REF!</v>
      </c>
      <c r="D1606" s="1597" t="e">
        <f>+SUMIF(#REF!,Final!A1606,#REF!)</f>
        <v>#REF!</v>
      </c>
      <c r="E1606" s="1643" t="e">
        <f>SUMIF(#REF!,Final!A1606,#REF!)</f>
        <v>#REF!</v>
      </c>
      <c r="F1606" s="1644" t="e">
        <f>SUMIF(#REF!,Final!A1606,#REF!)</f>
        <v>#REF!</v>
      </c>
      <c r="G1606" s="1597" t="e">
        <f t="shared" si="172"/>
        <v>#REF!</v>
      </c>
      <c r="H1606" s="1644" t="e">
        <f t="shared" si="173"/>
        <v>#REF!</v>
      </c>
      <c r="I1606" s="1597" t="e">
        <f t="shared" si="174"/>
        <v>#REF!</v>
      </c>
      <c r="J1606" s="1644" t="e">
        <f t="shared" si="175"/>
        <v>#REF!</v>
      </c>
      <c r="M1606" s="1545"/>
      <c r="N1606" s="1545"/>
    </row>
    <row r="1607" spans="1:14" ht="15.5">
      <c r="A1607" s="1605">
        <v>32.027000000000001</v>
      </c>
      <c r="B1607" s="1705" t="s">
        <v>3418</v>
      </c>
      <c r="C1607" s="1643" t="e">
        <f>+SUMIF(#REF!,Final!A1607,#REF!)</f>
        <v>#REF!</v>
      </c>
      <c r="D1607" s="1597" t="e">
        <f>+SUMIF(#REF!,Final!A1607,#REF!)</f>
        <v>#REF!</v>
      </c>
      <c r="E1607" s="1643" t="e">
        <f>SUMIF(#REF!,Final!A1607,#REF!)</f>
        <v>#REF!</v>
      </c>
      <c r="F1607" s="1644" t="e">
        <f>SUMIF(#REF!,Final!A1607,#REF!)</f>
        <v>#REF!</v>
      </c>
      <c r="G1607" s="1597" t="e">
        <f t="shared" si="172"/>
        <v>#REF!</v>
      </c>
      <c r="H1607" s="1644" t="e">
        <f t="shared" si="173"/>
        <v>#REF!</v>
      </c>
      <c r="I1607" s="1597" t="e">
        <f t="shared" si="174"/>
        <v>#REF!</v>
      </c>
      <c r="J1607" s="1644" t="e">
        <f t="shared" si="175"/>
        <v>#REF!</v>
      </c>
      <c r="M1607" s="1545"/>
      <c r="N1607" s="1545"/>
    </row>
    <row r="1608" spans="1:14" ht="15.5">
      <c r="A1608" s="1605">
        <v>32.027999999999999</v>
      </c>
      <c r="B1608" s="1705" t="s">
        <v>3419</v>
      </c>
      <c r="C1608" s="1643" t="e">
        <f>+SUMIF(#REF!,Final!A1608,#REF!)</f>
        <v>#REF!</v>
      </c>
      <c r="D1608" s="1597" t="e">
        <f>+SUMIF(#REF!,Final!A1608,#REF!)</f>
        <v>#REF!</v>
      </c>
      <c r="E1608" s="1643" t="e">
        <f>SUMIF(#REF!,Final!A1608,#REF!)</f>
        <v>#REF!</v>
      </c>
      <c r="F1608" s="1644" t="e">
        <f>SUMIF(#REF!,Final!A1608,#REF!)</f>
        <v>#REF!</v>
      </c>
      <c r="G1608" s="1597" t="e">
        <f t="shared" si="172"/>
        <v>#REF!</v>
      </c>
      <c r="H1608" s="1644" t="e">
        <f t="shared" si="173"/>
        <v>#REF!</v>
      </c>
      <c r="I1608" s="1597" t="e">
        <f t="shared" si="174"/>
        <v>#REF!</v>
      </c>
      <c r="J1608" s="1644" t="e">
        <f t="shared" si="175"/>
        <v>#REF!</v>
      </c>
      <c r="M1608" s="1545"/>
      <c r="N1608" s="1545"/>
    </row>
    <row r="1609" spans="1:14" ht="15.5">
      <c r="A1609" s="1605">
        <v>32.029000000000003</v>
      </c>
      <c r="B1609" s="1705" t="s">
        <v>3420</v>
      </c>
      <c r="C1609" s="1643" t="e">
        <f>+SUMIF(#REF!,Final!A1609,#REF!)</f>
        <v>#REF!</v>
      </c>
      <c r="D1609" s="1597" t="e">
        <f>+SUMIF(#REF!,Final!A1609,#REF!)</f>
        <v>#REF!</v>
      </c>
      <c r="E1609" s="1643" t="e">
        <f>SUMIF(#REF!,Final!A1609,#REF!)</f>
        <v>#REF!</v>
      </c>
      <c r="F1609" s="1644" t="e">
        <f>SUMIF(#REF!,Final!A1609,#REF!)</f>
        <v>#REF!</v>
      </c>
      <c r="G1609" s="1597" t="e">
        <f t="shared" si="172"/>
        <v>#REF!</v>
      </c>
      <c r="H1609" s="1644" t="e">
        <f t="shared" si="173"/>
        <v>#REF!</v>
      </c>
      <c r="I1609" s="1597" t="e">
        <f t="shared" si="174"/>
        <v>#REF!</v>
      </c>
      <c r="J1609" s="1644" t="e">
        <f t="shared" si="175"/>
        <v>#REF!</v>
      </c>
      <c r="M1609" s="1545"/>
      <c r="N1609" s="1545"/>
    </row>
    <row r="1610" spans="1:14" ht="15.5">
      <c r="A1610" s="1605">
        <v>32.03</v>
      </c>
      <c r="B1610" s="1705" t="s">
        <v>3421</v>
      </c>
      <c r="C1610" s="1643" t="e">
        <f>+SUMIF(#REF!,Final!A1610,#REF!)</f>
        <v>#REF!</v>
      </c>
      <c r="D1610" s="1597" t="e">
        <f>+SUMIF(#REF!,Final!A1610,#REF!)</f>
        <v>#REF!</v>
      </c>
      <c r="E1610" s="1643" t="e">
        <f>SUMIF(#REF!,Final!A1610,#REF!)</f>
        <v>#REF!</v>
      </c>
      <c r="F1610" s="1644" t="e">
        <f>SUMIF(#REF!,Final!A1610,#REF!)</f>
        <v>#REF!</v>
      </c>
      <c r="G1610" s="1597" t="e">
        <f t="shared" si="172"/>
        <v>#REF!</v>
      </c>
      <c r="H1610" s="1644" t="e">
        <f t="shared" si="173"/>
        <v>#REF!</v>
      </c>
      <c r="I1610" s="1597" t="e">
        <f t="shared" si="174"/>
        <v>#REF!</v>
      </c>
      <c r="J1610" s="1644" t="e">
        <f t="shared" si="175"/>
        <v>#REF!</v>
      </c>
      <c r="M1610" s="1545"/>
      <c r="N1610" s="1545"/>
    </row>
    <row r="1611" spans="1:14" ht="15.5">
      <c r="A1611" s="1605">
        <v>32.030999999999999</v>
      </c>
      <c r="B1611" s="1705" t="s">
        <v>3422</v>
      </c>
      <c r="C1611" s="1643" t="e">
        <f>+SUMIF(#REF!,Final!A1611,#REF!)</f>
        <v>#REF!</v>
      </c>
      <c r="D1611" s="1597" t="e">
        <f>+SUMIF(#REF!,Final!A1611,#REF!)</f>
        <v>#REF!</v>
      </c>
      <c r="E1611" s="1643" t="e">
        <f>SUMIF(#REF!,Final!A1611,#REF!)</f>
        <v>#REF!</v>
      </c>
      <c r="F1611" s="1644" t="e">
        <f>SUMIF(#REF!,Final!A1611,#REF!)</f>
        <v>#REF!</v>
      </c>
      <c r="G1611" s="1597" t="e">
        <f t="shared" si="172"/>
        <v>#REF!</v>
      </c>
      <c r="H1611" s="1644" t="e">
        <f t="shared" si="173"/>
        <v>#REF!</v>
      </c>
      <c r="I1611" s="1597" t="e">
        <f t="shared" si="174"/>
        <v>#REF!</v>
      </c>
      <c r="J1611" s="1644" t="e">
        <f t="shared" si="175"/>
        <v>#REF!</v>
      </c>
      <c r="M1611" s="1545"/>
      <c r="N1611" s="1545"/>
    </row>
    <row r="1612" spans="1:14" ht="15.5">
      <c r="A1612" s="1605">
        <v>32.031999999999996</v>
      </c>
      <c r="B1612" s="1705" t="s">
        <v>3423</v>
      </c>
      <c r="C1612" s="1643" t="e">
        <f>+SUMIF(#REF!,Final!A1612,#REF!)</f>
        <v>#REF!</v>
      </c>
      <c r="D1612" s="1597" t="e">
        <f>+SUMIF(#REF!,Final!A1612,#REF!)</f>
        <v>#REF!</v>
      </c>
      <c r="E1612" s="1643" t="e">
        <f>SUMIF(#REF!,Final!A1612,#REF!)</f>
        <v>#REF!</v>
      </c>
      <c r="F1612" s="1644" t="e">
        <f>SUMIF(#REF!,Final!A1612,#REF!)</f>
        <v>#REF!</v>
      </c>
      <c r="G1612" s="1597" t="e">
        <f t="shared" si="172"/>
        <v>#REF!</v>
      </c>
      <c r="H1612" s="1644" t="e">
        <f t="shared" si="173"/>
        <v>#REF!</v>
      </c>
      <c r="I1612" s="1597" t="e">
        <f t="shared" si="174"/>
        <v>#REF!</v>
      </c>
      <c r="J1612" s="1644" t="e">
        <f t="shared" si="175"/>
        <v>#REF!</v>
      </c>
      <c r="M1612" s="1545"/>
      <c r="N1612" s="1545"/>
    </row>
    <row r="1613" spans="1:14" ht="15.5">
      <c r="A1613" s="1605">
        <v>32.033000000000001</v>
      </c>
      <c r="B1613" s="1705" t="s">
        <v>3424</v>
      </c>
      <c r="C1613" s="1643" t="e">
        <f>+SUMIF(#REF!,Final!A1613,#REF!)</f>
        <v>#REF!</v>
      </c>
      <c r="D1613" s="1597" t="e">
        <f>+SUMIF(#REF!,Final!A1613,#REF!)</f>
        <v>#REF!</v>
      </c>
      <c r="E1613" s="1643" t="e">
        <f>SUMIF(#REF!,Final!A1613,#REF!)</f>
        <v>#REF!</v>
      </c>
      <c r="F1613" s="1644" t="e">
        <f>SUMIF(#REF!,Final!A1613,#REF!)</f>
        <v>#REF!</v>
      </c>
      <c r="G1613" s="1597" t="e">
        <f t="shared" si="172"/>
        <v>#REF!</v>
      </c>
      <c r="H1613" s="1644" t="e">
        <f t="shared" si="173"/>
        <v>#REF!</v>
      </c>
      <c r="I1613" s="1597" t="e">
        <f t="shared" si="174"/>
        <v>#REF!</v>
      </c>
      <c r="J1613" s="1644" t="e">
        <f t="shared" si="175"/>
        <v>#REF!</v>
      </c>
      <c r="M1613" s="1545"/>
      <c r="N1613" s="1545"/>
    </row>
    <row r="1614" spans="1:14" ht="15.5">
      <c r="A1614" s="1605">
        <v>32.033999999999999</v>
      </c>
      <c r="B1614" s="1705" t="s">
        <v>3425</v>
      </c>
      <c r="C1614" s="1643" t="e">
        <f>+SUMIF(#REF!,Final!A1614,#REF!)</f>
        <v>#REF!</v>
      </c>
      <c r="D1614" s="1597" t="e">
        <f>+SUMIF(#REF!,Final!A1614,#REF!)</f>
        <v>#REF!</v>
      </c>
      <c r="E1614" s="1643" t="e">
        <f>SUMIF(#REF!,Final!A1614,#REF!)</f>
        <v>#REF!</v>
      </c>
      <c r="F1614" s="1644" t="e">
        <f>SUMIF(#REF!,Final!A1614,#REF!)</f>
        <v>#REF!</v>
      </c>
      <c r="G1614" s="1597" t="e">
        <f t="shared" si="172"/>
        <v>#REF!</v>
      </c>
      <c r="H1614" s="1644" t="e">
        <f t="shared" si="173"/>
        <v>#REF!</v>
      </c>
      <c r="I1614" s="1597" t="e">
        <f t="shared" si="174"/>
        <v>#REF!</v>
      </c>
      <c r="J1614" s="1644" t="e">
        <f t="shared" si="175"/>
        <v>#REF!</v>
      </c>
      <c r="M1614" s="1545"/>
      <c r="N1614" s="1545"/>
    </row>
    <row r="1615" spans="1:14" ht="15.5">
      <c r="A1615" s="1605">
        <v>32.034999999999997</v>
      </c>
      <c r="B1615" s="1705" t="s">
        <v>3426</v>
      </c>
      <c r="C1615" s="1643" t="e">
        <f>+SUMIF(#REF!,Final!A1615,#REF!)</f>
        <v>#REF!</v>
      </c>
      <c r="D1615" s="1597" t="e">
        <f>+SUMIF(#REF!,Final!A1615,#REF!)</f>
        <v>#REF!</v>
      </c>
      <c r="E1615" s="1643" t="e">
        <f>SUMIF(#REF!,Final!A1615,#REF!)</f>
        <v>#REF!</v>
      </c>
      <c r="F1615" s="1644" t="e">
        <f>SUMIF(#REF!,Final!A1615,#REF!)</f>
        <v>#REF!</v>
      </c>
      <c r="G1615" s="1597" t="e">
        <f t="shared" si="172"/>
        <v>#REF!</v>
      </c>
      <c r="H1615" s="1644" t="e">
        <f t="shared" si="173"/>
        <v>#REF!</v>
      </c>
      <c r="I1615" s="1597" t="e">
        <f t="shared" si="174"/>
        <v>#REF!</v>
      </c>
      <c r="J1615" s="1644" t="e">
        <f t="shared" si="175"/>
        <v>#REF!</v>
      </c>
      <c r="M1615" s="1545"/>
      <c r="N1615" s="1545"/>
    </row>
    <row r="1616" spans="1:14" ht="15.5">
      <c r="A1616" s="1605">
        <v>32.036000000000001</v>
      </c>
      <c r="B1616" s="1705" t="s">
        <v>3427</v>
      </c>
      <c r="C1616" s="1643" t="e">
        <f>+SUMIF(#REF!,Final!A1616,#REF!)</f>
        <v>#REF!</v>
      </c>
      <c r="D1616" s="1597" t="e">
        <f>+SUMIF(#REF!,Final!A1616,#REF!)</f>
        <v>#REF!</v>
      </c>
      <c r="E1616" s="1643" t="e">
        <f>SUMIF(#REF!,Final!A1616,#REF!)</f>
        <v>#REF!</v>
      </c>
      <c r="F1616" s="1644" t="e">
        <f>SUMIF(#REF!,Final!A1616,#REF!)</f>
        <v>#REF!</v>
      </c>
      <c r="G1616" s="1597" t="e">
        <f t="shared" si="172"/>
        <v>#REF!</v>
      </c>
      <c r="H1616" s="1644" t="e">
        <f t="shared" si="173"/>
        <v>#REF!</v>
      </c>
      <c r="I1616" s="1597" t="e">
        <f t="shared" si="174"/>
        <v>#REF!</v>
      </c>
      <c r="J1616" s="1644" t="e">
        <f t="shared" si="175"/>
        <v>#REF!</v>
      </c>
      <c r="M1616" s="1545"/>
      <c r="N1616" s="1545"/>
    </row>
    <row r="1617" spans="1:93" ht="15.5">
      <c r="A1617" s="1605">
        <v>32.036999999999999</v>
      </c>
      <c r="B1617" s="1705" t="s">
        <v>4980</v>
      </c>
      <c r="C1617" s="1643" t="e">
        <f>+SUMIF(#REF!,Final!A1617,#REF!)</f>
        <v>#REF!</v>
      </c>
      <c r="D1617" s="1597" t="e">
        <f>+SUMIF(#REF!,Final!A1617,#REF!)</f>
        <v>#REF!</v>
      </c>
      <c r="E1617" s="1643" t="e">
        <f>SUMIF(#REF!,Final!A1617,#REF!)</f>
        <v>#REF!</v>
      </c>
      <c r="F1617" s="1644" t="e">
        <f>SUMIF(#REF!,Final!A1617,#REF!)</f>
        <v>#REF!</v>
      </c>
      <c r="G1617" s="1597" t="e">
        <f t="shared" si="172"/>
        <v>#REF!</v>
      </c>
      <c r="H1617" s="1644" t="e">
        <f t="shared" si="173"/>
        <v>#REF!</v>
      </c>
      <c r="I1617" s="1597" t="e">
        <f t="shared" si="174"/>
        <v>#REF!</v>
      </c>
      <c r="J1617" s="1644" t="e">
        <f t="shared" si="175"/>
        <v>#REF!</v>
      </c>
      <c r="M1617" s="1545"/>
      <c r="N1617" s="1545"/>
    </row>
    <row r="1618" spans="1:93" ht="15.5">
      <c r="A1618" s="1605">
        <v>32.037999999999997</v>
      </c>
      <c r="B1618" s="1705" t="s">
        <v>3429</v>
      </c>
      <c r="C1618" s="1643" t="e">
        <f>+SUMIF(#REF!,Final!A1618,#REF!)</f>
        <v>#REF!</v>
      </c>
      <c r="D1618" s="1597" t="e">
        <f>+SUMIF(#REF!,Final!A1618,#REF!)</f>
        <v>#REF!</v>
      </c>
      <c r="E1618" s="1643" t="e">
        <f>SUMIF(#REF!,Final!A1618,#REF!)</f>
        <v>#REF!</v>
      </c>
      <c r="F1618" s="1644" t="e">
        <f>SUMIF(#REF!,Final!A1618,#REF!)</f>
        <v>#REF!</v>
      </c>
      <c r="G1618" s="1597" t="e">
        <f t="shared" si="172"/>
        <v>#REF!</v>
      </c>
      <c r="H1618" s="1644" t="e">
        <f t="shared" si="173"/>
        <v>#REF!</v>
      </c>
      <c r="I1618" s="1597" t="e">
        <f t="shared" si="174"/>
        <v>#REF!</v>
      </c>
      <c r="J1618" s="1644" t="e">
        <f t="shared" si="175"/>
        <v>#REF!</v>
      </c>
      <c r="M1618" s="1545"/>
      <c r="N1618" s="1545"/>
    </row>
    <row r="1619" spans="1:93" ht="15.5">
      <c r="A1619" s="1605">
        <v>32.039000000000001</v>
      </c>
      <c r="B1619" s="1705" t="s">
        <v>4981</v>
      </c>
      <c r="C1619" s="1643" t="e">
        <f>+SUMIF(#REF!,Final!A1619,#REF!)</f>
        <v>#REF!</v>
      </c>
      <c r="D1619" s="1597" t="e">
        <f>+SUMIF(#REF!,Final!A1619,#REF!)</f>
        <v>#REF!</v>
      </c>
      <c r="E1619" s="1643" t="e">
        <f>SUMIF(#REF!,Final!A1619,#REF!)</f>
        <v>#REF!</v>
      </c>
      <c r="F1619" s="1644" t="e">
        <f>SUMIF(#REF!,Final!A1619,#REF!)</f>
        <v>#REF!</v>
      </c>
      <c r="G1619" s="1597" t="e">
        <f t="shared" si="172"/>
        <v>#REF!</v>
      </c>
      <c r="H1619" s="1644" t="e">
        <f t="shared" si="173"/>
        <v>#REF!</v>
      </c>
      <c r="I1619" s="1597" t="e">
        <f t="shared" si="174"/>
        <v>#REF!</v>
      </c>
      <c r="J1619" s="1644" t="e">
        <f t="shared" si="175"/>
        <v>#REF!</v>
      </c>
      <c r="M1619" s="1545"/>
      <c r="N1619" s="1545"/>
    </row>
    <row r="1620" spans="1:93" ht="15.5">
      <c r="A1620" s="1605">
        <v>32.070999999999998</v>
      </c>
      <c r="B1620" s="1705" t="s">
        <v>3430</v>
      </c>
      <c r="C1620" s="1643" t="e">
        <f>+SUMIF(#REF!,Final!A1620,#REF!)</f>
        <v>#REF!</v>
      </c>
      <c r="D1620" s="1597" t="e">
        <f>+SUMIF(#REF!,Final!A1620,#REF!)</f>
        <v>#REF!</v>
      </c>
      <c r="E1620" s="1643" t="e">
        <f>SUMIF(#REF!,Final!A1620,#REF!)</f>
        <v>#REF!</v>
      </c>
      <c r="F1620" s="1644" t="e">
        <f>SUMIF(#REF!,Final!A1620,#REF!)</f>
        <v>#REF!</v>
      </c>
      <c r="G1620" s="1597" t="e">
        <f t="shared" si="172"/>
        <v>#REF!</v>
      </c>
      <c r="H1620" s="1644" t="e">
        <f t="shared" si="173"/>
        <v>#REF!</v>
      </c>
      <c r="I1620" s="1597" t="e">
        <f t="shared" si="174"/>
        <v>#REF!</v>
      </c>
      <c r="J1620" s="1644" t="e">
        <f t="shared" si="175"/>
        <v>#REF!</v>
      </c>
      <c r="M1620" s="1545"/>
      <c r="N1620" s="1545"/>
    </row>
    <row r="1621" spans="1:93" ht="15.5">
      <c r="A1621" s="1605">
        <v>32.072000000000003</v>
      </c>
      <c r="B1621" s="1705" t="s">
        <v>3431</v>
      </c>
      <c r="C1621" s="1643" t="e">
        <f>+SUMIF(#REF!,Final!A1621,#REF!)</f>
        <v>#REF!</v>
      </c>
      <c r="D1621" s="1597" t="e">
        <f>+SUMIF(#REF!,Final!A1621,#REF!)</f>
        <v>#REF!</v>
      </c>
      <c r="E1621" s="1643" t="e">
        <f>SUMIF(#REF!,Final!A1621,#REF!)</f>
        <v>#REF!</v>
      </c>
      <c r="F1621" s="1644" t="e">
        <f>SUMIF(#REF!,Final!A1621,#REF!)</f>
        <v>#REF!</v>
      </c>
      <c r="G1621" s="1597" t="e">
        <f t="shared" si="172"/>
        <v>#REF!</v>
      </c>
      <c r="H1621" s="1644" t="e">
        <f t="shared" si="173"/>
        <v>#REF!</v>
      </c>
      <c r="I1621" s="1597" t="e">
        <f t="shared" si="174"/>
        <v>#REF!</v>
      </c>
      <c r="J1621" s="1644" t="e">
        <f t="shared" si="175"/>
        <v>#REF!</v>
      </c>
      <c r="M1621" s="1545"/>
      <c r="N1621" s="1545"/>
    </row>
    <row r="1622" spans="1:93" ht="15.5">
      <c r="A1622" s="1605">
        <v>32.073</v>
      </c>
      <c r="B1622" s="1705" t="s">
        <v>3432</v>
      </c>
      <c r="C1622" s="1643" t="e">
        <f>+SUMIF(#REF!,Final!A1622,#REF!)</f>
        <v>#REF!</v>
      </c>
      <c r="D1622" s="1597" t="e">
        <f>+SUMIF(#REF!,Final!A1622,#REF!)</f>
        <v>#REF!</v>
      </c>
      <c r="E1622" s="1643" t="e">
        <f>SUMIF(#REF!,Final!A1622,#REF!)</f>
        <v>#REF!</v>
      </c>
      <c r="F1622" s="1644" t="e">
        <f>SUMIF(#REF!,Final!A1622,#REF!)</f>
        <v>#REF!</v>
      </c>
      <c r="G1622" s="1597" t="e">
        <f t="shared" si="172"/>
        <v>#REF!</v>
      </c>
      <c r="H1622" s="1644" t="e">
        <f t="shared" si="173"/>
        <v>#REF!</v>
      </c>
      <c r="I1622" s="1597" t="e">
        <f t="shared" si="174"/>
        <v>#REF!</v>
      </c>
      <c r="J1622" s="1644" t="e">
        <f t="shared" si="175"/>
        <v>#REF!</v>
      </c>
      <c r="M1622" s="1545"/>
      <c r="N1622" s="1545"/>
    </row>
    <row r="1623" spans="1:93" ht="15.5">
      <c r="A1623" s="1605">
        <v>32.073999999999998</v>
      </c>
      <c r="B1623" s="1705" t="s">
        <v>3433</v>
      </c>
      <c r="C1623" s="1643" t="e">
        <f>+SUMIF(#REF!,Final!A1623,#REF!)</f>
        <v>#REF!</v>
      </c>
      <c r="D1623" s="1597" t="e">
        <f>+SUMIF(#REF!,Final!A1623,#REF!)</f>
        <v>#REF!</v>
      </c>
      <c r="E1623" s="1643" t="e">
        <f>SUMIF(#REF!,Final!A1623,#REF!)</f>
        <v>#REF!</v>
      </c>
      <c r="F1623" s="1644" t="e">
        <f>SUMIF(#REF!,Final!A1623,#REF!)</f>
        <v>#REF!</v>
      </c>
      <c r="G1623" s="1597" t="e">
        <f t="shared" si="172"/>
        <v>#REF!</v>
      </c>
      <c r="H1623" s="1644" t="e">
        <f t="shared" si="173"/>
        <v>#REF!</v>
      </c>
      <c r="I1623" s="1597" t="e">
        <f t="shared" si="174"/>
        <v>#REF!</v>
      </c>
      <c r="J1623" s="1644" t="e">
        <f t="shared" si="175"/>
        <v>#REF!</v>
      </c>
      <c r="M1623" s="1545"/>
      <c r="N1623" s="1545"/>
    </row>
    <row r="1624" spans="1:93" ht="15.5">
      <c r="A1624" s="1605">
        <v>32.075000000000003</v>
      </c>
      <c r="B1624" s="1705" t="s">
        <v>3434</v>
      </c>
      <c r="C1624" s="1643" t="e">
        <f>+SUMIF(#REF!,Final!A1624,#REF!)</f>
        <v>#REF!</v>
      </c>
      <c r="D1624" s="1597" t="e">
        <f>+SUMIF(#REF!,Final!A1624,#REF!)</f>
        <v>#REF!</v>
      </c>
      <c r="E1624" s="1643" t="e">
        <f>SUMIF(#REF!,Final!A1624,#REF!)</f>
        <v>#REF!</v>
      </c>
      <c r="F1624" s="1644" t="e">
        <f>SUMIF(#REF!,Final!A1624,#REF!)</f>
        <v>#REF!</v>
      </c>
      <c r="G1624" s="1597" t="e">
        <f t="shared" si="172"/>
        <v>#REF!</v>
      </c>
      <c r="H1624" s="1644" t="e">
        <f t="shared" si="173"/>
        <v>#REF!</v>
      </c>
      <c r="I1624" s="1597" t="e">
        <f t="shared" si="174"/>
        <v>#REF!</v>
      </c>
      <c r="J1624" s="1644" t="e">
        <f t="shared" si="175"/>
        <v>#REF!</v>
      </c>
      <c r="M1624" s="1545"/>
      <c r="N1624" s="1545"/>
    </row>
    <row r="1625" spans="1:93" ht="15.5">
      <c r="A1625" s="1605">
        <v>32.076000000000001</v>
      </c>
      <c r="B1625" s="1705" t="s">
        <v>3435</v>
      </c>
      <c r="C1625" s="1643" t="e">
        <f>+SUMIF(#REF!,Final!A1625,#REF!)</f>
        <v>#REF!</v>
      </c>
      <c r="D1625" s="1597" t="e">
        <f>+SUMIF(#REF!,Final!A1625,#REF!)</f>
        <v>#REF!</v>
      </c>
      <c r="E1625" s="1643" t="e">
        <f>SUMIF(#REF!,Final!A1625,#REF!)</f>
        <v>#REF!</v>
      </c>
      <c r="F1625" s="1644" t="e">
        <f>SUMIF(#REF!,Final!A1625,#REF!)</f>
        <v>#REF!</v>
      </c>
      <c r="G1625" s="1597" t="e">
        <f t="shared" si="172"/>
        <v>#REF!</v>
      </c>
      <c r="H1625" s="1644" t="e">
        <f t="shared" si="173"/>
        <v>#REF!</v>
      </c>
      <c r="I1625" s="1597" t="e">
        <f t="shared" si="174"/>
        <v>#REF!</v>
      </c>
      <c r="J1625" s="1644" t="e">
        <f t="shared" si="175"/>
        <v>#REF!</v>
      </c>
      <c r="M1625" s="1545"/>
      <c r="N1625" s="1545"/>
    </row>
    <row r="1626" spans="1:93" ht="15.5">
      <c r="A1626" s="1605">
        <v>32.113999999999997</v>
      </c>
      <c r="B1626" s="1705" t="s">
        <v>3436</v>
      </c>
      <c r="C1626" s="1643" t="e">
        <f>+SUMIF(#REF!,Final!A1626,#REF!)</f>
        <v>#REF!</v>
      </c>
      <c r="D1626" s="1597" t="e">
        <f>+SUMIF(#REF!,Final!A1626,#REF!)</f>
        <v>#REF!</v>
      </c>
      <c r="E1626" s="1643" t="e">
        <f>SUMIF(#REF!,Final!A1626,#REF!)</f>
        <v>#REF!</v>
      </c>
      <c r="F1626" s="1644" t="e">
        <f>SUMIF(#REF!,Final!A1626,#REF!)</f>
        <v>#REF!</v>
      </c>
      <c r="G1626" s="1597" t="e">
        <f t="shared" si="172"/>
        <v>#REF!</v>
      </c>
      <c r="H1626" s="1644" t="e">
        <f t="shared" si="173"/>
        <v>#REF!</v>
      </c>
      <c r="I1626" s="1597" t="e">
        <f t="shared" si="174"/>
        <v>#REF!</v>
      </c>
      <c r="J1626" s="1644" t="e">
        <f t="shared" si="175"/>
        <v>#REF!</v>
      </c>
      <c r="M1626" s="1545"/>
      <c r="N1626" s="1545"/>
    </row>
    <row r="1627" spans="1:93" ht="15.5">
      <c r="A1627" s="1605">
        <v>32.115000000000002</v>
      </c>
      <c r="B1627" s="1705" t="s">
        <v>3437</v>
      </c>
      <c r="C1627" s="1643" t="e">
        <f>+SUMIF(#REF!,Final!A1627,#REF!)</f>
        <v>#REF!</v>
      </c>
      <c r="D1627" s="1597" t="e">
        <f>+SUMIF(#REF!,Final!A1627,#REF!)</f>
        <v>#REF!</v>
      </c>
      <c r="E1627" s="1643" t="e">
        <f>SUMIF(#REF!,Final!A1627,#REF!)</f>
        <v>#REF!</v>
      </c>
      <c r="F1627" s="1644" t="e">
        <f>SUMIF(#REF!,Final!A1627,#REF!)</f>
        <v>#REF!</v>
      </c>
      <c r="G1627" s="1597" t="e">
        <f t="shared" si="172"/>
        <v>#REF!</v>
      </c>
      <c r="H1627" s="1644" t="e">
        <f t="shared" si="173"/>
        <v>#REF!</v>
      </c>
      <c r="I1627" s="1597" t="e">
        <f t="shared" si="174"/>
        <v>#REF!</v>
      </c>
      <c r="J1627" s="1644" t="e">
        <f t="shared" si="175"/>
        <v>#REF!</v>
      </c>
      <c r="M1627" s="1545"/>
      <c r="N1627" s="1545"/>
    </row>
    <row r="1628" spans="1:93" s="1542" customFormat="1" ht="15.5">
      <c r="A1628" s="1598" t="s">
        <v>441</v>
      </c>
      <c r="B1628" s="1599" t="s">
        <v>3438</v>
      </c>
      <c r="C1628" s="1643" t="e">
        <f>+SUMIF(#REF!,Final!A1628,#REF!)</f>
        <v>#REF!</v>
      </c>
      <c r="D1628" s="1597" t="e">
        <f>+SUMIF(#REF!,Final!A1628,#REF!)</f>
        <v>#REF!</v>
      </c>
      <c r="E1628" s="1643" t="e">
        <f>SUMIF(#REF!,Final!A1628,#REF!)</f>
        <v>#REF!</v>
      </c>
      <c r="F1628" s="1644" t="e">
        <f>SUMIF(#REF!,Final!A1628,#REF!)</f>
        <v>#REF!</v>
      </c>
      <c r="G1628" s="1597" t="e">
        <f t="shared" si="172"/>
        <v>#REF!</v>
      </c>
      <c r="H1628" s="1644" t="e">
        <f t="shared" si="173"/>
        <v>#REF!</v>
      </c>
      <c r="I1628" s="1597" t="e">
        <f t="shared" si="174"/>
        <v>#REF!</v>
      </c>
      <c r="J1628" s="1644" t="e">
        <f t="shared" si="175"/>
        <v>#REF!</v>
      </c>
      <c r="K1628" s="1539"/>
      <c r="L1628" s="1539"/>
      <c r="M1628" s="1545"/>
      <c r="N1628" s="1545"/>
      <c r="O1628" s="1539"/>
      <c r="P1628" s="1539"/>
      <c r="Q1628" s="1539"/>
      <c r="R1628" s="1539"/>
      <c r="S1628" s="1539"/>
      <c r="T1628" s="1539"/>
      <c r="U1628" s="1539"/>
      <c r="V1628" s="1539"/>
      <c r="W1628" s="1539"/>
      <c r="X1628" s="1539"/>
      <c r="Y1628" s="1539"/>
      <c r="Z1628" s="1539"/>
      <c r="AA1628" s="1539"/>
      <c r="AB1628" s="1539"/>
      <c r="AC1628" s="1539"/>
      <c r="AD1628" s="1539"/>
      <c r="AE1628" s="1539"/>
      <c r="AF1628" s="1539"/>
      <c r="AG1628" s="1539"/>
      <c r="AH1628" s="1539"/>
      <c r="AI1628" s="1539"/>
      <c r="AJ1628" s="1539"/>
      <c r="AK1628" s="1539"/>
      <c r="AL1628" s="1539"/>
      <c r="AM1628" s="1539"/>
      <c r="AN1628" s="1539"/>
      <c r="AO1628" s="1539"/>
      <c r="AP1628" s="1539"/>
      <c r="AQ1628" s="1539"/>
      <c r="AR1628" s="1539"/>
      <c r="AS1628" s="1539"/>
      <c r="AT1628" s="1539"/>
      <c r="AU1628" s="1539"/>
      <c r="AV1628" s="1539"/>
      <c r="AW1628" s="1539"/>
      <c r="AX1628" s="1539"/>
      <c r="AY1628" s="1539"/>
      <c r="AZ1628" s="1539"/>
      <c r="BA1628" s="1539"/>
      <c r="BB1628" s="1539"/>
      <c r="BC1628" s="1539"/>
      <c r="BD1628" s="1539"/>
      <c r="BE1628" s="1539"/>
      <c r="BF1628" s="1539"/>
      <c r="BG1628" s="1539"/>
      <c r="BH1628" s="1539"/>
      <c r="BI1628" s="1539"/>
      <c r="BJ1628" s="1539"/>
      <c r="BK1628" s="1539"/>
      <c r="BL1628" s="1539"/>
      <c r="BM1628" s="1539"/>
      <c r="BN1628" s="1539"/>
      <c r="BO1628" s="1539"/>
      <c r="BP1628" s="1539"/>
      <c r="BQ1628" s="1539"/>
      <c r="BR1628" s="1539"/>
      <c r="BS1628" s="1539"/>
      <c r="BT1628" s="1539"/>
      <c r="BU1628" s="1539"/>
      <c r="BV1628" s="1539"/>
      <c r="BW1628" s="1539"/>
      <c r="BX1628" s="1539"/>
      <c r="BY1628" s="1539"/>
      <c r="BZ1628" s="1539"/>
      <c r="CA1628" s="1539"/>
      <c r="CB1628" s="1539"/>
      <c r="CC1628" s="1539"/>
      <c r="CD1628" s="1539"/>
      <c r="CE1628" s="1539"/>
      <c r="CF1628" s="1539"/>
      <c r="CG1628" s="1539"/>
      <c r="CH1628" s="1539"/>
      <c r="CI1628" s="1539"/>
      <c r="CJ1628" s="1539"/>
      <c r="CK1628" s="1539"/>
      <c r="CL1628" s="1539"/>
      <c r="CM1628" s="1539"/>
      <c r="CN1628" s="1539"/>
      <c r="CO1628" s="1539"/>
    </row>
    <row r="1629" spans="1:93" ht="15.5">
      <c r="A1629" s="1598">
        <v>33.000999999999998</v>
      </c>
      <c r="B1629" s="1599" t="s">
        <v>2901</v>
      </c>
      <c r="C1629" s="1643" t="e">
        <f>+SUMIF(#REF!,Final!A1629,#REF!)</f>
        <v>#REF!</v>
      </c>
      <c r="D1629" s="1597" t="e">
        <f>+SUMIF(#REF!,Final!A1629,#REF!)</f>
        <v>#REF!</v>
      </c>
      <c r="E1629" s="1643" t="e">
        <f>SUMIF(#REF!,Final!A1629,#REF!)</f>
        <v>#REF!</v>
      </c>
      <c r="F1629" s="1644" t="e">
        <f>SUMIF(#REF!,Final!A1629,#REF!)</f>
        <v>#REF!</v>
      </c>
      <c r="G1629" s="1597" t="e">
        <f t="shared" si="172"/>
        <v>#REF!</v>
      </c>
      <c r="H1629" s="1644" t="e">
        <f t="shared" si="173"/>
        <v>#REF!</v>
      </c>
      <c r="I1629" s="1597" t="e">
        <f t="shared" si="174"/>
        <v>#REF!</v>
      </c>
      <c r="J1629" s="1644" t="e">
        <f t="shared" si="175"/>
        <v>#REF!</v>
      </c>
      <c r="M1629" s="1545"/>
      <c r="N1629" s="1545"/>
    </row>
    <row r="1630" spans="1:93" ht="15.5">
      <c r="A1630" s="1598">
        <v>33.020000000000003</v>
      </c>
      <c r="B1630" s="1599" t="s">
        <v>3411</v>
      </c>
      <c r="C1630" s="1643" t="e">
        <f>+SUMIF(#REF!,Final!A1630,#REF!)</f>
        <v>#REF!</v>
      </c>
      <c r="D1630" s="1597" t="e">
        <f>+SUMIF(#REF!,Final!A1630,#REF!)</f>
        <v>#REF!</v>
      </c>
      <c r="E1630" s="1643" t="e">
        <f>SUMIF(#REF!,Final!A1630,#REF!)</f>
        <v>#REF!</v>
      </c>
      <c r="F1630" s="1644" t="e">
        <f>SUMIF(#REF!,Final!A1630,#REF!)</f>
        <v>#REF!</v>
      </c>
      <c r="G1630" s="1597" t="e">
        <f t="shared" si="172"/>
        <v>#REF!</v>
      </c>
      <c r="H1630" s="1644" t="e">
        <f t="shared" si="173"/>
        <v>#REF!</v>
      </c>
      <c r="I1630" s="1597" t="e">
        <f t="shared" si="174"/>
        <v>#REF!</v>
      </c>
      <c r="J1630" s="1644" t="e">
        <f t="shared" si="175"/>
        <v>#REF!</v>
      </c>
      <c r="M1630" s="1545"/>
      <c r="N1630" s="1545"/>
    </row>
    <row r="1631" spans="1:93" ht="15.5">
      <c r="A1631" s="1598">
        <v>33.22</v>
      </c>
      <c r="B1631" s="1599" t="s">
        <v>3928</v>
      </c>
      <c r="C1631" s="1643" t="e">
        <f>+SUMIF(#REF!,Final!A1631,#REF!)</f>
        <v>#REF!</v>
      </c>
      <c r="D1631" s="1597" t="e">
        <f>+SUMIF(#REF!,Final!A1631,#REF!)</f>
        <v>#REF!</v>
      </c>
      <c r="E1631" s="1643" t="e">
        <f>SUMIF(#REF!,Final!A1631,#REF!)</f>
        <v>#REF!</v>
      </c>
      <c r="F1631" s="1644" t="e">
        <f>SUMIF(#REF!,Final!A1631,#REF!)</f>
        <v>#REF!</v>
      </c>
      <c r="G1631" s="1597" t="e">
        <f t="shared" si="172"/>
        <v>#REF!</v>
      </c>
      <c r="H1631" s="1644" t="e">
        <f t="shared" si="173"/>
        <v>#REF!</v>
      </c>
      <c r="I1631" s="1597" t="e">
        <f t="shared" si="174"/>
        <v>#REF!</v>
      </c>
      <c r="J1631" s="1644" t="e">
        <f t="shared" si="175"/>
        <v>#REF!</v>
      </c>
      <c r="M1631" s="1545"/>
      <c r="N1631" s="1545"/>
    </row>
    <row r="1632" spans="1:93" ht="15.5">
      <c r="A1632" s="1598">
        <v>33.222000000000001</v>
      </c>
      <c r="B1632" s="1599" t="s">
        <v>3929</v>
      </c>
      <c r="C1632" s="1643" t="e">
        <f>+SUMIF(#REF!,Final!A1632,#REF!)</f>
        <v>#REF!</v>
      </c>
      <c r="D1632" s="1597" t="e">
        <f>+SUMIF(#REF!,Final!A1632,#REF!)</f>
        <v>#REF!</v>
      </c>
      <c r="E1632" s="1643" t="e">
        <f>SUMIF(#REF!,Final!A1632,#REF!)</f>
        <v>#REF!</v>
      </c>
      <c r="F1632" s="1644" t="e">
        <f>SUMIF(#REF!,Final!A1632,#REF!)</f>
        <v>#REF!</v>
      </c>
      <c r="G1632" s="1597" t="e">
        <f t="shared" si="172"/>
        <v>#REF!</v>
      </c>
      <c r="H1632" s="1644" t="e">
        <f t="shared" si="173"/>
        <v>#REF!</v>
      </c>
      <c r="I1632" s="1597" t="e">
        <f t="shared" si="174"/>
        <v>#REF!</v>
      </c>
      <c r="J1632" s="1644" t="e">
        <f t="shared" si="175"/>
        <v>#REF!</v>
      </c>
      <c r="M1632" s="1545"/>
      <c r="N1632" s="1545"/>
    </row>
    <row r="1633" spans="1:14" ht="15.5">
      <c r="A1633" s="1598">
        <v>33.222999999999999</v>
      </c>
      <c r="B1633" s="1599" t="s">
        <v>3929</v>
      </c>
      <c r="C1633" s="1643" t="e">
        <f>+SUMIF(#REF!,Final!A1633,#REF!)</f>
        <v>#REF!</v>
      </c>
      <c r="D1633" s="1597" t="e">
        <f>+SUMIF(#REF!,Final!A1633,#REF!)</f>
        <v>#REF!</v>
      </c>
      <c r="E1633" s="1643" t="e">
        <f>SUMIF(#REF!,Final!A1633,#REF!)</f>
        <v>#REF!</v>
      </c>
      <c r="F1633" s="1644" t="e">
        <f>SUMIF(#REF!,Final!A1633,#REF!)</f>
        <v>#REF!</v>
      </c>
      <c r="G1633" s="1597" t="e">
        <f t="shared" si="172"/>
        <v>#REF!</v>
      </c>
      <c r="H1633" s="1644" t="e">
        <f t="shared" si="173"/>
        <v>#REF!</v>
      </c>
      <c r="I1633" s="1597" t="e">
        <f t="shared" si="174"/>
        <v>#REF!</v>
      </c>
      <c r="J1633" s="1644" t="e">
        <f t="shared" si="175"/>
        <v>#REF!</v>
      </c>
      <c r="M1633" s="1545"/>
      <c r="N1633" s="1545"/>
    </row>
    <row r="1634" spans="1:14" ht="15.5">
      <c r="A1634" s="1598">
        <v>33.223999999999997</v>
      </c>
      <c r="B1634" s="1599" t="s">
        <v>3929</v>
      </c>
      <c r="C1634" s="1643" t="e">
        <f>+SUMIF(#REF!,Final!A1634,#REF!)</f>
        <v>#REF!</v>
      </c>
      <c r="D1634" s="1597" t="e">
        <f>+SUMIF(#REF!,Final!A1634,#REF!)</f>
        <v>#REF!</v>
      </c>
      <c r="E1634" s="1643" t="e">
        <f>SUMIF(#REF!,Final!A1634,#REF!)</f>
        <v>#REF!</v>
      </c>
      <c r="F1634" s="1644" t="e">
        <f>SUMIF(#REF!,Final!A1634,#REF!)</f>
        <v>#REF!</v>
      </c>
      <c r="G1634" s="1597" t="e">
        <f t="shared" si="172"/>
        <v>#REF!</v>
      </c>
      <c r="H1634" s="1644" t="e">
        <f t="shared" si="173"/>
        <v>#REF!</v>
      </c>
      <c r="I1634" s="1597" t="e">
        <f t="shared" si="174"/>
        <v>#REF!</v>
      </c>
      <c r="J1634" s="1644" t="e">
        <f t="shared" si="175"/>
        <v>#REF!</v>
      </c>
      <c r="M1634" s="1545"/>
      <c r="N1634" s="1545"/>
    </row>
    <row r="1635" spans="1:14" ht="15.5">
      <c r="A1635" s="1598">
        <v>33.225000000000001</v>
      </c>
      <c r="B1635" s="1599" t="s">
        <v>3929</v>
      </c>
      <c r="C1635" s="1643" t="e">
        <f>+SUMIF(#REF!,Final!A1635,#REF!)</f>
        <v>#REF!</v>
      </c>
      <c r="D1635" s="1597" t="e">
        <f>+SUMIF(#REF!,Final!A1635,#REF!)</f>
        <v>#REF!</v>
      </c>
      <c r="E1635" s="1643" t="e">
        <f>SUMIF(#REF!,Final!A1635,#REF!)</f>
        <v>#REF!</v>
      </c>
      <c r="F1635" s="1644" t="e">
        <f>SUMIF(#REF!,Final!A1635,#REF!)</f>
        <v>#REF!</v>
      </c>
      <c r="G1635" s="1597" t="e">
        <f t="shared" si="172"/>
        <v>#REF!</v>
      </c>
      <c r="H1635" s="1644" t="e">
        <f t="shared" si="173"/>
        <v>#REF!</v>
      </c>
      <c r="I1635" s="1597" t="e">
        <f t="shared" si="174"/>
        <v>#REF!</v>
      </c>
      <c r="J1635" s="1644" t="e">
        <f t="shared" si="175"/>
        <v>#REF!</v>
      </c>
      <c r="M1635" s="1545"/>
      <c r="N1635" s="1545"/>
    </row>
    <row r="1636" spans="1:14" ht="15.5">
      <c r="A1636" s="1598">
        <v>33.225999999999999</v>
      </c>
      <c r="B1636" s="1599" t="s">
        <v>3929</v>
      </c>
      <c r="C1636" s="1643" t="e">
        <f>+SUMIF(#REF!,Final!A1636,#REF!)</f>
        <v>#REF!</v>
      </c>
      <c r="D1636" s="1597" t="e">
        <f>+SUMIF(#REF!,Final!A1636,#REF!)</f>
        <v>#REF!</v>
      </c>
      <c r="E1636" s="1643" t="e">
        <f>SUMIF(#REF!,Final!A1636,#REF!)</f>
        <v>#REF!</v>
      </c>
      <c r="F1636" s="1644" t="e">
        <f>SUMIF(#REF!,Final!A1636,#REF!)</f>
        <v>#REF!</v>
      </c>
      <c r="G1636" s="1597" t="e">
        <f t="shared" si="172"/>
        <v>#REF!</v>
      </c>
      <c r="H1636" s="1644" t="e">
        <f t="shared" si="173"/>
        <v>#REF!</v>
      </c>
      <c r="I1636" s="1597" t="e">
        <f t="shared" si="174"/>
        <v>#REF!</v>
      </c>
      <c r="J1636" s="1644" t="e">
        <f t="shared" si="175"/>
        <v>#REF!</v>
      </c>
      <c r="M1636" s="1545"/>
      <c r="N1636" s="1545"/>
    </row>
    <row r="1637" spans="1:14" ht="15.5">
      <c r="A1637" s="1598">
        <v>33.226999999999997</v>
      </c>
      <c r="B1637" s="1599" t="s">
        <v>3929</v>
      </c>
      <c r="C1637" s="1643" t="e">
        <f>+SUMIF(#REF!,Final!A1637,#REF!)</f>
        <v>#REF!</v>
      </c>
      <c r="D1637" s="1597" t="e">
        <f>+SUMIF(#REF!,Final!A1637,#REF!)</f>
        <v>#REF!</v>
      </c>
      <c r="E1637" s="1643" t="e">
        <f>SUMIF(#REF!,Final!A1637,#REF!)</f>
        <v>#REF!</v>
      </c>
      <c r="F1637" s="1644" t="e">
        <f>SUMIF(#REF!,Final!A1637,#REF!)</f>
        <v>#REF!</v>
      </c>
      <c r="G1637" s="1597" t="e">
        <f t="shared" si="172"/>
        <v>#REF!</v>
      </c>
      <c r="H1637" s="1644" t="e">
        <f t="shared" si="173"/>
        <v>#REF!</v>
      </c>
      <c r="I1637" s="1597" t="e">
        <f t="shared" si="174"/>
        <v>#REF!</v>
      </c>
      <c r="J1637" s="1644" t="e">
        <f t="shared" si="175"/>
        <v>#REF!</v>
      </c>
      <c r="M1637" s="1545"/>
      <c r="N1637" s="1545"/>
    </row>
    <row r="1638" spans="1:14" ht="15.5">
      <c r="A1638" s="1598">
        <v>33.228000000000002</v>
      </c>
      <c r="B1638" s="1599" t="s">
        <v>3929</v>
      </c>
      <c r="C1638" s="1643" t="e">
        <f>+SUMIF(#REF!,Final!A1638,#REF!)</f>
        <v>#REF!</v>
      </c>
      <c r="D1638" s="1597" t="e">
        <f>+SUMIF(#REF!,Final!A1638,#REF!)</f>
        <v>#REF!</v>
      </c>
      <c r="E1638" s="1643" t="e">
        <f>SUMIF(#REF!,Final!A1638,#REF!)</f>
        <v>#REF!</v>
      </c>
      <c r="F1638" s="1644" t="e">
        <f>SUMIF(#REF!,Final!A1638,#REF!)</f>
        <v>#REF!</v>
      </c>
      <c r="G1638" s="1597" t="e">
        <f t="shared" si="172"/>
        <v>#REF!</v>
      </c>
      <c r="H1638" s="1644" t="e">
        <f t="shared" si="173"/>
        <v>#REF!</v>
      </c>
      <c r="I1638" s="1597" t="e">
        <f t="shared" si="174"/>
        <v>#REF!</v>
      </c>
      <c r="J1638" s="1644" t="e">
        <f t="shared" si="175"/>
        <v>#REF!</v>
      </c>
      <c r="M1638" s="1545"/>
      <c r="N1638" s="1545"/>
    </row>
    <row r="1639" spans="1:14" ht="15.5">
      <c r="A1639" s="1598">
        <v>33.229999999999997</v>
      </c>
      <c r="B1639" s="1599" t="s">
        <v>3929</v>
      </c>
      <c r="C1639" s="1643" t="e">
        <f>+SUMIF(#REF!,Final!A1639,#REF!)</f>
        <v>#REF!</v>
      </c>
      <c r="D1639" s="1597" t="e">
        <f>+SUMIF(#REF!,Final!A1639,#REF!)</f>
        <v>#REF!</v>
      </c>
      <c r="E1639" s="1643" t="e">
        <f>SUMIF(#REF!,Final!A1639,#REF!)</f>
        <v>#REF!</v>
      </c>
      <c r="F1639" s="1644" t="e">
        <f>SUMIF(#REF!,Final!A1639,#REF!)</f>
        <v>#REF!</v>
      </c>
      <c r="G1639" s="1597" t="e">
        <f t="shared" si="172"/>
        <v>#REF!</v>
      </c>
      <c r="H1639" s="1644" t="e">
        <f t="shared" si="173"/>
        <v>#REF!</v>
      </c>
      <c r="I1639" s="1597" t="e">
        <f t="shared" si="174"/>
        <v>#REF!</v>
      </c>
      <c r="J1639" s="1644" t="e">
        <f t="shared" si="175"/>
        <v>#REF!</v>
      </c>
      <c r="M1639" s="1545"/>
      <c r="N1639" s="1545"/>
    </row>
    <row r="1640" spans="1:14" ht="15.5">
      <c r="A1640" s="1598">
        <v>33.231999999999999</v>
      </c>
      <c r="B1640" s="1599" t="s">
        <v>3929</v>
      </c>
      <c r="C1640" s="1643" t="e">
        <f>+SUMIF(#REF!,Final!A1640,#REF!)</f>
        <v>#REF!</v>
      </c>
      <c r="D1640" s="1597" t="e">
        <f>+SUMIF(#REF!,Final!A1640,#REF!)</f>
        <v>#REF!</v>
      </c>
      <c r="E1640" s="1643" t="e">
        <f>SUMIF(#REF!,Final!A1640,#REF!)</f>
        <v>#REF!</v>
      </c>
      <c r="F1640" s="1644" t="e">
        <f>SUMIF(#REF!,Final!A1640,#REF!)</f>
        <v>#REF!</v>
      </c>
      <c r="G1640" s="1597" t="e">
        <f t="shared" si="172"/>
        <v>#REF!</v>
      </c>
      <c r="H1640" s="1644" t="e">
        <f t="shared" si="173"/>
        <v>#REF!</v>
      </c>
      <c r="I1640" s="1597" t="e">
        <f t="shared" si="174"/>
        <v>#REF!</v>
      </c>
      <c r="J1640" s="1644" t="e">
        <f t="shared" si="175"/>
        <v>#REF!</v>
      </c>
      <c r="M1640" s="1545"/>
      <c r="N1640" s="1545"/>
    </row>
    <row r="1641" spans="1:14" ht="15.5">
      <c r="A1641" s="1598">
        <v>33.232999999999997</v>
      </c>
      <c r="B1641" s="1599" t="s">
        <v>3929</v>
      </c>
      <c r="C1641" s="1643" t="e">
        <f>+SUMIF(#REF!,Final!A1641,#REF!)</f>
        <v>#REF!</v>
      </c>
      <c r="D1641" s="1597" t="e">
        <f>+SUMIF(#REF!,Final!A1641,#REF!)</f>
        <v>#REF!</v>
      </c>
      <c r="E1641" s="1643" t="e">
        <f>SUMIF(#REF!,Final!A1641,#REF!)</f>
        <v>#REF!</v>
      </c>
      <c r="F1641" s="1644" t="e">
        <f>SUMIF(#REF!,Final!A1641,#REF!)</f>
        <v>#REF!</v>
      </c>
      <c r="G1641" s="1597" t="e">
        <f t="shared" si="172"/>
        <v>#REF!</v>
      </c>
      <c r="H1641" s="1644" t="e">
        <f t="shared" si="173"/>
        <v>#REF!</v>
      </c>
      <c r="I1641" s="1597" t="e">
        <f t="shared" si="174"/>
        <v>#REF!</v>
      </c>
      <c r="J1641" s="1644" t="e">
        <f t="shared" si="175"/>
        <v>#REF!</v>
      </c>
      <c r="M1641" s="1545"/>
      <c r="N1641" s="1545"/>
    </row>
    <row r="1642" spans="1:14" ht="15.5">
      <c r="A1642" s="1598">
        <v>33.235999999999997</v>
      </c>
      <c r="B1642" s="1599" t="s">
        <v>3929</v>
      </c>
      <c r="C1642" s="1643" t="e">
        <f>+SUMIF(#REF!,Final!A1642,#REF!)</f>
        <v>#REF!</v>
      </c>
      <c r="D1642" s="1597" t="e">
        <f>+SUMIF(#REF!,Final!A1642,#REF!)</f>
        <v>#REF!</v>
      </c>
      <c r="E1642" s="1643" t="e">
        <f>SUMIF(#REF!,Final!A1642,#REF!)</f>
        <v>#REF!</v>
      </c>
      <c r="F1642" s="1644" t="e">
        <f>SUMIF(#REF!,Final!A1642,#REF!)</f>
        <v>#REF!</v>
      </c>
      <c r="G1642" s="1597" t="e">
        <f t="shared" si="172"/>
        <v>#REF!</v>
      </c>
      <c r="H1642" s="1644" t="e">
        <f t="shared" si="173"/>
        <v>#REF!</v>
      </c>
      <c r="I1642" s="1597" t="e">
        <f t="shared" si="174"/>
        <v>#REF!</v>
      </c>
      <c r="J1642" s="1644" t="e">
        <f t="shared" si="175"/>
        <v>#REF!</v>
      </c>
      <c r="M1642" s="1545"/>
      <c r="N1642" s="1545"/>
    </row>
    <row r="1643" spans="1:14" ht="15.5">
      <c r="A1643" s="1598">
        <v>33.237000000000002</v>
      </c>
      <c r="B1643" s="1599" t="s">
        <v>3929</v>
      </c>
      <c r="C1643" s="1643" t="e">
        <f>+SUMIF(#REF!,Final!A1643,#REF!)</f>
        <v>#REF!</v>
      </c>
      <c r="D1643" s="1597" t="e">
        <f>+SUMIF(#REF!,Final!A1643,#REF!)</f>
        <v>#REF!</v>
      </c>
      <c r="E1643" s="1643" t="e">
        <f>SUMIF(#REF!,Final!A1643,#REF!)</f>
        <v>#REF!</v>
      </c>
      <c r="F1643" s="1644" t="e">
        <f>SUMIF(#REF!,Final!A1643,#REF!)</f>
        <v>#REF!</v>
      </c>
      <c r="G1643" s="1597" t="e">
        <f t="shared" ref="G1643:G1706" si="176">C1643+E1643</f>
        <v>#REF!</v>
      </c>
      <c r="H1643" s="1644" t="e">
        <f t="shared" ref="H1643:H1706" si="177">D1643+F1643</f>
        <v>#REF!</v>
      </c>
      <c r="I1643" s="1597" t="e">
        <f t="shared" ref="I1643:I1706" si="178">IF(G1643&gt;H1643,G1643-H1643,0)</f>
        <v>#REF!</v>
      </c>
      <c r="J1643" s="1644" t="e">
        <f t="shared" ref="J1643:J1706" si="179">IF(H1643&gt;G1643,H1643-G1643,0)</f>
        <v>#REF!</v>
      </c>
      <c r="M1643" s="1545"/>
      <c r="N1643" s="1545"/>
    </row>
    <row r="1644" spans="1:14" ht="15.5">
      <c r="A1644" s="1598">
        <v>33.238</v>
      </c>
      <c r="B1644" s="1599" t="s">
        <v>3929</v>
      </c>
      <c r="C1644" s="1643" t="e">
        <f>+SUMIF(#REF!,Final!A1644,#REF!)</f>
        <v>#REF!</v>
      </c>
      <c r="D1644" s="1597" t="e">
        <f>+SUMIF(#REF!,Final!A1644,#REF!)</f>
        <v>#REF!</v>
      </c>
      <c r="E1644" s="1643" t="e">
        <f>SUMIF(#REF!,Final!A1644,#REF!)</f>
        <v>#REF!</v>
      </c>
      <c r="F1644" s="1644" t="e">
        <f>SUMIF(#REF!,Final!A1644,#REF!)</f>
        <v>#REF!</v>
      </c>
      <c r="G1644" s="1597" t="e">
        <f t="shared" si="176"/>
        <v>#REF!</v>
      </c>
      <c r="H1644" s="1644" t="e">
        <f t="shared" si="177"/>
        <v>#REF!</v>
      </c>
      <c r="I1644" s="1597" t="e">
        <f t="shared" si="178"/>
        <v>#REF!</v>
      </c>
      <c r="J1644" s="1644" t="e">
        <f t="shared" si="179"/>
        <v>#REF!</v>
      </c>
      <c r="M1644" s="1545"/>
      <c r="N1644" s="1545"/>
    </row>
    <row r="1645" spans="1:14" ht="15.5">
      <c r="A1645" s="1598">
        <v>33.238999999999997</v>
      </c>
      <c r="B1645" s="1599" t="s">
        <v>4674</v>
      </c>
      <c r="C1645" s="1643" t="e">
        <f>+SUMIF(#REF!,Final!A1645,#REF!)</f>
        <v>#REF!</v>
      </c>
      <c r="D1645" s="1597" t="e">
        <f>+SUMIF(#REF!,Final!A1645,#REF!)</f>
        <v>#REF!</v>
      </c>
      <c r="E1645" s="1643" t="e">
        <f>SUMIF(#REF!,Final!A1645,#REF!)</f>
        <v>#REF!</v>
      </c>
      <c r="F1645" s="1644" t="e">
        <f>SUMIF(#REF!,Final!A1645,#REF!)</f>
        <v>#REF!</v>
      </c>
      <c r="G1645" s="1597" t="e">
        <f t="shared" si="176"/>
        <v>#REF!</v>
      </c>
      <c r="H1645" s="1644" t="e">
        <f t="shared" si="177"/>
        <v>#REF!</v>
      </c>
      <c r="I1645" s="1597" t="e">
        <f t="shared" si="178"/>
        <v>#REF!</v>
      </c>
      <c r="J1645" s="1644" t="e">
        <f t="shared" si="179"/>
        <v>#REF!</v>
      </c>
      <c r="M1645" s="1545"/>
      <c r="N1645" s="1545"/>
    </row>
    <row r="1646" spans="1:14" ht="15.5">
      <c r="A1646" s="1598">
        <v>33.271999999999998</v>
      </c>
      <c r="B1646" s="1599" t="s">
        <v>3929</v>
      </c>
      <c r="C1646" s="1643" t="e">
        <f>+SUMIF(#REF!,Final!A1646,#REF!)</f>
        <v>#REF!</v>
      </c>
      <c r="D1646" s="1597" t="e">
        <f>+SUMIF(#REF!,Final!A1646,#REF!)</f>
        <v>#REF!</v>
      </c>
      <c r="E1646" s="1643" t="e">
        <f>SUMIF(#REF!,Final!A1646,#REF!)</f>
        <v>#REF!</v>
      </c>
      <c r="F1646" s="1644" t="e">
        <f>SUMIF(#REF!,Final!A1646,#REF!)</f>
        <v>#REF!</v>
      </c>
      <c r="G1646" s="1597" t="e">
        <f t="shared" si="176"/>
        <v>#REF!</v>
      </c>
      <c r="H1646" s="1644" t="e">
        <f t="shared" si="177"/>
        <v>#REF!</v>
      </c>
      <c r="I1646" s="1597" t="e">
        <f t="shared" si="178"/>
        <v>#REF!</v>
      </c>
      <c r="J1646" s="1644" t="e">
        <f t="shared" si="179"/>
        <v>#REF!</v>
      </c>
      <c r="M1646" s="1545"/>
      <c r="N1646" s="1545"/>
    </row>
    <row r="1647" spans="1:14" ht="15.5">
      <c r="A1647" s="1598">
        <v>33.273000000000003</v>
      </c>
      <c r="B1647" s="1599" t="s">
        <v>3929</v>
      </c>
      <c r="C1647" s="1643" t="e">
        <f>+SUMIF(#REF!,Final!A1647,#REF!)</f>
        <v>#REF!</v>
      </c>
      <c r="D1647" s="1597" t="e">
        <f>+SUMIF(#REF!,Final!A1647,#REF!)</f>
        <v>#REF!</v>
      </c>
      <c r="E1647" s="1643" t="e">
        <f>SUMIF(#REF!,Final!A1647,#REF!)</f>
        <v>#REF!</v>
      </c>
      <c r="F1647" s="1644" t="e">
        <f>SUMIF(#REF!,Final!A1647,#REF!)</f>
        <v>#REF!</v>
      </c>
      <c r="G1647" s="1597" t="e">
        <f t="shared" si="176"/>
        <v>#REF!</v>
      </c>
      <c r="H1647" s="1644" t="e">
        <f t="shared" si="177"/>
        <v>#REF!</v>
      </c>
      <c r="I1647" s="1597" t="e">
        <f t="shared" si="178"/>
        <v>#REF!</v>
      </c>
      <c r="J1647" s="1644" t="e">
        <f t="shared" si="179"/>
        <v>#REF!</v>
      </c>
      <c r="M1647" s="1545"/>
      <c r="N1647" s="1545"/>
    </row>
    <row r="1648" spans="1:14" ht="15.5">
      <c r="A1648" s="1598">
        <v>33.274000000000001</v>
      </c>
      <c r="B1648" s="1599" t="s">
        <v>3929</v>
      </c>
      <c r="C1648" s="1643" t="e">
        <f>+SUMIF(#REF!,Final!A1648,#REF!)</f>
        <v>#REF!</v>
      </c>
      <c r="D1648" s="1597" t="e">
        <f>+SUMIF(#REF!,Final!A1648,#REF!)</f>
        <v>#REF!</v>
      </c>
      <c r="E1648" s="1643" t="e">
        <f>SUMIF(#REF!,Final!A1648,#REF!)</f>
        <v>#REF!</v>
      </c>
      <c r="F1648" s="1644" t="e">
        <f>SUMIF(#REF!,Final!A1648,#REF!)</f>
        <v>#REF!</v>
      </c>
      <c r="G1648" s="1597" t="e">
        <f t="shared" si="176"/>
        <v>#REF!</v>
      </c>
      <c r="H1648" s="1644" t="e">
        <f t="shared" si="177"/>
        <v>#REF!</v>
      </c>
      <c r="I1648" s="1597" t="e">
        <f t="shared" si="178"/>
        <v>#REF!</v>
      </c>
      <c r="J1648" s="1644" t="e">
        <f t="shared" si="179"/>
        <v>#REF!</v>
      </c>
      <c r="M1648" s="1545"/>
      <c r="N1648" s="1545"/>
    </row>
    <row r="1649" spans="1:14" ht="15.5">
      <c r="A1649" s="1598">
        <v>33.274999999999999</v>
      </c>
      <c r="B1649" s="1599" t="s">
        <v>3929</v>
      </c>
      <c r="C1649" s="1643" t="e">
        <f>+SUMIF(#REF!,Final!A1649,#REF!)</f>
        <v>#REF!</v>
      </c>
      <c r="D1649" s="1597" t="e">
        <f>+SUMIF(#REF!,Final!A1649,#REF!)</f>
        <v>#REF!</v>
      </c>
      <c r="E1649" s="1643" t="e">
        <f>SUMIF(#REF!,Final!A1649,#REF!)</f>
        <v>#REF!</v>
      </c>
      <c r="F1649" s="1644" t="e">
        <f>SUMIF(#REF!,Final!A1649,#REF!)</f>
        <v>#REF!</v>
      </c>
      <c r="G1649" s="1597" t="e">
        <f t="shared" si="176"/>
        <v>#REF!</v>
      </c>
      <c r="H1649" s="1644" t="e">
        <f t="shared" si="177"/>
        <v>#REF!</v>
      </c>
      <c r="I1649" s="1597" t="e">
        <f t="shared" si="178"/>
        <v>#REF!</v>
      </c>
      <c r="J1649" s="1644" t="e">
        <f t="shared" si="179"/>
        <v>#REF!</v>
      </c>
      <c r="M1649" s="1545"/>
      <c r="N1649" s="1545"/>
    </row>
    <row r="1650" spans="1:14" ht="15.5">
      <c r="A1650" s="1598">
        <v>33.276000000000003</v>
      </c>
      <c r="B1650" s="1599" t="s">
        <v>3929</v>
      </c>
      <c r="C1650" s="1643" t="e">
        <f>+SUMIF(#REF!,Final!A1650,#REF!)</f>
        <v>#REF!</v>
      </c>
      <c r="D1650" s="1597" t="e">
        <f>+SUMIF(#REF!,Final!A1650,#REF!)</f>
        <v>#REF!</v>
      </c>
      <c r="E1650" s="1643" t="e">
        <f>SUMIF(#REF!,Final!A1650,#REF!)</f>
        <v>#REF!</v>
      </c>
      <c r="F1650" s="1644" t="e">
        <f>SUMIF(#REF!,Final!A1650,#REF!)</f>
        <v>#REF!</v>
      </c>
      <c r="G1650" s="1597" t="e">
        <f t="shared" si="176"/>
        <v>#REF!</v>
      </c>
      <c r="H1650" s="1644" t="e">
        <f t="shared" si="177"/>
        <v>#REF!</v>
      </c>
      <c r="I1650" s="1597" t="e">
        <f t="shared" si="178"/>
        <v>#REF!</v>
      </c>
      <c r="J1650" s="1644" t="e">
        <f t="shared" si="179"/>
        <v>#REF!</v>
      </c>
      <c r="M1650" s="1545"/>
      <c r="N1650" s="1545"/>
    </row>
    <row r="1651" spans="1:14" ht="15.5">
      <c r="A1651" s="1598">
        <v>33.32</v>
      </c>
      <c r="B1651" s="1599" t="s">
        <v>4546</v>
      </c>
      <c r="C1651" s="1643" t="e">
        <f>+SUMIF(#REF!,Final!A1651,#REF!)</f>
        <v>#REF!</v>
      </c>
      <c r="D1651" s="1597" t="e">
        <f>+SUMIF(#REF!,Final!A1651,#REF!)</f>
        <v>#REF!</v>
      </c>
      <c r="E1651" s="1643" t="e">
        <f>SUMIF(#REF!,Final!A1651,#REF!)</f>
        <v>#REF!</v>
      </c>
      <c r="F1651" s="1644" t="e">
        <f>SUMIF(#REF!,Final!A1651,#REF!)</f>
        <v>#REF!</v>
      </c>
      <c r="G1651" s="1597" t="e">
        <f t="shared" si="176"/>
        <v>#REF!</v>
      </c>
      <c r="H1651" s="1644" t="e">
        <f t="shared" si="177"/>
        <v>#REF!</v>
      </c>
      <c r="I1651" s="1597" t="e">
        <f t="shared" si="178"/>
        <v>#REF!</v>
      </c>
      <c r="J1651" s="1644" t="e">
        <f t="shared" si="179"/>
        <v>#REF!</v>
      </c>
      <c r="M1651" s="1545"/>
      <c r="N1651" s="1545"/>
    </row>
    <row r="1652" spans="1:14" ht="15.5">
      <c r="A1652" s="1598">
        <v>33.322000000000003</v>
      </c>
      <c r="B1652" s="1599" t="s">
        <v>4546</v>
      </c>
      <c r="C1652" s="1643" t="e">
        <f>+SUMIF(#REF!,Final!A1652,#REF!)</f>
        <v>#REF!</v>
      </c>
      <c r="D1652" s="1597" t="e">
        <f>+SUMIF(#REF!,Final!A1652,#REF!)</f>
        <v>#REF!</v>
      </c>
      <c r="E1652" s="1643" t="e">
        <f>SUMIF(#REF!,Final!A1652,#REF!)</f>
        <v>#REF!</v>
      </c>
      <c r="F1652" s="1644" t="e">
        <f>SUMIF(#REF!,Final!A1652,#REF!)</f>
        <v>#REF!</v>
      </c>
      <c r="G1652" s="1597" t="e">
        <f t="shared" si="176"/>
        <v>#REF!</v>
      </c>
      <c r="H1652" s="1644" t="e">
        <f t="shared" si="177"/>
        <v>#REF!</v>
      </c>
      <c r="I1652" s="1597" t="e">
        <f t="shared" si="178"/>
        <v>#REF!</v>
      </c>
      <c r="J1652" s="1644" t="e">
        <f t="shared" si="179"/>
        <v>#REF!</v>
      </c>
      <c r="M1652" s="1545"/>
      <c r="N1652" s="1545"/>
    </row>
    <row r="1653" spans="1:14" ht="15.5">
      <c r="A1653" s="1598">
        <v>33.323</v>
      </c>
      <c r="B1653" s="1599" t="s">
        <v>4546</v>
      </c>
      <c r="C1653" s="1643" t="e">
        <f>+SUMIF(#REF!,Final!A1653,#REF!)</f>
        <v>#REF!</v>
      </c>
      <c r="D1653" s="1597" t="e">
        <f>+SUMIF(#REF!,Final!A1653,#REF!)</f>
        <v>#REF!</v>
      </c>
      <c r="E1653" s="1643" t="e">
        <f>SUMIF(#REF!,Final!A1653,#REF!)</f>
        <v>#REF!</v>
      </c>
      <c r="F1653" s="1644" t="e">
        <f>SUMIF(#REF!,Final!A1653,#REF!)</f>
        <v>#REF!</v>
      </c>
      <c r="G1653" s="1597" t="e">
        <f t="shared" si="176"/>
        <v>#REF!</v>
      </c>
      <c r="H1653" s="1644" t="e">
        <f t="shared" si="177"/>
        <v>#REF!</v>
      </c>
      <c r="I1653" s="1597" t="e">
        <f t="shared" si="178"/>
        <v>#REF!</v>
      </c>
      <c r="J1653" s="1644" t="e">
        <f t="shared" si="179"/>
        <v>#REF!</v>
      </c>
      <c r="M1653" s="1545"/>
      <c r="N1653" s="1545"/>
    </row>
    <row r="1654" spans="1:14" ht="15.5">
      <c r="A1654" s="1598">
        <v>33.323999999999998</v>
      </c>
      <c r="B1654" s="1599" t="s">
        <v>4546</v>
      </c>
      <c r="C1654" s="1643" t="e">
        <f>+SUMIF(#REF!,Final!A1654,#REF!)</f>
        <v>#REF!</v>
      </c>
      <c r="D1654" s="1597" t="e">
        <f>+SUMIF(#REF!,Final!A1654,#REF!)</f>
        <v>#REF!</v>
      </c>
      <c r="E1654" s="1643" t="e">
        <f>SUMIF(#REF!,Final!A1654,#REF!)</f>
        <v>#REF!</v>
      </c>
      <c r="F1654" s="1644" t="e">
        <f>SUMIF(#REF!,Final!A1654,#REF!)</f>
        <v>#REF!</v>
      </c>
      <c r="G1654" s="1597" t="e">
        <f t="shared" si="176"/>
        <v>#REF!</v>
      </c>
      <c r="H1654" s="1644" t="e">
        <f t="shared" si="177"/>
        <v>#REF!</v>
      </c>
      <c r="I1654" s="1597" t="e">
        <f t="shared" si="178"/>
        <v>#REF!</v>
      </c>
      <c r="J1654" s="1644" t="e">
        <f t="shared" si="179"/>
        <v>#REF!</v>
      </c>
      <c r="M1654" s="1545"/>
      <c r="N1654" s="1545"/>
    </row>
    <row r="1655" spans="1:14" ht="15.5">
      <c r="A1655" s="1598">
        <v>33.325000000000003</v>
      </c>
      <c r="B1655" s="1599" t="s">
        <v>4546</v>
      </c>
      <c r="C1655" s="1643" t="e">
        <f>+SUMIF(#REF!,Final!A1655,#REF!)</f>
        <v>#REF!</v>
      </c>
      <c r="D1655" s="1597" t="e">
        <f>+SUMIF(#REF!,Final!A1655,#REF!)</f>
        <v>#REF!</v>
      </c>
      <c r="E1655" s="1643" t="e">
        <f>SUMIF(#REF!,Final!A1655,#REF!)</f>
        <v>#REF!</v>
      </c>
      <c r="F1655" s="1644" t="e">
        <f>SUMIF(#REF!,Final!A1655,#REF!)</f>
        <v>#REF!</v>
      </c>
      <c r="G1655" s="1597" t="e">
        <f t="shared" si="176"/>
        <v>#REF!</v>
      </c>
      <c r="H1655" s="1644" t="e">
        <f t="shared" si="177"/>
        <v>#REF!</v>
      </c>
      <c r="I1655" s="1597" t="e">
        <f t="shared" si="178"/>
        <v>#REF!</v>
      </c>
      <c r="J1655" s="1644" t="e">
        <f t="shared" si="179"/>
        <v>#REF!</v>
      </c>
      <c r="M1655" s="1545"/>
      <c r="N1655" s="1545"/>
    </row>
    <row r="1656" spans="1:14" ht="15.5">
      <c r="A1656" s="1598">
        <v>33.326000000000001</v>
      </c>
      <c r="B1656" s="1599" t="s">
        <v>4546</v>
      </c>
      <c r="C1656" s="1643" t="e">
        <f>+SUMIF(#REF!,Final!A1656,#REF!)</f>
        <v>#REF!</v>
      </c>
      <c r="D1656" s="1597" t="e">
        <f>+SUMIF(#REF!,Final!A1656,#REF!)</f>
        <v>#REF!</v>
      </c>
      <c r="E1656" s="1643" t="e">
        <f>SUMIF(#REF!,Final!A1656,#REF!)</f>
        <v>#REF!</v>
      </c>
      <c r="F1656" s="1644" t="e">
        <f>SUMIF(#REF!,Final!A1656,#REF!)</f>
        <v>#REF!</v>
      </c>
      <c r="G1656" s="1597" t="e">
        <f t="shared" si="176"/>
        <v>#REF!</v>
      </c>
      <c r="H1656" s="1644" t="e">
        <f t="shared" si="177"/>
        <v>#REF!</v>
      </c>
      <c r="I1656" s="1597" t="e">
        <f t="shared" si="178"/>
        <v>#REF!</v>
      </c>
      <c r="J1656" s="1644" t="e">
        <f t="shared" si="179"/>
        <v>#REF!</v>
      </c>
      <c r="M1656" s="1545"/>
      <c r="N1656" s="1545"/>
    </row>
    <row r="1657" spans="1:14" ht="15.5">
      <c r="A1657" s="1598">
        <v>33.326999999999998</v>
      </c>
      <c r="B1657" s="1599" t="s">
        <v>4546</v>
      </c>
      <c r="C1657" s="1643" t="e">
        <f>+SUMIF(#REF!,Final!A1657,#REF!)</f>
        <v>#REF!</v>
      </c>
      <c r="D1657" s="1597" t="e">
        <f>+SUMIF(#REF!,Final!A1657,#REF!)</f>
        <v>#REF!</v>
      </c>
      <c r="E1657" s="1643" t="e">
        <f>SUMIF(#REF!,Final!A1657,#REF!)</f>
        <v>#REF!</v>
      </c>
      <c r="F1657" s="1644" t="e">
        <f>SUMIF(#REF!,Final!A1657,#REF!)</f>
        <v>#REF!</v>
      </c>
      <c r="G1657" s="1597" t="e">
        <f t="shared" si="176"/>
        <v>#REF!</v>
      </c>
      <c r="H1657" s="1644" t="e">
        <f t="shared" si="177"/>
        <v>#REF!</v>
      </c>
      <c r="I1657" s="1597" t="e">
        <f t="shared" si="178"/>
        <v>#REF!</v>
      </c>
      <c r="J1657" s="1644" t="e">
        <f t="shared" si="179"/>
        <v>#REF!</v>
      </c>
      <c r="M1657" s="1545"/>
      <c r="N1657" s="1545"/>
    </row>
    <row r="1658" spans="1:14" ht="15.5">
      <c r="A1658" s="1598">
        <v>33.328000000000003</v>
      </c>
      <c r="B1658" s="1599" t="s">
        <v>4546</v>
      </c>
      <c r="C1658" s="1643" t="e">
        <f>+SUMIF(#REF!,Final!A1658,#REF!)</f>
        <v>#REF!</v>
      </c>
      <c r="D1658" s="1597" t="e">
        <f>+SUMIF(#REF!,Final!A1658,#REF!)</f>
        <v>#REF!</v>
      </c>
      <c r="E1658" s="1643" t="e">
        <f>SUMIF(#REF!,Final!A1658,#REF!)</f>
        <v>#REF!</v>
      </c>
      <c r="F1658" s="1644" t="e">
        <f>SUMIF(#REF!,Final!A1658,#REF!)</f>
        <v>#REF!</v>
      </c>
      <c r="G1658" s="1597" t="e">
        <f t="shared" si="176"/>
        <v>#REF!</v>
      </c>
      <c r="H1658" s="1644" t="e">
        <f t="shared" si="177"/>
        <v>#REF!</v>
      </c>
      <c r="I1658" s="1597" t="e">
        <f t="shared" si="178"/>
        <v>#REF!</v>
      </c>
      <c r="J1658" s="1644" t="e">
        <f t="shared" si="179"/>
        <v>#REF!</v>
      </c>
      <c r="M1658" s="1545"/>
      <c r="N1658" s="1545"/>
    </row>
    <row r="1659" spans="1:14" ht="15.5">
      <c r="A1659" s="1600">
        <v>33.33</v>
      </c>
      <c r="B1659" s="1599" t="s">
        <v>4546</v>
      </c>
      <c r="C1659" s="1643" t="e">
        <f>+SUMIF(#REF!,Final!A1659,#REF!)</f>
        <v>#REF!</v>
      </c>
      <c r="D1659" s="1597" t="e">
        <f>+SUMIF(#REF!,Final!A1659,#REF!)</f>
        <v>#REF!</v>
      </c>
      <c r="E1659" s="1643" t="e">
        <f>SUMIF(#REF!,Final!A1659,#REF!)</f>
        <v>#REF!</v>
      </c>
      <c r="F1659" s="1644" t="e">
        <f>SUMIF(#REF!,Final!A1659,#REF!)</f>
        <v>#REF!</v>
      </c>
      <c r="G1659" s="1597" t="e">
        <f t="shared" si="176"/>
        <v>#REF!</v>
      </c>
      <c r="H1659" s="1644" t="e">
        <f t="shared" si="177"/>
        <v>#REF!</v>
      </c>
      <c r="I1659" s="1597" t="e">
        <f t="shared" si="178"/>
        <v>#REF!</v>
      </c>
      <c r="J1659" s="1644" t="e">
        <f t="shared" si="179"/>
        <v>#REF!</v>
      </c>
      <c r="M1659" s="1545"/>
      <c r="N1659" s="1545"/>
    </row>
    <row r="1660" spans="1:14" ht="15.5">
      <c r="A1660" s="1598">
        <v>33.332000000000001</v>
      </c>
      <c r="B1660" s="1599" t="s">
        <v>4546</v>
      </c>
      <c r="C1660" s="1643" t="e">
        <f>+SUMIF(#REF!,Final!A1660,#REF!)</f>
        <v>#REF!</v>
      </c>
      <c r="D1660" s="1597" t="e">
        <f>+SUMIF(#REF!,Final!A1660,#REF!)</f>
        <v>#REF!</v>
      </c>
      <c r="E1660" s="1643" t="e">
        <f>SUMIF(#REF!,Final!A1660,#REF!)</f>
        <v>#REF!</v>
      </c>
      <c r="F1660" s="1644" t="e">
        <f>SUMIF(#REF!,Final!A1660,#REF!)</f>
        <v>#REF!</v>
      </c>
      <c r="G1660" s="1597" t="e">
        <f t="shared" si="176"/>
        <v>#REF!</v>
      </c>
      <c r="H1660" s="1644" t="e">
        <f t="shared" si="177"/>
        <v>#REF!</v>
      </c>
      <c r="I1660" s="1597" t="e">
        <f t="shared" si="178"/>
        <v>#REF!</v>
      </c>
      <c r="J1660" s="1644" t="e">
        <f t="shared" si="179"/>
        <v>#REF!</v>
      </c>
      <c r="M1660" s="1545"/>
      <c r="N1660" s="1545"/>
    </row>
    <row r="1661" spans="1:14" ht="15.5">
      <c r="A1661" s="1598">
        <v>33.332999999999998</v>
      </c>
      <c r="B1661" s="1599" t="s">
        <v>3929</v>
      </c>
      <c r="C1661" s="1643" t="e">
        <f>+SUMIF(#REF!,Final!A1661,#REF!)</f>
        <v>#REF!</v>
      </c>
      <c r="D1661" s="1597" t="e">
        <f>+SUMIF(#REF!,Final!A1661,#REF!)</f>
        <v>#REF!</v>
      </c>
      <c r="E1661" s="1643" t="e">
        <f>SUMIF(#REF!,Final!A1661,#REF!)</f>
        <v>#REF!</v>
      </c>
      <c r="F1661" s="1644" t="e">
        <f>SUMIF(#REF!,Final!A1661,#REF!)</f>
        <v>#REF!</v>
      </c>
      <c r="G1661" s="1597" t="e">
        <f t="shared" si="176"/>
        <v>#REF!</v>
      </c>
      <c r="H1661" s="1644" t="e">
        <f t="shared" si="177"/>
        <v>#REF!</v>
      </c>
      <c r="I1661" s="1597" t="e">
        <f t="shared" si="178"/>
        <v>#REF!</v>
      </c>
      <c r="J1661" s="1644" t="e">
        <f t="shared" si="179"/>
        <v>#REF!</v>
      </c>
      <c r="M1661" s="1545"/>
      <c r="N1661" s="1545"/>
    </row>
    <row r="1662" spans="1:14" ht="15.5">
      <c r="A1662" s="1598">
        <v>33.335999999999999</v>
      </c>
      <c r="B1662" s="1599" t="s">
        <v>3929</v>
      </c>
      <c r="C1662" s="1643" t="e">
        <f>+SUMIF(#REF!,Final!A1662,#REF!)</f>
        <v>#REF!</v>
      </c>
      <c r="D1662" s="1597" t="e">
        <f>+SUMIF(#REF!,Final!A1662,#REF!)</f>
        <v>#REF!</v>
      </c>
      <c r="E1662" s="1643" t="e">
        <f>SUMIF(#REF!,Final!A1662,#REF!)</f>
        <v>#REF!</v>
      </c>
      <c r="F1662" s="1644" t="e">
        <f>SUMIF(#REF!,Final!A1662,#REF!)</f>
        <v>#REF!</v>
      </c>
      <c r="G1662" s="1597" t="e">
        <f t="shared" si="176"/>
        <v>#REF!</v>
      </c>
      <c r="H1662" s="1644" t="e">
        <f t="shared" si="177"/>
        <v>#REF!</v>
      </c>
      <c r="I1662" s="1597" t="e">
        <f t="shared" si="178"/>
        <v>#REF!</v>
      </c>
      <c r="J1662" s="1644" t="e">
        <f t="shared" si="179"/>
        <v>#REF!</v>
      </c>
      <c r="M1662" s="1545"/>
      <c r="N1662" s="1545"/>
    </row>
    <row r="1663" spans="1:14" ht="15.5">
      <c r="A1663" s="1598">
        <v>33.337000000000003</v>
      </c>
      <c r="B1663" s="1599" t="s">
        <v>4546</v>
      </c>
      <c r="C1663" s="1643" t="e">
        <f>+SUMIF(#REF!,Final!A1663,#REF!)</f>
        <v>#REF!</v>
      </c>
      <c r="D1663" s="1597" t="e">
        <f>+SUMIF(#REF!,Final!A1663,#REF!)</f>
        <v>#REF!</v>
      </c>
      <c r="E1663" s="1643" t="e">
        <f>SUMIF(#REF!,Final!A1663,#REF!)</f>
        <v>#REF!</v>
      </c>
      <c r="F1663" s="1644" t="e">
        <f>SUMIF(#REF!,Final!A1663,#REF!)</f>
        <v>#REF!</v>
      </c>
      <c r="G1663" s="1597" t="e">
        <f t="shared" si="176"/>
        <v>#REF!</v>
      </c>
      <c r="H1663" s="1644" t="e">
        <f t="shared" si="177"/>
        <v>#REF!</v>
      </c>
      <c r="I1663" s="1597" t="e">
        <f t="shared" si="178"/>
        <v>#REF!</v>
      </c>
      <c r="J1663" s="1644" t="e">
        <f t="shared" si="179"/>
        <v>#REF!</v>
      </c>
      <c r="M1663" s="1545"/>
      <c r="N1663" s="1545"/>
    </row>
    <row r="1664" spans="1:14" ht="15.5">
      <c r="A1664" s="1598">
        <v>33.338000000000001</v>
      </c>
      <c r="B1664" s="1599" t="s">
        <v>4546</v>
      </c>
      <c r="C1664" s="1643" t="e">
        <f>+SUMIF(#REF!,Final!A1664,#REF!)</f>
        <v>#REF!</v>
      </c>
      <c r="D1664" s="1597" t="e">
        <f>+SUMIF(#REF!,Final!A1664,#REF!)</f>
        <v>#REF!</v>
      </c>
      <c r="E1664" s="1643" t="e">
        <f>SUMIF(#REF!,Final!A1664,#REF!)</f>
        <v>#REF!</v>
      </c>
      <c r="F1664" s="1644" t="e">
        <f>SUMIF(#REF!,Final!A1664,#REF!)</f>
        <v>#REF!</v>
      </c>
      <c r="G1664" s="1597" t="e">
        <f t="shared" si="176"/>
        <v>#REF!</v>
      </c>
      <c r="H1664" s="1644" t="e">
        <f t="shared" si="177"/>
        <v>#REF!</v>
      </c>
      <c r="I1664" s="1597" t="e">
        <f t="shared" si="178"/>
        <v>#REF!</v>
      </c>
      <c r="J1664" s="1644" t="e">
        <f t="shared" si="179"/>
        <v>#REF!</v>
      </c>
      <c r="M1664" s="1545"/>
      <c r="N1664" s="1545"/>
    </row>
    <row r="1665" spans="1:93" ht="15.5">
      <c r="A1665" s="1598">
        <v>33.338999999999999</v>
      </c>
      <c r="B1665" s="1599" t="s">
        <v>4674</v>
      </c>
      <c r="C1665" s="1643" t="e">
        <f>+SUMIF(#REF!,Final!A1665,#REF!)</f>
        <v>#REF!</v>
      </c>
      <c r="D1665" s="1597" t="e">
        <f>+SUMIF(#REF!,Final!A1665,#REF!)</f>
        <v>#REF!</v>
      </c>
      <c r="E1665" s="1643" t="e">
        <f>SUMIF(#REF!,Final!A1665,#REF!)</f>
        <v>#REF!</v>
      </c>
      <c r="F1665" s="1644" t="e">
        <f>SUMIF(#REF!,Final!A1665,#REF!)</f>
        <v>#REF!</v>
      </c>
      <c r="G1665" s="1597" t="e">
        <f t="shared" si="176"/>
        <v>#REF!</v>
      </c>
      <c r="H1665" s="1644" t="e">
        <f t="shared" si="177"/>
        <v>#REF!</v>
      </c>
      <c r="I1665" s="1597" t="e">
        <f t="shared" si="178"/>
        <v>#REF!</v>
      </c>
      <c r="J1665" s="1644" t="e">
        <f t="shared" si="179"/>
        <v>#REF!</v>
      </c>
      <c r="M1665" s="1545"/>
      <c r="N1665" s="1545"/>
    </row>
    <row r="1666" spans="1:93" ht="15.5">
      <c r="A1666" s="1598">
        <v>33.372</v>
      </c>
      <c r="B1666" s="1599" t="s">
        <v>4546</v>
      </c>
      <c r="C1666" s="1643" t="e">
        <f>+SUMIF(#REF!,Final!A1666,#REF!)</f>
        <v>#REF!</v>
      </c>
      <c r="D1666" s="1597" t="e">
        <f>+SUMIF(#REF!,Final!A1666,#REF!)</f>
        <v>#REF!</v>
      </c>
      <c r="E1666" s="1643" t="e">
        <f>SUMIF(#REF!,Final!A1666,#REF!)</f>
        <v>#REF!</v>
      </c>
      <c r="F1666" s="1644" t="e">
        <f>SUMIF(#REF!,Final!A1666,#REF!)</f>
        <v>#REF!</v>
      </c>
      <c r="G1666" s="1597" t="e">
        <f t="shared" si="176"/>
        <v>#REF!</v>
      </c>
      <c r="H1666" s="1644" t="e">
        <f t="shared" si="177"/>
        <v>#REF!</v>
      </c>
      <c r="I1666" s="1597" t="e">
        <f t="shared" si="178"/>
        <v>#REF!</v>
      </c>
      <c r="J1666" s="1644" t="e">
        <f t="shared" si="179"/>
        <v>#REF!</v>
      </c>
      <c r="M1666" s="1545"/>
      <c r="N1666" s="1545"/>
    </row>
    <row r="1667" spans="1:93" ht="15.5">
      <c r="A1667" s="1598">
        <v>33.372999999999998</v>
      </c>
      <c r="B1667" s="1599" t="s">
        <v>4546</v>
      </c>
      <c r="C1667" s="1643" t="e">
        <f>+SUMIF(#REF!,Final!A1667,#REF!)</f>
        <v>#REF!</v>
      </c>
      <c r="D1667" s="1597" t="e">
        <f>+SUMIF(#REF!,Final!A1667,#REF!)</f>
        <v>#REF!</v>
      </c>
      <c r="E1667" s="1643" t="e">
        <f>SUMIF(#REF!,Final!A1667,#REF!)</f>
        <v>#REF!</v>
      </c>
      <c r="F1667" s="1644" t="e">
        <f>SUMIF(#REF!,Final!A1667,#REF!)</f>
        <v>#REF!</v>
      </c>
      <c r="G1667" s="1597" t="e">
        <f t="shared" si="176"/>
        <v>#REF!</v>
      </c>
      <c r="H1667" s="1644" t="e">
        <f t="shared" si="177"/>
        <v>#REF!</v>
      </c>
      <c r="I1667" s="1597" t="e">
        <f t="shared" si="178"/>
        <v>#REF!</v>
      </c>
      <c r="J1667" s="1644" t="e">
        <f t="shared" si="179"/>
        <v>#REF!</v>
      </c>
      <c r="M1667" s="1545"/>
      <c r="N1667" s="1545"/>
    </row>
    <row r="1668" spans="1:93" ht="15.5">
      <c r="A1668" s="1598">
        <v>33.374000000000002</v>
      </c>
      <c r="B1668" s="1599" t="s">
        <v>4546</v>
      </c>
      <c r="C1668" s="1643" t="e">
        <f>+SUMIF(#REF!,Final!A1668,#REF!)</f>
        <v>#REF!</v>
      </c>
      <c r="D1668" s="1597" t="e">
        <f>+SUMIF(#REF!,Final!A1668,#REF!)</f>
        <v>#REF!</v>
      </c>
      <c r="E1668" s="1643" t="e">
        <f>SUMIF(#REF!,Final!A1668,#REF!)</f>
        <v>#REF!</v>
      </c>
      <c r="F1668" s="1644" t="e">
        <f>SUMIF(#REF!,Final!A1668,#REF!)</f>
        <v>#REF!</v>
      </c>
      <c r="G1668" s="1597" t="e">
        <f t="shared" si="176"/>
        <v>#REF!</v>
      </c>
      <c r="H1668" s="1644" t="e">
        <f t="shared" si="177"/>
        <v>#REF!</v>
      </c>
      <c r="I1668" s="1597" t="e">
        <f t="shared" si="178"/>
        <v>#REF!</v>
      </c>
      <c r="J1668" s="1644" t="e">
        <f t="shared" si="179"/>
        <v>#REF!</v>
      </c>
      <c r="M1668" s="1545"/>
      <c r="N1668" s="1545"/>
    </row>
    <row r="1669" spans="1:93" ht="15.5">
      <c r="A1669" s="1598">
        <v>33.375</v>
      </c>
      <c r="B1669" s="1599" t="s">
        <v>4546</v>
      </c>
      <c r="C1669" s="1643" t="e">
        <f>+SUMIF(#REF!,Final!A1669,#REF!)</f>
        <v>#REF!</v>
      </c>
      <c r="D1669" s="1597" t="e">
        <f>+SUMIF(#REF!,Final!A1669,#REF!)</f>
        <v>#REF!</v>
      </c>
      <c r="E1669" s="1643" t="e">
        <f>SUMIF(#REF!,Final!A1669,#REF!)</f>
        <v>#REF!</v>
      </c>
      <c r="F1669" s="1644" t="e">
        <f>SUMIF(#REF!,Final!A1669,#REF!)</f>
        <v>#REF!</v>
      </c>
      <c r="G1669" s="1597" t="e">
        <f t="shared" si="176"/>
        <v>#REF!</v>
      </c>
      <c r="H1669" s="1644" t="e">
        <f t="shared" si="177"/>
        <v>#REF!</v>
      </c>
      <c r="I1669" s="1597" t="e">
        <f t="shared" si="178"/>
        <v>#REF!</v>
      </c>
      <c r="J1669" s="1644" t="e">
        <f t="shared" si="179"/>
        <v>#REF!</v>
      </c>
      <c r="M1669" s="1545"/>
      <c r="N1669" s="1545"/>
    </row>
    <row r="1670" spans="1:93" ht="15.5">
      <c r="A1670" s="1598">
        <v>33.375999999999998</v>
      </c>
      <c r="B1670" s="1599" t="s">
        <v>4546</v>
      </c>
      <c r="C1670" s="1643" t="e">
        <f>+SUMIF(#REF!,Final!A1670,#REF!)</f>
        <v>#REF!</v>
      </c>
      <c r="D1670" s="1597" t="e">
        <f>+SUMIF(#REF!,Final!A1670,#REF!)</f>
        <v>#REF!</v>
      </c>
      <c r="E1670" s="1643" t="e">
        <f>SUMIF(#REF!,Final!A1670,#REF!)</f>
        <v>#REF!</v>
      </c>
      <c r="F1670" s="1644" t="e">
        <f>SUMIF(#REF!,Final!A1670,#REF!)</f>
        <v>#REF!</v>
      </c>
      <c r="G1670" s="1597" t="e">
        <f t="shared" si="176"/>
        <v>#REF!</v>
      </c>
      <c r="H1670" s="1644" t="e">
        <f t="shared" si="177"/>
        <v>#REF!</v>
      </c>
      <c r="I1670" s="1597" t="e">
        <f t="shared" si="178"/>
        <v>#REF!</v>
      </c>
      <c r="J1670" s="1644" t="e">
        <f t="shared" si="179"/>
        <v>#REF!</v>
      </c>
      <c r="M1670" s="1545"/>
      <c r="N1670" s="1545"/>
    </row>
    <row r="1671" spans="1:93" ht="15.5">
      <c r="A1671" s="1598">
        <v>33.021000000000001</v>
      </c>
      <c r="B1671" s="1599" t="s">
        <v>3412</v>
      </c>
      <c r="C1671" s="1643" t="e">
        <f>+SUMIF(#REF!,Final!A1671,#REF!)</f>
        <v>#REF!</v>
      </c>
      <c r="D1671" s="1597" t="e">
        <f>+SUMIF(#REF!,Final!A1671,#REF!)</f>
        <v>#REF!</v>
      </c>
      <c r="E1671" s="1643" t="e">
        <f>SUMIF(#REF!,Final!A1671,#REF!)</f>
        <v>#REF!</v>
      </c>
      <c r="F1671" s="1644" t="e">
        <f>SUMIF(#REF!,Final!A1671,#REF!)</f>
        <v>#REF!</v>
      </c>
      <c r="G1671" s="1597" t="e">
        <f t="shared" si="176"/>
        <v>#REF!</v>
      </c>
      <c r="H1671" s="1644" t="e">
        <f t="shared" si="177"/>
        <v>#REF!</v>
      </c>
      <c r="I1671" s="1597" t="e">
        <f t="shared" si="178"/>
        <v>#REF!</v>
      </c>
      <c r="J1671" s="1644" t="e">
        <f t="shared" si="179"/>
        <v>#REF!</v>
      </c>
      <c r="M1671" s="1545"/>
      <c r="N1671" s="1545"/>
    </row>
    <row r="1672" spans="1:93" ht="15.5">
      <c r="A1672" s="1598">
        <v>33.021999999999998</v>
      </c>
      <c r="B1672" s="1599" t="s">
        <v>3413</v>
      </c>
      <c r="C1672" s="1643" t="e">
        <f>+SUMIF(#REF!,Final!A1672,#REF!)</f>
        <v>#REF!</v>
      </c>
      <c r="D1672" s="1597" t="e">
        <f>+SUMIF(#REF!,Final!A1672,#REF!)</f>
        <v>#REF!</v>
      </c>
      <c r="E1672" s="1643" t="e">
        <f>SUMIF(#REF!,Final!A1672,#REF!)</f>
        <v>#REF!</v>
      </c>
      <c r="F1672" s="1644" t="e">
        <f>SUMIF(#REF!,Final!A1672,#REF!)</f>
        <v>#REF!</v>
      </c>
      <c r="G1672" s="1597" t="e">
        <f t="shared" si="176"/>
        <v>#REF!</v>
      </c>
      <c r="H1672" s="1644" t="e">
        <f t="shared" si="177"/>
        <v>#REF!</v>
      </c>
      <c r="I1672" s="1597" t="e">
        <f t="shared" si="178"/>
        <v>#REF!</v>
      </c>
      <c r="J1672" s="1644" t="e">
        <f t="shared" si="179"/>
        <v>#REF!</v>
      </c>
      <c r="M1672" s="1545"/>
      <c r="N1672" s="1545"/>
    </row>
    <row r="1673" spans="1:93" ht="15.5">
      <c r="A1673" s="1598">
        <v>33.023000000000003</v>
      </c>
      <c r="B1673" s="1599" t="s">
        <v>3414</v>
      </c>
      <c r="C1673" s="1643" t="e">
        <f>+SUMIF(#REF!,Final!A1673,#REF!)</f>
        <v>#REF!</v>
      </c>
      <c r="D1673" s="1597" t="e">
        <f>+SUMIF(#REF!,Final!A1673,#REF!)</f>
        <v>#REF!</v>
      </c>
      <c r="E1673" s="1643" t="e">
        <f>SUMIF(#REF!,Final!A1673,#REF!)</f>
        <v>#REF!</v>
      </c>
      <c r="F1673" s="1644" t="e">
        <f>SUMIF(#REF!,Final!A1673,#REF!)</f>
        <v>#REF!</v>
      </c>
      <c r="G1673" s="1597" t="e">
        <f t="shared" si="176"/>
        <v>#REF!</v>
      </c>
      <c r="H1673" s="1644" t="e">
        <f t="shared" si="177"/>
        <v>#REF!</v>
      </c>
      <c r="I1673" s="1597" t="e">
        <f t="shared" si="178"/>
        <v>#REF!</v>
      </c>
      <c r="J1673" s="1644" t="e">
        <f t="shared" si="179"/>
        <v>#REF!</v>
      </c>
      <c r="M1673" s="1545"/>
      <c r="N1673" s="1545"/>
    </row>
    <row r="1674" spans="1:93" ht="15.5">
      <c r="A1674" s="1598">
        <v>33.024000000000001</v>
      </c>
      <c r="B1674" s="1599" t="s">
        <v>3415</v>
      </c>
      <c r="C1674" s="1643" t="e">
        <f>+SUMIF(#REF!,Final!A1674,#REF!)</f>
        <v>#REF!</v>
      </c>
      <c r="D1674" s="1597" t="e">
        <f>+SUMIF(#REF!,Final!A1674,#REF!)</f>
        <v>#REF!</v>
      </c>
      <c r="E1674" s="1643" t="e">
        <f>SUMIF(#REF!,Final!A1674,#REF!)</f>
        <v>#REF!</v>
      </c>
      <c r="F1674" s="1644" t="e">
        <f>SUMIF(#REF!,Final!A1674,#REF!)</f>
        <v>#REF!</v>
      </c>
      <c r="G1674" s="1597" t="e">
        <f t="shared" si="176"/>
        <v>#REF!</v>
      </c>
      <c r="H1674" s="1644" t="e">
        <f t="shared" si="177"/>
        <v>#REF!</v>
      </c>
      <c r="I1674" s="1597" t="e">
        <f t="shared" si="178"/>
        <v>#REF!</v>
      </c>
      <c r="J1674" s="1644" t="e">
        <f t="shared" si="179"/>
        <v>#REF!</v>
      </c>
      <c r="M1674" s="1545"/>
      <c r="N1674" s="1545"/>
    </row>
    <row r="1675" spans="1:93" s="1542" customFormat="1" ht="15.5">
      <c r="A1675" s="1598">
        <v>33.024999999999999</v>
      </c>
      <c r="B1675" s="1599" t="s">
        <v>3416</v>
      </c>
      <c r="C1675" s="1643" t="e">
        <f>+SUMIF(#REF!,Final!A1675,#REF!)</f>
        <v>#REF!</v>
      </c>
      <c r="D1675" s="1597" t="e">
        <f>+SUMIF(#REF!,Final!A1675,#REF!)</f>
        <v>#REF!</v>
      </c>
      <c r="E1675" s="1643" t="e">
        <f>SUMIF(#REF!,Final!A1675,#REF!)</f>
        <v>#REF!</v>
      </c>
      <c r="F1675" s="1644" t="e">
        <f>SUMIF(#REF!,Final!A1675,#REF!)</f>
        <v>#REF!</v>
      </c>
      <c r="G1675" s="1597" t="e">
        <f t="shared" si="176"/>
        <v>#REF!</v>
      </c>
      <c r="H1675" s="1644" t="e">
        <f t="shared" si="177"/>
        <v>#REF!</v>
      </c>
      <c r="I1675" s="1597" t="e">
        <f t="shared" si="178"/>
        <v>#REF!</v>
      </c>
      <c r="J1675" s="1644" t="e">
        <f t="shared" si="179"/>
        <v>#REF!</v>
      </c>
      <c r="K1675" s="1539"/>
      <c r="L1675" s="1539"/>
      <c r="M1675" s="1545"/>
      <c r="N1675" s="1545"/>
      <c r="O1675" s="1539"/>
      <c r="P1675" s="1539"/>
      <c r="Q1675" s="1539"/>
      <c r="R1675" s="1539"/>
      <c r="S1675" s="1539"/>
      <c r="T1675" s="1539"/>
      <c r="U1675" s="1539"/>
      <c r="V1675" s="1539"/>
      <c r="W1675" s="1539"/>
      <c r="X1675" s="1539"/>
      <c r="Y1675" s="1539"/>
      <c r="Z1675" s="1539"/>
      <c r="AA1675" s="1539"/>
      <c r="AB1675" s="1539"/>
      <c r="AC1675" s="1539"/>
      <c r="AD1675" s="1539"/>
      <c r="AE1675" s="1539"/>
      <c r="AF1675" s="1539"/>
      <c r="AG1675" s="1539"/>
      <c r="AH1675" s="1539"/>
      <c r="AI1675" s="1539"/>
      <c r="AJ1675" s="1539"/>
      <c r="AK1675" s="1539"/>
      <c r="AL1675" s="1539"/>
      <c r="AM1675" s="1539"/>
      <c r="AN1675" s="1539"/>
      <c r="AO1675" s="1539"/>
      <c r="AP1675" s="1539"/>
      <c r="AQ1675" s="1539"/>
      <c r="AR1675" s="1539"/>
      <c r="AS1675" s="1539"/>
      <c r="AT1675" s="1539"/>
      <c r="AU1675" s="1539"/>
      <c r="AV1675" s="1539"/>
      <c r="AW1675" s="1539"/>
      <c r="AX1675" s="1539"/>
      <c r="AY1675" s="1539"/>
      <c r="AZ1675" s="1539"/>
      <c r="BA1675" s="1539"/>
      <c r="BB1675" s="1539"/>
      <c r="BC1675" s="1539"/>
      <c r="BD1675" s="1539"/>
      <c r="BE1675" s="1539"/>
      <c r="BF1675" s="1539"/>
      <c r="BG1675" s="1539"/>
      <c r="BH1675" s="1539"/>
      <c r="BI1675" s="1539"/>
      <c r="BJ1675" s="1539"/>
      <c r="BK1675" s="1539"/>
      <c r="BL1675" s="1539"/>
      <c r="BM1675" s="1539"/>
      <c r="BN1675" s="1539"/>
      <c r="BO1675" s="1539"/>
      <c r="BP1675" s="1539"/>
      <c r="BQ1675" s="1539"/>
      <c r="BR1675" s="1539"/>
      <c r="BS1675" s="1539"/>
      <c r="BT1675" s="1539"/>
      <c r="BU1675" s="1539"/>
      <c r="BV1675" s="1539"/>
      <c r="BW1675" s="1539"/>
      <c r="BX1675" s="1539"/>
      <c r="BY1675" s="1539"/>
      <c r="BZ1675" s="1539"/>
      <c r="CA1675" s="1539"/>
      <c r="CB1675" s="1539"/>
      <c r="CC1675" s="1539"/>
      <c r="CD1675" s="1539"/>
      <c r="CE1675" s="1539"/>
      <c r="CF1675" s="1539"/>
      <c r="CG1675" s="1539"/>
      <c r="CH1675" s="1539"/>
      <c r="CI1675" s="1539"/>
      <c r="CJ1675" s="1539"/>
      <c r="CK1675" s="1539"/>
      <c r="CL1675" s="1539"/>
      <c r="CM1675" s="1539"/>
      <c r="CN1675" s="1539"/>
      <c r="CO1675" s="1539"/>
    </row>
    <row r="1676" spans="1:93" ht="15.5">
      <c r="A1676" s="1598">
        <v>33.026000000000003</v>
      </c>
      <c r="B1676" s="1599" t="s">
        <v>3417</v>
      </c>
      <c r="C1676" s="1643" t="e">
        <f>+SUMIF(#REF!,Final!A1676,#REF!)</f>
        <v>#REF!</v>
      </c>
      <c r="D1676" s="1597" t="e">
        <f>+SUMIF(#REF!,Final!A1676,#REF!)</f>
        <v>#REF!</v>
      </c>
      <c r="E1676" s="1643" t="e">
        <f>SUMIF(#REF!,Final!A1676,#REF!)</f>
        <v>#REF!</v>
      </c>
      <c r="F1676" s="1644" t="e">
        <f>SUMIF(#REF!,Final!A1676,#REF!)</f>
        <v>#REF!</v>
      </c>
      <c r="G1676" s="1597" t="e">
        <f t="shared" si="176"/>
        <v>#REF!</v>
      </c>
      <c r="H1676" s="1644" t="e">
        <f t="shared" si="177"/>
        <v>#REF!</v>
      </c>
      <c r="I1676" s="1597" t="e">
        <f t="shared" si="178"/>
        <v>#REF!</v>
      </c>
      <c r="J1676" s="1644" t="e">
        <f t="shared" si="179"/>
        <v>#REF!</v>
      </c>
      <c r="M1676" s="1545"/>
      <c r="N1676" s="1545"/>
    </row>
    <row r="1677" spans="1:93" s="1542" customFormat="1" ht="15.5">
      <c r="A1677" s="1598">
        <v>33.027000000000001</v>
      </c>
      <c r="B1677" s="1599" t="s">
        <v>3418</v>
      </c>
      <c r="C1677" s="1643" t="e">
        <f>+SUMIF(#REF!,Final!A1677,#REF!)</f>
        <v>#REF!</v>
      </c>
      <c r="D1677" s="1597" t="e">
        <f>+SUMIF(#REF!,Final!A1677,#REF!)</f>
        <v>#REF!</v>
      </c>
      <c r="E1677" s="1643" t="e">
        <f>SUMIF(#REF!,Final!A1677,#REF!)</f>
        <v>#REF!</v>
      </c>
      <c r="F1677" s="1644" t="e">
        <f>SUMIF(#REF!,Final!A1677,#REF!)</f>
        <v>#REF!</v>
      </c>
      <c r="G1677" s="1597" t="e">
        <f t="shared" si="176"/>
        <v>#REF!</v>
      </c>
      <c r="H1677" s="1644" t="e">
        <f t="shared" si="177"/>
        <v>#REF!</v>
      </c>
      <c r="I1677" s="1597" t="e">
        <f t="shared" si="178"/>
        <v>#REF!</v>
      </c>
      <c r="J1677" s="1644" t="e">
        <f t="shared" si="179"/>
        <v>#REF!</v>
      </c>
      <c r="K1677" s="1539"/>
      <c r="L1677" s="1539"/>
      <c r="M1677" s="1545"/>
      <c r="N1677" s="1545"/>
      <c r="O1677" s="1539"/>
      <c r="P1677" s="1539"/>
      <c r="Q1677" s="1539"/>
      <c r="R1677" s="1539"/>
      <c r="S1677" s="1539"/>
      <c r="T1677" s="1539"/>
      <c r="U1677" s="1539"/>
      <c r="V1677" s="1539"/>
      <c r="W1677" s="1539"/>
      <c r="X1677" s="1539"/>
      <c r="Y1677" s="1539"/>
      <c r="Z1677" s="1539"/>
      <c r="AA1677" s="1539"/>
      <c r="AB1677" s="1539"/>
      <c r="AC1677" s="1539"/>
      <c r="AD1677" s="1539"/>
      <c r="AE1677" s="1539"/>
      <c r="AF1677" s="1539"/>
      <c r="AG1677" s="1539"/>
      <c r="AH1677" s="1539"/>
      <c r="AI1677" s="1539"/>
      <c r="AJ1677" s="1539"/>
      <c r="AK1677" s="1539"/>
      <c r="AL1677" s="1539"/>
      <c r="AM1677" s="1539"/>
      <c r="AN1677" s="1539"/>
      <c r="AO1677" s="1539"/>
      <c r="AP1677" s="1539"/>
      <c r="AQ1677" s="1539"/>
      <c r="AR1677" s="1539"/>
      <c r="AS1677" s="1539"/>
      <c r="AT1677" s="1539"/>
      <c r="AU1677" s="1539"/>
      <c r="AV1677" s="1539"/>
      <c r="AW1677" s="1539"/>
      <c r="AX1677" s="1539"/>
      <c r="AY1677" s="1539"/>
      <c r="AZ1677" s="1539"/>
      <c r="BA1677" s="1539"/>
      <c r="BB1677" s="1539"/>
      <c r="BC1677" s="1539"/>
      <c r="BD1677" s="1539"/>
      <c r="BE1677" s="1539"/>
      <c r="BF1677" s="1539"/>
      <c r="BG1677" s="1539"/>
      <c r="BH1677" s="1539"/>
      <c r="BI1677" s="1539"/>
      <c r="BJ1677" s="1539"/>
      <c r="BK1677" s="1539"/>
      <c r="BL1677" s="1539"/>
      <c r="BM1677" s="1539"/>
      <c r="BN1677" s="1539"/>
      <c r="BO1677" s="1539"/>
      <c r="BP1677" s="1539"/>
      <c r="BQ1677" s="1539"/>
      <c r="BR1677" s="1539"/>
      <c r="BS1677" s="1539"/>
      <c r="BT1677" s="1539"/>
      <c r="BU1677" s="1539"/>
      <c r="BV1677" s="1539"/>
      <c r="BW1677" s="1539"/>
      <c r="BX1677" s="1539"/>
      <c r="BY1677" s="1539"/>
      <c r="BZ1677" s="1539"/>
      <c r="CA1677" s="1539"/>
      <c r="CB1677" s="1539"/>
      <c r="CC1677" s="1539"/>
      <c r="CD1677" s="1539"/>
      <c r="CE1677" s="1539"/>
      <c r="CF1677" s="1539"/>
      <c r="CG1677" s="1539"/>
      <c r="CH1677" s="1539"/>
      <c r="CI1677" s="1539"/>
      <c r="CJ1677" s="1539"/>
      <c r="CK1677" s="1539"/>
      <c r="CL1677" s="1539"/>
      <c r="CM1677" s="1539"/>
      <c r="CN1677" s="1539"/>
      <c r="CO1677" s="1539"/>
    </row>
    <row r="1678" spans="1:93" ht="15.5">
      <c r="A1678" s="1598">
        <v>33.027999999999999</v>
      </c>
      <c r="B1678" s="1599" t="s">
        <v>3419</v>
      </c>
      <c r="C1678" s="1643" t="e">
        <f>+SUMIF(#REF!,Final!A1678,#REF!)</f>
        <v>#REF!</v>
      </c>
      <c r="D1678" s="1597" t="e">
        <f>+SUMIF(#REF!,Final!A1678,#REF!)</f>
        <v>#REF!</v>
      </c>
      <c r="E1678" s="1643" t="e">
        <f>SUMIF(#REF!,Final!A1678,#REF!)</f>
        <v>#REF!</v>
      </c>
      <c r="F1678" s="1644" t="e">
        <f>SUMIF(#REF!,Final!A1678,#REF!)</f>
        <v>#REF!</v>
      </c>
      <c r="G1678" s="1597" t="e">
        <f t="shared" si="176"/>
        <v>#REF!</v>
      </c>
      <c r="H1678" s="1644" t="e">
        <f t="shared" si="177"/>
        <v>#REF!</v>
      </c>
      <c r="I1678" s="1597" t="e">
        <f t="shared" si="178"/>
        <v>#REF!</v>
      </c>
      <c r="J1678" s="1644" t="e">
        <f t="shared" si="179"/>
        <v>#REF!</v>
      </c>
      <c r="M1678" s="1545"/>
      <c r="N1678" s="1545"/>
    </row>
    <row r="1679" spans="1:93" ht="15.5">
      <c r="A1679" s="1598">
        <v>33.029000000000003</v>
      </c>
      <c r="B1679" s="1599" t="s">
        <v>3420</v>
      </c>
      <c r="C1679" s="1643" t="e">
        <f>+SUMIF(#REF!,Final!A1679,#REF!)</f>
        <v>#REF!</v>
      </c>
      <c r="D1679" s="1597" t="e">
        <f>+SUMIF(#REF!,Final!A1679,#REF!)</f>
        <v>#REF!</v>
      </c>
      <c r="E1679" s="1643" t="e">
        <f>SUMIF(#REF!,Final!A1679,#REF!)</f>
        <v>#REF!</v>
      </c>
      <c r="F1679" s="1644" t="e">
        <f>SUMIF(#REF!,Final!A1679,#REF!)</f>
        <v>#REF!</v>
      </c>
      <c r="G1679" s="1597" t="e">
        <f t="shared" si="176"/>
        <v>#REF!</v>
      </c>
      <c r="H1679" s="1644" t="e">
        <f t="shared" si="177"/>
        <v>#REF!</v>
      </c>
      <c r="I1679" s="1597" t="e">
        <f t="shared" si="178"/>
        <v>#REF!</v>
      </c>
      <c r="J1679" s="1644" t="e">
        <f t="shared" si="179"/>
        <v>#REF!</v>
      </c>
      <c r="M1679" s="1545"/>
      <c r="N1679" s="1545"/>
    </row>
    <row r="1680" spans="1:93" ht="15.5">
      <c r="A1680" s="1598">
        <v>33.03</v>
      </c>
      <c r="B1680" s="1599" t="s">
        <v>3421</v>
      </c>
      <c r="C1680" s="1643" t="e">
        <f>+SUMIF(#REF!,Final!A1680,#REF!)</f>
        <v>#REF!</v>
      </c>
      <c r="D1680" s="1597" t="e">
        <f>+SUMIF(#REF!,Final!A1680,#REF!)</f>
        <v>#REF!</v>
      </c>
      <c r="E1680" s="1643" t="e">
        <f>SUMIF(#REF!,Final!A1680,#REF!)</f>
        <v>#REF!</v>
      </c>
      <c r="F1680" s="1644" t="e">
        <f>SUMIF(#REF!,Final!A1680,#REF!)</f>
        <v>#REF!</v>
      </c>
      <c r="G1680" s="1597" t="e">
        <f t="shared" si="176"/>
        <v>#REF!</v>
      </c>
      <c r="H1680" s="1644" t="e">
        <f t="shared" si="177"/>
        <v>#REF!</v>
      </c>
      <c r="I1680" s="1597" t="e">
        <f t="shared" si="178"/>
        <v>#REF!</v>
      </c>
      <c r="J1680" s="1644" t="e">
        <f t="shared" si="179"/>
        <v>#REF!</v>
      </c>
      <c r="M1680" s="1545"/>
      <c r="N1680" s="1545"/>
    </row>
    <row r="1681" spans="1:93" ht="15.5">
      <c r="A1681" s="1598">
        <v>33.030999999999999</v>
      </c>
      <c r="B1681" s="1599" t="s">
        <v>3422</v>
      </c>
      <c r="C1681" s="1643" t="e">
        <f>+SUMIF(#REF!,Final!A1681,#REF!)</f>
        <v>#REF!</v>
      </c>
      <c r="D1681" s="1597" t="e">
        <f>+SUMIF(#REF!,Final!A1681,#REF!)</f>
        <v>#REF!</v>
      </c>
      <c r="E1681" s="1643" t="e">
        <f>SUMIF(#REF!,Final!A1681,#REF!)</f>
        <v>#REF!</v>
      </c>
      <c r="F1681" s="1644" t="e">
        <f>SUMIF(#REF!,Final!A1681,#REF!)</f>
        <v>#REF!</v>
      </c>
      <c r="G1681" s="1597" t="e">
        <f t="shared" si="176"/>
        <v>#REF!</v>
      </c>
      <c r="H1681" s="1644" t="e">
        <f t="shared" si="177"/>
        <v>#REF!</v>
      </c>
      <c r="I1681" s="1597" t="e">
        <f t="shared" si="178"/>
        <v>#REF!</v>
      </c>
      <c r="J1681" s="1644" t="e">
        <f t="shared" si="179"/>
        <v>#REF!</v>
      </c>
      <c r="M1681" s="1545"/>
      <c r="N1681" s="1545"/>
    </row>
    <row r="1682" spans="1:93" s="1542" customFormat="1" ht="15.5">
      <c r="A1682" s="1598">
        <v>33.031999999999996</v>
      </c>
      <c r="B1682" s="1599" t="s">
        <v>3423</v>
      </c>
      <c r="C1682" s="1643" t="e">
        <f>+SUMIF(#REF!,Final!A1682,#REF!)</f>
        <v>#REF!</v>
      </c>
      <c r="D1682" s="1597" t="e">
        <f>+SUMIF(#REF!,Final!A1682,#REF!)</f>
        <v>#REF!</v>
      </c>
      <c r="E1682" s="1643" t="e">
        <f>SUMIF(#REF!,Final!A1682,#REF!)</f>
        <v>#REF!</v>
      </c>
      <c r="F1682" s="1644" t="e">
        <f>SUMIF(#REF!,Final!A1682,#REF!)</f>
        <v>#REF!</v>
      </c>
      <c r="G1682" s="1597" t="e">
        <f t="shared" si="176"/>
        <v>#REF!</v>
      </c>
      <c r="H1682" s="1644" t="e">
        <f t="shared" si="177"/>
        <v>#REF!</v>
      </c>
      <c r="I1682" s="1597" t="e">
        <f t="shared" si="178"/>
        <v>#REF!</v>
      </c>
      <c r="J1682" s="1644" t="e">
        <f t="shared" si="179"/>
        <v>#REF!</v>
      </c>
      <c r="K1682" s="1539"/>
      <c r="L1682" s="1539"/>
      <c r="M1682" s="1545"/>
      <c r="N1682" s="1545"/>
      <c r="O1682" s="1539"/>
      <c r="P1682" s="1539"/>
      <c r="Q1682" s="1539"/>
      <c r="R1682" s="1539"/>
      <c r="S1682" s="1539"/>
      <c r="T1682" s="1539"/>
      <c r="U1682" s="1539"/>
      <c r="V1682" s="1539"/>
      <c r="W1682" s="1539"/>
      <c r="X1682" s="1539"/>
      <c r="Y1682" s="1539"/>
      <c r="Z1682" s="1539"/>
      <c r="AA1682" s="1539"/>
      <c r="AB1682" s="1539"/>
      <c r="AC1682" s="1539"/>
      <c r="AD1682" s="1539"/>
      <c r="AE1682" s="1539"/>
      <c r="AF1682" s="1539"/>
      <c r="AG1682" s="1539"/>
      <c r="AH1682" s="1539"/>
      <c r="AI1682" s="1539"/>
      <c r="AJ1682" s="1539"/>
      <c r="AK1682" s="1539"/>
      <c r="AL1682" s="1539"/>
      <c r="AM1682" s="1539"/>
      <c r="AN1682" s="1539"/>
      <c r="AO1682" s="1539"/>
      <c r="AP1682" s="1539"/>
      <c r="AQ1682" s="1539"/>
      <c r="AR1682" s="1539"/>
      <c r="AS1682" s="1539"/>
      <c r="AT1682" s="1539"/>
      <c r="AU1682" s="1539"/>
      <c r="AV1682" s="1539"/>
      <c r="AW1682" s="1539"/>
      <c r="AX1682" s="1539"/>
      <c r="AY1682" s="1539"/>
      <c r="AZ1682" s="1539"/>
      <c r="BA1682" s="1539"/>
      <c r="BB1682" s="1539"/>
      <c r="BC1682" s="1539"/>
      <c r="BD1682" s="1539"/>
      <c r="BE1682" s="1539"/>
      <c r="BF1682" s="1539"/>
      <c r="BG1682" s="1539"/>
      <c r="BH1682" s="1539"/>
      <c r="BI1682" s="1539"/>
      <c r="BJ1682" s="1539"/>
      <c r="BK1682" s="1539"/>
      <c r="BL1682" s="1539"/>
      <c r="BM1682" s="1539"/>
      <c r="BN1682" s="1539"/>
      <c r="BO1682" s="1539"/>
      <c r="BP1682" s="1539"/>
      <c r="BQ1682" s="1539"/>
      <c r="BR1682" s="1539"/>
      <c r="BS1682" s="1539"/>
      <c r="BT1682" s="1539"/>
      <c r="BU1682" s="1539"/>
      <c r="BV1682" s="1539"/>
      <c r="BW1682" s="1539"/>
      <c r="BX1682" s="1539"/>
      <c r="BY1682" s="1539"/>
      <c r="BZ1682" s="1539"/>
      <c r="CA1682" s="1539"/>
      <c r="CB1682" s="1539"/>
      <c r="CC1682" s="1539"/>
      <c r="CD1682" s="1539"/>
      <c r="CE1682" s="1539"/>
      <c r="CF1682" s="1539"/>
      <c r="CG1682" s="1539"/>
      <c r="CH1682" s="1539"/>
      <c r="CI1682" s="1539"/>
      <c r="CJ1682" s="1539"/>
      <c r="CK1682" s="1539"/>
      <c r="CL1682" s="1539"/>
      <c r="CM1682" s="1539"/>
      <c r="CN1682" s="1539"/>
      <c r="CO1682" s="1539"/>
    </row>
    <row r="1683" spans="1:93" ht="15.5">
      <c r="A1683" s="1598">
        <v>33.033000000000001</v>
      </c>
      <c r="B1683" s="1599" t="s">
        <v>3424</v>
      </c>
      <c r="C1683" s="1643" t="e">
        <f>+SUMIF(#REF!,Final!A1683,#REF!)</f>
        <v>#REF!</v>
      </c>
      <c r="D1683" s="1597" t="e">
        <f>+SUMIF(#REF!,Final!A1683,#REF!)</f>
        <v>#REF!</v>
      </c>
      <c r="E1683" s="1643" t="e">
        <f>SUMIF(#REF!,Final!A1683,#REF!)</f>
        <v>#REF!</v>
      </c>
      <c r="F1683" s="1644" t="e">
        <f>SUMIF(#REF!,Final!A1683,#REF!)</f>
        <v>#REF!</v>
      </c>
      <c r="G1683" s="1597" t="e">
        <f t="shared" si="176"/>
        <v>#REF!</v>
      </c>
      <c r="H1683" s="1644" t="e">
        <f t="shared" si="177"/>
        <v>#REF!</v>
      </c>
      <c r="I1683" s="1597" t="e">
        <f t="shared" si="178"/>
        <v>#REF!</v>
      </c>
      <c r="J1683" s="1644" t="e">
        <f t="shared" si="179"/>
        <v>#REF!</v>
      </c>
      <c r="M1683" s="1545"/>
      <c r="N1683" s="1545"/>
    </row>
    <row r="1684" spans="1:93" s="1542" customFormat="1" ht="15.5">
      <c r="A1684" s="1598">
        <v>33.033999999999999</v>
      </c>
      <c r="B1684" s="1599" t="s">
        <v>3425</v>
      </c>
      <c r="C1684" s="1643" t="e">
        <f>+SUMIF(#REF!,Final!A1684,#REF!)</f>
        <v>#REF!</v>
      </c>
      <c r="D1684" s="1597" t="e">
        <f>+SUMIF(#REF!,Final!A1684,#REF!)</f>
        <v>#REF!</v>
      </c>
      <c r="E1684" s="1643" t="e">
        <f>SUMIF(#REF!,Final!A1684,#REF!)</f>
        <v>#REF!</v>
      </c>
      <c r="F1684" s="1644" t="e">
        <f>SUMIF(#REF!,Final!A1684,#REF!)</f>
        <v>#REF!</v>
      </c>
      <c r="G1684" s="1597" t="e">
        <f t="shared" si="176"/>
        <v>#REF!</v>
      </c>
      <c r="H1684" s="1644" t="e">
        <f t="shared" si="177"/>
        <v>#REF!</v>
      </c>
      <c r="I1684" s="1597" t="e">
        <f t="shared" si="178"/>
        <v>#REF!</v>
      </c>
      <c r="J1684" s="1644" t="e">
        <f t="shared" si="179"/>
        <v>#REF!</v>
      </c>
      <c r="K1684" s="1539"/>
      <c r="L1684" s="1539"/>
      <c r="M1684" s="1545"/>
      <c r="N1684" s="1545"/>
      <c r="O1684" s="1539"/>
      <c r="P1684" s="1539"/>
      <c r="Q1684" s="1539"/>
      <c r="R1684" s="1539"/>
      <c r="S1684" s="1539"/>
      <c r="T1684" s="1539"/>
      <c r="U1684" s="1539"/>
      <c r="V1684" s="1539"/>
      <c r="W1684" s="1539"/>
      <c r="X1684" s="1539"/>
      <c r="Y1684" s="1539"/>
      <c r="Z1684" s="1539"/>
      <c r="AA1684" s="1539"/>
      <c r="AB1684" s="1539"/>
      <c r="AC1684" s="1539"/>
      <c r="AD1684" s="1539"/>
      <c r="AE1684" s="1539"/>
      <c r="AF1684" s="1539"/>
      <c r="AG1684" s="1539"/>
      <c r="AH1684" s="1539"/>
      <c r="AI1684" s="1539"/>
      <c r="AJ1684" s="1539"/>
      <c r="AK1684" s="1539"/>
      <c r="AL1684" s="1539"/>
      <c r="AM1684" s="1539"/>
      <c r="AN1684" s="1539"/>
      <c r="AO1684" s="1539"/>
      <c r="AP1684" s="1539"/>
      <c r="AQ1684" s="1539"/>
      <c r="AR1684" s="1539"/>
      <c r="AS1684" s="1539"/>
      <c r="AT1684" s="1539"/>
      <c r="AU1684" s="1539"/>
      <c r="AV1684" s="1539"/>
      <c r="AW1684" s="1539"/>
      <c r="AX1684" s="1539"/>
      <c r="AY1684" s="1539"/>
      <c r="AZ1684" s="1539"/>
      <c r="BA1684" s="1539"/>
      <c r="BB1684" s="1539"/>
      <c r="BC1684" s="1539"/>
      <c r="BD1684" s="1539"/>
      <c r="BE1684" s="1539"/>
      <c r="BF1684" s="1539"/>
      <c r="BG1684" s="1539"/>
      <c r="BH1684" s="1539"/>
      <c r="BI1684" s="1539"/>
      <c r="BJ1684" s="1539"/>
      <c r="BK1684" s="1539"/>
      <c r="BL1684" s="1539"/>
      <c r="BM1684" s="1539"/>
      <c r="BN1684" s="1539"/>
      <c r="BO1684" s="1539"/>
      <c r="BP1684" s="1539"/>
      <c r="BQ1684" s="1539"/>
      <c r="BR1684" s="1539"/>
      <c r="BS1684" s="1539"/>
      <c r="BT1684" s="1539"/>
      <c r="BU1684" s="1539"/>
      <c r="BV1684" s="1539"/>
      <c r="BW1684" s="1539"/>
      <c r="BX1684" s="1539"/>
      <c r="BY1684" s="1539"/>
      <c r="BZ1684" s="1539"/>
      <c r="CA1684" s="1539"/>
      <c r="CB1684" s="1539"/>
      <c r="CC1684" s="1539"/>
      <c r="CD1684" s="1539"/>
      <c r="CE1684" s="1539"/>
      <c r="CF1684" s="1539"/>
      <c r="CG1684" s="1539"/>
      <c r="CH1684" s="1539"/>
      <c r="CI1684" s="1539"/>
      <c r="CJ1684" s="1539"/>
      <c r="CK1684" s="1539"/>
      <c r="CL1684" s="1539"/>
      <c r="CM1684" s="1539"/>
      <c r="CN1684" s="1539"/>
      <c r="CO1684" s="1539"/>
    </row>
    <row r="1685" spans="1:93" ht="15.5">
      <c r="A1685" s="1598">
        <v>33.034999999999997</v>
      </c>
      <c r="B1685" s="1599" t="s">
        <v>3426</v>
      </c>
      <c r="C1685" s="1643" t="e">
        <f>+SUMIF(#REF!,Final!A1685,#REF!)</f>
        <v>#REF!</v>
      </c>
      <c r="D1685" s="1597" t="e">
        <f>+SUMIF(#REF!,Final!A1685,#REF!)</f>
        <v>#REF!</v>
      </c>
      <c r="E1685" s="1643" t="e">
        <f>SUMIF(#REF!,Final!A1685,#REF!)</f>
        <v>#REF!</v>
      </c>
      <c r="F1685" s="1644" t="e">
        <f>SUMIF(#REF!,Final!A1685,#REF!)</f>
        <v>#REF!</v>
      </c>
      <c r="G1685" s="1597" t="e">
        <f t="shared" si="176"/>
        <v>#REF!</v>
      </c>
      <c r="H1685" s="1644" t="e">
        <f t="shared" si="177"/>
        <v>#REF!</v>
      </c>
      <c r="I1685" s="1597" t="e">
        <f t="shared" si="178"/>
        <v>#REF!</v>
      </c>
      <c r="J1685" s="1644" t="e">
        <f t="shared" si="179"/>
        <v>#REF!</v>
      </c>
      <c r="M1685" s="1545"/>
      <c r="N1685" s="1545"/>
    </row>
    <row r="1686" spans="1:93" ht="15.5">
      <c r="A1686" s="1598">
        <v>33.036000000000001</v>
      </c>
      <c r="B1686" s="1599" t="s">
        <v>3427</v>
      </c>
      <c r="C1686" s="1643" t="e">
        <f>+SUMIF(#REF!,Final!A1686,#REF!)</f>
        <v>#REF!</v>
      </c>
      <c r="D1686" s="1597" t="e">
        <f>+SUMIF(#REF!,Final!A1686,#REF!)</f>
        <v>#REF!</v>
      </c>
      <c r="E1686" s="1643" t="e">
        <f>SUMIF(#REF!,Final!A1686,#REF!)</f>
        <v>#REF!</v>
      </c>
      <c r="F1686" s="1644" t="e">
        <f>SUMIF(#REF!,Final!A1686,#REF!)</f>
        <v>#REF!</v>
      </c>
      <c r="G1686" s="1597" t="e">
        <f t="shared" si="176"/>
        <v>#REF!</v>
      </c>
      <c r="H1686" s="1644" t="e">
        <f t="shared" si="177"/>
        <v>#REF!</v>
      </c>
      <c r="I1686" s="1597" t="e">
        <f t="shared" si="178"/>
        <v>#REF!</v>
      </c>
      <c r="J1686" s="1644" t="e">
        <f t="shared" si="179"/>
        <v>#REF!</v>
      </c>
      <c r="M1686" s="1545"/>
      <c r="N1686" s="1545"/>
    </row>
    <row r="1687" spans="1:93" s="1542" customFormat="1" ht="15.5">
      <c r="A1687" s="1598">
        <v>33.036999999999999</v>
      </c>
      <c r="B1687" s="1599" t="s">
        <v>3428</v>
      </c>
      <c r="C1687" s="1643" t="e">
        <f>+SUMIF(#REF!,Final!A1687,#REF!)</f>
        <v>#REF!</v>
      </c>
      <c r="D1687" s="1597" t="e">
        <f>+SUMIF(#REF!,Final!A1687,#REF!)</f>
        <v>#REF!</v>
      </c>
      <c r="E1687" s="1643" t="e">
        <f>SUMIF(#REF!,Final!A1687,#REF!)</f>
        <v>#REF!</v>
      </c>
      <c r="F1687" s="1644" t="e">
        <f>SUMIF(#REF!,Final!A1687,#REF!)</f>
        <v>#REF!</v>
      </c>
      <c r="G1687" s="1597" t="e">
        <f t="shared" si="176"/>
        <v>#REF!</v>
      </c>
      <c r="H1687" s="1644" t="e">
        <f t="shared" si="177"/>
        <v>#REF!</v>
      </c>
      <c r="I1687" s="1597" t="e">
        <f t="shared" si="178"/>
        <v>#REF!</v>
      </c>
      <c r="J1687" s="1644" t="e">
        <f t="shared" si="179"/>
        <v>#REF!</v>
      </c>
      <c r="K1687" s="1539"/>
      <c r="L1687" s="1539"/>
      <c r="M1687" s="1545"/>
      <c r="N1687" s="1545"/>
      <c r="O1687" s="1539"/>
      <c r="P1687" s="1539"/>
      <c r="Q1687" s="1539"/>
      <c r="R1687" s="1539"/>
      <c r="S1687" s="1539"/>
      <c r="T1687" s="1539"/>
      <c r="U1687" s="1539"/>
      <c r="V1687" s="1539"/>
      <c r="W1687" s="1539"/>
      <c r="X1687" s="1539"/>
      <c r="Y1687" s="1539"/>
      <c r="Z1687" s="1539"/>
      <c r="AA1687" s="1539"/>
      <c r="AB1687" s="1539"/>
      <c r="AC1687" s="1539"/>
      <c r="AD1687" s="1539"/>
      <c r="AE1687" s="1539"/>
      <c r="AF1687" s="1539"/>
      <c r="AG1687" s="1539"/>
      <c r="AH1687" s="1539"/>
      <c r="AI1687" s="1539"/>
      <c r="AJ1687" s="1539"/>
      <c r="AK1687" s="1539"/>
      <c r="AL1687" s="1539"/>
      <c r="AM1687" s="1539"/>
      <c r="AN1687" s="1539"/>
      <c r="AO1687" s="1539"/>
      <c r="AP1687" s="1539"/>
      <c r="AQ1687" s="1539"/>
      <c r="AR1687" s="1539"/>
      <c r="AS1687" s="1539"/>
      <c r="AT1687" s="1539"/>
      <c r="AU1687" s="1539"/>
      <c r="AV1687" s="1539"/>
      <c r="AW1687" s="1539"/>
      <c r="AX1687" s="1539"/>
      <c r="AY1687" s="1539"/>
      <c r="AZ1687" s="1539"/>
      <c r="BA1687" s="1539"/>
      <c r="BB1687" s="1539"/>
      <c r="BC1687" s="1539"/>
      <c r="BD1687" s="1539"/>
      <c r="BE1687" s="1539"/>
      <c r="BF1687" s="1539"/>
      <c r="BG1687" s="1539"/>
      <c r="BH1687" s="1539"/>
      <c r="BI1687" s="1539"/>
      <c r="BJ1687" s="1539"/>
      <c r="BK1687" s="1539"/>
      <c r="BL1687" s="1539"/>
      <c r="BM1687" s="1539"/>
      <c r="BN1687" s="1539"/>
      <c r="BO1687" s="1539"/>
      <c r="BP1687" s="1539"/>
      <c r="BQ1687" s="1539"/>
      <c r="BR1687" s="1539"/>
      <c r="BS1687" s="1539"/>
      <c r="BT1687" s="1539"/>
      <c r="BU1687" s="1539"/>
      <c r="BV1687" s="1539"/>
      <c r="BW1687" s="1539"/>
      <c r="BX1687" s="1539"/>
      <c r="BY1687" s="1539"/>
      <c r="BZ1687" s="1539"/>
      <c r="CA1687" s="1539"/>
      <c r="CB1687" s="1539"/>
      <c r="CC1687" s="1539"/>
      <c r="CD1687" s="1539"/>
      <c r="CE1687" s="1539"/>
      <c r="CF1687" s="1539"/>
      <c r="CG1687" s="1539"/>
      <c r="CH1687" s="1539"/>
      <c r="CI1687" s="1539"/>
      <c r="CJ1687" s="1539"/>
      <c r="CK1687" s="1539"/>
      <c r="CL1687" s="1539"/>
      <c r="CM1687" s="1539"/>
      <c r="CN1687" s="1539"/>
      <c r="CO1687" s="1539"/>
    </row>
    <row r="1688" spans="1:93" ht="15.5">
      <c r="A1688" s="1598">
        <v>33.037999999999997</v>
      </c>
      <c r="B1688" s="1599" t="s">
        <v>3429</v>
      </c>
      <c r="C1688" s="1643" t="e">
        <f>+SUMIF(#REF!,Final!A1688,#REF!)</f>
        <v>#REF!</v>
      </c>
      <c r="D1688" s="1597" t="e">
        <f>+SUMIF(#REF!,Final!A1688,#REF!)</f>
        <v>#REF!</v>
      </c>
      <c r="E1688" s="1643" t="e">
        <f>SUMIF(#REF!,Final!A1688,#REF!)</f>
        <v>#REF!</v>
      </c>
      <c r="F1688" s="1644" t="e">
        <f>SUMIF(#REF!,Final!A1688,#REF!)</f>
        <v>#REF!</v>
      </c>
      <c r="G1688" s="1597" t="e">
        <f t="shared" si="176"/>
        <v>#REF!</v>
      </c>
      <c r="H1688" s="1644" t="e">
        <f t="shared" si="177"/>
        <v>#REF!</v>
      </c>
      <c r="I1688" s="1597" t="e">
        <f t="shared" si="178"/>
        <v>#REF!</v>
      </c>
      <c r="J1688" s="1644" t="e">
        <f t="shared" si="179"/>
        <v>#REF!</v>
      </c>
      <c r="M1688" s="1545"/>
      <c r="N1688" s="1545"/>
    </row>
    <row r="1689" spans="1:93" ht="15.5">
      <c r="A1689" s="1598">
        <v>33.039000000000001</v>
      </c>
      <c r="B1689" s="1599" t="s">
        <v>4674</v>
      </c>
      <c r="C1689" s="1643" t="e">
        <f>+SUMIF(#REF!,Final!A1689,#REF!)</f>
        <v>#REF!</v>
      </c>
      <c r="D1689" s="1597" t="e">
        <f>+SUMIF(#REF!,Final!A1689,#REF!)</f>
        <v>#REF!</v>
      </c>
      <c r="E1689" s="1643" t="e">
        <f>SUMIF(#REF!,Final!A1689,#REF!)</f>
        <v>#REF!</v>
      </c>
      <c r="F1689" s="1644" t="e">
        <f>SUMIF(#REF!,Final!A1689,#REF!)</f>
        <v>#REF!</v>
      </c>
      <c r="G1689" s="1597" t="e">
        <f t="shared" si="176"/>
        <v>#REF!</v>
      </c>
      <c r="H1689" s="1644" t="e">
        <f t="shared" si="177"/>
        <v>#REF!</v>
      </c>
      <c r="I1689" s="1597" t="e">
        <f t="shared" si="178"/>
        <v>#REF!</v>
      </c>
      <c r="J1689" s="1644" t="e">
        <f t="shared" si="179"/>
        <v>#REF!</v>
      </c>
      <c r="M1689" s="1545"/>
      <c r="N1689" s="1545"/>
    </row>
    <row r="1690" spans="1:93" s="1542" customFormat="1" ht="15.5">
      <c r="A1690" s="1598">
        <v>33.070999999999998</v>
      </c>
      <c r="B1690" s="1599" t="s">
        <v>3430</v>
      </c>
      <c r="C1690" s="1643" t="e">
        <f>+SUMIF(#REF!,Final!A1690,#REF!)</f>
        <v>#REF!</v>
      </c>
      <c r="D1690" s="1597" t="e">
        <f>+SUMIF(#REF!,Final!A1690,#REF!)</f>
        <v>#REF!</v>
      </c>
      <c r="E1690" s="1643" t="e">
        <f>SUMIF(#REF!,Final!A1690,#REF!)</f>
        <v>#REF!</v>
      </c>
      <c r="F1690" s="1644" t="e">
        <f>SUMIF(#REF!,Final!A1690,#REF!)</f>
        <v>#REF!</v>
      </c>
      <c r="G1690" s="1597" t="e">
        <f t="shared" si="176"/>
        <v>#REF!</v>
      </c>
      <c r="H1690" s="1644" t="e">
        <f t="shared" si="177"/>
        <v>#REF!</v>
      </c>
      <c r="I1690" s="1597" t="e">
        <f t="shared" si="178"/>
        <v>#REF!</v>
      </c>
      <c r="J1690" s="1644" t="e">
        <f t="shared" si="179"/>
        <v>#REF!</v>
      </c>
      <c r="K1690" s="1539"/>
      <c r="L1690" s="1539"/>
      <c r="M1690" s="1545"/>
      <c r="N1690" s="1545"/>
      <c r="O1690" s="1539"/>
      <c r="P1690" s="1539"/>
      <c r="Q1690" s="1539"/>
      <c r="R1690" s="1539"/>
      <c r="S1690" s="1539"/>
      <c r="T1690" s="1539"/>
      <c r="U1690" s="1539"/>
      <c r="V1690" s="1539"/>
      <c r="W1690" s="1539"/>
      <c r="X1690" s="1539"/>
      <c r="Y1690" s="1539"/>
      <c r="Z1690" s="1539"/>
      <c r="AA1690" s="1539"/>
      <c r="AB1690" s="1539"/>
      <c r="AC1690" s="1539"/>
      <c r="AD1690" s="1539"/>
      <c r="AE1690" s="1539"/>
      <c r="AF1690" s="1539"/>
      <c r="AG1690" s="1539"/>
      <c r="AH1690" s="1539"/>
      <c r="AI1690" s="1539"/>
      <c r="AJ1690" s="1539"/>
      <c r="AK1690" s="1539"/>
      <c r="AL1690" s="1539"/>
      <c r="AM1690" s="1539"/>
      <c r="AN1690" s="1539"/>
      <c r="AO1690" s="1539"/>
      <c r="AP1690" s="1539"/>
      <c r="AQ1690" s="1539"/>
      <c r="AR1690" s="1539"/>
      <c r="AS1690" s="1539"/>
      <c r="AT1690" s="1539"/>
      <c r="AU1690" s="1539"/>
      <c r="AV1690" s="1539"/>
      <c r="AW1690" s="1539"/>
      <c r="AX1690" s="1539"/>
      <c r="AY1690" s="1539"/>
      <c r="AZ1690" s="1539"/>
      <c r="BA1690" s="1539"/>
      <c r="BB1690" s="1539"/>
      <c r="BC1690" s="1539"/>
      <c r="BD1690" s="1539"/>
      <c r="BE1690" s="1539"/>
      <c r="BF1690" s="1539"/>
      <c r="BG1690" s="1539"/>
      <c r="BH1690" s="1539"/>
      <c r="BI1690" s="1539"/>
      <c r="BJ1690" s="1539"/>
      <c r="BK1690" s="1539"/>
      <c r="BL1690" s="1539"/>
      <c r="BM1690" s="1539"/>
      <c r="BN1690" s="1539"/>
      <c r="BO1690" s="1539"/>
      <c r="BP1690" s="1539"/>
      <c r="BQ1690" s="1539"/>
      <c r="BR1690" s="1539"/>
      <c r="BS1690" s="1539"/>
      <c r="BT1690" s="1539"/>
      <c r="BU1690" s="1539"/>
      <c r="BV1690" s="1539"/>
      <c r="BW1690" s="1539"/>
      <c r="BX1690" s="1539"/>
      <c r="BY1690" s="1539"/>
      <c r="BZ1690" s="1539"/>
      <c r="CA1690" s="1539"/>
      <c r="CB1690" s="1539"/>
      <c r="CC1690" s="1539"/>
      <c r="CD1690" s="1539"/>
      <c r="CE1690" s="1539"/>
      <c r="CF1690" s="1539"/>
      <c r="CG1690" s="1539"/>
      <c r="CH1690" s="1539"/>
      <c r="CI1690" s="1539"/>
      <c r="CJ1690" s="1539"/>
      <c r="CK1690" s="1539"/>
      <c r="CL1690" s="1539"/>
      <c r="CM1690" s="1539"/>
      <c r="CN1690" s="1539"/>
      <c r="CO1690" s="1539"/>
    </row>
    <row r="1691" spans="1:93" ht="15.5">
      <c r="A1691" s="1598">
        <v>33.072000000000003</v>
      </c>
      <c r="B1691" s="1599" t="s">
        <v>3431</v>
      </c>
      <c r="C1691" s="1643" t="e">
        <f>+SUMIF(#REF!,Final!A1691,#REF!)</f>
        <v>#REF!</v>
      </c>
      <c r="D1691" s="1597" t="e">
        <f>+SUMIF(#REF!,Final!A1691,#REF!)</f>
        <v>#REF!</v>
      </c>
      <c r="E1691" s="1643" t="e">
        <f>SUMIF(#REF!,Final!A1691,#REF!)</f>
        <v>#REF!</v>
      </c>
      <c r="F1691" s="1644" t="e">
        <f>SUMIF(#REF!,Final!A1691,#REF!)</f>
        <v>#REF!</v>
      </c>
      <c r="G1691" s="1597" t="e">
        <f t="shared" si="176"/>
        <v>#REF!</v>
      </c>
      <c r="H1691" s="1644" t="e">
        <f t="shared" si="177"/>
        <v>#REF!</v>
      </c>
      <c r="I1691" s="1597" t="e">
        <f t="shared" si="178"/>
        <v>#REF!</v>
      </c>
      <c r="J1691" s="1644" t="e">
        <f t="shared" si="179"/>
        <v>#REF!</v>
      </c>
      <c r="M1691" s="1545"/>
      <c r="N1691" s="1545"/>
    </row>
    <row r="1692" spans="1:93" s="1542" customFormat="1" ht="15.5">
      <c r="A1692" s="1598">
        <v>33.073</v>
      </c>
      <c r="B1692" s="1599" t="s">
        <v>3432</v>
      </c>
      <c r="C1692" s="1643" t="e">
        <f>+SUMIF(#REF!,Final!A1692,#REF!)</f>
        <v>#REF!</v>
      </c>
      <c r="D1692" s="1597" t="e">
        <f>+SUMIF(#REF!,Final!A1692,#REF!)</f>
        <v>#REF!</v>
      </c>
      <c r="E1692" s="1643" t="e">
        <f>SUMIF(#REF!,Final!A1692,#REF!)</f>
        <v>#REF!</v>
      </c>
      <c r="F1692" s="1644" t="e">
        <f>SUMIF(#REF!,Final!A1692,#REF!)</f>
        <v>#REF!</v>
      </c>
      <c r="G1692" s="1597" t="e">
        <f t="shared" si="176"/>
        <v>#REF!</v>
      </c>
      <c r="H1692" s="1644" t="e">
        <f t="shared" si="177"/>
        <v>#REF!</v>
      </c>
      <c r="I1692" s="1597" t="e">
        <f t="shared" si="178"/>
        <v>#REF!</v>
      </c>
      <c r="J1692" s="1644" t="e">
        <f t="shared" si="179"/>
        <v>#REF!</v>
      </c>
      <c r="K1692" s="1539"/>
      <c r="L1692" s="1539"/>
      <c r="M1692" s="1545"/>
      <c r="N1692" s="1545"/>
      <c r="O1692" s="1539"/>
      <c r="P1692" s="1539"/>
      <c r="Q1692" s="1539"/>
      <c r="R1692" s="1539"/>
      <c r="S1692" s="1539"/>
      <c r="T1692" s="1539"/>
      <c r="U1692" s="1539"/>
      <c r="V1692" s="1539"/>
      <c r="W1692" s="1539"/>
      <c r="X1692" s="1539"/>
      <c r="Y1692" s="1539"/>
      <c r="Z1692" s="1539"/>
      <c r="AA1692" s="1539"/>
      <c r="AB1692" s="1539"/>
      <c r="AC1692" s="1539"/>
      <c r="AD1692" s="1539"/>
      <c r="AE1692" s="1539"/>
      <c r="AF1692" s="1539"/>
      <c r="AG1692" s="1539"/>
      <c r="AH1692" s="1539"/>
      <c r="AI1692" s="1539"/>
      <c r="AJ1692" s="1539"/>
      <c r="AK1692" s="1539"/>
      <c r="AL1692" s="1539"/>
      <c r="AM1692" s="1539"/>
      <c r="AN1692" s="1539"/>
      <c r="AO1692" s="1539"/>
      <c r="AP1692" s="1539"/>
      <c r="AQ1692" s="1539"/>
      <c r="AR1692" s="1539"/>
      <c r="AS1692" s="1539"/>
      <c r="AT1692" s="1539"/>
      <c r="AU1692" s="1539"/>
      <c r="AV1692" s="1539"/>
      <c r="AW1692" s="1539"/>
      <c r="AX1692" s="1539"/>
      <c r="AY1692" s="1539"/>
      <c r="AZ1692" s="1539"/>
      <c r="BA1692" s="1539"/>
      <c r="BB1692" s="1539"/>
      <c r="BC1692" s="1539"/>
      <c r="BD1692" s="1539"/>
      <c r="BE1692" s="1539"/>
      <c r="BF1692" s="1539"/>
      <c r="BG1692" s="1539"/>
      <c r="BH1692" s="1539"/>
      <c r="BI1692" s="1539"/>
      <c r="BJ1692" s="1539"/>
      <c r="BK1692" s="1539"/>
      <c r="BL1692" s="1539"/>
      <c r="BM1692" s="1539"/>
      <c r="BN1692" s="1539"/>
      <c r="BO1692" s="1539"/>
      <c r="BP1692" s="1539"/>
      <c r="BQ1692" s="1539"/>
      <c r="BR1692" s="1539"/>
      <c r="BS1692" s="1539"/>
      <c r="BT1692" s="1539"/>
      <c r="BU1692" s="1539"/>
      <c r="BV1692" s="1539"/>
      <c r="BW1692" s="1539"/>
      <c r="BX1692" s="1539"/>
      <c r="BY1692" s="1539"/>
      <c r="BZ1692" s="1539"/>
      <c r="CA1692" s="1539"/>
      <c r="CB1692" s="1539"/>
      <c r="CC1692" s="1539"/>
      <c r="CD1692" s="1539"/>
      <c r="CE1692" s="1539"/>
      <c r="CF1692" s="1539"/>
      <c r="CG1692" s="1539"/>
      <c r="CH1692" s="1539"/>
      <c r="CI1692" s="1539"/>
      <c r="CJ1692" s="1539"/>
      <c r="CK1692" s="1539"/>
      <c r="CL1692" s="1539"/>
      <c r="CM1692" s="1539"/>
      <c r="CN1692" s="1539"/>
      <c r="CO1692" s="1539"/>
    </row>
    <row r="1693" spans="1:93" s="1542" customFormat="1" ht="15.5">
      <c r="A1693" s="1598">
        <v>33.073999999999998</v>
      </c>
      <c r="B1693" s="1599" t="s">
        <v>3433</v>
      </c>
      <c r="C1693" s="1643" t="e">
        <f>+SUMIF(#REF!,Final!A1693,#REF!)</f>
        <v>#REF!</v>
      </c>
      <c r="D1693" s="1597" t="e">
        <f>+SUMIF(#REF!,Final!A1693,#REF!)</f>
        <v>#REF!</v>
      </c>
      <c r="E1693" s="1643" t="e">
        <f>SUMIF(#REF!,Final!A1693,#REF!)</f>
        <v>#REF!</v>
      </c>
      <c r="F1693" s="1644" t="e">
        <f>SUMIF(#REF!,Final!A1693,#REF!)</f>
        <v>#REF!</v>
      </c>
      <c r="G1693" s="1597" t="e">
        <f t="shared" si="176"/>
        <v>#REF!</v>
      </c>
      <c r="H1693" s="1644" t="e">
        <f t="shared" si="177"/>
        <v>#REF!</v>
      </c>
      <c r="I1693" s="1597" t="e">
        <f t="shared" si="178"/>
        <v>#REF!</v>
      </c>
      <c r="J1693" s="1644" t="e">
        <f t="shared" si="179"/>
        <v>#REF!</v>
      </c>
      <c r="K1693" s="1539"/>
      <c r="L1693" s="1539"/>
      <c r="M1693" s="1545"/>
      <c r="N1693" s="1545"/>
      <c r="O1693" s="1539"/>
      <c r="P1693" s="1539"/>
      <c r="Q1693" s="1539"/>
      <c r="R1693" s="1539"/>
      <c r="S1693" s="1539"/>
      <c r="T1693" s="1539"/>
      <c r="U1693" s="1539"/>
      <c r="V1693" s="1539"/>
      <c r="W1693" s="1539"/>
      <c r="X1693" s="1539"/>
      <c r="Y1693" s="1539"/>
      <c r="Z1693" s="1539"/>
      <c r="AA1693" s="1539"/>
      <c r="AB1693" s="1539"/>
      <c r="AC1693" s="1539"/>
      <c r="AD1693" s="1539"/>
      <c r="AE1693" s="1539"/>
      <c r="AF1693" s="1539"/>
      <c r="AG1693" s="1539"/>
      <c r="AH1693" s="1539"/>
      <c r="AI1693" s="1539"/>
      <c r="AJ1693" s="1539"/>
      <c r="AK1693" s="1539"/>
      <c r="AL1693" s="1539"/>
      <c r="AM1693" s="1539"/>
      <c r="AN1693" s="1539"/>
      <c r="AO1693" s="1539"/>
      <c r="AP1693" s="1539"/>
      <c r="AQ1693" s="1539"/>
      <c r="AR1693" s="1539"/>
      <c r="AS1693" s="1539"/>
      <c r="AT1693" s="1539"/>
      <c r="AU1693" s="1539"/>
      <c r="AV1693" s="1539"/>
      <c r="AW1693" s="1539"/>
      <c r="AX1693" s="1539"/>
      <c r="AY1693" s="1539"/>
      <c r="AZ1693" s="1539"/>
      <c r="BA1693" s="1539"/>
      <c r="BB1693" s="1539"/>
      <c r="BC1693" s="1539"/>
      <c r="BD1693" s="1539"/>
      <c r="BE1693" s="1539"/>
      <c r="BF1693" s="1539"/>
      <c r="BG1693" s="1539"/>
      <c r="BH1693" s="1539"/>
      <c r="BI1693" s="1539"/>
      <c r="BJ1693" s="1539"/>
      <c r="BK1693" s="1539"/>
      <c r="BL1693" s="1539"/>
      <c r="BM1693" s="1539"/>
      <c r="BN1693" s="1539"/>
      <c r="BO1693" s="1539"/>
      <c r="BP1693" s="1539"/>
      <c r="BQ1693" s="1539"/>
      <c r="BR1693" s="1539"/>
      <c r="BS1693" s="1539"/>
      <c r="BT1693" s="1539"/>
      <c r="BU1693" s="1539"/>
      <c r="BV1693" s="1539"/>
      <c r="BW1693" s="1539"/>
      <c r="BX1693" s="1539"/>
      <c r="BY1693" s="1539"/>
      <c r="BZ1693" s="1539"/>
      <c r="CA1693" s="1539"/>
      <c r="CB1693" s="1539"/>
      <c r="CC1693" s="1539"/>
      <c r="CD1693" s="1539"/>
      <c r="CE1693" s="1539"/>
      <c r="CF1693" s="1539"/>
      <c r="CG1693" s="1539"/>
      <c r="CH1693" s="1539"/>
      <c r="CI1693" s="1539"/>
      <c r="CJ1693" s="1539"/>
      <c r="CK1693" s="1539"/>
      <c r="CL1693" s="1539"/>
      <c r="CM1693" s="1539"/>
      <c r="CN1693" s="1539"/>
      <c r="CO1693" s="1539"/>
    </row>
    <row r="1694" spans="1:93" s="1542" customFormat="1" ht="15.5">
      <c r="A1694" s="1598">
        <v>33.075000000000003</v>
      </c>
      <c r="B1694" s="1599" t="s">
        <v>3434</v>
      </c>
      <c r="C1694" s="1643" t="e">
        <f>+SUMIF(#REF!,Final!A1694,#REF!)</f>
        <v>#REF!</v>
      </c>
      <c r="D1694" s="1597" t="e">
        <f>+SUMIF(#REF!,Final!A1694,#REF!)</f>
        <v>#REF!</v>
      </c>
      <c r="E1694" s="1643" t="e">
        <f>SUMIF(#REF!,Final!A1694,#REF!)</f>
        <v>#REF!</v>
      </c>
      <c r="F1694" s="1644" t="e">
        <f>SUMIF(#REF!,Final!A1694,#REF!)</f>
        <v>#REF!</v>
      </c>
      <c r="G1694" s="1597" t="e">
        <f t="shared" si="176"/>
        <v>#REF!</v>
      </c>
      <c r="H1694" s="1644" t="e">
        <f t="shared" si="177"/>
        <v>#REF!</v>
      </c>
      <c r="I1694" s="1597" t="e">
        <f t="shared" si="178"/>
        <v>#REF!</v>
      </c>
      <c r="J1694" s="1644" t="e">
        <f t="shared" si="179"/>
        <v>#REF!</v>
      </c>
      <c r="K1694" s="1539"/>
      <c r="L1694" s="1539"/>
      <c r="M1694" s="1545"/>
      <c r="N1694" s="1545"/>
      <c r="O1694" s="1539"/>
      <c r="P1694" s="1539"/>
      <c r="Q1694" s="1539"/>
      <c r="R1694" s="1539"/>
      <c r="S1694" s="1539"/>
      <c r="T1694" s="1539"/>
      <c r="U1694" s="1539"/>
      <c r="V1694" s="1539"/>
      <c r="W1694" s="1539"/>
      <c r="X1694" s="1539"/>
      <c r="Y1694" s="1539"/>
      <c r="Z1694" s="1539"/>
      <c r="AA1694" s="1539"/>
      <c r="AB1694" s="1539"/>
      <c r="AC1694" s="1539"/>
      <c r="AD1694" s="1539"/>
      <c r="AE1694" s="1539"/>
      <c r="AF1694" s="1539"/>
      <c r="AG1694" s="1539"/>
      <c r="AH1694" s="1539"/>
      <c r="AI1694" s="1539"/>
      <c r="AJ1694" s="1539"/>
      <c r="AK1694" s="1539"/>
      <c r="AL1694" s="1539"/>
      <c r="AM1694" s="1539"/>
      <c r="AN1694" s="1539"/>
      <c r="AO1694" s="1539"/>
      <c r="AP1694" s="1539"/>
      <c r="AQ1694" s="1539"/>
      <c r="AR1694" s="1539"/>
      <c r="AS1694" s="1539"/>
      <c r="AT1694" s="1539"/>
      <c r="AU1694" s="1539"/>
      <c r="AV1694" s="1539"/>
      <c r="AW1694" s="1539"/>
      <c r="AX1694" s="1539"/>
      <c r="AY1694" s="1539"/>
      <c r="AZ1694" s="1539"/>
      <c r="BA1694" s="1539"/>
      <c r="BB1694" s="1539"/>
      <c r="BC1694" s="1539"/>
      <c r="BD1694" s="1539"/>
      <c r="BE1694" s="1539"/>
      <c r="BF1694" s="1539"/>
      <c r="BG1694" s="1539"/>
      <c r="BH1694" s="1539"/>
      <c r="BI1694" s="1539"/>
      <c r="BJ1694" s="1539"/>
      <c r="BK1694" s="1539"/>
      <c r="BL1694" s="1539"/>
      <c r="BM1694" s="1539"/>
      <c r="BN1694" s="1539"/>
      <c r="BO1694" s="1539"/>
      <c r="BP1694" s="1539"/>
      <c r="BQ1694" s="1539"/>
      <c r="BR1694" s="1539"/>
      <c r="BS1694" s="1539"/>
      <c r="BT1694" s="1539"/>
      <c r="BU1694" s="1539"/>
      <c r="BV1694" s="1539"/>
      <c r="BW1694" s="1539"/>
      <c r="BX1694" s="1539"/>
      <c r="BY1694" s="1539"/>
      <c r="BZ1694" s="1539"/>
      <c r="CA1694" s="1539"/>
      <c r="CB1694" s="1539"/>
      <c r="CC1694" s="1539"/>
      <c r="CD1694" s="1539"/>
      <c r="CE1694" s="1539"/>
      <c r="CF1694" s="1539"/>
      <c r="CG1694" s="1539"/>
      <c r="CH1694" s="1539"/>
      <c r="CI1694" s="1539"/>
      <c r="CJ1694" s="1539"/>
      <c r="CK1694" s="1539"/>
      <c r="CL1694" s="1539"/>
      <c r="CM1694" s="1539"/>
      <c r="CN1694" s="1539"/>
      <c r="CO1694" s="1539"/>
    </row>
    <row r="1695" spans="1:93" s="1542" customFormat="1" ht="15.5">
      <c r="A1695" s="1598">
        <v>33.076000000000001</v>
      </c>
      <c r="B1695" s="1599" t="s">
        <v>3435</v>
      </c>
      <c r="C1695" s="1643" t="e">
        <f>+SUMIF(#REF!,Final!A1695,#REF!)</f>
        <v>#REF!</v>
      </c>
      <c r="D1695" s="1597" t="e">
        <f>+SUMIF(#REF!,Final!A1695,#REF!)</f>
        <v>#REF!</v>
      </c>
      <c r="E1695" s="1643" t="e">
        <f>SUMIF(#REF!,Final!A1695,#REF!)</f>
        <v>#REF!</v>
      </c>
      <c r="F1695" s="1644" t="e">
        <f>SUMIF(#REF!,Final!A1695,#REF!)</f>
        <v>#REF!</v>
      </c>
      <c r="G1695" s="1597" t="e">
        <f t="shared" si="176"/>
        <v>#REF!</v>
      </c>
      <c r="H1695" s="1644" t="e">
        <f t="shared" si="177"/>
        <v>#REF!</v>
      </c>
      <c r="I1695" s="1597" t="e">
        <f t="shared" si="178"/>
        <v>#REF!</v>
      </c>
      <c r="J1695" s="1644" t="e">
        <f t="shared" si="179"/>
        <v>#REF!</v>
      </c>
      <c r="K1695" s="1539"/>
      <c r="L1695" s="1539"/>
      <c r="M1695" s="1545"/>
      <c r="N1695" s="1545"/>
      <c r="O1695" s="1539"/>
      <c r="P1695" s="1539"/>
      <c r="Q1695" s="1539"/>
      <c r="R1695" s="1539"/>
      <c r="S1695" s="1539"/>
      <c r="T1695" s="1539"/>
      <c r="U1695" s="1539"/>
      <c r="V1695" s="1539"/>
      <c r="W1695" s="1539"/>
      <c r="X1695" s="1539"/>
      <c r="Y1695" s="1539"/>
      <c r="Z1695" s="1539"/>
      <c r="AA1695" s="1539"/>
      <c r="AB1695" s="1539"/>
      <c r="AC1695" s="1539"/>
      <c r="AD1695" s="1539"/>
      <c r="AE1695" s="1539"/>
      <c r="AF1695" s="1539"/>
      <c r="AG1695" s="1539"/>
      <c r="AH1695" s="1539"/>
      <c r="AI1695" s="1539"/>
      <c r="AJ1695" s="1539"/>
      <c r="AK1695" s="1539"/>
      <c r="AL1695" s="1539"/>
      <c r="AM1695" s="1539"/>
      <c r="AN1695" s="1539"/>
      <c r="AO1695" s="1539"/>
      <c r="AP1695" s="1539"/>
      <c r="AQ1695" s="1539"/>
      <c r="AR1695" s="1539"/>
      <c r="AS1695" s="1539"/>
      <c r="AT1695" s="1539"/>
      <c r="AU1695" s="1539"/>
      <c r="AV1695" s="1539"/>
      <c r="AW1695" s="1539"/>
      <c r="AX1695" s="1539"/>
      <c r="AY1695" s="1539"/>
      <c r="AZ1695" s="1539"/>
      <c r="BA1695" s="1539"/>
      <c r="BB1695" s="1539"/>
      <c r="BC1695" s="1539"/>
      <c r="BD1695" s="1539"/>
      <c r="BE1695" s="1539"/>
      <c r="BF1695" s="1539"/>
      <c r="BG1695" s="1539"/>
      <c r="BH1695" s="1539"/>
      <c r="BI1695" s="1539"/>
      <c r="BJ1695" s="1539"/>
      <c r="BK1695" s="1539"/>
      <c r="BL1695" s="1539"/>
      <c r="BM1695" s="1539"/>
      <c r="BN1695" s="1539"/>
      <c r="BO1695" s="1539"/>
      <c r="BP1695" s="1539"/>
      <c r="BQ1695" s="1539"/>
      <c r="BR1695" s="1539"/>
      <c r="BS1695" s="1539"/>
      <c r="BT1695" s="1539"/>
      <c r="BU1695" s="1539"/>
      <c r="BV1695" s="1539"/>
      <c r="BW1695" s="1539"/>
      <c r="BX1695" s="1539"/>
      <c r="BY1695" s="1539"/>
      <c r="BZ1695" s="1539"/>
      <c r="CA1695" s="1539"/>
      <c r="CB1695" s="1539"/>
      <c r="CC1695" s="1539"/>
      <c r="CD1695" s="1539"/>
      <c r="CE1695" s="1539"/>
      <c r="CF1695" s="1539"/>
      <c r="CG1695" s="1539"/>
      <c r="CH1695" s="1539"/>
      <c r="CI1695" s="1539"/>
      <c r="CJ1695" s="1539"/>
      <c r="CK1695" s="1539"/>
      <c r="CL1695" s="1539"/>
      <c r="CM1695" s="1539"/>
      <c r="CN1695" s="1539"/>
      <c r="CO1695" s="1539"/>
    </row>
    <row r="1696" spans="1:93" s="1542" customFormat="1" ht="15.5">
      <c r="A1696" s="1598">
        <v>33.113999999999997</v>
      </c>
      <c r="B1696" s="1599" t="s">
        <v>3436</v>
      </c>
      <c r="C1696" s="1643" t="e">
        <f>+SUMIF(#REF!,Final!A1696,#REF!)</f>
        <v>#REF!</v>
      </c>
      <c r="D1696" s="1597" t="e">
        <f>+SUMIF(#REF!,Final!A1696,#REF!)</f>
        <v>#REF!</v>
      </c>
      <c r="E1696" s="1643" t="e">
        <f>SUMIF(#REF!,Final!A1696,#REF!)</f>
        <v>#REF!</v>
      </c>
      <c r="F1696" s="1644" t="e">
        <f>SUMIF(#REF!,Final!A1696,#REF!)</f>
        <v>#REF!</v>
      </c>
      <c r="G1696" s="1597" t="e">
        <f t="shared" si="176"/>
        <v>#REF!</v>
      </c>
      <c r="H1696" s="1644" t="e">
        <f t="shared" si="177"/>
        <v>#REF!</v>
      </c>
      <c r="I1696" s="1597" t="e">
        <f t="shared" si="178"/>
        <v>#REF!</v>
      </c>
      <c r="J1696" s="1644" t="e">
        <f t="shared" si="179"/>
        <v>#REF!</v>
      </c>
      <c r="K1696" s="1539"/>
      <c r="L1696" s="1539"/>
      <c r="M1696" s="1545"/>
      <c r="N1696" s="1545"/>
      <c r="O1696" s="1539"/>
      <c r="P1696" s="1539"/>
      <c r="Q1696" s="1539"/>
      <c r="R1696" s="1539"/>
      <c r="S1696" s="1539"/>
      <c r="T1696" s="1539"/>
      <c r="U1696" s="1539"/>
      <c r="V1696" s="1539"/>
      <c r="W1696" s="1539"/>
      <c r="X1696" s="1539"/>
      <c r="Y1696" s="1539"/>
      <c r="Z1696" s="1539"/>
      <c r="AA1696" s="1539"/>
      <c r="AB1696" s="1539"/>
      <c r="AC1696" s="1539"/>
      <c r="AD1696" s="1539"/>
      <c r="AE1696" s="1539"/>
      <c r="AF1696" s="1539"/>
      <c r="AG1696" s="1539"/>
      <c r="AH1696" s="1539"/>
      <c r="AI1696" s="1539"/>
      <c r="AJ1696" s="1539"/>
      <c r="AK1696" s="1539"/>
      <c r="AL1696" s="1539"/>
      <c r="AM1696" s="1539"/>
      <c r="AN1696" s="1539"/>
      <c r="AO1696" s="1539"/>
      <c r="AP1696" s="1539"/>
      <c r="AQ1696" s="1539"/>
      <c r="AR1696" s="1539"/>
      <c r="AS1696" s="1539"/>
      <c r="AT1696" s="1539"/>
      <c r="AU1696" s="1539"/>
      <c r="AV1696" s="1539"/>
      <c r="AW1696" s="1539"/>
      <c r="AX1696" s="1539"/>
      <c r="AY1696" s="1539"/>
      <c r="AZ1696" s="1539"/>
      <c r="BA1696" s="1539"/>
      <c r="BB1696" s="1539"/>
      <c r="BC1696" s="1539"/>
      <c r="BD1696" s="1539"/>
      <c r="BE1696" s="1539"/>
      <c r="BF1696" s="1539"/>
      <c r="BG1696" s="1539"/>
      <c r="BH1696" s="1539"/>
      <c r="BI1696" s="1539"/>
      <c r="BJ1696" s="1539"/>
      <c r="BK1696" s="1539"/>
      <c r="BL1696" s="1539"/>
      <c r="BM1696" s="1539"/>
      <c r="BN1696" s="1539"/>
      <c r="BO1696" s="1539"/>
      <c r="BP1696" s="1539"/>
      <c r="BQ1696" s="1539"/>
      <c r="BR1696" s="1539"/>
      <c r="BS1696" s="1539"/>
      <c r="BT1696" s="1539"/>
      <c r="BU1696" s="1539"/>
      <c r="BV1696" s="1539"/>
      <c r="BW1696" s="1539"/>
      <c r="BX1696" s="1539"/>
      <c r="BY1696" s="1539"/>
      <c r="BZ1696" s="1539"/>
      <c r="CA1696" s="1539"/>
      <c r="CB1696" s="1539"/>
      <c r="CC1696" s="1539"/>
      <c r="CD1696" s="1539"/>
      <c r="CE1696" s="1539"/>
      <c r="CF1696" s="1539"/>
      <c r="CG1696" s="1539"/>
      <c r="CH1696" s="1539"/>
      <c r="CI1696" s="1539"/>
      <c r="CJ1696" s="1539"/>
      <c r="CK1696" s="1539"/>
      <c r="CL1696" s="1539"/>
      <c r="CM1696" s="1539"/>
      <c r="CN1696" s="1539"/>
      <c r="CO1696" s="1539"/>
    </row>
    <row r="1697" spans="1:93" s="1542" customFormat="1" ht="15.5">
      <c r="A1697" s="1598">
        <v>33.115000000000002</v>
      </c>
      <c r="B1697" s="1599" t="s">
        <v>3437</v>
      </c>
      <c r="C1697" s="1643" t="e">
        <f>+SUMIF(#REF!,Final!A1697,#REF!)</f>
        <v>#REF!</v>
      </c>
      <c r="D1697" s="1597" t="e">
        <f>+SUMIF(#REF!,Final!A1697,#REF!)</f>
        <v>#REF!</v>
      </c>
      <c r="E1697" s="1643" t="e">
        <f>SUMIF(#REF!,Final!A1697,#REF!)</f>
        <v>#REF!</v>
      </c>
      <c r="F1697" s="1644" t="e">
        <f>SUMIF(#REF!,Final!A1697,#REF!)</f>
        <v>#REF!</v>
      </c>
      <c r="G1697" s="1597" t="e">
        <f t="shared" si="176"/>
        <v>#REF!</v>
      </c>
      <c r="H1697" s="1644" t="e">
        <f t="shared" si="177"/>
        <v>#REF!</v>
      </c>
      <c r="I1697" s="1597" t="e">
        <f t="shared" si="178"/>
        <v>#REF!</v>
      </c>
      <c r="J1697" s="1644" t="e">
        <f t="shared" si="179"/>
        <v>#REF!</v>
      </c>
      <c r="K1697" s="1539"/>
      <c r="L1697" s="1539"/>
      <c r="M1697" s="1545"/>
      <c r="N1697" s="1545"/>
      <c r="O1697" s="1539"/>
      <c r="P1697" s="1539"/>
      <c r="Q1697" s="1539"/>
      <c r="R1697" s="1539"/>
      <c r="S1697" s="1539"/>
      <c r="T1697" s="1539"/>
      <c r="U1697" s="1539"/>
      <c r="V1697" s="1539"/>
      <c r="W1697" s="1539"/>
      <c r="X1697" s="1539"/>
      <c r="Y1697" s="1539"/>
      <c r="Z1697" s="1539"/>
      <c r="AA1697" s="1539"/>
      <c r="AB1697" s="1539"/>
      <c r="AC1697" s="1539"/>
      <c r="AD1697" s="1539"/>
      <c r="AE1697" s="1539"/>
      <c r="AF1697" s="1539"/>
      <c r="AG1697" s="1539"/>
      <c r="AH1697" s="1539"/>
      <c r="AI1697" s="1539"/>
      <c r="AJ1697" s="1539"/>
      <c r="AK1697" s="1539"/>
      <c r="AL1697" s="1539"/>
      <c r="AM1697" s="1539"/>
      <c r="AN1697" s="1539"/>
      <c r="AO1697" s="1539"/>
      <c r="AP1697" s="1539"/>
      <c r="AQ1697" s="1539"/>
      <c r="AR1697" s="1539"/>
      <c r="AS1697" s="1539"/>
      <c r="AT1697" s="1539"/>
      <c r="AU1697" s="1539"/>
      <c r="AV1697" s="1539"/>
      <c r="AW1697" s="1539"/>
      <c r="AX1697" s="1539"/>
      <c r="AY1697" s="1539"/>
      <c r="AZ1697" s="1539"/>
      <c r="BA1697" s="1539"/>
      <c r="BB1697" s="1539"/>
      <c r="BC1697" s="1539"/>
      <c r="BD1697" s="1539"/>
      <c r="BE1697" s="1539"/>
      <c r="BF1697" s="1539"/>
      <c r="BG1697" s="1539"/>
      <c r="BH1697" s="1539"/>
      <c r="BI1697" s="1539"/>
      <c r="BJ1697" s="1539"/>
      <c r="BK1697" s="1539"/>
      <c r="BL1697" s="1539"/>
      <c r="BM1697" s="1539"/>
      <c r="BN1697" s="1539"/>
      <c r="BO1697" s="1539"/>
      <c r="BP1697" s="1539"/>
      <c r="BQ1697" s="1539"/>
      <c r="BR1697" s="1539"/>
      <c r="BS1697" s="1539"/>
      <c r="BT1697" s="1539"/>
      <c r="BU1697" s="1539"/>
      <c r="BV1697" s="1539"/>
      <c r="BW1697" s="1539"/>
      <c r="BX1697" s="1539"/>
      <c r="BY1697" s="1539"/>
      <c r="BZ1697" s="1539"/>
      <c r="CA1697" s="1539"/>
      <c r="CB1697" s="1539"/>
      <c r="CC1697" s="1539"/>
      <c r="CD1697" s="1539"/>
      <c r="CE1697" s="1539"/>
      <c r="CF1697" s="1539"/>
      <c r="CG1697" s="1539"/>
      <c r="CH1697" s="1539"/>
      <c r="CI1697" s="1539"/>
      <c r="CJ1697" s="1539"/>
      <c r="CK1697" s="1539"/>
      <c r="CL1697" s="1539"/>
      <c r="CM1697" s="1539"/>
      <c r="CN1697" s="1539"/>
      <c r="CO1697" s="1539"/>
    </row>
    <row r="1698" spans="1:93" s="1552" customFormat="1" ht="15.5">
      <c r="A1698" s="1598"/>
      <c r="B1698" s="1599" t="s">
        <v>1747</v>
      </c>
      <c r="C1698" s="1643" t="e">
        <f>+SUMIF(#REF!,Final!A1698,#REF!)</f>
        <v>#REF!</v>
      </c>
      <c r="D1698" s="1597" t="e">
        <f>+SUMIF(#REF!,Final!A1698,#REF!)</f>
        <v>#REF!</v>
      </c>
      <c r="E1698" s="1643" t="e">
        <f>SUMIF(#REF!,Final!A1698,#REF!)</f>
        <v>#REF!</v>
      </c>
      <c r="F1698" s="1644" t="e">
        <f>SUMIF(#REF!,Final!A1698,#REF!)</f>
        <v>#REF!</v>
      </c>
      <c r="G1698" s="1597" t="e">
        <f t="shared" si="176"/>
        <v>#REF!</v>
      </c>
      <c r="H1698" s="1644" t="e">
        <f t="shared" si="177"/>
        <v>#REF!</v>
      </c>
      <c r="I1698" s="1597" t="e">
        <f t="shared" si="178"/>
        <v>#REF!</v>
      </c>
      <c r="J1698" s="1644" t="e">
        <f t="shared" si="179"/>
        <v>#REF!</v>
      </c>
      <c r="K1698" s="1539"/>
      <c r="L1698" s="1539"/>
      <c r="M1698" s="1545"/>
      <c r="N1698" s="1545"/>
      <c r="O1698" s="1539"/>
      <c r="P1698" s="1539"/>
      <c r="Q1698" s="1539"/>
      <c r="R1698" s="1539"/>
      <c r="S1698" s="1539"/>
      <c r="T1698" s="1539"/>
      <c r="U1698" s="1539"/>
      <c r="V1698" s="1539"/>
      <c r="W1698" s="1539"/>
      <c r="X1698" s="1539"/>
      <c r="Y1698" s="1539"/>
      <c r="Z1698" s="1539"/>
      <c r="AA1698" s="1539"/>
      <c r="AB1698" s="1539"/>
      <c r="AC1698" s="1539"/>
      <c r="AD1698" s="1539"/>
      <c r="AE1698" s="1539"/>
      <c r="AF1698" s="1539"/>
      <c r="AG1698" s="1539"/>
      <c r="AH1698" s="1539"/>
      <c r="AI1698" s="1539"/>
      <c r="AJ1698" s="1539"/>
      <c r="AK1698" s="1539"/>
      <c r="AL1698" s="1539"/>
      <c r="AM1698" s="1539"/>
      <c r="AN1698" s="1539"/>
      <c r="AO1698" s="1539"/>
      <c r="AP1698" s="1539"/>
      <c r="AQ1698" s="1539"/>
      <c r="AR1698" s="1539"/>
      <c r="AS1698" s="1539"/>
      <c r="AT1698" s="1539"/>
      <c r="AU1698" s="1539"/>
      <c r="AV1698" s="1539"/>
      <c r="AW1698" s="1539"/>
      <c r="AX1698" s="1539"/>
      <c r="AY1698" s="1539"/>
      <c r="AZ1698" s="1539"/>
      <c r="BA1698" s="1539"/>
      <c r="BB1698" s="1539"/>
      <c r="BC1698" s="1539"/>
      <c r="BD1698" s="1539"/>
      <c r="BE1698" s="1539"/>
      <c r="BF1698" s="1539"/>
      <c r="BG1698" s="1539"/>
      <c r="BH1698" s="1539"/>
      <c r="BI1698" s="1539"/>
      <c r="BJ1698" s="1539"/>
      <c r="BK1698" s="1539"/>
      <c r="BL1698" s="1539"/>
      <c r="BM1698" s="1539"/>
      <c r="BN1698" s="1539"/>
      <c r="BO1698" s="1539"/>
      <c r="BP1698" s="1539"/>
      <c r="BQ1698" s="1539"/>
      <c r="BR1698" s="1539"/>
      <c r="BS1698" s="1539"/>
      <c r="BT1698" s="1539"/>
      <c r="BU1698" s="1539"/>
      <c r="BV1698" s="1539"/>
      <c r="BW1698" s="1539"/>
      <c r="BX1698" s="1539"/>
      <c r="BY1698" s="1539"/>
      <c r="BZ1698" s="1539"/>
      <c r="CA1698" s="1539"/>
      <c r="CB1698" s="1539"/>
      <c r="CC1698" s="1539"/>
      <c r="CD1698" s="1539"/>
      <c r="CE1698" s="1539"/>
      <c r="CF1698" s="1539"/>
      <c r="CG1698" s="1539"/>
      <c r="CH1698" s="1539"/>
      <c r="CI1698" s="1539"/>
      <c r="CJ1698" s="1539"/>
      <c r="CK1698" s="1539"/>
      <c r="CL1698" s="1539"/>
      <c r="CM1698" s="1539"/>
      <c r="CN1698" s="1539"/>
      <c r="CO1698" s="1539"/>
    </row>
    <row r="1699" spans="1:93" s="1552" customFormat="1" ht="15.5">
      <c r="A1699" s="1598"/>
      <c r="B1699" s="1599" t="s">
        <v>1760</v>
      </c>
      <c r="C1699" s="1643" t="e">
        <f>+SUMIF(#REF!,Final!A1699,#REF!)</f>
        <v>#REF!</v>
      </c>
      <c r="D1699" s="1597" t="e">
        <f>+SUMIF(#REF!,Final!A1699,#REF!)</f>
        <v>#REF!</v>
      </c>
      <c r="E1699" s="1643" t="e">
        <f>SUMIF(#REF!,Final!A1699,#REF!)</f>
        <v>#REF!</v>
      </c>
      <c r="F1699" s="1644" t="e">
        <f>SUMIF(#REF!,Final!A1699,#REF!)</f>
        <v>#REF!</v>
      </c>
      <c r="G1699" s="1597" t="e">
        <f t="shared" si="176"/>
        <v>#REF!</v>
      </c>
      <c r="H1699" s="1644" t="e">
        <f t="shared" si="177"/>
        <v>#REF!</v>
      </c>
      <c r="I1699" s="1597" t="e">
        <f t="shared" si="178"/>
        <v>#REF!</v>
      </c>
      <c r="J1699" s="1644" t="e">
        <f t="shared" si="179"/>
        <v>#REF!</v>
      </c>
      <c r="K1699" s="1539"/>
      <c r="L1699" s="1539"/>
      <c r="M1699" s="1545"/>
      <c r="N1699" s="1545"/>
      <c r="O1699" s="1539"/>
      <c r="P1699" s="1539"/>
      <c r="Q1699" s="1539"/>
      <c r="R1699" s="1539"/>
      <c r="S1699" s="1539"/>
      <c r="T1699" s="1539"/>
      <c r="U1699" s="1539"/>
      <c r="V1699" s="1539"/>
      <c r="W1699" s="1539"/>
      <c r="X1699" s="1539"/>
      <c r="Y1699" s="1539"/>
      <c r="Z1699" s="1539"/>
      <c r="AA1699" s="1539"/>
      <c r="AB1699" s="1539"/>
      <c r="AC1699" s="1539"/>
      <c r="AD1699" s="1539"/>
      <c r="AE1699" s="1539"/>
      <c r="AF1699" s="1539"/>
      <c r="AG1699" s="1539"/>
      <c r="AH1699" s="1539"/>
      <c r="AI1699" s="1539"/>
      <c r="AJ1699" s="1539"/>
      <c r="AK1699" s="1539"/>
      <c r="AL1699" s="1539"/>
      <c r="AM1699" s="1539"/>
      <c r="AN1699" s="1539"/>
      <c r="AO1699" s="1539"/>
      <c r="AP1699" s="1539"/>
      <c r="AQ1699" s="1539"/>
      <c r="AR1699" s="1539"/>
      <c r="AS1699" s="1539"/>
      <c r="AT1699" s="1539"/>
      <c r="AU1699" s="1539"/>
      <c r="AV1699" s="1539"/>
      <c r="AW1699" s="1539"/>
      <c r="AX1699" s="1539"/>
      <c r="AY1699" s="1539"/>
      <c r="AZ1699" s="1539"/>
      <c r="BA1699" s="1539"/>
      <c r="BB1699" s="1539"/>
      <c r="BC1699" s="1539"/>
      <c r="BD1699" s="1539"/>
      <c r="BE1699" s="1539"/>
      <c r="BF1699" s="1539"/>
      <c r="BG1699" s="1539"/>
      <c r="BH1699" s="1539"/>
      <c r="BI1699" s="1539"/>
      <c r="BJ1699" s="1539"/>
      <c r="BK1699" s="1539"/>
      <c r="BL1699" s="1539"/>
      <c r="BM1699" s="1539"/>
      <c r="BN1699" s="1539"/>
      <c r="BO1699" s="1539"/>
      <c r="BP1699" s="1539"/>
      <c r="BQ1699" s="1539"/>
      <c r="BR1699" s="1539"/>
      <c r="BS1699" s="1539"/>
      <c r="BT1699" s="1539"/>
      <c r="BU1699" s="1539"/>
      <c r="BV1699" s="1539"/>
      <c r="BW1699" s="1539"/>
      <c r="BX1699" s="1539"/>
      <c r="BY1699" s="1539"/>
      <c r="BZ1699" s="1539"/>
      <c r="CA1699" s="1539"/>
      <c r="CB1699" s="1539"/>
      <c r="CC1699" s="1539"/>
      <c r="CD1699" s="1539"/>
      <c r="CE1699" s="1539"/>
      <c r="CF1699" s="1539"/>
      <c r="CG1699" s="1539"/>
      <c r="CH1699" s="1539"/>
      <c r="CI1699" s="1539"/>
      <c r="CJ1699" s="1539"/>
      <c r="CK1699" s="1539"/>
      <c r="CL1699" s="1539"/>
      <c r="CM1699" s="1539"/>
      <c r="CN1699" s="1539"/>
      <c r="CO1699" s="1539"/>
    </row>
    <row r="1700" spans="1:93" s="1542" customFormat="1" ht="15.5">
      <c r="A1700" s="1598" t="s">
        <v>443</v>
      </c>
      <c r="B1700" s="1599" t="s">
        <v>3439</v>
      </c>
      <c r="C1700" s="1643" t="e">
        <f>+SUMIF(#REF!,Final!A1700,#REF!)</f>
        <v>#REF!</v>
      </c>
      <c r="D1700" s="1597" t="e">
        <f>+SUMIF(#REF!,Final!A1700,#REF!)</f>
        <v>#REF!</v>
      </c>
      <c r="E1700" s="1643" t="e">
        <f>SUMIF(#REF!,Final!A1700,#REF!)</f>
        <v>#REF!</v>
      </c>
      <c r="F1700" s="1644" t="e">
        <f>SUMIF(#REF!,Final!A1700,#REF!)</f>
        <v>#REF!</v>
      </c>
      <c r="G1700" s="1597" t="e">
        <f t="shared" si="176"/>
        <v>#REF!</v>
      </c>
      <c r="H1700" s="1644" t="e">
        <f t="shared" si="177"/>
        <v>#REF!</v>
      </c>
      <c r="I1700" s="1597" t="e">
        <f t="shared" si="178"/>
        <v>#REF!</v>
      </c>
      <c r="J1700" s="1644" t="e">
        <f t="shared" si="179"/>
        <v>#REF!</v>
      </c>
      <c r="K1700" s="1539"/>
      <c r="L1700" s="1539"/>
      <c r="M1700" s="1545"/>
      <c r="N1700" s="1545"/>
      <c r="O1700" s="1539"/>
      <c r="P1700" s="1539"/>
      <c r="Q1700" s="1539"/>
      <c r="R1700" s="1539"/>
      <c r="S1700" s="1539"/>
      <c r="T1700" s="1539"/>
      <c r="U1700" s="1539"/>
      <c r="V1700" s="1539"/>
      <c r="W1700" s="1539"/>
      <c r="X1700" s="1539"/>
      <c r="Y1700" s="1539"/>
      <c r="Z1700" s="1539"/>
      <c r="AA1700" s="1539"/>
      <c r="AB1700" s="1539"/>
      <c r="AC1700" s="1539"/>
      <c r="AD1700" s="1539"/>
      <c r="AE1700" s="1539"/>
      <c r="AF1700" s="1539"/>
      <c r="AG1700" s="1539"/>
      <c r="AH1700" s="1539"/>
      <c r="AI1700" s="1539"/>
      <c r="AJ1700" s="1539"/>
      <c r="AK1700" s="1539"/>
      <c r="AL1700" s="1539"/>
      <c r="AM1700" s="1539"/>
      <c r="AN1700" s="1539"/>
      <c r="AO1700" s="1539"/>
      <c r="AP1700" s="1539"/>
      <c r="AQ1700" s="1539"/>
      <c r="AR1700" s="1539"/>
      <c r="AS1700" s="1539"/>
      <c r="AT1700" s="1539"/>
      <c r="AU1700" s="1539"/>
      <c r="AV1700" s="1539"/>
      <c r="AW1700" s="1539"/>
      <c r="AX1700" s="1539"/>
      <c r="AY1700" s="1539"/>
      <c r="AZ1700" s="1539"/>
      <c r="BA1700" s="1539"/>
      <c r="BB1700" s="1539"/>
      <c r="BC1700" s="1539"/>
      <c r="BD1700" s="1539"/>
      <c r="BE1700" s="1539"/>
      <c r="BF1700" s="1539"/>
      <c r="BG1700" s="1539"/>
      <c r="BH1700" s="1539"/>
      <c r="BI1700" s="1539"/>
      <c r="BJ1700" s="1539"/>
      <c r="BK1700" s="1539"/>
      <c r="BL1700" s="1539"/>
      <c r="BM1700" s="1539"/>
      <c r="BN1700" s="1539"/>
      <c r="BO1700" s="1539"/>
      <c r="BP1700" s="1539"/>
      <c r="BQ1700" s="1539"/>
      <c r="BR1700" s="1539"/>
      <c r="BS1700" s="1539"/>
      <c r="BT1700" s="1539"/>
      <c r="BU1700" s="1539"/>
      <c r="BV1700" s="1539"/>
      <c r="BW1700" s="1539"/>
      <c r="BX1700" s="1539"/>
      <c r="BY1700" s="1539"/>
      <c r="BZ1700" s="1539"/>
      <c r="CA1700" s="1539"/>
      <c r="CB1700" s="1539"/>
      <c r="CC1700" s="1539"/>
      <c r="CD1700" s="1539"/>
      <c r="CE1700" s="1539"/>
      <c r="CF1700" s="1539"/>
      <c r="CG1700" s="1539"/>
      <c r="CH1700" s="1539"/>
      <c r="CI1700" s="1539"/>
      <c r="CJ1700" s="1539"/>
      <c r="CK1700" s="1539"/>
      <c r="CL1700" s="1539"/>
      <c r="CM1700" s="1539"/>
      <c r="CN1700" s="1539"/>
      <c r="CO1700" s="1539"/>
    </row>
    <row r="1701" spans="1:93" ht="15.5">
      <c r="A1701" s="1598">
        <v>34.000999999999998</v>
      </c>
      <c r="B1701" s="1599" t="s">
        <v>2901</v>
      </c>
      <c r="C1701" s="1643" t="e">
        <f>+SUMIF(#REF!,Final!A1701,#REF!)</f>
        <v>#REF!</v>
      </c>
      <c r="D1701" s="1597" t="e">
        <f>+SUMIF(#REF!,Final!A1701,#REF!)</f>
        <v>#REF!</v>
      </c>
      <c r="E1701" s="1643" t="e">
        <f>SUMIF(#REF!,Final!A1701,#REF!)</f>
        <v>#REF!</v>
      </c>
      <c r="F1701" s="1644" t="e">
        <f>SUMIF(#REF!,Final!A1701,#REF!)</f>
        <v>#REF!</v>
      </c>
      <c r="G1701" s="1597" t="e">
        <f t="shared" si="176"/>
        <v>#REF!</v>
      </c>
      <c r="H1701" s="1644" t="e">
        <f t="shared" si="177"/>
        <v>#REF!</v>
      </c>
      <c r="I1701" s="1597" t="e">
        <f t="shared" si="178"/>
        <v>#REF!</v>
      </c>
      <c r="J1701" s="1644" t="e">
        <f t="shared" si="179"/>
        <v>#REF!</v>
      </c>
      <c r="M1701" s="1545"/>
      <c r="N1701" s="1545"/>
    </row>
    <row r="1702" spans="1:93" ht="15.5">
      <c r="A1702" s="1598">
        <v>34.020000000000003</v>
      </c>
      <c r="B1702" s="1599" t="s">
        <v>3411</v>
      </c>
      <c r="C1702" s="1643" t="e">
        <f>+SUMIF(#REF!,Final!A1702,#REF!)</f>
        <v>#REF!</v>
      </c>
      <c r="D1702" s="1597" t="e">
        <f>+SUMIF(#REF!,Final!A1702,#REF!)</f>
        <v>#REF!</v>
      </c>
      <c r="E1702" s="1643" t="e">
        <f>SUMIF(#REF!,Final!A1702,#REF!)</f>
        <v>#REF!</v>
      </c>
      <c r="F1702" s="1644" t="e">
        <f>SUMIF(#REF!,Final!A1702,#REF!)</f>
        <v>#REF!</v>
      </c>
      <c r="G1702" s="1597" t="e">
        <f t="shared" si="176"/>
        <v>#REF!</v>
      </c>
      <c r="H1702" s="1644" t="e">
        <f t="shared" si="177"/>
        <v>#REF!</v>
      </c>
      <c r="I1702" s="1597" t="e">
        <f t="shared" si="178"/>
        <v>#REF!</v>
      </c>
      <c r="J1702" s="1644" t="e">
        <f t="shared" si="179"/>
        <v>#REF!</v>
      </c>
      <c r="M1702" s="1545"/>
      <c r="N1702" s="1545"/>
    </row>
    <row r="1703" spans="1:93" ht="15.5">
      <c r="A1703" s="1598">
        <v>34.021000000000001</v>
      </c>
      <c r="B1703" s="1599" t="s">
        <v>3412</v>
      </c>
      <c r="C1703" s="1643" t="e">
        <f>+SUMIF(#REF!,Final!A1703,#REF!)</f>
        <v>#REF!</v>
      </c>
      <c r="D1703" s="1597" t="e">
        <f>+SUMIF(#REF!,Final!A1703,#REF!)</f>
        <v>#REF!</v>
      </c>
      <c r="E1703" s="1643" t="e">
        <f>SUMIF(#REF!,Final!A1703,#REF!)</f>
        <v>#REF!</v>
      </c>
      <c r="F1703" s="1644" t="e">
        <f>SUMIF(#REF!,Final!A1703,#REF!)</f>
        <v>#REF!</v>
      </c>
      <c r="G1703" s="1597" t="e">
        <f t="shared" si="176"/>
        <v>#REF!</v>
      </c>
      <c r="H1703" s="1644" t="e">
        <f t="shared" si="177"/>
        <v>#REF!</v>
      </c>
      <c r="I1703" s="1597" t="e">
        <f t="shared" si="178"/>
        <v>#REF!</v>
      </c>
      <c r="J1703" s="1644" t="e">
        <f t="shared" si="179"/>
        <v>#REF!</v>
      </c>
      <c r="M1703" s="1545"/>
      <c r="N1703" s="1545"/>
    </row>
    <row r="1704" spans="1:93" ht="15.5">
      <c r="A1704" s="1598">
        <v>34.021999999999998</v>
      </c>
      <c r="B1704" s="1599" t="s">
        <v>3413</v>
      </c>
      <c r="C1704" s="1643" t="e">
        <f>+SUMIF(#REF!,Final!A1704,#REF!)</f>
        <v>#REF!</v>
      </c>
      <c r="D1704" s="1597" t="e">
        <f>+SUMIF(#REF!,Final!A1704,#REF!)</f>
        <v>#REF!</v>
      </c>
      <c r="E1704" s="1643" t="e">
        <f>SUMIF(#REF!,Final!A1704,#REF!)</f>
        <v>#REF!</v>
      </c>
      <c r="F1704" s="1644" t="e">
        <f>SUMIF(#REF!,Final!A1704,#REF!)</f>
        <v>#REF!</v>
      </c>
      <c r="G1704" s="1597" t="e">
        <f t="shared" si="176"/>
        <v>#REF!</v>
      </c>
      <c r="H1704" s="1644" t="e">
        <f t="shared" si="177"/>
        <v>#REF!</v>
      </c>
      <c r="I1704" s="1597" t="e">
        <f t="shared" si="178"/>
        <v>#REF!</v>
      </c>
      <c r="J1704" s="1644" t="e">
        <f t="shared" si="179"/>
        <v>#REF!</v>
      </c>
      <c r="M1704" s="1545"/>
      <c r="N1704" s="1545"/>
    </row>
    <row r="1705" spans="1:93" ht="15.5">
      <c r="A1705" s="1598">
        <v>34.023000000000003</v>
      </c>
      <c r="B1705" s="1599" t="s">
        <v>3414</v>
      </c>
      <c r="C1705" s="1643" t="e">
        <f>+SUMIF(#REF!,Final!A1705,#REF!)</f>
        <v>#REF!</v>
      </c>
      <c r="D1705" s="1597" t="e">
        <f>+SUMIF(#REF!,Final!A1705,#REF!)</f>
        <v>#REF!</v>
      </c>
      <c r="E1705" s="1643" t="e">
        <f>SUMIF(#REF!,Final!A1705,#REF!)</f>
        <v>#REF!</v>
      </c>
      <c r="F1705" s="1644" t="e">
        <f>SUMIF(#REF!,Final!A1705,#REF!)</f>
        <v>#REF!</v>
      </c>
      <c r="G1705" s="1597" t="e">
        <f t="shared" si="176"/>
        <v>#REF!</v>
      </c>
      <c r="H1705" s="1644" t="e">
        <f t="shared" si="177"/>
        <v>#REF!</v>
      </c>
      <c r="I1705" s="1597" t="e">
        <f t="shared" si="178"/>
        <v>#REF!</v>
      </c>
      <c r="J1705" s="1644" t="e">
        <f t="shared" si="179"/>
        <v>#REF!</v>
      </c>
      <c r="M1705" s="1545"/>
      <c r="N1705" s="1545"/>
    </row>
    <row r="1706" spans="1:93" ht="15.5">
      <c r="A1706" s="1598">
        <v>34.024000000000001</v>
      </c>
      <c r="B1706" s="1599" t="s">
        <v>3415</v>
      </c>
      <c r="C1706" s="1643" t="e">
        <f>+SUMIF(#REF!,Final!A1706,#REF!)</f>
        <v>#REF!</v>
      </c>
      <c r="D1706" s="1597" t="e">
        <f>+SUMIF(#REF!,Final!A1706,#REF!)</f>
        <v>#REF!</v>
      </c>
      <c r="E1706" s="1643" t="e">
        <f>SUMIF(#REF!,Final!A1706,#REF!)</f>
        <v>#REF!</v>
      </c>
      <c r="F1706" s="1644" t="e">
        <f>SUMIF(#REF!,Final!A1706,#REF!)</f>
        <v>#REF!</v>
      </c>
      <c r="G1706" s="1597" t="e">
        <f t="shared" si="176"/>
        <v>#REF!</v>
      </c>
      <c r="H1706" s="1644" t="e">
        <f t="shared" si="177"/>
        <v>#REF!</v>
      </c>
      <c r="I1706" s="1597" t="e">
        <f t="shared" si="178"/>
        <v>#REF!</v>
      </c>
      <c r="J1706" s="1644" t="e">
        <f t="shared" si="179"/>
        <v>#REF!</v>
      </c>
      <c r="M1706" s="1545"/>
      <c r="N1706" s="1545"/>
    </row>
    <row r="1707" spans="1:93" s="1542" customFormat="1" ht="15.5">
      <c r="A1707" s="1598">
        <v>34.024999999999999</v>
      </c>
      <c r="B1707" s="1599" t="s">
        <v>3416</v>
      </c>
      <c r="C1707" s="1643" t="e">
        <f>+SUMIF(#REF!,Final!A1707,#REF!)</f>
        <v>#REF!</v>
      </c>
      <c r="D1707" s="1597" t="e">
        <f>+SUMIF(#REF!,Final!A1707,#REF!)</f>
        <v>#REF!</v>
      </c>
      <c r="E1707" s="1643" t="e">
        <f>SUMIF(#REF!,Final!A1707,#REF!)</f>
        <v>#REF!</v>
      </c>
      <c r="F1707" s="1644" t="e">
        <f>SUMIF(#REF!,Final!A1707,#REF!)</f>
        <v>#REF!</v>
      </c>
      <c r="G1707" s="1597" t="e">
        <f t="shared" ref="G1707:G1770" si="180">C1707+E1707</f>
        <v>#REF!</v>
      </c>
      <c r="H1707" s="1644" t="e">
        <f t="shared" ref="H1707:H1770" si="181">D1707+F1707</f>
        <v>#REF!</v>
      </c>
      <c r="I1707" s="1597" t="e">
        <f t="shared" ref="I1707:I1770" si="182">IF(G1707&gt;H1707,G1707-H1707,0)</f>
        <v>#REF!</v>
      </c>
      <c r="J1707" s="1644" t="e">
        <f t="shared" ref="J1707:J1770" si="183">IF(H1707&gt;G1707,H1707-G1707,0)</f>
        <v>#REF!</v>
      </c>
      <c r="K1707" s="1539"/>
      <c r="L1707" s="1539"/>
      <c r="M1707" s="1545"/>
      <c r="N1707" s="1545"/>
      <c r="O1707" s="1539"/>
      <c r="P1707" s="1539"/>
      <c r="Q1707" s="1539"/>
      <c r="R1707" s="1539"/>
      <c r="S1707" s="1539"/>
      <c r="T1707" s="1539"/>
      <c r="U1707" s="1539"/>
      <c r="V1707" s="1539"/>
      <c r="W1707" s="1539"/>
      <c r="X1707" s="1539"/>
      <c r="Y1707" s="1539"/>
      <c r="Z1707" s="1539"/>
      <c r="AA1707" s="1539"/>
      <c r="AB1707" s="1539"/>
      <c r="AC1707" s="1539"/>
      <c r="AD1707" s="1539"/>
      <c r="AE1707" s="1539"/>
      <c r="AF1707" s="1539"/>
      <c r="AG1707" s="1539"/>
      <c r="AH1707" s="1539"/>
      <c r="AI1707" s="1539"/>
      <c r="AJ1707" s="1539"/>
      <c r="AK1707" s="1539"/>
      <c r="AL1707" s="1539"/>
      <c r="AM1707" s="1539"/>
      <c r="AN1707" s="1539"/>
      <c r="AO1707" s="1539"/>
      <c r="AP1707" s="1539"/>
      <c r="AQ1707" s="1539"/>
      <c r="AR1707" s="1539"/>
      <c r="AS1707" s="1539"/>
      <c r="AT1707" s="1539"/>
      <c r="AU1707" s="1539"/>
      <c r="AV1707" s="1539"/>
      <c r="AW1707" s="1539"/>
      <c r="AX1707" s="1539"/>
      <c r="AY1707" s="1539"/>
      <c r="AZ1707" s="1539"/>
      <c r="BA1707" s="1539"/>
      <c r="BB1707" s="1539"/>
      <c r="BC1707" s="1539"/>
      <c r="BD1707" s="1539"/>
      <c r="BE1707" s="1539"/>
      <c r="BF1707" s="1539"/>
      <c r="BG1707" s="1539"/>
      <c r="BH1707" s="1539"/>
      <c r="BI1707" s="1539"/>
      <c r="BJ1707" s="1539"/>
      <c r="BK1707" s="1539"/>
      <c r="BL1707" s="1539"/>
      <c r="BM1707" s="1539"/>
      <c r="BN1707" s="1539"/>
      <c r="BO1707" s="1539"/>
      <c r="BP1707" s="1539"/>
      <c r="BQ1707" s="1539"/>
      <c r="BR1707" s="1539"/>
      <c r="BS1707" s="1539"/>
      <c r="BT1707" s="1539"/>
      <c r="BU1707" s="1539"/>
      <c r="BV1707" s="1539"/>
      <c r="BW1707" s="1539"/>
      <c r="BX1707" s="1539"/>
      <c r="BY1707" s="1539"/>
      <c r="BZ1707" s="1539"/>
      <c r="CA1707" s="1539"/>
      <c r="CB1707" s="1539"/>
      <c r="CC1707" s="1539"/>
      <c r="CD1707" s="1539"/>
      <c r="CE1707" s="1539"/>
      <c r="CF1707" s="1539"/>
      <c r="CG1707" s="1539"/>
      <c r="CH1707" s="1539"/>
      <c r="CI1707" s="1539"/>
      <c r="CJ1707" s="1539"/>
      <c r="CK1707" s="1539"/>
      <c r="CL1707" s="1539"/>
      <c r="CM1707" s="1539"/>
      <c r="CN1707" s="1539"/>
      <c r="CO1707" s="1539"/>
    </row>
    <row r="1708" spans="1:93" ht="15.5">
      <c r="A1708" s="1598">
        <v>34.026000000000003</v>
      </c>
      <c r="B1708" s="1599" t="s">
        <v>3417</v>
      </c>
      <c r="C1708" s="1643" t="e">
        <f>+SUMIF(#REF!,Final!A1708,#REF!)</f>
        <v>#REF!</v>
      </c>
      <c r="D1708" s="1597" t="e">
        <f>+SUMIF(#REF!,Final!A1708,#REF!)</f>
        <v>#REF!</v>
      </c>
      <c r="E1708" s="1643" t="e">
        <f>SUMIF(#REF!,Final!A1708,#REF!)</f>
        <v>#REF!</v>
      </c>
      <c r="F1708" s="1644" t="e">
        <f>SUMIF(#REF!,Final!A1708,#REF!)</f>
        <v>#REF!</v>
      </c>
      <c r="G1708" s="1597" t="e">
        <f t="shared" si="180"/>
        <v>#REF!</v>
      </c>
      <c r="H1708" s="1644" t="e">
        <f t="shared" si="181"/>
        <v>#REF!</v>
      </c>
      <c r="I1708" s="1597" t="e">
        <f t="shared" si="182"/>
        <v>#REF!</v>
      </c>
      <c r="J1708" s="1644" t="e">
        <f t="shared" si="183"/>
        <v>#REF!</v>
      </c>
      <c r="M1708" s="1545"/>
      <c r="N1708" s="1545"/>
    </row>
    <row r="1709" spans="1:93" s="1542" customFormat="1" ht="15.5">
      <c r="A1709" s="1598">
        <v>34.027000000000001</v>
      </c>
      <c r="B1709" s="1599" t="s">
        <v>3418</v>
      </c>
      <c r="C1709" s="1643" t="e">
        <f>+SUMIF(#REF!,Final!A1709,#REF!)</f>
        <v>#REF!</v>
      </c>
      <c r="D1709" s="1597" t="e">
        <f>+SUMIF(#REF!,Final!A1709,#REF!)</f>
        <v>#REF!</v>
      </c>
      <c r="E1709" s="1643" t="e">
        <f>SUMIF(#REF!,Final!A1709,#REF!)</f>
        <v>#REF!</v>
      </c>
      <c r="F1709" s="1644" t="e">
        <f>SUMIF(#REF!,Final!A1709,#REF!)</f>
        <v>#REF!</v>
      </c>
      <c r="G1709" s="1597" t="e">
        <f t="shared" si="180"/>
        <v>#REF!</v>
      </c>
      <c r="H1709" s="1644" t="e">
        <f t="shared" si="181"/>
        <v>#REF!</v>
      </c>
      <c r="I1709" s="1597" t="e">
        <f t="shared" si="182"/>
        <v>#REF!</v>
      </c>
      <c r="J1709" s="1644" t="e">
        <f t="shared" si="183"/>
        <v>#REF!</v>
      </c>
      <c r="K1709" s="1539"/>
      <c r="L1709" s="1539"/>
      <c r="M1709" s="1545"/>
      <c r="N1709" s="1545"/>
      <c r="O1709" s="1539"/>
      <c r="P1709" s="1539"/>
      <c r="Q1709" s="1539"/>
      <c r="R1709" s="1539"/>
      <c r="S1709" s="1539"/>
      <c r="T1709" s="1539"/>
      <c r="U1709" s="1539"/>
      <c r="V1709" s="1539"/>
      <c r="W1709" s="1539"/>
      <c r="X1709" s="1539"/>
      <c r="Y1709" s="1539"/>
      <c r="Z1709" s="1539"/>
      <c r="AA1709" s="1539"/>
      <c r="AB1709" s="1539"/>
      <c r="AC1709" s="1539"/>
      <c r="AD1709" s="1539"/>
      <c r="AE1709" s="1539"/>
      <c r="AF1709" s="1539"/>
      <c r="AG1709" s="1539"/>
      <c r="AH1709" s="1539"/>
      <c r="AI1709" s="1539"/>
      <c r="AJ1709" s="1539"/>
      <c r="AK1709" s="1539"/>
      <c r="AL1709" s="1539"/>
      <c r="AM1709" s="1539"/>
      <c r="AN1709" s="1539"/>
      <c r="AO1709" s="1539"/>
      <c r="AP1709" s="1539"/>
      <c r="AQ1709" s="1539"/>
      <c r="AR1709" s="1539"/>
      <c r="AS1709" s="1539"/>
      <c r="AT1709" s="1539"/>
      <c r="AU1709" s="1539"/>
      <c r="AV1709" s="1539"/>
      <c r="AW1709" s="1539"/>
      <c r="AX1709" s="1539"/>
      <c r="AY1709" s="1539"/>
      <c r="AZ1709" s="1539"/>
      <c r="BA1709" s="1539"/>
      <c r="BB1709" s="1539"/>
      <c r="BC1709" s="1539"/>
      <c r="BD1709" s="1539"/>
      <c r="BE1709" s="1539"/>
      <c r="BF1709" s="1539"/>
      <c r="BG1709" s="1539"/>
      <c r="BH1709" s="1539"/>
      <c r="BI1709" s="1539"/>
      <c r="BJ1709" s="1539"/>
      <c r="BK1709" s="1539"/>
      <c r="BL1709" s="1539"/>
      <c r="BM1709" s="1539"/>
      <c r="BN1709" s="1539"/>
      <c r="BO1709" s="1539"/>
      <c r="BP1709" s="1539"/>
      <c r="BQ1709" s="1539"/>
      <c r="BR1709" s="1539"/>
      <c r="BS1709" s="1539"/>
      <c r="BT1709" s="1539"/>
      <c r="BU1709" s="1539"/>
      <c r="BV1709" s="1539"/>
      <c r="BW1709" s="1539"/>
      <c r="BX1709" s="1539"/>
      <c r="BY1709" s="1539"/>
      <c r="BZ1709" s="1539"/>
      <c r="CA1709" s="1539"/>
      <c r="CB1709" s="1539"/>
      <c r="CC1709" s="1539"/>
      <c r="CD1709" s="1539"/>
      <c r="CE1709" s="1539"/>
      <c r="CF1709" s="1539"/>
      <c r="CG1709" s="1539"/>
      <c r="CH1709" s="1539"/>
      <c r="CI1709" s="1539"/>
      <c r="CJ1709" s="1539"/>
      <c r="CK1709" s="1539"/>
      <c r="CL1709" s="1539"/>
      <c r="CM1709" s="1539"/>
      <c r="CN1709" s="1539"/>
      <c r="CO1709" s="1539"/>
    </row>
    <row r="1710" spans="1:93" ht="15.5">
      <c r="A1710" s="1598">
        <v>34.027999999999999</v>
      </c>
      <c r="B1710" s="1599" t="s">
        <v>3419</v>
      </c>
      <c r="C1710" s="1643" t="e">
        <f>+SUMIF(#REF!,Final!A1710,#REF!)</f>
        <v>#REF!</v>
      </c>
      <c r="D1710" s="1597" t="e">
        <f>+SUMIF(#REF!,Final!A1710,#REF!)</f>
        <v>#REF!</v>
      </c>
      <c r="E1710" s="1643" t="e">
        <f>SUMIF(#REF!,Final!A1710,#REF!)</f>
        <v>#REF!</v>
      </c>
      <c r="F1710" s="1644" t="e">
        <f>SUMIF(#REF!,Final!A1710,#REF!)</f>
        <v>#REF!</v>
      </c>
      <c r="G1710" s="1597" t="e">
        <f t="shared" si="180"/>
        <v>#REF!</v>
      </c>
      <c r="H1710" s="1644" t="e">
        <f t="shared" si="181"/>
        <v>#REF!</v>
      </c>
      <c r="I1710" s="1597" t="e">
        <f t="shared" si="182"/>
        <v>#REF!</v>
      </c>
      <c r="J1710" s="1644" t="e">
        <f t="shared" si="183"/>
        <v>#REF!</v>
      </c>
      <c r="M1710" s="1545"/>
      <c r="N1710" s="1545"/>
    </row>
    <row r="1711" spans="1:93" ht="15.5">
      <c r="A1711" s="1598">
        <v>34.029000000000003</v>
      </c>
      <c r="B1711" s="1599" t="s">
        <v>3420</v>
      </c>
      <c r="C1711" s="1643" t="e">
        <f>+SUMIF(#REF!,Final!A1711,#REF!)</f>
        <v>#REF!</v>
      </c>
      <c r="D1711" s="1597" t="e">
        <f>+SUMIF(#REF!,Final!A1711,#REF!)</f>
        <v>#REF!</v>
      </c>
      <c r="E1711" s="1643" t="e">
        <f>SUMIF(#REF!,Final!A1711,#REF!)</f>
        <v>#REF!</v>
      </c>
      <c r="F1711" s="1644" t="e">
        <f>SUMIF(#REF!,Final!A1711,#REF!)</f>
        <v>#REF!</v>
      </c>
      <c r="G1711" s="1597" t="e">
        <f t="shared" si="180"/>
        <v>#REF!</v>
      </c>
      <c r="H1711" s="1644" t="e">
        <f t="shared" si="181"/>
        <v>#REF!</v>
      </c>
      <c r="I1711" s="1597" t="e">
        <f t="shared" si="182"/>
        <v>#REF!</v>
      </c>
      <c r="J1711" s="1644" t="e">
        <f t="shared" si="183"/>
        <v>#REF!</v>
      </c>
      <c r="M1711" s="1545"/>
      <c r="N1711" s="1545"/>
    </row>
    <row r="1712" spans="1:93" ht="15.5">
      <c r="A1712" s="1598">
        <v>34.03</v>
      </c>
      <c r="B1712" s="1599" t="s">
        <v>3421</v>
      </c>
      <c r="C1712" s="1643" t="e">
        <f>+SUMIF(#REF!,Final!A1712,#REF!)</f>
        <v>#REF!</v>
      </c>
      <c r="D1712" s="1597" t="e">
        <f>+SUMIF(#REF!,Final!A1712,#REF!)</f>
        <v>#REF!</v>
      </c>
      <c r="E1712" s="1643" t="e">
        <f>SUMIF(#REF!,Final!A1712,#REF!)</f>
        <v>#REF!</v>
      </c>
      <c r="F1712" s="1644" t="e">
        <f>SUMIF(#REF!,Final!A1712,#REF!)</f>
        <v>#REF!</v>
      </c>
      <c r="G1712" s="1597" t="e">
        <f t="shared" si="180"/>
        <v>#REF!</v>
      </c>
      <c r="H1712" s="1644" t="e">
        <f t="shared" si="181"/>
        <v>#REF!</v>
      </c>
      <c r="I1712" s="1597" t="e">
        <f t="shared" si="182"/>
        <v>#REF!</v>
      </c>
      <c r="J1712" s="1644" t="e">
        <f t="shared" si="183"/>
        <v>#REF!</v>
      </c>
      <c r="M1712" s="1545"/>
      <c r="N1712" s="1545"/>
    </row>
    <row r="1713" spans="1:93" ht="15.5">
      <c r="A1713" s="1598">
        <v>34.030999999999999</v>
      </c>
      <c r="B1713" s="1599" t="s">
        <v>3422</v>
      </c>
      <c r="C1713" s="1643" t="e">
        <f>+SUMIF(#REF!,Final!A1713,#REF!)</f>
        <v>#REF!</v>
      </c>
      <c r="D1713" s="1597" t="e">
        <f>+SUMIF(#REF!,Final!A1713,#REF!)</f>
        <v>#REF!</v>
      </c>
      <c r="E1713" s="1643" t="e">
        <f>SUMIF(#REF!,Final!A1713,#REF!)</f>
        <v>#REF!</v>
      </c>
      <c r="F1713" s="1644" t="e">
        <f>SUMIF(#REF!,Final!A1713,#REF!)</f>
        <v>#REF!</v>
      </c>
      <c r="G1713" s="1597" t="e">
        <f t="shared" si="180"/>
        <v>#REF!</v>
      </c>
      <c r="H1713" s="1644" t="e">
        <f t="shared" si="181"/>
        <v>#REF!</v>
      </c>
      <c r="I1713" s="1597" t="e">
        <f t="shared" si="182"/>
        <v>#REF!</v>
      </c>
      <c r="J1713" s="1644" t="e">
        <f t="shared" si="183"/>
        <v>#REF!</v>
      </c>
      <c r="M1713" s="1545"/>
      <c r="N1713" s="1545"/>
    </row>
    <row r="1714" spans="1:93" s="1542" customFormat="1" ht="15.5">
      <c r="A1714" s="1598">
        <v>34.031999999999996</v>
      </c>
      <c r="B1714" s="1599" t="s">
        <v>3423</v>
      </c>
      <c r="C1714" s="1643" t="e">
        <f>+SUMIF(#REF!,Final!A1714,#REF!)</f>
        <v>#REF!</v>
      </c>
      <c r="D1714" s="1597" t="e">
        <f>+SUMIF(#REF!,Final!A1714,#REF!)</f>
        <v>#REF!</v>
      </c>
      <c r="E1714" s="1643" t="e">
        <f>SUMIF(#REF!,Final!A1714,#REF!)</f>
        <v>#REF!</v>
      </c>
      <c r="F1714" s="1644" t="e">
        <f>SUMIF(#REF!,Final!A1714,#REF!)</f>
        <v>#REF!</v>
      </c>
      <c r="G1714" s="1597" t="e">
        <f t="shared" si="180"/>
        <v>#REF!</v>
      </c>
      <c r="H1714" s="1644" t="e">
        <f t="shared" si="181"/>
        <v>#REF!</v>
      </c>
      <c r="I1714" s="1597" t="e">
        <f t="shared" si="182"/>
        <v>#REF!</v>
      </c>
      <c r="J1714" s="1644" t="e">
        <f t="shared" si="183"/>
        <v>#REF!</v>
      </c>
      <c r="K1714" s="1539"/>
      <c r="L1714" s="1539"/>
      <c r="M1714" s="1545"/>
      <c r="N1714" s="1545"/>
      <c r="O1714" s="1539"/>
      <c r="P1714" s="1539"/>
      <c r="Q1714" s="1539"/>
      <c r="R1714" s="1539"/>
      <c r="S1714" s="1539"/>
      <c r="T1714" s="1539"/>
      <c r="U1714" s="1539"/>
      <c r="V1714" s="1539"/>
      <c r="W1714" s="1539"/>
      <c r="X1714" s="1539"/>
      <c r="Y1714" s="1539"/>
      <c r="Z1714" s="1539"/>
      <c r="AA1714" s="1539"/>
      <c r="AB1714" s="1539"/>
      <c r="AC1714" s="1539"/>
      <c r="AD1714" s="1539"/>
      <c r="AE1714" s="1539"/>
      <c r="AF1714" s="1539"/>
      <c r="AG1714" s="1539"/>
      <c r="AH1714" s="1539"/>
      <c r="AI1714" s="1539"/>
      <c r="AJ1714" s="1539"/>
      <c r="AK1714" s="1539"/>
      <c r="AL1714" s="1539"/>
      <c r="AM1714" s="1539"/>
      <c r="AN1714" s="1539"/>
      <c r="AO1714" s="1539"/>
      <c r="AP1714" s="1539"/>
      <c r="AQ1714" s="1539"/>
      <c r="AR1714" s="1539"/>
      <c r="AS1714" s="1539"/>
      <c r="AT1714" s="1539"/>
      <c r="AU1714" s="1539"/>
      <c r="AV1714" s="1539"/>
      <c r="AW1714" s="1539"/>
      <c r="AX1714" s="1539"/>
      <c r="AY1714" s="1539"/>
      <c r="AZ1714" s="1539"/>
      <c r="BA1714" s="1539"/>
      <c r="BB1714" s="1539"/>
      <c r="BC1714" s="1539"/>
      <c r="BD1714" s="1539"/>
      <c r="BE1714" s="1539"/>
      <c r="BF1714" s="1539"/>
      <c r="BG1714" s="1539"/>
      <c r="BH1714" s="1539"/>
      <c r="BI1714" s="1539"/>
      <c r="BJ1714" s="1539"/>
      <c r="BK1714" s="1539"/>
      <c r="BL1714" s="1539"/>
      <c r="BM1714" s="1539"/>
      <c r="BN1714" s="1539"/>
      <c r="BO1714" s="1539"/>
      <c r="BP1714" s="1539"/>
      <c r="BQ1714" s="1539"/>
      <c r="BR1714" s="1539"/>
      <c r="BS1714" s="1539"/>
      <c r="BT1714" s="1539"/>
      <c r="BU1714" s="1539"/>
      <c r="BV1714" s="1539"/>
      <c r="BW1714" s="1539"/>
      <c r="BX1714" s="1539"/>
      <c r="BY1714" s="1539"/>
      <c r="BZ1714" s="1539"/>
      <c r="CA1714" s="1539"/>
      <c r="CB1714" s="1539"/>
      <c r="CC1714" s="1539"/>
      <c r="CD1714" s="1539"/>
      <c r="CE1714" s="1539"/>
      <c r="CF1714" s="1539"/>
      <c r="CG1714" s="1539"/>
      <c r="CH1714" s="1539"/>
      <c r="CI1714" s="1539"/>
      <c r="CJ1714" s="1539"/>
      <c r="CK1714" s="1539"/>
      <c r="CL1714" s="1539"/>
      <c r="CM1714" s="1539"/>
      <c r="CN1714" s="1539"/>
      <c r="CO1714" s="1539"/>
    </row>
    <row r="1715" spans="1:93" ht="15.5">
      <c r="A1715" s="1598">
        <v>34.033000000000001</v>
      </c>
      <c r="B1715" s="1599" t="s">
        <v>3424</v>
      </c>
      <c r="C1715" s="1643" t="e">
        <f>+SUMIF(#REF!,Final!A1715,#REF!)</f>
        <v>#REF!</v>
      </c>
      <c r="D1715" s="1597" t="e">
        <f>+SUMIF(#REF!,Final!A1715,#REF!)</f>
        <v>#REF!</v>
      </c>
      <c r="E1715" s="1643" t="e">
        <f>SUMIF(#REF!,Final!A1715,#REF!)</f>
        <v>#REF!</v>
      </c>
      <c r="F1715" s="1644" t="e">
        <f>SUMIF(#REF!,Final!A1715,#REF!)</f>
        <v>#REF!</v>
      </c>
      <c r="G1715" s="1597" t="e">
        <f t="shared" si="180"/>
        <v>#REF!</v>
      </c>
      <c r="H1715" s="1644" t="e">
        <f t="shared" si="181"/>
        <v>#REF!</v>
      </c>
      <c r="I1715" s="1597" t="e">
        <f t="shared" si="182"/>
        <v>#REF!</v>
      </c>
      <c r="J1715" s="1644" t="e">
        <f t="shared" si="183"/>
        <v>#REF!</v>
      </c>
      <c r="M1715" s="1545"/>
      <c r="N1715" s="1545"/>
    </row>
    <row r="1716" spans="1:93" s="1542" customFormat="1" ht="15.5">
      <c r="A1716" s="1598">
        <v>34.033999999999999</v>
      </c>
      <c r="B1716" s="1599" t="s">
        <v>3425</v>
      </c>
      <c r="C1716" s="1643" t="e">
        <f>+SUMIF(#REF!,Final!A1716,#REF!)</f>
        <v>#REF!</v>
      </c>
      <c r="D1716" s="1597" t="e">
        <f>+SUMIF(#REF!,Final!A1716,#REF!)</f>
        <v>#REF!</v>
      </c>
      <c r="E1716" s="1643" t="e">
        <f>SUMIF(#REF!,Final!A1716,#REF!)</f>
        <v>#REF!</v>
      </c>
      <c r="F1716" s="1644" t="e">
        <f>SUMIF(#REF!,Final!A1716,#REF!)</f>
        <v>#REF!</v>
      </c>
      <c r="G1716" s="1597" t="e">
        <f t="shared" si="180"/>
        <v>#REF!</v>
      </c>
      <c r="H1716" s="1644" t="e">
        <f t="shared" si="181"/>
        <v>#REF!</v>
      </c>
      <c r="I1716" s="1597" t="e">
        <f t="shared" si="182"/>
        <v>#REF!</v>
      </c>
      <c r="J1716" s="1644" t="e">
        <f t="shared" si="183"/>
        <v>#REF!</v>
      </c>
      <c r="K1716" s="1539"/>
      <c r="L1716" s="1539"/>
      <c r="M1716" s="1545"/>
      <c r="N1716" s="1545"/>
      <c r="O1716" s="1539"/>
      <c r="P1716" s="1539"/>
      <c r="Q1716" s="1539"/>
      <c r="R1716" s="1539"/>
      <c r="S1716" s="1539"/>
      <c r="T1716" s="1539"/>
      <c r="U1716" s="1539"/>
      <c r="V1716" s="1539"/>
      <c r="W1716" s="1539"/>
      <c r="X1716" s="1539"/>
      <c r="Y1716" s="1539"/>
      <c r="Z1716" s="1539"/>
      <c r="AA1716" s="1539"/>
      <c r="AB1716" s="1539"/>
      <c r="AC1716" s="1539"/>
      <c r="AD1716" s="1539"/>
      <c r="AE1716" s="1539"/>
      <c r="AF1716" s="1539"/>
      <c r="AG1716" s="1539"/>
      <c r="AH1716" s="1539"/>
      <c r="AI1716" s="1539"/>
      <c r="AJ1716" s="1539"/>
      <c r="AK1716" s="1539"/>
      <c r="AL1716" s="1539"/>
      <c r="AM1716" s="1539"/>
      <c r="AN1716" s="1539"/>
      <c r="AO1716" s="1539"/>
      <c r="AP1716" s="1539"/>
      <c r="AQ1716" s="1539"/>
      <c r="AR1716" s="1539"/>
      <c r="AS1716" s="1539"/>
      <c r="AT1716" s="1539"/>
      <c r="AU1716" s="1539"/>
      <c r="AV1716" s="1539"/>
      <c r="AW1716" s="1539"/>
      <c r="AX1716" s="1539"/>
      <c r="AY1716" s="1539"/>
      <c r="AZ1716" s="1539"/>
      <c r="BA1716" s="1539"/>
      <c r="BB1716" s="1539"/>
      <c r="BC1716" s="1539"/>
      <c r="BD1716" s="1539"/>
      <c r="BE1716" s="1539"/>
      <c r="BF1716" s="1539"/>
      <c r="BG1716" s="1539"/>
      <c r="BH1716" s="1539"/>
      <c r="BI1716" s="1539"/>
      <c r="BJ1716" s="1539"/>
      <c r="BK1716" s="1539"/>
      <c r="BL1716" s="1539"/>
      <c r="BM1716" s="1539"/>
      <c r="BN1716" s="1539"/>
      <c r="BO1716" s="1539"/>
      <c r="BP1716" s="1539"/>
      <c r="BQ1716" s="1539"/>
      <c r="BR1716" s="1539"/>
      <c r="BS1716" s="1539"/>
      <c r="BT1716" s="1539"/>
      <c r="BU1716" s="1539"/>
      <c r="BV1716" s="1539"/>
      <c r="BW1716" s="1539"/>
      <c r="BX1716" s="1539"/>
      <c r="BY1716" s="1539"/>
      <c r="BZ1716" s="1539"/>
      <c r="CA1716" s="1539"/>
      <c r="CB1716" s="1539"/>
      <c r="CC1716" s="1539"/>
      <c r="CD1716" s="1539"/>
      <c r="CE1716" s="1539"/>
      <c r="CF1716" s="1539"/>
      <c r="CG1716" s="1539"/>
      <c r="CH1716" s="1539"/>
      <c r="CI1716" s="1539"/>
      <c r="CJ1716" s="1539"/>
      <c r="CK1716" s="1539"/>
      <c r="CL1716" s="1539"/>
      <c r="CM1716" s="1539"/>
      <c r="CN1716" s="1539"/>
      <c r="CO1716" s="1539"/>
    </row>
    <row r="1717" spans="1:93" ht="15.5">
      <c r="A1717" s="1598">
        <v>34.034999999999997</v>
      </c>
      <c r="B1717" s="1599" t="s">
        <v>3426</v>
      </c>
      <c r="C1717" s="1643" t="e">
        <f>+SUMIF(#REF!,Final!A1717,#REF!)</f>
        <v>#REF!</v>
      </c>
      <c r="D1717" s="1597" t="e">
        <f>+SUMIF(#REF!,Final!A1717,#REF!)</f>
        <v>#REF!</v>
      </c>
      <c r="E1717" s="1643" t="e">
        <f>SUMIF(#REF!,Final!A1717,#REF!)</f>
        <v>#REF!</v>
      </c>
      <c r="F1717" s="1644" t="e">
        <f>SUMIF(#REF!,Final!A1717,#REF!)</f>
        <v>#REF!</v>
      </c>
      <c r="G1717" s="1597" t="e">
        <f t="shared" si="180"/>
        <v>#REF!</v>
      </c>
      <c r="H1717" s="1644" t="e">
        <f t="shared" si="181"/>
        <v>#REF!</v>
      </c>
      <c r="I1717" s="1597" t="e">
        <f t="shared" si="182"/>
        <v>#REF!</v>
      </c>
      <c r="J1717" s="1644" t="e">
        <f t="shared" si="183"/>
        <v>#REF!</v>
      </c>
      <c r="M1717" s="1545"/>
      <c r="N1717" s="1545"/>
    </row>
    <row r="1718" spans="1:93" ht="15.5">
      <c r="A1718" s="1598">
        <v>34.036000000000001</v>
      </c>
      <c r="B1718" s="1599" t="s">
        <v>3427</v>
      </c>
      <c r="C1718" s="1643" t="e">
        <f>+SUMIF(#REF!,Final!A1718,#REF!)</f>
        <v>#REF!</v>
      </c>
      <c r="D1718" s="1597" t="e">
        <f>+SUMIF(#REF!,Final!A1718,#REF!)</f>
        <v>#REF!</v>
      </c>
      <c r="E1718" s="1643" t="e">
        <f>SUMIF(#REF!,Final!A1718,#REF!)</f>
        <v>#REF!</v>
      </c>
      <c r="F1718" s="1644" t="e">
        <f>SUMIF(#REF!,Final!A1718,#REF!)</f>
        <v>#REF!</v>
      </c>
      <c r="G1718" s="1597" t="e">
        <f t="shared" si="180"/>
        <v>#REF!</v>
      </c>
      <c r="H1718" s="1644" t="e">
        <f t="shared" si="181"/>
        <v>#REF!</v>
      </c>
      <c r="I1718" s="1597" t="e">
        <f t="shared" si="182"/>
        <v>#REF!</v>
      </c>
      <c r="J1718" s="1644" t="e">
        <f t="shared" si="183"/>
        <v>#REF!</v>
      </c>
      <c r="M1718" s="1545"/>
      <c r="N1718" s="1545"/>
    </row>
    <row r="1719" spans="1:93" s="1542" customFormat="1" ht="15.5">
      <c r="A1719" s="1598">
        <v>34.036999999999999</v>
      </c>
      <c r="B1719" s="1599" t="s">
        <v>3428</v>
      </c>
      <c r="C1719" s="1643" t="e">
        <f>+SUMIF(#REF!,Final!A1719,#REF!)</f>
        <v>#REF!</v>
      </c>
      <c r="D1719" s="1597" t="e">
        <f>+SUMIF(#REF!,Final!A1719,#REF!)</f>
        <v>#REF!</v>
      </c>
      <c r="E1719" s="1643" t="e">
        <f>SUMIF(#REF!,Final!A1719,#REF!)</f>
        <v>#REF!</v>
      </c>
      <c r="F1719" s="1644" t="e">
        <f>SUMIF(#REF!,Final!A1719,#REF!)</f>
        <v>#REF!</v>
      </c>
      <c r="G1719" s="1597" t="e">
        <f t="shared" si="180"/>
        <v>#REF!</v>
      </c>
      <c r="H1719" s="1644" t="e">
        <f t="shared" si="181"/>
        <v>#REF!</v>
      </c>
      <c r="I1719" s="1597" t="e">
        <f t="shared" si="182"/>
        <v>#REF!</v>
      </c>
      <c r="J1719" s="1644" t="e">
        <f t="shared" si="183"/>
        <v>#REF!</v>
      </c>
      <c r="K1719" s="1539"/>
      <c r="L1719" s="1539"/>
      <c r="M1719" s="1545"/>
      <c r="N1719" s="1545"/>
      <c r="O1719" s="1539"/>
      <c r="P1719" s="1539"/>
      <c r="Q1719" s="1539"/>
      <c r="R1719" s="1539"/>
      <c r="S1719" s="1539"/>
      <c r="T1719" s="1539"/>
      <c r="U1719" s="1539"/>
      <c r="V1719" s="1539"/>
      <c r="W1719" s="1539"/>
      <c r="X1719" s="1539"/>
      <c r="Y1719" s="1539"/>
      <c r="Z1719" s="1539"/>
      <c r="AA1719" s="1539"/>
      <c r="AB1719" s="1539"/>
      <c r="AC1719" s="1539"/>
      <c r="AD1719" s="1539"/>
      <c r="AE1719" s="1539"/>
      <c r="AF1719" s="1539"/>
      <c r="AG1719" s="1539"/>
      <c r="AH1719" s="1539"/>
      <c r="AI1719" s="1539"/>
      <c r="AJ1719" s="1539"/>
      <c r="AK1719" s="1539"/>
      <c r="AL1719" s="1539"/>
      <c r="AM1719" s="1539"/>
      <c r="AN1719" s="1539"/>
      <c r="AO1719" s="1539"/>
      <c r="AP1719" s="1539"/>
      <c r="AQ1719" s="1539"/>
      <c r="AR1719" s="1539"/>
      <c r="AS1719" s="1539"/>
      <c r="AT1719" s="1539"/>
      <c r="AU1719" s="1539"/>
      <c r="AV1719" s="1539"/>
      <c r="AW1719" s="1539"/>
      <c r="AX1719" s="1539"/>
      <c r="AY1719" s="1539"/>
      <c r="AZ1719" s="1539"/>
      <c r="BA1719" s="1539"/>
      <c r="BB1719" s="1539"/>
      <c r="BC1719" s="1539"/>
      <c r="BD1719" s="1539"/>
      <c r="BE1719" s="1539"/>
      <c r="BF1719" s="1539"/>
      <c r="BG1719" s="1539"/>
      <c r="BH1719" s="1539"/>
      <c r="BI1719" s="1539"/>
      <c r="BJ1719" s="1539"/>
      <c r="BK1719" s="1539"/>
      <c r="BL1719" s="1539"/>
      <c r="BM1719" s="1539"/>
      <c r="BN1719" s="1539"/>
      <c r="BO1719" s="1539"/>
      <c r="BP1719" s="1539"/>
      <c r="BQ1719" s="1539"/>
      <c r="BR1719" s="1539"/>
      <c r="BS1719" s="1539"/>
      <c r="BT1719" s="1539"/>
      <c r="BU1719" s="1539"/>
      <c r="BV1719" s="1539"/>
      <c r="BW1719" s="1539"/>
      <c r="BX1719" s="1539"/>
      <c r="BY1719" s="1539"/>
      <c r="BZ1719" s="1539"/>
      <c r="CA1719" s="1539"/>
      <c r="CB1719" s="1539"/>
      <c r="CC1719" s="1539"/>
      <c r="CD1719" s="1539"/>
      <c r="CE1719" s="1539"/>
      <c r="CF1719" s="1539"/>
      <c r="CG1719" s="1539"/>
      <c r="CH1719" s="1539"/>
      <c r="CI1719" s="1539"/>
      <c r="CJ1719" s="1539"/>
      <c r="CK1719" s="1539"/>
      <c r="CL1719" s="1539"/>
      <c r="CM1719" s="1539"/>
      <c r="CN1719" s="1539"/>
      <c r="CO1719" s="1539"/>
    </row>
    <row r="1720" spans="1:93" ht="15.5">
      <c r="A1720" s="1598">
        <v>34.037999999999997</v>
      </c>
      <c r="B1720" s="1599" t="s">
        <v>3429</v>
      </c>
      <c r="C1720" s="1643" t="e">
        <f>+SUMIF(#REF!,Final!A1720,#REF!)</f>
        <v>#REF!</v>
      </c>
      <c r="D1720" s="1597" t="e">
        <f>+SUMIF(#REF!,Final!A1720,#REF!)</f>
        <v>#REF!</v>
      </c>
      <c r="E1720" s="1643" t="e">
        <f>SUMIF(#REF!,Final!A1720,#REF!)</f>
        <v>#REF!</v>
      </c>
      <c r="F1720" s="1644" t="e">
        <f>SUMIF(#REF!,Final!A1720,#REF!)</f>
        <v>#REF!</v>
      </c>
      <c r="G1720" s="1597" t="e">
        <f t="shared" si="180"/>
        <v>#REF!</v>
      </c>
      <c r="H1720" s="1644" t="e">
        <f t="shared" si="181"/>
        <v>#REF!</v>
      </c>
      <c r="I1720" s="1597" t="e">
        <f t="shared" si="182"/>
        <v>#REF!</v>
      </c>
      <c r="J1720" s="1644" t="e">
        <f t="shared" si="183"/>
        <v>#REF!</v>
      </c>
      <c r="M1720" s="1545"/>
      <c r="N1720" s="1545"/>
    </row>
    <row r="1721" spans="1:93" ht="15.5">
      <c r="A1721" s="1598">
        <v>34.039000000000001</v>
      </c>
      <c r="B1721" s="1599" t="s">
        <v>4674</v>
      </c>
      <c r="C1721" s="1643" t="e">
        <f>+SUMIF(#REF!,Final!A1721,#REF!)</f>
        <v>#REF!</v>
      </c>
      <c r="D1721" s="1597" t="e">
        <f>+SUMIF(#REF!,Final!A1721,#REF!)</f>
        <v>#REF!</v>
      </c>
      <c r="E1721" s="1643" t="e">
        <f>SUMIF(#REF!,Final!A1721,#REF!)</f>
        <v>#REF!</v>
      </c>
      <c r="F1721" s="1644" t="e">
        <f>SUMIF(#REF!,Final!A1721,#REF!)</f>
        <v>#REF!</v>
      </c>
      <c r="G1721" s="1597" t="e">
        <f t="shared" si="180"/>
        <v>#REF!</v>
      </c>
      <c r="H1721" s="1644" t="e">
        <f t="shared" si="181"/>
        <v>#REF!</v>
      </c>
      <c r="I1721" s="1597" t="e">
        <f t="shared" si="182"/>
        <v>#REF!</v>
      </c>
      <c r="J1721" s="1644" t="e">
        <f t="shared" si="183"/>
        <v>#REF!</v>
      </c>
      <c r="M1721" s="1545"/>
      <c r="N1721" s="1545"/>
    </row>
    <row r="1722" spans="1:93" s="1542" customFormat="1" ht="15.5">
      <c r="A1722" s="1598">
        <v>34.070999999999998</v>
      </c>
      <c r="B1722" s="1599" t="s">
        <v>3430</v>
      </c>
      <c r="C1722" s="1643" t="e">
        <f>+SUMIF(#REF!,Final!A1722,#REF!)</f>
        <v>#REF!</v>
      </c>
      <c r="D1722" s="1597" t="e">
        <f>+SUMIF(#REF!,Final!A1722,#REF!)</f>
        <v>#REF!</v>
      </c>
      <c r="E1722" s="1643" t="e">
        <f>SUMIF(#REF!,Final!A1722,#REF!)</f>
        <v>#REF!</v>
      </c>
      <c r="F1722" s="1644" t="e">
        <f>SUMIF(#REF!,Final!A1722,#REF!)</f>
        <v>#REF!</v>
      </c>
      <c r="G1722" s="1597" t="e">
        <f t="shared" si="180"/>
        <v>#REF!</v>
      </c>
      <c r="H1722" s="1644" t="e">
        <f t="shared" si="181"/>
        <v>#REF!</v>
      </c>
      <c r="I1722" s="1597" t="e">
        <f t="shared" si="182"/>
        <v>#REF!</v>
      </c>
      <c r="J1722" s="1644" t="e">
        <f t="shared" si="183"/>
        <v>#REF!</v>
      </c>
      <c r="K1722" s="1539"/>
      <c r="L1722" s="1539"/>
      <c r="M1722" s="1545"/>
      <c r="N1722" s="1545"/>
      <c r="O1722" s="1539"/>
      <c r="P1722" s="1539"/>
      <c r="Q1722" s="1539"/>
      <c r="R1722" s="1539"/>
      <c r="S1722" s="1539"/>
      <c r="T1722" s="1539"/>
      <c r="U1722" s="1539"/>
      <c r="V1722" s="1539"/>
      <c r="W1722" s="1539"/>
      <c r="X1722" s="1539"/>
      <c r="Y1722" s="1539"/>
      <c r="Z1722" s="1539"/>
      <c r="AA1722" s="1539"/>
      <c r="AB1722" s="1539"/>
      <c r="AC1722" s="1539"/>
      <c r="AD1722" s="1539"/>
      <c r="AE1722" s="1539"/>
      <c r="AF1722" s="1539"/>
      <c r="AG1722" s="1539"/>
      <c r="AH1722" s="1539"/>
      <c r="AI1722" s="1539"/>
      <c r="AJ1722" s="1539"/>
      <c r="AK1722" s="1539"/>
      <c r="AL1722" s="1539"/>
      <c r="AM1722" s="1539"/>
      <c r="AN1722" s="1539"/>
      <c r="AO1722" s="1539"/>
      <c r="AP1722" s="1539"/>
      <c r="AQ1722" s="1539"/>
      <c r="AR1722" s="1539"/>
      <c r="AS1722" s="1539"/>
      <c r="AT1722" s="1539"/>
      <c r="AU1722" s="1539"/>
      <c r="AV1722" s="1539"/>
      <c r="AW1722" s="1539"/>
      <c r="AX1722" s="1539"/>
      <c r="AY1722" s="1539"/>
      <c r="AZ1722" s="1539"/>
      <c r="BA1722" s="1539"/>
      <c r="BB1722" s="1539"/>
      <c r="BC1722" s="1539"/>
      <c r="BD1722" s="1539"/>
      <c r="BE1722" s="1539"/>
      <c r="BF1722" s="1539"/>
      <c r="BG1722" s="1539"/>
      <c r="BH1722" s="1539"/>
      <c r="BI1722" s="1539"/>
      <c r="BJ1722" s="1539"/>
      <c r="BK1722" s="1539"/>
      <c r="BL1722" s="1539"/>
      <c r="BM1722" s="1539"/>
      <c r="BN1722" s="1539"/>
      <c r="BO1722" s="1539"/>
      <c r="BP1722" s="1539"/>
      <c r="BQ1722" s="1539"/>
      <c r="BR1722" s="1539"/>
      <c r="BS1722" s="1539"/>
      <c r="BT1722" s="1539"/>
      <c r="BU1722" s="1539"/>
      <c r="BV1722" s="1539"/>
      <c r="BW1722" s="1539"/>
      <c r="BX1722" s="1539"/>
      <c r="BY1722" s="1539"/>
      <c r="BZ1722" s="1539"/>
      <c r="CA1722" s="1539"/>
      <c r="CB1722" s="1539"/>
      <c r="CC1722" s="1539"/>
      <c r="CD1722" s="1539"/>
      <c r="CE1722" s="1539"/>
      <c r="CF1722" s="1539"/>
      <c r="CG1722" s="1539"/>
      <c r="CH1722" s="1539"/>
      <c r="CI1722" s="1539"/>
      <c r="CJ1722" s="1539"/>
      <c r="CK1722" s="1539"/>
      <c r="CL1722" s="1539"/>
      <c r="CM1722" s="1539"/>
      <c r="CN1722" s="1539"/>
      <c r="CO1722" s="1539"/>
    </row>
    <row r="1723" spans="1:93" ht="15.5">
      <c r="A1723" s="1598">
        <v>34.072000000000003</v>
      </c>
      <c r="B1723" s="1599" t="s">
        <v>3431</v>
      </c>
      <c r="C1723" s="1643" t="e">
        <f>+SUMIF(#REF!,Final!A1723,#REF!)</f>
        <v>#REF!</v>
      </c>
      <c r="D1723" s="1597" t="e">
        <f>+SUMIF(#REF!,Final!A1723,#REF!)</f>
        <v>#REF!</v>
      </c>
      <c r="E1723" s="1643" t="e">
        <f>SUMIF(#REF!,Final!A1723,#REF!)</f>
        <v>#REF!</v>
      </c>
      <c r="F1723" s="1644" t="e">
        <f>SUMIF(#REF!,Final!A1723,#REF!)</f>
        <v>#REF!</v>
      </c>
      <c r="G1723" s="1597" t="e">
        <f t="shared" si="180"/>
        <v>#REF!</v>
      </c>
      <c r="H1723" s="1644" t="e">
        <f t="shared" si="181"/>
        <v>#REF!</v>
      </c>
      <c r="I1723" s="1597" t="e">
        <f t="shared" si="182"/>
        <v>#REF!</v>
      </c>
      <c r="J1723" s="1644" t="e">
        <f t="shared" si="183"/>
        <v>#REF!</v>
      </c>
      <c r="M1723" s="1545"/>
      <c r="N1723" s="1545"/>
    </row>
    <row r="1724" spans="1:93" s="1542" customFormat="1" ht="15.5">
      <c r="A1724" s="1598">
        <v>34.073</v>
      </c>
      <c r="B1724" s="1599" t="s">
        <v>3432</v>
      </c>
      <c r="C1724" s="1643" t="e">
        <f>+SUMIF(#REF!,Final!A1724,#REF!)</f>
        <v>#REF!</v>
      </c>
      <c r="D1724" s="1597" t="e">
        <f>+SUMIF(#REF!,Final!A1724,#REF!)</f>
        <v>#REF!</v>
      </c>
      <c r="E1724" s="1643" t="e">
        <f>SUMIF(#REF!,Final!A1724,#REF!)</f>
        <v>#REF!</v>
      </c>
      <c r="F1724" s="1644" t="e">
        <f>SUMIF(#REF!,Final!A1724,#REF!)</f>
        <v>#REF!</v>
      </c>
      <c r="G1724" s="1597" t="e">
        <f t="shared" si="180"/>
        <v>#REF!</v>
      </c>
      <c r="H1724" s="1644" t="e">
        <f t="shared" si="181"/>
        <v>#REF!</v>
      </c>
      <c r="I1724" s="1597" t="e">
        <f t="shared" si="182"/>
        <v>#REF!</v>
      </c>
      <c r="J1724" s="1644" t="e">
        <f t="shared" si="183"/>
        <v>#REF!</v>
      </c>
      <c r="K1724" s="1539"/>
      <c r="L1724" s="1539"/>
      <c r="M1724" s="1545"/>
      <c r="N1724" s="1545"/>
      <c r="O1724" s="1539"/>
      <c r="P1724" s="1539"/>
      <c r="Q1724" s="1539"/>
      <c r="R1724" s="1539"/>
      <c r="S1724" s="1539"/>
      <c r="T1724" s="1539"/>
      <c r="U1724" s="1539"/>
      <c r="V1724" s="1539"/>
      <c r="W1724" s="1539"/>
      <c r="X1724" s="1539"/>
      <c r="Y1724" s="1539"/>
      <c r="Z1724" s="1539"/>
      <c r="AA1724" s="1539"/>
      <c r="AB1724" s="1539"/>
      <c r="AC1724" s="1539"/>
      <c r="AD1724" s="1539"/>
      <c r="AE1724" s="1539"/>
      <c r="AF1724" s="1539"/>
      <c r="AG1724" s="1539"/>
      <c r="AH1724" s="1539"/>
      <c r="AI1724" s="1539"/>
      <c r="AJ1724" s="1539"/>
      <c r="AK1724" s="1539"/>
      <c r="AL1724" s="1539"/>
      <c r="AM1724" s="1539"/>
      <c r="AN1724" s="1539"/>
      <c r="AO1724" s="1539"/>
      <c r="AP1724" s="1539"/>
      <c r="AQ1724" s="1539"/>
      <c r="AR1724" s="1539"/>
      <c r="AS1724" s="1539"/>
      <c r="AT1724" s="1539"/>
      <c r="AU1724" s="1539"/>
      <c r="AV1724" s="1539"/>
      <c r="AW1724" s="1539"/>
      <c r="AX1724" s="1539"/>
      <c r="AY1724" s="1539"/>
      <c r="AZ1724" s="1539"/>
      <c r="BA1724" s="1539"/>
      <c r="BB1724" s="1539"/>
      <c r="BC1724" s="1539"/>
      <c r="BD1724" s="1539"/>
      <c r="BE1724" s="1539"/>
      <c r="BF1724" s="1539"/>
      <c r="BG1724" s="1539"/>
      <c r="BH1724" s="1539"/>
      <c r="BI1724" s="1539"/>
      <c r="BJ1724" s="1539"/>
      <c r="BK1724" s="1539"/>
      <c r="BL1724" s="1539"/>
      <c r="BM1724" s="1539"/>
      <c r="BN1724" s="1539"/>
      <c r="BO1724" s="1539"/>
      <c r="BP1724" s="1539"/>
      <c r="BQ1724" s="1539"/>
      <c r="BR1724" s="1539"/>
      <c r="BS1724" s="1539"/>
      <c r="BT1724" s="1539"/>
      <c r="BU1724" s="1539"/>
      <c r="BV1724" s="1539"/>
      <c r="BW1724" s="1539"/>
      <c r="BX1724" s="1539"/>
      <c r="BY1724" s="1539"/>
      <c r="BZ1724" s="1539"/>
      <c r="CA1724" s="1539"/>
      <c r="CB1724" s="1539"/>
      <c r="CC1724" s="1539"/>
      <c r="CD1724" s="1539"/>
      <c r="CE1724" s="1539"/>
      <c r="CF1724" s="1539"/>
      <c r="CG1724" s="1539"/>
      <c r="CH1724" s="1539"/>
      <c r="CI1724" s="1539"/>
      <c r="CJ1724" s="1539"/>
      <c r="CK1724" s="1539"/>
      <c r="CL1724" s="1539"/>
      <c r="CM1724" s="1539"/>
      <c r="CN1724" s="1539"/>
      <c r="CO1724" s="1539"/>
    </row>
    <row r="1725" spans="1:93" s="1542" customFormat="1" ht="15.5">
      <c r="A1725" s="1598">
        <v>34.073999999999998</v>
      </c>
      <c r="B1725" s="1599" t="s">
        <v>3433</v>
      </c>
      <c r="C1725" s="1643" t="e">
        <f>+SUMIF(#REF!,Final!A1725,#REF!)</f>
        <v>#REF!</v>
      </c>
      <c r="D1725" s="1597" t="e">
        <f>+SUMIF(#REF!,Final!A1725,#REF!)</f>
        <v>#REF!</v>
      </c>
      <c r="E1725" s="1643" t="e">
        <f>SUMIF(#REF!,Final!A1725,#REF!)</f>
        <v>#REF!</v>
      </c>
      <c r="F1725" s="1644" t="e">
        <f>SUMIF(#REF!,Final!A1725,#REF!)</f>
        <v>#REF!</v>
      </c>
      <c r="G1725" s="1597" t="e">
        <f t="shared" si="180"/>
        <v>#REF!</v>
      </c>
      <c r="H1725" s="1644" t="e">
        <f t="shared" si="181"/>
        <v>#REF!</v>
      </c>
      <c r="I1725" s="1597" t="e">
        <f t="shared" si="182"/>
        <v>#REF!</v>
      </c>
      <c r="J1725" s="1644" t="e">
        <f t="shared" si="183"/>
        <v>#REF!</v>
      </c>
      <c r="K1725" s="1539"/>
      <c r="L1725" s="1539"/>
      <c r="M1725" s="1545"/>
      <c r="N1725" s="1545"/>
      <c r="O1725" s="1539"/>
      <c r="P1725" s="1539"/>
      <c r="Q1725" s="1539"/>
      <c r="R1725" s="1539"/>
      <c r="S1725" s="1539"/>
      <c r="T1725" s="1539"/>
      <c r="U1725" s="1539"/>
      <c r="V1725" s="1539"/>
      <c r="W1725" s="1539"/>
      <c r="X1725" s="1539"/>
      <c r="Y1725" s="1539"/>
      <c r="Z1725" s="1539"/>
      <c r="AA1725" s="1539"/>
      <c r="AB1725" s="1539"/>
      <c r="AC1725" s="1539"/>
      <c r="AD1725" s="1539"/>
      <c r="AE1725" s="1539"/>
      <c r="AF1725" s="1539"/>
      <c r="AG1725" s="1539"/>
      <c r="AH1725" s="1539"/>
      <c r="AI1725" s="1539"/>
      <c r="AJ1725" s="1539"/>
      <c r="AK1725" s="1539"/>
      <c r="AL1725" s="1539"/>
      <c r="AM1725" s="1539"/>
      <c r="AN1725" s="1539"/>
      <c r="AO1725" s="1539"/>
      <c r="AP1725" s="1539"/>
      <c r="AQ1725" s="1539"/>
      <c r="AR1725" s="1539"/>
      <c r="AS1725" s="1539"/>
      <c r="AT1725" s="1539"/>
      <c r="AU1725" s="1539"/>
      <c r="AV1725" s="1539"/>
      <c r="AW1725" s="1539"/>
      <c r="AX1725" s="1539"/>
      <c r="AY1725" s="1539"/>
      <c r="AZ1725" s="1539"/>
      <c r="BA1725" s="1539"/>
      <c r="BB1725" s="1539"/>
      <c r="BC1725" s="1539"/>
      <c r="BD1725" s="1539"/>
      <c r="BE1725" s="1539"/>
      <c r="BF1725" s="1539"/>
      <c r="BG1725" s="1539"/>
      <c r="BH1725" s="1539"/>
      <c r="BI1725" s="1539"/>
      <c r="BJ1725" s="1539"/>
      <c r="BK1725" s="1539"/>
      <c r="BL1725" s="1539"/>
      <c r="BM1725" s="1539"/>
      <c r="BN1725" s="1539"/>
      <c r="BO1725" s="1539"/>
      <c r="BP1725" s="1539"/>
      <c r="BQ1725" s="1539"/>
      <c r="BR1725" s="1539"/>
      <c r="BS1725" s="1539"/>
      <c r="BT1725" s="1539"/>
      <c r="BU1725" s="1539"/>
      <c r="BV1725" s="1539"/>
      <c r="BW1725" s="1539"/>
      <c r="BX1725" s="1539"/>
      <c r="BY1725" s="1539"/>
      <c r="BZ1725" s="1539"/>
      <c r="CA1725" s="1539"/>
      <c r="CB1725" s="1539"/>
      <c r="CC1725" s="1539"/>
      <c r="CD1725" s="1539"/>
      <c r="CE1725" s="1539"/>
      <c r="CF1725" s="1539"/>
      <c r="CG1725" s="1539"/>
      <c r="CH1725" s="1539"/>
      <c r="CI1725" s="1539"/>
      <c r="CJ1725" s="1539"/>
      <c r="CK1725" s="1539"/>
      <c r="CL1725" s="1539"/>
      <c r="CM1725" s="1539"/>
      <c r="CN1725" s="1539"/>
      <c r="CO1725" s="1539"/>
    </row>
    <row r="1726" spans="1:93" s="1542" customFormat="1" ht="15.5">
      <c r="A1726" s="1598">
        <v>34.075000000000003</v>
      </c>
      <c r="B1726" s="1599" t="s">
        <v>3434</v>
      </c>
      <c r="C1726" s="1643" t="e">
        <f>+SUMIF(#REF!,Final!A1726,#REF!)</f>
        <v>#REF!</v>
      </c>
      <c r="D1726" s="1597" t="e">
        <f>+SUMIF(#REF!,Final!A1726,#REF!)</f>
        <v>#REF!</v>
      </c>
      <c r="E1726" s="1643" t="e">
        <f>SUMIF(#REF!,Final!A1726,#REF!)</f>
        <v>#REF!</v>
      </c>
      <c r="F1726" s="1644" t="e">
        <f>SUMIF(#REF!,Final!A1726,#REF!)</f>
        <v>#REF!</v>
      </c>
      <c r="G1726" s="1597" t="e">
        <f t="shared" si="180"/>
        <v>#REF!</v>
      </c>
      <c r="H1726" s="1644" t="e">
        <f t="shared" si="181"/>
        <v>#REF!</v>
      </c>
      <c r="I1726" s="1597" t="e">
        <f t="shared" si="182"/>
        <v>#REF!</v>
      </c>
      <c r="J1726" s="1644" t="e">
        <f t="shared" si="183"/>
        <v>#REF!</v>
      </c>
      <c r="K1726" s="1539"/>
      <c r="L1726" s="1539"/>
      <c r="M1726" s="1545"/>
      <c r="N1726" s="1545"/>
      <c r="O1726" s="1539"/>
      <c r="P1726" s="1539"/>
      <c r="Q1726" s="1539"/>
      <c r="R1726" s="1539"/>
      <c r="S1726" s="1539"/>
      <c r="T1726" s="1539"/>
      <c r="U1726" s="1539"/>
      <c r="V1726" s="1539"/>
      <c r="W1726" s="1539"/>
      <c r="X1726" s="1539"/>
      <c r="Y1726" s="1539"/>
      <c r="Z1726" s="1539"/>
      <c r="AA1726" s="1539"/>
      <c r="AB1726" s="1539"/>
      <c r="AC1726" s="1539"/>
      <c r="AD1726" s="1539"/>
      <c r="AE1726" s="1539"/>
      <c r="AF1726" s="1539"/>
      <c r="AG1726" s="1539"/>
      <c r="AH1726" s="1539"/>
      <c r="AI1726" s="1539"/>
      <c r="AJ1726" s="1539"/>
      <c r="AK1726" s="1539"/>
      <c r="AL1726" s="1539"/>
      <c r="AM1726" s="1539"/>
      <c r="AN1726" s="1539"/>
      <c r="AO1726" s="1539"/>
      <c r="AP1726" s="1539"/>
      <c r="AQ1726" s="1539"/>
      <c r="AR1726" s="1539"/>
      <c r="AS1726" s="1539"/>
      <c r="AT1726" s="1539"/>
      <c r="AU1726" s="1539"/>
      <c r="AV1726" s="1539"/>
      <c r="AW1726" s="1539"/>
      <c r="AX1726" s="1539"/>
      <c r="AY1726" s="1539"/>
      <c r="AZ1726" s="1539"/>
      <c r="BA1726" s="1539"/>
      <c r="BB1726" s="1539"/>
      <c r="BC1726" s="1539"/>
      <c r="BD1726" s="1539"/>
      <c r="BE1726" s="1539"/>
      <c r="BF1726" s="1539"/>
      <c r="BG1726" s="1539"/>
      <c r="BH1726" s="1539"/>
      <c r="BI1726" s="1539"/>
      <c r="BJ1726" s="1539"/>
      <c r="BK1726" s="1539"/>
      <c r="BL1726" s="1539"/>
      <c r="BM1726" s="1539"/>
      <c r="BN1726" s="1539"/>
      <c r="BO1726" s="1539"/>
      <c r="BP1726" s="1539"/>
      <c r="BQ1726" s="1539"/>
      <c r="BR1726" s="1539"/>
      <c r="BS1726" s="1539"/>
      <c r="BT1726" s="1539"/>
      <c r="BU1726" s="1539"/>
      <c r="BV1726" s="1539"/>
      <c r="BW1726" s="1539"/>
      <c r="BX1726" s="1539"/>
      <c r="BY1726" s="1539"/>
      <c r="BZ1726" s="1539"/>
      <c r="CA1726" s="1539"/>
      <c r="CB1726" s="1539"/>
      <c r="CC1726" s="1539"/>
      <c r="CD1726" s="1539"/>
      <c r="CE1726" s="1539"/>
      <c r="CF1726" s="1539"/>
      <c r="CG1726" s="1539"/>
      <c r="CH1726" s="1539"/>
      <c r="CI1726" s="1539"/>
      <c r="CJ1726" s="1539"/>
      <c r="CK1726" s="1539"/>
      <c r="CL1726" s="1539"/>
      <c r="CM1726" s="1539"/>
      <c r="CN1726" s="1539"/>
      <c r="CO1726" s="1539"/>
    </row>
    <row r="1727" spans="1:93" s="1542" customFormat="1" ht="15.5">
      <c r="A1727" s="1598">
        <v>34.076000000000001</v>
      </c>
      <c r="B1727" s="1599" t="s">
        <v>3435</v>
      </c>
      <c r="C1727" s="1643" t="e">
        <f>+SUMIF(#REF!,Final!A1727,#REF!)</f>
        <v>#REF!</v>
      </c>
      <c r="D1727" s="1597" t="e">
        <f>+SUMIF(#REF!,Final!A1727,#REF!)</f>
        <v>#REF!</v>
      </c>
      <c r="E1727" s="1643" t="e">
        <f>SUMIF(#REF!,Final!A1727,#REF!)</f>
        <v>#REF!</v>
      </c>
      <c r="F1727" s="1644" t="e">
        <f>SUMIF(#REF!,Final!A1727,#REF!)</f>
        <v>#REF!</v>
      </c>
      <c r="G1727" s="1597" t="e">
        <f t="shared" si="180"/>
        <v>#REF!</v>
      </c>
      <c r="H1727" s="1644" t="e">
        <f t="shared" si="181"/>
        <v>#REF!</v>
      </c>
      <c r="I1727" s="1597" t="e">
        <f t="shared" si="182"/>
        <v>#REF!</v>
      </c>
      <c r="J1727" s="1644" t="e">
        <f t="shared" si="183"/>
        <v>#REF!</v>
      </c>
      <c r="K1727" s="1539"/>
      <c r="L1727" s="1539"/>
      <c r="M1727" s="1545"/>
      <c r="N1727" s="1545"/>
      <c r="O1727" s="1539"/>
      <c r="P1727" s="1539"/>
      <c r="Q1727" s="1539"/>
      <c r="R1727" s="1539"/>
      <c r="S1727" s="1539"/>
      <c r="T1727" s="1539"/>
      <c r="U1727" s="1539"/>
      <c r="V1727" s="1539"/>
      <c r="W1727" s="1539"/>
      <c r="X1727" s="1539"/>
      <c r="Y1727" s="1539"/>
      <c r="Z1727" s="1539"/>
      <c r="AA1727" s="1539"/>
      <c r="AB1727" s="1539"/>
      <c r="AC1727" s="1539"/>
      <c r="AD1727" s="1539"/>
      <c r="AE1727" s="1539"/>
      <c r="AF1727" s="1539"/>
      <c r="AG1727" s="1539"/>
      <c r="AH1727" s="1539"/>
      <c r="AI1727" s="1539"/>
      <c r="AJ1727" s="1539"/>
      <c r="AK1727" s="1539"/>
      <c r="AL1727" s="1539"/>
      <c r="AM1727" s="1539"/>
      <c r="AN1727" s="1539"/>
      <c r="AO1727" s="1539"/>
      <c r="AP1727" s="1539"/>
      <c r="AQ1727" s="1539"/>
      <c r="AR1727" s="1539"/>
      <c r="AS1727" s="1539"/>
      <c r="AT1727" s="1539"/>
      <c r="AU1727" s="1539"/>
      <c r="AV1727" s="1539"/>
      <c r="AW1727" s="1539"/>
      <c r="AX1727" s="1539"/>
      <c r="AY1727" s="1539"/>
      <c r="AZ1727" s="1539"/>
      <c r="BA1727" s="1539"/>
      <c r="BB1727" s="1539"/>
      <c r="BC1727" s="1539"/>
      <c r="BD1727" s="1539"/>
      <c r="BE1727" s="1539"/>
      <c r="BF1727" s="1539"/>
      <c r="BG1727" s="1539"/>
      <c r="BH1727" s="1539"/>
      <c r="BI1727" s="1539"/>
      <c r="BJ1727" s="1539"/>
      <c r="BK1727" s="1539"/>
      <c r="BL1727" s="1539"/>
      <c r="BM1727" s="1539"/>
      <c r="BN1727" s="1539"/>
      <c r="BO1727" s="1539"/>
      <c r="BP1727" s="1539"/>
      <c r="BQ1727" s="1539"/>
      <c r="BR1727" s="1539"/>
      <c r="BS1727" s="1539"/>
      <c r="BT1727" s="1539"/>
      <c r="BU1727" s="1539"/>
      <c r="BV1727" s="1539"/>
      <c r="BW1727" s="1539"/>
      <c r="BX1727" s="1539"/>
      <c r="BY1727" s="1539"/>
      <c r="BZ1727" s="1539"/>
      <c r="CA1727" s="1539"/>
      <c r="CB1727" s="1539"/>
      <c r="CC1727" s="1539"/>
      <c r="CD1727" s="1539"/>
      <c r="CE1727" s="1539"/>
      <c r="CF1727" s="1539"/>
      <c r="CG1727" s="1539"/>
      <c r="CH1727" s="1539"/>
      <c r="CI1727" s="1539"/>
      <c r="CJ1727" s="1539"/>
      <c r="CK1727" s="1539"/>
      <c r="CL1727" s="1539"/>
      <c r="CM1727" s="1539"/>
      <c r="CN1727" s="1539"/>
      <c r="CO1727" s="1539"/>
    </row>
    <row r="1728" spans="1:93" s="1542" customFormat="1" ht="15.5">
      <c r="A1728" s="1598">
        <v>34.113999999999997</v>
      </c>
      <c r="B1728" s="1599" t="s">
        <v>3436</v>
      </c>
      <c r="C1728" s="1643" t="e">
        <f>+SUMIF(#REF!,Final!A1728,#REF!)</f>
        <v>#REF!</v>
      </c>
      <c r="D1728" s="1597" t="e">
        <f>+SUMIF(#REF!,Final!A1728,#REF!)</f>
        <v>#REF!</v>
      </c>
      <c r="E1728" s="1643" t="e">
        <f>SUMIF(#REF!,Final!A1728,#REF!)</f>
        <v>#REF!</v>
      </c>
      <c r="F1728" s="1644" t="e">
        <f>SUMIF(#REF!,Final!A1728,#REF!)</f>
        <v>#REF!</v>
      </c>
      <c r="G1728" s="1597" t="e">
        <f t="shared" si="180"/>
        <v>#REF!</v>
      </c>
      <c r="H1728" s="1644" t="e">
        <f t="shared" si="181"/>
        <v>#REF!</v>
      </c>
      <c r="I1728" s="1597" t="e">
        <f t="shared" si="182"/>
        <v>#REF!</v>
      </c>
      <c r="J1728" s="1644" t="e">
        <f t="shared" si="183"/>
        <v>#REF!</v>
      </c>
      <c r="K1728" s="1539"/>
      <c r="L1728" s="1539"/>
      <c r="M1728" s="1545"/>
      <c r="N1728" s="1545"/>
      <c r="O1728" s="1539"/>
      <c r="P1728" s="1539"/>
      <c r="Q1728" s="1539"/>
      <c r="R1728" s="1539"/>
      <c r="S1728" s="1539"/>
      <c r="T1728" s="1539"/>
      <c r="U1728" s="1539"/>
      <c r="V1728" s="1539"/>
      <c r="W1728" s="1539"/>
      <c r="X1728" s="1539"/>
      <c r="Y1728" s="1539"/>
      <c r="Z1728" s="1539"/>
      <c r="AA1728" s="1539"/>
      <c r="AB1728" s="1539"/>
      <c r="AC1728" s="1539"/>
      <c r="AD1728" s="1539"/>
      <c r="AE1728" s="1539"/>
      <c r="AF1728" s="1539"/>
      <c r="AG1728" s="1539"/>
      <c r="AH1728" s="1539"/>
      <c r="AI1728" s="1539"/>
      <c r="AJ1728" s="1539"/>
      <c r="AK1728" s="1539"/>
      <c r="AL1728" s="1539"/>
      <c r="AM1728" s="1539"/>
      <c r="AN1728" s="1539"/>
      <c r="AO1728" s="1539"/>
      <c r="AP1728" s="1539"/>
      <c r="AQ1728" s="1539"/>
      <c r="AR1728" s="1539"/>
      <c r="AS1728" s="1539"/>
      <c r="AT1728" s="1539"/>
      <c r="AU1728" s="1539"/>
      <c r="AV1728" s="1539"/>
      <c r="AW1728" s="1539"/>
      <c r="AX1728" s="1539"/>
      <c r="AY1728" s="1539"/>
      <c r="AZ1728" s="1539"/>
      <c r="BA1728" s="1539"/>
      <c r="BB1728" s="1539"/>
      <c r="BC1728" s="1539"/>
      <c r="BD1728" s="1539"/>
      <c r="BE1728" s="1539"/>
      <c r="BF1728" s="1539"/>
      <c r="BG1728" s="1539"/>
      <c r="BH1728" s="1539"/>
      <c r="BI1728" s="1539"/>
      <c r="BJ1728" s="1539"/>
      <c r="BK1728" s="1539"/>
      <c r="BL1728" s="1539"/>
      <c r="BM1728" s="1539"/>
      <c r="BN1728" s="1539"/>
      <c r="BO1728" s="1539"/>
      <c r="BP1728" s="1539"/>
      <c r="BQ1728" s="1539"/>
      <c r="BR1728" s="1539"/>
      <c r="BS1728" s="1539"/>
      <c r="BT1728" s="1539"/>
      <c r="BU1728" s="1539"/>
      <c r="BV1728" s="1539"/>
      <c r="BW1728" s="1539"/>
      <c r="BX1728" s="1539"/>
      <c r="BY1728" s="1539"/>
      <c r="BZ1728" s="1539"/>
      <c r="CA1728" s="1539"/>
      <c r="CB1728" s="1539"/>
      <c r="CC1728" s="1539"/>
      <c r="CD1728" s="1539"/>
      <c r="CE1728" s="1539"/>
      <c r="CF1728" s="1539"/>
      <c r="CG1728" s="1539"/>
      <c r="CH1728" s="1539"/>
      <c r="CI1728" s="1539"/>
      <c r="CJ1728" s="1539"/>
      <c r="CK1728" s="1539"/>
      <c r="CL1728" s="1539"/>
      <c r="CM1728" s="1539"/>
      <c r="CN1728" s="1539"/>
      <c r="CO1728" s="1539"/>
    </row>
    <row r="1729" spans="1:93" s="1542" customFormat="1" ht="15.5">
      <c r="A1729" s="1598">
        <v>34.115000000000002</v>
      </c>
      <c r="B1729" s="1599" t="s">
        <v>3437</v>
      </c>
      <c r="C1729" s="1643" t="e">
        <f>+SUMIF(#REF!,Final!A1729,#REF!)</f>
        <v>#REF!</v>
      </c>
      <c r="D1729" s="1597" t="e">
        <f>+SUMIF(#REF!,Final!A1729,#REF!)</f>
        <v>#REF!</v>
      </c>
      <c r="E1729" s="1643" t="e">
        <f>SUMIF(#REF!,Final!A1729,#REF!)</f>
        <v>#REF!</v>
      </c>
      <c r="F1729" s="1644" t="e">
        <f>SUMIF(#REF!,Final!A1729,#REF!)</f>
        <v>#REF!</v>
      </c>
      <c r="G1729" s="1597" t="e">
        <f t="shared" si="180"/>
        <v>#REF!</v>
      </c>
      <c r="H1729" s="1644" t="e">
        <f t="shared" si="181"/>
        <v>#REF!</v>
      </c>
      <c r="I1729" s="1597" t="e">
        <f t="shared" si="182"/>
        <v>#REF!</v>
      </c>
      <c r="J1729" s="1644" t="e">
        <f t="shared" si="183"/>
        <v>#REF!</v>
      </c>
      <c r="K1729" s="1539"/>
      <c r="L1729" s="1539"/>
      <c r="M1729" s="1545"/>
      <c r="N1729" s="1545"/>
      <c r="O1729" s="1539"/>
      <c r="P1729" s="1539"/>
      <c r="Q1729" s="1539"/>
      <c r="R1729" s="1539"/>
      <c r="S1729" s="1539"/>
      <c r="T1729" s="1539"/>
      <c r="U1729" s="1539"/>
      <c r="V1729" s="1539"/>
      <c r="W1729" s="1539"/>
      <c r="X1729" s="1539"/>
      <c r="Y1729" s="1539"/>
      <c r="Z1729" s="1539"/>
      <c r="AA1729" s="1539"/>
      <c r="AB1729" s="1539"/>
      <c r="AC1729" s="1539"/>
      <c r="AD1729" s="1539"/>
      <c r="AE1729" s="1539"/>
      <c r="AF1729" s="1539"/>
      <c r="AG1729" s="1539"/>
      <c r="AH1729" s="1539"/>
      <c r="AI1729" s="1539"/>
      <c r="AJ1729" s="1539"/>
      <c r="AK1729" s="1539"/>
      <c r="AL1729" s="1539"/>
      <c r="AM1729" s="1539"/>
      <c r="AN1729" s="1539"/>
      <c r="AO1729" s="1539"/>
      <c r="AP1729" s="1539"/>
      <c r="AQ1729" s="1539"/>
      <c r="AR1729" s="1539"/>
      <c r="AS1729" s="1539"/>
      <c r="AT1729" s="1539"/>
      <c r="AU1729" s="1539"/>
      <c r="AV1729" s="1539"/>
      <c r="AW1729" s="1539"/>
      <c r="AX1729" s="1539"/>
      <c r="AY1729" s="1539"/>
      <c r="AZ1729" s="1539"/>
      <c r="BA1729" s="1539"/>
      <c r="BB1729" s="1539"/>
      <c r="BC1729" s="1539"/>
      <c r="BD1729" s="1539"/>
      <c r="BE1729" s="1539"/>
      <c r="BF1729" s="1539"/>
      <c r="BG1729" s="1539"/>
      <c r="BH1729" s="1539"/>
      <c r="BI1729" s="1539"/>
      <c r="BJ1729" s="1539"/>
      <c r="BK1729" s="1539"/>
      <c r="BL1729" s="1539"/>
      <c r="BM1729" s="1539"/>
      <c r="BN1729" s="1539"/>
      <c r="BO1729" s="1539"/>
      <c r="BP1729" s="1539"/>
      <c r="BQ1729" s="1539"/>
      <c r="BR1729" s="1539"/>
      <c r="BS1729" s="1539"/>
      <c r="BT1729" s="1539"/>
      <c r="BU1729" s="1539"/>
      <c r="BV1729" s="1539"/>
      <c r="BW1729" s="1539"/>
      <c r="BX1729" s="1539"/>
      <c r="BY1729" s="1539"/>
      <c r="BZ1729" s="1539"/>
      <c r="CA1729" s="1539"/>
      <c r="CB1729" s="1539"/>
      <c r="CC1729" s="1539"/>
      <c r="CD1729" s="1539"/>
      <c r="CE1729" s="1539"/>
      <c r="CF1729" s="1539"/>
      <c r="CG1729" s="1539"/>
      <c r="CH1729" s="1539"/>
      <c r="CI1729" s="1539"/>
      <c r="CJ1729" s="1539"/>
      <c r="CK1729" s="1539"/>
      <c r="CL1729" s="1539"/>
      <c r="CM1729" s="1539"/>
      <c r="CN1729" s="1539"/>
      <c r="CO1729" s="1539"/>
    </row>
    <row r="1730" spans="1:93" s="1552" customFormat="1" ht="15.5">
      <c r="A1730" s="1598"/>
      <c r="B1730" s="1599" t="s">
        <v>1747</v>
      </c>
      <c r="C1730" s="1643" t="e">
        <f>+SUMIF(#REF!,Final!A1730,#REF!)</f>
        <v>#REF!</v>
      </c>
      <c r="D1730" s="1597" t="e">
        <f>+SUMIF(#REF!,Final!A1730,#REF!)</f>
        <v>#REF!</v>
      </c>
      <c r="E1730" s="1643" t="e">
        <f>SUMIF(#REF!,Final!A1730,#REF!)</f>
        <v>#REF!</v>
      </c>
      <c r="F1730" s="1644" t="e">
        <f>SUMIF(#REF!,Final!A1730,#REF!)</f>
        <v>#REF!</v>
      </c>
      <c r="G1730" s="1597" t="e">
        <f t="shared" si="180"/>
        <v>#REF!</v>
      </c>
      <c r="H1730" s="1644" t="e">
        <f t="shared" si="181"/>
        <v>#REF!</v>
      </c>
      <c r="I1730" s="1597" t="e">
        <f t="shared" si="182"/>
        <v>#REF!</v>
      </c>
      <c r="J1730" s="1644" t="e">
        <f t="shared" si="183"/>
        <v>#REF!</v>
      </c>
      <c r="K1730" s="1539"/>
      <c r="L1730" s="1539"/>
      <c r="M1730" s="1545"/>
      <c r="N1730" s="1545"/>
      <c r="O1730" s="1539"/>
      <c r="P1730" s="1539"/>
      <c r="Q1730" s="1539"/>
      <c r="R1730" s="1539"/>
      <c r="S1730" s="1539"/>
      <c r="T1730" s="1539"/>
      <c r="U1730" s="1539"/>
      <c r="V1730" s="1539"/>
      <c r="W1730" s="1539"/>
      <c r="X1730" s="1539"/>
      <c r="Y1730" s="1539"/>
      <c r="Z1730" s="1539"/>
      <c r="AA1730" s="1539"/>
      <c r="AB1730" s="1539"/>
      <c r="AC1730" s="1539"/>
      <c r="AD1730" s="1539"/>
      <c r="AE1730" s="1539"/>
      <c r="AF1730" s="1539"/>
      <c r="AG1730" s="1539"/>
      <c r="AH1730" s="1539"/>
      <c r="AI1730" s="1539"/>
      <c r="AJ1730" s="1539"/>
      <c r="AK1730" s="1539"/>
      <c r="AL1730" s="1539"/>
      <c r="AM1730" s="1539"/>
      <c r="AN1730" s="1539"/>
      <c r="AO1730" s="1539"/>
      <c r="AP1730" s="1539"/>
      <c r="AQ1730" s="1539"/>
      <c r="AR1730" s="1539"/>
      <c r="AS1730" s="1539"/>
      <c r="AT1730" s="1539"/>
      <c r="AU1730" s="1539"/>
      <c r="AV1730" s="1539"/>
      <c r="AW1730" s="1539"/>
      <c r="AX1730" s="1539"/>
      <c r="AY1730" s="1539"/>
      <c r="AZ1730" s="1539"/>
      <c r="BA1730" s="1539"/>
      <c r="BB1730" s="1539"/>
      <c r="BC1730" s="1539"/>
      <c r="BD1730" s="1539"/>
      <c r="BE1730" s="1539"/>
      <c r="BF1730" s="1539"/>
      <c r="BG1730" s="1539"/>
      <c r="BH1730" s="1539"/>
      <c r="BI1730" s="1539"/>
      <c r="BJ1730" s="1539"/>
      <c r="BK1730" s="1539"/>
      <c r="BL1730" s="1539"/>
      <c r="BM1730" s="1539"/>
      <c r="BN1730" s="1539"/>
      <c r="BO1730" s="1539"/>
      <c r="BP1730" s="1539"/>
      <c r="BQ1730" s="1539"/>
      <c r="BR1730" s="1539"/>
      <c r="BS1730" s="1539"/>
      <c r="BT1730" s="1539"/>
      <c r="BU1730" s="1539"/>
      <c r="BV1730" s="1539"/>
      <c r="BW1730" s="1539"/>
      <c r="BX1730" s="1539"/>
      <c r="BY1730" s="1539"/>
      <c r="BZ1730" s="1539"/>
      <c r="CA1730" s="1539"/>
      <c r="CB1730" s="1539"/>
      <c r="CC1730" s="1539"/>
      <c r="CD1730" s="1539"/>
      <c r="CE1730" s="1539"/>
      <c r="CF1730" s="1539"/>
      <c r="CG1730" s="1539"/>
      <c r="CH1730" s="1539"/>
      <c r="CI1730" s="1539"/>
      <c r="CJ1730" s="1539"/>
      <c r="CK1730" s="1539"/>
      <c r="CL1730" s="1539"/>
      <c r="CM1730" s="1539"/>
      <c r="CN1730" s="1539"/>
      <c r="CO1730" s="1539"/>
    </row>
    <row r="1731" spans="1:93" s="1552" customFormat="1" ht="15.5">
      <c r="A1731" s="1598"/>
      <c r="B1731" s="1599" t="s">
        <v>1760</v>
      </c>
      <c r="C1731" s="1643" t="e">
        <f>+SUMIF(#REF!,Final!A1731,#REF!)</f>
        <v>#REF!</v>
      </c>
      <c r="D1731" s="1597" t="e">
        <f>+SUMIF(#REF!,Final!A1731,#REF!)</f>
        <v>#REF!</v>
      </c>
      <c r="E1731" s="1643" t="e">
        <f>SUMIF(#REF!,Final!A1731,#REF!)</f>
        <v>#REF!</v>
      </c>
      <c r="F1731" s="1644" t="e">
        <f>SUMIF(#REF!,Final!A1731,#REF!)</f>
        <v>#REF!</v>
      </c>
      <c r="G1731" s="1597" t="e">
        <f t="shared" si="180"/>
        <v>#REF!</v>
      </c>
      <c r="H1731" s="1644" t="e">
        <f t="shared" si="181"/>
        <v>#REF!</v>
      </c>
      <c r="I1731" s="1597" t="e">
        <f t="shared" si="182"/>
        <v>#REF!</v>
      </c>
      <c r="J1731" s="1644" t="e">
        <f t="shared" si="183"/>
        <v>#REF!</v>
      </c>
      <c r="K1731" s="1539"/>
      <c r="L1731" s="1539"/>
      <c r="M1731" s="1545"/>
      <c r="N1731" s="1545"/>
      <c r="O1731" s="1539"/>
      <c r="P1731" s="1539"/>
      <c r="Q1731" s="1539"/>
      <c r="R1731" s="1539"/>
      <c r="S1731" s="1539"/>
      <c r="T1731" s="1539"/>
      <c r="U1731" s="1539"/>
      <c r="V1731" s="1539"/>
      <c r="W1731" s="1539"/>
      <c r="X1731" s="1539"/>
      <c r="Y1731" s="1539"/>
      <c r="Z1731" s="1539"/>
      <c r="AA1731" s="1539"/>
      <c r="AB1731" s="1539"/>
      <c r="AC1731" s="1539"/>
      <c r="AD1731" s="1539"/>
      <c r="AE1731" s="1539"/>
      <c r="AF1731" s="1539"/>
      <c r="AG1731" s="1539"/>
      <c r="AH1731" s="1539"/>
      <c r="AI1731" s="1539"/>
      <c r="AJ1731" s="1539"/>
      <c r="AK1731" s="1539"/>
      <c r="AL1731" s="1539"/>
      <c r="AM1731" s="1539"/>
      <c r="AN1731" s="1539"/>
      <c r="AO1731" s="1539"/>
      <c r="AP1731" s="1539"/>
      <c r="AQ1731" s="1539"/>
      <c r="AR1731" s="1539"/>
      <c r="AS1731" s="1539"/>
      <c r="AT1731" s="1539"/>
      <c r="AU1731" s="1539"/>
      <c r="AV1731" s="1539"/>
      <c r="AW1731" s="1539"/>
      <c r="AX1731" s="1539"/>
      <c r="AY1731" s="1539"/>
      <c r="AZ1731" s="1539"/>
      <c r="BA1731" s="1539"/>
      <c r="BB1731" s="1539"/>
      <c r="BC1731" s="1539"/>
      <c r="BD1731" s="1539"/>
      <c r="BE1731" s="1539"/>
      <c r="BF1731" s="1539"/>
      <c r="BG1731" s="1539"/>
      <c r="BH1731" s="1539"/>
      <c r="BI1731" s="1539"/>
      <c r="BJ1731" s="1539"/>
      <c r="BK1731" s="1539"/>
      <c r="BL1731" s="1539"/>
      <c r="BM1731" s="1539"/>
      <c r="BN1731" s="1539"/>
      <c r="BO1731" s="1539"/>
      <c r="BP1731" s="1539"/>
      <c r="BQ1731" s="1539"/>
      <c r="BR1731" s="1539"/>
      <c r="BS1731" s="1539"/>
      <c r="BT1731" s="1539"/>
      <c r="BU1731" s="1539"/>
      <c r="BV1731" s="1539"/>
      <c r="BW1731" s="1539"/>
      <c r="BX1731" s="1539"/>
      <c r="BY1731" s="1539"/>
      <c r="BZ1731" s="1539"/>
      <c r="CA1731" s="1539"/>
      <c r="CB1731" s="1539"/>
      <c r="CC1731" s="1539"/>
      <c r="CD1731" s="1539"/>
      <c r="CE1731" s="1539"/>
      <c r="CF1731" s="1539"/>
      <c r="CG1731" s="1539"/>
      <c r="CH1731" s="1539"/>
      <c r="CI1731" s="1539"/>
      <c r="CJ1731" s="1539"/>
      <c r="CK1731" s="1539"/>
      <c r="CL1731" s="1539"/>
      <c r="CM1731" s="1539"/>
      <c r="CN1731" s="1539"/>
      <c r="CO1731" s="1539"/>
    </row>
    <row r="1732" spans="1:93" s="1542" customFormat="1" ht="15.5">
      <c r="A1732" s="1598" t="s">
        <v>444</v>
      </c>
      <c r="B1732" s="1599" t="s">
        <v>3440</v>
      </c>
      <c r="C1732" s="1643" t="e">
        <f>+SUMIF(#REF!,Final!A1732,#REF!)</f>
        <v>#REF!</v>
      </c>
      <c r="D1732" s="1597" t="e">
        <f>+SUMIF(#REF!,Final!A1732,#REF!)</f>
        <v>#REF!</v>
      </c>
      <c r="E1732" s="1643" t="e">
        <f>SUMIF(#REF!,Final!A1732,#REF!)</f>
        <v>#REF!</v>
      </c>
      <c r="F1732" s="1644" t="e">
        <f>SUMIF(#REF!,Final!A1732,#REF!)</f>
        <v>#REF!</v>
      </c>
      <c r="G1732" s="1597" t="e">
        <f t="shared" si="180"/>
        <v>#REF!</v>
      </c>
      <c r="H1732" s="1644" t="e">
        <f t="shared" si="181"/>
        <v>#REF!</v>
      </c>
      <c r="I1732" s="1597" t="e">
        <f t="shared" si="182"/>
        <v>#REF!</v>
      </c>
      <c r="J1732" s="1644" t="e">
        <f t="shared" si="183"/>
        <v>#REF!</v>
      </c>
      <c r="K1732" s="1539"/>
      <c r="L1732" s="1539"/>
      <c r="M1732" s="1545"/>
      <c r="N1732" s="1545"/>
      <c r="O1732" s="1539"/>
      <c r="P1732" s="1539"/>
      <c r="Q1732" s="1539"/>
      <c r="R1732" s="1539"/>
      <c r="S1732" s="1539"/>
      <c r="T1732" s="1539"/>
      <c r="U1732" s="1539"/>
      <c r="V1732" s="1539"/>
      <c r="W1732" s="1539"/>
      <c r="X1732" s="1539"/>
      <c r="Y1732" s="1539"/>
      <c r="Z1732" s="1539"/>
      <c r="AA1732" s="1539"/>
      <c r="AB1732" s="1539"/>
      <c r="AC1732" s="1539"/>
      <c r="AD1732" s="1539"/>
      <c r="AE1732" s="1539"/>
      <c r="AF1732" s="1539"/>
      <c r="AG1732" s="1539"/>
      <c r="AH1732" s="1539"/>
      <c r="AI1732" s="1539"/>
      <c r="AJ1732" s="1539"/>
      <c r="AK1732" s="1539"/>
      <c r="AL1732" s="1539"/>
      <c r="AM1732" s="1539"/>
      <c r="AN1732" s="1539"/>
      <c r="AO1732" s="1539"/>
      <c r="AP1732" s="1539"/>
      <c r="AQ1732" s="1539"/>
      <c r="AR1732" s="1539"/>
      <c r="AS1732" s="1539"/>
      <c r="AT1732" s="1539"/>
      <c r="AU1732" s="1539"/>
      <c r="AV1732" s="1539"/>
      <c r="AW1732" s="1539"/>
      <c r="AX1732" s="1539"/>
      <c r="AY1732" s="1539"/>
      <c r="AZ1732" s="1539"/>
      <c r="BA1732" s="1539"/>
      <c r="BB1732" s="1539"/>
      <c r="BC1732" s="1539"/>
      <c r="BD1732" s="1539"/>
      <c r="BE1732" s="1539"/>
      <c r="BF1732" s="1539"/>
      <c r="BG1732" s="1539"/>
      <c r="BH1732" s="1539"/>
      <c r="BI1732" s="1539"/>
      <c r="BJ1732" s="1539"/>
      <c r="BK1732" s="1539"/>
      <c r="BL1732" s="1539"/>
      <c r="BM1732" s="1539"/>
      <c r="BN1732" s="1539"/>
      <c r="BO1732" s="1539"/>
      <c r="BP1732" s="1539"/>
      <c r="BQ1732" s="1539"/>
      <c r="BR1732" s="1539"/>
      <c r="BS1732" s="1539"/>
      <c r="BT1732" s="1539"/>
      <c r="BU1732" s="1539"/>
      <c r="BV1732" s="1539"/>
      <c r="BW1732" s="1539"/>
      <c r="BX1732" s="1539"/>
      <c r="BY1732" s="1539"/>
      <c r="BZ1732" s="1539"/>
      <c r="CA1732" s="1539"/>
      <c r="CB1732" s="1539"/>
      <c r="CC1732" s="1539"/>
      <c r="CD1732" s="1539"/>
      <c r="CE1732" s="1539"/>
      <c r="CF1732" s="1539"/>
      <c r="CG1732" s="1539"/>
      <c r="CH1732" s="1539"/>
      <c r="CI1732" s="1539"/>
      <c r="CJ1732" s="1539"/>
      <c r="CK1732" s="1539"/>
      <c r="CL1732" s="1539"/>
      <c r="CM1732" s="1539"/>
      <c r="CN1732" s="1539"/>
      <c r="CO1732" s="1539"/>
    </row>
    <row r="1733" spans="1:93" ht="15.5">
      <c r="A1733" s="1598">
        <v>36.000999999999998</v>
      </c>
      <c r="B1733" s="1599" t="s">
        <v>2901</v>
      </c>
      <c r="C1733" s="1643" t="e">
        <f>+SUMIF(#REF!,Final!A1733,#REF!)</f>
        <v>#REF!</v>
      </c>
      <c r="D1733" s="1597" t="e">
        <f>+SUMIF(#REF!,Final!A1733,#REF!)</f>
        <v>#REF!</v>
      </c>
      <c r="E1733" s="1643" t="e">
        <f>SUMIF(#REF!,Final!A1733,#REF!)</f>
        <v>#REF!</v>
      </c>
      <c r="F1733" s="1644" t="e">
        <f>SUMIF(#REF!,Final!A1733,#REF!)</f>
        <v>#REF!</v>
      </c>
      <c r="G1733" s="1597" t="e">
        <f t="shared" si="180"/>
        <v>#REF!</v>
      </c>
      <c r="H1733" s="1644" t="e">
        <f t="shared" si="181"/>
        <v>#REF!</v>
      </c>
      <c r="I1733" s="1597" t="e">
        <f t="shared" si="182"/>
        <v>#REF!</v>
      </c>
      <c r="J1733" s="1644" t="e">
        <f t="shared" si="183"/>
        <v>#REF!</v>
      </c>
      <c r="M1733" s="1545"/>
      <c r="N1733" s="1545"/>
    </row>
    <row r="1734" spans="1:93" ht="15.5">
      <c r="A1734" s="1598">
        <v>36.020000000000003</v>
      </c>
      <c r="B1734" s="1599" t="s">
        <v>3411</v>
      </c>
      <c r="C1734" s="1643" t="e">
        <f>+SUMIF(#REF!,Final!A1734,#REF!)</f>
        <v>#REF!</v>
      </c>
      <c r="D1734" s="1597" t="e">
        <f>+SUMIF(#REF!,Final!A1734,#REF!)</f>
        <v>#REF!</v>
      </c>
      <c r="E1734" s="1643" t="e">
        <f>SUMIF(#REF!,Final!A1734,#REF!)</f>
        <v>#REF!</v>
      </c>
      <c r="F1734" s="1644" t="e">
        <f>SUMIF(#REF!,Final!A1734,#REF!)</f>
        <v>#REF!</v>
      </c>
      <c r="G1734" s="1597" t="e">
        <f t="shared" si="180"/>
        <v>#REF!</v>
      </c>
      <c r="H1734" s="1644" t="e">
        <f t="shared" si="181"/>
        <v>#REF!</v>
      </c>
      <c r="I1734" s="1597" t="e">
        <f t="shared" si="182"/>
        <v>#REF!</v>
      </c>
      <c r="J1734" s="1644" t="e">
        <f t="shared" si="183"/>
        <v>#REF!</v>
      </c>
      <c r="M1734" s="1545"/>
      <c r="N1734" s="1545"/>
    </row>
    <row r="1735" spans="1:93" ht="15.5">
      <c r="A1735" s="1598">
        <v>36.021000000000001</v>
      </c>
      <c r="B1735" s="1599" t="s">
        <v>3412</v>
      </c>
      <c r="C1735" s="1643" t="e">
        <f>+SUMIF(#REF!,Final!A1735,#REF!)</f>
        <v>#REF!</v>
      </c>
      <c r="D1735" s="1597" t="e">
        <f>+SUMIF(#REF!,Final!A1735,#REF!)</f>
        <v>#REF!</v>
      </c>
      <c r="E1735" s="1643" t="e">
        <f>SUMIF(#REF!,Final!A1735,#REF!)</f>
        <v>#REF!</v>
      </c>
      <c r="F1735" s="1644" t="e">
        <f>SUMIF(#REF!,Final!A1735,#REF!)</f>
        <v>#REF!</v>
      </c>
      <c r="G1735" s="1597" t="e">
        <f t="shared" si="180"/>
        <v>#REF!</v>
      </c>
      <c r="H1735" s="1644" t="e">
        <f t="shared" si="181"/>
        <v>#REF!</v>
      </c>
      <c r="I1735" s="1597" t="e">
        <f t="shared" si="182"/>
        <v>#REF!</v>
      </c>
      <c r="J1735" s="1644" t="e">
        <f t="shared" si="183"/>
        <v>#REF!</v>
      </c>
      <c r="M1735" s="1545"/>
      <c r="N1735" s="1545"/>
    </row>
    <row r="1736" spans="1:93" ht="15.5">
      <c r="A1736" s="1598">
        <v>36.021999999999998</v>
      </c>
      <c r="B1736" s="1599" t="s">
        <v>3413</v>
      </c>
      <c r="C1736" s="1643" t="e">
        <f>+SUMIF(#REF!,Final!A1736,#REF!)</f>
        <v>#REF!</v>
      </c>
      <c r="D1736" s="1597" t="e">
        <f>+SUMIF(#REF!,Final!A1736,#REF!)</f>
        <v>#REF!</v>
      </c>
      <c r="E1736" s="1643" t="e">
        <f>SUMIF(#REF!,Final!A1736,#REF!)</f>
        <v>#REF!</v>
      </c>
      <c r="F1736" s="1644" t="e">
        <f>SUMIF(#REF!,Final!A1736,#REF!)</f>
        <v>#REF!</v>
      </c>
      <c r="G1736" s="1597" t="e">
        <f t="shared" si="180"/>
        <v>#REF!</v>
      </c>
      <c r="H1736" s="1644" t="e">
        <f t="shared" si="181"/>
        <v>#REF!</v>
      </c>
      <c r="I1736" s="1597" t="e">
        <f t="shared" si="182"/>
        <v>#REF!</v>
      </c>
      <c r="J1736" s="1644" t="e">
        <f t="shared" si="183"/>
        <v>#REF!</v>
      </c>
      <c r="M1736" s="1545"/>
      <c r="N1736" s="1545"/>
    </row>
    <row r="1737" spans="1:93" ht="15.5">
      <c r="A1737" s="1598">
        <v>36.023000000000003</v>
      </c>
      <c r="B1737" s="1599" t="s">
        <v>3414</v>
      </c>
      <c r="C1737" s="1643" t="e">
        <f>+SUMIF(#REF!,Final!A1737,#REF!)</f>
        <v>#REF!</v>
      </c>
      <c r="D1737" s="1597" t="e">
        <f>+SUMIF(#REF!,Final!A1737,#REF!)</f>
        <v>#REF!</v>
      </c>
      <c r="E1737" s="1643" t="e">
        <f>SUMIF(#REF!,Final!A1737,#REF!)</f>
        <v>#REF!</v>
      </c>
      <c r="F1737" s="1644" t="e">
        <f>SUMIF(#REF!,Final!A1737,#REF!)</f>
        <v>#REF!</v>
      </c>
      <c r="G1737" s="1597" t="e">
        <f t="shared" si="180"/>
        <v>#REF!</v>
      </c>
      <c r="H1737" s="1644" t="e">
        <f t="shared" si="181"/>
        <v>#REF!</v>
      </c>
      <c r="I1737" s="1597" t="e">
        <f t="shared" si="182"/>
        <v>#REF!</v>
      </c>
      <c r="J1737" s="1644" t="e">
        <f t="shared" si="183"/>
        <v>#REF!</v>
      </c>
      <c r="M1737" s="1545"/>
      <c r="N1737" s="1545"/>
    </row>
    <row r="1738" spans="1:93" ht="15.5">
      <c r="A1738" s="1598">
        <v>36.024000000000001</v>
      </c>
      <c r="B1738" s="1599" t="s">
        <v>3415</v>
      </c>
      <c r="C1738" s="1643" t="e">
        <f>+SUMIF(#REF!,Final!A1738,#REF!)</f>
        <v>#REF!</v>
      </c>
      <c r="D1738" s="1597" t="e">
        <f>+SUMIF(#REF!,Final!A1738,#REF!)</f>
        <v>#REF!</v>
      </c>
      <c r="E1738" s="1643" t="e">
        <f>SUMIF(#REF!,Final!A1738,#REF!)</f>
        <v>#REF!</v>
      </c>
      <c r="F1738" s="1644" t="e">
        <f>SUMIF(#REF!,Final!A1738,#REF!)</f>
        <v>#REF!</v>
      </c>
      <c r="G1738" s="1597" t="e">
        <f t="shared" si="180"/>
        <v>#REF!</v>
      </c>
      <c r="H1738" s="1644" t="e">
        <f t="shared" si="181"/>
        <v>#REF!</v>
      </c>
      <c r="I1738" s="1597" t="e">
        <f t="shared" si="182"/>
        <v>#REF!</v>
      </c>
      <c r="J1738" s="1644" t="e">
        <f t="shared" si="183"/>
        <v>#REF!</v>
      </c>
      <c r="M1738" s="1545"/>
      <c r="N1738" s="1545"/>
    </row>
    <row r="1739" spans="1:93" s="1542" customFormat="1" ht="15.5">
      <c r="A1739" s="1598">
        <v>36.024999999999999</v>
      </c>
      <c r="B1739" s="1599" t="s">
        <v>3416</v>
      </c>
      <c r="C1739" s="1643" t="e">
        <f>+SUMIF(#REF!,Final!A1739,#REF!)</f>
        <v>#REF!</v>
      </c>
      <c r="D1739" s="1597" t="e">
        <f>+SUMIF(#REF!,Final!A1739,#REF!)</f>
        <v>#REF!</v>
      </c>
      <c r="E1739" s="1643" t="e">
        <f>SUMIF(#REF!,Final!A1739,#REF!)</f>
        <v>#REF!</v>
      </c>
      <c r="F1739" s="1644" t="e">
        <f>SUMIF(#REF!,Final!A1739,#REF!)</f>
        <v>#REF!</v>
      </c>
      <c r="G1739" s="1597" t="e">
        <f t="shared" si="180"/>
        <v>#REF!</v>
      </c>
      <c r="H1739" s="1644" t="e">
        <f t="shared" si="181"/>
        <v>#REF!</v>
      </c>
      <c r="I1739" s="1597" t="e">
        <f t="shared" si="182"/>
        <v>#REF!</v>
      </c>
      <c r="J1739" s="1644" t="e">
        <f t="shared" si="183"/>
        <v>#REF!</v>
      </c>
      <c r="K1739" s="1539"/>
      <c r="L1739" s="1539"/>
      <c r="M1739" s="1545"/>
      <c r="N1739" s="1545"/>
      <c r="O1739" s="1539"/>
      <c r="P1739" s="1539"/>
      <c r="Q1739" s="1539"/>
      <c r="R1739" s="1539"/>
      <c r="S1739" s="1539"/>
      <c r="T1739" s="1539"/>
      <c r="U1739" s="1539"/>
      <c r="V1739" s="1539"/>
      <c r="W1739" s="1539"/>
      <c r="X1739" s="1539"/>
      <c r="Y1739" s="1539"/>
      <c r="Z1739" s="1539"/>
      <c r="AA1739" s="1539"/>
      <c r="AB1739" s="1539"/>
      <c r="AC1739" s="1539"/>
      <c r="AD1739" s="1539"/>
      <c r="AE1739" s="1539"/>
      <c r="AF1739" s="1539"/>
      <c r="AG1739" s="1539"/>
      <c r="AH1739" s="1539"/>
      <c r="AI1739" s="1539"/>
      <c r="AJ1739" s="1539"/>
      <c r="AK1739" s="1539"/>
      <c r="AL1739" s="1539"/>
      <c r="AM1739" s="1539"/>
      <c r="AN1739" s="1539"/>
      <c r="AO1739" s="1539"/>
      <c r="AP1739" s="1539"/>
      <c r="AQ1739" s="1539"/>
      <c r="AR1739" s="1539"/>
      <c r="AS1739" s="1539"/>
      <c r="AT1739" s="1539"/>
      <c r="AU1739" s="1539"/>
      <c r="AV1739" s="1539"/>
      <c r="AW1739" s="1539"/>
      <c r="AX1739" s="1539"/>
      <c r="AY1739" s="1539"/>
      <c r="AZ1739" s="1539"/>
      <c r="BA1739" s="1539"/>
      <c r="BB1739" s="1539"/>
      <c r="BC1739" s="1539"/>
      <c r="BD1739" s="1539"/>
      <c r="BE1739" s="1539"/>
      <c r="BF1739" s="1539"/>
      <c r="BG1739" s="1539"/>
      <c r="BH1739" s="1539"/>
      <c r="BI1739" s="1539"/>
      <c r="BJ1739" s="1539"/>
      <c r="BK1739" s="1539"/>
      <c r="BL1739" s="1539"/>
      <c r="BM1739" s="1539"/>
      <c r="BN1739" s="1539"/>
      <c r="BO1739" s="1539"/>
      <c r="BP1739" s="1539"/>
      <c r="BQ1739" s="1539"/>
      <c r="BR1739" s="1539"/>
      <c r="BS1739" s="1539"/>
      <c r="BT1739" s="1539"/>
      <c r="BU1739" s="1539"/>
      <c r="BV1739" s="1539"/>
      <c r="BW1739" s="1539"/>
      <c r="BX1739" s="1539"/>
      <c r="BY1739" s="1539"/>
      <c r="BZ1739" s="1539"/>
      <c r="CA1739" s="1539"/>
      <c r="CB1739" s="1539"/>
      <c r="CC1739" s="1539"/>
      <c r="CD1739" s="1539"/>
      <c r="CE1739" s="1539"/>
      <c r="CF1739" s="1539"/>
      <c r="CG1739" s="1539"/>
      <c r="CH1739" s="1539"/>
      <c r="CI1739" s="1539"/>
      <c r="CJ1739" s="1539"/>
      <c r="CK1739" s="1539"/>
      <c r="CL1739" s="1539"/>
      <c r="CM1739" s="1539"/>
      <c r="CN1739" s="1539"/>
      <c r="CO1739" s="1539"/>
    </row>
    <row r="1740" spans="1:93" ht="15.5">
      <c r="A1740" s="1598">
        <v>36.026000000000003</v>
      </c>
      <c r="B1740" s="1599" t="s">
        <v>3417</v>
      </c>
      <c r="C1740" s="1643" t="e">
        <f>+SUMIF(#REF!,Final!A1740,#REF!)</f>
        <v>#REF!</v>
      </c>
      <c r="D1740" s="1597" t="e">
        <f>+SUMIF(#REF!,Final!A1740,#REF!)</f>
        <v>#REF!</v>
      </c>
      <c r="E1740" s="1643" t="e">
        <f>SUMIF(#REF!,Final!A1740,#REF!)</f>
        <v>#REF!</v>
      </c>
      <c r="F1740" s="1644" t="e">
        <f>SUMIF(#REF!,Final!A1740,#REF!)</f>
        <v>#REF!</v>
      </c>
      <c r="G1740" s="1597" t="e">
        <f t="shared" si="180"/>
        <v>#REF!</v>
      </c>
      <c r="H1740" s="1644" t="e">
        <f t="shared" si="181"/>
        <v>#REF!</v>
      </c>
      <c r="I1740" s="1597" t="e">
        <f t="shared" si="182"/>
        <v>#REF!</v>
      </c>
      <c r="J1740" s="1644" t="e">
        <f t="shared" si="183"/>
        <v>#REF!</v>
      </c>
      <c r="M1740" s="1545"/>
      <c r="N1740" s="1545"/>
    </row>
    <row r="1741" spans="1:93" s="1542" customFormat="1" ht="15.5">
      <c r="A1741" s="1598">
        <v>36.027000000000001</v>
      </c>
      <c r="B1741" s="1599" t="s">
        <v>3418</v>
      </c>
      <c r="C1741" s="1643" t="e">
        <f>+SUMIF(#REF!,Final!A1741,#REF!)</f>
        <v>#REF!</v>
      </c>
      <c r="D1741" s="1597" t="e">
        <f>+SUMIF(#REF!,Final!A1741,#REF!)</f>
        <v>#REF!</v>
      </c>
      <c r="E1741" s="1643" t="e">
        <f>SUMIF(#REF!,Final!A1741,#REF!)</f>
        <v>#REF!</v>
      </c>
      <c r="F1741" s="1644" t="e">
        <f>SUMIF(#REF!,Final!A1741,#REF!)</f>
        <v>#REF!</v>
      </c>
      <c r="G1741" s="1597" t="e">
        <f t="shared" si="180"/>
        <v>#REF!</v>
      </c>
      <c r="H1741" s="1644" t="e">
        <f t="shared" si="181"/>
        <v>#REF!</v>
      </c>
      <c r="I1741" s="1597" t="e">
        <f t="shared" si="182"/>
        <v>#REF!</v>
      </c>
      <c r="J1741" s="1644" t="e">
        <f t="shared" si="183"/>
        <v>#REF!</v>
      </c>
      <c r="K1741" s="1539"/>
      <c r="L1741" s="1539"/>
      <c r="M1741" s="1545"/>
      <c r="N1741" s="1545"/>
      <c r="O1741" s="1539"/>
      <c r="P1741" s="1539"/>
      <c r="Q1741" s="1539"/>
      <c r="R1741" s="1539"/>
      <c r="S1741" s="1539"/>
      <c r="T1741" s="1539"/>
      <c r="U1741" s="1539"/>
      <c r="V1741" s="1539"/>
      <c r="W1741" s="1539"/>
      <c r="X1741" s="1539"/>
      <c r="Y1741" s="1539"/>
      <c r="Z1741" s="1539"/>
      <c r="AA1741" s="1539"/>
      <c r="AB1741" s="1539"/>
      <c r="AC1741" s="1539"/>
      <c r="AD1741" s="1539"/>
      <c r="AE1741" s="1539"/>
      <c r="AF1741" s="1539"/>
      <c r="AG1741" s="1539"/>
      <c r="AH1741" s="1539"/>
      <c r="AI1741" s="1539"/>
      <c r="AJ1741" s="1539"/>
      <c r="AK1741" s="1539"/>
      <c r="AL1741" s="1539"/>
      <c r="AM1741" s="1539"/>
      <c r="AN1741" s="1539"/>
      <c r="AO1741" s="1539"/>
      <c r="AP1741" s="1539"/>
      <c r="AQ1741" s="1539"/>
      <c r="AR1741" s="1539"/>
      <c r="AS1741" s="1539"/>
      <c r="AT1741" s="1539"/>
      <c r="AU1741" s="1539"/>
      <c r="AV1741" s="1539"/>
      <c r="AW1741" s="1539"/>
      <c r="AX1741" s="1539"/>
      <c r="AY1741" s="1539"/>
      <c r="AZ1741" s="1539"/>
      <c r="BA1741" s="1539"/>
      <c r="BB1741" s="1539"/>
      <c r="BC1741" s="1539"/>
      <c r="BD1741" s="1539"/>
      <c r="BE1741" s="1539"/>
      <c r="BF1741" s="1539"/>
      <c r="BG1741" s="1539"/>
      <c r="BH1741" s="1539"/>
      <c r="BI1741" s="1539"/>
      <c r="BJ1741" s="1539"/>
      <c r="BK1741" s="1539"/>
      <c r="BL1741" s="1539"/>
      <c r="BM1741" s="1539"/>
      <c r="BN1741" s="1539"/>
      <c r="BO1741" s="1539"/>
      <c r="BP1741" s="1539"/>
      <c r="BQ1741" s="1539"/>
      <c r="BR1741" s="1539"/>
      <c r="BS1741" s="1539"/>
      <c r="BT1741" s="1539"/>
      <c r="BU1741" s="1539"/>
      <c r="BV1741" s="1539"/>
      <c r="BW1741" s="1539"/>
      <c r="BX1741" s="1539"/>
      <c r="BY1741" s="1539"/>
      <c r="BZ1741" s="1539"/>
      <c r="CA1741" s="1539"/>
      <c r="CB1741" s="1539"/>
      <c r="CC1741" s="1539"/>
      <c r="CD1741" s="1539"/>
      <c r="CE1741" s="1539"/>
      <c r="CF1741" s="1539"/>
      <c r="CG1741" s="1539"/>
      <c r="CH1741" s="1539"/>
      <c r="CI1741" s="1539"/>
      <c r="CJ1741" s="1539"/>
      <c r="CK1741" s="1539"/>
      <c r="CL1741" s="1539"/>
      <c r="CM1741" s="1539"/>
      <c r="CN1741" s="1539"/>
      <c r="CO1741" s="1539"/>
    </row>
    <row r="1742" spans="1:93" ht="15.5">
      <c r="A1742" s="1598">
        <v>36.027999999999999</v>
      </c>
      <c r="B1742" s="1599" t="s">
        <v>3419</v>
      </c>
      <c r="C1742" s="1643" t="e">
        <f>+SUMIF(#REF!,Final!A1742,#REF!)</f>
        <v>#REF!</v>
      </c>
      <c r="D1742" s="1597" t="e">
        <f>+SUMIF(#REF!,Final!A1742,#REF!)</f>
        <v>#REF!</v>
      </c>
      <c r="E1742" s="1643" t="e">
        <f>SUMIF(#REF!,Final!A1742,#REF!)</f>
        <v>#REF!</v>
      </c>
      <c r="F1742" s="1644" t="e">
        <f>SUMIF(#REF!,Final!A1742,#REF!)</f>
        <v>#REF!</v>
      </c>
      <c r="G1742" s="1597" t="e">
        <f t="shared" si="180"/>
        <v>#REF!</v>
      </c>
      <c r="H1742" s="1644" t="e">
        <f t="shared" si="181"/>
        <v>#REF!</v>
      </c>
      <c r="I1742" s="1597" t="e">
        <f t="shared" si="182"/>
        <v>#REF!</v>
      </c>
      <c r="J1742" s="1644" t="e">
        <f t="shared" si="183"/>
        <v>#REF!</v>
      </c>
      <c r="M1742" s="1545"/>
      <c r="N1742" s="1545"/>
    </row>
    <row r="1743" spans="1:93" ht="15.5">
      <c r="A1743" s="1598">
        <v>36.029000000000003</v>
      </c>
      <c r="B1743" s="1599" t="s">
        <v>3420</v>
      </c>
      <c r="C1743" s="1643" t="e">
        <f>+SUMIF(#REF!,Final!A1743,#REF!)</f>
        <v>#REF!</v>
      </c>
      <c r="D1743" s="1597" t="e">
        <f>+SUMIF(#REF!,Final!A1743,#REF!)</f>
        <v>#REF!</v>
      </c>
      <c r="E1743" s="1643" t="e">
        <f>SUMIF(#REF!,Final!A1743,#REF!)</f>
        <v>#REF!</v>
      </c>
      <c r="F1743" s="1644" t="e">
        <f>SUMIF(#REF!,Final!A1743,#REF!)</f>
        <v>#REF!</v>
      </c>
      <c r="G1743" s="1597" t="e">
        <f t="shared" si="180"/>
        <v>#REF!</v>
      </c>
      <c r="H1743" s="1644" t="e">
        <f t="shared" si="181"/>
        <v>#REF!</v>
      </c>
      <c r="I1743" s="1597" t="e">
        <f t="shared" si="182"/>
        <v>#REF!</v>
      </c>
      <c r="J1743" s="1644" t="e">
        <f t="shared" si="183"/>
        <v>#REF!</v>
      </c>
      <c r="M1743" s="1545"/>
      <c r="N1743" s="1545"/>
    </row>
    <row r="1744" spans="1:93" ht="15.5">
      <c r="A1744" s="1598">
        <v>36.03</v>
      </c>
      <c r="B1744" s="1599" t="s">
        <v>3421</v>
      </c>
      <c r="C1744" s="1643" t="e">
        <f>+SUMIF(#REF!,Final!A1744,#REF!)</f>
        <v>#REF!</v>
      </c>
      <c r="D1744" s="1597" t="e">
        <f>+SUMIF(#REF!,Final!A1744,#REF!)</f>
        <v>#REF!</v>
      </c>
      <c r="E1744" s="1643" t="e">
        <f>SUMIF(#REF!,Final!A1744,#REF!)</f>
        <v>#REF!</v>
      </c>
      <c r="F1744" s="1644" t="e">
        <f>SUMIF(#REF!,Final!A1744,#REF!)</f>
        <v>#REF!</v>
      </c>
      <c r="G1744" s="1597" t="e">
        <f t="shared" si="180"/>
        <v>#REF!</v>
      </c>
      <c r="H1744" s="1644" t="e">
        <f t="shared" si="181"/>
        <v>#REF!</v>
      </c>
      <c r="I1744" s="1597" t="e">
        <f t="shared" si="182"/>
        <v>#REF!</v>
      </c>
      <c r="J1744" s="1644" t="e">
        <f t="shared" si="183"/>
        <v>#REF!</v>
      </c>
      <c r="M1744" s="1545"/>
      <c r="N1744" s="1545"/>
    </row>
    <row r="1745" spans="1:93" ht="15.5">
      <c r="A1745" s="1598">
        <v>36.030999999999999</v>
      </c>
      <c r="B1745" s="1599" t="s">
        <v>3422</v>
      </c>
      <c r="C1745" s="1643" t="e">
        <f>+SUMIF(#REF!,Final!A1745,#REF!)</f>
        <v>#REF!</v>
      </c>
      <c r="D1745" s="1597" t="e">
        <f>+SUMIF(#REF!,Final!A1745,#REF!)</f>
        <v>#REF!</v>
      </c>
      <c r="E1745" s="1643" t="e">
        <f>SUMIF(#REF!,Final!A1745,#REF!)</f>
        <v>#REF!</v>
      </c>
      <c r="F1745" s="1644" t="e">
        <f>SUMIF(#REF!,Final!A1745,#REF!)</f>
        <v>#REF!</v>
      </c>
      <c r="G1745" s="1597" t="e">
        <f t="shared" si="180"/>
        <v>#REF!</v>
      </c>
      <c r="H1745" s="1644" t="e">
        <f t="shared" si="181"/>
        <v>#REF!</v>
      </c>
      <c r="I1745" s="1597" t="e">
        <f t="shared" si="182"/>
        <v>#REF!</v>
      </c>
      <c r="J1745" s="1644" t="e">
        <f t="shared" si="183"/>
        <v>#REF!</v>
      </c>
      <c r="M1745" s="1545"/>
      <c r="N1745" s="1545"/>
    </row>
    <row r="1746" spans="1:93" s="1542" customFormat="1" ht="15.5">
      <c r="A1746" s="1598">
        <v>36.031999999999996</v>
      </c>
      <c r="B1746" s="1599" t="s">
        <v>3423</v>
      </c>
      <c r="C1746" s="1643" t="e">
        <f>+SUMIF(#REF!,Final!A1746,#REF!)</f>
        <v>#REF!</v>
      </c>
      <c r="D1746" s="1597" t="e">
        <f>+SUMIF(#REF!,Final!A1746,#REF!)</f>
        <v>#REF!</v>
      </c>
      <c r="E1746" s="1643" t="e">
        <f>SUMIF(#REF!,Final!A1746,#REF!)</f>
        <v>#REF!</v>
      </c>
      <c r="F1746" s="1644" t="e">
        <f>SUMIF(#REF!,Final!A1746,#REF!)</f>
        <v>#REF!</v>
      </c>
      <c r="G1746" s="1597" t="e">
        <f t="shared" si="180"/>
        <v>#REF!</v>
      </c>
      <c r="H1746" s="1644" t="e">
        <f t="shared" si="181"/>
        <v>#REF!</v>
      </c>
      <c r="I1746" s="1597" t="e">
        <f t="shared" si="182"/>
        <v>#REF!</v>
      </c>
      <c r="J1746" s="1644" t="e">
        <f t="shared" si="183"/>
        <v>#REF!</v>
      </c>
      <c r="K1746" s="1539"/>
      <c r="L1746" s="1539"/>
      <c r="M1746" s="1545"/>
      <c r="N1746" s="1545"/>
      <c r="O1746" s="1539"/>
      <c r="P1746" s="1539"/>
      <c r="Q1746" s="1539"/>
      <c r="R1746" s="1539"/>
      <c r="S1746" s="1539"/>
      <c r="T1746" s="1539"/>
      <c r="U1746" s="1539"/>
      <c r="V1746" s="1539"/>
      <c r="W1746" s="1539"/>
      <c r="X1746" s="1539"/>
      <c r="Y1746" s="1539"/>
      <c r="Z1746" s="1539"/>
      <c r="AA1746" s="1539"/>
      <c r="AB1746" s="1539"/>
      <c r="AC1746" s="1539"/>
      <c r="AD1746" s="1539"/>
      <c r="AE1746" s="1539"/>
      <c r="AF1746" s="1539"/>
      <c r="AG1746" s="1539"/>
      <c r="AH1746" s="1539"/>
      <c r="AI1746" s="1539"/>
      <c r="AJ1746" s="1539"/>
      <c r="AK1746" s="1539"/>
      <c r="AL1746" s="1539"/>
      <c r="AM1746" s="1539"/>
      <c r="AN1746" s="1539"/>
      <c r="AO1746" s="1539"/>
      <c r="AP1746" s="1539"/>
      <c r="AQ1746" s="1539"/>
      <c r="AR1746" s="1539"/>
      <c r="AS1746" s="1539"/>
      <c r="AT1746" s="1539"/>
      <c r="AU1746" s="1539"/>
      <c r="AV1746" s="1539"/>
      <c r="AW1746" s="1539"/>
      <c r="AX1746" s="1539"/>
      <c r="AY1746" s="1539"/>
      <c r="AZ1746" s="1539"/>
      <c r="BA1746" s="1539"/>
      <c r="BB1746" s="1539"/>
      <c r="BC1746" s="1539"/>
      <c r="BD1746" s="1539"/>
      <c r="BE1746" s="1539"/>
      <c r="BF1746" s="1539"/>
      <c r="BG1746" s="1539"/>
      <c r="BH1746" s="1539"/>
      <c r="BI1746" s="1539"/>
      <c r="BJ1746" s="1539"/>
      <c r="BK1746" s="1539"/>
      <c r="BL1746" s="1539"/>
      <c r="BM1746" s="1539"/>
      <c r="BN1746" s="1539"/>
      <c r="BO1746" s="1539"/>
      <c r="BP1746" s="1539"/>
      <c r="BQ1746" s="1539"/>
      <c r="BR1746" s="1539"/>
      <c r="BS1746" s="1539"/>
      <c r="BT1746" s="1539"/>
      <c r="BU1746" s="1539"/>
      <c r="BV1746" s="1539"/>
      <c r="BW1746" s="1539"/>
      <c r="BX1746" s="1539"/>
      <c r="BY1746" s="1539"/>
      <c r="BZ1746" s="1539"/>
      <c r="CA1746" s="1539"/>
      <c r="CB1746" s="1539"/>
      <c r="CC1746" s="1539"/>
      <c r="CD1746" s="1539"/>
      <c r="CE1746" s="1539"/>
      <c r="CF1746" s="1539"/>
      <c r="CG1746" s="1539"/>
      <c r="CH1746" s="1539"/>
      <c r="CI1746" s="1539"/>
      <c r="CJ1746" s="1539"/>
      <c r="CK1746" s="1539"/>
      <c r="CL1746" s="1539"/>
      <c r="CM1746" s="1539"/>
      <c r="CN1746" s="1539"/>
      <c r="CO1746" s="1539"/>
    </row>
    <row r="1747" spans="1:93" ht="15.5">
      <c r="A1747" s="1598">
        <v>36.033000000000001</v>
      </c>
      <c r="B1747" s="1599" t="s">
        <v>3424</v>
      </c>
      <c r="C1747" s="1643" t="e">
        <f>+SUMIF(#REF!,Final!A1747,#REF!)</f>
        <v>#REF!</v>
      </c>
      <c r="D1747" s="1597" t="e">
        <f>+SUMIF(#REF!,Final!A1747,#REF!)</f>
        <v>#REF!</v>
      </c>
      <c r="E1747" s="1643" t="e">
        <f>SUMIF(#REF!,Final!A1747,#REF!)</f>
        <v>#REF!</v>
      </c>
      <c r="F1747" s="1644" t="e">
        <f>SUMIF(#REF!,Final!A1747,#REF!)</f>
        <v>#REF!</v>
      </c>
      <c r="G1747" s="1597" t="e">
        <f t="shared" si="180"/>
        <v>#REF!</v>
      </c>
      <c r="H1747" s="1644" t="e">
        <f t="shared" si="181"/>
        <v>#REF!</v>
      </c>
      <c r="I1747" s="1597" t="e">
        <f t="shared" si="182"/>
        <v>#REF!</v>
      </c>
      <c r="J1747" s="1644" t="e">
        <f t="shared" si="183"/>
        <v>#REF!</v>
      </c>
      <c r="M1747" s="1545"/>
      <c r="N1747" s="1545"/>
    </row>
    <row r="1748" spans="1:93" s="1542" customFormat="1" ht="15.5">
      <c r="A1748" s="1598">
        <v>36.033999999999999</v>
      </c>
      <c r="B1748" s="1599" t="s">
        <v>3425</v>
      </c>
      <c r="C1748" s="1643" t="e">
        <f>+SUMIF(#REF!,Final!A1748,#REF!)</f>
        <v>#REF!</v>
      </c>
      <c r="D1748" s="1597" t="e">
        <f>+SUMIF(#REF!,Final!A1748,#REF!)</f>
        <v>#REF!</v>
      </c>
      <c r="E1748" s="1643" t="e">
        <f>SUMIF(#REF!,Final!A1748,#REF!)</f>
        <v>#REF!</v>
      </c>
      <c r="F1748" s="1644" t="e">
        <f>SUMIF(#REF!,Final!A1748,#REF!)</f>
        <v>#REF!</v>
      </c>
      <c r="G1748" s="1597" t="e">
        <f t="shared" si="180"/>
        <v>#REF!</v>
      </c>
      <c r="H1748" s="1644" t="e">
        <f t="shared" si="181"/>
        <v>#REF!</v>
      </c>
      <c r="I1748" s="1597" t="e">
        <f t="shared" si="182"/>
        <v>#REF!</v>
      </c>
      <c r="J1748" s="1644" t="e">
        <f t="shared" si="183"/>
        <v>#REF!</v>
      </c>
      <c r="K1748" s="1539"/>
      <c r="L1748" s="1539"/>
      <c r="M1748" s="1545"/>
      <c r="N1748" s="1545"/>
      <c r="O1748" s="1539"/>
      <c r="P1748" s="1539"/>
      <c r="Q1748" s="1539"/>
      <c r="R1748" s="1539"/>
      <c r="S1748" s="1539"/>
      <c r="T1748" s="1539"/>
      <c r="U1748" s="1539"/>
      <c r="V1748" s="1539"/>
      <c r="W1748" s="1539"/>
      <c r="X1748" s="1539"/>
      <c r="Y1748" s="1539"/>
      <c r="Z1748" s="1539"/>
      <c r="AA1748" s="1539"/>
      <c r="AB1748" s="1539"/>
      <c r="AC1748" s="1539"/>
      <c r="AD1748" s="1539"/>
      <c r="AE1748" s="1539"/>
      <c r="AF1748" s="1539"/>
      <c r="AG1748" s="1539"/>
      <c r="AH1748" s="1539"/>
      <c r="AI1748" s="1539"/>
      <c r="AJ1748" s="1539"/>
      <c r="AK1748" s="1539"/>
      <c r="AL1748" s="1539"/>
      <c r="AM1748" s="1539"/>
      <c r="AN1748" s="1539"/>
      <c r="AO1748" s="1539"/>
      <c r="AP1748" s="1539"/>
      <c r="AQ1748" s="1539"/>
      <c r="AR1748" s="1539"/>
      <c r="AS1748" s="1539"/>
      <c r="AT1748" s="1539"/>
      <c r="AU1748" s="1539"/>
      <c r="AV1748" s="1539"/>
      <c r="AW1748" s="1539"/>
      <c r="AX1748" s="1539"/>
      <c r="AY1748" s="1539"/>
      <c r="AZ1748" s="1539"/>
      <c r="BA1748" s="1539"/>
      <c r="BB1748" s="1539"/>
      <c r="BC1748" s="1539"/>
      <c r="BD1748" s="1539"/>
      <c r="BE1748" s="1539"/>
      <c r="BF1748" s="1539"/>
      <c r="BG1748" s="1539"/>
      <c r="BH1748" s="1539"/>
      <c r="BI1748" s="1539"/>
      <c r="BJ1748" s="1539"/>
      <c r="BK1748" s="1539"/>
      <c r="BL1748" s="1539"/>
      <c r="BM1748" s="1539"/>
      <c r="BN1748" s="1539"/>
      <c r="BO1748" s="1539"/>
      <c r="BP1748" s="1539"/>
      <c r="BQ1748" s="1539"/>
      <c r="BR1748" s="1539"/>
      <c r="BS1748" s="1539"/>
      <c r="BT1748" s="1539"/>
      <c r="BU1748" s="1539"/>
      <c r="BV1748" s="1539"/>
      <c r="BW1748" s="1539"/>
      <c r="BX1748" s="1539"/>
      <c r="BY1748" s="1539"/>
      <c r="BZ1748" s="1539"/>
      <c r="CA1748" s="1539"/>
      <c r="CB1748" s="1539"/>
      <c r="CC1748" s="1539"/>
      <c r="CD1748" s="1539"/>
      <c r="CE1748" s="1539"/>
      <c r="CF1748" s="1539"/>
      <c r="CG1748" s="1539"/>
      <c r="CH1748" s="1539"/>
      <c r="CI1748" s="1539"/>
      <c r="CJ1748" s="1539"/>
      <c r="CK1748" s="1539"/>
      <c r="CL1748" s="1539"/>
      <c r="CM1748" s="1539"/>
      <c r="CN1748" s="1539"/>
      <c r="CO1748" s="1539"/>
    </row>
    <row r="1749" spans="1:93" ht="15.5">
      <c r="A1749" s="1598">
        <v>36.034999999999997</v>
      </c>
      <c r="B1749" s="1599" t="s">
        <v>3426</v>
      </c>
      <c r="C1749" s="1643" t="e">
        <f>+SUMIF(#REF!,Final!A1749,#REF!)</f>
        <v>#REF!</v>
      </c>
      <c r="D1749" s="1597" t="e">
        <f>+SUMIF(#REF!,Final!A1749,#REF!)</f>
        <v>#REF!</v>
      </c>
      <c r="E1749" s="1643" t="e">
        <f>SUMIF(#REF!,Final!A1749,#REF!)</f>
        <v>#REF!</v>
      </c>
      <c r="F1749" s="1644" t="e">
        <f>SUMIF(#REF!,Final!A1749,#REF!)</f>
        <v>#REF!</v>
      </c>
      <c r="G1749" s="1597" t="e">
        <f t="shared" si="180"/>
        <v>#REF!</v>
      </c>
      <c r="H1749" s="1644" t="e">
        <f t="shared" si="181"/>
        <v>#REF!</v>
      </c>
      <c r="I1749" s="1597" t="e">
        <f t="shared" si="182"/>
        <v>#REF!</v>
      </c>
      <c r="J1749" s="1644" t="e">
        <f t="shared" si="183"/>
        <v>#REF!</v>
      </c>
      <c r="M1749" s="1545"/>
      <c r="N1749" s="1545"/>
    </row>
    <row r="1750" spans="1:93" ht="15.5">
      <c r="A1750" s="1598">
        <v>36.036000000000001</v>
      </c>
      <c r="B1750" s="1599" t="s">
        <v>3427</v>
      </c>
      <c r="C1750" s="1643" t="e">
        <f>+SUMIF(#REF!,Final!A1750,#REF!)</f>
        <v>#REF!</v>
      </c>
      <c r="D1750" s="1597" t="e">
        <f>+SUMIF(#REF!,Final!A1750,#REF!)</f>
        <v>#REF!</v>
      </c>
      <c r="E1750" s="1643" t="e">
        <f>SUMIF(#REF!,Final!A1750,#REF!)</f>
        <v>#REF!</v>
      </c>
      <c r="F1750" s="1644" t="e">
        <f>SUMIF(#REF!,Final!A1750,#REF!)</f>
        <v>#REF!</v>
      </c>
      <c r="G1750" s="1597" t="e">
        <f t="shared" si="180"/>
        <v>#REF!</v>
      </c>
      <c r="H1750" s="1644" t="e">
        <f t="shared" si="181"/>
        <v>#REF!</v>
      </c>
      <c r="I1750" s="1597" t="e">
        <f t="shared" si="182"/>
        <v>#REF!</v>
      </c>
      <c r="J1750" s="1644" t="e">
        <f t="shared" si="183"/>
        <v>#REF!</v>
      </c>
      <c r="M1750" s="1545"/>
      <c r="N1750" s="1545"/>
    </row>
    <row r="1751" spans="1:93" s="1542" customFormat="1" ht="15.5">
      <c r="A1751" s="1598">
        <v>36.036999999999999</v>
      </c>
      <c r="B1751" s="1599" t="s">
        <v>3428</v>
      </c>
      <c r="C1751" s="1643" t="e">
        <f>+SUMIF(#REF!,Final!A1751,#REF!)</f>
        <v>#REF!</v>
      </c>
      <c r="D1751" s="1597" t="e">
        <f>+SUMIF(#REF!,Final!A1751,#REF!)</f>
        <v>#REF!</v>
      </c>
      <c r="E1751" s="1643" t="e">
        <f>SUMIF(#REF!,Final!A1751,#REF!)</f>
        <v>#REF!</v>
      </c>
      <c r="F1751" s="1644" t="e">
        <f>SUMIF(#REF!,Final!A1751,#REF!)</f>
        <v>#REF!</v>
      </c>
      <c r="G1751" s="1597" t="e">
        <f t="shared" si="180"/>
        <v>#REF!</v>
      </c>
      <c r="H1751" s="1644" t="e">
        <f t="shared" si="181"/>
        <v>#REF!</v>
      </c>
      <c r="I1751" s="1597" t="e">
        <f t="shared" si="182"/>
        <v>#REF!</v>
      </c>
      <c r="J1751" s="1644" t="e">
        <f t="shared" si="183"/>
        <v>#REF!</v>
      </c>
      <c r="K1751" s="1539"/>
      <c r="L1751" s="1539"/>
      <c r="M1751" s="1545"/>
      <c r="N1751" s="1545"/>
      <c r="O1751" s="1539"/>
      <c r="P1751" s="1539"/>
      <c r="Q1751" s="1539"/>
      <c r="R1751" s="1539"/>
      <c r="S1751" s="1539"/>
      <c r="T1751" s="1539"/>
      <c r="U1751" s="1539"/>
      <c r="V1751" s="1539"/>
      <c r="W1751" s="1539"/>
      <c r="X1751" s="1539"/>
      <c r="Y1751" s="1539"/>
      <c r="Z1751" s="1539"/>
      <c r="AA1751" s="1539"/>
      <c r="AB1751" s="1539"/>
      <c r="AC1751" s="1539"/>
      <c r="AD1751" s="1539"/>
      <c r="AE1751" s="1539"/>
      <c r="AF1751" s="1539"/>
      <c r="AG1751" s="1539"/>
      <c r="AH1751" s="1539"/>
      <c r="AI1751" s="1539"/>
      <c r="AJ1751" s="1539"/>
      <c r="AK1751" s="1539"/>
      <c r="AL1751" s="1539"/>
      <c r="AM1751" s="1539"/>
      <c r="AN1751" s="1539"/>
      <c r="AO1751" s="1539"/>
      <c r="AP1751" s="1539"/>
      <c r="AQ1751" s="1539"/>
      <c r="AR1751" s="1539"/>
      <c r="AS1751" s="1539"/>
      <c r="AT1751" s="1539"/>
      <c r="AU1751" s="1539"/>
      <c r="AV1751" s="1539"/>
      <c r="AW1751" s="1539"/>
      <c r="AX1751" s="1539"/>
      <c r="AY1751" s="1539"/>
      <c r="AZ1751" s="1539"/>
      <c r="BA1751" s="1539"/>
      <c r="BB1751" s="1539"/>
      <c r="BC1751" s="1539"/>
      <c r="BD1751" s="1539"/>
      <c r="BE1751" s="1539"/>
      <c r="BF1751" s="1539"/>
      <c r="BG1751" s="1539"/>
      <c r="BH1751" s="1539"/>
      <c r="BI1751" s="1539"/>
      <c r="BJ1751" s="1539"/>
      <c r="BK1751" s="1539"/>
      <c r="BL1751" s="1539"/>
      <c r="BM1751" s="1539"/>
      <c r="BN1751" s="1539"/>
      <c r="BO1751" s="1539"/>
      <c r="BP1751" s="1539"/>
      <c r="BQ1751" s="1539"/>
      <c r="BR1751" s="1539"/>
      <c r="BS1751" s="1539"/>
      <c r="BT1751" s="1539"/>
      <c r="BU1751" s="1539"/>
      <c r="BV1751" s="1539"/>
      <c r="BW1751" s="1539"/>
      <c r="BX1751" s="1539"/>
      <c r="BY1751" s="1539"/>
      <c r="BZ1751" s="1539"/>
      <c r="CA1751" s="1539"/>
      <c r="CB1751" s="1539"/>
      <c r="CC1751" s="1539"/>
      <c r="CD1751" s="1539"/>
      <c r="CE1751" s="1539"/>
      <c r="CF1751" s="1539"/>
      <c r="CG1751" s="1539"/>
      <c r="CH1751" s="1539"/>
      <c r="CI1751" s="1539"/>
      <c r="CJ1751" s="1539"/>
      <c r="CK1751" s="1539"/>
      <c r="CL1751" s="1539"/>
      <c r="CM1751" s="1539"/>
      <c r="CN1751" s="1539"/>
      <c r="CO1751" s="1539"/>
    </row>
    <row r="1752" spans="1:93" ht="15.5">
      <c r="A1752" s="1598">
        <v>36.037999999999997</v>
      </c>
      <c r="B1752" s="1599" t="s">
        <v>3429</v>
      </c>
      <c r="C1752" s="1643" t="e">
        <f>+SUMIF(#REF!,Final!A1752,#REF!)</f>
        <v>#REF!</v>
      </c>
      <c r="D1752" s="1597" t="e">
        <f>+SUMIF(#REF!,Final!A1752,#REF!)</f>
        <v>#REF!</v>
      </c>
      <c r="E1752" s="1643" t="e">
        <f>SUMIF(#REF!,Final!A1752,#REF!)</f>
        <v>#REF!</v>
      </c>
      <c r="F1752" s="1644" t="e">
        <f>SUMIF(#REF!,Final!A1752,#REF!)</f>
        <v>#REF!</v>
      </c>
      <c r="G1752" s="1597" t="e">
        <f t="shared" si="180"/>
        <v>#REF!</v>
      </c>
      <c r="H1752" s="1644" t="e">
        <f t="shared" si="181"/>
        <v>#REF!</v>
      </c>
      <c r="I1752" s="1597" t="e">
        <f t="shared" si="182"/>
        <v>#REF!</v>
      </c>
      <c r="J1752" s="1644" t="e">
        <f t="shared" si="183"/>
        <v>#REF!</v>
      </c>
      <c r="M1752" s="1545"/>
      <c r="N1752" s="1545"/>
    </row>
    <row r="1753" spans="1:93" ht="15.5">
      <c r="A1753" s="1598">
        <v>36.039000000000001</v>
      </c>
      <c r="B1753" s="1599" t="s">
        <v>4674</v>
      </c>
      <c r="C1753" s="1643" t="e">
        <f>+SUMIF(#REF!,Final!A1753,#REF!)</f>
        <v>#REF!</v>
      </c>
      <c r="D1753" s="1597" t="e">
        <f>+SUMIF(#REF!,Final!A1753,#REF!)</f>
        <v>#REF!</v>
      </c>
      <c r="E1753" s="1643" t="e">
        <f>SUMIF(#REF!,Final!A1753,#REF!)</f>
        <v>#REF!</v>
      </c>
      <c r="F1753" s="1644" t="e">
        <f>SUMIF(#REF!,Final!A1753,#REF!)</f>
        <v>#REF!</v>
      </c>
      <c r="G1753" s="1597" t="e">
        <f t="shared" si="180"/>
        <v>#REF!</v>
      </c>
      <c r="H1753" s="1644" t="e">
        <f t="shared" si="181"/>
        <v>#REF!</v>
      </c>
      <c r="I1753" s="1597" t="e">
        <f t="shared" si="182"/>
        <v>#REF!</v>
      </c>
      <c r="J1753" s="1644" t="e">
        <f t="shared" si="183"/>
        <v>#REF!</v>
      </c>
      <c r="M1753" s="1545"/>
      <c r="N1753" s="1545"/>
    </row>
    <row r="1754" spans="1:93" s="1542" customFormat="1" ht="15.5">
      <c r="A1754" s="1598">
        <v>36.070999999999998</v>
      </c>
      <c r="B1754" s="1599" t="s">
        <v>3430</v>
      </c>
      <c r="C1754" s="1643" t="e">
        <f>+SUMIF(#REF!,Final!A1754,#REF!)</f>
        <v>#REF!</v>
      </c>
      <c r="D1754" s="1597" t="e">
        <f>+SUMIF(#REF!,Final!A1754,#REF!)</f>
        <v>#REF!</v>
      </c>
      <c r="E1754" s="1643" t="e">
        <f>SUMIF(#REF!,Final!A1754,#REF!)</f>
        <v>#REF!</v>
      </c>
      <c r="F1754" s="1644" t="e">
        <f>SUMIF(#REF!,Final!A1754,#REF!)</f>
        <v>#REF!</v>
      </c>
      <c r="G1754" s="1597" t="e">
        <f t="shared" si="180"/>
        <v>#REF!</v>
      </c>
      <c r="H1754" s="1644" t="e">
        <f t="shared" si="181"/>
        <v>#REF!</v>
      </c>
      <c r="I1754" s="1597" t="e">
        <f t="shared" si="182"/>
        <v>#REF!</v>
      </c>
      <c r="J1754" s="1644" t="e">
        <f t="shared" si="183"/>
        <v>#REF!</v>
      </c>
      <c r="K1754" s="1539"/>
      <c r="L1754" s="1539"/>
      <c r="M1754" s="1545"/>
      <c r="N1754" s="1545"/>
      <c r="O1754" s="1539"/>
      <c r="P1754" s="1539"/>
      <c r="Q1754" s="1539"/>
      <c r="R1754" s="1539"/>
      <c r="S1754" s="1539"/>
      <c r="T1754" s="1539"/>
      <c r="U1754" s="1539"/>
      <c r="V1754" s="1539"/>
      <c r="W1754" s="1539"/>
      <c r="X1754" s="1539"/>
      <c r="Y1754" s="1539"/>
      <c r="Z1754" s="1539"/>
      <c r="AA1754" s="1539"/>
      <c r="AB1754" s="1539"/>
      <c r="AC1754" s="1539"/>
      <c r="AD1754" s="1539"/>
      <c r="AE1754" s="1539"/>
      <c r="AF1754" s="1539"/>
      <c r="AG1754" s="1539"/>
      <c r="AH1754" s="1539"/>
      <c r="AI1754" s="1539"/>
      <c r="AJ1754" s="1539"/>
      <c r="AK1754" s="1539"/>
      <c r="AL1754" s="1539"/>
      <c r="AM1754" s="1539"/>
      <c r="AN1754" s="1539"/>
      <c r="AO1754" s="1539"/>
      <c r="AP1754" s="1539"/>
      <c r="AQ1754" s="1539"/>
      <c r="AR1754" s="1539"/>
      <c r="AS1754" s="1539"/>
      <c r="AT1754" s="1539"/>
      <c r="AU1754" s="1539"/>
      <c r="AV1754" s="1539"/>
      <c r="AW1754" s="1539"/>
      <c r="AX1754" s="1539"/>
      <c r="AY1754" s="1539"/>
      <c r="AZ1754" s="1539"/>
      <c r="BA1754" s="1539"/>
      <c r="BB1754" s="1539"/>
      <c r="BC1754" s="1539"/>
      <c r="BD1754" s="1539"/>
      <c r="BE1754" s="1539"/>
      <c r="BF1754" s="1539"/>
      <c r="BG1754" s="1539"/>
      <c r="BH1754" s="1539"/>
      <c r="BI1754" s="1539"/>
      <c r="BJ1754" s="1539"/>
      <c r="BK1754" s="1539"/>
      <c r="BL1754" s="1539"/>
      <c r="BM1754" s="1539"/>
      <c r="BN1754" s="1539"/>
      <c r="BO1754" s="1539"/>
      <c r="BP1754" s="1539"/>
      <c r="BQ1754" s="1539"/>
      <c r="BR1754" s="1539"/>
      <c r="BS1754" s="1539"/>
      <c r="BT1754" s="1539"/>
      <c r="BU1754" s="1539"/>
      <c r="BV1754" s="1539"/>
      <c r="BW1754" s="1539"/>
      <c r="BX1754" s="1539"/>
      <c r="BY1754" s="1539"/>
      <c r="BZ1754" s="1539"/>
      <c r="CA1754" s="1539"/>
      <c r="CB1754" s="1539"/>
      <c r="CC1754" s="1539"/>
      <c r="CD1754" s="1539"/>
      <c r="CE1754" s="1539"/>
      <c r="CF1754" s="1539"/>
      <c r="CG1754" s="1539"/>
      <c r="CH1754" s="1539"/>
      <c r="CI1754" s="1539"/>
      <c r="CJ1754" s="1539"/>
      <c r="CK1754" s="1539"/>
      <c r="CL1754" s="1539"/>
      <c r="CM1754" s="1539"/>
      <c r="CN1754" s="1539"/>
      <c r="CO1754" s="1539"/>
    </row>
    <row r="1755" spans="1:93" ht="15.5">
      <c r="A1755" s="1598">
        <v>36.072000000000003</v>
      </c>
      <c r="B1755" s="1599" t="s">
        <v>3431</v>
      </c>
      <c r="C1755" s="1643" t="e">
        <f>+SUMIF(#REF!,Final!A1755,#REF!)</f>
        <v>#REF!</v>
      </c>
      <c r="D1755" s="1597" t="e">
        <f>+SUMIF(#REF!,Final!A1755,#REF!)</f>
        <v>#REF!</v>
      </c>
      <c r="E1755" s="1643" t="e">
        <f>SUMIF(#REF!,Final!A1755,#REF!)</f>
        <v>#REF!</v>
      </c>
      <c r="F1755" s="1644" t="e">
        <f>SUMIF(#REF!,Final!A1755,#REF!)</f>
        <v>#REF!</v>
      </c>
      <c r="G1755" s="1597" t="e">
        <f t="shared" si="180"/>
        <v>#REF!</v>
      </c>
      <c r="H1755" s="1644" t="e">
        <f t="shared" si="181"/>
        <v>#REF!</v>
      </c>
      <c r="I1755" s="1597" t="e">
        <f t="shared" si="182"/>
        <v>#REF!</v>
      </c>
      <c r="J1755" s="1644" t="e">
        <f t="shared" si="183"/>
        <v>#REF!</v>
      </c>
      <c r="M1755" s="1545"/>
      <c r="N1755" s="1545"/>
    </row>
    <row r="1756" spans="1:93" s="1542" customFormat="1" ht="15.5">
      <c r="A1756" s="1598">
        <v>36.073</v>
      </c>
      <c r="B1756" s="1599" t="s">
        <v>3432</v>
      </c>
      <c r="C1756" s="1643" t="e">
        <f>+SUMIF(#REF!,Final!A1756,#REF!)</f>
        <v>#REF!</v>
      </c>
      <c r="D1756" s="1597" t="e">
        <f>+SUMIF(#REF!,Final!A1756,#REF!)</f>
        <v>#REF!</v>
      </c>
      <c r="E1756" s="1643" t="e">
        <f>SUMIF(#REF!,Final!A1756,#REF!)</f>
        <v>#REF!</v>
      </c>
      <c r="F1756" s="1644" t="e">
        <f>SUMIF(#REF!,Final!A1756,#REF!)</f>
        <v>#REF!</v>
      </c>
      <c r="G1756" s="1597" t="e">
        <f t="shared" si="180"/>
        <v>#REF!</v>
      </c>
      <c r="H1756" s="1644" t="e">
        <f t="shared" si="181"/>
        <v>#REF!</v>
      </c>
      <c r="I1756" s="1597" t="e">
        <f t="shared" si="182"/>
        <v>#REF!</v>
      </c>
      <c r="J1756" s="1644" t="e">
        <f t="shared" si="183"/>
        <v>#REF!</v>
      </c>
      <c r="K1756" s="1539"/>
      <c r="L1756" s="1539"/>
      <c r="M1756" s="1545"/>
      <c r="N1756" s="1545"/>
      <c r="O1756" s="1539"/>
      <c r="P1756" s="1539"/>
      <c r="Q1756" s="1539"/>
      <c r="R1756" s="1539"/>
      <c r="S1756" s="1539"/>
      <c r="T1756" s="1539"/>
      <c r="U1756" s="1539"/>
      <c r="V1756" s="1539"/>
      <c r="W1756" s="1539"/>
      <c r="X1756" s="1539"/>
      <c r="Y1756" s="1539"/>
      <c r="Z1756" s="1539"/>
      <c r="AA1756" s="1539"/>
      <c r="AB1756" s="1539"/>
      <c r="AC1756" s="1539"/>
      <c r="AD1756" s="1539"/>
      <c r="AE1756" s="1539"/>
      <c r="AF1756" s="1539"/>
      <c r="AG1756" s="1539"/>
      <c r="AH1756" s="1539"/>
      <c r="AI1756" s="1539"/>
      <c r="AJ1756" s="1539"/>
      <c r="AK1756" s="1539"/>
      <c r="AL1756" s="1539"/>
      <c r="AM1756" s="1539"/>
      <c r="AN1756" s="1539"/>
      <c r="AO1756" s="1539"/>
      <c r="AP1756" s="1539"/>
      <c r="AQ1756" s="1539"/>
      <c r="AR1756" s="1539"/>
      <c r="AS1756" s="1539"/>
      <c r="AT1756" s="1539"/>
      <c r="AU1756" s="1539"/>
      <c r="AV1756" s="1539"/>
      <c r="AW1756" s="1539"/>
      <c r="AX1756" s="1539"/>
      <c r="AY1756" s="1539"/>
      <c r="AZ1756" s="1539"/>
      <c r="BA1756" s="1539"/>
      <c r="BB1756" s="1539"/>
      <c r="BC1756" s="1539"/>
      <c r="BD1756" s="1539"/>
      <c r="BE1756" s="1539"/>
      <c r="BF1756" s="1539"/>
      <c r="BG1756" s="1539"/>
      <c r="BH1756" s="1539"/>
      <c r="BI1756" s="1539"/>
      <c r="BJ1756" s="1539"/>
      <c r="BK1756" s="1539"/>
      <c r="BL1756" s="1539"/>
      <c r="BM1756" s="1539"/>
      <c r="BN1756" s="1539"/>
      <c r="BO1756" s="1539"/>
      <c r="BP1756" s="1539"/>
      <c r="BQ1756" s="1539"/>
      <c r="BR1756" s="1539"/>
      <c r="BS1756" s="1539"/>
      <c r="BT1756" s="1539"/>
      <c r="BU1756" s="1539"/>
      <c r="BV1756" s="1539"/>
      <c r="BW1756" s="1539"/>
      <c r="BX1756" s="1539"/>
      <c r="BY1756" s="1539"/>
      <c r="BZ1756" s="1539"/>
      <c r="CA1756" s="1539"/>
      <c r="CB1756" s="1539"/>
      <c r="CC1756" s="1539"/>
      <c r="CD1756" s="1539"/>
      <c r="CE1756" s="1539"/>
      <c r="CF1756" s="1539"/>
      <c r="CG1756" s="1539"/>
      <c r="CH1756" s="1539"/>
      <c r="CI1756" s="1539"/>
      <c r="CJ1756" s="1539"/>
      <c r="CK1756" s="1539"/>
      <c r="CL1756" s="1539"/>
      <c r="CM1756" s="1539"/>
      <c r="CN1756" s="1539"/>
      <c r="CO1756" s="1539"/>
    </row>
    <row r="1757" spans="1:93" s="1542" customFormat="1" ht="15.5">
      <c r="A1757" s="1598">
        <v>36.073999999999998</v>
      </c>
      <c r="B1757" s="1599" t="s">
        <v>3433</v>
      </c>
      <c r="C1757" s="1643" t="e">
        <f>+SUMIF(#REF!,Final!A1757,#REF!)</f>
        <v>#REF!</v>
      </c>
      <c r="D1757" s="1597" t="e">
        <f>+SUMIF(#REF!,Final!A1757,#REF!)</f>
        <v>#REF!</v>
      </c>
      <c r="E1757" s="1643" t="e">
        <f>SUMIF(#REF!,Final!A1757,#REF!)</f>
        <v>#REF!</v>
      </c>
      <c r="F1757" s="1644" t="e">
        <f>SUMIF(#REF!,Final!A1757,#REF!)</f>
        <v>#REF!</v>
      </c>
      <c r="G1757" s="1597" t="e">
        <f t="shared" si="180"/>
        <v>#REF!</v>
      </c>
      <c r="H1757" s="1644" t="e">
        <f t="shared" si="181"/>
        <v>#REF!</v>
      </c>
      <c r="I1757" s="1597" t="e">
        <f t="shared" si="182"/>
        <v>#REF!</v>
      </c>
      <c r="J1757" s="1644" t="e">
        <f t="shared" si="183"/>
        <v>#REF!</v>
      </c>
      <c r="K1757" s="1539"/>
      <c r="L1757" s="1539"/>
      <c r="M1757" s="1545"/>
      <c r="N1757" s="1545"/>
      <c r="O1757" s="1539"/>
      <c r="P1757" s="1539"/>
      <c r="Q1757" s="1539"/>
      <c r="R1757" s="1539"/>
      <c r="S1757" s="1539"/>
      <c r="T1757" s="1539"/>
      <c r="U1757" s="1539"/>
      <c r="V1757" s="1539"/>
      <c r="W1757" s="1539"/>
      <c r="X1757" s="1539"/>
      <c r="Y1757" s="1539"/>
      <c r="Z1757" s="1539"/>
      <c r="AA1757" s="1539"/>
      <c r="AB1757" s="1539"/>
      <c r="AC1757" s="1539"/>
      <c r="AD1757" s="1539"/>
      <c r="AE1757" s="1539"/>
      <c r="AF1757" s="1539"/>
      <c r="AG1757" s="1539"/>
      <c r="AH1757" s="1539"/>
      <c r="AI1757" s="1539"/>
      <c r="AJ1757" s="1539"/>
      <c r="AK1757" s="1539"/>
      <c r="AL1757" s="1539"/>
      <c r="AM1757" s="1539"/>
      <c r="AN1757" s="1539"/>
      <c r="AO1757" s="1539"/>
      <c r="AP1757" s="1539"/>
      <c r="AQ1757" s="1539"/>
      <c r="AR1757" s="1539"/>
      <c r="AS1757" s="1539"/>
      <c r="AT1757" s="1539"/>
      <c r="AU1757" s="1539"/>
      <c r="AV1757" s="1539"/>
      <c r="AW1757" s="1539"/>
      <c r="AX1757" s="1539"/>
      <c r="AY1757" s="1539"/>
      <c r="AZ1757" s="1539"/>
      <c r="BA1757" s="1539"/>
      <c r="BB1757" s="1539"/>
      <c r="BC1757" s="1539"/>
      <c r="BD1757" s="1539"/>
      <c r="BE1757" s="1539"/>
      <c r="BF1757" s="1539"/>
      <c r="BG1757" s="1539"/>
      <c r="BH1757" s="1539"/>
      <c r="BI1757" s="1539"/>
      <c r="BJ1757" s="1539"/>
      <c r="BK1757" s="1539"/>
      <c r="BL1757" s="1539"/>
      <c r="BM1757" s="1539"/>
      <c r="BN1757" s="1539"/>
      <c r="BO1757" s="1539"/>
      <c r="BP1757" s="1539"/>
      <c r="BQ1757" s="1539"/>
      <c r="BR1757" s="1539"/>
      <c r="BS1757" s="1539"/>
      <c r="BT1757" s="1539"/>
      <c r="BU1757" s="1539"/>
      <c r="BV1757" s="1539"/>
      <c r="BW1757" s="1539"/>
      <c r="BX1757" s="1539"/>
      <c r="BY1757" s="1539"/>
      <c r="BZ1757" s="1539"/>
      <c r="CA1757" s="1539"/>
      <c r="CB1757" s="1539"/>
      <c r="CC1757" s="1539"/>
      <c r="CD1757" s="1539"/>
      <c r="CE1757" s="1539"/>
      <c r="CF1757" s="1539"/>
      <c r="CG1757" s="1539"/>
      <c r="CH1757" s="1539"/>
      <c r="CI1757" s="1539"/>
      <c r="CJ1757" s="1539"/>
      <c r="CK1757" s="1539"/>
      <c r="CL1757" s="1539"/>
      <c r="CM1757" s="1539"/>
      <c r="CN1757" s="1539"/>
      <c r="CO1757" s="1539"/>
    </row>
    <row r="1758" spans="1:93" s="1542" customFormat="1" ht="15.5">
      <c r="A1758" s="1598">
        <v>36.075000000000003</v>
      </c>
      <c r="B1758" s="1599" t="s">
        <v>3434</v>
      </c>
      <c r="C1758" s="1643" t="e">
        <f>+SUMIF(#REF!,Final!A1758,#REF!)</f>
        <v>#REF!</v>
      </c>
      <c r="D1758" s="1597" t="e">
        <f>+SUMIF(#REF!,Final!A1758,#REF!)</f>
        <v>#REF!</v>
      </c>
      <c r="E1758" s="1643" t="e">
        <f>SUMIF(#REF!,Final!A1758,#REF!)</f>
        <v>#REF!</v>
      </c>
      <c r="F1758" s="1644" t="e">
        <f>SUMIF(#REF!,Final!A1758,#REF!)</f>
        <v>#REF!</v>
      </c>
      <c r="G1758" s="1597" t="e">
        <f t="shared" si="180"/>
        <v>#REF!</v>
      </c>
      <c r="H1758" s="1644" t="e">
        <f t="shared" si="181"/>
        <v>#REF!</v>
      </c>
      <c r="I1758" s="1597" t="e">
        <f t="shared" si="182"/>
        <v>#REF!</v>
      </c>
      <c r="J1758" s="1644" t="e">
        <f t="shared" si="183"/>
        <v>#REF!</v>
      </c>
      <c r="K1758" s="1539"/>
      <c r="L1758" s="1539"/>
      <c r="M1758" s="1545"/>
      <c r="N1758" s="1545"/>
      <c r="O1758" s="1539"/>
      <c r="P1758" s="1539"/>
      <c r="Q1758" s="1539"/>
      <c r="R1758" s="1539"/>
      <c r="S1758" s="1539"/>
      <c r="T1758" s="1539"/>
      <c r="U1758" s="1539"/>
      <c r="V1758" s="1539"/>
      <c r="W1758" s="1539"/>
      <c r="X1758" s="1539"/>
      <c r="Y1758" s="1539"/>
      <c r="Z1758" s="1539"/>
      <c r="AA1758" s="1539"/>
      <c r="AB1758" s="1539"/>
      <c r="AC1758" s="1539"/>
      <c r="AD1758" s="1539"/>
      <c r="AE1758" s="1539"/>
      <c r="AF1758" s="1539"/>
      <c r="AG1758" s="1539"/>
      <c r="AH1758" s="1539"/>
      <c r="AI1758" s="1539"/>
      <c r="AJ1758" s="1539"/>
      <c r="AK1758" s="1539"/>
      <c r="AL1758" s="1539"/>
      <c r="AM1758" s="1539"/>
      <c r="AN1758" s="1539"/>
      <c r="AO1758" s="1539"/>
      <c r="AP1758" s="1539"/>
      <c r="AQ1758" s="1539"/>
      <c r="AR1758" s="1539"/>
      <c r="AS1758" s="1539"/>
      <c r="AT1758" s="1539"/>
      <c r="AU1758" s="1539"/>
      <c r="AV1758" s="1539"/>
      <c r="AW1758" s="1539"/>
      <c r="AX1758" s="1539"/>
      <c r="AY1758" s="1539"/>
      <c r="AZ1758" s="1539"/>
      <c r="BA1758" s="1539"/>
      <c r="BB1758" s="1539"/>
      <c r="BC1758" s="1539"/>
      <c r="BD1758" s="1539"/>
      <c r="BE1758" s="1539"/>
      <c r="BF1758" s="1539"/>
      <c r="BG1758" s="1539"/>
      <c r="BH1758" s="1539"/>
      <c r="BI1758" s="1539"/>
      <c r="BJ1758" s="1539"/>
      <c r="BK1758" s="1539"/>
      <c r="BL1758" s="1539"/>
      <c r="BM1758" s="1539"/>
      <c r="BN1758" s="1539"/>
      <c r="BO1758" s="1539"/>
      <c r="BP1758" s="1539"/>
      <c r="BQ1758" s="1539"/>
      <c r="BR1758" s="1539"/>
      <c r="BS1758" s="1539"/>
      <c r="BT1758" s="1539"/>
      <c r="BU1758" s="1539"/>
      <c r="BV1758" s="1539"/>
      <c r="BW1758" s="1539"/>
      <c r="BX1758" s="1539"/>
      <c r="BY1758" s="1539"/>
      <c r="BZ1758" s="1539"/>
      <c r="CA1758" s="1539"/>
      <c r="CB1758" s="1539"/>
      <c r="CC1758" s="1539"/>
      <c r="CD1758" s="1539"/>
      <c r="CE1758" s="1539"/>
      <c r="CF1758" s="1539"/>
      <c r="CG1758" s="1539"/>
      <c r="CH1758" s="1539"/>
      <c r="CI1758" s="1539"/>
      <c r="CJ1758" s="1539"/>
      <c r="CK1758" s="1539"/>
      <c r="CL1758" s="1539"/>
      <c r="CM1758" s="1539"/>
      <c r="CN1758" s="1539"/>
      <c r="CO1758" s="1539"/>
    </row>
    <row r="1759" spans="1:93" s="1542" customFormat="1" ht="15.5">
      <c r="A1759" s="1598">
        <v>36.076000000000001</v>
      </c>
      <c r="B1759" s="1599" t="s">
        <v>3435</v>
      </c>
      <c r="C1759" s="1643" t="e">
        <f>+SUMIF(#REF!,Final!A1759,#REF!)</f>
        <v>#REF!</v>
      </c>
      <c r="D1759" s="1597" t="e">
        <f>+SUMIF(#REF!,Final!A1759,#REF!)</f>
        <v>#REF!</v>
      </c>
      <c r="E1759" s="1643" t="e">
        <f>SUMIF(#REF!,Final!A1759,#REF!)</f>
        <v>#REF!</v>
      </c>
      <c r="F1759" s="1644" t="e">
        <f>SUMIF(#REF!,Final!A1759,#REF!)</f>
        <v>#REF!</v>
      </c>
      <c r="G1759" s="1597" t="e">
        <f t="shared" si="180"/>
        <v>#REF!</v>
      </c>
      <c r="H1759" s="1644" t="e">
        <f t="shared" si="181"/>
        <v>#REF!</v>
      </c>
      <c r="I1759" s="1597" t="e">
        <f t="shared" si="182"/>
        <v>#REF!</v>
      </c>
      <c r="J1759" s="1644" t="e">
        <f t="shared" si="183"/>
        <v>#REF!</v>
      </c>
      <c r="K1759" s="1539"/>
      <c r="L1759" s="1539"/>
      <c r="M1759" s="1545"/>
      <c r="N1759" s="1545"/>
      <c r="O1759" s="1539"/>
      <c r="P1759" s="1539"/>
      <c r="Q1759" s="1539"/>
      <c r="R1759" s="1539"/>
      <c r="S1759" s="1539"/>
      <c r="T1759" s="1539"/>
      <c r="U1759" s="1539"/>
      <c r="V1759" s="1539"/>
      <c r="W1759" s="1539"/>
      <c r="X1759" s="1539"/>
      <c r="Y1759" s="1539"/>
      <c r="Z1759" s="1539"/>
      <c r="AA1759" s="1539"/>
      <c r="AB1759" s="1539"/>
      <c r="AC1759" s="1539"/>
      <c r="AD1759" s="1539"/>
      <c r="AE1759" s="1539"/>
      <c r="AF1759" s="1539"/>
      <c r="AG1759" s="1539"/>
      <c r="AH1759" s="1539"/>
      <c r="AI1759" s="1539"/>
      <c r="AJ1759" s="1539"/>
      <c r="AK1759" s="1539"/>
      <c r="AL1759" s="1539"/>
      <c r="AM1759" s="1539"/>
      <c r="AN1759" s="1539"/>
      <c r="AO1759" s="1539"/>
      <c r="AP1759" s="1539"/>
      <c r="AQ1759" s="1539"/>
      <c r="AR1759" s="1539"/>
      <c r="AS1759" s="1539"/>
      <c r="AT1759" s="1539"/>
      <c r="AU1759" s="1539"/>
      <c r="AV1759" s="1539"/>
      <c r="AW1759" s="1539"/>
      <c r="AX1759" s="1539"/>
      <c r="AY1759" s="1539"/>
      <c r="AZ1759" s="1539"/>
      <c r="BA1759" s="1539"/>
      <c r="BB1759" s="1539"/>
      <c r="BC1759" s="1539"/>
      <c r="BD1759" s="1539"/>
      <c r="BE1759" s="1539"/>
      <c r="BF1759" s="1539"/>
      <c r="BG1759" s="1539"/>
      <c r="BH1759" s="1539"/>
      <c r="BI1759" s="1539"/>
      <c r="BJ1759" s="1539"/>
      <c r="BK1759" s="1539"/>
      <c r="BL1759" s="1539"/>
      <c r="BM1759" s="1539"/>
      <c r="BN1759" s="1539"/>
      <c r="BO1759" s="1539"/>
      <c r="BP1759" s="1539"/>
      <c r="BQ1759" s="1539"/>
      <c r="BR1759" s="1539"/>
      <c r="BS1759" s="1539"/>
      <c r="BT1759" s="1539"/>
      <c r="BU1759" s="1539"/>
      <c r="BV1759" s="1539"/>
      <c r="BW1759" s="1539"/>
      <c r="BX1759" s="1539"/>
      <c r="BY1759" s="1539"/>
      <c r="BZ1759" s="1539"/>
      <c r="CA1759" s="1539"/>
      <c r="CB1759" s="1539"/>
      <c r="CC1759" s="1539"/>
      <c r="CD1759" s="1539"/>
      <c r="CE1759" s="1539"/>
      <c r="CF1759" s="1539"/>
      <c r="CG1759" s="1539"/>
      <c r="CH1759" s="1539"/>
      <c r="CI1759" s="1539"/>
      <c r="CJ1759" s="1539"/>
      <c r="CK1759" s="1539"/>
      <c r="CL1759" s="1539"/>
      <c r="CM1759" s="1539"/>
      <c r="CN1759" s="1539"/>
      <c r="CO1759" s="1539"/>
    </row>
    <row r="1760" spans="1:93" s="1542" customFormat="1" ht="15.5">
      <c r="A1760" s="1598">
        <v>36.113999999999997</v>
      </c>
      <c r="B1760" s="1599" t="s">
        <v>3436</v>
      </c>
      <c r="C1760" s="1643" t="e">
        <f>+SUMIF(#REF!,Final!A1760,#REF!)</f>
        <v>#REF!</v>
      </c>
      <c r="D1760" s="1597" t="e">
        <f>+SUMIF(#REF!,Final!A1760,#REF!)</f>
        <v>#REF!</v>
      </c>
      <c r="E1760" s="1643" t="e">
        <f>SUMIF(#REF!,Final!A1760,#REF!)</f>
        <v>#REF!</v>
      </c>
      <c r="F1760" s="1644" t="e">
        <f>SUMIF(#REF!,Final!A1760,#REF!)</f>
        <v>#REF!</v>
      </c>
      <c r="G1760" s="1597" t="e">
        <f t="shared" si="180"/>
        <v>#REF!</v>
      </c>
      <c r="H1760" s="1644" t="e">
        <f t="shared" si="181"/>
        <v>#REF!</v>
      </c>
      <c r="I1760" s="1597" t="e">
        <f t="shared" si="182"/>
        <v>#REF!</v>
      </c>
      <c r="J1760" s="1644" t="e">
        <f t="shared" si="183"/>
        <v>#REF!</v>
      </c>
      <c r="K1760" s="1539"/>
      <c r="L1760" s="1539"/>
      <c r="M1760" s="1545"/>
      <c r="N1760" s="1545"/>
      <c r="O1760" s="1539"/>
      <c r="P1760" s="1539"/>
      <c r="Q1760" s="1539"/>
      <c r="R1760" s="1539"/>
      <c r="S1760" s="1539"/>
      <c r="T1760" s="1539"/>
      <c r="U1760" s="1539"/>
      <c r="V1760" s="1539"/>
      <c r="W1760" s="1539"/>
      <c r="X1760" s="1539"/>
      <c r="Y1760" s="1539"/>
      <c r="Z1760" s="1539"/>
      <c r="AA1760" s="1539"/>
      <c r="AB1760" s="1539"/>
      <c r="AC1760" s="1539"/>
      <c r="AD1760" s="1539"/>
      <c r="AE1760" s="1539"/>
      <c r="AF1760" s="1539"/>
      <c r="AG1760" s="1539"/>
      <c r="AH1760" s="1539"/>
      <c r="AI1760" s="1539"/>
      <c r="AJ1760" s="1539"/>
      <c r="AK1760" s="1539"/>
      <c r="AL1760" s="1539"/>
      <c r="AM1760" s="1539"/>
      <c r="AN1760" s="1539"/>
      <c r="AO1760" s="1539"/>
      <c r="AP1760" s="1539"/>
      <c r="AQ1760" s="1539"/>
      <c r="AR1760" s="1539"/>
      <c r="AS1760" s="1539"/>
      <c r="AT1760" s="1539"/>
      <c r="AU1760" s="1539"/>
      <c r="AV1760" s="1539"/>
      <c r="AW1760" s="1539"/>
      <c r="AX1760" s="1539"/>
      <c r="AY1760" s="1539"/>
      <c r="AZ1760" s="1539"/>
      <c r="BA1760" s="1539"/>
      <c r="BB1760" s="1539"/>
      <c r="BC1760" s="1539"/>
      <c r="BD1760" s="1539"/>
      <c r="BE1760" s="1539"/>
      <c r="BF1760" s="1539"/>
      <c r="BG1760" s="1539"/>
      <c r="BH1760" s="1539"/>
      <c r="BI1760" s="1539"/>
      <c r="BJ1760" s="1539"/>
      <c r="BK1760" s="1539"/>
      <c r="BL1760" s="1539"/>
      <c r="BM1760" s="1539"/>
      <c r="BN1760" s="1539"/>
      <c r="BO1760" s="1539"/>
      <c r="BP1760" s="1539"/>
      <c r="BQ1760" s="1539"/>
      <c r="BR1760" s="1539"/>
      <c r="BS1760" s="1539"/>
      <c r="BT1760" s="1539"/>
      <c r="BU1760" s="1539"/>
      <c r="BV1760" s="1539"/>
      <c r="BW1760" s="1539"/>
      <c r="BX1760" s="1539"/>
      <c r="BY1760" s="1539"/>
      <c r="BZ1760" s="1539"/>
      <c r="CA1760" s="1539"/>
      <c r="CB1760" s="1539"/>
      <c r="CC1760" s="1539"/>
      <c r="CD1760" s="1539"/>
      <c r="CE1760" s="1539"/>
      <c r="CF1760" s="1539"/>
      <c r="CG1760" s="1539"/>
      <c r="CH1760" s="1539"/>
      <c r="CI1760" s="1539"/>
      <c r="CJ1760" s="1539"/>
      <c r="CK1760" s="1539"/>
      <c r="CL1760" s="1539"/>
      <c r="CM1760" s="1539"/>
      <c r="CN1760" s="1539"/>
      <c r="CO1760" s="1539"/>
    </row>
    <row r="1761" spans="1:93" s="1542" customFormat="1" ht="15.5">
      <c r="A1761" s="1598">
        <v>36.115000000000002</v>
      </c>
      <c r="B1761" s="1599" t="s">
        <v>3437</v>
      </c>
      <c r="C1761" s="1643" t="e">
        <f>+SUMIF(#REF!,Final!A1761,#REF!)</f>
        <v>#REF!</v>
      </c>
      <c r="D1761" s="1597" t="e">
        <f>+SUMIF(#REF!,Final!A1761,#REF!)</f>
        <v>#REF!</v>
      </c>
      <c r="E1761" s="1643" t="e">
        <f>SUMIF(#REF!,Final!A1761,#REF!)</f>
        <v>#REF!</v>
      </c>
      <c r="F1761" s="1644" t="e">
        <f>SUMIF(#REF!,Final!A1761,#REF!)</f>
        <v>#REF!</v>
      </c>
      <c r="G1761" s="1597" t="e">
        <f t="shared" si="180"/>
        <v>#REF!</v>
      </c>
      <c r="H1761" s="1644" t="e">
        <f t="shared" si="181"/>
        <v>#REF!</v>
      </c>
      <c r="I1761" s="1597" t="e">
        <f t="shared" si="182"/>
        <v>#REF!</v>
      </c>
      <c r="J1761" s="1644" t="e">
        <f t="shared" si="183"/>
        <v>#REF!</v>
      </c>
      <c r="K1761" s="1539"/>
      <c r="L1761" s="1539"/>
      <c r="M1761" s="1545"/>
      <c r="N1761" s="1545"/>
      <c r="O1761" s="1539"/>
      <c r="P1761" s="1539"/>
      <c r="Q1761" s="1539"/>
      <c r="R1761" s="1539"/>
      <c r="S1761" s="1539"/>
      <c r="T1761" s="1539"/>
      <c r="U1761" s="1539"/>
      <c r="V1761" s="1539"/>
      <c r="W1761" s="1539"/>
      <c r="X1761" s="1539"/>
      <c r="Y1761" s="1539"/>
      <c r="Z1761" s="1539"/>
      <c r="AA1761" s="1539"/>
      <c r="AB1761" s="1539"/>
      <c r="AC1761" s="1539"/>
      <c r="AD1761" s="1539"/>
      <c r="AE1761" s="1539"/>
      <c r="AF1761" s="1539"/>
      <c r="AG1761" s="1539"/>
      <c r="AH1761" s="1539"/>
      <c r="AI1761" s="1539"/>
      <c r="AJ1761" s="1539"/>
      <c r="AK1761" s="1539"/>
      <c r="AL1761" s="1539"/>
      <c r="AM1761" s="1539"/>
      <c r="AN1761" s="1539"/>
      <c r="AO1761" s="1539"/>
      <c r="AP1761" s="1539"/>
      <c r="AQ1761" s="1539"/>
      <c r="AR1761" s="1539"/>
      <c r="AS1761" s="1539"/>
      <c r="AT1761" s="1539"/>
      <c r="AU1761" s="1539"/>
      <c r="AV1761" s="1539"/>
      <c r="AW1761" s="1539"/>
      <c r="AX1761" s="1539"/>
      <c r="AY1761" s="1539"/>
      <c r="AZ1761" s="1539"/>
      <c r="BA1761" s="1539"/>
      <c r="BB1761" s="1539"/>
      <c r="BC1761" s="1539"/>
      <c r="BD1761" s="1539"/>
      <c r="BE1761" s="1539"/>
      <c r="BF1761" s="1539"/>
      <c r="BG1761" s="1539"/>
      <c r="BH1761" s="1539"/>
      <c r="BI1761" s="1539"/>
      <c r="BJ1761" s="1539"/>
      <c r="BK1761" s="1539"/>
      <c r="BL1761" s="1539"/>
      <c r="BM1761" s="1539"/>
      <c r="BN1761" s="1539"/>
      <c r="BO1761" s="1539"/>
      <c r="BP1761" s="1539"/>
      <c r="BQ1761" s="1539"/>
      <c r="BR1761" s="1539"/>
      <c r="BS1761" s="1539"/>
      <c r="BT1761" s="1539"/>
      <c r="BU1761" s="1539"/>
      <c r="BV1761" s="1539"/>
      <c r="BW1761" s="1539"/>
      <c r="BX1761" s="1539"/>
      <c r="BY1761" s="1539"/>
      <c r="BZ1761" s="1539"/>
      <c r="CA1761" s="1539"/>
      <c r="CB1761" s="1539"/>
      <c r="CC1761" s="1539"/>
      <c r="CD1761" s="1539"/>
      <c r="CE1761" s="1539"/>
      <c r="CF1761" s="1539"/>
      <c r="CG1761" s="1539"/>
      <c r="CH1761" s="1539"/>
      <c r="CI1761" s="1539"/>
      <c r="CJ1761" s="1539"/>
      <c r="CK1761" s="1539"/>
      <c r="CL1761" s="1539"/>
      <c r="CM1761" s="1539"/>
      <c r="CN1761" s="1539"/>
      <c r="CO1761" s="1539"/>
    </row>
    <row r="1762" spans="1:93" s="1552" customFormat="1" ht="15.5">
      <c r="A1762" s="1598"/>
      <c r="B1762" s="1599" t="s">
        <v>1747</v>
      </c>
      <c r="C1762" s="1643" t="e">
        <f>+SUMIF(#REF!,Final!A1762,#REF!)</f>
        <v>#REF!</v>
      </c>
      <c r="D1762" s="1597" t="e">
        <f>+SUMIF(#REF!,Final!A1762,#REF!)</f>
        <v>#REF!</v>
      </c>
      <c r="E1762" s="1643" t="e">
        <f>SUMIF(#REF!,Final!A1762,#REF!)</f>
        <v>#REF!</v>
      </c>
      <c r="F1762" s="1644" t="e">
        <f>SUMIF(#REF!,Final!A1762,#REF!)</f>
        <v>#REF!</v>
      </c>
      <c r="G1762" s="1597" t="e">
        <f t="shared" si="180"/>
        <v>#REF!</v>
      </c>
      <c r="H1762" s="1644" t="e">
        <f t="shared" si="181"/>
        <v>#REF!</v>
      </c>
      <c r="I1762" s="1597" t="e">
        <f t="shared" si="182"/>
        <v>#REF!</v>
      </c>
      <c r="J1762" s="1644" t="e">
        <f t="shared" si="183"/>
        <v>#REF!</v>
      </c>
      <c r="K1762" s="1539"/>
      <c r="L1762" s="1539"/>
      <c r="M1762" s="1545"/>
      <c r="N1762" s="1545"/>
      <c r="O1762" s="1539"/>
      <c r="P1762" s="1539"/>
      <c r="Q1762" s="1539"/>
      <c r="R1762" s="1539"/>
      <c r="S1762" s="1539"/>
      <c r="T1762" s="1539"/>
      <c r="U1762" s="1539"/>
      <c r="V1762" s="1539"/>
      <c r="W1762" s="1539"/>
      <c r="X1762" s="1539"/>
      <c r="Y1762" s="1539"/>
      <c r="Z1762" s="1539"/>
      <c r="AA1762" s="1539"/>
      <c r="AB1762" s="1539"/>
      <c r="AC1762" s="1539"/>
      <c r="AD1762" s="1539"/>
      <c r="AE1762" s="1539"/>
      <c r="AF1762" s="1539"/>
      <c r="AG1762" s="1539"/>
      <c r="AH1762" s="1539"/>
      <c r="AI1762" s="1539"/>
      <c r="AJ1762" s="1539"/>
      <c r="AK1762" s="1539"/>
      <c r="AL1762" s="1539"/>
      <c r="AM1762" s="1539"/>
      <c r="AN1762" s="1539"/>
      <c r="AO1762" s="1539"/>
      <c r="AP1762" s="1539"/>
      <c r="AQ1762" s="1539"/>
      <c r="AR1762" s="1539"/>
      <c r="AS1762" s="1539"/>
      <c r="AT1762" s="1539"/>
      <c r="AU1762" s="1539"/>
      <c r="AV1762" s="1539"/>
      <c r="AW1762" s="1539"/>
      <c r="AX1762" s="1539"/>
      <c r="AY1762" s="1539"/>
      <c r="AZ1762" s="1539"/>
      <c r="BA1762" s="1539"/>
      <c r="BB1762" s="1539"/>
      <c r="BC1762" s="1539"/>
      <c r="BD1762" s="1539"/>
      <c r="BE1762" s="1539"/>
      <c r="BF1762" s="1539"/>
      <c r="BG1762" s="1539"/>
      <c r="BH1762" s="1539"/>
      <c r="BI1762" s="1539"/>
      <c r="BJ1762" s="1539"/>
      <c r="BK1762" s="1539"/>
      <c r="BL1762" s="1539"/>
      <c r="BM1762" s="1539"/>
      <c r="BN1762" s="1539"/>
      <c r="BO1762" s="1539"/>
      <c r="BP1762" s="1539"/>
      <c r="BQ1762" s="1539"/>
      <c r="BR1762" s="1539"/>
      <c r="BS1762" s="1539"/>
      <c r="BT1762" s="1539"/>
      <c r="BU1762" s="1539"/>
      <c r="BV1762" s="1539"/>
      <c r="BW1762" s="1539"/>
      <c r="BX1762" s="1539"/>
      <c r="BY1762" s="1539"/>
      <c r="BZ1762" s="1539"/>
      <c r="CA1762" s="1539"/>
      <c r="CB1762" s="1539"/>
      <c r="CC1762" s="1539"/>
      <c r="CD1762" s="1539"/>
      <c r="CE1762" s="1539"/>
      <c r="CF1762" s="1539"/>
      <c r="CG1762" s="1539"/>
      <c r="CH1762" s="1539"/>
      <c r="CI1762" s="1539"/>
      <c r="CJ1762" s="1539"/>
      <c r="CK1762" s="1539"/>
      <c r="CL1762" s="1539"/>
      <c r="CM1762" s="1539"/>
      <c r="CN1762" s="1539"/>
      <c r="CO1762" s="1539"/>
    </row>
    <row r="1763" spans="1:93" s="1552" customFormat="1" ht="15.5">
      <c r="A1763" s="1598"/>
      <c r="B1763" s="1599" t="s">
        <v>1760</v>
      </c>
      <c r="C1763" s="1643" t="e">
        <f>+SUMIF(#REF!,Final!A1763,#REF!)</f>
        <v>#REF!</v>
      </c>
      <c r="D1763" s="1597" t="e">
        <f>+SUMIF(#REF!,Final!A1763,#REF!)</f>
        <v>#REF!</v>
      </c>
      <c r="E1763" s="1643" t="e">
        <f>SUMIF(#REF!,Final!A1763,#REF!)</f>
        <v>#REF!</v>
      </c>
      <c r="F1763" s="1644" t="e">
        <f>SUMIF(#REF!,Final!A1763,#REF!)</f>
        <v>#REF!</v>
      </c>
      <c r="G1763" s="1597" t="e">
        <f t="shared" si="180"/>
        <v>#REF!</v>
      </c>
      <c r="H1763" s="1644" t="e">
        <f t="shared" si="181"/>
        <v>#REF!</v>
      </c>
      <c r="I1763" s="1597" t="e">
        <f t="shared" si="182"/>
        <v>#REF!</v>
      </c>
      <c r="J1763" s="1644" t="e">
        <f t="shared" si="183"/>
        <v>#REF!</v>
      </c>
      <c r="K1763" s="1539"/>
      <c r="L1763" s="1539"/>
      <c r="M1763" s="1545"/>
      <c r="N1763" s="1545"/>
      <c r="O1763" s="1539"/>
      <c r="P1763" s="1539"/>
      <c r="Q1763" s="1539"/>
      <c r="R1763" s="1539"/>
      <c r="S1763" s="1539"/>
      <c r="T1763" s="1539"/>
      <c r="U1763" s="1539"/>
      <c r="V1763" s="1539"/>
      <c r="W1763" s="1539"/>
      <c r="X1763" s="1539"/>
      <c r="Y1763" s="1539"/>
      <c r="Z1763" s="1539"/>
      <c r="AA1763" s="1539"/>
      <c r="AB1763" s="1539"/>
      <c r="AC1763" s="1539"/>
      <c r="AD1763" s="1539"/>
      <c r="AE1763" s="1539"/>
      <c r="AF1763" s="1539"/>
      <c r="AG1763" s="1539"/>
      <c r="AH1763" s="1539"/>
      <c r="AI1763" s="1539"/>
      <c r="AJ1763" s="1539"/>
      <c r="AK1763" s="1539"/>
      <c r="AL1763" s="1539"/>
      <c r="AM1763" s="1539"/>
      <c r="AN1763" s="1539"/>
      <c r="AO1763" s="1539"/>
      <c r="AP1763" s="1539"/>
      <c r="AQ1763" s="1539"/>
      <c r="AR1763" s="1539"/>
      <c r="AS1763" s="1539"/>
      <c r="AT1763" s="1539"/>
      <c r="AU1763" s="1539"/>
      <c r="AV1763" s="1539"/>
      <c r="AW1763" s="1539"/>
      <c r="AX1763" s="1539"/>
      <c r="AY1763" s="1539"/>
      <c r="AZ1763" s="1539"/>
      <c r="BA1763" s="1539"/>
      <c r="BB1763" s="1539"/>
      <c r="BC1763" s="1539"/>
      <c r="BD1763" s="1539"/>
      <c r="BE1763" s="1539"/>
      <c r="BF1763" s="1539"/>
      <c r="BG1763" s="1539"/>
      <c r="BH1763" s="1539"/>
      <c r="BI1763" s="1539"/>
      <c r="BJ1763" s="1539"/>
      <c r="BK1763" s="1539"/>
      <c r="BL1763" s="1539"/>
      <c r="BM1763" s="1539"/>
      <c r="BN1763" s="1539"/>
      <c r="BO1763" s="1539"/>
      <c r="BP1763" s="1539"/>
      <c r="BQ1763" s="1539"/>
      <c r="BR1763" s="1539"/>
      <c r="BS1763" s="1539"/>
      <c r="BT1763" s="1539"/>
      <c r="BU1763" s="1539"/>
      <c r="BV1763" s="1539"/>
      <c r="BW1763" s="1539"/>
      <c r="BX1763" s="1539"/>
      <c r="BY1763" s="1539"/>
      <c r="BZ1763" s="1539"/>
      <c r="CA1763" s="1539"/>
      <c r="CB1763" s="1539"/>
      <c r="CC1763" s="1539"/>
      <c r="CD1763" s="1539"/>
      <c r="CE1763" s="1539"/>
      <c r="CF1763" s="1539"/>
      <c r="CG1763" s="1539"/>
      <c r="CH1763" s="1539"/>
      <c r="CI1763" s="1539"/>
      <c r="CJ1763" s="1539"/>
      <c r="CK1763" s="1539"/>
      <c r="CL1763" s="1539"/>
      <c r="CM1763" s="1539"/>
      <c r="CN1763" s="1539"/>
      <c r="CO1763" s="1539"/>
    </row>
    <row r="1764" spans="1:93" s="1542" customFormat="1" ht="15.5">
      <c r="A1764" s="1598" t="s">
        <v>446</v>
      </c>
      <c r="B1764" s="1599" t="s">
        <v>3441</v>
      </c>
      <c r="C1764" s="1643" t="e">
        <f>+SUMIF(#REF!,Final!A1764,#REF!)</f>
        <v>#REF!</v>
      </c>
      <c r="D1764" s="1597" t="e">
        <f>+SUMIF(#REF!,Final!A1764,#REF!)</f>
        <v>#REF!</v>
      </c>
      <c r="E1764" s="1643" t="e">
        <f>SUMIF(#REF!,Final!A1764,#REF!)</f>
        <v>#REF!</v>
      </c>
      <c r="F1764" s="1644" t="e">
        <f>SUMIF(#REF!,Final!A1764,#REF!)</f>
        <v>#REF!</v>
      </c>
      <c r="G1764" s="1597" t="e">
        <f t="shared" si="180"/>
        <v>#REF!</v>
      </c>
      <c r="H1764" s="1644" t="e">
        <f t="shared" si="181"/>
        <v>#REF!</v>
      </c>
      <c r="I1764" s="1597" t="e">
        <f t="shared" si="182"/>
        <v>#REF!</v>
      </c>
      <c r="J1764" s="1644" t="e">
        <f t="shared" si="183"/>
        <v>#REF!</v>
      </c>
      <c r="K1764" s="1539"/>
      <c r="L1764" s="1539"/>
      <c r="M1764" s="1545"/>
      <c r="N1764" s="1545"/>
      <c r="O1764" s="1539"/>
      <c r="P1764" s="1539"/>
      <c r="Q1764" s="1539"/>
      <c r="R1764" s="1539"/>
      <c r="S1764" s="1539"/>
      <c r="T1764" s="1539"/>
      <c r="U1764" s="1539"/>
      <c r="V1764" s="1539"/>
      <c r="W1764" s="1539"/>
      <c r="X1764" s="1539"/>
      <c r="Y1764" s="1539"/>
      <c r="Z1764" s="1539"/>
      <c r="AA1764" s="1539"/>
      <c r="AB1764" s="1539"/>
      <c r="AC1764" s="1539"/>
      <c r="AD1764" s="1539"/>
      <c r="AE1764" s="1539"/>
      <c r="AF1764" s="1539"/>
      <c r="AG1764" s="1539"/>
      <c r="AH1764" s="1539"/>
      <c r="AI1764" s="1539"/>
      <c r="AJ1764" s="1539"/>
      <c r="AK1764" s="1539"/>
      <c r="AL1764" s="1539"/>
      <c r="AM1764" s="1539"/>
      <c r="AN1764" s="1539"/>
      <c r="AO1764" s="1539"/>
      <c r="AP1764" s="1539"/>
      <c r="AQ1764" s="1539"/>
      <c r="AR1764" s="1539"/>
      <c r="AS1764" s="1539"/>
      <c r="AT1764" s="1539"/>
      <c r="AU1764" s="1539"/>
      <c r="AV1764" s="1539"/>
      <c r="AW1764" s="1539"/>
      <c r="AX1764" s="1539"/>
      <c r="AY1764" s="1539"/>
      <c r="AZ1764" s="1539"/>
      <c r="BA1764" s="1539"/>
      <c r="BB1764" s="1539"/>
      <c r="BC1764" s="1539"/>
      <c r="BD1764" s="1539"/>
      <c r="BE1764" s="1539"/>
      <c r="BF1764" s="1539"/>
      <c r="BG1764" s="1539"/>
      <c r="BH1764" s="1539"/>
      <c r="BI1764" s="1539"/>
      <c r="BJ1764" s="1539"/>
      <c r="BK1764" s="1539"/>
      <c r="BL1764" s="1539"/>
      <c r="BM1764" s="1539"/>
      <c r="BN1764" s="1539"/>
      <c r="BO1764" s="1539"/>
      <c r="BP1764" s="1539"/>
      <c r="BQ1764" s="1539"/>
      <c r="BR1764" s="1539"/>
      <c r="BS1764" s="1539"/>
      <c r="BT1764" s="1539"/>
      <c r="BU1764" s="1539"/>
      <c r="BV1764" s="1539"/>
      <c r="BW1764" s="1539"/>
      <c r="BX1764" s="1539"/>
      <c r="BY1764" s="1539"/>
      <c r="BZ1764" s="1539"/>
      <c r="CA1764" s="1539"/>
      <c r="CB1764" s="1539"/>
      <c r="CC1764" s="1539"/>
      <c r="CD1764" s="1539"/>
      <c r="CE1764" s="1539"/>
      <c r="CF1764" s="1539"/>
      <c r="CG1764" s="1539"/>
      <c r="CH1764" s="1539"/>
      <c r="CI1764" s="1539"/>
      <c r="CJ1764" s="1539"/>
      <c r="CK1764" s="1539"/>
      <c r="CL1764" s="1539"/>
      <c r="CM1764" s="1539"/>
      <c r="CN1764" s="1539"/>
      <c r="CO1764" s="1539"/>
    </row>
    <row r="1765" spans="1:93" ht="15.5">
      <c r="A1765" s="1598">
        <v>37.000999999999998</v>
      </c>
      <c r="B1765" s="1599" t="s">
        <v>2901</v>
      </c>
      <c r="C1765" s="1643" t="e">
        <f>+SUMIF(#REF!,Final!A1765,#REF!)</f>
        <v>#REF!</v>
      </c>
      <c r="D1765" s="1597" t="e">
        <f>+SUMIF(#REF!,Final!A1765,#REF!)</f>
        <v>#REF!</v>
      </c>
      <c r="E1765" s="1643" t="e">
        <f>SUMIF(#REF!,Final!A1765,#REF!)</f>
        <v>#REF!</v>
      </c>
      <c r="F1765" s="1644" t="e">
        <f>SUMIF(#REF!,Final!A1765,#REF!)</f>
        <v>#REF!</v>
      </c>
      <c r="G1765" s="1597" t="e">
        <f t="shared" si="180"/>
        <v>#REF!</v>
      </c>
      <c r="H1765" s="1644" t="e">
        <f t="shared" si="181"/>
        <v>#REF!</v>
      </c>
      <c r="I1765" s="1597" t="e">
        <f t="shared" si="182"/>
        <v>#REF!</v>
      </c>
      <c r="J1765" s="1644" t="e">
        <f t="shared" si="183"/>
        <v>#REF!</v>
      </c>
      <c r="M1765" s="1545"/>
      <c r="N1765" s="1545"/>
    </row>
    <row r="1766" spans="1:93" ht="15.5">
      <c r="A1766" s="1598">
        <v>37.020000000000003</v>
      </c>
      <c r="B1766" s="1599" t="s">
        <v>3411</v>
      </c>
      <c r="C1766" s="1643" t="e">
        <f>+SUMIF(#REF!,Final!A1766,#REF!)</f>
        <v>#REF!</v>
      </c>
      <c r="D1766" s="1597" t="e">
        <f>+SUMIF(#REF!,Final!A1766,#REF!)</f>
        <v>#REF!</v>
      </c>
      <c r="E1766" s="1643" t="e">
        <f>SUMIF(#REF!,Final!A1766,#REF!)</f>
        <v>#REF!</v>
      </c>
      <c r="F1766" s="1644" t="e">
        <f>SUMIF(#REF!,Final!A1766,#REF!)</f>
        <v>#REF!</v>
      </c>
      <c r="G1766" s="1597" t="e">
        <f t="shared" si="180"/>
        <v>#REF!</v>
      </c>
      <c r="H1766" s="1644" t="e">
        <f t="shared" si="181"/>
        <v>#REF!</v>
      </c>
      <c r="I1766" s="1597" t="e">
        <f t="shared" si="182"/>
        <v>#REF!</v>
      </c>
      <c r="J1766" s="1644" t="e">
        <f t="shared" si="183"/>
        <v>#REF!</v>
      </c>
      <c r="M1766" s="1545"/>
      <c r="N1766" s="1545"/>
    </row>
    <row r="1767" spans="1:93" ht="15.5">
      <c r="A1767" s="1598">
        <v>37.021000000000001</v>
      </c>
      <c r="B1767" s="1599" t="s">
        <v>3412</v>
      </c>
      <c r="C1767" s="1643" t="e">
        <f>+SUMIF(#REF!,Final!A1767,#REF!)</f>
        <v>#REF!</v>
      </c>
      <c r="D1767" s="1597" t="e">
        <f>+SUMIF(#REF!,Final!A1767,#REF!)</f>
        <v>#REF!</v>
      </c>
      <c r="E1767" s="1643" t="e">
        <f>SUMIF(#REF!,Final!A1767,#REF!)</f>
        <v>#REF!</v>
      </c>
      <c r="F1767" s="1644" t="e">
        <f>SUMIF(#REF!,Final!A1767,#REF!)</f>
        <v>#REF!</v>
      </c>
      <c r="G1767" s="1597" t="e">
        <f t="shared" si="180"/>
        <v>#REF!</v>
      </c>
      <c r="H1767" s="1644" t="e">
        <f t="shared" si="181"/>
        <v>#REF!</v>
      </c>
      <c r="I1767" s="1597" t="e">
        <f t="shared" si="182"/>
        <v>#REF!</v>
      </c>
      <c r="J1767" s="1644" t="e">
        <f t="shared" si="183"/>
        <v>#REF!</v>
      </c>
      <c r="M1767" s="1545"/>
      <c r="N1767" s="1545"/>
    </row>
    <row r="1768" spans="1:93" ht="15.5">
      <c r="A1768" s="1598">
        <v>37.021999999999998</v>
      </c>
      <c r="B1768" s="1599" t="s">
        <v>3413</v>
      </c>
      <c r="C1768" s="1643" t="e">
        <f>+SUMIF(#REF!,Final!A1768,#REF!)</f>
        <v>#REF!</v>
      </c>
      <c r="D1768" s="1597" t="e">
        <f>+SUMIF(#REF!,Final!A1768,#REF!)</f>
        <v>#REF!</v>
      </c>
      <c r="E1768" s="1643" t="e">
        <f>SUMIF(#REF!,Final!A1768,#REF!)</f>
        <v>#REF!</v>
      </c>
      <c r="F1768" s="1644" t="e">
        <f>SUMIF(#REF!,Final!A1768,#REF!)</f>
        <v>#REF!</v>
      </c>
      <c r="G1768" s="1597" t="e">
        <f t="shared" si="180"/>
        <v>#REF!</v>
      </c>
      <c r="H1768" s="1644" t="e">
        <f t="shared" si="181"/>
        <v>#REF!</v>
      </c>
      <c r="I1768" s="1597" t="e">
        <f t="shared" si="182"/>
        <v>#REF!</v>
      </c>
      <c r="J1768" s="1644" t="e">
        <f t="shared" si="183"/>
        <v>#REF!</v>
      </c>
      <c r="M1768" s="1545"/>
      <c r="N1768" s="1545"/>
    </row>
    <row r="1769" spans="1:93" ht="15.5">
      <c r="A1769" s="1598">
        <v>37.023000000000003</v>
      </c>
      <c r="B1769" s="1599" t="s">
        <v>3414</v>
      </c>
      <c r="C1769" s="1643" t="e">
        <f>+SUMIF(#REF!,Final!A1769,#REF!)</f>
        <v>#REF!</v>
      </c>
      <c r="D1769" s="1597" t="e">
        <f>+SUMIF(#REF!,Final!A1769,#REF!)</f>
        <v>#REF!</v>
      </c>
      <c r="E1769" s="1643" t="e">
        <f>SUMIF(#REF!,Final!A1769,#REF!)</f>
        <v>#REF!</v>
      </c>
      <c r="F1769" s="1644" t="e">
        <f>SUMIF(#REF!,Final!A1769,#REF!)</f>
        <v>#REF!</v>
      </c>
      <c r="G1769" s="1597" t="e">
        <f t="shared" si="180"/>
        <v>#REF!</v>
      </c>
      <c r="H1769" s="1644" t="e">
        <f t="shared" si="181"/>
        <v>#REF!</v>
      </c>
      <c r="I1769" s="1597" t="e">
        <f t="shared" si="182"/>
        <v>#REF!</v>
      </c>
      <c r="J1769" s="1644" t="e">
        <f t="shared" si="183"/>
        <v>#REF!</v>
      </c>
      <c r="M1769" s="1545"/>
      <c r="N1769" s="1545"/>
    </row>
    <row r="1770" spans="1:93" ht="15.5">
      <c r="A1770" s="1598">
        <v>37.024000000000001</v>
      </c>
      <c r="B1770" s="1599" t="s">
        <v>3415</v>
      </c>
      <c r="C1770" s="1643" t="e">
        <f>+SUMIF(#REF!,Final!A1770,#REF!)</f>
        <v>#REF!</v>
      </c>
      <c r="D1770" s="1597" t="e">
        <f>+SUMIF(#REF!,Final!A1770,#REF!)</f>
        <v>#REF!</v>
      </c>
      <c r="E1770" s="1643" t="e">
        <f>SUMIF(#REF!,Final!A1770,#REF!)</f>
        <v>#REF!</v>
      </c>
      <c r="F1770" s="1644" t="e">
        <f>SUMIF(#REF!,Final!A1770,#REF!)</f>
        <v>#REF!</v>
      </c>
      <c r="G1770" s="1597" t="e">
        <f t="shared" si="180"/>
        <v>#REF!</v>
      </c>
      <c r="H1770" s="1644" t="e">
        <f t="shared" si="181"/>
        <v>#REF!</v>
      </c>
      <c r="I1770" s="1597" t="e">
        <f t="shared" si="182"/>
        <v>#REF!</v>
      </c>
      <c r="J1770" s="1644" t="e">
        <f t="shared" si="183"/>
        <v>#REF!</v>
      </c>
      <c r="M1770" s="1545"/>
      <c r="N1770" s="1545"/>
    </row>
    <row r="1771" spans="1:93" s="1542" customFormat="1" ht="15.5">
      <c r="A1771" s="1598">
        <v>37.024999999999999</v>
      </c>
      <c r="B1771" s="1599" t="s">
        <v>3416</v>
      </c>
      <c r="C1771" s="1643" t="e">
        <f>+SUMIF(#REF!,Final!A1771,#REF!)</f>
        <v>#REF!</v>
      </c>
      <c r="D1771" s="1597" t="e">
        <f>+SUMIF(#REF!,Final!A1771,#REF!)</f>
        <v>#REF!</v>
      </c>
      <c r="E1771" s="1643" t="e">
        <f>SUMIF(#REF!,Final!A1771,#REF!)</f>
        <v>#REF!</v>
      </c>
      <c r="F1771" s="1644" t="e">
        <f>SUMIF(#REF!,Final!A1771,#REF!)</f>
        <v>#REF!</v>
      </c>
      <c r="G1771" s="1597" t="e">
        <f t="shared" ref="G1771:G1834" si="184">C1771+E1771</f>
        <v>#REF!</v>
      </c>
      <c r="H1771" s="1644" t="e">
        <f t="shared" ref="H1771:H1834" si="185">D1771+F1771</f>
        <v>#REF!</v>
      </c>
      <c r="I1771" s="1597" t="e">
        <f t="shared" ref="I1771:I1834" si="186">IF(G1771&gt;H1771,G1771-H1771,0)</f>
        <v>#REF!</v>
      </c>
      <c r="J1771" s="1644" t="e">
        <f t="shared" ref="J1771:J1834" si="187">IF(H1771&gt;G1771,H1771-G1771,0)</f>
        <v>#REF!</v>
      </c>
      <c r="K1771" s="1539"/>
      <c r="L1771" s="1539"/>
      <c r="M1771" s="1545"/>
      <c r="N1771" s="1545"/>
      <c r="O1771" s="1539"/>
      <c r="P1771" s="1539"/>
      <c r="Q1771" s="1539"/>
      <c r="R1771" s="1539"/>
      <c r="S1771" s="1539"/>
      <c r="T1771" s="1539"/>
      <c r="U1771" s="1539"/>
      <c r="V1771" s="1539"/>
      <c r="W1771" s="1539"/>
      <c r="X1771" s="1539"/>
      <c r="Y1771" s="1539"/>
      <c r="Z1771" s="1539"/>
      <c r="AA1771" s="1539"/>
      <c r="AB1771" s="1539"/>
      <c r="AC1771" s="1539"/>
      <c r="AD1771" s="1539"/>
      <c r="AE1771" s="1539"/>
      <c r="AF1771" s="1539"/>
      <c r="AG1771" s="1539"/>
      <c r="AH1771" s="1539"/>
      <c r="AI1771" s="1539"/>
      <c r="AJ1771" s="1539"/>
      <c r="AK1771" s="1539"/>
      <c r="AL1771" s="1539"/>
      <c r="AM1771" s="1539"/>
      <c r="AN1771" s="1539"/>
      <c r="AO1771" s="1539"/>
      <c r="AP1771" s="1539"/>
      <c r="AQ1771" s="1539"/>
      <c r="AR1771" s="1539"/>
      <c r="AS1771" s="1539"/>
      <c r="AT1771" s="1539"/>
      <c r="AU1771" s="1539"/>
      <c r="AV1771" s="1539"/>
      <c r="AW1771" s="1539"/>
      <c r="AX1771" s="1539"/>
      <c r="AY1771" s="1539"/>
      <c r="AZ1771" s="1539"/>
      <c r="BA1771" s="1539"/>
      <c r="BB1771" s="1539"/>
      <c r="BC1771" s="1539"/>
      <c r="BD1771" s="1539"/>
      <c r="BE1771" s="1539"/>
      <c r="BF1771" s="1539"/>
      <c r="BG1771" s="1539"/>
      <c r="BH1771" s="1539"/>
      <c r="BI1771" s="1539"/>
      <c r="BJ1771" s="1539"/>
      <c r="BK1771" s="1539"/>
      <c r="BL1771" s="1539"/>
      <c r="BM1771" s="1539"/>
      <c r="BN1771" s="1539"/>
      <c r="BO1771" s="1539"/>
      <c r="BP1771" s="1539"/>
      <c r="BQ1771" s="1539"/>
      <c r="BR1771" s="1539"/>
      <c r="BS1771" s="1539"/>
      <c r="BT1771" s="1539"/>
      <c r="BU1771" s="1539"/>
      <c r="BV1771" s="1539"/>
      <c r="BW1771" s="1539"/>
      <c r="BX1771" s="1539"/>
      <c r="BY1771" s="1539"/>
      <c r="BZ1771" s="1539"/>
      <c r="CA1771" s="1539"/>
      <c r="CB1771" s="1539"/>
      <c r="CC1771" s="1539"/>
      <c r="CD1771" s="1539"/>
      <c r="CE1771" s="1539"/>
      <c r="CF1771" s="1539"/>
      <c r="CG1771" s="1539"/>
      <c r="CH1771" s="1539"/>
      <c r="CI1771" s="1539"/>
      <c r="CJ1771" s="1539"/>
      <c r="CK1771" s="1539"/>
      <c r="CL1771" s="1539"/>
      <c r="CM1771" s="1539"/>
      <c r="CN1771" s="1539"/>
      <c r="CO1771" s="1539"/>
    </row>
    <row r="1772" spans="1:93" ht="15.5">
      <c r="A1772" s="1598">
        <v>37.026000000000003</v>
      </c>
      <c r="B1772" s="1599" t="s">
        <v>3417</v>
      </c>
      <c r="C1772" s="1643" t="e">
        <f>+SUMIF(#REF!,Final!A1772,#REF!)</f>
        <v>#REF!</v>
      </c>
      <c r="D1772" s="1597" t="e">
        <f>+SUMIF(#REF!,Final!A1772,#REF!)</f>
        <v>#REF!</v>
      </c>
      <c r="E1772" s="1643" t="e">
        <f>SUMIF(#REF!,Final!A1772,#REF!)</f>
        <v>#REF!</v>
      </c>
      <c r="F1772" s="1644" t="e">
        <f>SUMIF(#REF!,Final!A1772,#REF!)</f>
        <v>#REF!</v>
      </c>
      <c r="G1772" s="1597" t="e">
        <f t="shared" si="184"/>
        <v>#REF!</v>
      </c>
      <c r="H1772" s="1644" t="e">
        <f t="shared" si="185"/>
        <v>#REF!</v>
      </c>
      <c r="I1772" s="1597" t="e">
        <f t="shared" si="186"/>
        <v>#REF!</v>
      </c>
      <c r="J1772" s="1644" t="e">
        <f t="shared" si="187"/>
        <v>#REF!</v>
      </c>
      <c r="M1772" s="1545"/>
      <c r="N1772" s="1545"/>
    </row>
    <row r="1773" spans="1:93" s="1542" customFormat="1" ht="15.5">
      <c r="A1773" s="1598">
        <v>37.027000000000001</v>
      </c>
      <c r="B1773" s="1599" t="s">
        <v>3418</v>
      </c>
      <c r="C1773" s="1643" t="e">
        <f>+SUMIF(#REF!,Final!A1773,#REF!)</f>
        <v>#REF!</v>
      </c>
      <c r="D1773" s="1597" t="e">
        <f>+SUMIF(#REF!,Final!A1773,#REF!)</f>
        <v>#REF!</v>
      </c>
      <c r="E1773" s="1643" t="e">
        <f>SUMIF(#REF!,Final!A1773,#REF!)</f>
        <v>#REF!</v>
      </c>
      <c r="F1773" s="1644" t="e">
        <f>SUMIF(#REF!,Final!A1773,#REF!)</f>
        <v>#REF!</v>
      </c>
      <c r="G1773" s="1597" t="e">
        <f t="shared" si="184"/>
        <v>#REF!</v>
      </c>
      <c r="H1773" s="1644" t="e">
        <f t="shared" si="185"/>
        <v>#REF!</v>
      </c>
      <c r="I1773" s="1597" t="e">
        <f t="shared" si="186"/>
        <v>#REF!</v>
      </c>
      <c r="J1773" s="1644" t="e">
        <f t="shared" si="187"/>
        <v>#REF!</v>
      </c>
      <c r="K1773" s="1539"/>
      <c r="L1773" s="1539"/>
      <c r="M1773" s="1545"/>
      <c r="N1773" s="1545"/>
      <c r="O1773" s="1539"/>
      <c r="P1773" s="1539"/>
      <c r="Q1773" s="1539"/>
      <c r="R1773" s="1539"/>
      <c r="S1773" s="1539"/>
      <c r="T1773" s="1539"/>
      <c r="U1773" s="1539"/>
      <c r="V1773" s="1539"/>
      <c r="W1773" s="1539"/>
      <c r="X1773" s="1539"/>
      <c r="Y1773" s="1539"/>
      <c r="Z1773" s="1539"/>
      <c r="AA1773" s="1539"/>
      <c r="AB1773" s="1539"/>
      <c r="AC1773" s="1539"/>
      <c r="AD1773" s="1539"/>
      <c r="AE1773" s="1539"/>
      <c r="AF1773" s="1539"/>
      <c r="AG1773" s="1539"/>
      <c r="AH1773" s="1539"/>
      <c r="AI1773" s="1539"/>
      <c r="AJ1773" s="1539"/>
      <c r="AK1773" s="1539"/>
      <c r="AL1773" s="1539"/>
      <c r="AM1773" s="1539"/>
      <c r="AN1773" s="1539"/>
      <c r="AO1773" s="1539"/>
      <c r="AP1773" s="1539"/>
      <c r="AQ1773" s="1539"/>
      <c r="AR1773" s="1539"/>
      <c r="AS1773" s="1539"/>
      <c r="AT1773" s="1539"/>
      <c r="AU1773" s="1539"/>
      <c r="AV1773" s="1539"/>
      <c r="AW1773" s="1539"/>
      <c r="AX1773" s="1539"/>
      <c r="AY1773" s="1539"/>
      <c r="AZ1773" s="1539"/>
      <c r="BA1773" s="1539"/>
      <c r="BB1773" s="1539"/>
      <c r="BC1773" s="1539"/>
      <c r="BD1773" s="1539"/>
      <c r="BE1773" s="1539"/>
      <c r="BF1773" s="1539"/>
      <c r="BG1773" s="1539"/>
      <c r="BH1773" s="1539"/>
      <c r="BI1773" s="1539"/>
      <c r="BJ1773" s="1539"/>
      <c r="BK1773" s="1539"/>
      <c r="BL1773" s="1539"/>
      <c r="BM1773" s="1539"/>
      <c r="BN1773" s="1539"/>
      <c r="BO1773" s="1539"/>
      <c r="BP1773" s="1539"/>
      <c r="BQ1773" s="1539"/>
      <c r="BR1773" s="1539"/>
      <c r="BS1773" s="1539"/>
      <c r="BT1773" s="1539"/>
      <c r="BU1773" s="1539"/>
      <c r="BV1773" s="1539"/>
      <c r="BW1773" s="1539"/>
      <c r="BX1773" s="1539"/>
      <c r="BY1773" s="1539"/>
      <c r="BZ1773" s="1539"/>
      <c r="CA1773" s="1539"/>
      <c r="CB1773" s="1539"/>
      <c r="CC1773" s="1539"/>
      <c r="CD1773" s="1539"/>
      <c r="CE1773" s="1539"/>
      <c r="CF1773" s="1539"/>
      <c r="CG1773" s="1539"/>
      <c r="CH1773" s="1539"/>
      <c r="CI1773" s="1539"/>
      <c r="CJ1773" s="1539"/>
      <c r="CK1773" s="1539"/>
      <c r="CL1773" s="1539"/>
      <c r="CM1773" s="1539"/>
      <c r="CN1773" s="1539"/>
      <c r="CO1773" s="1539"/>
    </row>
    <row r="1774" spans="1:93" ht="15.5">
      <c r="A1774" s="1598">
        <v>37.027999999999999</v>
      </c>
      <c r="B1774" s="1599" t="s">
        <v>3419</v>
      </c>
      <c r="C1774" s="1643" t="e">
        <f>+SUMIF(#REF!,Final!A1774,#REF!)</f>
        <v>#REF!</v>
      </c>
      <c r="D1774" s="1597" t="e">
        <f>+SUMIF(#REF!,Final!A1774,#REF!)</f>
        <v>#REF!</v>
      </c>
      <c r="E1774" s="1643" t="e">
        <f>SUMIF(#REF!,Final!A1774,#REF!)</f>
        <v>#REF!</v>
      </c>
      <c r="F1774" s="1644" t="e">
        <f>SUMIF(#REF!,Final!A1774,#REF!)</f>
        <v>#REF!</v>
      </c>
      <c r="G1774" s="1597" t="e">
        <f t="shared" si="184"/>
        <v>#REF!</v>
      </c>
      <c r="H1774" s="1644" t="e">
        <f t="shared" si="185"/>
        <v>#REF!</v>
      </c>
      <c r="I1774" s="1597" t="e">
        <f t="shared" si="186"/>
        <v>#REF!</v>
      </c>
      <c r="J1774" s="1644" t="e">
        <f t="shared" si="187"/>
        <v>#REF!</v>
      </c>
      <c r="M1774" s="1545"/>
      <c r="N1774" s="1545"/>
    </row>
    <row r="1775" spans="1:93" ht="15.5">
      <c r="A1775" s="1598">
        <v>37.029000000000003</v>
      </c>
      <c r="B1775" s="1599" t="s">
        <v>3420</v>
      </c>
      <c r="C1775" s="1643" t="e">
        <f>+SUMIF(#REF!,Final!A1775,#REF!)</f>
        <v>#REF!</v>
      </c>
      <c r="D1775" s="1597" t="e">
        <f>+SUMIF(#REF!,Final!A1775,#REF!)</f>
        <v>#REF!</v>
      </c>
      <c r="E1775" s="1643" t="e">
        <f>SUMIF(#REF!,Final!A1775,#REF!)</f>
        <v>#REF!</v>
      </c>
      <c r="F1775" s="1644" t="e">
        <f>SUMIF(#REF!,Final!A1775,#REF!)</f>
        <v>#REF!</v>
      </c>
      <c r="G1775" s="1597" t="e">
        <f t="shared" si="184"/>
        <v>#REF!</v>
      </c>
      <c r="H1775" s="1644" t="e">
        <f t="shared" si="185"/>
        <v>#REF!</v>
      </c>
      <c r="I1775" s="1597" t="e">
        <f t="shared" si="186"/>
        <v>#REF!</v>
      </c>
      <c r="J1775" s="1644" t="e">
        <f t="shared" si="187"/>
        <v>#REF!</v>
      </c>
      <c r="M1775" s="1545"/>
      <c r="N1775" s="1545"/>
    </row>
    <row r="1776" spans="1:93" ht="15.5">
      <c r="A1776" s="1598">
        <v>37.03</v>
      </c>
      <c r="B1776" s="1599" t="s">
        <v>3421</v>
      </c>
      <c r="C1776" s="1643" t="e">
        <f>+SUMIF(#REF!,Final!A1776,#REF!)</f>
        <v>#REF!</v>
      </c>
      <c r="D1776" s="1597" t="e">
        <f>+SUMIF(#REF!,Final!A1776,#REF!)</f>
        <v>#REF!</v>
      </c>
      <c r="E1776" s="1643" t="e">
        <f>SUMIF(#REF!,Final!A1776,#REF!)</f>
        <v>#REF!</v>
      </c>
      <c r="F1776" s="1644" t="e">
        <f>SUMIF(#REF!,Final!A1776,#REF!)</f>
        <v>#REF!</v>
      </c>
      <c r="G1776" s="1597" t="e">
        <f t="shared" si="184"/>
        <v>#REF!</v>
      </c>
      <c r="H1776" s="1644" t="e">
        <f t="shared" si="185"/>
        <v>#REF!</v>
      </c>
      <c r="I1776" s="1597" t="e">
        <f t="shared" si="186"/>
        <v>#REF!</v>
      </c>
      <c r="J1776" s="1644" t="e">
        <f t="shared" si="187"/>
        <v>#REF!</v>
      </c>
      <c r="M1776" s="1545"/>
      <c r="N1776" s="1545"/>
    </row>
    <row r="1777" spans="1:93" ht="15.5">
      <c r="A1777" s="1598">
        <v>37.030999999999999</v>
      </c>
      <c r="B1777" s="1599" t="s">
        <v>3422</v>
      </c>
      <c r="C1777" s="1643" t="e">
        <f>+SUMIF(#REF!,Final!A1777,#REF!)</f>
        <v>#REF!</v>
      </c>
      <c r="D1777" s="1597" t="e">
        <f>+SUMIF(#REF!,Final!A1777,#REF!)</f>
        <v>#REF!</v>
      </c>
      <c r="E1777" s="1643" t="e">
        <f>SUMIF(#REF!,Final!A1777,#REF!)</f>
        <v>#REF!</v>
      </c>
      <c r="F1777" s="1644" t="e">
        <f>SUMIF(#REF!,Final!A1777,#REF!)</f>
        <v>#REF!</v>
      </c>
      <c r="G1777" s="1597" t="e">
        <f t="shared" si="184"/>
        <v>#REF!</v>
      </c>
      <c r="H1777" s="1644" t="e">
        <f t="shared" si="185"/>
        <v>#REF!</v>
      </c>
      <c r="I1777" s="1597" t="e">
        <f t="shared" si="186"/>
        <v>#REF!</v>
      </c>
      <c r="J1777" s="1644" t="e">
        <f t="shared" si="187"/>
        <v>#REF!</v>
      </c>
      <c r="M1777" s="1545"/>
      <c r="N1777" s="1545"/>
    </row>
    <row r="1778" spans="1:93" s="1542" customFormat="1" ht="15.5">
      <c r="A1778" s="1598">
        <v>37.031999999999996</v>
      </c>
      <c r="B1778" s="1599" t="s">
        <v>3423</v>
      </c>
      <c r="C1778" s="1643" t="e">
        <f>+SUMIF(#REF!,Final!A1778,#REF!)</f>
        <v>#REF!</v>
      </c>
      <c r="D1778" s="1597" t="e">
        <f>+SUMIF(#REF!,Final!A1778,#REF!)</f>
        <v>#REF!</v>
      </c>
      <c r="E1778" s="1643" t="e">
        <f>SUMIF(#REF!,Final!A1778,#REF!)</f>
        <v>#REF!</v>
      </c>
      <c r="F1778" s="1644" t="e">
        <f>SUMIF(#REF!,Final!A1778,#REF!)</f>
        <v>#REF!</v>
      </c>
      <c r="G1778" s="1597" t="e">
        <f t="shared" si="184"/>
        <v>#REF!</v>
      </c>
      <c r="H1778" s="1644" t="e">
        <f t="shared" si="185"/>
        <v>#REF!</v>
      </c>
      <c r="I1778" s="1597" t="e">
        <f t="shared" si="186"/>
        <v>#REF!</v>
      </c>
      <c r="J1778" s="1644" t="e">
        <f t="shared" si="187"/>
        <v>#REF!</v>
      </c>
      <c r="K1778" s="1539"/>
      <c r="L1778" s="1539"/>
      <c r="M1778" s="1545"/>
      <c r="N1778" s="1545"/>
      <c r="O1778" s="1539"/>
      <c r="P1778" s="1539"/>
      <c r="Q1778" s="1539"/>
      <c r="R1778" s="1539"/>
      <c r="S1778" s="1539"/>
      <c r="T1778" s="1539"/>
      <c r="U1778" s="1539"/>
      <c r="V1778" s="1539"/>
      <c r="W1778" s="1539"/>
      <c r="X1778" s="1539"/>
      <c r="Y1778" s="1539"/>
      <c r="Z1778" s="1539"/>
      <c r="AA1778" s="1539"/>
      <c r="AB1778" s="1539"/>
      <c r="AC1778" s="1539"/>
      <c r="AD1778" s="1539"/>
      <c r="AE1778" s="1539"/>
      <c r="AF1778" s="1539"/>
      <c r="AG1778" s="1539"/>
      <c r="AH1778" s="1539"/>
      <c r="AI1778" s="1539"/>
      <c r="AJ1778" s="1539"/>
      <c r="AK1778" s="1539"/>
      <c r="AL1778" s="1539"/>
      <c r="AM1778" s="1539"/>
      <c r="AN1778" s="1539"/>
      <c r="AO1778" s="1539"/>
      <c r="AP1778" s="1539"/>
      <c r="AQ1778" s="1539"/>
      <c r="AR1778" s="1539"/>
      <c r="AS1778" s="1539"/>
      <c r="AT1778" s="1539"/>
      <c r="AU1778" s="1539"/>
      <c r="AV1778" s="1539"/>
      <c r="AW1778" s="1539"/>
      <c r="AX1778" s="1539"/>
      <c r="AY1778" s="1539"/>
      <c r="AZ1778" s="1539"/>
      <c r="BA1778" s="1539"/>
      <c r="BB1778" s="1539"/>
      <c r="BC1778" s="1539"/>
      <c r="BD1778" s="1539"/>
      <c r="BE1778" s="1539"/>
      <c r="BF1778" s="1539"/>
      <c r="BG1778" s="1539"/>
      <c r="BH1778" s="1539"/>
      <c r="BI1778" s="1539"/>
      <c r="BJ1778" s="1539"/>
      <c r="BK1778" s="1539"/>
      <c r="BL1778" s="1539"/>
      <c r="BM1778" s="1539"/>
      <c r="BN1778" s="1539"/>
      <c r="BO1778" s="1539"/>
      <c r="BP1778" s="1539"/>
      <c r="BQ1778" s="1539"/>
      <c r="BR1778" s="1539"/>
      <c r="BS1778" s="1539"/>
      <c r="BT1778" s="1539"/>
      <c r="BU1778" s="1539"/>
      <c r="BV1778" s="1539"/>
      <c r="BW1778" s="1539"/>
      <c r="BX1778" s="1539"/>
      <c r="BY1778" s="1539"/>
      <c r="BZ1778" s="1539"/>
      <c r="CA1778" s="1539"/>
      <c r="CB1778" s="1539"/>
      <c r="CC1778" s="1539"/>
      <c r="CD1778" s="1539"/>
      <c r="CE1778" s="1539"/>
      <c r="CF1778" s="1539"/>
      <c r="CG1778" s="1539"/>
      <c r="CH1778" s="1539"/>
      <c r="CI1778" s="1539"/>
      <c r="CJ1778" s="1539"/>
      <c r="CK1778" s="1539"/>
      <c r="CL1778" s="1539"/>
      <c r="CM1778" s="1539"/>
      <c r="CN1778" s="1539"/>
      <c r="CO1778" s="1539"/>
    </row>
    <row r="1779" spans="1:93" ht="15.5">
      <c r="A1779" s="1598">
        <v>37.033000000000001</v>
      </c>
      <c r="B1779" s="1599" t="s">
        <v>3424</v>
      </c>
      <c r="C1779" s="1643" t="e">
        <f>+SUMIF(#REF!,Final!A1779,#REF!)</f>
        <v>#REF!</v>
      </c>
      <c r="D1779" s="1597" t="e">
        <f>+SUMIF(#REF!,Final!A1779,#REF!)</f>
        <v>#REF!</v>
      </c>
      <c r="E1779" s="1643" t="e">
        <f>SUMIF(#REF!,Final!A1779,#REF!)</f>
        <v>#REF!</v>
      </c>
      <c r="F1779" s="1644" t="e">
        <f>SUMIF(#REF!,Final!A1779,#REF!)</f>
        <v>#REF!</v>
      </c>
      <c r="G1779" s="1597" t="e">
        <f t="shared" si="184"/>
        <v>#REF!</v>
      </c>
      <c r="H1779" s="1644" t="e">
        <f t="shared" si="185"/>
        <v>#REF!</v>
      </c>
      <c r="I1779" s="1597" t="e">
        <f t="shared" si="186"/>
        <v>#REF!</v>
      </c>
      <c r="J1779" s="1644" t="e">
        <f t="shared" si="187"/>
        <v>#REF!</v>
      </c>
      <c r="M1779" s="1545"/>
      <c r="N1779" s="1545"/>
    </row>
    <row r="1780" spans="1:93" s="1542" customFormat="1" ht="15.5">
      <c r="A1780" s="1598">
        <v>37.033999999999999</v>
      </c>
      <c r="B1780" s="1599" t="s">
        <v>3425</v>
      </c>
      <c r="C1780" s="1643" t="e">
        <f>+SUMIF(#REF!,Final!A1780,#REF!)</f>
        <v>#REF!</v>
      </c>
      <c r="D1780" s="1597" t="e">
        <f>+SUMIF(#REF!,Final!A1780,#REF!)</f>
        <v>#REF!</v>
      </c>
      <c r="E1780" s="1643" t="e">
        <f>SUMIF(#REF!,Final!A1780,#REF!)</f>
        <v>#REF!</v>
      </c>
      <c r="F1780" s="1644" t="e">
        <f>SUMIF(#REF!,Final!A1780,#REF!)</f>
        <v>#REF!</v>
      </c>
      <c r="G1780" s="1597" t="e">
        <f t="shared" si="184"/>
        <v>#REF!</v>
      </c>
      <c r="H1780" s="1644" t="e">
        <f t="shared" si="185"/>
        <v>#REF!</v>
      </c>
      <c r="I1780" s="1597" t="e">
        <f t="shared" si="186"/>
        <v>#REF!</v>
      </c>
      <c r="J1780" s="1644" t="e">
        <f t="shared" si="187"/>
        <v>#REF!</v>
      </c>
      <c r="K1780" s="1539"/>
      <c r="L1780" s="1539"/>
      <c r="M1780" s="1545"/>
      <c r="N1780" s="1545"/>
      <c r="O1780" s="1539"/>
      <c r="P1780" s="1539"/>
      <c r="Q1780" s="1539"/>
      <c r="R1780" s="1539"/>
      <c r="S1780" s="1539"/>
      <c r="T1780" s="1539"/>
      <c r="U1780" s="1539"/>
      <c r="V1780" s="1539"/>
      <c r="W1780" s="1539"/>
      <c r="X1780" s="1539"/>
      <c r="Y1780" s="1539"/>
      <c r="Z1780" s="1539"/>
      <c r="AA1780" s="1539"/>
      <c r="AB1780" s="1539"/>
      <c r="AC1780" s="1539"/>
      <c r="AD1780" s="1539"/>
      <c r="AE1780" s="1539"/>
      <c r="AF1780" s="1539"/>
      <c r="AG1780" s="1539"/>
      <c r="AH1780" s="1539"/>
      <c r="AI1780" s="1539"/>
      <c r="AJ1780" s="1539"/>
      <c r="AK1780" s="1539"/>
      <c r="AL1780" s="1539"/>
      <c r="AM1780" s="1539"/>
      <c r="AN1780" s="1539"/>
      <c r="AO1780" s="1539"/>
      <c r="AP1780" s="1539"/>
      <c r="AQ1780" s="1539"/>
      <c r="AR1780" s="1539"/>
      <c r="AS1780" s="1539"/>
      <c r="AT1780" s="1539"/>
      <c r="AU1780" s="1539"/>
      <c r="AV1780" s="1539"/>
      <c r="AW1780" s="1539"/>
      <c r="AX1780" s="1539"/>
      <c r="AY1780" s="1539"/>
      <c r="AZ1780" s="1539"/>
      <c r="BA1780" s="1539"/>
      <c r="BB1780" s="1539"/>
      <c r="BC1780" s="1539"/>
      <c r="BD1780" s="1539"/>
      <c r="BE1780" s="1539"/>
      <c r="BF1780" s="1539"/>
      <c r="BG1780" s="1539"/>
      <c r="BH1780" s="1539"/>
      <c r="BI1780" s="1539"/>
      <c r="BJ1780" s="1539"/>
      <c r="BK1780" s="1539"/>
      <c r="BL1780" s="1539"/>
      <c r="BM1780" s="1539"/>
      <c r="BN1780" s="1539"/>
      <c r="BO1780" s="1539"/>
      <c r="BP1780" s="1539"/>
      <c r="BQ1780" s="1539"/>
      <c r="BR1780" s="1539"/>
      <c r="BS1780" s="1539"/>
      <c r="BT1780" s="1539"/>
      <c r="BU1780" s="1539"/>
      <c r="BV1780" s="1539"/>
      <c r="BW1780" s="1539"/>
      <c r="BX1780" s="1539"/>
      <c r="BY1780" s="1539"/>
      <c r="BZ1780" s="1539"/>
      <c r="CA1780" s="1539"/>
      <c r="CB1780" s="1539"/>
      <c r="CC1780" s="1539"/>
      <c r="CD1780" s="1539"/>
      <c r="CE1780" s="1539"/>
      <c r="CF1780" s="1539"/>
      <c r="CG1780" s="1539"/>
      <c r="CH1780" s="1539"/>
      <c r="CI1780" s="1539"/>
      <c r="CJ1780" s="1539"/>
      <c r="CK1780" s="1539"/>
      <c r="CL1780" s="1539"/>
      <c r="CM1780" s="1539"/>
      <c r="CN1780" s="1539"/>
      <c r="CO1780" s="1539"/>
    </row>
    <row r="1781" spans="1:93" ht="15.5">
      <c r="A1781" s="1598">
        <v>37.034999999999997</v>
      </c>
      <c r="B1781" s="1599" t="s">
        <v>3426</v>
      </c>
      <c r="C1781" s="1643" t="e">
        <f>+SUMIF(#REF!,Final!A1781,#REF!)</f>
        <v>#REF!</v>
      </c>
      <c r="D1781" s="1597" t="e">
        <f>+SUMIF(#REF!,Final!A1781,#REF!)</f>
        <v>#REF!</v>
      </c>
      <c r="E1781" s="1643" t="e">
        <f>SUMIF(#REF!,Final!A1781,#REF!)</f>
        <v>#REF!</v>
      </c>
      <c r="F1781" s="1644" t="e">
        <f>SUMIF(#REF!,Final!A1781,#REF!)</f>
        <v>#REF!</v>
      </c>
      <c r="G1781" s="1597" t="e">
        <f t="shared" si="184"/>
        <v>#REF!</v>
      </c>
      <c r="H1781" s="1644" t="e">
        <f t="shared" si="185"/>
        <v>#REF!</v>
      </c>
      <c r="I1781" s="1597" t="e">
        <f t="shared" si="186"/>
        <v>#REF!</v>
      </c>
      <c r="J1781" s="1644" t="e">
        <f t="shared" si="187"/>
        <v>#REF!</v>
      </c>
      <c r="M1781" s="1545"/>
      <c r="N1781" s="1545"/>
    </row>
    <row r="1782" spans="1:93" ht="15.5">
      <c r="A1782" s="1598">
        <v>37.036000000000001</v>
      </c>
      <c r="B1782" s="1599" t="s">
        <v>3427</v>
      </c>
      <c r="C1782" s="1643" t="e">
        <f>+SUMIF(#REF!,Final!A1782,#REF!)</f>
        <v>#REF!</v>
      </c>
      <c r="D1782" s="1597" t="e">
        <f>+SUMIF(#REF!,Final!A1782,#REF!)</f>
        <v>#REF!</v>
      </c>
      <c r="E1782" s="1643" t="e">
        <f>SUMIF(#REF!,Final!A1782,#REF!)</f>
        <v>#REF!</v>
      </c>
      <c r="F1782" s="1644" t="e">
        <f>SUMIF(#REF!,Final!A1782,#REF!)</f>
        <v>#REF!</v>
      </c>
      <c r="G1782" s="1597" t="e">
        <f t="shared" si="184"/>
        <v>#REF!</v>
      </c>
      <c r="H1782" s="1644" t="e">
        <f t="shared" si="185"/>
        <v>#REF!</v>
      </c>
      <c r="I1782" s="1597" t="e">
        <f t="shared" si="186"/>
        <v>#REF!</v>
      </c>
      <c r="J1782" s="1644" t="e">
        <f t="shared" si="187"/>
        <v>#REF!</v>
      </c>
      <c r="M1782" s="1545"/>
      <c r="N1782" s="1545"/>
    </row>
    <row r="1783" spans="1:93" s="1542" customFormat="1" ht="15.5">
      <c r="A1783" s="1598">
        <v>37.036999999999999</v>
      </c>
      <c r="B1783" s="1599" t="s">
        <v>3428</v>
      </c>
      <c r="C1783" s="1643" t="e">
        <f>+SUMIF(#REF!,Final!A1783,#REF!)</f>
        <v>#REF!</v>
      </c>
      <c r="D1783" s="1597" t="e">
        <f>+SUMIF(#REF!,Final!A1783,#REF!)</f>
        <v>#REF!</v>
      </c>
      <c r="E1783" s="1643" t="e">
        <f>SUMIF(#REF!,Final!A1783,#REF!)</f>
        <v>#REF!</v>
      </c>
      <c r="F1783" s="1644" t="e">
        <f>SUMIF(#REF!,Final!A1783,#REF!)</f>
        <v>#REF!</v>
      </c>
      <c r="G1783" s="1597" t="e">
        <f t="shared" si="184"/>
        <v>#REF!</v>
      </c>
      <c r="H1783" s="1644" t="e">
        <f t="shared" si="185"/>
        <v>#REF!</v>
      </c>
      <c r="I1783" s="1597" t="e">
        <f t="shared" si="186"/>
        <v>#REF!</v>
      </c>
      <c r="J1783" s="1644" t="e">
        <f t="shared" si="187"/>
        <v>#REF!</v>
      </c>
      <c r="K1783" s="1539"/>
      <c r="L1783" s="1539"/>
      <c r="M1783" s="1545"/>
      <c r="N1783" s="1545"/>
      <c r="O1783" s="1539"/>
      <c r="P1783" s="1539"/>
      <c r="Q1783" s="1539"/>
      <c r="R1783" s="1539"/>
      <c r="S1783" s="1539"/>
      <c r="T1783" s="1539"/>
      <c r="U1783" s="1539"/>
      <c r="V1783" s="1539"/>
      <c r="W1783" s="1539"/>
      <c r="X1783" s="1539"/>
      <c r="Y1783" s="1539"/>
      <c r="Z1783" s="1539"/>
      <c r="AA1783" s="1539"/>
      <c r="AB1783" s="1539"/>
      <c r="AC1783" s="1539"/>
      <c r="AD1783" s="1539"/>
      <c r="AE1783" s="1539"/>
      <c r="AF1783" s="1539"/>
      <c r="AG1783" s="1539"/>
      <c r="AH1783" s="1539"/>
      <c r="AI1783" s="1539"/>
      <c r="AJ1783" s="1539"/>
      <c r="AK1783" s="1539"/>
      <c r="AL1783" s="1539"/>
      <c r="AM1783" s="1539"/>
      <c r="AN1783" s="1539"/>
      <c r="AO1783" s="1539"/>
      <c r="AP1783" s="1539"/>
      <c r="AQ1783" s="1539"/>
      <c r="AR1783" s="1539"/>
      <c r="AS1783" s="1539"/>
      <c r="AT1783" s="1539"/>
      <c r="AU1783" s="1539"/>
      <c r="AV1783" s="1539"/>
      <c r="AW1783" s="1539"/>
      <c r="AX1783" s="1539"/>
      <c r="AY1783" s="1539"/>
      <c r="AZ1783" s="1539"/>
      <c r="BA1783" s="1539"/>
      <c r="BB1783" s="1539"/>
      <c r="BC1783" s="1539"/>
      <c r="BD1783" s="1539"/>
      <c r="BE1783" s="1539"/>
      <c r="BF1783" s="1539"/>
      <c r="BG1783" s="1539"/>
      <c r="BH1783" s="1539"/>
      <c r="BI1783" s="1539"/>
      <c r="BJ1783" s="1539"/>
      <c r="BK1783" s="1539"/>
      <c r="BL1783" s="1539"/>
      <c r="BM1783" s="1539"/>
      <c r="BN1783" s="1539"/>
      <c r="BO1783" s="1539"/>
      <c r="BP1783" s="1539"/>
      <c r="BQ1783" s="1539"/>
      <c r="BR1783" s="1539"/>
      <c r="BS1783" s="1539"/>
      <c r="BT1783" s="1539"/>
      <c r="BU1783" s="1539"/>
      <c r="BV1783" s="1539"/>
      <c r="BW1783" s="1539"/>
      <c r="BX1783" s="1539"/>
      <c r="BY1783" s="1539"/>
      <c r="BZ1783" s="1539"/>
      <c r="CA1783" s="1539"/>
      <c r="CB1783" s="1539"/>
      <c r="CC1783" s="1539"/>
      <c r="CD1783" s="1539"/>
      <c r="CE1783" s="1539"/>
      <c r="CF1783" s="1539"/>
      <c r="CG1783" s="1539"/>
      <c r="CH1783" s="1539"/>
      <c r="CI1783" s="1539"/>
      <c r="CJ1783" s="1539"/>
      <c r="CK1783" s="1539"/>
      <c r="CL1783" s="1539"/>
      <c r="CM1783" s="1539"/>
      <c r="CN1783" s="1539"/>
      <c r="CO1783" s="1539"/>
    </row>
    <row r="1784" spans="1:93" ht="15.5">
      <c r="A1784" s="1598">
        <v>37.037999999999997</v>
      </c>
      <c r="B1784" s="1599" t="s">
        <v>3429</v>
      </c>
      <c r="C1784" s="1643" t="e">
        <f>+SUMIF(#REF!,Final!A1784,#REF!)</f>
        <v>#REF!</v>
      </c>
      <c r="D1784" s="1597" t="e">
        <f>+SUMIF(#REF!,Final!A1784,#REF!)</f>
        <v>#REF!</v>
      </c>
      <c r="E1784" s="1643" t="e">
        <f>SUMIF(#REF!,Final!A1784,#REF!)</f>
        <v>#REF!</v>
      </c>
      <c r="F1784" s="1644" t="e">
        <f>SUMIF(#REF!,Final!A1784,#REF!)</f>
        <v>#REF!</v>
      </c>
      <c r="G1784" s="1597" t="e">
        <f t="shared" si="184"/>
        <v>#REF!</v>
      </c>
      <c r="H1784" s="1644" t="e">
        <f t="shared" si="185"/>
        <v>#REF!</v>
      </c>
      <c r="I1784" s="1597" t="e">
        <f t="shared" si="186"/>
        <v>#REF!</v>
      </c>
      <c r="J1784" s="1644" t="e">
        <f t="shared" si="187"/>
        <v>#REF!</v>
      </c>
      <c r="M1784" s="1545"/>
      <c r="N1784" s="1545"/>
    </row>
    <row r="1785" spans="1:93" ht="15.5">
      <c r="A1785" s="1598">
        <v>37.039000000000001</v>
      </c>
      <c r="B1785" s="1599" t="s">
        <v>4674</v>
      </c>
      <c r="C1785" s="1643" t="e">
        <f>+SUMIF(#REF!,Final!A1785,#REF!)</f>
        <v>#REF!</v>
      </c>
      <c r="D1785" s="1597" t="e">
        <f>+SUMIF(#REF!,Final!A1785,#REF!)</f>
        <v>#REF!</v>
      </c>
      <c r="E1785" s="1643" t="e">
        <f>SUMIF(#REF!,Final!A1785,#REF!)</f>
        <v>#REF!</v>
      </c>
      <c r="F1785" s="1644" t="e">
        <f>SUMIF(#REF!,Final!A1785,#REF!)</f>
        <v>#REF!</v>
      </c>
      <c r="G1785" s="1597" t="e">
        <f t="shared" si="184"/>
        <v>#REF!</v>
      </c>
      <c r="H1785" s="1644" t="e">
        <f t="shared" si="185"/>
        <v>#REF!</v>
      </c>
      <c r="I1785" s="1597" t="e">
        <f t="shared" si="186"/>
        <v>#REF!</v>
      </c>
      <c r="J1785" s="1644" t="e">
        <f t="shared" si="187"/>
        <v>#REF!</v>
      </c>
      <c r="M1785" s="1545"/>
      <c r="N1785" s="1545"/>
    </row>
    <row r="1786" spans="1:93" s="1542" customFormat="1" ht="15.5">
      <c r="A1786" s="1598">
        <v>37.070999999999998</v>
      </c>
      <c r="B1786" s="1599" t="s">
        <v>3430</v>
      </c>
      <c r="C1786" s="1643" t="e">
        <f>+SUMIF(#REF!,Final!A1786,#REF!)</f>
        <v>#REF!</v>
      </c>
      <c r="D1786" s="1597" t="e">
        <f>+SUMIF(#REF!,Final!A1786,#REF!)</f>
        <v>#REF!</v>
      </c>
      <c r="E1786" s="1643" t="e">
        <f>SUMIF(#REF!,Final!A1786,#REF!)</f>
        <v>#REF!</v>
      </c>
      <c r="F1786" s="1644" t="e">
        <f>SUMIF(#REF!,Final!A1786,#REF!)</f>
        <v>#REF!</v>
      </c>
      <c r="G1786" s="1597" t="e">
        <f t="shared" si="184"/>
        <v>#REF!</v>
      </c>
      <c r="H1786" s="1644" t="e">
        <f t="shared" si="185"/>
        <v>#REF!</v>
      </c>
      <c r="I1786" s="1597" t="e">
        <f t="shared" si="186"/>
        <v>#REF!</v>
      </c>
      <c r="J1786" s="1644" t="e">
        <f t="shared" si="187"/>
        <v>#REF!</v>
      </c>
      <c r="K1786" s="1539"/>
      <c r="L1786" s="1539"/>
      <c r="M1786" s="1545"/>
      <c r="N1786" s="1545"/>
      <c r="O1786" s="1539"/>
      <c r="P1786" s="1539"/>
      <c r="Q1786" s="1539"/>
      <c r="R1786" s="1539"/>
      <c r="S1786" s="1539"/>
      <c r="T1786" s="1539"/>
      <c r="U1786" s="1539"/>
      <c r="V1786" s="1539"/>
      <c r="W1786" s="1539"/>
      <c r="X1786" s="1539"/>
      <c r="Y1786" s="1539"/>
      <c r="Z1786" s="1539"/>
      <c r="AA1786" s="1539"/>
      <c r="AB1786" s="1539"/>
      <c r="AC1786" s="1539"/>
      <c r="AD1786" s="1539"/>
      <c r="AE1786" s="1539"/>
      <c r="AF1786" s="1539"/>
      <c r="AG1786" s="1539"/>
      <c r="AH1786" s="1539"/>
      <c r="AI1786" s="1539"/>
      <c r="AJ1786" s="1539"/>
      <c r="AK1786" s="1539"/>
      <c r="AL1786" s="1539"/>
      <c r="AM1786" s="1539"/>
      <c r="AN1786" s="1539"/>
      <c r="AO1786" s="1539"/>
      <c r="AP1786" s="1539"/>
      <c r="AQ1786" s="1539"/>
      <c r="AR1786" s="1539"/>
      <c r="AS1786" s="1539"/>
      <c r="AT1786" s="1539"/>
      <c r="AU1786" s="1539"/>
      <c r="AV1786" s="1539"/>
      <c r="AW1786" s="1539"/>
      <c r="AX1786" s="1539"/>
      <c r="AY1786" s="1539"/>
      <c r="AZ1786" s="1539"/>
      <c r="BA1786" s="1539"/>
      <c r="BB1786" s="1539"/>
      <c r="BC1786" s="1539"/>
      <c r="BD1786" s="1539"/>
      <c r="BE1786" s="1539"/>
      <c r="BF1786" s="1539"/>
      <c r="BG1786" s="1539"/>
      <c r="BH1786" s="1539"/>
      <c r="BI1786" s="1539"/>
      <c r="BJ1786" s="1539"/>
      <c r="BK1786" s="1539"/>
      <c r="BL1786" s="1539"/>
      <c r="BM1786" s="1539"/>
      <c r="BN1786" s="1539"/>
      <c r="BO1786" s="1539"/>
      <c r="BP1786" s="1539"/>
      <c r="BQ1786" s="1539"/>
      <c r="BR1786" s="1539"/>
      <c r="BS1786" s="1539"/>
      <c r="BT1786" s="1539"/>
      <c r="BU1786" s="1539"/>
      <c r="BV1786" s="1539"/>
      <c r="BW1786" s="1539"/>
      <c r="BX1786" s="1539"/>
      <c r="BY1786" s="1539"/>
      <c r="BZ1786" s="1539"/>
      <c r="CA1786" s="1539"/>
      <c r="CB1786" s="1539"/>
      <c r="CC1786" s="1539"/>
      <c r="CD1786" s="1539"/>
      <c r="CE1786" s="1539"/>
      <c r="CF1786" s="1539"/>
      <c r="CG1786" s="1539"/>
      <c r="CH1786" s="1539"/>
      <c r="CI1786" s="1539"/>
      <c r="CJ1786" s="1539"/>
      <c r="CK1786" s="1539"/>
      <c r="CL1786" s="1539"/>
      <c r="CM1786" s="1539"/>
      <c r="CN1786" s="1539"/>
      <c r="CO1786" s="1539"/>
    </row>
    <row r="1787" spans="1:93" ht="15.5">
      <c r="A1787" s="1598">
        <v>37.072000000000003</v>
      </c>
      <c r="B1787" s="1599" t="s">
        <v>3431</v>
      </c>
      <c r="C1787" s="1643" t="e">
        <f>+SUMIF(#REF!,Final!A1787,#REF!)</f>
        <v>#REF!</v>
      </c>
      <c r="D1787" s="1597" t="e">
        <f>+SUMIF(#REF!,Final!A1787,#REF!)</f>
        <v>#REF!</v>
      </c>
      <c r="E1787" s="1643" t="e">
        <f>SUMIF(#REF!,Final!A1787,#REF!)</f>
        <v>#REF!</v>
      </c>
      <c r="F1787" s="1644" t="e">
        <f>SUMIF(#REF!,Final!A1787,#REF!)</f>
        <v>#REF!</v>
      </c>
      <c r="G1787" s="1597" t="e">
        <f t="shared" si="184"/>
        <v>#REF!</v>
      </c>
      <c r="H1787" s="1644" t="e">
        <f t="shared" si="185"/>
        <v>#REF!</v>
      </c>
      <c r="I1787" s="1597" t="e">
        <f t="shared" si="186"/>
        <v>#REF!</v>
      </c>
      <c r="J1787" s="1644" t="e">
        <f t="shared" si="187"/>
        <v>#REF!</v>
      </c>
      <c r="M1787" s="1545"/>
      <c r="N1787" s="1545"/>
    </row>
    <row r="1788" spans="1:93" s="1542" customFormat="1" ht="15.5">
      <c r="A1788" s="1598">
        <v>37.073</v>
      </c>
      <c r="B1788" s="1599" t="s">
        <v>3432</v>
      </c>
      <c r="C1788" s="1643" t="e">
        <f>+SUMIF(#REF!,Final!A1788,#REF!)</f>
        <v>#REF!</v>
      </c>
      <c r="D1788" s="1597" t="e">
        <f>+SUMIF(#REF!,Final!A1788,#REF!)</f>
        <v>#REF!</v>
      </c>
      <c r="E1788" s="1643" t="e">
        <f>SUMIF(#REF!,Final!A1788,#REF!)</f>
        <v>#REF!</v>
      </c>
      <c r="F1788" s="1644" t="e">
        <f>SUMIF(#REF!,Final!A1788,#REF!)</f>
        <v>#REF!</v>
      </c>
      <c r="G1788" s="1597" t="e">
        <f t="shared" si="184"/>
        <v>#REF!</v>
      </c>
      <c r="H1788" s="1644" t="e">
        <f t="shared" si="185"/>
        <v>#REF!</v>
      </c>
      <c r="I1788" s="1597" t="e">
        <f t="shared" si="186"/>
        <v>#REF!</v>
      </c>
      <c r="J1788" s="1644" t="e">
        <f t="shared" si="187"/>
        <v>#REF!</v>
      </c>
      <c r="K1788" s="1539"/>
      <c r="L1788" s="1539"/>
      <c r="M1788" s="1545"/>
      <c r="N1788" s="1545"/>
      <c r="O1788" s="1539"/>
      <c r="P1788" s="1539"/>
      <c r="Q1788" s="1539"/>
      <c r="R1788" s="1539"/>
      <c r="S1788" s="1539"/>
      <c r="T1788" s="1539"/>
      <c r="U1788" s="1539"/>
      <c r="V1788" s="1539"/>
      <c r="W1788" s="1539"/>
      <c r="X1788" s="1539"/>
      <c r="Y1788" s="1539"/>
      <c r="Z1788" s="1539"/>
      <c r="AA1788" s="1539"/>
      <c r="AB1788" s="1539"/>
      <c r="AC1788" s="1539"/>
      <c r="AD1788" s="1539"/>
      <c r="AE1788" s="1539"/>
      <c r="AF1788" s="1539"/>
      <c r="AG1788" s="1539"/>
      <c r="AH1788" s="1539"/>
      <c r="AI1788" s="1539"/>
      <c r="AJ1788" s="1539"/>
      <c r="AK1788" s="1539"/>
      <c r="AL1788" s="1539"/>
      <c r="AM1788" s="1539"/>
      <c r="AN1788" s="1539"/>
      <c r="AO1788" s="1539"/>
      <c r="AP1788" s="1539"/>
      <c r="AQ1788" s="1539"/>
      <c r="AR1788" s="1539"/>
      <c r="AS1788" s="1539"/>
      <c r="AT1788" s="1539"/>
      <c r="AU1788" s="1539"/>
      <c r="AV1788" s="1539"/>
      <c r="AW1788" s="1539"/>
      <c r="AX1788" s="1539"/>
      <c r="AY1788" s="1539"/>
      <c r="AZ1788" s="1539"/>
      <c r="BA1788" s="1539"/>
      <c r="BB1788" s="1539"/>
      <c r="BC1788" s="1539"/>
      <c r="BD1788" s="1539"/>
      <c r="BE1788" s="1539"/>
      <c r="BF1788" s="1539"/>
      <c r="BG1788" s="1539"/>
      <c r="BH1788" s="1539"/>
      <c r="BI1788" s="1539"/>
      <c r="BJ1788" s="1539"/>
      <c r="BK1788" s="1539"/>
      <c r="BL1788" s="1539"/>
      <c r="BM1788" s="1539"/>
      <c r="BN1788" s="1539"/>
      <c r="BO1788" s="1539"/>
      <c r="BP1788" s="1539"/>
      <c r="BQ1788" s="1539"/>
      <c r="BR1788" s="1539"/>
      <c r="BS1788" s="1539"/>
      <c r="BT1788" s="1539"/>
      <c r="BU1788" s="1539"/>
      <c r="BV1788" s="1539"/>
      <c r="BW1788" s="1539"/>
      <c r="BX1788" s="1539"/>
      <c r="BY1788" s="1539"/>
      <c r="BZ1788" s="1539"/>
      <c r="CA1788" s="1539"/>
      <c r="CB1788" s="1539"/>
      <c r="CC1788" s="1539"/>
      <c r="CD1788" s="1539"/>
      <c r="CE1788" s="1539"/>
      <c r="CF1788" s="1539"/>
      <c r="CG1788" s="1539"/>
      <c r="CH1788" s="1539"/>
      <c r="CI1788" s="1539"/>
      <c r="CJ1788" s="1539"/>
      <c r="CK1788" s="1539"/>
      <c r="CL1788" s="1539"/>
      <c r="CM1788" s="1539"/>
      <c r="CN1788" s="1539"/>
      <c r="CO1788" s="1539"/>
    </row>
    <row r="1789" spans="1:93" s="1542" customFormat="1" ht="15.5">
      <c r="A1789" s="1598">
        <v>37.073999999999998</v>
      </c>
      <c r="B1789" s="1599" t="s">
        <v>3433</v>
      </c>
      <c r="C1789" s="1643" t="e">
        <f>+SUMIF(#REF!,Final!A1789,#REF!)</f>
        <v>#REF!</v>
      </c>
      <c r="D1789" s="1597" t="e">
        <f>+SUMIF(#REF!,Final!A1789,#REF!)</f>
        <v>#REF!</v>
      </c>
      <c r="E1789" s="1643" t="e">
        <f>SUMIF(#REF!,Final!A1789,#REF!)</f>
        <v>#REF!</v>
      </c>
      <c r="F1789" s="1644" t="e">
        <f>SUMIF(#REF!,Final!A1789,#REF!)</f>
        <v>#REF!</v>
      </c>
      <c r="G1789" s="1597" t="e">
        <f t="shared" si="184"/>
        <v>#REF!</v>
      </c>
      <c r="H1789" s="1644" t="e">
        <f t="shared" si="185"/>
        <v>#REF!</v>
      </c>
      <c r="I1789" s="1597" t="e">
        <f t="shared" si="186"/>
        <v>#REF!</v>
      </c>
      <c r="J1789" s="1644" t="e">
        <f t="shared" si="187"/>
        <v>#REF!</v>
      </c>
      <c r="K1789" s="1539"/>
      <c r="L1789" s="1539"/>
      <c r="M1789" s="1545"/>
      <c r="N1789" s="1545"/>
      <c r="O1789" s="1539"/>
      <c r="P1789" s="1539"/>
      <c r="Q1789" s="1539"/>
      <c r="R1789" s="1539"/>
      <c r="S1789" s="1539"/>
      <c r="T1789" s="1539"/>
      <c r="U1789" s="1539"/>
      <c r="V1789" s="1539"/>
      <c r="W1789" s="1539"/>
      <c r="X1789" s="1539"/>
      <c r="Y1789" s="1539"/>
      <c r="Z1789" s="1539"/>
      <c r="AA1789" s="1539"/>
      <c r="AB1789" s="1539"/>
      <c r="AC1789" s="1539"/>
      <c r="AD1789" s="1539"/>
      <c r="AE1789" s="1539"/>
      <c r="AF1789" s="1539"/>
      <c r="AG1789" s="1539"/>
      <c r="AH1789" s="1539"/>
      <c r="AI1789" s="1539"/>
      <c r="AJ1789" s="1539"/>
      <c r="AK1789" s="1539"/>
      <c r="AL1789" s="1539"/>
      <c r="AM1789" s="1539"/>
      <c r="AN1789" s="1539"/>
      <c r="AO1789" s="1539"/>
      <c r="AP1789" s="1539"/>
      <c r="AQ1789" s="1539"/>
      <c r="AR1789" s="1539"/>
      <c r="AS1789" s="1539"/>
      <c r="AT1789" s="1539"/>
      <c r="AU1789" s="1539"/>
      <c r="AV1789" s="1539"/>
      <c r="AW1789" s="1539"/>
      <c r="AX1789" s="1539"/>
      <c r="AY1789" s="1539"/>
      <c r="AZ1789" s="1539"/>
      <c r="BA1789" s="1539"/>
      <c r="BB1789" s="1539"/>
      <c r="BC1789" s="1539"/>
      <c r="BD1789" s="1539"/>
      <c r="BE1789" s="1539"/>
      <c r="BF1789" s="1539"/>
      <c r="BG1789" s="1539"/>
      <c r="BH1789" s="1539"/>
      <c r="BI1789" s="1539"/>
      <c r="BJ1789" s="1539"/>
      <c r="BK1789" s="1539"/>
      <c r="BL1789" s="1539"/>
      <c r="BM1789" s="1539"/>
      <c r="BN1789" s="1539"/>
      <c r="BO1789" s="1539"/>
      <c r="BP1789" s="1539"/>
      <c r="BQ1789" s="1539"/>
      <c r="BR1789" s="1539"/>
      <c r="BS1789" s="1539"/>
      <c r="BT1789" s="1539"/>
      <c r="BU1789" s="1539"/>
      <c r="BV1789" s="1539"/>
      <c r="BW1789" s="1539"/>
      <c r="BX1789" s="1539"/>
      <c r="BY1789" s="1539"/>
      <c r="BZ1789" s="1539"/>
      <c r="CA1789" s="1539"/>
      <c r="CB1789" s="1539"/>
      <c r="CC1789" s="1539"/>
      <c r="CD1789" s="1539"/>
      <c r="CE1789" s="1539"/>
      <c r="CF1789" s="1539"/>
      <c r="CG1789" s="1539"/>
      <c r="CH1789" s="1539"/>
      <c r="CI1789" s="1539"/>
      <c r="CJ1789" s="1539"/>
      <c r="CK1789" s="1539"/>
      <c r="CL1789" s="1539"/>
      <c r="CM1789" s="1539"/>
      <c r="CN1789" s="1539"/>
      <c r="CO1789" s="1539"/>
    </row>
    <row r="1790" spans="1:93" s="1542" customFormat="1" ht="15.5">
      <c r="A1790" s="1598">
        <v>37.075000000000003</v>
      </c>
      <c r="B1790" s="1599" t="s">
        <v>3434</v>
      </c>
      <c r="C1790" s="1643" t="e">
        <f>+SUMIF(#REF!,Final!A1790,#REF!)</f>
        <v>#REF!</v>
      </c>
      <c r="D1790" s="1597" t="e">
        <f>+SUMIF(#REF!,Final!A1790,#REF!)</f>
        <v>#REF!</v>
      </c>
      <c r="E1790" s="1643" t="e">
        <f>SUMIF(#REF!,Final!A1790,#REF!)</f>
        <v>#REF!</v>
      </c>
      <c r="F1790" s="1644" t="e">
        <f>SUMIF(#REF!,Final!A1790,#REF!)</f>
        <v>#REF!</v>
      </c>
      <c r="G1790" s="1597" t="e">
        <f t="shared" si="184"/>
        <v>#REF!</v>
      </c>
      <c r="H1790" s="1644" t="e">
        <f t="shared" si="185"/>
        <v>#REF!</v>
      </c>
      <c r="I1790" s="1597" t="e">
        <f t="shared" si="186"/>
        <v>#REF!</v>
      </c>
      <c r="J1790" s="1644" t="e">
        <f t="shared" si="187"/>
        <v>#REF!</v>
      </c>
      <c r="K1790" s="1539"/>
      <c r="L1790" s="1539"/>
      <c r="M1790" s="1545"/>
      <c r="N1790" s="1545"/>
      <c r="O1790" s="1539"/>
      <c r="P1790" s="1539"/>
      <c r="Q1790" s="1539"/>
      <c r="R1790" s="1539"/>
      <c r="S1790" s="1539"/>
      <c r="T1790" s="1539"/>
      <c r="U1790" s="1539"/>
      <c r="V1790" s="1539"/>
      <c r="W1790" s="1539"/>
      <c r="X1790" s="1539"/>
      <c r="Y1790" s="1539"/>
      <c r="Z1790" s="1539"/>
      <c r="AA1790" s="1539"/>
      <c r="AB1790" s="1539"/>
      <c r="AC1790" s="1539"/>
      <c r="AD1790" s="1539"/>
      <c r="AE1790" s="1539"/>
      <c r="AF1790" s="1539"/>
      <c r="AG1790" s="1539"/>
      <c r="AH1790" s="1539"/>
      <c r="AI1790" s="1539"/>
      <c r="AJ1790" s="1539"/>
      <c r="AK1790" s="1539"/>
      <c r="AL1790" s="1539"/>
      <c r="AM1790" s="1539"/>
      <c r="AN1790" s="1539"/>
      <c r="AO1790" s="1539"/>
      <c r="AP1790" s="1539"/>
      <c r="AQ1790" s="1539"/>
      <c r="AR1790" s="1539"/>
      <c r="AS1790" s="1539"/>
      <c r="AT1790" s="1539"/>
      <c r="AU1790" s="1539"/>
      <c r="AV1790" s="1539"/>
      <c r="AW1790" s="1539"/>
      <c r="AX1790" s="1539"/>
      <c r="AY1790" s="1539"/>
      <c r="AZ1790" s="1539"/>
      <c r="BA1790" s="1539"/>
      <c r="BB1790" s="1539"/>
      <c r="BC1790" s="1539"/>
      <c r="BD1790" s="1539"/>
      <c r="BE1790" s="1539"/>
      <c r="BF1790" s="1539"/>
      <c r="BG1790" s="1539"/>
      <c r="BH1790" s="1539"/>
      <c r="BI1790" s="1539"/>
      <c r="BJ1790" s="1539"/>
      <c r="BK1790" s="1539"/>
      <c r="BL1790" s="1539"/>
      <c r="BM1790" s="1539"/>
      <c r="BN1790" s="1539"/>
      <c r="BO1790" s="1539"/>
      <c r="BP1790" s="1539"/>
      <c r="BQ1790" s="1539"/>
      <c r="BR1790" s="1539"/>
      <c r="BS1790" s="1539"/>
      <c r="BT1790" s="1539"/>
      <c r="BU1790" s="1539"/>
      <c r="BV1790" s="1539"/>
      <c r="BW1790" s="1539"/>
      <c r="BX1790" s="1539"/>
      <c r="BY1790" s="1539"/>
      <c r="BZ1790" s="1539"/>
      <c r="CA1790" s="1539"/>
      <c r="CB1790" s="1539"/>
      <c r="CC1790" s="1539"/>
      <c r="CD1790" s="1539"/>
      <c r="CE1790" s="1539"/>
      <c r="CF1790" s="1539"/>
      <c r="CG1790" s="1539"/>
      <c r="CH1790" s="1539"/>
      <c r="CI1790" s="1539"/>
      <c r="CJ1790" s="1539"/>
      <c r="CK1790" s="1539"/>
      <c r="CL1790" s="1539"/>
      <c r="CM1790" s="1539"/>
      <c r="CN1790" s="1539"/>
      <c r="CO1790" s="1539"/>
    </row>
    <row r="1791" spans="1:93" s="1542" customFormat="1" ht="15.5">
      <c r="A1791" s="1598">
        <v>37.076000000000001</v>
      </c>
      <c r="B1791" s="1599" t="s">
        <v>3435</v>
      </c>
      <c r="C1791" s="1643" t="e">
        <f>+SUMIF(#REF!,Final!A1791,#REF!)</f>
        <v>#REF!</v>
      </c>
      <c r="D1791" s="1597" t="e">
        <f>+SUMIF(#REF!,Final!A1791,#REF!)</f>
        <v>#REF!</v>
      </c>
      <c r="E1791" s="1643" t="e">
        <f>SUMIF(#REF!,Final!A1791,#REF!)</f>
        <v>#REF!</v>
      </c>
      <c r="F1791" s="1644" t="e">
        <f>SUMIF(#REF!,Final!A1791,#REF!)</f>
        <v>#REF!</v>
      </c>
      <c r="G1791" s="1597" t="e">
        <f t="shared" si="184"/>
        <v>#REF!</v>
      </c>
      <c r="H1791" s="1644" t="e">
        <f t="shared" si="185"/>
        <v>#REF!</v>
      </c>
      <c r="I1791" s="1597" t="e">
        <f t="shared" si="186"/>
        <v>#REF!</v>
      </c>
      <c r="J1791" s="1644" t="e">
        <f t="shared" si="187"/>
        <v>#REF!</v>
      </c>
      <c r="K1791" s="1539"/>
      <c r="L1791" s="1539"/>
      <c r="M1791" s="1545"/>
      <c r="N1791" s="1545"/>
      <c r="O1791" s="1539"/>
      <c r="P1791" s="1539"/>
      <c r="Q1791" s="1539"/>
      <c r="R1791" s="1539"/>
      <c r="S1791" s="1539"/>
      <c r="T1791" s="1539"/>
      <c r="U1791" s="1539"/>
      <c r="V1791" s="1539"/>
      <c r="W1791" s="1539"/>
      <c r="X1791" s="1539"/>
      <c r="Y1791" s="1539"/>
      <c r="Z1791" s="1539"/>
      <c r="AA1791" s="1539"/>
      <c r="AB1791" s="1539"/>
      <c r="AC1791" s="1539"/>
      <c r="AD1791" s="1539"/>
      <c r="AE1791" s="1539"/>
      <c r="AF1791" s="1539"/>
      <c r="AG1791" s="1539"/>
      <c r="AH1791" s="1539"/>
      <c r="AI1791" s="1539"/>
      <c r="AJ1791" s="1539"/>
      <c r="AK1791" s="1539"/>
      <c r="AL1791" s="1539"/>
      <c r="AM1791" s="1539"/>
      <c r="AN1791" s="1539"/>
      <c r="AO1791" s="1539"/>
      <c r="AP1791" s="1539"/>
      <c r="AQ1791" s="1539"/>
      <c r="AR1791" s="1539"/>
      <c r="AS1791" s="1539"/>
      <c r="AT1791" s="1539"/>
      <c r="AU1791" s="1539"/>
      <c r="AV1791" s="1539"/>
      <c r="AW1791" s="1539"/>
      <c r="AX1791" s="1539"/>
      <c r="AY1791" s="1539"/>
      <c r="AZ1791" s="1539"/>
      <c r="BA1791" s="1539"/>
      <c r="BB1791" s="1539"/>
      <c r="BC1791" s="1539"/>
      <c r="BD1791" s="1539"/>
      <c r="BE1791" s="1539"/>
      <c r="BF1791" s="1539"/>
      <c r="BG1791" s="1539"/>
      <c r="BH1791" s="1539"/>
      <c r="BI1791" s="1539"/>
      <c r="BJ1791" s="1539"/>
      <c r="BK1791" s="1539"/>
      <c r="BL1791" s="1539"/>
      <c r="BM1791" s="1539"/>
      <c r="BN1791" s="1539"/>
      <c r="BO1791" s="1539"/>
      <c r="BP1791" s="1539"/>
      <c r="BQ1791" s="1539"/>
      <c r="BR1791" s="1539"/>
      <c r="BS1791" s="1539"/>
      <c r="BT1791" s="1539"/>
      <c r="BU1791" s="1539"/>
      <c r="BV1791" s="1539"/>
      <c r="BW1791" s="1539"/>
      <c r="BX1791" s="1539"/>
      <c r="BY1791" s="1539"/>
      <c r="BZ1791" s="1539"/>
      <c r="CA1791" s="1539"/>
      <c r="CB1791" s="1539"/>
      <c r="CC1791" s="1539"/>
      <c r="CD1791" s="1539"/>
      <c r="CE1791" s="1539"/>
      <c r="CF1791" s="1539"/>
      <c r="CG1791" s="1539"/>
      <c r="CH1791" s="1539"/>
      <c r="CI1791" s="1539"/>
      <c r="CJ1791" s="1539"/>
      <c r="CK1791" s="1539"/>
      <c r="CL1791" s="1539"/>
      <c r="CM1791" s="1539"/>
      <c r="CN1791" s="1539"/>
      <c r="CO1791" s="1539"/>
    </row>
    <row r="1792" spans="1:93" s="1542" customFormat="1" ht="15.5">
      <c r="A1792" s="1598">
        <v>37.113999999999997</v>
      </c>
      <c r="B1792" s="1599" t="s">
        <v>3436</v>
      </c>
      <c r="C1792" s="1643" t="e">
        <f>+SUMIF(#REF!,Final!A1792,#REF!)</f>
        <v>#REF!</v>
      </c>
      <c r="D1792" s="1597" t="e">
        <f>+SUMIF(#REF!,Final!A1792,#REF!)</f>
        <v>#REF!</v>
      </c>
      <c r="E1792" s="1643" t="e">
        <f>SUMIF(#REF!,Final!A1792,#REF!)</f>
        <v>#REF!</v>
      </c>
      <c r="F1792" s="1644" t="e">
        <f>SUMIF(#REF!,Final!A1792,#REF!)</f>
        <v>#REF!</v>
      </c>
      <c r="G1792" s="1597" t="e">
        <f t="shared" si="184"/>
        <v>#REF!</v>
      </c>
      <c r="H1792" s="1644" t="e">
        <f t="shared" si="185"/>
        <v>#REF!</v>
      </c>
      <c r="I1792" s="1597" t="e">
        <f t="shared" si="186"/>
        <v>#REF!</v>
      </c>
      <c r="J1792" s="1644" t="e">
        <f t="shared" si="187"/>
        <v>#REF!</v>
      </c>
      <c r="K1792" s="1539"/>
      <c r="L1792" s="1539"/>
      <c r="M1792" s="1545"/>
      <c r="N1792" s="1545"/>
      <c r="O1792" s="1539"/>
      <c r="P1792" s="1539"/>
      <c r="Q1792" s="1539"/>
      <c r="R1792" s="1539"/>
      <c r="S1792" s="1539"/>
      <c r="T1792" s="1539"/>
      <c r="U1792" s="1539"/>
      <c r="V1792" s="1539"/>
      <c r="W1792" s="1539"/>
      <c r="X1792" s="1539"/>
      <c r="Y1792" s="1539"/>
      <c r="Z1792" s="1539"/>
      <c r="AA1792" s="1539"/>
      <c r="AB1792" s="1539"/>
      <c r="AC1792" s="1539"/>
      <c r="AD1792" s="1539"/>
      <c r="AE1792" s="1539"/>
      <c r="AF1792" s="1539"/>
      <c r="AG1792" s="1539"/>
      <c r="AH1792" s="1539"/>
      <c r="AI1792" s="1539"/>
      <c r="AJ1792" s="1539"/>
      <c r="AK1792" s="1539"/>
      <c r="AL1792" s="1539"/>
      <c r="AM1792" s="1539"/>
      <c r="AN1792" s="1539"/>
      <c r="AO1792" s="1539"/>
      <c r="AP1792" s="1539"/>
      <c r="AQ1792" s="1539"/>
      <c r="AR1792" s="1539"/>
      <c r="AS1792" s="1539"/>
      <c r="AT1792" s="1539"/>
      <c r="AU1792" s="1539"/>
      <c r="AV1792" s="1539"/>
      <c r="AW1792" s="1539"/>
      <c r="AX1792" s="1539"/>
      <c r="AY1792" s="1539"/>
      <c r="AZ1792" s="1539"/>
      <c r="BA1792" s="1539"/>
      <c r="BB1792" s="1539"/>
      <c r="BC1792" s="1539"/>
      <c r="BD1792" s="1539"/>
      <c r="BE1792" s="1539"/>
      <c r="BF1792" s="1539"/>
      <c r="BG1792" s="1539"/>
      <c r="BH1792" s="1539"/>
      <c r="BI1792" s="1539"/>
      <c r="BJ1792" s="1539"/>
      <c r="BK1792" s="1539"/>
      <c r="BL1792" s="1539"/>
      <c r="BM1792" s="1539"/>
      <c r="BN1792" s="1539"/>
      <c r="BO1792" s="1539"/>
      <c r="BP1792" s="1539"/>
      <c r="BQ1792" s="1539"/>
      <c r="BR1792" s="1539"/>
      <c r="BS1792" s="1539"/>
      <c r="BT1792" s="1539"/>
      <c r="BU1792" s="1539"/>
      <c r="BV1792" s="1539"/>
      <c r="BW1792" s="1539"/>
      <c r="BX1792" s="1539"/>
      <c r="BY1792" s="1539"/>
      <c r="BZ1792" s="1539"/>
      <c r="CA1792" s="1539"/>
      <c r="CB1792" s="1539"/>
      <c r="CC1792" s="1539"/>
      <c r="CD1792" s="1539"/>
      <c r="CE1792" s="1539"/>
      <c r="CF1792" s="1539"/>
      <c r="CG1792" s="1539"/>
      <c r="CH1792" s="1539"/>
      <c r="CI1792" s="1539"/>
      <c r="CJ1792" s="1539"/>
      <c r="CK1792" s="1539"/>
      <c r="CL1792" s="1539"/>
      <c r="CM1792" s="1539"/>
      <c r="CN1792" s="1539"/>
      <c r="CO1792" s="1539"/>
    </row>
    <row r="1793" spans="1:93" s="1542" customFormat="1" ht="15.5">
      <c r="A1793" s="1598">
        <v>37.115000000000002</v>
      </c>
      <c r="B1793" s="1599" t="s">
        <v>3437</v>
      </c>
      <c r="C1793" s="1643" t="e">
        <f>+SUMIF(#REF!,Final!A1793,#REF!)</f>
        <v>#REF!</v>
      </c>
      <c r="D1793" s="1597" t="e">
        <f>+SUMIF(#REF!,Final!A1793,#REF!)</f>
        <v>#REF!</v>
      </c>
      <c r="E1793" s="1643" t="e">
        <f>SUMIF(#REF!,Final!A1793,#REF!)</f>
        <v>#REF!</v>
      </c>
      <c r="F1793" s="1644" t="e">
        <f>SUMIF(#REF!,Final!A1793,#REF!)</f>
        <v>#REF!</v>
      </c>
      <c r="G1793" s="1597" t="e">
        <f t="shared" si="184"/>
        <v>#REF!</v>
      </c>
      <c r="H1793" s="1644" t="e">
        <f t="shared" si="185"/>
        <v>#REF!</v>
      </c>
      <c r="I1793" s="1597" t="e">
        <f t="shared" si="186"/>
        <v>#REF!</v>
      </c>
      <c r="J1793" s="1644" t="e">
        <f t="shared" si="187"/>
        <v>#REF!</v>
      </c>
      <c r="K1793" s="1539"/>
      <c r="L1793" s="1539"/>
      <c r="M1793" s="1545"/>
      <c r="N1793" s="1545"/>
      <c r="O1793" s="1539"/>
      <c r="P1793" s="1539"/>
      <c r="Q1793" s="1539"/>
      <c r="R1793" s="1539"/>
      <c r="S1793" s="1539"/>
      <c r="T1793" s="1539"/>
      <c r="U1793" s="1539"/>
      <c r="V1793" s="1539"/>
      <c r="W1793" s="1539"/>
      <c r="X1793" s="1539"/>
      <c r="Y1793" s="1539"/>
      <c r="Z1793" s="1539"/>
      <c r="AA1793" s="1539"/>
      <c r="AB1793" s="1539"/>
      <c r="AC1793" s="1539"/>
      <c r="AD1793" s="1539"/>
      <c r="AE1793" s="1539"/>
      <c r="AF1793" s="1539"/>
      <c r="AG1793" s="1539"/>
      <c r="AH1793" s="1539"/>
      <c r="AI1793" s="1539"/>
      <c r="AJ1793" s="1539"/>
      <c r="AK1793" s="1539"/>
      <c r="AL1793" s="1539"/>
      <c r="AM1793" s="1539"/>
      <c r="AN1793" s="1539"/>
      <c r="AO1793" s="1539"/>
      <c r="AP1793" s="1539"/>
      <c r="AQ1793" s="1539"/>
      <c r="AR1793" s="1539"/>
      <c r="AS1793" s="1539"/>
      <c r="AT1793" s="1539"/>
      <c r="AU1793" s="1539"/>
      <c r="AV1793" s="1539"/>
      <c r="AW1793" s="1539"/>
      <c r="AX1793" s="1539"/>
      <c r="AY1793" s="1539"/>
      <c r="AZ1793" s="1539"/>
      <c r="BA1793" s="1539"/>
      <c r="BB1793" s="1539"/>
      <c r="BC1793" s="1539"/>
      <c r="BD1793" s="1539"/>
      <c r="BE1793" s="1539"/>
      <c r="BF1793" s="1539"/>
      <c r="BG1793" s="1539"/>
      <c r="BH1793" s="1539"/>
      <c r="BI1793" s="1539"/>
      <c r="BJ1793" s="1539"/>
      <c r="BK1793" s="1539"/>
      <c r="BL1793" s="1539"/>
      <c r="BM1793" s="1539"/>
      <c r="BN1793" s="1539"/>
      <c r="BO1793" s="1539"/>
      <c r="BP1793" s="1539"/>
      <c r="BQ1793" s="1539"/>
      <c r="BR1793" s="1539"/>
      <c r="BS1793" s="1539"/>
      <c r="BT1793" s="1539"/>
      <c r="BU1793" s="1539"/>
      <c r="BV1793" s="1539"/>
      <c r="BW1793" s="1539"/>
      <c r="BX1793" s="1539"/>
      <c r="BY1793" s="1539"/>
      <c r="BZ1793" s="1539"/>
      <c r="CA1793" s="1539"/>
      <c r="CB1793" s="1539"/>
      <c r="CC1793" s="1539"/>
      <c r="CD1793" s="1539"/>
      <c r="CE1793" s="1539"/>
      <c r="CF1793" s="1539"/>
      <c r="CG1793" s="1539"/>
      <c r="CH1793" s="1539"/>
      <c r="CI1793" s="1539"/>
      <c r="CJ1793" s="1539"/>
      <c r="CK1793" s="1539"/>
      <c r="CL1793" s="1539"/>
      <c r="CM1793" s="1539"/>
      <c r="CN1793" s="1539"/>
      <c r="CO1793" s="1539"/>
    </row>
    <row r="1794" spans="1:93" s="1552" customFormat="1" ht="15.5">
      <c r="A1794" s="1598"/>
      <c r="B1794" s="1599" t="s">
        <v>1747</v>
      </c>
      <c r="C1794" s="1643" t="e">
        <f>+SUMIF(#REF!,Final!A1794,#REF!)</f>
        <v>#REF!</v>
      </c>
      <c r="D1794" s="1597" t="e">
        <f>+SUMIF(#REF!,Final!A1794,#REF!)</f>
        <v>#REF!</v>
      </c>
      <c r="E1794" s="1643" t="e">
        <f>SUMIF(#REF!,Final!A1794,#REF!)</f>
        <v>#REF!</v>
      </c>
      <c r="F1794" s="1644" t="e">
        <f>SUMIF(#REF!,Final!A1794,#REF!)</f>
        <v>#REF!</v>
      </c>
      <c r="G1794" s="1597" t="e">
        <f t="shared" si="184"/>
        <v>#REF!</v>
      </c>
      <c r="H1794" s="1644" t="e">
        <f t="shared" si="185"/>
        <v>#REF!</v>
      </c>
      <c r="I1794" s="1597" t="e">
        <f t="shared" si="186"/>
        <v>#REF!</v>
      </c>
      <c r="J1794" s="1644" t="e">
        <f t="shared" si="187"/>
        <v>#REF!</v>
      </c>
      <c r="K1794" s="1539"/>
      <c r="L1794" s="1539"/>
      <c r="M1794" s="1545"/>
      <c r="N1794" s="1545"/>
      <c r="O1794" s="1539"/>
      <c r="P1794" s="1539"/>
      <c r="Q1794" s="1539"/>
      <c r="R1794" s="1539"/>
      <c r="S1794" s="1539"/>
      <c r="T1794" s="1539"/>
      <c r="U1794" s="1539"/>
      <c r="V1794" s="1539"/>
      <c r="W1794" s="1539"/>
      <c r="X1794" s="1539"/>
      <c r="Y1794" s="1539"/>
      <c r="Z1794" s="1539"/>
      <c r="AA1794" s="1539"/>
      <c r="AB1794" s="1539"/>
      <c r="AC1794" s="1539"/>
      <c r="AD1794" s="1539"/>
      <c r="AE1794" s="1539"/>
      <c r="AF1794" s="1539"/>
      <c r="AG1794" s="1539"/>
      <c r="AH1794" s="1539"/>
      <c r="AI1794" s="1539"/>
      <c r="AJ1794" s="1539"/>
      <c r="AK1794" s="1539"/>
      <c r="AL1794" s="1539"/>
      <c r="AM1794" s="1539"/>
      <c r="AN1794" s="1539"/>
      <c r="AO1794" s="1539"/>
      <c r="AP1794" s="1539"/>
      <c r="AQ1794" s="1539"/>
      <c r="AR1794" s="1539"/>
      <c r="AS1794" s="1539"/>
      <c r="AT1794" s="1539"/>
      <c r="AU1794" s="1539"/>
      <c r="AV1794" s="1539"/>
      <c r="AW1794" s="1539"/>
      <c r="AX1794" s="1539"/>
      <c r="AY1794" s="1539"/>
      <c r="AZ1794" s="1539"/>
      <c r="BA1794" s="1539"/>
      <c r="BB1794" s="1539"/>
      <c r="BC1794" s="1539"/>
      <c r="BD1794" s="1539"/>
      <c r="BE1794" s="1539"/>
      <c r="BF1794" s="1539"/>
      <c r="BG1794" s="1539"/>
      <c r="BH1794" s="1539"/>
      <c r="BI1794" s="1539"/>
      <c r="BJ1794" s="1539"/>
      <c r="BK1794" s="1539"/>
      <c r="BL1794" s="1539"/>
      <c r="BM1794" s="1539"/>
      <c r="BN1794" s="1539"/>
      <c r="BO1794" s="1539"/>
      <c r="BP1794" s="1539"/>
      <c r="BQ1794" s="1539"/>
      <c r="BR1794" s="1539"/>
      <c r="BS1794" s="1539"/>
      <c r="BT1794" s="1539"/>
      <c r="BU1794" s="1539"/>
      <c r="BV1794" s="1539"/>
      <c r="BW1794" s="1539"/>
      <c r="BX1794" s="1539"/>
      <c r="BY1794" s="1539"/>
      <c r="BZ1794" s="1539"/>
      <c r="CA1794" s="1539"/>
      <c r="CB1794" s="1539"/>
      <c r="CC1794" s="1539"/>
      <c r="CD1794" s="1539"/>
      <c r="CE1794" s="1539"/>
      <c r="CF1794" s="1539"/>
      <c r="CG1794" s="1539"/>
      <c r="CH1794" s="1539"/>
      <c r="CI1794" s="1539"/>
      <c r="CJ1794" s="1539"/>
      <c r="CK1794" s="1539"/>
      <c r="CL1794" s="1539"/>
      <c r="CM1794" s="1539"/>
      <c r="CN1794" s="1539"/>
      <c r="CO1794" s="1539"/>
    </row>
    <row r="1795" spans="1:93" s="1552" customFormat="1" ht="15.5">
      <c r="A1795" s="1598"/>
      <c r="B1795" s="1599" t="s">
        <v>1760</v>
      </c>
      <c r="C1795" s="1643" t="e">
        <f>+SUMIF(#REF!,Final!A1795,#REF!)</f>
        <v>#REF!</v>
      </c>
      <c r="D1795" s="1597" t="e">
        <f>+SUMIF(#REF!,Final!A1795,#REF!)</f>
        <v>#REF!</v>
      </c>
      <c r="E1795" s="1643" t="e">
        <f>SUMIF(#REF!,Final!A1795,#REF!)</f>
        <v>#REF!</v>
      </c>
      <c r="F1795" s="1644" t="e">
        <f>SUMIF(#REF!,Final!A1795,#REF!)</f>
        <v>#REF!</v>
      </c>
      <c r="G1795" s="1597" t="e">
        <f t="shared" si="184"/>
        <v>#REF!</v>
      </c>
      <c r="H1795" s="1644" t="e">
        <f t="shared" si="185"/>
        <v>#REF!</v>
      </c>
      <c r="I1795" s="1597" t="e">
        <f t="shared" si="186"/>
        <v>#REF!</v>
      </c>
      <c r="J1795" s="1644" t="e">
        <f t="shared" si="187"/>
        <v>#REF!</v>
      </c>
      <c r="K1795" s="1539"/>
      <c r="L1795" s="1539"/>
      <c r="M1795" s="1545"/>
      <c r="N1795" s="1545"/>
      <c r="O1795" s="1539"/>
      <c r="P1795" s="1539"/>
      <c r="Q1795" s="1539"/>
      <c r="R1795" s="1539"/>
      <c r="S1795" s="1539"/>
      <c r="T1795" s="1539"/>
      <c r="U1795" s="1539"/>
      <c r="V1795" s="1539"/>
      <c r="W1795" s="1539"/>
      <c r="X1795" s="1539"/>
      <c r="Y1795" s="1539"/>
      <c r="Z1795" s="1539"/>
      <c r="AA1795" s="1539"/>
      <c r="AB1795" s="1539"/>
      <c r="AC1795" s="1539"/>
      <c r="AD1795" s="1539"/>
      <c r="AE1795" s="1539"/>
      <c r="AF1795" s="1539"/>
      <c r="AG1795" s="1539"/>
      <c r="AH1795" s="1539"/>
      <c r="AI1795" s="1539"/>
      <c r="AJ1795" s="1539"/>
      <c r="AK1795" s="1539"/>
      <c r="AL1795" s="1539"/>
      <c r="AM1795" s="1539"/>
      <c r="AN1795" s="1539"/>
      <c r="AO1795" s="1539"/>
      <c r="AP1795" s="1539"/>
      <c r="AQ1795" s="1539"/>
      <c r="AR1795" s="1539"/>
      <c r="AS1795" s="1539"/>
      <c r="AT1795" s="1539"/>
      <c r="AU1795" s="1539"/>
      <c r="AV1795" s="1539"/>
      <c r="AW1795" s="1539"/>
      <c r="AX1795" s="1539"/>
      <c r="AY1795" s="1539"/>
      <c r="AZ1795" s="1539"/>
      <c r="BA1795" s="1539"/>
      <c r="BB1795" s="1539"/>
      <c r="BC1795" s="1539"/>
      <c r="BD1795" s="1539"/>
      <c r="BE1795" s="1539"/>
      <c r="BF1795" s="1539"/>
      <c r="BG1795" s="1539"/>
      <c r="BH1795" s="1539"/>
      <c r="BI1795" s="1539"/>
      <c r="BJ1795" s="1539"/>
      <c r="BK1795" s="1539"/>
      <c r="BL1795" s="1539"/>
      <c r="BM1795" s="1539"/>
      <c r="BN1795" s="1539"/>
      <c r="BO1795" s="1539"/>
      <c r="BP1795" s="1539"/>
      <c r="BQ1795" s="1539"/>
      <c r="BR1795" s="1539"/>
      <c r="BS1795" s="1539"/>
      <c r="BT1795" s="1539"/>
      <c r="BU1795" s="1539"/>
      <c r="BV1795" s="1539"/>
      <c r="BW1795" s="1539"/>
      <c r="BX1795" s="1539"/>
      <c r="BY1795" s="1539"/>
      <c r="BZ1795" s="1539"/>
      <c r="CA1795" s="1539"/>
      <c r="CB1795" s="1539"/>
      <c r="CC1795" s="1539"/>
      <c r="CD1795" s="1539"/>
      <c r="CE1795" s="1539"/>
      <c r="CF1795" s="1539"/>
      <c r="CG1795" s="1539"/>
      <c r="CH1795" s="1539"/>
      <c r="CI1795" s="1539"/>
      <c r="CJ1795" s="1539"/>
      <c r="CK1795" s="1539"/>
      <c r="CL1795" s="1539"/>
      <c r="CM1795" s="1539"/>
      <c r="CN1795" s="1539"/>
      <c r="CO1795" s="1539"/>
    </row>
    <row r="1796" spans="1:93" ht="15.5">
      <c r="A1796" s="1598" t="s">
        <v>448</v>
      </c>
      <c r="B1796" s="1599" t="s">
        <v>3441</v>
      </c>
      <c r="C1796" s="1643" t="e">
        <f>+SUMIF(#REF!,Final!A1796,#REF!)</f>
        <v>#REF!</v>
      </c>
      <c r="D1796" s="1597" t="e">
        <f>+SUMIF(#REF!,Final!A1796,#REF!)</f>
        <v>#REF!</v>
      </c>
      <c r="E1796" s="1643" t="e">
        <f>SUMIF(#REF!,Final!A1796,#REF!)</f>
        <v>#REF!</v>
      </c>
      <c r="F1796" s="1644" t="e">
        <f>SUMIF(#REF!,Final!A1796,#REF!)</f>
        <v>#REF!</v>
      </c>
      <c r="G1796" s="1597" t="e">
        <f t="shared" si="184"/>
        <v>#REF!</v>
      </c>
      <c r="H1796" s="1644" t="e">
        <f t="shared" si="185"/>
        <v>#REF!</v>
      </c>
      <c r="I1796" s="1597" t="e">
        <f t="shared" si="186"/>
        <v>#REF!</v>
      </c>
      <c r="J1796" s="1644" t="e">
        <f t="shared" si="187"/>
        <v>#REF!</v>
      </c>
      <c r="M1796" s="1545"/>
      <c r="N1796" s="1545"/>
    </row>
    <row r="1797" spans="1:93" ht="15.5">
      <c r="A1797" s="1598">
        <v>38.000999999999998</v>
      </c>
      <c r="B1797" s="1599" t="s">
        <v>2901</v>
      </c>
      <c r="C1797" s="1643" t="e">
        <f>+SUMIF(#REF!,Final!A1797,#REF!)</f>
        <v>#REF!</v>
      </c>
      <c r="D1797" s="1597" t="e">
        <f>+SUMIF(#REF!,Final!A1797,#REF!)</f>
        <v>#REF!</v>
      </c>
      <c r="E1797" s="1643" t="e">
        <f>SUMIF(#REF!,Final!A1797,#REF!)</f>
        <v>#REF!</v>
      </c>
      <c r="F1797" s="1644" t="e">
        <f>SUMIF(#REF!,Final!A1797,#REF!)</f>
        <v>#REF!</v>
      </c>
      <c r="G1797" s="1597" t="e">
        <f t="shared" si="184"/>
        <v>#REF!</v>
      </c>
      <c r="H1797" s="1644" t="e">
        <f t="shared" si="185"/>
        <v>#REF!</v>
      </c>
      <c r="I1797" s="1597" t="e">
        <f t="shared" si="186"/>
        <v>#REF!</v>
      </c>
      <c r="J1797" s="1644" t="e">
        <f t="shared" si="187"/>
        <v>#REF!</v>
      </c>
      <c r="M1797" s="1545"/>
      <c r="N1797" s="1545"/>
    </row>
    <row r="1798" spans="1:93" ht="15.5">
      <c r="A1798" s="1598">
        <v>38.020000000000003</v>
      </c>
      <c r="B1798" s="1599" t="s">
        <v>3411</v>
      </c>
      <c r="C1798" s="1643" t="e">
        <f>+SUMIF(#REF!,Final!A1798,#REF!)</f>
        <v>#REF!</v>
      </c>
      <c r="D1798" s="1597" t="e">
        <f>+SUMIF(#REF!,Final!A1798,#REF!)</f>
        <v>#REF!</v>
      </c>
      <c r="E1798" s="1643" t="e">
        <f>SUMIF(#REF!,Final!A1798,#REF!)</f>
        <v>#REF!</v>
      </c>
      <c r="F1798" s="1644" t="e">
        <f>SUMIF(#REF!,Final!A1798,#REF!)</f>
        <v>#REF!</v>
      </c>
      <c r="G1798" s="1597" t="e">
        <f t="shared" si="184"/>
        <v>#REF!</v>
      </c>
      <c r="H1798" s="1644" t="e">
        <f t="shared" si="185"/>
        <v>#REF!</v>
      </c>
      <c r="I1798" s="1597" t="e">
        <f t="shared" si="186"/>
        <v>#REF!</v>
      </c>
      <c r="J1798" s="1644" t="e">
        <f t="shared" si="187"/>
        <v>#REF!</v>
      </c>
      <c r="M1798" s="1545"/>
      <c r="N1798" s="1545"/>
    </row>
    <row r="1799" spans="1:93" ht="15.5">
      <c r="A1799" s="1598">
        <v>38.021000000000001</v>
      </c>
      <c r="B1799" s="1599" t="s">
        <v>3412</v>
      </c>
      <c r="C1799" s="1643" t="e">
        <f>+SUMIF(#REF!,Final!A1799,#REF!)</f>
        <v>#REF!</v>
      </c>
      <c r="D1799" s="1597" t="e">
        <f>+SUMIF(#REF!,Final!A1799,#REF!)</f>
        <v>#REF!</v>
      </c>
      <c r="E1799" s="1643" t="e">
        <f>SUMIF(#REF!,Final!A1799,#REF!)</f>
        <v>#REF!</v>
      </c>
      <c r="F1799" s="1644" t="e">
        <f>SUMIF(#REF!,Final!A1799,#REF!)</f>
        <v>#REF!</v>
      </c>
      <c r="G1799" s="1597" t="e">
        <f t="shared" si="184"/>
        <v>#REF!</v>
      </c>
      <c r="H1799" s="1644" t="e">
        <f t="shared" si="185"/>
        <v>#REF!</v>
      </c>
      <c r="I1799" s="1597" t="e">
        <f t="shared" si="186"/>
        <v>#REF!</v>
      </c>
      <c r="J1799" s="1644" t="e">
        <f t="shared" si="187"/>
        <v>#REF!</v>
      </c>
      <c r="M1799" s="1545"/>
      <c r="N1799" s="1545"/>
    </row>
    <row r="1800" spans="1:93" ht="15.5">
      <c r="A1800" s="1598">
        <v>38.021999999999998</v>
      </c>
      <c r="B1800" s="1599" t="s">
        <v>3413</v>
      </c>
      <c r="C1800" s="1643" t="e">
        <f>+SUMIF(#REF!,Final!A1800,#REF!)</f>
        <v>#REF!</v>
      </c>
      <c r="D1800" s="1597" t="e">
        <f>+SUMIF(#REF!,Final!A1800,#REF!)</f>
        <v>#REF!</v>
      </c>
      <c r="E1800" s="1643" t="e">
        <f>SUMIF(#REF!,Final!A1800,#REF!)</f>
        <v>#REF!</v>
      </c>
      <c r="F1800" s="1644" t="e">
        <f>SUMIF(#REF!,Final!A1800,#REF!)</f>
        <v>#REF!</v>
      </c>
      <c r="G1800" s="1597" t="e">
        <f t="shared" si="184"/>
        <v>#REF!</v>
      </c>
      <c r="H1800" s="1644" t="e">
        <f t="shared" si="185"/>
        <v>#REF!</v>
      </c>
      <c r="I1800" s="1597" t="e">
        <f t="shared" si="186"/>
        <v>#REF!</v>
      </c>
      <c r="J1800" s="1644" t="e">
        <f t="shared" si="187"/>
        <v>#REF!</v>
      </c>
      <c r="M1800" s="1545"/>
      <c r="N1800" s="1545"/>
    </row>
    <row r="1801" spans="1:93" ht="15.5">
      <c r="A1801" s="1598">
        <v>38.023000000000003</v>
      </c>
      <c r="B1801" s="1599" t="s">
        <v>3414</v>
      </c>
      <c r="C1801" s="1643" t="e">
        <f>+SUMIF(#REF!,Final!A1801,#REF!)</f>
        <v>#REF!</v>
      </c>
      <c r="D1801" s="1597" t="e">
        <f>+SUMIF(#REF!,Final!A1801,#REF!)</f>
        <v>#REF!</v>
      </c>
      <c r="E1801" s="1643" t="e">
        <f>SUMIF(#REF!,Final!A1801,#REF!)</f>
        <v>#REF!</v>
      </c>
      <c r="F1801" s="1644" t="e">
        <f>SUMIF(#REF!,Final!A1801,#REF!)</f>
        <v>#REF!</v>
      </c>
      <c r="G1801" s="1597" t="e">
        <f t="shared" si="184"/>
        <v>#REF!</v>
      </c>
      <c r="H1801" s="1644" t="e">
        <f t="shared" si="185"/>
        <v>#REF!</v>
      </c>
      <c r="I1801" s="1597" t="e">
        <f t="shared" si="186"/>
        <v>#REF!</v>
      </c>
      <c r="J1801" s="1644" t="e">
        <f t="shared" si="187"/>
        <v>#REF!</v>
      </c>
      <c r="M1801" s="1545"/>
      <c r="N1801" s="1545"/>
    </row>
    <row r="1802" spans="1:93" ht="15.5">
      <c r="A1802" s="1598">
        <v>38.024000000000001</v>
      </c>
      <c r="B1802" s="1599" t="s">
        <v>3415</v>
      </c>
      <c r="C1802" s="1643" t="e">
        <f>+SUMIF(#REF!,Final!A1802,#REF!)</f>
        <v>#REF!</v>
      </c>
      <c r="D1802" s="1597" t="e">
        <f>+SUMIF(#REF!,Final!A1802,#REF!)</f>
        <v>#REF!</v>
      </c>
      <c r="E1802" s="1643" t="e">
        <f>SUMIF(#REF!,Final!A1802,#REF!)</f>
        <v>#REF!</v>
      </c>
      <c r="F1802" s="1644" t="e">
        <f>SUMIF(#REF!,Final!A1802,#REF!)</f>
        <v>#REF!</v>
      </c>
      <c r="G1802" s="1597" t="e">
        <f t="shared" si="184"/>
        <v>#REF!</v>
      </c>
      <c r="H1802" s="1644" t="e">
        <f t="shared" si="185"/>
        <v>#REF!</v>
      </c>
      <c r="I1802" s="1597" t="e">
        <f t="shared" si="186"/>
        <v>#REF!</v>
      </c>
      <c r="J1802" s="1644" t="e">
        <f t="shared" si="187"/>
        <v>#REF!</v>
      </c>
      <c r="M1802" s="1545"/>
      <c r="N1802" s="1545"/>
    </row>
    <row r="1803" spans="1:93" ht="15.5">
      <c r="A1803" s="1598">
        <v>38.024999999999999</v>
      </c>
      <c r="B1803" s="1599" t="s">
        <v>3416</v>
      </c>
      <c r="C1803" s="1643" t="e">
        <f>+SUMIF(#REF!,Final!A1803,#REF!)</f>
        <v>#REF!</v>
      </c>
      <c r="D1803" s="1597" t="e">
        <f>+SUMIF(#REF!,Final!A1803,#REF!)</f>
        <v>#REF!</v>
      </c>
      <c r="E1803" s="1643" t="e">
        <f>SUMIF(#REF!,Final!A1803,#REF!)</f>
        <v>#REF!</v>
      </c>
      <c r="F1803" s="1644" t="e">
        <f>SUMIF(#REF!,Final!A1803,#REF!)</f>
        <v>#REF!</v>
      </c>
      <c r="G1803" s="1597" t="e">
        <f t="shared" si="184"/>
        <v>#REF!</v>
      </c>
      <c r="H1803" s="1644" t="e">
        <f t="shared" si="185"/>
        <v>#REF!</v>
      </c>
      <c r="I1803" s="1597" t="e">
        <f t="shared" si="186"/>
        <v>#REF!</v>
      </c>
      <c r="J1803" s="1644" t="e">
        <f t="shared" si="187"/>
        <v>#REF!</v>
      </c>
      <c r="M1803" s="1545"/>
      <c r="N1803" s="1545"/>
    </row>
    <row r="1804" spans="1:93" ht="15.5">
      <c r="A1804" s="1598">
        <v>38.026000000000003</v>
      </c>
      <c r="B1804" s="1599" t="s">
        <v>3417</v>
      </c>
      <c r="C1804" s="1643" t="e">
        <f>+SUMIF(#REF!,Final!A1804,#REF!)</f>
        <v>#REF!</v>
      </c>
      <c r="D1804" s="1597" t="e">
        <f>+SUMIF(#REF!,Final!A1804,#REF!)</f>
        <v>#REF!</v>
      </c>
      <c r="E1804" s="1643" t="e">
        <f>SUMIF(#REF!,Final!A1804,#REF!)</f>
        <v>#REF!</v>
      </c>
      <c r="F1804" s="1644" t="e">
        <f>SUMIF(#REF!,Final!A1804,#REF!)</f>
        <v>#REF!</v>
      </c>
      <c r="G1804" s="1597" t="e">
        <f t="shared" si="184"/>
        <v>#REF!</v>
      </c>
      <c r="H1804" s="1644" t="e">
        <f t="shared" si="185"/>
        <v>#REF!</v>
      </c>
      <c r="I1804" s="1597" t="e">
        <f t="shared" si="186"/>
        <v>#REF!</v>
      </c>
      <c r="J1804" s="1644" t="e">
        <f t="shared" si="187"/>
        <v>#REF!</v>
      </c>
      <c r="M1804" s="1545"/>
      <c r="N1804" s="1545"/>
    </row>
    <row r="1805" spans="1:93" ht="15.5">
      <c r="A1805" s="1598">
        <v>38.027000000000001</v>
      </c>
      <c r="B1805" s="1599" t="s">
        <v>3418</v>
      </c>
      <c r="C1805" s="1643" t="e">
        <f>+SUMIF(#REF!,Final!A1805,#REF!)</f>
        <v>#REF!</v>
      </c>
      <c r="D1805" s="1597" t="e">
        <f>+SUMIF(#REF!,Final!A1805,#REF!)</f>
        <v>#REF!</v>
      </c>
      <c r="E1805" s="1643" t="e">
        <f>SUMIF(#REF!,Final!A1805,#REF!)</f>
        <v>#REF!</v>
      </c>
      <c r="F1805" s="1644" t="e">
        <f>SUMIF(#REF!,Final!A1805,#REF!)</f>
        <v>#REF!</v>
      </c>
      <c r="G1805" s="1597" t="e">
        <f t="shared" si="184"/>
        <v>#REF!</v>
      </c>
      <c r="H1805" s="1644" t="e">
        <f t="shared" si="185"/>
        <v>#REF!</v>
      </c>
      <c r="I1805" s="1597" t="e">
        <f t="shared" si="186"/>
        <v>#REF!</v>
      </c>
      <c r="J1805" s="1644" t="e">
        <f t="shared" si="187"/>
        <v>#REF!</v>
      </c>
      <c r="M1805" s="1545"/>
      <c r="N1805" s="1545"/>
    </row>
    <row r="1806" spans="1:93" ht="15.5">
      <c r="A1806" s="1598">
        <v>38.027999999999999</v>
      </c>
      <c r="B1806" s="1599" t="s">
        <v>3419</v>
      </c>
      <c r="C1806" s="1643" t="e">
        <f>+SUMIF(#REF!,Final!A1806,#REF!)</f>
        <v>#REF!</v>
      </c>
      <c r="D1806" s="1597" t="e">
        <f>+SUMIF(#REF!,Final!A1806,#REF!)</f>
        <v>#REF!</v>
      </c>
      <c r="E1806" s="1643" t="e">
        <f>SUMIF(#REF!,Final!A1806,#REF!)</f>
        <v>#REF!</v>
      </c>
      <c r="F1806" s="1644" t="e">
        <f>SUMIF(#REF!,Final!A1806,#REF!)</f>
        <v>#REF!</v>
      </c>
      <c r="G1806" s="1597" t="e">
        <f t="shared" si="184"/>
        <v>#REF!</v>
      </c>
      <c r="H1806" s="1644" t="e">
        <f t="shared" si="185"/>
        <v>#REF!</v>
      </c>
      <c r="I1806" s="1597" t="e">
        <f t="shared" si="186"/>
        <v>#REF!</v>
      </c>
      <c r="J1806" s="1644" t="e">
        <f t="shared" si="187"/>
        <v>#REF!</v>
      </c>
      <c r="M1806" s="1545"/>
      <c r="N1806" s="1545"/>
    </row>
    <row r="1807" spans="1:93" ht="15.5">
      <c r="A1807" s="1598">
        <v>38.029000000000003</v>
      </c>
      <c r="B1807" s="1599" t="s">
        <v>3420</v>
      </c>
      <c r="C1807" s="1643" t="e">
        <f>+SUMIF(#REF!,Final!A1807,#REF!)</f>
        <v>#REF!</v>
      </c>
      <c r="D1807" s="1597" t="e">
        <f>+SUMIF(#REF!,Final!A1807,#REF!)</f>
        <v>#REF!</v>
      </c>
      <c r="E1807" s="1643" t="e">
        <f>SUMIF(#REF!,Final!A1807,#REF!)</f>
        <v>#REF!</v>
      </c>
      <c r="F1807" s="1644" t="e">
        <f>SUMIF(#REF!,Final!A1807,#REF!)</f>
        <v>#REF!</v>
      </c>
      <c r="G1807" s="1597" t="e">
        <f t="shared" si="184"/>
        <v>#REF!</v>
      </c>
      <c r="H1807" s="1644" t="e">
        <f t="shared" si="185"/>
        <v>#REF!</v>
      </c>
      <c r="I1807" s="1597" t="e">
        <f t="shared" si="186"/>
        <v>#REF!</v>
      </c>
      <c r="J1807" s="1644" t="e">
        <f t="shared" si="187"/>
        <v>#REF!</v>
      </c>
      <c r="M1807" s="1545"/>
      <c r="N1807" s="1545"/>
    </row>
    <row r="1808" spans="1:93" ht="15.5">
      <c r="A1808" s="1598">
        <v>38.03</v>
      </c>
      <c r="B1808" s="1599" t="s">
        <v>3421</v>
      </c>
      <c r="C1808" s="1643" t="e">
        <f>+SUMIF(#REF!,Final!A1808,#REF!)</f>
        <v>#REF!</v>
      </c>
      <c r="D1808" s="1597" t="e">
        <f>+SUMIF(#REF!,Final!A1808,#REF!)</f>
        <v>#REF!</v>
      </c>
      <c r="E1808" s="1643" t="e">
        <f>SUMIF(#REF!,Final!A1808,#REF!)</f>
        <v>#REF!</v>
      </c>
      <c r="F1808" s="1644" t="e">
        <f>SUMIF(#REF!,Final!A1808,#REF!)</f>
        <v>#REF!</v>
      </c>
      <c r="G1808" s="1597" t="e">
        <f t="shared" si="184"/>
        <v>#REF!</v>
      </c>
      <c r="H1808" s="1644" t="e">
        <f t="shared" si="185"/>
        <v>#REF!</v>
      </c>
      <c r="I1808" s="1597" t="e">
        <f t="shared" si="186"/>
        <v>#REF!</v>
      </c>
      <c r="J1808" s="1644" t="e">
        <f t="shared" si="187"/>
        <v>#REF!</v>
      </c>
      <c r="M1808" s="1545"/>
      <c r="N1808" s="1545"/>
    </row>
    <row r="1809" spans="1:14" ht="15.5">
      <c r="A1809" s="1598">
        <v>38.030999999999999</v>
      </c>
      <c r="B1809" s="1599" t="s">
        <v>3422</v>
      </c>
      <c r="C1809" s="1643" t="e">
        <f>+SUMIF(#REF!,Final!A1809,#REF!)</f>
        <v>#REF!</v>
      </c>
      <c r="D1809" s="1597" t="e">
        <f>+SUMIF(#REF!,Final!A1809,#REF!)</f>
        <v>#REF!</v>
      </c>
      <c r="E1809" s="1643" t="e">
        <f>SUMIF(#REF!,Final!A1809,#REF!)</f>
        <v>#REF!</v>
      </c>
      <c r="F1809" s="1644" t="e">
        <f>SUMIF(#REF!,Final!A1809,#REF!)</f>
        <v>#REF!</v>
      </c>
      <c r="G1809" s="1597" t="e">
        <f t="shared" si="184"/>
        <v>#REF!</v>
      </c>
      <c r="H1809" s="1644" t="e">
        <f t="shared" si="185"/>
        <v>#REF!</v>
      </c>
      <c r="I1809" s="1597" t="e">
        <f t="shared" si="186"/>
        <v>#REF!</v>
      </c>
      <c r="J1809" s="1644" t="e">
        <f t="shared" si="187"/>
        <v>#REF!</v>
      </c>
      <c r="M1809" s="1545"/>
      <c r="N1809" s="1545"/>
    </row>
    <row r="1810" spans="1:14" ht="15.5">
      <c r="A1810" s="1598">
        <v>38.031999999999996</v>
      </c>
      <c r="B1810" s="1599" t="s">
        <v>3423</v>
      </c>
      <c r="C1810" s="1643" t="e">
        <f>+SUMIF(#REF!,Final!A1810,#REF!)</f>
        <v>#REF!</v>
      </c>
      <c r="D1810" s="1597" t="e">
        <f>+SUMIF(#REF!,Final!A1810,#REF!)</f>
        <v>#REF!</v>
      </c>
      <c r="E1810" s="1643" t="e">
        <f>SUMIF(#REF!,Final!A1810,#REF!)</f>
        <v>#REF!</v>
      </c>
      <c r="F1810" s="1644" t="e">
        <f>SUMIF(#REF!,Final!A1810,#REF!)</f>
        <v>#REF!</v>
      </c>
      <c r="G1810" s="1597" t="e">
        <f t="shared" si="184"/>
        <v>#REF!</v>
      </c>
      <c r="H1810" s="1644" t="e">
        <f t="shared" si="185"/>
        <v>#REF!</v>
      </c>
      <c r="I1810" s="1597" t="e">
        <f t="shared" si="186"/>
        <v>#REF!</v>
      </c>
      <c r="J1810" s="1644" t="e">
        <f t="shared" si="187"/>
        <v>#REF!</v>
      </c>
      <c r="M1810" s="1545"/>
      <c r="N1810" s="1545"/>
    </row>
    <row r="1811" spans="1:14" ht="15.5">
      <c r="A1811" s="1598">
        <v>38.033000000000001</v>
      </c>
      <c r="B1811" s="1599" t="s">
        <v>3424</v>
      </c>
      <c r="C1811" s="1643" t="e">
        <f>+SUMIF(#REF!,Final!A1811,#REF!)</f>
        <v>#REF!</v>
      </c>
      <c r="D1811" s="1597" t="e">
        <f>+SUMIF(#REF!,Final!A1811,#REF!)</f>
        <v>#REF!</v>
      </c>
      <c r="E1811" s="1643" t="e">
        <f>SUMIF(#REF!,Final!A1811,#REF!)</f>
        <v>#REF!</v>
      </c>
      <c r="F1811" s="1644" t="e">
        <f>SUMIF(#REF!,Final!A1811,#REF!)</f>
        <v>#REF!</v>
      </c>
      <c r="G1811" s="1597" t="e">
        <f t="shared" si="184"/>
        <v>#REF!</v>
      </c>
      <c r="H1811" s="1644" t="e">
        <f t="shared" si="185"/>
        <v>#REF!</v>
      </c>
      <c r="I1811" s="1597" t="e">
        <f t="shared" si="186"/>
        <v>#REF!</v>
      </c>
      <c r="J1811" s="1644" t="e">
        <f t="shared" si="187"/>
        <v>#REF!</v>
      </c>
      <c r="M1811" s="1545"/>
      <c r="N1811" s="1545"/>
    </row>
    <row r="1812" spans="1:14" ht="15.5">
      <c r="A1812" s="1598">
        <v>38.033999999999999</v>
      </c>
      <c r="B1812" s="1599" t="s">
        <v>3425</v>
      </c>
      <c r="C1812" s="1643" t="e">
        <f>+SUMIF(#REF!,Final!A1812,#REF!)</f>
        <v>#REF!</v>
      </c>
      <c r="D1812" s="1597" t="e">
        <f>+SUMIF(#REF!,Final!A1812,#REF!)</f>
        <v>#REF!</v>
      </c>
      <c r="E1812" s="1643" t="e">
        <f>SUMIF(#REF!,Final!A1812,#REF!)</f>
        <v>#REF!</v>
      </c>
      <c r="F1812" s="1644" t="e">
        <f>SUMIF(#REF!,Final!A1812,#REF!)</f>
        <v>#REF!</v>
      </c>
      <c r="G1812" s="1597" t="e">
        <f t="shared" si="184"/>
        <v>#REF!</v>
      </c>
      <c r="H1812" s="1644" t="e">
        <f t="shared" si="185"/>
        <v>#REF!</v>
      </c>
      <c r="I1812" s="1597" t="e">
        <f t="shared" si="186"/>
        <v>#REF!</v>
      </c>
      <c r="J1812" s="1644" t="e">
        <f t="shared" si="187"/>
        <v>#REF!</v>
      </c>
      <c r="M1812" s="1545"/>
      <c r="N1812" s="1545"/>
    </row>
    <row r="1813" spans="1:14" ht="15.5">
      <c r="A1813" s="1598">
        <v>38.034999999999997</v>
      </c>
      <c r="B1813" s="1599" t="s">
        <v>3426</v>
      </c>
      <c r="C1813" s="1643" t="e">
        <f>+SUMIF(#REF!,Final!A1813,#REF!)</f>
        <v>#REF!</v>
      </c>
      <c r="D1813" s="1597" t="e">
        <f>+SUMIF(#REF!,Final!A1813,#REF!)</f>
        <v>#REF!</v>
      </c>
      <c r="E1813" s="1643" t="e">
        <f>SUMIF(#REF!,Final!A1813,#REF!)</f>
        <v>#REF!</v>
      </c>
      <c r="F1813" s="1644" t="e">
        <f>SUMIF(#REF!,Final!A1813,#REF!)</f>
        <v>#REF!</v>
      </c>
      <c r="G1813" s="1597" t="e">
        <f t="shared" si="184"/>
        <v>#REF!</v>
      </c>
      <c r="H1813" s="1644" t="e">
        <f t="shared" si="185"/>
        <v>#REF!</v>
      </c>
      <c r="I1813" s="1597" t="e">
        <f t="shared" si="186"/>
        <v>#REF!</v>
      </c>
      <c r="J1813" s="1644" t="e">
        <f t="shared" si="187"/>
        <v>#REF!</v>
      </c>
      <c r="M1813" s="1545"/>
      <c r="N1813" s="1545"/>
    </row>
    <row r="1814" spans="1:14" ht="15.5">
      <c r="A1814" s="1598">
        <v>38.036000000000001</v>
      </c>
      <c r="B1814" s="1599" t="s">
        <v>3427</v>
      </c>
      <c r="C1814" s="1643" t="e">
        <f>+SUMIF(#REF!,Final!A1814,#REF!)</f>
        <v>#REF!</v>
      </c>
      <c r="D1814" s="1597" t="e">
        <f>+SUMIF(#REF!,Final!A1814,#REF!)</f>
        <v>#REF!</v>
      </c>
      <c r="E1814" s="1643" t="e">
        <f>SUMIF(#REF!,Final!A1814,#REF!)</f>
        <v>#REF!</v>
      </c>
      <c r="F1814" s="1644" t="e">
        <f>SUMIF(#REF!,Final!A1814,#REF!)</f>
        <v>#REF!</v>
      </c>
      <c r="G1814" s="1597" t="e">
        <f t="shared" si="184"/>
        <v>#REF!</v>
      </c>
      <c r="H1814" s="1644" t="e">
        <f t="shared" si="185"/>
        <v>#REF!</v>
      </c>
      <c r="I1814" s="1597" t="e">
        <f t="shared" si="186"/>
        <v>#REF!</v>
      </c>
      <c r="J1814" s="1644" t="e">
        <f t="shared" si="187"/>
        <v>#REF!</v>
      </c>
      <c r="M1814" s="1545"/>
      <c r="N1814" s="1545"/>
    </row>
    <row r="1815" spans="1:14" ht="15.5">
      <c r="A1815" s="1598">
        <v>38.036999999999999</v>
      </c>
      <c r="B1815" s="1599" t="s">
        <v>3428</v>
      </c>
      <c r="C1815" s="1643" t="e">
        <f>+SUMIF(#REF!,Final!A1815,#REF!)</f>
        <v>#REF!</v>
      </c>
      <c r="D1815" s="1597" t="e">
        <f>+SUMIF(#REF!,Final!A1815,#REF!)</f>
        <v>#REF!</v>
      </c>
      <c r="E1815" s="1643" t="e">
        <f>SUMIF(#REF!,Final!A1815,#REF!)</f>
        <v>#REF!</v>
      </c>
      <c r="F1815" s="1644" t="e">
        <f>SUMIF(#REF!,Final!A1815,#REF!)</f>
        <v>#REF!</v>
      </c>
      <c r="G1815" s="1597" t="e">
        <f t="shared" si="184"/>
        <v>#REF!</v>
      </c>
      <c r="H1815" s="1644" t="e">
        <f t="shared" si="185"/>
        <v>#REF!</v>
      </c>
      <c r="I1815" s="1597" t="e">
        <f t="shared" si="186"/>
        <v>#REF!</v>
      </c>
      <c r="J1815" s="1644" t="e">
        <f t="shared" si="187"/>
        <v>#REF!</v>
      </c>
      <c r="M1815" s="1545"/>
      <c r="N1815" s="1545"/>
    </row>
    <row r="1816" spans="1:14" ht="15.5">
      <c r="A1816" s="1598">
        <v>38.037999999999997</v>
      </c>
      <c r="B1816" s="1599" t="s">
        <v>3429</v>
      </c>
      <c r="C1816" s="1643" t="e">
        <f>+SUMIF(#REF!,Final!A1816,#REF!)</f>
        <v>#REF!</v>
      </c>
      <c r="D1816" s="1597" t="e">
        <f>+SUMIF(#REF!,Final!A1816,#REF!)</f>
        <v>#REF!</v>
      </c>
      <c r="E1816" s="1643" t="e">
        <f>SUMIF(#REF!,Final!A1816,#REF!)</f>
        <v>#REF!</v>
      </c>
      <c r="F1816" s="1644" t="e">
        <f>SUMIF(#REF!,Final!A1816,#REF!)</f>
        <v>#REF!</v>
      </c>
      <c r="G1816" s="1597" t="e">
        <f t="shared" si="184"/>
        <v>#REF!</v>
      </c>
      <c r="H1816" s="1644" t="e">
        <f t="shared" si="185"/>
        <v>#REF!</v>
      </c>
      <c r="I1816" s="1597" t="e">
        <f t="shared" si="186"/>
        <v>#REF!</v>
      </c>
      <c r="J1816" s="1644" t="e">
        <f t="shared" si="187"/>
        <v>#REF!</v>
      </c>
      <c r="M1816" s="1545"/>
      <c r="N1816" s="1545"/>
    </row>
    <row r="1817" spans="1:14" ht="15.5">
      <c r="A1817" s="1598">
        <v>38.039000000000001</v>
      </c>
      <c r="B1817" s="1599" t="s">
        <v>4674</v>
      </c>
      <c r="C1817" s="1643" t="e">
        <f>+SUMIF(#REF!,Final!A1817,#REF!)</f>
        <v>#REF!</v>
      </c>
      <c r="D1817" s="1597" t="e">
        <f>+SUMIF(#REF!,Final!A1817,#REF!)</f>
        <v>#REF!</v>
      </c>
      <c r="E1817" s="1643" t="e">
        <f>SUMIF(#REF!,Final!A1817,#REF!)</f>
        <v>#REF!</v>
      </c>
      <c r="F1817" s="1644" t="e">
        <f>SUMIF(#REF!,Final!A1817,#REF!)</f>
        <v>#REF!</v>
      </c>
      <c r="G1817" s="1597" t="e">
        <f t="shared" si="184"/>
        <v>#REF!</v>
      </c>
      <c r="H1817" s="1644" t="e">
        <f t="shared" si="185"/>
        <v>#REF!</v>
      </c>
      <c r="I1817" s="1597" t="e">
        <f t="shared" si="186"/>
        <v>#REF!</v>
      </c>
      <c r="J1817" s="1644" t="e">
        <f t="shared" si="187"/>
        <v>#REF!</v>
      </c>
      <c r="M1817" s="1545"/>
      <c r="N1817" s="1545"/>
    </row>
    <row r="1818" spans="1:14" ht="15.5">
      <c r="A1818" s="1598">
        <v>38.070999999999998</v>
      </c>
      <c r="B1818" s="1599" t="s">
        <v>3430</v>
      </c>
      <c r="C1818" s="1643" t="e">
        <f>+SUMIF(#REF!,Final!A1818,#REF!)</f>
        <v>#REF!</v>
      </c>
      <c r="D1818" s="1597" t="e">
        <f>+SUMIF(#REF!,Final!A1818,#REF!)</f>
        <v>#REF!</v>
      </c>
      <c r="E1818" s="1643" t="e">
        <f>SUMIF(#REF!,Final!A1818,#REF!)</f>
        <v>#REF!</v>
      </c>
      <c r="F1818" s="1644" t="e">
        <f>SUMIF(#REF!,Final!A1818,#REF!)</f>
        <v>#REF!</v>
      </c>
      <c r="G1818" s="1597" t="e">
        <f t="shared" si="184"/>
        <v>#REF!</v>
      </c>
      <c r="H1818" s="1644" t="e">
        <f t="shared" si="185"/>
        <v>#REF!</v>
      </c>
      <c r="I1818" s="1597" t="e">
        <f t="shared" si="186"/>
        <v>#REF!</v>
      </c>
      <c r="J1818" s="1644" t="e">
        <f t="shared" si="187"/>
        <v>#REF!</v>
      </c>
      <c r="M1818" s="1545"/>
      <c r="N1818" s="1545"/>
    </row>
    <row r="1819" spans="1:14" ht="15.5">
      <c r="A1819" s="1598">
        <v>38.072000000000003</v>
      </c>
      <c r="B1819" s="1599" t="s">
        <v>3431</v>
      </c>
      <c r="C1819" s="1643" t="e">
        <f>+SUMIF(#REF!,Final!A1819,#REF!)</f>
        <v>#REF!</v>
      </c>
      <c r="D1819" s="1597" t="e">
        <f>+SUMIF(#REF!,Final!A1819,#REF!)</f>
        <v>#REF!</v>
      </c>
      <c r="E1819" s="1643" t="e">
        <f>SUMIF(#REF!,Final!A1819,#REF!)</f>
        <v>#REF!</v>
      </c>
      <c r="F1819" s="1644" t="e">
        <f>SUMIF(#REF!,Final!A1819,#REF!)</f>
        <v>#REF!</v>
      </c>
      <c r="G1819" s="1597" t="e">
        <f t="shared" si="184"/>
        <v>#REF!</v>
      </c>
      <c r="H1819" s="1644" t="e">
        <f t="shared" si="185"/>
        <v>#REF!</v>
      </c>
      <c r="I1819" s="1597" t="e">
        <f t="shared" si="186"/>
        <v>#REF!</v>
      </c>
      <c r="J1819" s="1644" t="e">
        <f t="shared" si="187"/>
        <v>#REF!</v>
      </c>
      <c r="M1819" s="1545"/>
      <c r="N1819" s="1545"/>
    </row>
    <row r="1820" spans="1:14" ht="15.5">
      <c r="A1820" s="1598">
        <v>38.073</v>
      </c>
      <c r="B1820" s="1599" t="s">
        <v>3432</v>
      </c>
      <c r="C1820" s="1643" t="e">
        <f>+SUMIF(#REF!,Final!A1820,#REF!)</f>
        <v>#REF!</v>
      </c>
      <c r="D1820" s="1597" t="e">
        <f>+SUMIF(#REF!,Final!A1820,#REF!)</f>
        <v>#REF!</v>
      </c>
      <c r="E1820" s="1643" t="e">
        <f>SUMIF(#REF!,Final!A1820,#REF!)</f>
        <v>#REF!</v>
      </c>
      <c r="F1820" s="1644" t="e">
        <f>SUMIF(#REF!,Final!A1820,#REF!)</f>
        <v>#REF!</v>
      </c>
      <c r="G1820" s="1597" t="e">
        <f t="shared" si="184"/>
        <v>#REF!</v>
      </c>
      <c r="H1820" s="1644" t="e">
        <f t="shared" si="185"/>
        <v>#REF!</v>
      </c>
      <c r="I1820" s="1597" t="e">
        <f t="shared" si="186"/>
        <v>#REF!</v>
      </c>
      <c r="J1820" s="1644" t="e">
        <f t="shared" si="187"/>
        <v>#REF!</v>
      </c>
      <c r="M1820" s="1545"/>
      <c r="N1820" s="1545"/>
    </row>
    <row r="1821" spans="1:14" ht="15.5">
      <c r="A1821" s="1598">
        <v>38.073999999999998</v>
      </c>
      <c r="B1821" s="1599" t="s">
        <v>3433</v>
      </c>
      <c r="C1821" s="1643" t="e">
        <f>+SUMIF(#REF!,Final!A1821,#REF!)</f>
        <v>#REF!</v>
      </c>
      <c r="D1821" s="1597" t="e">
        <f>+SUMIF(#REF!,Final!A1821,#REF!)</f>
        <v>#REF!</v>
      </c>
      <c r="E1821" s="1643" t="e">
        <f>SUMIF(#REF!,Final!A1821,#REF!)</f>
        <v>#REF!</v>
      </c>
      <c r="F1821" s="1644" t="e">
        <f>SUMIF(#REF!,Final!A1821,#REF!)</f>
        <v>#REF!</v>
      </c>
      <c r="G1821" s="1597" t="e">
        <f t="shared" si="184"/>
        <v>#REF!</v>
      </c>
      <c r="H1821" s="1644" t="e">
        <f t="shared" si="185"/>
        <v>#REF!</v>
      </c>
      <c r="I1821" s="1597" t="e">
        <f t="shared" si="186"/>
        <v>#REF!</v>
      </c>
      <c r="J1821" s="1644" t="e">
        <f t="shared" si="187"/>
        <v>#REF!</v>
      </c>
      <c r="M1821" s="1545"/>
      <c r="N1821" s="1545"/>
    </row>
    <row r="1822" spans="1:14" ht="15.5">
      <c r="A1822" s="1598">
        <v>38.075000000000003</v>
      </c>
      <c r="B1822" s="1599" t="s">
        <v>3434</v>
      </c>
      <c r="C1822" s="1643" t="e">
        <f>+SUMIF(#REF!,Final!A1822,#REF!)</f>
        <v>#REF!</v>
      </c>
      <c r="D1822" s="1597" t="e">
        <f>+SUMIF(#REF!,Final!A1822,#REF!)</f>
        <v>#REF!</v>
      </c>
      <c r="E1822" s="1643" t="e">
        <f>SUMIF(#REF!,Final!A1822,#REF!)</f>
        <v>#REF!</v>
      </c>
      <c r="F1822" s="1644" t="e">
        <f>SUMIF(#REF!,Final!A1822,#REF!)</f>
        <v>#REF!</v>
      </c>
      <c r="G1822" s="1597" t="e">
        <f t="shared" si="184"/>
        <v>#REF!</v>
      </c>
      <c r="H1822" s="1644" t="e">
        <f t="shared" si="185"/>
        <v>#REF!</v>
      </c>
      <c r="I1822" s="1597" t="e">
        <f t="shared" si="186"/>
        <v>#REF!</v>
      </c>
      <c r="J1822" s="1644" t="e">
        <f t="shared" si="187"/>
        <v>#REF!</v>
      </c>
      <c r="M1822" s="1545"/>
      <c r="N1822" s="1545"/>
    </row>
    <row r="1823" spans="1:14" ht="15.5">
      <c r="A1823" s="1598">
        <v>38.076000000000001</v>
      </c>
      <c r="B1823" s="1599" t="s">
        <v>3435</v>
      </c>
      <c r="C1823" s="1643" t="e">
        <f>+SUMIF(#REF!,Final!A1823,#REF!)</f>
        <v>#REF!</v>
      </c>
      <c r="D1823" s="1597" t="e">
        <f>+SUMIF(#REF!,Final!A1823,#REF!)</f>
        <v>#REF!</v>
      </c>
      <c r="E1823" s="1643" t="e">
        <f>SUMIF(#REF!,Final!A1823,#REF!)</f>
        <v>#REF!</v>
      </c>
      <c r="F1823" s="1644" t="e">
        <f>SUMIF(#REF!,Final!A1823,#REF!)</f>
        <v>#REF!</v>
      </c>
      <c r="G1823" s="1597" t="e">
        <f t="shared" si="184"/>
        <v>#REF!</v>
      </c>
      <c r="H1823" s="1644" t="e">
        <f t="shared" si="185"/>
        <v>#REF!</v>
      </c>
      <c r="I1823" s="1597" t="e">
        <f t="shared" si="186"/>
        <v>#REF!</v>
      </c>
      <c r="J1823" s="1644" t="e">
        <f t="shared" si="187"/>
        <v>#REF!</v>
      </c>
      <c r="M1823" s="1545"/>
      <c r="N1823" s="1545"/>
    </row>
    <row r="1824" spans="1:14" ht="15.5">
      <c r="A1824" s="1598">
        <v>38.113999999999997</v>
      </c>
      <c r="B1824" s="1599" t="s">
        <v>3436</v>
      </c>
      <c r="C1824" s="1643" t="e">
        <f>+SUMIF(#REF!,Final!A1824,#REF!)</f>
        <v>#REF!</v>
      </c>
      <c r="D1824" s="1597" t="e">
        <f>+SUMIF(#REF!,Final!A1824,#REF!)</f>
        <v>#REF!</v>
      </c>
      <c r="E1824" s="1643" t="e">
        <f>SUMIF(#REF!,Final!A1824,#REF!)</f>
        <v>#REF!</v>
      </c>
      <c r="F1824" s="1644" t="e">
        <f>SUMIF(#REF!,Final!A1824,#REF!)</f>
        <v>#REF!</v>
      </c>
      <c r="G1824" s="1597" t="e">
        <f t="shared" si="184"/>
        <v>#REF!</v>
      </c>
      <c r="H1824" s="1644" t="e">
        <f t="shared" si="185"/>
        <v>#REF!</v>
      </c>
      <c r="I1824" s="1597" t="e">
        <f t="shared" si="186"/>
        <v>#REF!</v>
      </c>
      <c r="J1824" s="1644" t="e">
        <f t="shared" si="187"/>
        <v>#REF!</v>
      </c>
      <c r="M1824" s="1545"/>
      <c r="N1824" s="1545"/>
    </row>
    <row r="1825" spans="1:14" ht="15.5">
      <c r="A1825" s="1598">
        <v>38.115000000000002</v>
      </c>
      <c r="B1825" s="1599" t="s">
        <v>3437</v>
      </c>
      <c r="C1825" s="1643" t="e">
        <f>+SUMIF(#REF!,Final!A1825,#REF!)</f>
        <v>#REF!</v>
      </c>
      <c r="D1825" s="1597" t="e">
        <f>+SUMIF(#REF!,Final!A1825,#REF!)</f>
        <v>#REF!</v>
      </c>
      <c r="E1825" s="1643" t="e">
        <f>SUMIF(#REF!,Final!A1825,#REF!)</f>
        <v>#REF!</v>
      </c>
      <c r="F1825" s="1644" t="e">
        <f>SUMIF(#REF!,Final!A1825,#REF!)</f>
        <v>#REF!</v>
      </c>
      <c r="G1825" s="1597" t="e">
        <f t="shared" si="184"/>
        <v>#REF!</v>
      </c>
      <c r="H1825" s="1644" t="e">
        <f t="shared" si="185"/>
        <v>#REF!</v>
      </c>
      <c r="I1825" s="1597" t="e">
        <f t="shared" si="186"/>
        <v>#REF!</v>
      </c>
      <c r="J1825" s="1644" t="e">
        <f t="shared" si="187"/>
        <v>#REF!</v>
      </c>
      <c r="M1825" s="1545"/>
      <c r="N1825" s="1545"/>
    </row>
    <row r="1826" spans="1:14" ht="15.5">
      <c r="A1826" s="1709"/>
      <c r="B1826" s="1710" t="s">
        <v>4982</v>
      </c>
      <c r="C1826" s="1643" t="e">
        <f>+SUMIF(#REF!,Final!A1826,#REF!)</f>
        <v>#REF!</v>
      </c>
      <c r="D1826" s="1597" t="e">
        <f>+SUMIF(#REF!,Final!A1826,#REF!)</f>
        <v>#REF!</v>
      </c>
      <c r="E1826" s="1643" t="e">
        <f>SUMIF(#REF!,Final!A1826,#REF!)</f>
        <v>#REF!</v>
      </c>
      <c r="F1826" s="1644" t="e">
        <f>SUMIF(#REF!,Final!A1826,#REF!)</f>
        <v>#REF!</v>
      </c>
      <c r="G1826" s="1597" t="e">
        <f t="shared" si="184"/>
        <v>#REF!</v>
      </c>
      <c r="H1826" s="1644" t="e">
        <f t="shared" si="185"/>
        <v>#REF!</v>
      </c>
      <c r="I1826" s="1597" t="e">
        <f t="shared" si="186"/>
        <v>#REF!</v>
      </c>
      <c r="J1826" s="1644" t="e">
        <f t="shared" si="187"/>
        <v>#REF!</v>
      </c>
      <c r="M1826" s="1545"/>
      <c r="N1826" s="1545"/>
    </row>
    <row r="1827" spans="1:14" ht="15.5">
      <c r="A1827" s="1605">
        <v>39.020000000000003</v>
      </c>
      <c r="B1827" s="1705" t="s">
        <v>4979</v>
      </c>
      <c r="C1827" s="1643" t="e">
        <f>+SUMIF(#REF!,Final!A1827,#REF!)</f>
        <v>#REF!</v>
      </c>
      <c r="D1827" s="1597" t="e">
        <f>+SUMIF(#REF!,Final!A1827,#REF!)</f>
        <v>#REF!</v>
      </c>
      <c r="E1827" s="1643" t="e">
        <f>SUMIF(#REF!,Final!A1827,#REF!)</f>
        <v>#REF!</v>
      </c>
      <c r="F1827" s="1644" t="e">
        <f>SUMIF(#REF!,Final!A1827,#REF!)</f>
        <v>#REF!</v>
      </c>
      <c r="G1827" s="1597" t="e">
        <f t="shared" si="184"/>
        <v>#REF!</v>
      </c>
      <c r="H1827" s="1644" t="e">
        <f t="shared" si="185"/>
        <v>#REF!</v>
      </c>
      <c r="I1827" s="1597" t="e">
        <f t="shared" si="186"/>
        <v>#REF!</v>
      </c>
      <c r="J1827" s="1644" t="e">
        <f t="shared" si="187"/>
        <v>#REF!</v>
      </c>
      <c r="M1827" s="1545"/>
      <c r="N1827" s="1545"/>
    </row>
    <row r="1828" spans="1:14" ht="15.5">
      <c r="A1828" s="1605">
        <v>39.021000000000001</v>
      </c>
      <c r="B1828" s="1705" t="s">
        <v>3412</v>
      </c>
      <c r="C1828" s="1643" t="e">
        <f>+SUMIF(#REF!,Final!A1828,#REF!)</f>
        <v>#REF!</v>
      </c>
      <c r="D1828" s="1597" t="e">
        <f>+SUMIF(#REF!,Final!A1828,#REF!)</f>
        <v>#REF!</v>
      </c>
      <c r="E1828" s="1643" t="e">
        <f>SUMIF(#REF!,Final!A1828,#REF!)</f>
        <v>#REF!</v>
      </c>
      <c r="F1828" s="1644" t="e">
        <f>SUMIF(#REF!,Final!A1828,#REF!)</f>
        <v>#REF!</v>
      </c>
      <c r="G1828" s="1597" t="e">
        <f t="shared" si="184"/>
        <v>#REF!</v>
      </c>
      <c r="H1828" s="1644" t="e">
        <f t="shared" si="185"/>
        <v>#REF!</v>
      </c>
      <c r="I1828" s="1597" t="e">
        <f t="shared" si="186"/>
        <v>#REF!</v>
      </c>
      <c r="J1828" s="1644" t="e">
        <f t="shared" si="187"/>
        <v>#REF!</v>
      </c>
      <c r="M1828" s="1545"/>
      <c r="N1828" s="1545"/>
    </row>
    <row r="1829" spans="1:14" ht="15.5">
      <c r="A1829" s="1605">
        <v>39.021999999999998</v>
      </c>
      <c r="B1829" s="1705" t="s">
        <v>3413</v>
      </c>
      <c r="C1829" s="1643" t="e">
        <f>+SUMIF(#REF!,Final!A1829,#REF!)</f>
        <v>#REF!</v>
      </c>
      <c r="D1829" s="1597" t="e">
        <f>+SUMIF(#REF!,Final!A1829,#REF!)</f>
        <v>#REF!</v>
      </c>
      <c r="E1829" s="1643" t="e">
        <f>SUMIF(#REF!,Final!A1829,#REF!)</f>
        <v>#REF!</v>
      </c>
      <c r="F1829" s="1644" t="e">
        <f>SUMIF(#REF!,Final!A1829,#REF!)</f>
        <v>#REF!</v>
      </c>
      <c r="G1829" s="1597" t="e">
        <f t="shared" si="184"/>
        <v>#REF!</v>
      </c>
      <c r="H1829" s="1644" t="e">
        <f t="shared" si="185"/>
        <v>#REF!</v>
      </c>
      <c r="I1829" s="1597" t="e">
        <f t="shared" si="186"/>
        <v>#REF!</v>
      </c>
      <c r="J1829" s="1644" t="e">
        <f t="shared" si="187"/>
        <v>#REF!</v>
      </c>
      <c r="M1829" s="1545"/>
      <c r="N1829" s="1545"/>
    </row>
    <row r="1830" spans="1:14" ht="15.5">
      <c r="A1830" s="1605">
        <v>39.023000000000003</v>
      </c>
      <c r="B1830" s="1705" t="s">
        <v>3414</v>
      </c>
      <c r="C1830" s="1643" t="e">
        <f>+SUMIF(#REF!,Final!A1830,#REF!)</f>
        <v>#REF!</v>
      </c>
      <c r="D1830" s="1597" t="e">
        <f>+SUMIF(#REF!,Final!A1830,#REF!)</f>
        <v>#REF!</v>
      </c>
      <c r="E1830" s="1643" t="e">
        <f>SUMIF(#REF!,Final!A1830,#REF!)</f>
        <v>#REF!</v>
      </c>
      <c r="F1830" s="1644" t="e">
        <f>SUMIF(#REF!,Final!A1830,#REF!)</f>
        <v>#REF!</v>
      </c>
      <c r="G1830" s="1597" t="e">
        <f t="shared" si="184"/>
        <v>#REF!</v>
      </c>
      <c r="H1830" s="1644" t="e">
        <f t="shared" si="185"/>
        <v>#REF!</v>
      </c>
      <c r="I1830" s="1597" t="e">
        <f t="shared" si="186"/>
        <v>#REF!</v>
      </c>
      <c r="J1830" s="1644" t="e">
        <f t="shared" si="187"/>
        <v>#REF!</v>
      </c>
      <c r="M1830" s="1545"/>
      <c r="N1830" s="1545"/>
    </row>
    <row r="1831" spans="1:14" ht="15.5">
      <c r="A1831" s="1605">
        <v>39.024000000000001</v>
      </c>
      <c r="B1831" s="1705" t="s">
        <v>3415</v>
      </c>
      <c r="C1831" s="1643" t="e">
        <f>+SUMIF(#REF!,Final!A1831,#REF!)</f>
        <v>#REF!</v>
      </c>
      <c r="D1831" s="1597" t="e">
        <f>+SUMIF(#REF!,Final!A1831,#REF!)</f>
        <v>#REF!</v>
      </c>
      <c r="E1831" s="1643" t="e">
        <f>SUMIF(#REF!,Final!A1831,#REF!)</f>
        <v>#REF!</v>
      </c>
      <c r="F1831" s="1644" t="e">
        <f>SUMIF(#REF!,Final!A1831,#REF!)</f>
        <v>#REF!</v>
      </c>
      <c r="G1831" s="1597" t="e">
        <f t="shared" si="184"/>
        <v>#REF!</v>
      </c>
      <c r="H1831" s="1644" t="e">
        <f t="shared" si="185"/>
        <v>#REF!</v>
      </c>
      <c r="I1831" s="1597" t="e">
        <f t="shared" si="186"/>
        <v>#REF!</v>
      </c>
      <c r="J1831" s="1644" t="e">
        <f t="shared" si="187"/>
        <v>#REF!</v>
      </c>
      <c r="M1831" s="1545"/>
      <c r="N1831" s="1545"/>
    </row>
    <row r="1832" spans="1:14" ht="15.5">
      <c r="A1832" s="1605">
        <v>39.024999999999999</v>
      </c>
      <c r="B1832" s="1705" t="s">
        <v>3416</v>
      </c>
      <c r="C1832" s="1643" t="e">
        <f>+SUMIF(#REF!,Final!A1832,#REF!)</f>
        <v>#REF!</v>
      </c>
      <c r="D1832" s="1597" t="e">
        <f>+SUMIF(#REF!,Final!A1832,#REF!)</f>
        <v>#REF!</v>
      </c>
      <c r="E1832" s="1643" t="e">
        <f>SUMIF(#REF!,Final!A1832,#REF!)</f>
        <v>#REF!</v>
      </c>
      <c r="F1832" s="1644" t="e">
        <f>SUMIF(#REF!,Final!A1832,#REF!)</f>
        <v>#REF!</v>
      </c>
      <c r="G1832" s="1597" t="e">
        <f t="shared" si="184"/>
        <v>#REF!</v>
      </c>
      <c r="H1832" s="1644" t="e">
        <f t="shared" si="185"/>
        <v>#REF!</v>
      </c>
      <c r="I1832" s="1597" t="e">
        <f t="shared" si="186"/>
        <v>#REF!</v>
      </c>
      <c r="J1832" s="1644" t="e">
        <f t="shared" si="187"/>
        <v>#REF!</v>
      </c>
      <c r="M1832" s="1545"/>
      <c r="N1832" s="1545"/>
    </row>
    <row r="1833" spans="1:14" ht="15.5">
      <c r="A1833" s="1605">
        <v>39.026000000000003</v>
      </c>
      <c r="B1833" s="1705" t="s">
        <v>3417</v>
      </c>
      <c r="C1833" s="1643" t="e">
        <f>+SUMIF(#REF!,Final!A1833,#REF!)</f>
        <v>#REF!</v>
      </c>
      <c r="D1833" s="1597" t="e">
        <f>+SUMIF(#REF!,Final!A1833,#REF!)</f>
        <v>#REF!</v>
      </c>
      <c r="E1833" s="1643" t="e">
        <f>SUMIF(#REF!,Final!A1833,#REF!)</f>
        <v>#REF!</v>
      </c>
      <c r="F1833" s="1644" t="e">
        <f>SUMIF(#REF!,Final!A1833,#REF!)</f>
        <v>#REF!</v>
      </c>
      <c r="G1833" s="1597" t="e">
        <f t="shared" si="184"/>
        <v>#REF!</v>
      </c>
      <c r="H1833" s="1644" t="e">
        <f t="shared" si="185"/>
        <v>#REF!</v>
      </c>
      <c r="I1833" s="1597" t="e">
        <f t="shared" si="186"/>
        <v>#REF!</v>
      </c>
      <c r="J1833" s="1644" t="e">
        <f t="shared" si="187"/>
        <v>#REF!</v>
      </c>
      <c r="M1833" s="1545"/>
      <c r="N1833" s="1545"/>
    </row>
    <row r="1834" spans="1:14" ht="15.5">
      <c r="A1834" s="1605">
        <v>39.027000000000001</v>
      </c>
      <c r="B1834" s="1705" t="s">
        <v>3418</v>
      </c>
      <c r="C1834" s="1643" t="e">
        <f>+SUMIF(#REF!,Final!A1834,#REF!)</f>
        <v>#REF!</v>
      </c>
      <c r="D1834" s="1597" t="e">
        <f>+SUMIF(#REF!,Final!A1834,#REF!)</f>
        <v>#REF!</v>
      </c>
      <c r="E1834" s="1643" t="e">
        <f>SUMIF(#REF!,Final!A1834,#REF!)</f>
        <v>#REF!</v>
      </c>
      <c r="F1834" s="1644" t="e">
        <f>SUMIF(#REF!,Final!A1834,#REF!)</f>
        <v>#REF!</v>
      </c>
      <c r="G1834" s="1597" t="e">
        <f t="shared" si="184"/>
        <v>#REF!</v>
      </c>
      <c r="H1834" s="1644" t="e">
        <f t="shared" si="185"/>
        <v>#REF!</v>
      </c>
      <c r="I1834" s="1597" t="e">
        <f t="shared" si="186"/>
        <v>#REF!</v>
      </c>
      <c r="J1834" s="1644" t="e">
        <f t="shared" si="187"/>
        <v>#REF!</v>
      </c>
      <c r="M1834" s="1545"/>
      <c r="N1834" s="1545"/>
    </row>
    <row r="1835" spans="1:14" ht="15.5">
      <c r="A1835" s="1605">
        <v>39.027999999999999</v>
      </c>
      <c r="B1835" s="1705" t="s">
        <v>3419</v>
      </c>
      <c r="C1835" s="1643" t="e">
        <f>+SUMIF(#REF!,Final!A1835,#REF!)</f>
        <v>#REF!</v>
      </c>
      <c r="D1835" s="1597" t="e">
        <f>+SUMIF(#REF!,Final!A1835,#REF!)</f>
        <v>#REF!</v>
      </c>
      <c r="E1835" s="1643" t="e">
        <f>SUMIF(#REF!,Final!A1835,#REF!)</f>
        <v>#REF!</v>
      </c>
      <c r="F1835" s="1644" t="e">
        <f>SUMIF(#REF!,Final!A1835,#REF!)</f>
        <v>#REF!</v>
      </c>
      <c r="G1835" s="1597" t="e">
        <f t="shared" ref="G1835:G1900" si="188">C1835+E1835</f>
        <v>#REF!</v>
      </c>
      <c r="H1835" s="1644" t="e">
        <f t="shared" ref="H1835:H1900" si="189">D1835+F1835</f>
        <v>#REF!</v>
      </c>
      <c r="I1835" s="1597" t="e">
        <f t="shared" ref="I1835:I1900" si="190">IF(G1835&gt;H1835,G1835-H1835,0)</f>
        <v>#REF!</v>
      </c>
      <c r="J1835" s="1644" t="e">
        <f t="shared" ref="J1835:J1900" si="191">IF(H1835&gt;G1835,H1835-G1835,0)</f>
        <v>#REF!</v>
      </c>
      <c r="M1835" s="1545"/>
      <c r="N1835" s="1545"/>
    </row>
    <row r="1836" spans="1:14" ht="15.5">
      <c r="A1836" s="1605">
        <v>39.029000000000003</v>
      </c>
      <c r="B1836" s="1705" t="s">
        <v>3420</v>
      </c>
      <c r="C1836" s="1643" t="e">
        <f>+SUMIF(#REF!,Final!A1836,#REF!)</f>
        <v>#REF!</v>
      </c>
      <c r="D1836" s="1597" t="e">
        <f>+SUMIF(#REF!,Final!A1836,#REF!)</f>
        <v>#REF!</v>
      </c>
      <c r="E1836" s="1643" t="e">
        <f>SUMIF(#REF!,Final!A1836,#REF!)</f>
        <v>#REF!</v>
      </c>
      <c r="F1836" s="1644" t="e">
        <f>SUMIF(#REF!,Final!A1836,#REF!)</f>
        <v>#REF!</v>
      </c>
      <c r="G1836" s="1597" t="e">
        <f t="shared" si="188"/>
        <v>#REF!</v>
      </c>
      <c r="H1836" s="1644" t="e">
        <f t="shared" si="189"/>
        <v>#REF!</v>
      </c>
      <c r="I1836" s="1597" t="e">
        <f t="shared" si="190"/>
        <v>#REF!</v>
      </c>
      <c r="J1836" s="1644" t="e">
        <f t="shared" si="191"/>
        <v>#REF!</v>
      </c>
      <c r="M1836" s="1545"/>
      <c r="N1836" s="1545"/>
    </row>
    <row r="1837" spans="1:14" ht="15.5">
      <c r="A1837" s="1605">
        <v>39.03</v>
      </c>
      <c r="B1837" s="1705" t="s">
        <v>3421</v>
      </c>
      <c r="C1837" s="1643" t="e">
        <f>+SUMIF(#REF!,Final!A1837,#REF!)</f>
        <v>#REF!</v>
      </c>
      <c r="D1837" s="1597" t="e">
        <f>+SUMIF(#REF!,Final!A1837,#REF!)</f>
        <v>#REF!</v>
      </c>
      <c r="E1837" s="1643" t="e">
        <f>SUMIF(#REF!,Final!A1837,#REF!)</f>
        <v>#REF!</v>
      </c>
      <c r="F1837" s="1644" t="e">
        <f>SUMIF(#REF!,Final!A1837,#REF!)</f>
        <v>#REF!</v>
      </c>
      <c r="G1837" s="1597" t="e">
        <f t="shared" si="188"/>
        <v>#REF!</v>
      </c>
      <c r="H1837" s="1644" t="e">
        <f t="shared" si="189"/>
        <v>#REF!</v>
      </c>
      <c r="I1837" s="1597" t="e">
        <f t="shared" si="190"/>
        <v>#REF!</v>
      </c>
      <c r="J1837" s="1644" t="e">
        <f t="shared" si="191"/>
        <v>#REF!</v>
      </c>
      <c r="M1837" s="1545"/>
      <c r="N1837" s="1545"/>
    </row>
    <row r="1838" spans="1:14" ht="15.5">
      <c r="A1838" s="1605">
        <v>39.030999999999999</v>
      </c>
      <c r="B1838" s="1705" t="s">
        <v>3422</v>
      </c>
      <c r="C1838" s="1643" t="e">
        <f>+SUMIF(#REF!,Final!A1838,#REF!)</f>
        <v>#REF!</v>
      </c>
      <c r="D1838" s="1597" t="e">
        <f>+SUMIF(#REF!,Final!A1838,#REF!)</f>
        <v>#REF!</v>
      </c>
      <c r="E1838" s="1643" t="e">
        <f>SUMIF(#REF!,Final!A1838,#REF!)</f>
        <v>#REF!</v>
      </c>
      <c r="F1838" s="1644" t="e">
        <f>SUMIF(#REF!,Final!A1838,#REF!)</f>
        <v>#REF!</v>
      </c>
      <c r="G1838" s="1597" t="e">
        <f t="shared" si="188"/>
        <v>#REF!</v>
      </c>
      <c r="H1838" s="1644" t="e">
        <f t="shared" si="189"/>
        <v>#REF!</v>
      </c>
      <c r="I1838" s="1597" t="e">
        <f t="shared" si="190"/>
        <v>#REF!</v>
      </c>
      <c r="J1838" s="1644" t="e">
        <f t="shared" si="191"/>
        <v>#REF!</v>
      </c>
      <c r="M1838" s="1545"/>
      <c r="N1838" s="1545"/>
    </row>
    <row r="1839" spans="1:14" ht="15.5">
      <c r="A1839" s="1605">
        <v>39.031999999999996</v>
      </c>
      <c r="B1839" s="1705" t="s">
        <v>3423</v>
      </c>
      <c r="C1839" s="1643" t="e">
        <f>+SUMIF(#REF!,Final!A1839,#REF!)</f>
        <v>#REF!</v>
      </c>
      <c r="D1839" s="1597" t="e">
        <f>+SUMIF(#REF!,Final!A1839,#REF!)</f>
        <v>#REF!</v>
      </c>
      <c r="E1839" s="1643" t="e">
        <f>SUMIF(#REF!,Final!A1839,#REF!)</f>
        <v>#REF!</v>
      </c>
      <c r="F1839" s="1644" t="e">
        <f>SUMIF(#REF!,Final!A1839,#REF!)</f>
        <v>#REF!</v>
      </c>
      <c r="G1839" s="1597" t="e">
        <f t="shared" si="188"/>
        <v>#REF!</v>
      </c>
      <c r="H1839" s="1644" t="e">
        <f t="shared" si="189"/>
        <v>#REF!</v>
      </c>
      <c r="I1839" s="1597" t="e">
        <f t="shared" si="190"/>
        <v>#REF!</v>
      </c>
      <c r="J1839" s="1644" t="e">
        <f t="shared" si="191"/>
        <v>#REF!</v>
      </c>
      <c r="M1839" s="1545"/>
      <c r="N1839" s="1545"/>
    </row>
    <row r="1840" spans="1:14" ht="15.5">
      <c r="A1840" s="1605">
        <v>39.033000000000001</v>
      </c>
      <c r="B1840" s="1705" t="s">
        <v>3424</v>
      </c>
      <c r="C1840" s="1643" t="e">
        <f>+SUMIF(#REF!,Final!A1840,#REF!)</f>
        <v>#REF!</v>
      </c>
      <c r="D1840" s="1597" t="e">
        <f>+SUMIF(#REF!,Final!A1840,#REF!)</f>
        <v>#REF!</v>
      </c>
      <c r="E1840" s="1643" t="e">
        <f>SUMIF(#REF!,Final!A1840,#REF!)</f>
        <v>#REF!</v>
      </c>
      <c r="F1840" s="1644" t="e">
        <f>SUMIF(#REF!,Final!A1840,#REF!)</f>
        <v>#REF!</v>
      </c>
      <c r="G1840" s="1597" t="e">
        <f t="shared" si="188"/>
        <v>#REF!</v>
      </c>
      <c r="H1840" s="1644" t="e">
        <f t="shared" si="189"/>
        <v>#REF!</v>
      </c>
      <c r="I1840" s="1597" t="e">
        <f t="shared" si="190"/>
        <v>#REF!</v>
      </c>
      <c r="J1840" s="1644" t="e">
        <f t="shared" si="191"/>
        <v>#REF!</v>
      </c>
      <c r="M1840" s="1545"/>
      <c r="N1840" s="1545"/>
    </row>
    <row r="1841" spans="1:93" ht="15.5">
      <c r="A1841" s="1605">
        <v>39.033999999999999</v>
      </c>
      <c r="B1841" s="1705" t="s">
        <v>3425</v>
      </c>
      <c r="C1841" s="1643" t="e">
        <f>+SUMIF(#REF!,Final!A1841,#REF!)</f>
        <v>#REF!</v>
      </c>
      <c r="D1841" s="1597" t="e">
        <f>+SUMIF(#REF!,Final!A1841,#REF!)</f>
        <v>#REF!</v>
      </c>
      <c r="E1841" s="1643" t="e">
        <f>SUMIF(#REF!,Final!A1841,#REF!)</f>
        <v>#REF!</v>
      </c>
      <c r="F1841" s="1644" t="e">
        <f>SUMIF(#REF!,Final!A1841,#REF!)</f>
        <v>#REF!</v>
      </c>
      <c r="G1841" s="1597" t="e">
        <f t="shared" si="188"/>
        <v>#REF!</v>
      </c>
      <c r="H1841" s="1644" t="e">
        <f t="shared" si="189"/>
        <v>#REF!</v>
      </c>
      <c r="I1841" s="1597" t="e">
        <f t="shared" si="190"/>
        <v>#REF!</v>
      </c>
      <c r="J1841" s="1644" t="e">
        <f t="shared" si="191"/>
        <v>#REF!</v>
      </c>
      <c r="M1841" s="1545"/>
      <c r="N1841" s="1545"/>
    </row>
    <row r="1842" spans="1:93" ht="15.5">
      <c r="A1842" s="1605">
        <v>39.034999999999997</v>
      </c>
      <c r="B1842" s="1705" t="s">
        <v>3426</v>
      </c>
      <c r="C1842" s="1643" t="e">
        <f>+SUMIF(#REF!,Final!A1842,#REF!)</f>
        <v>#REF!</v>
      </c>
      <c r="D1842" s="1597" t="e">
        <f>+SUMIF(#REF!,Final!A1842,#REF!)</f>
        <v>#REF!</v>
      </c>
      <c r="E1842" s="1643" t="e">
        <f>SUMIF(#REF!,Final!A1842,#REF!)</f>
        <v>#REF!</v>
      </c>
      <c r="F1842" s="1644" t="e">
        <f>SUMIF(#REF!,Final!A1842,#REF!)</f>
        <v>#REF!</v>
      </c>
      <c r="G1842" s="1597" t="e">
        <f t="shared" si="188"/>
        <v>#REF!</v>
      </c>
      <c r="H1842" s="1644" t="e">
        <f t="shared" si="189"/>
        <v>#REF!</v>
      </c>
      <c r="I1842" s="1597" t="e">
        <f t="shared" si="190"/>
        <v>#REF!</v>
      </c>
      <c r="J1842" s="1644" t="e">
        <f t="shared" si="191"/>
        <v>#REF!</v>
      </c>
      <c r="M1842" s="1545"/>
      <c r="N1842" s="1545"/>
    </row>
    <row r="1843" spans="1:93" ht="15.5">
      <c r="A1843" s="1605">
        <v>39.036000000000001</v>
      </c>
      <c r="B1843" s="1705" t="s">
        <v>3427</v>
      </c>
      <c r="C1843" s="1643" t="e">
        <f>+SUMIF(#REF!,Final!A1843,#REF!)</f>
        <v>#REF!</v>
      </c>
      <c r="D1843" s="1597" t="e">
        <f>+SUMIF(#REF!,Final!A1843,#REF!)</f>
        <v>#REF!</v>
      </c>
      <c r="E1843" s="1643" t="e">
        <f>SUMIF(#REF!,Final!A1843,#REF!)</f>
        <v>#REF!</v>
      </c>
      <c r="F1843" s="1644" t="e">
        <f>SUMIF(#REF!,Final!A1843,#REF!)</f>
        <v>#REF!</v>
      </c>
      <c r="G1843" s="1597" t="e">
        <f t="shared" si="188"/>
        <v>#REF!</v>
      </c>
      <c r="H1843" s="1644" t="e">
        <f t="shared" si="189"/>
        <v>#REF!</v>
      </c>
      <c r="I1843" s="1597" t="e">
        <f t="shared" si="190"/>
        <v>#REF!</v>
      </c>
      <c r="J1843" s="1644" t="e">
        <f t="shared" si="191"/>
        <v>#REF!</v>
      </c>
      <c r="M1843" s="1545"/>
      <c r="N1843" s="1545"/>
    </row>
    <row r="1844" spans="1:93" ht="15.5">
      <c r="A1844" s="1605">
        <v>39.036999999999999</v>
      </c>
      <c r="B1844" s="1705" t="s">
        <v>4980</v>
      </c>
      <c r="C1844" s="1643" t="e">
        <f>+SUMIF(#REF!,Final!A1844,#REF!)</f>
        <v>#REF!</v>
      </c>
      <c r="D1844" s="1597" t="e">
        <f>+SUMIF(#REF!,Final!A1844,#REF!)</f>
        <v>#REF!</v>
      </c>
      <c r="E1844" s="1643" t="e">
        <f>SUMIF(#REF!,Final!A1844,#REF!)</f>
        <v>#REF!</v>
      </c>
      <c r="F1844" s="1644" t="e">
        <f>SUMIF(#REF!,Final!A1844,#REF!)</f>
        <v>#REF!</v>
      </c>
      <c r="G1844" s="1597" t="e">
        <f t="shared" si="188"/>
        <v>#REF!</v>
      </c>
      <c r="H1844" s="1644" t="e">
        <f t="shared" si="189"/>
        <v>#REF!</v>
      </c>
      <c r="I1844" s="1597" t="e">
        <f t="shared" si="190"/>
        <v>#REF!</v>
      </c>
      <c r="J1844" s="1644" t="e">
        <f t="shared" si="191"/>
        <v>#REF!</v>
      </c>
      <c r="M1844" s="1545"/>
      <c r="N1844" s="1545"/>
    </row>
    <row r="1845" spans="1:93" ht="15.5">
      <c r="A1845" s="1605">
        <v>39.037999999999997</v>
      </c>
      <c r="B1845" s="1705" t="s">
        <v>3429</v>
      </c>
      <c r="C1845" s="1643" t="e">
        <f>+SUMIF(#REF!,Final!A1845,#REF!)</f>
        <v>#REF!</v>
      </c>
      <c r="D1845" s="1597" t="e">
        <f>+SUMIF(#REF!,Final!A1845,#REF!)</f>
        <v>#REF!</v>
      </c>
      <c r="E1845" s="1643" t="e">
        <f>SUMIF(#REF!,Final!A1845,#REF!)</f>
        <v>#REF!</v>
      </c>
      <c r="F1845" s="1644" t="e">
        <f>SUMIF(#REF!,Final!A1845,#REF!)</f>
        <v>#REF!</v>
      </c>
      <c r="G1845" s="1597" t="e">
        <f t="shared" si="188"/>
        <v>#REF!</v>
      </c>
      <c r="H1845" s="1644" t="e">
        <f t="shared" si="189"/>
        <v>#REF!</v>
      </c>
      <c r="I1845" s="1597" t="e">
        <f t="shared" si="190"/>
        <v>#REF!</v>
      </c>
      <c r="J1845" s="1644" t="e">
        <f t="shared" si="191"/>
        <v>#REF!</v>
      </c>
      <c r="M1845" s="1545"/>
      <c r="N1845" s="1545"/>
    </row>
    <row r="1846" spans="1:93" ht="15.5">
      <c r="A1846" s="1605">
        <v>39.039000000000001</v>
      </c>
      <c r="B1846" s="1705" t="s">
        <v>4981</v>
      </c>
      <c r="C1846" s="1643" t="e">
        <f>+SUMIF(#REF!,Final!A1846,#REF!)</f>
        <v>#REF!</v>
      </c>
      <c r="D1846" s="1597" t="e">
        <f>+SUMIF(#REF!,Final!A1846,#REF!)</f>
        <v>#REF!</v>
      </c>
      <c r="E1846" s="1643" t="e">
        <f>SUMIF(#REF!,Final!A1846,#REF!)</f>
        <v>#REF!</v>
      </c>
      <c r="F1846" s="1644" t="e">
        <f>SUMIF(#REF!,Final!A1846,#REF!)</f>
        <v>#REF!</v>
      </c>
      <c r="G1846" s="1597" t="e">
        <f t="shared" si="188"/>
        <v>#REF!</v>
      </c>
      <c r="H1846" s="1644" t="e">
        <f t="shared" si="189"/>
        <v>#REF!</v>
      </c>
      <c r="I1846" s="1597" t="e">
        <f t="shared" si="190"/>
        <v>#REF!</v>
      </c>
      <c r="J1846" s="1644" t="e">
        <f t="shared" si="191"/>
        <v>#REF!</v>
      </c>
      <c r="M1846" s="1545"/>
      <c r="N1846" s="1545"/>
    </row>
    <row r="1847" spans="1:93" ht="15.5">
      <c r="A1847" s="1605">
        <v>39.070999999999998</v>
      </c>
      <c r="B1847" s="1705" t="s">
        <v>3430</v>
      </c>
      <c r="C1847" s="1643" t="e">
        <f>+SUMIF(#REF!,Final!A1847,#REF!)</f>
        <v>#REF!</v>
      </c>
      <c r="D1847" s="1597" t="e">
        <f>+SUMIF(#REF!,Final!A1847,#REF!)</f>
        <v>#REF!</v>
      </c>
      <c r="E1847" s="1643" t="e">
        <f>SUMIF(#REF!,Final!A1847,#REF!)</f>
        <v>#REF!</v>
      </c>
      <c r="F1847" s="1644" t="e">
        <f>SUMIF(#REF!,Final!A1847,#REF!)</f>
        <v>#REF!</v>
      </c>
      <c r="G1847" s="1597" t="e">
        <f t="shared" si="188"/>
        <v>#REF!</v>
      </c>
      <c r="H1847" s="1644" t="e">
        <f t="shared" si="189"/>
        <v>#REF!</v>
      </c>
      <c r="I1847" s="1597" t="e">
        <f t="shared" si="190"/>
        <v>#REF!</v>
      </c>
      <c r="J1847" s="1644" t="e">
        <f t="shared" si="191"/>
        <v>#REF!</v>
      </c>
      <c r="M1847" s="1545"/>
      <c r="N1847" s="1545"/>
    </row>
    <row r="1848" spans="1:93" ht="15.5">
      <c r="A1848" s="1605">
        <v>39.072000000000003</v>
      </c>
      <c r="B1848" s="1705" t="s">
        <v>3431</v>
      </c>
      <c r="C1848" s="1643" t="e">
        <f>+SUMIF(#REF!,Final!A1848,#REF!)</f>
        <v>#REF!</v>
      </c>
      <c r="D1848" s="1597" t="e">
        <f>+SUMIF(#REF!,Final!A1848,#REF!)</f>
        <v>#REF!</v>
      </c>
      <c r="E1848" s="1643" t="e">
        <f>SUMIF(#REF!,Final!A1848,#REF!)</f>
        <v>#REF!</v>
      </c>
      <c r="F1848" s="1644" t="e">
        <f>SUMIF(#REF!,Final!A1848,#REF!)</f>
        <v>#REF!</v>
      </c>
      <c r="G1848" s="1597" t="e">
        <f t="shared" si="188"/>
        <v>#REF!</v>
      </c>
      <c r="H1848" s="1644" t="e">
        <f t="shared" si="189"/>
        <v>#REF!</v>
      </c>
      <c r="I1848" s="1597" t="e">
        <f t="shared" si="190"/>
        <v>#REF!</v>
      </c>
      <c r="J1848" s="1644" t="e">
        <f t="shared" si="191"/>
        <v>#REF!</v>
      </c>
      <c r="M1848" s="1545"/>
      <c r="N1848" s="1545"/>
    </row>
    <row r="1849" spans="1:93" ht="15.5">
      <c r="A1849" s="1605">
        <v>39.073</v>
      </c>
      <c r="B1849" s="1705" t="s">
        <v>3432</v>
      </c>
      <c r="C1849" s="1643" t="e">
        <f>+SUMIF(#REF!,Final!A1849,#REF!)</f>
        <v>#REF!</v>
      </c>
      <c r="D1849" s="1597" t="e">
        <f>+SUMIF(#REF!,Final!A1849,#REF!)</f>
        <v>#REF!</v>
      </c>
      <c r="E1849" s="1643" t="e">
        <f>SUMIF(#REF!,Final!A1849,#REF!)</f>
        <v>#REF!</v>
      </c>
      <c r="F1849" s="1644" t="e">
        <f>SUMIF(#REF!,Final!A1849,#REF!)</f>
        <v>#REF!</v>
      </c>
      <c r="G1849" s="1597" t="e">
        <f t="shared" si="188"/>
        <v>#REF!</v>
      </c>
      <c r="H1849" s="1644" t="e">
        <f t="shared" si="189"/>
        <v>#REF!</v>
      </c>
      <c r="I1849" s="1597" t="e">
        <f t="shared" si="190"/>
        <v>#REF!</v>
      </c>
      <c r="J1849" s="1644" t="e">
        <f t="shared" si="191"/>
        <v>#REF!</v>
      </c>
      <c r="M1849" s="1545"/>
      <c r="N1849" s="1545"/>
    </row>
    <row r="1850" spans="1:93" ht="15.5">
      <c r="A1850" s="1605">
        <v>39.073999999999998</v>
      </c>
      <c r="B1850" s="1705" t="s">
        <v>3433</v>
      </c>
      <c r="C1850" s="1643" t="e">
        <f>+SUMIF(#REF!,Final!A1850,#REF!)</f>
        <v>#REF!</v>
      </c>
      <c r="D1850" s="1597" t="e">
        <f>+SUMIF(#REF!,Final!A1850,#REF!)</f>
        <v>#REF!</v>
      </c>
      <c r="E1850" s="1643" t="e">
        <f>SUMIF(#REF!,Final!A1850,#REF!)</f>
        <v>#REF!</v>
      </c>
      <c r="F1850" s="1644" t="e">
        <f>SUMIF(#REF!,Final!A1850,#REF!)</f>
        <v>#REF!</v>
      </c>
      <c r="G1850" s="1597" t="e">
        <f t="shared" si="188"/>
        <v>#REF!</v>
      </c>
      <c r="H1850" s="1644" t="e">
        <f t="shared" si="189"/>
        <v>#REF!</v>
      </c>
      <c r="I1850" s="1597" t="e">
        <f t="shared" si="190"/>
        <v>#REF!</v>
      </c>
      <c r="J1850" s="1644" t="e">
        <f t="shared" si="191"/>
        <v>#REF!</v>
      </c>
      <c r="M1850" s="1545"/>
      <c r="N1850" s="1545"/>
    </row>
    <row r="1851" spans="1:93" ht="15.5">
      <c r="A1851" s="1605">
        <v>39.075000000000003</v>
      </c>
      <c r="B1851" s="1705" t="s">
        <v>3434</v>
      </c>
      <c r="C1851" s="1643" t="e">
        <f>+SUMIF(#REF!,Final!A1851,#REF!)</f>
        <v>#REF!</v>
      </c>
      <c r="D1851" s="1597" t="e">
        <f>+SUMIF(#REF!,Final!A1851,#REF!)</f>
        <v>#REF!</v>
      </c>
      <c r="E1851" s="1643" t="e">
        <f>SUMIF(#REF!,Final!A1851,#REF!)</f>
        <v>#REF!</v>
      </c>
      <c r="F1851" s="1644" t="e">
        <f>SUMIF(#REF!,Final!A1851,#REF!)</f>
        <v>#REF!</v>
      </c>
      <c r="G1851" s="1597" t="e">
        <f t="shared" si="188"/>
        <v>#REF!</v>
      </c>
      <c r="H1851" s="1644" t="e">
        <f t="shared" si="189"/>
        <v>#REF!</v>
      </c>
      <c r="I1851" s="1597" t="e">
        <f t="shared" si="190"/>
        <v>#REF!</v>
      </c>
      <c r="J1851" s="1644" t="e">
        <f t="shared" si="191"/>
        <v>#REF!</v>
      </c>
      <c r="M1851" s="1545"/>
      <c r="N1851" s="1545"/>
    </row>
    <row r="1852" spans="1:93" ht="15.5">
      <c r="A1852" s="1605">
        <v>39.076000000000001</v>
      </c>
      <c r="B1852" s="1705" t="s">
        <v>3435</v>
      </c>
      <c r="C1852" s="1643" t="e">
        <f>+SUMIF(#REF!,Final!A1852,#REF!)</f>
        <v>#REF!</v>
      </c>
      <c r="D1852" s="1597" t="e">
        <f>+SUMIF(#REF!,Final!A1852,#REF!)</f>
        <v>#REF!</v>
      </c>
      <c r="E1852" s="1643" t="e">
        <f>SUMIF(#REF!,Final!A1852,#REF!)</f>
        <v>#REF!</v>
      </c>
      <c r="F1852" s="1644" t="e">
        <f>SUMIF(#REF!,Final!A1852,#REF!)</f>
        <v>#REF!</v>
      </c>
      <c r="G1852" s="1597" t="e">
        <f t="shared" si="188"/>
        <v>#REF!</v>
      </c>
      <c r="H1852" s="1644" t="e">
        <f t="shared" si="189"/>
        <v>#REF!</v>
      </c>
      <c r="I1852" s="1597" t="e">
        <f t="shared" si="190"/>
        <v>#REF!</v>
      </c>
      <c r="J1852" s="1644" t="e">
        <f t="shared" si="191"/>
        <v>#REF!</v>
      </c>
      <c r="M1852" s="1545"/>
      <c r="N1852" s="1545"/>
    </row>
    <row r="1853" spans="1:93" ht="15.5">
      <c r="A1853" s="1605">
        <v>39.113999999999997</v>
      </c>
      <c r="B1853" s="1705" t="s">
        <v>3436</v>
      </c>
      <c r="C1853" s="1643" t="e">
        <f>+SUMIF(#REF!,Final!A1853,#REF!)</f>
        <v>#REF!</v>
      </c>
      <c r="D1853" s="1597" t="e">
        <f>+SUMIF(#REF!,Final!A1853,#REF!)</f>
        <v>#REF!</v>
      </c>
      <c r="E1853" s="1643" t="e">
        <f>SUMIF(#REF!,Final!A1853,#REF!)</f>
        <v>#REF!</v>
      </c>
      <c r="F1853" s="1644" t="e">
        <f>SUMIF(#REF!,Final!A1853,#REF!)</f>
        <v>#REF!</v>
      </c>
      <c r="G1853" s="1597" t="e">
        <f t="shared" si="188"/>
        <v>#REF!</v>
      </c>
      <c r="H1853" s="1644" t="e">
        <f t="shared" si="189"/>
        <v>#REF!</v>
      </c>
      <c r="I1853" s="1597" t="e">
        <f t="shared" si="190"/>
        <v>#REF!</v>
      </c>
      <c r="J1853" s="1644" t="e">
        <f t="shared" si="191"/>
        <v>#REF!</v>
      </c>
      <c r="M1853" s="1545"/>
      <c r="N1853" s="1545"/>
    </row>
    <row r="1854" spans="1:93" s="1552" customFormat="1" ht="15.5">
      <c r="A1854" s="1605">
        <v>39.115000000000002</v>
      </c>
      <c r="B1854" s="1705" t="s">
        <v>3437</v>
      </c>
      <c r="C1854" s="1643" t="e">
        <f>+SUMIF(#REF!,Final!A1854,#REF!)</f>
        <v>#REF!</v>
      </c>
      <c r="D1854" s="1597" t="e">
        <f>+SUMIF(#REF!,Final!A1854,#REF!)</f>
        <v>#REF!</v>
      </c>
      <c r="E1854" s="1643" t="e">
        <f>SUMIF(#REF!,Final!A1854,#REF!)</f>
        <v>#REF!</v>
      </c>
      <c r="F1854" s="1644" t="e">
        <f>SUMIF(#REF!,Final!A1854,#REF!)</f>
        <v>#REF!</v>
      </c>
      <c r="G1854" s="1597" t="e">
        <f t="shared" si="188"/>
        <v>#REF!</v>
      </c>
      <c r="H1854" s="1644" t="e">
        <f t="shared" si="189"/>
        <v>#REF!</v>
      </c>
      <c r="I1854" s="1597" t="e">
        <f t="shared" si="190"/>
        <v>#REF!</v>
      </c>
      <c r="J1854" s="1644" t="e">
        <f t="shared" si="191"/>
        <v>#REF!</v>
      </c>
      <c r="K1854" s="1539"/>
      <c r="L1854" s="1539"/>
      <c r="M1854" s="1545"/>
      <c r="N1854" s="1545"/>
      <c r="O1854" s="1539"/>
      <c r="P1854" s="1539"/>
      <c r="Q1854" s="1539"/>
      <c r="R1854" s="1539"/>
      <c r="S1854" s="1539"/>
      <c r="T1854" s="1539"/>
      <c r="U1854" s="1539"/>
      <c r="V1854" s="1539"/>
      <c r="W1854" s="1539"/>
      <c r="X1854" s="1539"/>
      <c r="Y1854" s="1539"/>
      <c r="Z1854" s="1539"/>
      <c r="AA1854" s="1539"/>
      <c r="AB1854" s="1539"/>
      <c r="AC1854" s="1539"/>
      <c r="AD1854" s="1539"/>
      <c r="AE1854" s="1539"/>
      <c r="AF1854" s="1539"/>
      <c r="AG1854" s="1539"/>
      <c r="AH1854" s="1539"/>
      <c r="AI1854" s="1539"/>
      <c r="AJ1854" s="1539"/>
      <c r="AK1854" s="1539"/>
      <c r="AL1854" s="1539"/>
      <c r="AM1854" s="1539"/>
      <c r="AN1854" s="1539"/>
      <c r="AO1854" s="1539"/>
      <c r="AP1854" s="1539"/>
      <c r="AQ1854" s="1539"/>
      <c r="AR1854" s="1539"/>
      <c r="AS1854" s="1539"/>
      <c r="AT1854" s="1539"/>
      <c r="AU1854" s="1539"/>
      <c r="AV1854" s="1539"/>
      <c r="AW1854" s="1539"/>
      <c r="AX1854" s="1539"/>
      <c r="AY1854" s="1539"/>
      <c r="AZ1854" s="1539"/>
      <c r="BA1854" s="1539"/>
      <c r="BB1854" s="1539"/>
      <c r="BC1854" s="1539"/>
      <c r="BD1854" s="1539"/>
      <c r="BE1854" s="1539"/>
      <c r="BF1854" s="1539"/>
      <c r="BG1854" s="1539"/>
      <c r="BH1854" s="1539"/>
      <c r="BI1854" s="1539"/>
      <c r="BJ1854" s="1539"/>
      <c r="BK1854" s="1539"/>
      <c r="BL1854" s="1539"/>
      <c r="BM1854" s="1539"/>
      <c r="BN1854" s="1539"/>
      <c r="BO1854" s="1539"/>
      <c r="BP1854" s="1539"/>
      <c r="BQ1854" s="1539"/>
      <c r="BR1854" s="1539"/>
      <c r="BS1854" s="1539"/>
      <c r="BT1854" s="1539"/>
      <c r="BU1854" s="1539"/>
      <c r="BV1854" s="1539"/>
      <c r="BW1854" s="1539"/>
      <c r="BX1854" s="1539"/>
      <c r="BY1854" s="1539"/>
      <c r="BZ1854" s="1539"/>
      <c r="CA1854" s="1539"/>
      <c r="CB1854" s="1539"/>
      <c r="CC1854" s="1539"/>
      <c r="CD1854" s="1539"/>
      <c r="CE1854" s="1539"/>
      <c r="CF1854" s="1539"/>
      <c r="CG1854" s="1539"/>
      <c r="CH1854" s="1539"/>
      <c r="CI1854" s="1539"/>
      <c r="CJ1854" s="1539"/>
      <c r="CK1854" s="1539"/>
      <c r="CL1854" s="1539"/>
      <c r="CM1854" s="1539"/>
      <c r="CN1854" s="1539"/>
      <c r="CO1854" s="1539"/>
    </row>
    <row r="1855" spans="1:93" s="1553" customFormat="1" ht="15.5">
      <c r="A1855" s="1598"/>
      <c r="B1855" s="1599" t="s">
        <v>3442</v>
      </c>
      <c r="C1855" s="1643" t="e">
        <f>+SUMIF(#REF!,Final!A1855,#REF!)</f>
        <v>#REF!</v>
      </c>
      <c r="D1855" s="1597" t="e">
        <f>+SUMIF(#REF!,Final!A1855,#REF!)</f>
        <v>#REF!</v>
      </c>
      <c r="E1855" s="1643" t="e">
        <f>SUMIF(#REF!,Final!A1855,#REF!)</f>
        <v>#REF!</v>
      </c>
      <c r="F1855" s="1644" t="e">
        <f>SUMIF(#REF!,Final!A1855,#REF!)</f>
        <v>#REF!</v>
      </c>
      <c r="G1855" s="1597" t="e">
        <f t="shared" si="188"/>
        <v>#REF!</v>
      </c>
      <c r="H1855" s="1644" t="e">
        <f t="shared" si="189"/>
        <v>#REF!</v>
      </c>
      <c r="I1855" s="1597" t="e">
        <f t="shared" si="190"/>
        <v>#REF!</v>
      </c>
      <c r="J1855" s="1644" t="e">
        <f t="shared" si="191"/>
        <v>#REF!</v>
      </c>
      <c r="K1855" s="1539"/>
      <c r="L1855" s="1539"/>
      <c r="M1855" s="1545"/>
      <c r="N1855" s="1545"/>
      <c r="O1855" s="1539"/>
      <c r="P1855" s="1539"/>
      <c r="Q1855" s="1539"/>
      <c r="R1855" s="1539"/>
      <c r="S1855" s="1539"/>
      <c r="T1855" s="1539"/>
      <c r="U1855" s="1539"/>
      <c r="V1855" s="1539"/>
      <c r="W1855" s="1539"/>
      <c r="X1855" s="1539"/>
      <c r="Y1855" s="1539"/>
      <c r="Z1855" s="1539"/>
      <c r="AA1855" s="1539"/>
      <c r="AB1855" s="1539"/>
      <c r="AC1855" s="1539"/>
      <c r="AD1855" s="1539"/>
      <c r="AE1855" s="1539"/>
      <c r="AF1855" s="1539"/>
      <c r="AG1855" s="1539"/>
      <c r="AH1855" s="1539"/>
      <c r="AI1855" s="1539"/>
      <c r="AJ1855" s="1539"/>
      <c r="AK1855" s="1539"/>
      <c r="AL1855" s="1539"/>
      <c r="AM1855" s="1539"/>
      <c r="AN1855" s="1539"/>
      <c r="AO1855" s="1539"/>
      <c r="AP1855" s="1539"/>
      <c r="AQ1855" s="1539"/>
      <c r="AR1855" s="1539"/>
      <c r="AS1855" s="1539"/>
      <c r="AT1855" s="1539"/>
      <c r="AU1855" s="1539"/>
      <c r="AV1855" s="1539"/>
      <c r="AW1855" s="1539"/>
      <c r="AX1855" s="1539"/>
      <c r="AY1855" s="1539"/>
      <c r="AZ1855" s="1539"/>
      <c r="BA1855" s="1539"/>
      <c r="BB1855" s="1539"/>
      <c r="BC1855" s="1539"/>
      <c r="BD1855" s="1539"/>
      <c r="BE1855" s="1539"/>
      <c r="BF1855" s="1539"/>
      <c r="BG1855" s="1539"/>
      <c r="BH1855" s="1539"/>
      <c r="BI1855" s="1539"/>
      <c r="BJ1855" s="1539"/>
      <c r="BK1855" s="1539"/>
      <c r="BL1855" s="1539"/>
      <c r="BM1855" s="1539"/>
      <c r="BN1855" s="1539"/>
      <c r="BO1855" s="1539"/>
      <c r="BP1855" s="1539"/>
      <c r="BQ1855" s="1539"/>
      <c r="BR1855" s="1539"/>
      <c r="BS1855" s="1539"/>
      <c r="BT1855" s="1539"/>
      <c r="BU1855" s="1539"/>
      <c r="BV1855" s="1539"/>
      <c r="BW1855" s="1539"/>
      <c r="BX1855" s="1539"/>
      <c r="BY1855" s="1539"/>
      <c r="BZ1855" s="1539"/>
      <c r="CA1855" s="1539"/>
      <c r="CB1855" s="1539"/>
      <c r="CC1855" s="1539"/>
      <c r="CD1855" s="1539"/>
      <c r="CE1855" s="1539"/>
      <c r="CF1855" s="1539"/>
      <c r="CG1855" s="1539"/>
      <c r="CH1855" s="1539"/>
      <c r="CI1855" s="1539"/>
      <c r="CJ1855" s="1539"/>
      <c r="CK1855" s="1539"/>
      <c r="CL1855" s="1539"/>
      <c r="CM1855" s="1539"/>
      <c r="CN1855" s="1539"/>
      <c r="CO1855" s="1539"/>
    </row>
    <row r="1856" spans="1:93" s="1542" customFormat="1" ht="15.5">
      <c r="A1856" s="1598">
        <v>11</v>
      </c>
      <c r="B1856" s="1599" t="s">
        <v>1778</v>
      </c>
      <c r="C1856" s="1643" t="e">
        <f>+SUMIF(#REF!,Final!A1856,#REF!)</f>
        <v>#REF!</v>
      </c>
      <c r="D1856" s="1597" t="e">
        <f>+SUMIF(#REF!,Final!A1856,#REF!)</f>
        <v>#REF!</v>
      </c>
      <c r="E1856" s="1643" t="e">
        <f>SUMIF(#REF!,Final!A1856,#REF!)</f>
        <v>#REF!</v>
      </c>
      <c r="F1856" s="1644" t="e">
        <f>SUMIF(#REF!,Final!A1856,#REF!)</f>
        <v>#REF!</v>
      </c>
      <c r="G1856" s="1597" t="e">
        <f t="shared" si="188"/>
        <v>#REF!</v>
      </c>
      <c r="H1856" s="1644" t="e">
        <f t="shared" si="189"/>
        <v>#REF!</v>
      </c>
      <c r="I1856" s="1597" t="e">
        <f t="shared" si="190"/>
        <v>#REF!</v>
      </c>
      <c r="J1856" s="1644" t="e">
        <f t="shared" si="191"/>
        <v>#REF!</v>
      </c>
      <c r="K1856" s="1539"/>
      <c r="L1856" s="1539"/>
      <c r="M1856" s="1545"/>
      <c r="N1856" s="1545"/>
      <c r="O1856" s="1545"/>
      <c r="P1856" s="1539"/>
      <c r="Q1856" s="1539"/>
      <c r="R1856" s="1539"/>
      <c r="S1856" s="1539"/>
      <c r="T1856" s="1539"/>
      <c r="U1856" s="1539"/>
      <c r="V1856" s="1539"/>
      <c r="W1856" s="1539"/>
      <c r="X1856" s="1539"/>
      <c r="Y1856" s="1539"/>
      <c r="Z1856" s="1539"/>
      <c r="AA1856" s="1539"/>
      <c r="AB1856" s="1539"/>
      <c r="AC1856" s="1539"/>
      <c r="AD1856" s="1539"/>
      <c r="AE1856" s="1539"/>
      <c r="AF1856" s="1539"/>
      <c r="AG1856" s="1539"/>
      <c r="AH1856" s="1539"/>
      <c r="AI1856" s="1539"/>
      <c r="AJ1856" s="1539"/>
      <c r="AK1856" s="1539"/>
      <c r="AL1856" s="1539"/>
      <c r="AM1856" s="1539"/>
      <c r="AN1856" s="1539"/>
      <c r="AO1856" s="1539"/>
      <c r="AP1856" s="1539"/>
      <c r="AQ1856" s="1539"/>
      <c r="AR1856" s="1539"/>
      <c r="AS1856" s="1539"/>
      <c r="AT1856" s="1539"/>
      <c r="AU1856" s="1539"/>
      <c r="AV1856" s="1539"/>
      <c r="AW1856" s="1539"/>
      <c r="AX1856" s="1539"/>
      <c r="AY1856" s="1539"/>
      <c r="AZ1856" s="1539"/>
      <c r="BA1856" s="1539"/>
      <c r="BB1856" s="1539"/>
      <c r="BC1856" s="1539"/>
      <c r="BD1856" s="1539"/>
      <c r="BE1856" s="1539"/>
      <c r="BF1856" s="1539"/>
      <c r="BG1856" s="1539"/>
      <c r="BH1856" s="1539"/>
      <c r="BI1856" s="1539"/>
      <c r="BJ1856" s="1539"/>
      <c r="BK1856" s="1539"/>
      <c r="BL1856" s="1539"/>
      <c r="BM1856" s="1539"/>
      <c r="BN1856" s="1539"/>
      <c r="BO1856" s="1539"/>
      <c r="BP1856" s="1539"/>
      <c r="BQ1856" s="1539"/>
      <c r="BR1856" s="1539"/>
      <c r="BS1856" s="1539"/>
      <c r="BT1856" s="1539"/>
      <c r="BU1856" s="1539"/>
      <c r="BV1856" s="1539"/>
      <c r="BW1856" s="1539"/>
      <c r="BX1856" s="1539"/>
      <c r="BY1856" s="1539"/>
      <c r="BZ1856" s="1539"/>
      <c r="CA1856" s="1539"/>
      <c r="CB1856" s="1539"/>
      <c r="CC1856" s="1539"/>
      <c r="CD1856" s="1539"/>
      <c r="CE1856" s="1539"/>
      <c r="CF1856" s="1539"/>
      <c r="CG1856" s="1539"/>
      <c r="CH1856" s="1539"/>
      <c r="CI1856" s="1539"/>
      <c r="CJ1856" s="1539"/>
      <c r="CK1856" s="1539"/>
      <c r="CL1856" s="1539"/>
      <c r="CM1856" s="1539"/>
      <c r="CN1856" s="1539"/>
      <c r="CO1856" s="1539"/>
    </row>
    <row r="1857" spans="1:93" s="1542" customFormat="1" ht="15.5">
      <c r="A1857" s="1598"/>
      <c r="B1857" s="1599" t="s">
        <v>1779</v>
      </c>
      <c r="C1857" s="1643" t="e">
        <f>+SUMIF(#REF!,Final!A1857,#REF!)</f>
        <v>#REF!</v>
      </c>
      <c r="D1857" s="1597" t="e">
        <f>+SUMIF(#REF!,Final!A1857,#REF!)</f>
        <v>#REF!</v>
      </c>
      <c r="E1857" s="1643" t="e">
        <f>SUMIF(#REF!,Final!A1857,#REF!)</f>
        <v>#REF!</v>
      </c>
      <c r="F1857" s="1644" t="e">
        <f>SUMIF(#REF!,Final!A1857,#REF!)</f>
        <v>#REF!</v>
      </c>
      <c r="G1857" s="1597" t="e">
        <f t="shared" si="188"/>
        <v>#REF!</v>
      </c>
      <c r="H1857" s="1644" t="e">
        <f t="shared" si="189"/>
        <v>#REF!</v>
      </c>
      <c r="I1857" s="1597" t="e">
        <f t="shared" si="190"/>
        <v>#REF!</v>
      </c>
      <c r="J1857" s="1644" t="e">
        <f t="shared" si="191"/>
        <v>#REF!</v>
      </c>
      <c r="K1857" s="1539"/>
      <c r="L1857" s="1539"/>
      <c r="M1857" s="1545"/>
      <c r="N1857" s="1545"/>
      <c r="O1857" s="1539"/>
      <c r="P1857" s="1539"/>
      <c r="Q1857" s="1539"/>
      <c r="R1857" s="1539"/>
      <c r="S1857" s="1539"/>
      <c r="T1857" s="1539"/>
      <c r="U1857" s="1539"/>
      <c r="V1857" s="1539"/>
      <c r="W1857" s="1539"/>
      <c r="X1857" s="1539"/>
      <c r="Y1857" s="1539"/>
      <c r="Z1857" s="1539"/>
      <c r="AA1857" s="1539"/>
      <c r="AB1857" s="1539"/>
      <c r="AC1857" s="1539"/>
      <c r="AD1857" s="1539"/>
      <c r="AE1857" s="1539"/>
      <c r="AF1857" s="1539"/>
      <c r="AG1857" s="1539"/>
      <c r="AH1857" s="1539"/>
      <c r="AI1857" s="1539"/>
      <c r="AJ1857" s="1539"/>
      <c r="AK1857" s="1539"/>
      <c r="AL1857" s="1539"/>
      <c r="AM1857" s="1539"/>
      <c r="AN1857" s="1539"/>
      <c r="AO1857" s="1539"/>
      <c r="AP1857" s="1539"/>
      <c r="AQ1857" s="1539"/>
      <c r="AR1857" s="1539"/>
      <c r="AS1857" s="1539"/>
      <c r="AT1857" s="1539"/>
      <c r="AU1857" s="1539"/>
      <c r="AV1857" s="1539"/>
      <c r="AW1857" s="1539"/>
      <c r="AX1857" s="1539"/>
      <c r="AY1857" s="1539"/>
      <c r="AZ1857" s="1539"/>
      <c r="BA1857" s="1539"/>
      <c r="BB1857" s="1539"/>
      <c r="BC1857" s="1539"/>
      <c r="BD1857" s="1539"/>
      <c r="BE1857" s="1539"/>
      <c r="BF1857" s="1539"/>
      <c r="BG1857" s="1539"/>
      <c r="BH1857" s="1539"/>
      <c r="BI1857" s="1539"/>
      <c r="BJ1857" s="1539"/>
      <c r="BK1857" s="1539"/>
      <c r="BL1857" s="1539"/>
      <c r="BM1857" s="1539"/>
      <c r="BN1857" s="1539"/>
      <c r="BO1857" s="1539"/>
      <c r="BP1857" s="1539"/>
      <c r="BQ1857" s="1539"/>
      <c r="BR1857" s="1539"/>
      <c r="BS1857" s="1539"/>
      <c r="BT1857" s="1539"/>
      <c r="BU1857" s="1539"/>
      <c r="BV1857" s="1539"/>
      <c r="BW1857" s="1539"/>
      <c r="BX1857" s="1539"/>
      <c r="BY1857" s="1539"/>
      <c r="BZ1857" s="1539"/>
      <c r="CA1857" s="1539"/>
      <c r="CB1857" s="1539"/>
      <c r="CC1857" s="1539"/>
      <c r="CD1857" s="1539"/>
      <c r="CE1857" s="1539"/>
      <c r="CF1857" s="1539"/>
      <c r="CG1857" s="1539"/>
      <c r="CH1857" s="1539"/>
      <c r="CI1857" s="1539"/>
      <c r="CJ1857" s="1539"/>
      <c r="CK1857" s="1539"/>
      <c r="CL1857" s="1539"/>
      <c r="CM1857" s="1539"/>
      <c r="CN1857" s="1539"/>
      <c r="CO1857" s="1539"/>
    </row>
    <row r="1858" spans="1:93" s="1542" customFormat="1" ht="15.5">
      <c r="A1858" s="1598" t="s">
        <v>1102</v>
      </c>
      <c r="B1858" s="1599" t="s">
        <v>1780</v>
      </c>
      <c r="C1858" s="1643" t="e">
        <f>+SUMIF(#REF!,Final!A1858,#REF!)</f>
        <v>#REF!</v>
      </c>
      <c r="D1858" s="1597" t="e">
        <f>+SUMIF(#REF!,Final!A1858,#REF!)</f>
        <v>#REF!</v>
      </c>
      <c r="E1858" s="1643" t="e">
        <f>SUMIF(#REF!,Final!A1858,#REF!)</f>
        <v>#REF!</v>
      </c>
      <c r="F1858" s="1644" t="e">
        <f>SUMIF(#REF!,Final!A1858,#REF!)</f>
        <v>#REF!</v>
      </c>
      <c r="G1858" s="1597" t="e">
        <f t="shared" si="188"/>
        <v>#REF!</v>
      </c>
      <c r="H1858" s="1644" t="e">
        <f t="shared" si="189"/>
        <v>#REF!</v>
      </c>
      <c r="I1858" s="1597" t="e">
        <f t="shared" si="190"/>
        <v>#REF!</v>
      </c>
      <c r="J1858" s="1644" t="e">
        <f t="shared" si="191"/>
        <v>#REF!</v>
      </c>
      <c r="K1858" s="1539"/>
      <c r="L1858" s="1539"/>
      <c r="M1858" s="1545"/>
      <c r="N1858" s="1545"/>
      <c r="O1858" s="1539"/>
      <c r="P1858" s="1539"/>
      <c r="Q1858" s="1539"/>
      <c r="R1858" s="1539"/>
      <c r="S1858" s="1539"/>
      <c r="T1858" s="1539"/>
      <c r="U1858" s="1539"/>
      <c r="V1858" s="1539"/>
      <c r="W1858" s="1539"/>
      <c r="X1858" s="1539"/>
      <c r="Y1858" s="1539"/>
      <c r="Z1858" s="1539"/>
      <c r="AA1858" s="1539"/>
      <c r="AB1858" s="1539"/>
      <c r="AC1858" s="1539"/>
      <c r="AD1858" s="1539"/>
      <c r="AE1858" s="1539"/>
      <c r="AF1858" s="1539"/>
      <c r="AG1858" s="1539"/>
      <c r="AH1858" s="1539"/>
      <c r="AI1858" s="1539"/>
      <c r="AJ1858" s="1539"/>
      <c r="AK1858" s="1539"/>
      <c r="AL1858" s="1539"/>
      <c r="AM1858" s="1539"/>
      <c r="AN1858" s="1539"/>
      <c r="AO1858" s="1539"/>
      <c r="AP1858" s="1539"/>
      <c r="AQ1858" s="1539"/>
      <c r="AR1858" s="1539"/>
      <c r="AS1858" s="1539"/>
      <c r="AT1858" s="1539"/>
      <c r="AU1858" s="1539"/>
      <c r="AV1858" s="1539"/>
      <c r="AW1858" s="1539"/>
      <c r="AX1858" s="1539"/>
      <c r="AY1858" s="1539"/>
      <c r="AZ1858" s="1539"/>
      <c r="BA1858" s="1539"/>
      <c r="BB1858" s="1539"/>
      <c r="BC1858" s="1539"/>
      <c r="BD1858" s="1539"/>
      <c r="BE1858" s="1539"/>
      <c r="BF1858" s="1539"/>
      <c r="BG1858" s="1539"/>
      <c r="BH1858" s="1539"/>
      <c r="BI1858" s="1539"/>
      <c r="BJ1858" s="1539"/>
      <c r="BK1858" s="1539"/>
      <c r="BL1858" s="1539"/>
      <c r="BM1858" s="1539"/>
      <c r="BN1858" s="1539"/>
      <c r="BO1858" s="1539"/>
      <c r="BP1858" s="1539"/>
      <c r="BQ1858" s="1539"/>
      <c r="BR1858" s="1539"/>
      <c r="BS1858" s="1539"/>
      <c r="BT1858" s="1539"/>
      <c r="BU1858" s="1539"/>
      <c r="BV1858" s="1539"/>
      <c r="BW1858" s="1539"/>
      <c r="BX1858" s="1539"/>
      <c r="BY1858" s="1539"/>
      <c r="BZ1858" s="1539"/>
      <c r="CA1858" s="1539"/>
      <c r="CB1858" s="1539"/>
      <c r="CC1858" s="1539"/>
      <c r="CD1858" s="1539"/>
      <c r="CE1858" s="1539"/>
      <c r="CF1858" s="1539"/>
      <c r="CG1858" s="1539"/>
      <c r="CH1858" s="1539"/>
      <c r="CI1858" s="1539"/>
      <c r="CJ1858" s="1539"/>
      <c r="CK1858" s="1539"/>
      <c r="CL1858" s="1539"/>
      <c r="CM1858" s="1539"/>
      <c r="CN1858" s="1539"/>
      <c r="CO1858" s="1539"/>
    </row>
    <row r="1859" spans="1:93" ht="15.5">
      <c r="A1859" s="1598">
        <v>41.113999999999997</v>
      </c>
      <c r="B1859" s="1599" t="s">
        <v>1781</v>
      </c>
      <c r="C1859" s="1643" t="e">
        <f>+SUMIF(#REF!,Final!A1859,#REF!)</f>
        <v>#REF!</v>
      </c>
      <c r="D1859" s="1597" t="e">
        <f>+SUMIF(#REF!,Final!A1859,#REF!)</f>
        <v>#REF!</v>
      </c>
      <c r="E1859" s="1643" t="e">
        <f>SUMIF(#REF!,Final!A1859,#REF!)</f>
        <v>#REF!</v>
      </c>
      <c r="F1859" s="1644" t="e">
        <f>SUMIF(#REF!,Final!A1859,#REF!)</f>
        <v>#REF!</v>
      </c>
      <c r="G1859" s="1597" t="e">
        <f t="shared" si="188"/>
        <v>#REF!</v>
      </c>
      <c r="H1859" s="1644" t="e">
        <f t="shared" si="189"/>
        <v>#REF!</v>
      </c>
      <c r="I1859" s="1597" t="e">
        <f t="shared" si="190"/>
        <v>#REF!</v>
      </c>
      <c r="J1859" s="1644" t="e">
        <f t="shared" si="191"/>
        <v>#REF!</v>
      </c>
      <c r="M1859" s="1545"/>
      <c r="N1859" s="1545"/>
    </row>
    <row r="1860" spans="1:93" s="1543" customFormat="1" ht="15.5">
      <c r="A1860" s="1598">
        <v>41.115000000000002</v>
      </c>
      <c r="B1860" s="1599" t="s">
        <v>1782</v>
      </c>
      <c r="C1860" s="1643" t="e">
        <f>+SUMIF(#REF!,Final!A1860,#REF!)</f>
        <v>#REF!</v>
      </c>
      <c r="D1860" s="1597" t="e">
        <f>+SUMIF(#REF!,Final!A1860,#REF!)</f>
        <v>#REF!</v>
      </c>
      <c r="E1860" s="1643" t="e">
        <f>SUMIF(#REF!,Final!A1860,#REF!)</f>
        <v>#REF!</v>
      </c>
      <c r="F1860" s="1644" t="e">
        <f>SUMIF(#REF!,Final!A1860,#REF!)</f>
        <v>#REF!</v>
      </c>
      <c r="G1860" s="1597" t="e">
        <f t="shared" si="188"/>
        <v>#REF!</v>
      </c>
      <c r="H1860" s="1644" t="e">
        <f t="shared" si="189"/>
        <v>#REF!</v>
      </c>
      <c r="I1860" s="1597" t="e">
        <f t="shared" si="190"/>
        <v>#REF!</v>
      </c>
      <c r="J1860" s="1644" t="e">
        <f t="shared" si="191"/>
        <v>#REF!</v>
      </c>
      <c r="K1860" s="1539"/>
      <c r="L1860" s="1539"/>
      <c r="M1860" s="1545"/>
      <c r="N1860" s="1545"/>
      <c r="O1860" s="1539"/>
      <c r="P1860" s="1539"/>
      <c r="Q1860" s="1539"/>
      <c r="R1860" s="1539"/>
      <c r="S1860" s="1539"/>
      <c r="T1860" s="1539"/>
      <c r="U1860" s="1539"/>
      <c r="V1860" s="1539"/>
      <c r="W1860" s="1539"/>
      <c r="X1860" s="1539"/>
      <c r="Y1860" s="1539"/>
      <c r="Z1860" s="1539"/>
      <c r="AA1860" s="1539"/>
      <c r="AB1860" s="1539"/>
      <c r="AC1860" s="1539"/>
      <c r="AD1860" s="1539"/>
      <c r="AE1860" s="1539"/>
      <c r="AF1860" s="1539"/>
      <c r="AG1860" s="1539"/>
      <c r="AH1860" s="1539"/>
      <c r="AI1860" s="1539"/>
      <c r="AJ1860" s="1539"/>
      <c r="AK1860" s="1539"/>
      <c r="AL1860" s="1539"/>
      <c r="AM1860" s="1539"/>
      <c r="AN1860" s="1539"/>
      <c r="AO1860" s="1539"/>
      <c r="AP1860" s="1539"/>
      <c r="AQ1860" s="1539"/>
      <c r="AR1860" s="1539"/>
      <c r="AS1860" s="1539"/>
      <c r="AT1860" s="1539"/>
      <c r="AU1860" s="1539"/>
      <c r="AV1860" s="1539"/>
      <c r="AW1860" s="1539"/>
      <c r="AX1860" s="1539"/>
      <c r="AY1860" s="1539"/>
      <c r="AZ1860" s="1539"/>
      <c r="BA1860" s="1539"/>
      <c r="BB1860" s="1539"/>
      <c r="BC1860" s="1539"/>
      <c r="BD1860" s="1539"/>
      <c r="BE1860" s="1539"/>
      <c r="BF1860" s="1539"/>
      <c r="BG1860" s="1539"/>
      <c r="BH1860" s="1539"/>
      <c r="BI1860" s="1539"/>
      <c r="BJ1860" s="1539"/>
      <c r="BK1860" s="1539"/>
      <c r="BL1860" s="1539"/>
      <c r="BM1860" s="1539"/>
      <c r="BN1860" s="1539"/>
      <c r="BO1860" s="1539"/>
      <c r="BP1860" s="1539"/>
      <c r="BQ1860" s="1539"/>
      <c r="BR1860" s="1539"/>
      <c r="BS1860" s="1539"/>
      <c r="BT1860" s="1539"/>
      <c r="BU1860" s="1539"/>
      <c r="BV1860" s="1539"/>
      <c r="BW1860" s="1539"/>
      <c r="BX1860" s="1539"/>
      <c r="BY1860" s="1539"/>
      <c r="BZ1860" s="1539"/>
      <c r="CA1860" s="1539"/>
      <c r="CB1860" s="1539"/>
      <c r="CC1860" s="1539"/>
      <c r="CD1860" s="1539"/>
      <c r="CE1860" s="1539"/>
      <c r="CF1860" s="1539"/>
      <c r="CG1860" s="1539"/>
      <c r="CH1860" s="1539"/>
      <c r="CI1860" s="1539"/>
      <c r="CJ1860" s="1539"/>
      <c r="CK1860" s="1539"/>
      <c r="CL1860" s="1539"/>
      <c r="CM1860" s="1539"/>
      <c r="CN1860" s="1539"/>
      <c r="CO1860" s="1539"/>
    </row>
    <row r="1861" spans="1:93" s="1543" customFormat="1" ht="15.5">
      <c r="A1861" s="1598">
        <v>41.116</v>
      </c>
      <c r="B1861" s="1599" t="s">
        <v>1783</v>
      </c>
      <c r="C1861" s="1643" t="e">
        <f>+SUMIF(#REF!,Final!A1861,#REF!)</f>
        <v>#REF!</v>
      </c>
      <c r="D1861" s="1597" t="e">
        <f>+SUMIF(#REF!,Final!A1861,#REF!)</f>
        <v>#REF!</v>
      </c>
      <c r="E1861" s="1643" t="e">
        <f>SUMIF(#REF!,Final!A1861,#REF!)</f>
        <v>#REF!</v>
      </c>
      <c r="F1861" s="1644" t="e">
        <f>SUMIF(#REF!,Final!A1861,#REF!)</f>
        <v>#REF!</v>
      </c>
      <c r="G1861" s="1597" t="e">
        <f t="shared" si="188"/>
        <v>#REF!</v>
      </c>
      <c r="H1861" s="1644" t="e">
        <f t="shared" si="189"/>
        <v>#REF!</v>
      </c>
      <c r="I1861" s="1597" t="e">
        <f t="shared" si="190"/>
        <v>#REF!</v>
      </c>
      <c r="J1861" s="1644" t="e">
        <f t="shared" si="191"/>
        <v>#REF!</v>
      </c>
      <c r="K1861" s="1539"/>
      <c r="L1861" s="1539"/>
      <c r="M1861" s="1545"/>
      <c r="N1861" s="1545"/>
      <c r="O1861" s="1539"/>
      <c r="P1861" s="1539"/>
      <c r="Q1861" s="1539"/>
      <c r="R1861" s="1539"/>
      <c r="S1861" s="1539"/>
      <c r="T1861" s="1539"/>
      <c r="U1861" s="1539"/>
      <c r="V1861" s="1539"/>
      <c r="W1861" s="1539"/>
      <c r="X1861" s="1539"/>
      <c r="Y1861" s="1539"/>
      <c r="Z1861" s="1539"/>
      <c r="AA1861" s="1539"/>
      <c r="AB1861" s="1539"/>
      <c r="AC1861" s="1539"/>
      <c r="AD1861" s="1539"/>
      <c r="AE1861" s="1539"/>
      <c r="AF1861" s="1539"/>
      <c r="AG1861" s="1539"/>
      <c r="AH1861" s="1539"/>
      <c r="AI1861" s="1539"/>
      <c r="AJ1861" s="1539"/>
      <c r="AK1861" s="1539"/>
      <c r="AL1861" s="1539"/>
      <c r="AM1861" s="1539"/>
      <c r="AN1861" s="1539"/>
      <c r="AO1861" s="1539"/>
      <c r="AP1861" s="1539"/>
      <c r="AQ1861" s="1539"/>
      <c r="AR1861" s="1539"/>
      <c r="AS1861" s="1539"/>
      <c r="AT1861" s="1539"/>
      <c r="AU1861" s="1539"/>
      <c r="AV1861" s="1539"/>
      <c r="AW1861" s="1539"/>
      <c r="AX1861" s="1539"/>
      <c r="AY1861" s="1539"/>
      <c r="AZ1861" s="1539"/>
      <c r="BA1861" s="1539"/>
      <c r="BB1861" s="1539"/>
      <c r="BC1861" s="1539"/>
      <c r="BD1861" s="1539"/>
      <c r="BE1861" s="1539"/>
      <c r="BF1861" s="1539"/>
      <c r="BG1861" s="1539"/>
      <c r="BH1861" s="1539"/>
      <c r="BI1861" s="1539"/>
      <c r="BJ1861" s="1539"/>
      <c r="BK1861" s="1539"/>
      <c r="BL1861" s="1539"/>
      <c r="BM1861" s="1539"/>
      <c r="BN1861" s="1539"/>
      <c r="BO1861" s="1539"/>
      <c r="BP1861" s="1539"/>
      <c r="BQ1861" s="1539"/>
      <c r="BR1861" s="1539"/>
      <c r="BS1861" s="1539"/>
      <c r="BT1861" s="1539"/>
      <c r="BU1861" s="1539"/>
      <c r="BV1861" s="1539"/>
      <c r="BW1861" s="1539"/>
      <c r="BX1861" s="1539"/>
      <c r="BY1861" s="1539"/>
      <c r="BZ1861" s="1539"/>
      <c r="CA1861" s="1539"/>
      <c r="CB1861" s="1539"/>
      <c r="CC1861" s="1539"/>
      <c r="CD1861" s="1539"/>
      <c r="CE1861" s="1539"/>
      <c r="CF1861" s="1539"/>
      <c r="CG1861" s="1539"/>
      <c r="CH1861" s="1539"/>
      <c r="CI1861" s="1539"/>
      <c r="CJ1861" s="1539"/>
      <c r="CK1861" s="1539"/>
      <c r="CL1861" s="1539"/>
      <c r="CM1861" s="1539"/>
      <c r="CN1861" s="1539"/>
      <c r="CO1861" s="1539"/>
    </row>
    <row r="1862" spans="1:93" s="1552" customFormat="1" ht="15.5">
      <c r="A1862" s="1598"/>
      <c r="B1862" s="1599" t="s">
        <v>1747</v>
      </c>
      <c r="C1862" s="1643" t="e">
        <f>+SUMIF(#REF!,Final!A1862,#REF!)</f>
        <v>#REF!</v>
      </c>
      <c r="D1862" s="1597" t="e">
        <f>+SUMIF(#REF!,Final!A1862,#REF!)</f>
        <v>#REF!</v>
      </c>
      <c r="E1862" s="1643" t="e">
        <f>SUMIF(#REF!,Final!A1862,#REF!)</f>
        <v>#REF!</v>
      </c>
      <c r="F1862" s="1644" t="e">
        <f>SUMIF(#REF!,Final!A1862,#REF!)</f>
        <v>#REF!</v>
      </c>
      <c r="G1862" s="1597" t="e">
        <f t="shared" si="188"/>
        <v>#REF!</v>
      </c>
      <c r="H1862" s="1644" t="e">
        <f t="shared" si="189"/>
        <v>#REF!</v>
      </c>
      <c r="I1862" s="1597" t="e">
        <f t="shared" si="190"/>
        <v>#REF!</v>
      </c>
      <c r="J1862" s="1644" t="e">
        <f t="shared" si="191"/>
        <v>#REF!</v>
      </c>
      <c r="K1862" s="1539"/>
      <c r="L1862" s="1539"/>
      <c r="M1862" s="1545"/>
      <c r="N1862" s="1545"/>
      <c r="O1862" s="1539"/>
      <c r="P1862" s="1539"/>
      <c r="Q1862" s="1539"/>
      <c r="R1862" s="1539"/>
      <c r="S1862" s="1539"/>
      <c r="T1862" s="1539"/>
      <c r="U1862" s="1539"/>
      <c r="V1862" s="1539"/>
      <c r="W1862" s="1539"/>
      <c r="X1862" s="1539"/>
      <c r="Y1862" s="1539"/>
      <c r="Z1862" s="1539"/>
      <c r="AA1862" s="1539"/>
      <c r="AB1862" s="1539"/>
      <c r="AC1862" s="1539"/>
      <c r="AD1862" s="1539"/>
      <c r="AE1862" s="1539"/>
      <c r="AF1862" s="1539"/>
      <c r="AG1862" s="1539"/>
      <c r="AH1862" s="1539"/>
      <c r="AI1862" s="1539"/>
      <c r="AJ1862" s="1539"/>
      <c r="AK1862" s="1539"/>
      <c r="AL1862" s="1539"/>
      <c r="AM1862" s="1539"/>
      <c r="AN1862" s="1539"/>
      <c r="AO1862" s="1539"/>
      <c r="AP1862" s="1539"/>
      <c r="AQ1862" s="1539"/>
      <c r="AR1862" s="1539"/>
      <c r="AS1862" s="1539"/>
      <c r="AT1862" s="1539"/>
      <c r="AU1862" s="1539"/>
      <c r="AV1862" s="1539"/>
      <c r="AW1862" s="1539"/>
      <c r="AX1862" s="1539"/>
      <c r="AY1862" s="1539"/>
      <c r="AZ1862" s="1539"/>
      <c r="BA1862" s="1539"/>
      <c r="BB1862" s="1539"/>
      <c r="BC1862" s="1539"/>
      <c r="BD1862" s="1539"/>
      <c r="BE1862" s="1539"/>
      <c r="BF1862" s="1539"/>
      <c r="BG1862" s="1539"/>
      <c r="BH1862" s="1539"/>
      <c r="BI1862" s="1539"/>
      <c r="BJ1862" s="1539"/>
      <c r="BK1862" s="1539"/>
      <c r="BL1862" s="1539"/>
      <c r="BM1862" s="1539"/>
      <c r="BN1862" s="1539"/>
      <c r="BO1862" s="1539"/>
      <c r="BP1862" s="1539"/>
      <c r="BQ1862" s="1539"/>
      <c r="BR1862" s="1539"/>
      <c r="BS1862" s="1539"/>
      <c r="BT1862" s="1539"/>
      <c r="BU1862" s="1539"/>
      <c r="BV1862" s="1539"/>
      <c r="BW1862" s="1539"/>
      <c r="BX1862" s="1539"/>
      <c r="BY1862" s="1539"/>
      <c r="BZ1862" s="1539"/>
      <c r="CA1862" s="1539"/>
      <c r="CB1862" s="1539"/>
      <c r="CC1862" s="1539"/>
      <c r="CD1862" s="1539"/>
      <c r="CE1862" s="1539"/>
      <c r="CF1862" s="1539"/>
      <c r="CG1862" s="1539"/>
      <c r="CH1862" s="1539"/>
      <c r="CI1862" s="1539"/>
      <c r="CJ1862" s="1539"/>
      <c r="CK1862" s="1539"/>
      <c r="CL1862" s="1539"/>
      <c r="CM1862" s="1539"/>
      <c r="CN1862" s="1539"/>
      <c r="CO1862" s="1539"/>
    </row>
    <row r="1863" spans="1:93" s="1552" customFormat="1" ht="15.5">
      <c r="A1863" s="1598" t="s">
        <v>3443</v>
      </c>
      <c r="B1863" s="1599" t="s">
        <v>1760</v>
      </c>
      <c r="C1863" s="1643" t="e">
        <f>+SUMIF(#REF!,Final!A1863,#REF!)</f>
        <v>#REF!</v>
      </c>
      <c r="D1863" s="1597" t="e">
        <f>+SUMIF(#REF!,Final!A1863,#REF!)</f>
        <v>#REF!</v>
      </c>
      <c r="E1863" s="1643" t="e">
        <f>SUMIF(#REF!,Final!A1863,#REF!)</f>
        <v>#REF!</v>
      </c>
      <c r="F1863" s="1644" t="e">
        <f>SUMIF(#REF!,Final!A1863,#REF!)</f>
        <v>#REF!</v>
      </c>
      <c r="G1863" s="1597" t="e">
        <f t="shared" si="188"/>
        <v>#REF!</v>
      </c>
      <c r="H1863" s="1644" t="e">
        <f t="shared" si="189"/>
        <v>#REF!</v>
      </c>
      <c r="I1863" s="1597" t="e">
        <f t="shared" si="190"/>
        <v>#REF!</v>
      </c>
      <c r="J1863" s="1644" t="e">
        <f t="shared" si="191"/>
        <v>#REF!</v>
      </c>
      <c r="K1863" s="1539"/>
      <c r="L1863" s="1539"/>
      <c r="M1863" s="1545"/>
      <c r="N1863" s="1545"/>
      <c r="O1863" s="1539"/>
      <c r="P1863" s="1539"/>
      <c r="Q1863" s="1539"/>
      <c r="R1863" s="1539"/>
      <c r="S1863" s="1539"/>
      <c r="T1863" s="1539"/>
      <c r="U1863" s="1539"/>
      <c r="V1863" s="1539"/>
      <c r="W1863" s="1539"/>
      <c r="X1863" s="1539"/>
      <c r="Y1863" s="1539"/>
      <c r="Z1863" s="1539"/>
      <c r="AA1863" s="1539"/>
      <c r="AB1863" s="1539"/>
      <c r="AC1863" s="1539"/>
      <c r="AD1863" s="1539"/>
      <c r="AE1863" s="1539"/>
      <c r="AF1863" s="1539"/>
      <c r="AG1863" s="1539"/>
      <c r="AH1863" s="1539"/>
      <c r="AI1863" s="1539"/>
      <c r="AJ1863" s="1539"/>
      <c r="AK1863" s="1539"/>
      <c r="AL1863" s="1539"/>
      <c r="AM1863" s="1539"/>
      <c r="AN1863" s="1539"/>
      <c r="AO1863" s="1539"/>
      <c r="AP1863" s="1539"/>
      <c r="AQ1863" s="1539"/>
      <c r="AR1863" s="1539"/>
      <c r="AS1863" s="1539"/>
      <c r="AT1863" s="1539"/>
      <c r="AU1863" s="1539"/>
      <c r="AV1863" s="1539"/>
      <c r="AW1863" s="1539"/>
      <c r="AX1863" s="1539"/>
      <c r="AY1863" s="1539"/>
      <c r="AZ1863" s="1539"/>
      <c r="BA1863" s="1539"/>
      <c r="BB1863" s="1539"/>
      <c r="BC1863" s="1539"/>
      <c r="BD1863" s="1539"/>
      <c r="BE1863" s="1539"/>
      <c r="BF1863" s="1539"/>
      <c r="BG1863" s="1539"/>
      <c r="BH1863" s="1539"/>
      <c r="BI1863" s="1539"/>
      <c r="BJ1863" s="1539"/>
      <c r="BK1863" s="1539"/>
      <c r="BL1863" s="1539"/>
      <c r="BM1863" s="1539"/>
      <c r="BN1863" s="1539"/>
      <c r="BO1863" s="1539"/>
      <c r="BP1863" s="1539"/>
      <c r="BQ1863" s="1539"/>
      <c r="BR1863" s="1539"/>
      <c r="BS1863" s="1539"/>
      <c r="BT1863" s="1539"/>
      <c r="BU1863" s="1539"/>
      <c r="BV1863" s="1539"/>
      <c r="BW1863" s="1539"/>
      <c r="BX1863" s="1539"/>
      <c r="BY1863" s="1539"/>
      <c r="BZ1863" s="1539"/>
      <c r="CA1863" s="1539"/>
      <c r="CB1863" s="1539"/>
      <c r="CC1863" s="1539"/>
      <c r="CD1863" s="1539"/>
      <c r="CE1863" s="1539"/>
      <c r="CF1863" s="1539"/>
      <c r="CG1863" s="1539"/>
      <c r="CH1863" s="1539"/>
      <c r="CI1863" s="1539"/>
      <c r="CJ1863" s="1539"/>
      <c r="CK1863" s="1539"/>
      <c r="CL1863" s="1539"/>
      <c r="CM1863" s="1539"/>
      <c r="CN1863" s="1539"/>
      <c r="CO1863" s="1539"/>
    </row>
    <row r="1864" spans="1:93" s="1552" customFormat="1" ht="16" thickBot="1">
      <c r="A1864" s="1527">
        <v>41.116999999999997</v>
      </c>
      <c r="B1864" s="1865" t="s">
        <v>5501</v>
      </c>
      <c r="C1864" s="1643" t="e">
        <f>+SUMIF(#REF!,Final!A1864,#REF!)</f>
        <v>#REF!</v>
      </c>
      <c r="D1864" s="1597" t="e">
        <f>+SUMIF(#REF!,Final!A1864,#REF!)</f>
        <v>#REF!</v>
      </c>
      <c r="E1864" s="1643" t="e">
        <f>SUMIF(#REF!,Final!A1864,#REF!)</f>
        <v>#REF!</v>
      </c>
      <c r="F1864" s="1644" t="e">
        <f>SUMIF(#REF!,Final!A1864,#REF!)</f>
        <v>#REF!</v>
      </c>
      <c r="G1864" s="1597" t="e">
        <f t="shared" ref="G1864:G1865" si="192">C1864+E1864</f>
        <v>#REF!</v>
      </c>
      <c r="H1864" s="1644" t="e">
        <f t="shared" ref="H1864:H1865" si="193">D1864+F1864</f>
        <v>#REF!</v>
      </c>
      <c r="I1864" s="1597" t="e">
        <f t="shared" ref="I1864:I1865" si="194">IF(G1864&gt;H1864,G1864-H1864,0)</f>
        <v>#REF!</v>
      </c>
      <c r="J1864" s="1644" t="e">
        <f t="shared" ref="J1864:J1865" si="195">IF(H1864&gt;G1864,H1864-G1864,0)</f>
        <v>#REF!</v>
      </c>
      <c r="K1864" s="1539"/>
      <c r="L1864" s="1539"/>
      <c r="M1864" s="1545"/>
      <c r="N1864" s="1545"/>
      <c r="O1864" s="1539"/>
      <c r="P1864" s="1539"/>
      <c r="Q1864" s="1539"/>
      <c r="R1864" s="1539"/>
      <c r="S1864" s="1539"/>
      <c r="T1864" s="1539"/>
      <c r="U1864" s="1539"/>
      <c r="V1864" s="1539"/>
      <c r="W1864" s="1539"/>
      <c r="X1864" s="1539"/>
      <c r="Y1864" s="1539"/>
      <c r="Z1864" s="1539"/>
      <c r="AA1864" s="1539"/>
      <c r="AB1864" s="1539"/>
      <c r="AC1864" s="1539"/>
      <c r="AD1864" s="1539"/>
      <c r="AE1864" s="1539"/>
      <c r="AF1864" s="1539"/>
      <c r="AG1864" s="1539"/>
      <c r="AH1864" s="1539"/>
      <c r="AI1864" s="1539"/>
      <c r="AJ1864" s="1539"/>
      <c r="AK1864" s="1539"/>
      <c r="AL1864" s="1539"/>
      <c r="AM1864" s="1539"/>
      <c r="AN1864" s="1539"/>
      <c r="AO1864" s="1539"/>
      <c r="AP1864" s="1539"/>
      <c r="AQ1864" s="1539"/>
      <c r="AR1864" s="1539"/>
      <c r="AS1864" s="1539"/>
      <c r="AT1864" s="1539"/>
      <c r="AU1864" s="1539"/>
      <c r="AV1864" s="1539"/>
      <c r="AW1864" s="1539"/>
      <c r="AX1864" s="1539"/>
      <c r="AY1864" s="1539"/>
      <c r="AZ1864" s="1539"/>
      <c r="BA1864" s="1539"/>
      <c r="BB1864" s="1539"/>
      <c r="BC1864" s="1539"/>
      <c r="BD1864" s="1539"/>
      <c r="BE1864" s="1539"/>
      <c r="BF1864" s="1539"/>
      <c r="BG1864" s="1539"/>
      <c r="BH1864" s="1539"/>
      <c r="BI1864" s="1539"/>
      <c r="BJ1864" s="1539"/>
      <c r="BK1864" s="1539"/>
      <c r="BL1864" s="1539"/>
      <c r="BM1864" s="1539"/>
      <c r="BN1864" s="1539"/>
      <c r="BO1864" s="1539"/>
      <c r="BP1864" s="1539"/>
      <c r="BQ1864" s="1539"/>
      <c r="BR1864" s="1539"/>
      <c r="BS1864" s="1539"/>
      <c r="BT1864" s="1539"/>
      <c r="BU1864" s="1539"/>
      <c r="BV1864" s="1539"/>
      <c r="BW1864" s="1539"/>
      <c r="BX1864" s="1539"/>
      <c r="BY1864" s="1539"/>
      <c r="BZ1864" s="1539"/>
      <c r="CA1864" s="1539"/>
      <c r="CB1864" s="1539"/>
      <c r="CC1864" s="1539"/>
      <c r="CD1864" s="1539"/>
      <c r="CE1864" s="1539"/>
      <c r="CF1864" s="1539"/>
      <c r="CG1864" s="1539"/>
      <c r="CH1864" s="1539"/>
      <c r="CI1864" s="1539"/>
      <c r="CJ1864" s="1539"/>
      <c r="CK1864" s="1539"/>
      <c r="CL1864" s="1539"/>
      <c r="CM1864" s="1539"/>
      <c r="CN1864" s="1539"/>
      <c r="CO1864" s="1539"/>
    </row>
    <row r="1865" spans="1:93" s="1552" customFormat="1" ht="16" thickBot="1">
      <c r="A1865" s="1527">
        <v>41.118000000000002</v>
      </c>
      <c r="B1865" s="1865" t="s">
        <v>5502</v>
      </c>
      <c r="C1865" s="1643" t="e">
        <f>+SUMIF(#REF!,Final!A1865,#REF!)</f>
        <v>#REF!</v>
      </c>
      <c r="D1865" s="1597" t="e">
        <f>+SUMIF(#REF!,Final!A1865,#REF!)</f>
        <v>#REF!</v>
      </c>
      <c r="E1865" s="1643" t="e">
        <f>SUMIF(#REF!,Final!A1865,#REF!)</f>
        <v>#REF!</v>
      </c>
      <c r="F1865" s="1644" t="e">
        <f>SUMIF(#REF!,Final!A1865,#REF!)</f>
        <v>#REF!</v>
      </c>
      <c r="G1865" s="1597" t="e">
        <f t="shared" si="192"/>
        <v>#REF!</v>
      </c>
      <c r="H1865" s="1644" t="e">
        <f t="shared" si="193"/>
        <v>#REF!</v>
      </c>
      <c r="I1865" s="1597" t="e">
        <f t="shared" si="194"/>
        <v>#REF!</v>
      </c>
      <c r="J1865" s="1644" t="e">
        <f t="shared" si="195"/>
        <v>#REF!</v>
      </c>
      <c r="K1865" s="1539"/>
      <c r="L1865" s="1539"/>
      <c r="M1865" s="1545"/>
      <c r="N1865" s="1545"/>
      <c r="O1865" s="1539"/>
      <c r="P1865" s="1539"/>
      <c r="Q1865" s="1539"/>
      <c r="R1865" s="1539"/>
      <c r="S1865" s="1539"/>
      <c r="T1865" s="1539"/>
      <c r="U1865" s="1539"/>
      <c r="V1865" s="1539"/>
      <c r="W1865" s="1539"/>
      <c r="X1865" s="1539"/>
      <c r="Y1865" s="1539"/>
      <c r="Z1865" s="1539"/>
      <c r="AA1865" s="1539"/>
      <c r="AB1865" s="1539"/>
      <c r="AC1865" s="1539"/>
      <c r="AD1865" s="1539"/>
      <c r="AE1865" s="1539"/>
      <c r="AF1865" s="1539"/>
      <c r="AG1865" s="1539"/>
      <c r="AH1865" s="1539"/>
      <c r="AI1865" s="1539"/>
      <c r="AJ1865" s="1539"/>
      <c r="AK1865" s="1539"/>
      <c r="AL1865" s="1539"/>
      <c r="AM1865" s="1539"/>
      <c r="AN1865" s="1539"/>
      <c r="AO1865" s="1539"/>
      <c r="AP1865" s="1539"/>
      <c r="AQ1865" s="1539"/>
      <c r="AR1865" s="1539"/>
      <c r="AS1865" s="1539"/>
      <c r="AT1865" s="1539"/>
      <c r="AU1865" s="1539"/>
      <c r="AV1865" s="1539"/>
      <c r="AW1865" s="1539"/>
      <c r="AX1865" s="1539"/>
      <c r="AY1865" s="1539"/>
      <c r="AZ1865" s="1539"/>
      <c r="BA1865" s="1539"/>
      <c r="BB1865" s="1539"/>
      <c r="BC1865" s="1539"/>
      <c r="BD1865" s="1539"/>
      <c r="BE1865" s="1539"/>
      <c r="BF1865" s="1539"/>
      <c r="BG1865" s="1539"/>
      <c r="BH1865" s="1539"/>
      <c r="BI1865" s="1539"/>
      <c r="BJ1865" s="1539"/>
      <c r="BK1865" s="1539"/>
      <c r="BL1865" s="1539"/>
      <c r="BM1865" s="1539"/>
      <c r="BN1865" s="1539"/>
      <c r="BO1865" s="1539"/>
      <c r="BP1865" s="1539"/>
      <c r="BQ1865" s="1539"/>
      <c r="BR1865" s="1539"/>
      <c r="BS1865" s="1539"/>
      <c r="BT1865" s="1539"/>
      <c r="BU1865" s="1539"/>
      <c r="BV1865" s="1539"/>
      <c r="BW1865" s="1539"/>
      <c r="BX1865" s="1539"/>
      <c r="BY1865" s="1539"/>
      <c r="BZ1865" s="1539"/>
      <c r="CA1865" s="1539"/>
      <c r="CB1865" s="1539"/>
      <c r="CC1865" s="1539"/>
      <c r="CD1865" s="1539"/>
      <c r="CE1865" s="1539"/>
      <c r="CF1865" s="1539"/>
      <c r="CG1865" s="1539"/>
      <c r="CH1865" s="1539"/>
      <c r="CI1865" s="1539"/>
      <c r="CJ1865" s="1539"/>
      <c r="CK1865" s="1539"/>
      <c r="CL1865" s="1539"/>
      <c r="CM1865" s="1539"/>
      <c r="CN1865" s="1539"/>
      <c r="CO1865" s="1539"/>
    </row>
    <row r="1866" spans="1:93" ht="15.5">
      <c r="A1866" s="1598">
        <v>41.145000000000003</v>
      </c>
      <c r="B1866" s="1599" t="s">
        <v>1919</v>
      </c>
      <c r="C1866" s="1643" t="e">
        <f>+SUMIF(#REF!,Final!A1866,#REF!)</f>
        <v>#REF!</v>
      </c>
      <c r="D1866" s="1597" t="e">
        <f>+SUMIF(#REF!,Final!A1866,#REF!)</f>
        <v>#REF!</v>
      </c>
      <c r="E1866" s="1643" t="e">
        <f>SUMIF(#REF!,Final!A1866,#REF!)</f>
        <v>#REF!</v>
      </c>
      <c r="F1866" s="1644" t="e">
        <f>SUMIF(#REF!,Final!A1866,#REF!)</f>
        <v>#REF!</v>
      </c>
      <c r="G1866" s="1597" t="e">
        <f t="shared" si="188"/>
        <v>#REF!</v>
      </c>
      <c r="H1866" s="1644" t="e">
        <f t="shared" si="189"/>
        <v>#REF!</v>
      </c>
      <c r="I1866" s="1597" t="e">
        <f t="shared" si="190"/>
        <v>#REF!</v>
      </c>
      <c r="J1866" s="1644" t="e">
        <f t="shared" si="191"/>
        <v>#REF!</v>
      </c>
      <c r="M1866" s="1545"/>
      <c r="N1866" s="1545"/>
    </row>
    <row r="1867" spans="1:93" s="1544" customFormat="1" ht="15.5">
      <c r="A1867" s="1598">
        <v>46.610999999999997</v>
      </c>
      <c r="B1867" s="1599" t="s">
        <v>1920</v>
      </c>
      <c r="C1867" s="1643" t="e">
        <f>+SUMIF(#REF!,Final!A1867,#REF!)</f>
        <v>#REF!</v>
      </c>
      <c r="D1867" s="1597" t="e">
        <f>+SUMIF(#REF!,Final!A1867,#REF!)</f>
        <v>#REF!</v>
      </c>
      <c r="E1867" s="1643" t="e">
        <f>SUMIF(#REF!,Final!A1867,#REF!)</f>
        <v>#REF!</v>
      </c>
      <c r="F1867" s="1644" t="e">
        <f>SUMIF(#REF!,Final!A1867,#REF!)</f>
        <v>#REF!</v>
      </c>
      <c r="G1867" s="1597" t="e">
        <f t="shared" si="188"/>
        <v>#REF!</v>
      </c>
      <c r="H1867" s="1644" t="e">
        <f t="shared" si="189"/>
        <v>#REF!</v>
      </c>
      <c r="I1867" s="1597" t="e">
        <f t="shared" si="190"/>
        <v>#REF!</v>
      </c>
      <c r="J1867" s="1644" t="e">
        <f t="shared" si="191"/>
        <v>#REF!</v>
      </c>
      <c r="K1867" s="1539"/>
      <c r="L1867" s="1539"/>
      <c r="M1867" s="1545"/>
      <c r="N1867" s="1545"/>
      <c r="O1867" s="1539"/>
      <c r="P1867" s="1539"/>
      <c r="Q1867" s="1539"/>
      <c r="R1867" s="1539"/>
      <c r="S1867" s="1539"/>
      <c r="T1867" s="1539"/>
      <c r="U1867" s="1539"/>
      <c r="V1867" s="1539"/>
      <c r="W1867" s="1539"/>
      <c r="X1867" s="1539"/>
      <c r="Y1867" s="1539"/>
      <c r="Z1867" s="1539"/>
      <c r="AA1867" s="1539"/>
      <c r="AB1867" s="1539"/>
      <c r="AC1867" s="1539"/>
      <c r="AD1867" s="1539"/>
      <c r="AE1867" s="1539"/>
      <c r="AF1867" s="1539"/>
      <c r="AG1867" s="1539"/>
      <c r="AH1867" s="1539"/>
      <c r="AI1867" s="1539"/>
      <c r="AJ1867" s="1539"/>
      <c r="AK1867" s="1539"/>
      <c r="AL1867" s="1539"/>
      <c r="AM1867" s="1539"/>
      <c r="AN1867" s="1539"/>
      <c r="AO1867" s="1539"/>
      <c r="AP1867" s="1539"/>
      <c r="AQ1867" s="1539"/>
      <c r="AR1867" s="1539"/>
      <c r="AS1867" s="1539"/>
      <c r="AT1867" s="1539"/>
      <c r="AU1867" s="1539"/>
      <c r="AV1867" s="1539"/>
      <c r="AW1867" s="1539"/>
      <c r="AX1867" s="1539"/>
      <c r="AY1867" s="1539"/>
      <c r="AZ1867" s="1539"/>
      <c r="BA1867" s="1539"/>
      <c r="BB1867" s="1539"/>
      <c r="BC1867" s="1539"/>
      <c r="BD1867" s="1539"/>
      <c r="BE1867" s="1539"/>
      <c r="BF1867" s="1539"/>
      <c r="BG1867" s="1539"/>
      <c r="BH1867" s="1539"/>
      <c r="BI1867" s="1539"/>
      <c r="BJ1867" s="1539"/>
      <c r="BK1867" s="1539"/>
      <c r="BL1867" s="1539"/>
      <c r="BM1867" s="1539"/>
      <c r="BN1867" s="1539"/>
      <c r="BO1867" s="1539"/>
      <c r="BP1867" s="1539"/>
      <c r="BQ1867" s="1539"/>
      <c r="BR1867" s="1539"/>
      <c r="BS1867" s="1539"/>
      <c r="BT1867" s="1539"/>
      <c r="BU1867" s="1539"/>
      <c r="BV1867" s="1539"/>
      <c r="BW1867" s="1539"/>
      <c r="BX1867" s="1539"/>
      <c r="BY1867" s="1539"/>
      <c r="BZ1867" s="1539"/>
      <c r="CA1867" s="1539"/>
      <c r="CB1867" s="1539"/>
      <c r="CC1867" s="1539"/>
      <c r="CD1867" s="1539"/>
      <c r="CE1867" s="1539"/>
      <c r="CF1867" s="1539"/>
      <c r="CG1867" s="1539"/>
      <c r="CH1867" s="1539"/>
      <c r="CI1867" s="1539"/>
      <c r="CJ1867" s="1539"/>
      <c r="CK1867" s="1539"/>
      <c r="CL1867" s="1539"/>
      <c r="CM1867" s="1539"/>
      <c r="CN1867" s="1539"/>
      <c r="CO1867" s="1539"/>
    </row>
    <row r="1868" spans="1:93" s="1544" customFormat="1" ht="15.5">
      <c r="A1868" s="1598">
        <v>46.612000000000002</v>
      </c>
      <c r="B1868" s="1599" t="s">
        <v>1921</v>
      </c>
      <c r="C1868" s="1643" t="e">
        <f>+SUMIF(#REF!,Final!A1868,#REF!)</f>
        <v>#REF!</v>
      </c>
      <c r="D1868" s="1597" t="e">
        <f>+SUMIF(#REF!,Final!A1868,#REF!)</f>
        <v>#REF!</v>
      </c>
      <c r="E1868" s="1643" t="e">
        <f>SUMIF(#REF!,Final!A1868,#REF!)</f>
        <v>#REF!</v>
      </c>
      <c r="F1868" s="1644" t="e">
        <f>SUMIF(#REF!,Final!A1868,#REF!)</f>
        <v>#REF!</v>
      </c>
      <c r="G1868" s="1597" t="e">
        <f t="shared" si="188"/>
        <v>#REF!</v>
      </c>
      <c r="H1868" s="1644" t="e">
        <f t="shared" si="189"/>
        <v>#REF!</v>
      </c>
      <c r="I1868" s="1597" t="e">
        <f t="shared" si="190"/>
        <v>#REF!</v>
      </c>
      <c r="J1868" s="1644" t="e">
        <f t="shared" si="191"/>
        <v>#REF!</v>
      </c>
      <c r="K1868" s="1539"/>
      <c r="L1868" s="1539"/>
      <c r="M1868" s="1545"/>
      <c r="N1868" s="1545"/>
      <c r="O1868" s="1539"/>
      <c r="P1868" s="1539"/>
      <c r="Q1868" s="1539"/>
      <c r="R1868" s="1539"/>
      <c r="S1868" s="1539"/>
      <c r="T1868" s="1539"/>
      <c r="U1868" s="1539"/>
      <c r="V1868" s="1539"/>
      <c r="W1868" s="1539"/>
      <c r="X1868" s="1539"/>
      <c r="Y1868" s="1539"/>
      <c r="Z1868" s="1539"/>
      <c r="AA1868" s="1539"/>
      <c r="AB1868" s="1539"/>
      <c r="AC1868" s="1539"/>
      <c r="AD1868" s="1539"/>
      <c r="AE1868" s="1539"/>
      <c r="AF1868" s="1539"/>
      <c r="AG1868" s="1539"/>
      <c r="AH1868" s="1539"/>
      <c r="AI1868" s="1539"/>
      <c r="AJ1868" s="1539"/>
      <c r="AK1868" s="1539"/>
      <c r="AL1868" s="1539"/>
      <c r="AM1868" s="1539"/>
      <c r="AN1868" s="1539"/>
      <c r="AO1868" s="1539"/>
      <c r="AP1868" s="1539"/>
      <c r="AQ1868" s="1539"/>
      <c r="AR1868" s="1539"/>
      <c r="AS1868" s="1539"/>
      <c r="AT1868" s="1539"/>
      <c r="AU1868" s="1539"/>
      <c r="AV1868" s="1539"/>
      <c r="AW1868" s="1539"/>
      <c r="AX1868" s="1539"/>
      <c r="AY1868" s="1539"/>
      <c r="AZ1868" s="1539"/>
      <c r="BA1868" s="1539"/>
      <c r="BB1868" s="1539"/>
      <c r="BC1868" s="1539"/>
      <c r="BD1868" s="1539"/>
      <c r="BE1868" s="1539"/>
      <c r="BF1868" s="1539"/>
      <c r="BG1868" s="1539"/>
      <c r="BH1868" s="1539"/>
      <c r="BI1868" s="1539"/>
      <c r="BJ1868" s="1539"/>
      <c r="BK1868" s="1539"/>
      <c r="BL1868" s="1539"/>
      <c r="BM1868" s="1539"/>
      <c r="BN1868" s="1539"/>
      <c r="BO1868" s="1539"/>
      <c r="BP1868" s="1539"/>
      <c r="BQ1868" s="1539"/>
      <c r="BR1868" s="1539"/>
      <c r="BS1868" s="1539"/>
      <c r="BT1868" s="1539"/>
      <c r="BU1868" s="1539"/>
      <c r="BV1868" s="1539"/>
      <c r="BW1868" s="1539"/>
      <c r="BX1868" s="1539"/>
      <c r="BY1868" s="1539"/>
      <c r="BZ1868" s="1539"/>
      <c r="CA1868" s="1539"/>
      <c r="CB1868" s="1539"/>
      <c r="CC1868" s="1539"/>
      <c r="CD1868" s="1539"/>
      <c r="CE1868" s="1539"/>
      <c r="CF1868" s="1539"/>
      <c r="CG1868" s="1539"/>
      <c r="CH1868" s="1539"/>
      <c r="CI1868" s="1539"/>
      <c r="CJ1868" s="1539"/>
      <c r="CK1868" s="1539"/>
      <c r="CL1868" s="1539"/>
      <c r="CM1868" s="1539"/>
      <c r="CN1868" s="1539"/>
      <c r="CO1868" s="1539"/>
    </row>
    <row r="1869" spans="1:93" s="1552" customFormat="1" ht="15.5">
      <c r="A1869" s="1598"/>
      <c r="B1869" s="1599" t="s">
        <v>1747</v>
      </c>
      <c r="C1869" s="1643" t="e">
        <f>+SUMIF(#REF!,Final!A1869,#REF!)</f>
        <v>#REF!</v>
      </c>
      <c r="D1869" s="1597" t="e">
        <f>+SUMIF(#REF!,Final!A1869,#REF!)</f>
        <v>#REF!</v>
      </c>
      <c r="E1869" s="1643" t="e">
        <f>SUMIF(#REF!,Final!A1869,#REF!)</f>
        <v>#REF!</v>
      </c>
      <c r="F1869" s="1644" t="e">
        <f>SUMIF(#REF!,Final!A1869,#REF!)</f>
        <v>#REF!</v>
      </c>
      <c r="G1869" s="1597" t="e">
        <f t="shared" si="188"/>
        <v>#REF!</v>
      </c>
      <c r="H1869" s="1644" t="e">
        <f t="shared" si="189"/>
        <v>#REF!</v>
      </c>
      <c r="I1869" s="1597" t="e">
        <f t="shared" si="190"/>
        <v>#REF!</v>
      </c>
      <c r="J1869" s="1644" t="e">
        <f t="shared" si="191"/>
        <v>#REF!</v>
      </c>
      <c r="K1869" s="1539"/>
      <c r="L1869" s="1539"/>
      <c r="M1869" s="1545"/>
      <c r="N1869" s="1545"/>
      <c r="O1869" s="1539"/>
      <c r="P1869" s="1539"/>
      <c r="Q1869" s="1539"/>
      <c r="R1869" s="1539"/>
      <c r="S1869" s="1539"/>
      <c r="T1869" s="1539"/>
      <c r="U1869" s="1539"/>
      <c r="V1869" s="1539"/>
      <c r="W1869" s="1539"/>
      <c r="X1869" s="1539"/>
      <c r="Y1869" s="1539"/>
      <c r="Z1869" s="1539"/>
      <c r="AA1869" s="1539"/>
      <c r="AB1869" s="1539"/>
      <c r="AC1869" s="1539"/>
      <c r="AD1869" s="1539"/>
      <c r="AE1869" s="1539"/>
      <c r="AF1869" s="1539"/>
      <c r="AG1869" s="1539"/>
      <c r="AH1869" s="1539"/>
      <c r="AI1869" s="1539"/>
      <c r="AJ1869" s="1539"/>
      <c r="AK1869" s="1539"/>
      <c r="AL1869" s="1539"/>
      <c r="AM1869" s="1539"/>
      <c r="AN1869" s="1539"/>
      <c r="AO1869" s="1539"/>
      <c r="AP1869" s="1539"/>
      <c r="AQ1869" s="1539"/>
      <c r="AR1869" s="1539"/>
      <c r="AS1869" s="1539"/>
      <c r="AT1869" s="1539"/>
      <c r="AU1869" s="1539"/>
      <c r="AV1869" s="1539"/>
      <c r="AW1869" s="1539"/>
      <c r="AX1869" s="1539"/>
      <c r="AY1869" s="1539"/>
      <c r="AZ1869" s="1539"/>
      <c r="BA1869" s="1539"/>
      <c r="BB1869" s="1539"/>
      <c r="BC1869" s="1539"/>
      <c r="BD1869" s="1539"/>
      <c r="BE1869" s="1539"/>
      <c r="BF1869" s="1539"/>
      <c r="BG1869" s="1539"/>
      <c r="BH1869" s="1539"/>
      <c r="BI1869" s="1539"/>
      <c r="BJ1869" s="1539"/>
      <c r="BK1869" s="1539"/>
      <c r="BL1869" s="1539"/>
      <c r="BM1869" s="1539"/>
      <c r="BN1869" s="1539"/>
      <c r="BO1869" s="1539"/>
      <c r="BP1869" s="1539"/>
      <c r="BQ1869" s="1539"/>
      <c r="BR1869" s="1539"/>
      <c r="BS1869" s="1539"/>
      <c r="BT1869" s="1539"/>
      <c r="BU1869" s="1539"/>
      <c r="BV1869" s="1539"/>
      <c r="BW1869" s="1539"/>
      <c r="BX1869" s="1539"/>
      <c r="BY1869" s="1539"/>
      <c r="BZ1869" s="1539"/>
      <c r="CA1869" s="1539"/>
      <c r="CB1869" s="1539"/>
      <c r="CC1869" s="1539"/>
      <c r="CD1869" s="1539"/>
      <c r="CE1869" s="1539"/>
      <c r="CF1869" s="1539"/>
      <c r="CG1869" s="1539"/>
      <c r="CH1869" s="1539"/>
      <c r="CI1869" s="1539"/>
      <c r="CJ1869" s="1539"/>
      <c r="CK1869" s="1539"/>
      <c r="CL1869" s="1539"/>
      <c r="CM1869" s="1539"/>
      <c r="CN1869" s="1539"/>
      <c r="CO1869" s="1539"/>
    </row>
    <row r="1870" spans="1:93" s="1552" customFormat="1" ht="15.5">
      <c r="A1870" s="1598" t="s">
        <v>3443</v>
      </c>
      <c r="B1870" s="1599" t="s">
        <v>1922</v>
      </c>
      <c r="C1870" s="1643" t="e">
        <f>+SUMIF(#REF!,Final!A1870,#REF!)</f>
        <v>#REF!</v>
      </c>
      <c r="D1870" s="1597" t="e">
        <f>+SUMIF(#REF!,Final!A1870,#REF!)</f>
        <v>#REF!</v>
      </c>
      <c r="E1870" s="1643" t="e">
        <f>SUMIF(#REF!,Final!A1870,#REF!)</f>
        <v>#REF!</v>
      </c>
      <c r="F1870" s="1644" t="e">
        <f>SUMIF(#REF!,Final!A1870,#REF!)</f>
        <v>#REF!</v>
      </c>
      <c r="G1870" s="1597" t="e">
        <f t="shared" si="188"/>
        <v>#REF!</v>
      </c>
      <c r="H1870" s="1644" t="e">
        <f t="shared" si="189"/>
        <v>#REF!</v>
      </c>
      <c r="I1870" s="1597" t="e">
        <f t="shared" si="190"/>
        <v>#REF!</v>
      </c>
      <c r="J1870" s="1644" t="e">
        <f t="shared" si="191"/>
        <v>#REF!</v>
      </c>
      <c r="K1870" s="1539"/>
      <c r="L1870" s="1539"/>
      <c r="M1870" s="1545"/>
      <c r="N1870" s="1545"/>
      <c r="O1870" s="1539"/>
      <c r="P1870" s="1539"/>
      <c r="Q1870" s="1539"/>
      <c r="R1870" s="1539"/>
      <c r="S1870" s="1539"/>
      <c r="T1870" s="1539"/>
      <c r="U1870" s="1539"/>
      <c r="V1870" s="1539"/>
      <c r="W1870" s="1539"/>
      <c r="X1870" s="1539"/>
      <c r="Y1870" s="1539"/>
      <c r="Z1870" s="1539"/>
      <c r="AA1870" s="1539"/>
      <c r="AB1870" s="1539"/>
      <c r="AC1870" s="1539"/>
      <c r="AD1870" s="1539"/>
      <c r="AE1870" s="1539"/>
      <c r="AF1870" s="1539"/>
      <c r="AG1870" s="1539"/>
      <c r="AH1870" s="1539"/>
      <c r="AI1870" s="1539"/>
      <c r="AJ1870" s="1539"/>
      <c r="AK1870" s="1539"/>
      <c r="AL1870" s="1539"/>
      <c r="AM1870" s="1539"/>
      <c r="AN1870" s="1539"/>
      <c r="AO1870" s="1539"/>
      <c r="AP1870" s="1539"/>
      <c r="AQ1870" s="1539"/>
      <c r="AR1870" s="1539"/>
      <c r="AS1870" s="1539"/>
      <c r="AT1870" s="1539"/>
      <c r="AU1870" s="1539"/>
      <c r="AV1870" s="1539"/>
      <c r="AW1870" s="1539"/>
      <c r="AX1870" s="1539"/>
      <c r="AY1870" s="1539"/>
      <c r="AZ1870" s="1539"/>
      <c r="BA1870" s="1539"/>
      <c r="BB1870" s="1539"/>
      <c r="BC1870" s="1539"/>
      <c r="BD1870" s="1539"/>
      <c r="BE1870" s="1539"/>
      <c r="BF1870" s="1539"/>
      <c r="BG1870" s="1539"/>
      <c r="BH1870" s="1539"/>
      <c r="BI1870" s="1539"/>
      <c r="BJ1870" s="1539"/>
      <c r="BK1870" s="1539"/>
      <c r="BL1870" s="1539"/>
      <c r="BM1870" s="1539"/>
      <c r="BN1870" s="1539"/>
      <c r="BO1870" s="1539"/>
      <c r="BP1870" s="1539"/>
      <c r="BQ1870" s="1539"/>
      <c r="BR1870" s="1539"/>
      <c r="BS1870" s="1539"/>
      <c r="BT1870" s="1539"/>
      <c r="BU1870" s="1539"/>
      <c r="BV1870" s="1539"/>
      <c r="BW1870" s="1539"/>
      <c r="BX1870" s="1539"/>
      <c r="BY1870" s="1539"/>
      <c r="BZ1870" s="1539"/>
      <c r="CA1870" s="1539"/>
      <c r="CB1870" s="1539"/>
      <c r="CC1870" s="1539"/>
      <c r="CD1870" s="1539"/>
      <c r="CE1870" s="1539"/>
      <c r="CF1870" s="1539"/>
      <c r="CG1870" s="1539"/>
      <c r="CH1870" s="1539"/>
      <c r="CI1870" s="1539"/>
      <c r="CJ1870" s="1539"/>
      <c r="CK1870" s="1539"/>
      <c r="CL1870" s="1539"/>
      <c r="CM1870" s="1539"/>
      <c r="CN1870" s="1539"/>
      <c r="CO1870" s="1539"/>
    </row>
    <row r="1871" spans="1:93" s="1542" customFormat="1" ht="15.5">
      <c r="A1871" s="1598" t="s">
        <v>543</v>
      </c>
      <c r="B1871" s="1599" t="s">
        <v>1784</v>
      </c>
      <c r="C1871" s="1643" t="e">
        <f>+SUMIF(#REF!,Final!A1871,#REF!)</f>
        <v>#REF!</v>
      </c>
      <c r="D1871" s="1597" t="e">
        <f>+SUMIF(#REF!,Final!A1871,#REF!)</f>
        <v>#REF!</v>
      </c>
      <c r="E1871" s="1643" t="e">
        <f>SUMIF(#REF!,Final!A1871,#REF!)</f>
        <v>#REF!</v>
      </c>
      <c r="F1871" s="1644" t="e">
        <f>SUMIF(#REF!,Final!A1871,#REF!)</f>
        <v>#REF!</v>
      </c>
      <c r="G1871" s="1597" t="e">
        <f t="shared" si="188"/>
        <v>#REF!</v>
      </c>
      <c r="H1871" s="1644" t="e">
        <f t="shared" si="189"/>
        <v>#REF!</v>
      </c>
      <c r="I1871" s="1597" t="e">
        <f t="shared" si="190"/>
        <v>#REF!</v>
      </c>
      <c r="J1871" s="1644" t="e">
        <f t="shared" si="191"/>
        <v>#REF!</v>
      </c>
      <c r="K1871" s="1539"/>
      <c r="L1871" s="1539"/>
      <c r="M1871" s="1545"/>
      <c r="N1871" s="1545"/>
      <c r="O1871" s="1539"/>
      <c r="P1871" s="1539"/>
      <c r="Q1871" s="1539"/>
      <c r="R1871" s="1539"/>
      <c r="S1871" s="1539"/>
      <c r="T1871" s="1539"/>
      <c r="U1871" s="1539"/>
      <c r="V1871" s="1539"/>
      <c r="W1871" s="1539"/>
      <c r="X1871" s="1539"/>
      <c r="Y1871" s="1539"/>
      <c r="Z1871" s="1539"/>
      <c r="AA1871" s="1539"/>
      <c r="AB1871" s="1539"/>
      <c r="AC1871" s="1539"/>
      <c r="AD1871" s="1539"/>
      <c r="AE1871" s="1539"/>
      <c r="AF1871" s="1539"/>
      <c r="AG1871" s="1539"/>
      <c r="AH1871" s="1539"/>
      <c r="AI1871" s="1539"/>
      <c r="AJ1871" s="1539"/>
      <c r="AK1871" s="1539"/>
      <c r="AL1871" s="1539"/>
      <c r="AM1871" s="1539"/>
      <c r="AN1871" s="1539"/>
      <c r="AO1871" s="1539"/>
      <c r="AP1871" s="1539"/>
      <c r="AQ1871" s="1539"/>
      <c r="AR1871" s="1539"/>
      <c r="AS1871" s="1539"/>
      <c r="AT1871" s="1539"/>
      <c r="AU1871" s="1539"/>
      <c r="AV1871" s="1539"/>
      <c r="AW1871" s="1539"/>
      <c r="AX1871" s="1539"/>
      <c r="AY1871" s="1539"/>
      <c r="AZ1871" s="1539"/>
      <c r="BA1871" s="1539"/>
      <c r="BB1871" s="1539"/>
      <c r="BC1871" s="1539"/>
      <c r="BD1871" s="1539"/>
      <c r="BE1871" s="1539"/>
      <c r="BF1871" s="1539"/>
      <c r="BG1871" s="1539"/>
      <c r="BH1871" s="1539"/>
      <c r="BI1871" s="1539"/>
      <c r="BJ1871" s="1539"/>
      <c r="BK1871" s="1539"/>
      <c r="BL1871" s="1539"/>
      <c r="BM1871" s="1539"/>
      <c r="BN1871" s="1539"/>
      <c r="BO1871" s="1539"/>
      <c r="BP1871" s="1539"/>
      <c r="BQ1871" s="1539"/>
      <c r="BR1871" s="1539"/>
      <c r="BS1871" s="1539"/>
      <c r="BT1871" s="1539"/>
      <c r="BU1871" s="1539"/>
      <c r="BV1871" s="1539"/>
      <c r="BW1871" s="1539"/>
      <c r="BX1871" s="1539"/>
      <c r="BY1871" s="1539"/>
      <c r="BZ1871" s="1539"/>
      <c r="CA1871" s="1539"/>
      <c r="CB1871" s="1539"/>
      <c r="CC1871" s="1539"/>
      <c r="CD1871" s="1539"/>
      <c r="CE1871" s="1539"/>
      <c r="CF1871" s="1539"/>
      <c r="CG1871" s="1539"/>
      <c r="CH1871" s="1539"/>
      <c r="CI1871" s="1539"/>
      <c r="CJ1871" s="1539"/>
      <c r="CK1871" s="1539"/>
      <c r="CL1871" s="1539"/>
      <c r="CM1871" s="1539"/>
      <c r="CN1871" s="1539"/>
      <c r="CO1871" s="1539"/>
    </row>
    <row r="1872" spans="1:93" s="1542" customFormat="1" ht="15.5">
      <c r="A1872" s="1598" t="s">
        <v>1762</v>
      </c>
      <c r="B1872" s="1599" t="s">
        <v>1785</v>
      </c>
      <c r="C1872" s="1643" t="e">
        <f>+SUMIF(#REF!,Final!A1872,#REF!)</f>
        <v>#REF!</v>
      </c>
      <c r="D1872" s="1597" t="e">
        <f>+SUMIF(#REF!,Final!A1872,#REF!)</f>
        <v>#REF!</v>
      </c>
      <c r="E1872" s="1643" t="e">
        <f>SUMIF(#REF!,Final!A1872,#REF!)</f>
        <v>#REF!</v>
      </c>
      <c r="F1872" s="1644" t="e">
        <f>SUMIF(#REF!,Final!A1872,#REF!)</f>
        <v>#REF!</v>
      </c>
      <c r="G1872" s="1597" t="e">
        <f t="shared" si="188"/>
        <v>#REF!</v>
      </c>
      <c r="H1872" s="1644" t="e">
        <f t="shared" si="189"/>
        <v>#REF!</v>
      </c>
      <c r="I1872" s="1597" t="e">
        <f t="shared" si="190"/>
        <v>#REF!</v>
      </c>
      <c r="J1872" s="1644" t="e">
        <f t="shared" si="191"/>
        <v>#REF!</v>
      </c>
      <c r="K1872" s="1539"/>
      <c r="L1872" s="1539"/>
      <c r="M1872" s="1545"/>
      <c r="N1872" s="1545"/>
      <c r="O1872" s="1539"/>
      <c r="P1872" s="1539"/>
      <c r="Q1872" s="1539"/>
      <c r="R1872" s="1539"/>
      <c r="S1872" s="1539"/>
      <c r="T1872" s="1539"/>
      <c r="U1872" s="1539"/>
      <c r="V1872" s="1539"/>
      <c r="W1872" s="1539"/>
      <c r="X1872" s="1539"/>
      <c r="Y1872" s="1539"/>
      <c r="Z1872" s="1539"/>
      <c r="AA1872" s="1539"/>
      <c r="AB1872" s="1539"/>
      <c r="AC1872" s="1539"/>
      <c r="AD1872" s="1539"/>
      <c r="AE1872" s="1539"/>
      <c r="AF1872" s="1539"/>
      <c r="AG1872" s="1539"/>
      <c r="AH1872" s="1539"/>
      <c r="AI1872" s="1539"/>
      <c r="AJ1872" s="1539"/>
      <c r="AK1872" s="1539"/>
      <c r="AL1872" s="1539"/>
      <c r="AM1872" s="1539"/>
      <c r="AN1872" s="1539"/>
      <c r="AO1872" s="1539"/>
      <c r="AP1872" s="1539"/>
      <c r="AQ1872" s="1539"/>
      <c r="AR1872" s="1539"/>
      <c r="AS1872" s="1539"/>
      <c r="AT1872" s="1539"/>
      <c r="AU1872" s="1539"/>
      <c r="AV1872" s="1539"/>
      <c r="AW1872" s="1539"/>
      <c r="AX1872" s="1539"/>
      <c r="AY1872" s="1539"/>
      <c r="AZ1872" s="1539"/>
      <c r="BA1872" s="1539"/>
      <c r="BB1872" s="1539"/>
      <c r="BC1872" s="1539"/>
      <c r="BD1872" s="1539"/>
      <c r="BE1872" s="1539"/>
      <c r="BF1872" s="1539"/>
      <c r="BG1872" s="1539"/>
      <c r="BH1872" s="1539"/>
      <c r="BI1872" s="1539"/>
      <c r="BJ1872" s="1539"/>
      <c r="BK1872" s="1539"/>
      <c r="BL1872" s="1539"/>
      <c r="BM1872" s="1539"/>
      <c r="BN1872" s="1539"/>
      <c r="BO1872" s="1539"/>
      <c r="BP1872" s="1539"/>
      <c r="BQ1872" s="1539"/>
      <c r="BR1872" s="1539"/>
      <c r="BS1872" s="1539"/>
      <c r="BT1872" s="1539"/>
      <c r="BU1872" s="1539"/>
      <c r="BV1872" s="1539"/>
      <c r="BW1872" s="1539"/>
      <c r="BX1872" s="1539"/>
      <c r="BY1872" s="1539"/>
      <c r="BZ1872" s="1539"/>
      <c r="CA1872" s="1539"/>
      <c r="CB1872" s="1539"/>
      <c r="CC1872" s="1539"/>
      <c r="CD1872" s="1539"/>
      <c r="CE1872" s="1539"/>
      <c r="CF1872" s="1539"/>
      <c r="CG1872" s="1539"/>
      <c r="CH1872" s="1539"/>
      <c r="CI1872" s="1539"/>
      <c r="CJ1872" s="1539"/>
      <c r="CK1872" s="1539"/>
      <c r="CL1872" s="1539"/>
      <c r="CM1872" s="1539"/>
      <c r="CN1872" s="1539"/>
      <c r="CO1872" s="1539"/>
    </row>
    <row r="1873" spans="1:93" ht="15.5">
      <c r="A1873" s="1598">
        <v>42.100999999999999</v>
      </c>
      <c r="B1873" s="1599" t="s">
        <v>1786</v>
      </c>
      <c r="C1873" s="1643" t="e">
        <f>+SUMIF(#REF!,Final!A1873,#REF!)</f>
        <v>#REF!</v>
      </c>
      <c r="D1873" s="1597" t="e">
        <f>+SUMIF(#REF!,Final!A1873,#REF!)</f>
        <v>#REF!</v>
      </c>
      <c r="E1873" s="1643" t="e">
        <f>SUMIF(#REF!,Final!A1873,#REF!)</f>
        <v>#REF!</v>
      </c>
      <c r="F1873" s="1644" t="e">
        <f>SUMIF(#REF!,Final!A1873,#REF!)</f>
        <v>#REF!</v>
      </c>
      <c r="G1873" s="1597" t="e">
        <f t="shared" si="188"/>
        <v>#REF!</v>
      </c>
      <c r="H1873" s="1644" t="e">
        <f t="shared" si="189"/>
        <v>#REF!</v>
      </c>
      <c r="I1873" s="1597" t="e">
        <f t="shared" si="190"/>
        <v>#REF!</v>
      </c>
      <c r="J1873" s="1644" t="e">
        <f t="shared" si="191"/>
        <v>#REF!</v>
      </c>
      <c r="M1873" s="1545"/>
      <c r="N1873" s="1545"/>
    </row>
    <row r="1874" spans="1:93" ht="15.5">
      <c r="A1874" s="1598">
        <v>42.101999999999997</v>
      </c>
      <c r="B1874" s="1599" t="s">
        <v>3444</v>
      </c>
      <c r="C1874" s="1643" t="e">
        <f>+SUMIF(#REF!,Final!A1874,#REF!)</f>
        <v>#REF!</v>
      </c>
      <c r="D1874" s="1597" t="e">
        <f>+SUMIF(#REF!,Final!A1874,#REF!)</f>
        <v>#REF!</v>
      </c>
      <c r="E1874" s="1643" t="e">
        <f>SUMIF(#REF!,Final!A1874,#REF!)</f>
        <v>#REF!</v>
      </c>
      <c r="F1874" s="1644" t="e">
        <f>SUMIF(#REF!,Final!A1874,#REF!)</f>
        <v>#REF!</v>
      </c>
      <c r="G1874" s="1597" t="e">
        <f t="shared" si="188"/>
        <v>#REF!</v>
      </c>
      <c r="H1874" s="1644" t="e">
        <f t="shared" si="189"/>
        <v>#REF!</v>
      </c>
      <c r="I1874" s="1597" t="e">
        <f t="shared" si="190"/>
        <v>#REF!</v>
      </c>
      <c r="J1874" s="1644" t="e">
        <f t="shared" si="191"/>
        <v>#REF!</v>
      </c>
      <c r="M1874" s="1545"/>
      <c r="N1874" s="1545"/>
    </row>
    <row r="1875" spans="1:93" ht="15.5">
      <c r="A1875" s="1678">
        <v>42.103000000000002</v>
      </c>
      <c r="B1875" s="1697" t="s">
        <v>4983</v>
      </c>
      <c r="C1875" s="1643" t="e">
        <f>+SUMIF(#REF!,Final!A1875,#REF!)</f>
        <v>#REF!</v>
      </c>
      <c r="D1875" s="1597" t="e">
        <f>+SUMIF(#REF!,Final!A1875,#REF!)</f>
        <v>#REF!</v>
      </c>
      <c r="E1875" s="1643" t="e">
        <f>SUMIF(#REF!,Final!A1875,#REF!)</f>
        <v>#REF!</v>
      </c>
      <c r="F1875" s="1644" t="e">
        <f>SUMIF(#REF!,Final!A1875,#REF!)</f>
        <v>#REF!</v>
      </c>
      <c r="G1875" s="1597" t="e">
        <f t="shared" si="188"/>
        <v>#REF!</v>
      </c>
      <c r="H1875" s="1644" t="e">
        <f t="shared" si="189"/>
        <v>#REF!</v>
      </c>
      <c r="I1875" s="1597" t="e">
        <f t="shared" si="190"/>
        <v>#REF!</v>
      </c>
      <c r="J1875" s="1644" t="e">
        <f t="shared" si="191"/>
        <v>#REF!</v>
      </c>
      <c r="M1875" s="1545"/>
      <c r="N1875" s="1545"/>
    </row>
    <row r="1876" spans="1:93" ht="15.5">
      <c r="A1876" s="1598">
        <v>42.110999999999997</v>
      </c>
      <c r="B1876" s="1599" t="s">
        <v>1787</v>
      </c>
      <c r="C1876" s="1643" t="e">
        <f>+SUMIF(#REF!,Final!A1876,#REF!)</f>
        <v>#REF!</v>
      </c>
      <c r="D1876" s="1597" t="e">
        <f>+SUMIF(#REF!,Final!A1876,#REF!)</f>
        <v>#REF!</v>
      </c>
      <c r="E1876" s="1643" t="e">
        <f>SUMIF(#REF!,Final!A1876,#REF!)</f>
        <v>#REF!</v>
      </c>
      <c r="F1876" s="1644" t="e">
        <f>SUMIF(#REF!,Final!A1876,#REF!)</f>
        <v>#REF!</v>
      </c>
      <c r="G1876" s="1597" t="e">
        <f t="shared" si="188"/>
        <v>#REF!</v>
      </c>
      <c r="H1876" s="1644" t="e">
        <f t="shared" si="189"/>
        <v>#REF!</v>
      </c>
      <c r="I1876" s="1597" t="e">
        <f t="shared" si="190"/>
        <v>#REF!</v>
      </c>
      <c r="J1876" s="1644" t="e">
        <f t="shared" si="191"/>
        <v>#REF!</v>
      </c>
      <c r="M1876" s="1545"/>
      <c r="N1876" s="1545"/>
    </row>
    <row r="1877" spans="1:93" ht="15.5">
      <c r="A1877" s="1598">
        <v>42.113</v>
      </c>
      <c r="B1877" s="1599" t="s">
        <v>1788</v>
      </c>
      <c r="C1877" s="1643" t="e">
        <f>+SUMIF(#REF!,Final!A1877,#REF!)</f>
        <v>#REF!</v>
      </c>
      <c r="D1877" s="1597" t="e">
        <f>+SUMIF(#REF!,Final!A1877,#REF!)</f>
        <v>#REF!</v>
      </c>
      <c r="E1877" s="1643" t="e">
        <f>SUMIF(#REF!,Final!A1877,#REF!)</f>
        <v>#REF!</v>
      </c>
      <c r="F1877" s="1644" t="e">
        <f>SUMIF(#REF!,Final!A1877,#REF!)</f>
        <v>#REF!</v>
      </c>
      <c r="G1877" s="1597" t="e">
        <f t="shared" si="188"/>
        <v>#REF!</v>
      </c>
      <c r="H1877" s="1644" t="e">
        <f t="shared" si="189"/>
        <v>#REF!</v>
      </c>
      <c r="I1877" s="1597" t="e">
        <f t="shared" si="190"/>
        <v>#REF!</v>
      </c>
      <c r="J1877" s="1644" t="e">
        <f t="shared" si="191"/>
        <v>#REF!</v>
      </c>
      <c r="M1877" s="1545"/>
      <c r="N1877" s="1545"/>
    </row>
    <row r="1878" spans="1:93" s="1542" customFormat="1" ht="15.5">
      <c r="A1878" s="1598">
        <v>42.113999999999997</v>
      </c>
      <c r="B1878" s="1599" t="s">
        <v>1789</v>
      </c>
      <c r="C1878" s="1643" t="e">
        <f>+SUMIF(#REF!,Final!A1878,#REF!)</f>
        <v>#REF!</v>
      </c>
      <c r="D1878" s="1597" t="e">
        <f>+SUMIF(#REF!,Final!A1878,#REF!)</f>
        <v>#REF!</v>
      </c>
      <c r="E1878" s="1643" t="e">
        <f>SUMIF(#REF!,Final!A1878,#REF!)</f>
        <v>#REF!</v>
      </c>
      <c r="F1878" s="1644" t="e">
        <f>SUMIF(#REF!,Final!A1878,#REF!)</f>
        <v>#REF!</v>
      </c>
      <c r="G1878" s="1597" t="e">
        <f t="shared" si="188"/>
        <v>#REF!</v>
      </c>
      <c r="H1878" s="1644" t="e">
        <f t="shared" si="189"/>
        <v>#REF!</v>
      </c>
      <c r="I1878" s="1597" t="e">
        <f t="shared" si="190"/>
        <v>#REF!</v>
      </c>
      <c r="J1878" s="1644" t="e">
        <f t="shared" si="191"/>
        <v>#REF!</v>
      </c>
      <c r="K1878" s="1539"/>
      <c r="L1878" s="1539"/>
      <c r="M1878" s="1545"/>
      <c r="N1878" s="1545"/>
      <c r="O1878" s="1539"/>
      <c r="P1878" s="1539"/>
      <c r="Q1878" s="1539"/>
      <c r="R1878" s="1539"/>
      <c r="S1878" s="1539"/>
      <c r="T1878" s="1539"/>
      <c r="U1878" s="1539"/>
      <c r="V1878" s="1539"/>
      <c r="W1878" s="1539"/>
      <c r="X1878" s="1539"/>
      <c r="Y1878" s="1539"/>
      <c r="Z1878" s="1539"/>
      <c r="AA1878" s="1539"/>
      <c r="AB1878" s="1539"/>
      <c r="AC1878" s="1539"/>
      <c r="AD1878" s="1539"/>
      <c r="AE1878" s="1539"/>
      <c r="AF1878" s="1539"/>
      <c r="AG1878" s="1539"/>
      <c r="AH1878" s="1539"/>
      <c r="AI1878" s="1539"/>
      <c r="AJ1878" s="1539"/>
      <c r="AK1878" s="1539"/>
      <c r="AL1878" s="1539"/>
      <c r="AM1878" s="1539"/>
      <c r="AN1878" s="1539"/>
      <c r="AO1878" s="1539"/>
      <c r="AP1878" s="1539"/>
      <c r="AQ1878" s="1539"/>
      <c r="AR1878" s="1539"/>
      <c r="AS1878" s="1539"/>
      <c r="AT1878" s="1539"/>
      <c r="AU1878" s="1539"/>
      <c r="AV1878" s="1539"/>
      <c r="AW1878" s="1539"/>
      <c r="AX1878" s="1539"/>
      <c r="AY1878" s="1539"/>
      <c r="AZ1878" s="1539"/>
      <c r="BA1878" s="1539"/>
      <c r="BB1878" s="1539"/>
      <c r="BC1878" s="1539"/>
      <c r="BD1878" s="1539"/>
      <c r="BE1878" s="1539"/>
      <c r="BF1878" s="1539"/>
      <c r="BG1878" s="1539"/>
      <c r="BH1878" s="1539"/>
      <c r="BI1878" s="1539"/>
      <c r="BJ1878" s="1539"/>
      <c r="BK1878" s="1539"/>
      <c r="BL1878" s="1539"/>
      <c r="BM1878" s="1539"/>
      <c r="BN1878" s="1539"/>
      <c r="BO1878" s="1539"/>
      <c r="BP1878" s="1539"/>
      <c r="BQ1878" s="1539"/>
      <c r="BR1878" s="1539"/>
      <c r="BS1878" s="1539"/>
      <c r="BT1878" s="1539"/>
      <c r="BU1878" s="1539"/>
      <c r="BV1878" s="1539"/>
      <c r="BW1878" s="1539"/>
      <c r="BX1878" s="1539"/>
      <c r="BY1878" s="1539"/>
      <c r="BZ1878" s="1539"/>
      <c r="CA1878" s="1539"/>
      <c r="CB1878" s="1539"/>
      <c r="CC1878" s="1539"/>
      <c r="CD1878" s="1539"/>
      <c r="CE1878" s="1539"/>
      <c r="CF1878" s="1539"/>
      <c r="CG1878" s="1539"/>
      <c r="CH1878" s="1539"/>
      <c r="CI1878" s="1539"/>
      <c r="CJ1878" s="1539"/>
      <c r="CK1878" s="1539"/>
      <c r="CL1878" s="1539"/>
      <c r="CM1878" s="1539"/>
      <c r="CN1878" s="1539"/>
      <c r="CO1878" s="1539"/>
    </row>
    <row r="1879" spans="1:93" ht="15.5">
      <c r="A1879" s="1598">
        <v>42.115000000000002</v>
      </c>
      <c r="B1879" s="1599" t="s">
        <v>1790</v>
      </c>
      <c r="C1879" s="1643" t="e">
        <f>+SUMIF(#REF!,Final!A1879,#REF!)</f>
        <v>#REF!</v>
      </c>
      <c r="D1879" s="1597" t="e">
        <f>+SUMIF(#REF!,Final!A1879,#REF!)</f>
        <v>#REF!</v>
      </c>
      <c r="E1879" s="1643" t="e">
        <f>SUMIF(#REF!,Final!A1879,#REF!)</f>
        <v>#REF!</v>
      </c>
      <c r="F1879" s="1644" t="e">
        <f>SUMIF(#REF!,Final!A1879,#REF!)</f>
        <v>#REF!</v>
      </c>
      <c r="G1879" s="1597" t="e">
        <f t="shared" si="188"/>
        <v>#REF!</v>
      </c>
      <c r="H1879" s="1644" t="e">
        <f t="shared" si="189"/>
        <v>#REF!</v>
      </c>
      <c r="I1879" s="1597" t="e">
        <f t="shared" si="190"/>
        <v>#REF!</v>
      </c>
      <c r="J1879" s="1644" t="e">
        <f t="shared" si="191"/>
        <v>#REF!</v>
      </c>
      <c r="M1879" s="1545"/>
      <c r="N1879" s="1545"/>
    </row>
    <row r="1880" spans="1:93" ht="15.5">
      <c r="A1880" s="1598">
        <v>42.116</v>
      </c>
      <c r="B1880" s="1599" t="s">
        <v>1791</v>
      </c>
      <c r="C1880" s="1643" t="e">
        <f>+SUMIF(#REF!,Final!A1880,#REF!)</f>
        <v>#REF!</v>
      </c>
      <c r="D1880" s="1597" t="e">
        <f>+SUMIF(#REF!,Final!A1880,#REF!)</f>
        <v>#REF!</v>
      </c>
      <c r="E1880" s="1643" t="e">
        <f>SUMIF(#REF!,Final!A1880,#REF!)</f>
        <v>#REF!</v>
      </c>
      <c r="F1880" s="1644" t="e">
        <f>SUMIF(#REF!,Final!A1880,#REF!)</f>
        <v>#REF!</v>
      </c>
      <c r="G1880" s="1597" t="e">
        <f t="shared" si="188"/>
        <v>#REF!</v>
      </c>
      <c r="H1880" s="1644" t="e">
        <f t="shared" si="189"/>
        <v>#REF!</v>
      </c>
      <c r="I1880" s="1597" t="e">
        <f t="shared" si="190"/>
        <v>#REF!</v>
      </c>
      <c r="J1880" s="1644" t="e">
        <f t="shared" si="191"/>
        <v>#REF!</v>
      </c>
      <c r="M1880" s="1545"/>
      <c r="N1880" s="1545"/>
    </row>
    <row r="1881" spans="1:93" ht="15.5">
      <c r="A1881" s="1598">
        <v>42.116999999999997</v>
      </c>
      <c r="B1881" s="1599" t="s">
        <v>1792</v>
      </c>
      <c r="C1881" s="1643" t="e">
        <f>+SUMIF(#REF!,Final!A1881,#REF!)</f>
        <v>#REF!</v>
      </c>
      <c r="D1881" s="1597" t="e">
        <f>+SUMIF(#REF!,Final!A1881,#REF!)</f>
        <v>#REF!</v>
      </c>
      <c r="E1881" s="1643" t="e">
        <f>SUMIF(#REF!,Final!A1881,#REF!)</f>
        <v>#REF!</v>
      </c>
      <c r="F1881" s="1644" t="e">
        <f>SUMIF(#REF!,Final!A1881,#REF!)</f>
        <v>#REF!</v>
      </c>
      <c r="G1881" s="1597" t="e">
        <f t="shared" si="188"/>
        <v>#REF!</v>
      </c>
      <c r="H1881" s="1644" t="e">
        <f t="shared" si="189"/>
        <v>#REF!</v>
      </c>
      <c r="I1881" s="1597" t="e">
        <f t="shared" si="190"/>
        <v>#REF!</v>
      </c>
      <c r="J1881" s="1644" t="e">
        <f t="shared" si="191"/>
        <v>#REF!</v>
      </c>
      <c r="M1881" s="1545"/>
      <c r="N1881" s="1545"/>
    </row>
    <row r="1882" spans="1:93" ht="15.5">
      <c r="A1882" s="1598">
        <v>42.118000000000002</v>
      </c>
      <c r="B1882" s="1599" t="s">
        <v>1793</v>
      </c>
      <c r="C1882" s="1643" t="e">
        <f>+SUMIF(#REF!,Final!A1882,#REF!)</f>
        <v>#REF!</v>
      </c>
      <c r="D1882" s="1597" t="e">
        <f>+SUMIF(#REF!,Final!A1882,#REF!)</f>
        <v>#REF!</v>
      </c>
      <c r="E1882" s="1643" t="e">
        <f>SUMIF(#REF!,Final!A1882,#REF!)</f>
        <v>#REF!</v>
      </c>
      <c r="F1882" s="1644" t="e">
        <f>SUMIF(#REF!,Final!A1882,#REF!)</f>
        <v>#REF!</v>
      </c>
      <c r="G1882" s="1597" t="e">
        <f t="shared" si="188"/>
        <v>#REF!</v>
      </c>
      <c r="H1882" s="1644" t="e">
        <f t="shared" si="189"/>
        <v>#REF!</v>
      </c>
      <c r="I1882" s="1597" t="e">
        <f t="shared" si="190"/>
        <v>#REF!</v>
      </c>
      <c r="J1882" s="1644" t="e">
        <f t="shared" si="191"/>
        <v>#REF!</v>
      </c>
      <c r="M1882" s="1545"/>
      <c r="N1882" s="1545"/>
    </row>
    <row r="1883" spans="1:93" s="1542" customFormat="1" ht="15.5">
      <c r="A1883" s="1598">
        <v>42.119</v>
      </c>
      <c r="B1883" s="1599" t="s">
        <v>1794</v>
      </c>
      <c r="C1883" s="1643" t="e">
        <f>+SUMIF(#REF!,Final!A1883,#REF!)</f>
        <v>#REF!</v>
      </c>
      <c r="D1883" s="1597" t="e">
        <f>+SUMIF(#REF!,Final!A1883,#REF!)</f>
        <v>#REF!</v>
      </c>
      <c r="E1883" s="1643" t="e">
        <f>SUMIF(#REF!,Final!A1883,#REF!)</f>
        <v>#REF!</v>
      </c>
      <c r="F1883" s="1644" t="e">
        <f>SUMIF(#REF!,Final!A1883,#REF!)</f>
        <v>#REF!</v>
      </c>
      <c r="G1883" s="1597" t="e">
        <f t="shared" si="188"/>
        <v>#REF!</v>
      </c>
      <c r="H1883" s="1644" t="e">
        <f t="shared" si="189"/>
        <v>#REF!</v>
      </c>
      <c r="I1883" s="1597" t="e">
        <f t="shared" si="190"/>
        <v>#REF!</v>
      </c>
      <c r="J1883" s="1644" t="e">
        <f t="shared" si="191"/>
        <v>#REF!</v>
      </c>
      <c r="K1883" s="1539"/>
      <c r="L1883" s="1539"/>
      <c r="M1883" s="1545"/>
      <c r="N1883" s="1545"/>
      <c r="O1883" s="1539"/>
      <c r="P1883" s="1539"/>
      <c r="Q1883" s="1539"/>
      <c r="R1883" s="1539"/>
      <c r="S1883" s="1539"/>
      <c r="T1883" s="1539"/>
      <c r="U1883" s="1539"/>
      <c r="V1883" s="1539"/>
      <c r="W1883" s="1539"/>
      <c r="X1883" s="1539"/>
      <c r="Y1883" s="1539"/>
      <c r="Z1883" s="1539"/>
      <c r="AA1883" s="1539"/>
      <c r="AB1883" s="1539"/>
      <c r="AC1883" s="1539"/>
      <c r="AD1883" s="1539"/>
      <c r="AE1883" s="1539"/>
      <c r="AF1883" s="1539"/>
      <c r="AG1883" s="1539"/>
      <c r="AH1883" s="1539"/>
      <c r="AI1883" s="1539"/>
      <c r="AJ1883" s="1539"/>
      <c r="AK1883" s="1539"/>
      <c r="AL1883" s="1539"/>
      <c r="AM1883" s="1539"/>
      <c r="AN1883" s="1539"/>
      <c r="AO1883" s="1539"/>
      <c r="AP1883" s="1539"/>
      <c r="AQ1883" s="1539"/>
      <c r="AR1883" s="1539"/>
      <c r="AS1883" s="1539"/>
      <c r="AT1883" s="1539"/>
      <c r="AU1883" s="1539"/>
      <c r="AV1883" s="1539"/>
      <c r="AW1883" s="1539"/>
      <c r="AX1883" s="1539"/>
      <c r="AY1883" s="1539"/>
      <c r="AZ1883" s="1539"/>
      <c r="BA1883" s="1539"/>
      <c r="BB1883" s="1539"/>
      <c r="BC1883" s="1539"/>
      <c r="BD1883" s="1539"/>
      <c r="BE1883" s="1539"/>
      <c r="BF1883" s="1539"/>
      <c r="BG1883" s="1539"/>
      <c r="BH1883" s="1539"/>
      <c r="BI1883" s="1539"/>
      <c r="BJ1883" s="1539"/>
      <c r="BK1883" s="1539"/>
      <c r="BL1883" s="1539"/>
      <c r="BM1883" s="1539"/>
      <c r="BN1883" s="1539"/>
      <c r="BO1883" s="1539"/>
      <c r="BP1883" s="1539"/>
      <c r="BQ1883" s="1539"/>
      <c r="BR1883" s="1539"/>
      <c r="BS1883" s="1539"/>
      <c r="BT1883" s="1539"/>
      <c r="BU1883" s="1539"/>
      <c r="BV1883" s="1539"/>
      <c r="BW1883" s="1539"/>
      <c r="BX1883" s="1539"/>
      <c r="BY1883" s="1539"/>
      <c r="BZ1883" s="1539"/>
      <c r="CA1883" s="1539"/>
      <c r="CB1883" s="1539"/>
      <c r="CC1883" s="1539"/>
      <c r="CD1883" s="1539"/>
      <c r="CE1883" s="1539"/>
      <c r="CF1883" s="1539"/>
      <c r="CG1883" s="1539"/>
      <c r="CH1883" s="1539"/>
      <c r="CI1883" s="1539"/>
      <c r="CJ1883" s="1539"/>
      <c r="CK1883" s="1539"/>
      <c r="CL1883" s="1539"/>
      <c r="CM1883" s="1539"/>
      <c r="CN1883" s="1539"/>
      <c r="CO1883" s="1539"/>
    </row>
    <row r="1884" spans="1:93" ht="15.5">
      <c r="A1884" s="1598">
        <v>42.12</v>
      </c>
      <c r="B1884" s="1599" t="s">
        <v>1795</v>
      </c>
      <c r="C1884" s="1643" t="e">
        <f>+SUMIF(#REF!,Final!A1884,#REF!)</f>
        <v>#REF!</v>
      </c>
      <c r="D1884" s="1597" t="e">
        <f>+SUMIF(#REF!,Final!A1884,#REF!)</f>
        <v>#REF!</v>
      </c>
      <c r="E1884" s="1643" t="e">
        <f>SUMIF(#REF!,Final!A1884,#REF!)</f>
        <v>#REF!</v>
      </c>
      <c r="F1884" s="1644" t="e">
        <f>SUMIF(#REF!,Final!A1884,#REF!)</f>
        <v>#REF!</v>
      </c>
      <c r="G1884" s="1597" t="e">
        <f t="shared" si="188"/>
        <v>#REF!</v>
      </c>
      <c r="H1884" s="1644" t="e">
        <f t="shared" si="189"/>
        <v>#REF!</v>
      </c>
      <c r="I1884" s="1597" t="e">
        <f t="shared" si="190"/>
        <v>#REF!</v>
      </c>
      <c r="J1884" s="1644" t="e">
        <f t="shared" si="191"/>
        <v>#REF!</v>
      </c>
      <c r="M1884" s="1545"/>
      <c r="N1884" s="1545"/>
    </row>
    <row r="1885" spans="1:93" ht="15.5">
      <c r="A1885" s="1598">
        <v>42.122999999999998</v>
      </c>
      <c r="B1885" s="1599" t="s">
        <v>1796</v>
      </c>
      <c r="C1885" s="1643" t="e">
        <f>+SUMIF(#REF!,Final!A1885,#REF!)</f>
        <v>#REF!</v>
      </c>
      <c r="D1885" s="1597" t="e">
        <f>+SUMIF(#REF!,Final!A1885,#REF!)</f>
        <v>#REF!</v>
      </c>
      <c r="E1885" s="1643" t="e">
        <f>SUMIF(#REF!,Final!A1885,#REF!)</f>
        <v>#REF!</v>
      </c>
      <c r="F1885" s="1644" t="e">
        <f>SUMIF(#REF!,Final!A1885,#REF!)</f>
        <v>#REF!</v>
      </c>
      <c r="G1885" s="1597" t="e">
        <f t="shared" si="188"/>
        <v>#REF!</v>
      </c>
      <c r="H1885" s="1644" t="e">
        <f t="shared" si="189"/>
        <v>#REF!</v>
      </c>
      <c r="I1885" s="1597" t="e">
        <f t="shared" si="190"/>
        <v>#REF!</v>
      </c>
      <c r="J1885" s="1644" t="e">
        <f t="shared" si="191"/>
        <v>#REF!</v>
      </c>
      <c r="M1885" s="1545"/>
      <c r="N1885" s="1545"/>
    </row>
    <row r="1886" spans="1:93" ht="15.5">
      <c r="A1886" s="1598">
        <v>42.128999999999998</v>
      </c>
      <c r="B1886" s="1599" t="s">
        <v>1797</v>
      </c>
      <c r="C1886" s="1643" t="e">
        <f>+SUMIF(#REF!,Final!A1886,#REF!)</f>
        <v>#REF!</v>
      </c>
      <c r="D1886" s="1597" t="e">
        <f>+SUMIF(#REF!,Final!A1886,#REF!)</f>
        <v>#REF!</v>
      </c>
      <c r="E1886" s="1643" t="e">
        <f>SUMIF(#REF!,Final!A1886,#REF!)</f>
        <v>#REF!</v>
      </c>
      <c r="F1886" s="1644" t="e">
        <f>SUMIF(#REF!,Final!A1886,#REF!)</f>
        <v>#REF!</v>
      </c>
      <c r="G1886" s="1597" t="e">
        <f t="shared" si="188"/>
        <v>#REF!</v>
      </c>
      <c r="H1886" s="1644" t="e">
        <f t="shared" si="189"/>
        <v>#REF!</v>
      </c>
      <c r="I1886" s="1597" t="e">
        <f t="shared" si="190"/>
        <v>#REF!</v>
      </c>
      <c r="J1886" s="1644" t="e">
        <f t="shared" si="191"/>
        <v>#REF!</v>
      </c>
      <c r="M1886" s="1545"/>
      <c r="N1886" s="1545"/>
    </row>
    <row r="1887" spans="1:93" s="1552" customFormat="1" ht="15.5">
      <c r="A1887" s="1598"/>
      <c r="B1887" s="1599" t="s">
        <v>1747</v>
      </c>
      <c r="C1887" s="1643" t="e">
        <f>+SUMIF(#REF!,Final!A1887,#REF!)</f>
        <v>#REF!</v>
      </c>
      <c r="D1887" s="1597" t="e">
        <f>+SUMIF(#REF!,Final!A1887,#REF!)</f>
        <v>#REF!</v>
      </c>
      <c r="E1887" s="1643" t="e">
        <f>SUMIF(#REF!,Final!A1887,#REF!)</f>
        <v>#REF!</v>
      </c>
      <c r="F1887" s="1644" t="e">
        <f>SUMIF(#REF!,Final!A1887,#REF!)</f>
        <v>#REF!</v>
      </c>
      <c r="G1887" s="1597" t="e">
        <f t="shared" si="188"/>
        <v>#REF!</v>
      </c>
      <c r="H1887" s="1644" t="e">
        <f t="shared" si="189"/>
        <v>#REF!</v>
      </c>
      <c r="I1887" s="1597" t="e">
        <f t="shared" si="190"/>
        <v>#REF!</v>
      </c>
      <c r="J1887" s="1644" t="e">
        <f t="shared" si="191"/>
        <v>#REF!</v>
      </c>
      <c r="K1887" s="1539"/>
      <c r="L1887" s="1539"/>
      <c r="M1887" s="1545"/>
      <c r="N1887" s="1545"/>
      <c r="O1887" s="1539"/>
      <c r="P1887" s="1539"/>
      <c r="Q1887" s="1539"/>
      <c r="R1887" s="1539"/>
      <c r="S1887" s="1539"/>
      <c r="T1887" s="1539"/>
      <c r="U1887" s="1539"/>
      <c r="V1887" s="1539"/>
      <c r="W1887" s="1539"/>
      <c r="X1887" s="1539"/>
      <c r="Y1887" s="1539"/>
      <c r="Z1887" s="1539"/>
      <c r="AA1887" s="1539"/>
      <c r="AB1887" s="1539"/>
      <c r="AC1887" s="1539"/>
      <c r="AD1887" s="1539"/>
      <c r="AE1887" s="1539"/>
      <c r="AF1887" s="1539"/>
      <c r="AG1887" s="1539"/>
      <c r="AH1887" s="1539"/>
      <c r="AI1887" s="1539"/>
      <c r="AJ1887" s="1539"/>
      <c r="AK1887" s="1539"/>
      <c r="AL1887" s="1539"/>
      <c r="AM1887" s="1539"/>
      <c r="AN1887" s="1539"/>
      <c r="AO1887" s="1539"/>
      <c r="AP1887" s="1539"/>
      <c r="AQ1887" s="1539"/>
      <c r="AR1887" s="1539"/>
      <c r="AS1887" s="1539"/>
      <c r="AT1887" s="1539"/>
      <c r="AU1887" s="1539"/>
      <c r="AV1887" s="1539"/>
      <c r="AW1887" s="1539"/>
      <c r="AX1887" s="1539"/>
      <c r="AY1887" s="1539"/>
      <c r="AZ1887" s="1539"/>
      <c r="BA1887" s="1539"/>
      <c r="BB1887" s="1539"/>
      <c r="BC1887" s="1539"/>
      <c r="BD1887" s="1539"/>
      <c r="BE1887" s="1539"/>
      <c r="BF1887" s="1539"/>
      <c r="BG1887" s="1539"/>
      <c r="BH1887" s="1539"/>
      <c r="BI1887" s="1539"/>
      <c r="BJ1887" s="1539"/>
      <c r="BK1887" s="1539"/>
      <c r="BL1887" s="1539"/>
      <c r="BM1887" s="1539"/>
      <c r="BN1887" s="1539"/>
      <c r="BO1887" s="1539"/>
      <c r="BP1887" s="1539"/>
      <c r="BQ1887" s="1539"/>
      <c r="BR1887" s="1539"/>
      <c r="BS1887" s="1539"/>
      <c r="BT1887" s="1539"/>
      <c r="BU1887" s="1539"/>
      <c r="BV1887" s="1539"/>
      <c r="BW1887" s="1539"/>
      <c r="BX1887" s="1539"/>
      <c r="BY1887" s="1539"/>
      <c r="BZ1887" s="1539"/>
      <c r="CA1887" s="1539"/>
      <c r="CB1887" s="1539"/>
      <c r="CC1887" s="1539"/>
      <c r="CD1887" s="1539"/>
      <c r="CE1887" s="1539"/>
      <c r="CF1887" s="1539"/>
      <c r="CG1887" s="1539"/>
      <c r="CH1887" s="1539"/>
      <c r="CI1887" s="1539"/>
      <c r="CJ1887" s="1539"/>
      <c r="CK1887" s="1539"/>
      <c r="CL1887" s="1539"/>
      <c r="CM1887" s="1539"/>
      <c r="CN1887" s="1539"/>
      <c r="CO1887" s="1539"/>
    </row>
    <row r="1888" spans="1:93" s="1552" customFormat="1" ht="15.5">
      <c r="A1888" s="1598" t="s">
        <v>3443</v>
      </c>
      <c r="B1888" s="1599" t="s">
        <v>1760</v>
      </c>
      <c r="C1888" s="1643" t="e">
        <f>+SUMIF(#REF!,Final!A1888,#REF!)</f>
        <v>#REF!</v>
      </c>
      <c r="D1888" s="1597" t="e">
        <f>+SUMIF(#REF!,Final!A1888,#REF!)</f>
        <v>#REF!</v>
      </c>
      <c r="E1888" s="1643" t="e">
        <f>SUMIF(#REF!,Final!A1888,#REF!)</f>
        <v>#REF!</v>
      </c>
      <c r="F1888" s="1644" t="e">
        <f>SUMIF(#REF!,Final!A1888,#REF!)</f>
        <v>#REF!</v>
      </c>
      <c r="G1888" s="1597" t="e">
        <f t="shared" si="188"/>
        <v>#REF!</v>
      </c>
      <c r="H1888" s="1644" t="e">
        <f t="shared" si="189"/>
        <v>#REF!</v>
      </c>
      <c r="I1888" s="1597" t="e">
        <f t="shared" si="190"/>
        <v>#REF!</v>
      </c>
      <c r="J1888" s="1644" t="e">
        <f t="shared" si="191"/>
        <v>#REF!</v>
      </c>
      <c r="K1888" s="1539"/>
      <c r="L1888" s="1539"/>
      <c r="M1888" s="1545"/>
      <c r="N1888" s="1545"/>
      <c r="O1888" s="1539"/>
      <c r="P1888" s="1539"/>
      <c r="Q1888" s="1539"/>
      <c r="R1888" s="1539"/>
      <c r="S1888" s="1539"/>
      <c r="T1888" s="1539"/>
      <c r="U1888" s="1539"/>
      <c r="V1888" s="1539"/>
      <c r="W1888" s="1539"/>
      <c r="X1888" s="1539"/>
      <c r="Y1888" s="1539"/>
      <c r="Z1888" s="1539"/>
      <c r="AA1888" s="1539"/>
      <c r="AB1888" s="1539"/>
      <c r="AC1888" s="1539"/>
      <c r="AD1888" s="1539"/>
      <c r="AE1888" s="1539"/>
      <c r="AF1888" s="1539"/>
      <c r="AG1888" s="1539"/>
      <c r="AH1888" s="1539"/>
      <c r="AI1888" s="1539"/>
      <c r="AJ1888" s="1539"/>
      <c r="AK1888" s="1539"/>
      <c r="AL1888" s="1539"/>
      <c r="AM1888" s="1539"/>
      <c r="AN1888" s="1539"/>
      <c r="AO1888" s="1539"/>
      <c r="AP1888" s="1539"/>
      <c r="AQ1888" s="1539"/>
      <c r="AR1888" s="1539"/>
      <c r="AS1888" s="1539"/>
      <c r="AT1888" s="1539"/>
      <c r="AU1888" s="1539"/>
      <c r="AV1888" s="1539"/>
      <c r="AW1888" s="1539"/>
      <c r="AX1888" s="1539"/>
      <c r="AY1888" s="1539"/>
      <c r="AZ1888" s="1539"/>
      <c r="BA1888" s="1539"/>
      <c r="BB1888" s="1539"/>
      <c r="BC1888" s="1539"/>
      <c r="BD1888" s="1539"/>
      <c r="BE1888" s="1539"/>
      <c r="BF1888" s="1539"/>
      <c r="BG1888" s="1539"/>
      <c r="BH1888" s="1539"/>
      <c r="BI1888" s="1539"/>
      <c r="BJ1888" s="1539"/>
      <c r="BK1888" s="1539"/>
      <c r="BL1888" s="1539"/>
      <c r="BM1888" s="1539"/>
      <c r="BN1888" s="1539"/>
      <c r="BO1888" s="1539"/>
      <c r="BP1888" s="1539"/>
      <c r="BQ1888" s="1539"/>
      <c r="BR1888" s="1539"/>
      <c r="BS1888" s="1539"/>
      <c r="BT1888" s="1539"/>
      <c r="BU1888" s="1539"/>
      <c r="BV1888" s="1539"/>
      <c r="BW1888" s="1539"/>
      <c r="BX1888" s="1539"/>
      <c r="BY1888" s="1539"/>
      <c r="BZ1888" s="1539"/>
      <c r="CA1888" s="1539"/>
      <c r="CB1888" s="1539"/>
      <c r="CC1888" s="1539"/>
      <c r="CD1888" s="1539"/>
      <c r="CE1888" s="1539"/>
      <c r="CF1888" s="1539"/>
      <c r="CG1888" s="1539"/>
      <c r="CH1888" s="1539"/>
      <c r="CI1888" s="1539"/>
      <c r="CJ1888" s="1539"/>
      <c r="CK1888" s="1539"/>
      <c r="CL1888" s="1539"/>
      <c r="CM1888" s="1539"/>
      <c r="CN1888" s="1539"/>
      <c r="CO1888" s="1539"/>
    </row>
    <row r="1889" spans="1:93" s="1542" customFormat="1" ht="15.5">
      <c r="A1889" s="1598" t="s">
        <v>1768</v>
      </c>
      <c r="B1889" s="1599" t="s">
        <v>1798</v>
      </c>
      <c r="C1889" s="1643" t="e">
        <f>+SUMIF(#REF!,Final!A1889,#REF!)</f>
        <v>#REF!</v>
      </c>
      <c r="D1889" s="1597" t="e">
        <f>+SUMIF(#REF!,Final!A1889,#REF!)</f>
        <v>#REF!</v>
      </c>
      <c r="E1889" s="1643" t="e">
        <f>SUMIF(#REF!,Final!A1889,#REF!)</f>
        <v>#REF!</v>
      </c>
      <c r="F1889" s="1644" t="e">
        <f>SUMIF(#REF!,Final!A1889,#REF!)</f>
        <v>#REF!</v>
      </c>
      <c r="G1889" s="1597" t="e">
        <f t="shared" si="188"/>
        <v>#REF!</v>
      </c>
      <c r="H1889" s="1644" t="e">
        <f t="shared" si="189"/>
        <v>#REF!</v>
      </c>
      <c r="I1889" s="1597" t="e">
        <f t="shared" si="190"/>
        <v>#REF!</v>
      </c>
      <c r="J1889" s="1644" t="e">
        <f t="shared" si="191"/>
        <v>#REF!</v>
      </c>
      <c r="K1889" s="1539"/>
      <c r="L1889" s="1539"/>
      <c r="M1889" s="1545"/>
      <c r="N1889" s="1545"/>
      <c r="O1889" s="1539"/>
      <c r="P1889" s="1539"/>
      <c r="Q1889" s="1539"/>
      <c r="R1889" s="1539"/>
      <c r="S1889" s="1539"/>
      <c r="T1889" s="1539"/>
      <c r="U1889" s="1539"/>
      <c r="V1889" s="1539"/>
      <c r="W1889" s="1539"/>
      <c r="X1889" s="1539"/>
      <c r="Y1889" s="1539"/>
      <c r="Z1889" s="1539"/>
      <c r="AA1889" s="1539"/>
      <c r="AB1889" s="1539"/>
      <c r="AC1889" s="1539"/>
      <c r="AD1889" s="1539"/>
      <c r="AE1889" s="1539"/>
      <c r="AF1889" s="1539"/>
      <c r="AG1889" s="1539"/>
      <c r="AH1889" s="1539"/>
      <c r="AI1889" s="1539"/>
      <c r="AJ1889" s="1539"/>
      <c r="AK1889" s="1539"/>
      <c r="AL1889" s="1539"/>
      <c r="AM1889" s="1539"/>
      <c r="AN1889" s="1539"/>
      <c r="AO1889" s="1539"/>
      <c r="AP1889" s="1539"/>
      <c r="AQ1889" s="1539"/>
      <c r="AR1889" s="1539"/>
      <c r="AS1889" s="1539"/>
      <c r="AT1889" s="1539"/>
      <c r="AU1889" s="1539"/>
      <c r="AV1889" s="1539"/>
      <c r="AW1889" s="1539"/>
      <c r="AX1889" s="1539"/>
      <c r="AY1889" s="1539"/>
      <c r="AZ1889" s="1539"/>
      <c r="BA1889" s="1539"/>
      <c r="BB1889" s="1539"/>
      <c r="BC1889" s="1539"/>
      <c r="BD1889" s="1539"/>
      <c r="BE1889" s="1539"/>
      <c r="BF1889" s="1539"/>
      <c r="BG1889" s="1539"/>
      <c r="BH1889" s="1539"/>
      <c r="BI1889" s="1539"/>
      <c r="BJ1889" s="1539"/>
      <c r="BK1889" s="1539"/>
      <c r="BL1889" s="1539"/>
      <c r="BM1889" s="1539"/>
      <c r="BN1889" s="1539"/>
      <c r="BO1889" s="1539"/>
      <c r="BP1889" s="1539"/>
      <c r="BQ1889" s="1539"/>
      <c r="BR1889" s="1539"/>
      <c r="BS1889" s="1539"/>
      <c r="BT1889" s="1539"/>
      <c r="BU1889" s="1539"/>
      <c r="BV1889" s="1539"/>
      <c r="BW1889" s="1539"/>
      <c r="BX1889" s="1539"/>
      <c r="BY1889" s="1539"/>
      <c r="BZ1889" s="1539"/>
      <c r="CA1889" s="1539"/>
      <c r="CB1889" s="1539"/>
      <c r="CC1889" s="1539"/>
      <c r="CD1889" s="1539"/>
      <c r="CE1889" s="1539"/>
      <c r="CF1889" s="1539"/>
      <c r="CG1889" s="1539"/>
      <c r="CH1889" s="1539"/>
      <c r="CI1889" s="1539"/>
      <c r="CJ1889" s="1539"/>
      <c r="CK1889" s="1539"/>
      <c r="CL1889" s="1539"/>
      <c r="CM1889" s="1539"/>
      <c r="CN1889" s="1539"/>
      <c r="CO1889" s="1539"/>
    </row>
    <row r="1890" spans="1:93" ht="15.5">
      <c r="A1890" s="1598">
        <v>42.201000000000001</v>
      </c>
      <c r="B1890" s="1599" t="s">
        <v>1799</v>
      </c>
      <c r="C1890" s="1643" t="e">
        <f>+SUMIF(#REF!,Final!A1890,#REF!)</f>
        <v>#REF!</v>
      </c>
      <c r="D1890" s="1597" t="e">
        <f>+SUMIF(#REF!,Final!A1890,#REF!)</f>
        <v>#REF!</v>
      </c>
      <c r="E1890" s="1643" t="e">
        <f>SUMIF(#REF!,Final!A1890,#REF!)</f>
        <v>#REF!</v>
      </c>
      <c r="F1890" s="1644" t="e">
        <f>SUMIF(#REF!,Final!A1890,#REF!)</f>
        <v>#REF!</v>
      </c>
      <c r="G1890" s="1597" t="e">
        <f t="shared" si="188"/>
        <v>#REF!</v>
      </c>
      <c r="H1890" s="1644" t="e">
        <f t="shared" si="189"/>
        <v>#REF!</v>
      </c>
      <c r="I1890" s="1597" t="e">
        <f t="shared" si="190"/>
        <v>#REF!</v>
      </c>
      <c r="J1890" s="1644" t="e">
        <f t="shared" si="191"/>
        <v>#REF!</v>
      </c>
      <c r="M1890" s="1545"/>
      <c r="N1890" s="1545"/>
    </row>
    <row r="1891" spans="1:93" ht="15.5">
      <c r="A1891" s="1598">
        <v>42.201999999999998</v>
      </c>
      <c r="B1891" s="1599" t="s">
        <v>3445</v>
      </c>
      <c r="C1891" s="1643" t="e">
        <f>+SUMIF(#REF!,Final!A1891,#REF!)</f>
        <v>#REF!</v>
      </c>
      <c r="D1891" s="1597" t="e">
        <f>+SUMIF(#REF!,Final!A1891,#REF!)</f>
        <v>#REF!</v>
      </c>
      <c r="E1891" s="1643" t="e">
        <f>SUMIF(#REF!,Final!A1891,#REF!)</f>
        <v>#REF!</v>
      </c>
      <c r="F1891" s="1644" t="e">
        <f>SUMIF(#REF!,Final!A1891,#REF!)</f>
        <v>#REF!</v>
      </c>
      <c r="G1891" s="1597" t="e">
        <f t="shared" si="188"/>
        <v>#REF!</v>
      </c>
      <c r="H1891" s="1644" t="e">
        <f t="shared" si="189"/>
        <v>#REF!</v>
      </c>
      <c r="I1891" s="1597" t="e">
        <f t="shared" si="190"/>
        <v>#REF!</v>
      </c>
      <c r="J1891" s="1644" t="e">
        <f t="shared" si="191"/>
        <v>#REF!</v>
      </c>
      <c r="M1891" s="1545"/>
      <c r="N1891" s="1545"/>
    </row>
    <row r="1892" spans="1:93" ht="15.5">
      <c r="A1892" s="1598" t="s">
        <v>1800</v>
      </c>
      <c r="B1892" s="1599" t="s">
        <v>1801</v>
      </c>
      <c r="C1892" s="1643" t="e">
        <f>+SUMIF(#REF!,Final!A1892,#REF!)</f>
        <v>#REF!</v>
      </c>
      <c r="D1892" s="1597" t="e">
        <f>+SUMIF(#REF!,Final!A1892,#REF!)</f>
        <v>#REF!</v>
      </c>
      <c r="E1892" s="1643" t="e">
        <f>SUMIF(#REF!,Final!A1892,#REF!)</f>
        <v>#REF!</v>
      </c>
      <c r="F1892" s="1644" t="e">
        <f>SUMIF(#REF!,Final!A1892,#REF!)</f>
        <v>#REF!</v>
      </c>
      <c r="G1892" s="1597" t="e">
        <f t="shared" si="188"/>
        <v>#REF!</v>
      </c>
      <c r="H1892" s="1644" t="e">
        <f t="shared" si="189"/>
        <v>#REF!</v>
      </c>
      <c r="I1892" s="1597" t="e">
        <f t="shared" si="190"/>
        <v>#REF!</v>
      </c>
      <c r="J1892" s="1644" t="e">
        <f t="shared" si="191"/>
        <v>#REF!</v>
      </c>
      <c r="M1892" s="1545"/>
      <c r="N1892" s="1545"/>
    </row>
    <row r="1893" spans="1:93" ht="15.5">
      <c r="A1893" s="1598" t="s">
        <v>1802</v>
      </c>
      <c r="B1893" s="1599" t="s">
        <v>1803</v>
      </c>
      <c r="C1893" s="1643" t="e">
        <f>+SUMIF(#REF!,Final!A1893,#REF!)</f>
        <v>#REF!</v>
      </c>
      <c r="D1893" s="1597" t="e">
        <f>+SUMIF(#REF!,Final!A1893,#REF!)</f>
        <v>#REF!</v>
      </c>
      <c r="E1893" s="1643" t="e">
        <f>SUMIF(#REF!,Final!A1893,#REF!)</f>
        <v>#REF!</v>
      </c>
      <c r="F1893" s="1644" t="e">
        <f>SUMIF(#REF!,Final!A1893,#REF!)</f>
        <v>#REF!</v>
      </c>
      <c r="G1893" s="1597" t="e">
        <f t="shared" si="188"/>
        <v>#REF!</v>
      </c>
      <c r="H1893" s="1644" t="e">
        <f t="shared" si="189"/>
        <v>#REF!</v>
      </c>
      <c r="I1893" s="1597" t="e">
        <f t="shared" si="190"/>
        <v>#REF!</v>
      </c>
      <c r="J1893" s="1644" t="e">
        <f t="shared" si="191"/>
        <v>#REF!</v>
      </c>
      <c r="M1893" s="1545"/>
      <c r="N1893" s="1545"/>
    </row>
    <row r="1894" spans="1:93" s="1542" customFormat="1" ht="15.5">
      <c r="A1894" s="1598">
        <v>42.210999999999999</v>
      </c>
      <c r="B1894" s="1599" t="s">
        <v>1804</v>
      </c>
      <c r="C1894" s="1643" t="e">
        <f>+SUMIF(#REF!,Final!A1894,#REF!)</f>
        <v>#REF!</v>
      </c>
      <c r="D1894" s="1597" t="e">
        <f>+SUMIF(#REF!,Final!A1894,#REF!)</f>
        <v>#REF!</v>
      </c>
      <c r="E1894" s="1643" t="e">
        <f>SUMIF(#REF!,Final!A1894,#REF!)</f>
        <v>#REF!</v>
      </c>
      <c r="F1894" s="1644" t="e">
        <f>SUMIF(#REF!,Final!A1894,#REF!)</f>
        <v>#REF!</v>
      </c>
      <c r="G1894" s="1597" t="e">
        <f t="shared" si="188"/>
        <v>#REF!</v>
      </c>
      <c r="H1894" s="1644" t="e">
        <f t="shared" si="189"/>
        <v>#REF!</v>
      </c>
      <c r="I1894" s="1597" t="e">
        <f t="shared" si="190"/>
        <v>#REF!</v>
      </c>
      <c r="J1894" s="1644" t="e">
        <f t="shared" si="191"/>
        <v>#REF!</v>
      </c>
      <c r="K1894" s="1539"/>
      <c r="L1894" s="1539"/>
      <c r="M1894" s="1545"/>
      <c r="N1894" s="1545"/>
      <c r="O1894" s="1539"/>
      <c r="P1894" s="1539"/>
      <c r="Q1894" s="1539"/>
      <c r="R1894" s="1539"/>
      <c r="S1894" s="1539"/>
      <c r="T1894" s="1539"/>
      <c r="U1894" s="1539"/>
      <c r="V1894" s="1539"/>
      <c r="W1894" s="1539"/>
      <c r="X1894" s="1539"/>
      <c r="Y1894" s="1539"/>
      <c r="Z1894" s="1539"/>
      <c r="AA1894" s="1539"/>
      <c r="AB1894" s="1539"/>
      <c r="AC1894" s="1539"/>
      <c r="AD1894" s="1539"/>
      <c r="AE1894" s="1539"/>
      <c r="AF1894" s="1539"/>
      <c r="AG1894" s="1539"/>
      <c r="AH1894" s="1539"/>
      <c r="AI1894" s="1539"/>
      <c r="AJ1894" s="1539"/>
      <c r="AK1894" s="1539"/>
      <c r="AL1894" s="1539"/>
      <c r="AM1894" s="1539"/>
      <c r="AN1894" s="1539"/>
      <c r="AO1894" s="1539"/>
      <c r="AP1894" s="1539"/>
      <c r="AQ1894" s="1539"/>
      <c r="AR1894" s="1539"/>
      <c r="AS1894" s="1539"/>
      <c r="AT1894" s="1539"/>
      <c r="AU1894" s="1539"/>
      <c r="AV1894" s="1539"/>
      <c r="AW1894" s="1539"/>
      <c r="AX1894" s="1539"/>
      <c r="AY1894" s="1539"/>
      <c r="AZ1894" s="1539"/>
      <c r="BA1894" s="1539"/>
      <c r="BB1894" s="1539"/>
      <c r="BC1894" s="1539"/>
      <c r="BD1894" s="1539"/>
      <c r="BE1894" s="1539"/>
      <c r="BF1894" s="1539"/>
      <c r="BG1894" s="1539"/>
      <c r="BH1894" s="1539"/>
      <c r="BI1894" s="1539"/>
      <c r="BJ1894" s="1539"/>
      <c r="BK1894" s="1539"/>
      <c r="BL1894" s="1539"/>
      <c r="BM1894" s="1539"/>
      <c r="BN1894" s="1539"/>
      <c r="BO1894" s="1539"/>
      <c r="BP1894" s="1539"/>
      <c r="BQ1894" s="1539"/>
      <c r="BR1894" s="1539"/>
      <c r="BS1894" s="1539"/>
      <c r="BT1894" s="1539"/>
      <c r="BU1894" s="1539"/>
      <c r="BV1894" s="1539"/>
      <c r="BW1894" s="1539"/>
      <c r="BX1894" s="1539"/>
      <c r="BY1894" s="1539"/>
      <c r="BZ1894" s="1539"/>
      <c r="CA1894" s="1539"/>
      <c r="CB1894" s="1539"/>
      <c r="CC1894" s="1539"/>
      <c r="CD1894" s="1539"/>
      <c r="CE1894" s="1539"/>
      <c r="CF1894" s="1539"/>
      <c r="CG1894" s="1539"/>
      <c r="CH1894" s="1539"/>
      <c r="CI1894" s="1539"/>
      <c r="CJ1894" s="1539"/>
      <c r="CK1894" s="1539"/>
      <c r="CL1894" s="1539"/>
      <c r="CM1894" s="1539"/>
      <c r="CN1894" s="1539"/>
      <c r="CO1894" s="1539"/>
    </row>
    <row r="1895" spans="1:93" ht="15.5">
      <c r="A1895" s="1598">
        <v>42.213000000000001</v>
      </c>
      <c r="B1895" s="1599" t="s">
        <v>1805</v>
      </c>
      <c r="C1895" s="1643" t="e">
        <f>+SUMIF(#REF!,Final!A1895,#REF!)</f>
        <v>#REF!</v>
      </c>
      <c r="D1895" s="1597" t="e">
        <f>+SUMIF(#REF!,Final!A1895,#REF!)</f>
        <v>#REF!</v>
      </c>
      <c r="E1895" s="1643" t="e">
        <f>SUMIF(#REF!,Final!A1895,#REF!)</f>
        <v>#REF!</v>
      </c>
      <c r="F1895" s="1644" t="e">
        <f>SUMIF(#REF!,Final!A1895,#REF!)</f>
        <v>#REF!</v>
      </c>
      <c r="G1895" s="1597" t="e">
        <f t="shared" si="188"/>
        <v>#REF!</v>
      </c>
      <c r="H1895" s="1644" t="e">
        <f t="shared" si="189"/>
        <v>#REF!</v>
      </c>
      <c r="I1895" s="1597" t="e">
        <f t="shared" si="190"/>
        <v>#REF!</v>
      </c>
      <c r="J1895" s="1644" t="e">
        <f t="shared" si="191"/>
        <v>#REF!</v>
      </c>
      <c r="M1895" s="1545"/>
      <c r="N1895" s="1545"/>
    </row>
    <row r="1896" spans="1:93" ht="15.5">
      <c r="A1896" s="1598">
        <v>42.213999999999999</v>
      </c>
      <c r="B1896" s="1599" t="s">
        <v>1806</v>
      </c>
      <c r="C1896" s="1643" t="e">
        <f>+SUMIF(#REF!,Final!A1896,#REF!)</f>
        <v>#REF!</v>
      </c>
      <c r="D1896" s="1597" t="e">
        <f>+SUMIF(#REF!,Final!A1896,#REF!)</f>
        <v>#REF!</v>
      </c>
      <c r="E1896" s="1643" t="e">
        <f>SUMIF(#REF!,Final!A1896,#REF!)</f>
        <v>#REF!</v>
      </c>
      <c r="F1896" s="1644" t="e">
        <f>SUMIF(#REF!,Final!A1896,#REF!)</f>
        <v>#REF!</v>
      </c>
      <c r="G1896" s="1597" t="e">
        <f t="shared" si="188"/>
        <v>#REF!</v>
      </c>
      <c r="H1896" s="1644" t="e">
        <f t="shared" si="189"/>
        <v>#REF!</v>
      </c>
      <c r="I1896" s="1597" t="e">
        <f t="shared" si="190"/>
        <v>#REF!</v>
      </c>
      <c r="J1896" s="1644" t="e">
        <f t="shared" si="191"/>
        <v>#REF!</v>
      </c>
      <c r="M1896" s="1545"/>
      <c r="N1896" s="1545"/>
    </row>
    <row r="1897" spans="1:93" s="1542" customFormat="1" ht="15.5">
      <c r="A1897" s="1598">
        <v>42.215000000000003</v>
      </c>
      <c r="B1897" s="1599" t="s">
        <v>1807</v>
      </c>
      <c r="C1897" s="1643" t="e">
        <f>+SUMIF(#REF!,Final!A1897,#REF!)</f>
        <v>#REF!</v>
      </c>
      <c r="D1897" s="1597" t="e">
        <f>+SUMIF(#REF!,Final!A1897,#REF!)</f>
        <v>#REF!</v>
      </c>
      <c r="E1897" s="1643" t="e">
        <f>SUMIF(#REF!,Final!A1897,#REF!)</f>
        <v>#REF!</v>
      </c>
      <c r="F1897" s="1644" t="e">
        <f>SUMIF(#REF!,Final!A1897,#REF!)</f>
        <v>#REF!</v>
      </c>
      <c r="G1897" s="1597" t="e">
        <f t="shared" si="188"/>
        <v>#REF!</v>
      </c>
      <c r="H1897" s="1644" t="e">
        <f t="shared" si="189"/>
        <v>#REF!</v>
      </c>
      <c r="I1897" s="1597" t="e">
        <f t="shared" si="190"/>
        <v>#REF!</v>
      </c>
      <c r="J1897" s="1644" t="e">
        <f t="shared" si="191"/>
        <v>#REF!</v>
      </c>
      <c r="K1897" s="1539"/>
      <c r="L1897" s="1539"/>
      <c r="M1897" s="1545"/>
      <c r="N1897" s="1545"/>
      <c r="O1897" s="1539"/>
      <c r="P1897" s="1539"/>
      <c r="Q1897" s="1539"/>
      <c r="R1897" s="1539"/>
      <c r="S1897" s="1539"/>
      <c r="T1897" s="1539"/>
      <c r="U1897" s="1539"/>
      <c r="V1897" s="1539"/>
      <c r="W1897" s="1539"/>
      <c r="X1897" s="1539"/>
      <c r="Y1897" s="1539"/>
      <c r="Z1897" s="1539"/>
      <c r="AA1897" s="1539"/>
      <c r="AB1897" s="1539"/>
      <c r="AC1897" s="1539"/>
      <c r="AD1897" s="1539"/>
      <c r="AE1897" s="1539"/>
      <c r="AF1897" s="1539"/>
      <c r="AG1897" s="1539"/>
      <c r="AH1897" s="1539"/>
      <c r="AI1897" s="1539"/>
      <c r="AJ1897" s="1539"/>
      <c r="AK1897" s="1539"/>
      <c r="AL1897" s="1539"/>
      <c r="AM1897" s="1539"/>
      <c r="AN1897" s="1539"/>
      <c r="AO1897" s="1539"/>
      <c r="AP1897" s="1539"/>
      <c r="AQ1897" s="1539"/>
      <c r="AR1897" s="1539"/>
      <c r="AS1897" s="1539"/>
      <c r="AT1897" s="1539"/>
      <c r="AU1897" s="1539"/>
      <c r="AV1897" s="1539"/>
      <c r="AW1897" s="1539"/>
      <c r="AX1897" s="1539"/>
      <c r="AY1897" s="1539"/>
      <c r="AZ1897" s="1539"/>
      <c r="BA1897" s="1539"/>
      <c r="BB1897" s="1539"/>
      <c r="BC1897" s="1539"/>
      <c r="BD1897" s="1539"/>
      <c r="BE1897" s="1539"/>
      <c r="BF1897" s="1539"/>
      <c r="BG1897" s="1539"/>
      <c r="BH1897" s="1539"/>
      <c r="BI1897" s="1539"/>
      <c r="BJ1897" s="1539"/>
      <c r="BK1897" s="1539"/>
      <c r="BL1897" s="1539"/>
      <c r="BM1897" s="1539"/>
      <c r="BN1897" s="1539"/>
      <c r="BO1897" s="1539"/>
      <c r="BP1897" s="1539"/>
      <c r="BQ1897" s="1539"/>
      <c r="BR1897" s="1539"/>
      <c r="BS1897" s="1539"/>
      <c r="BT1897" s="1539"/>
      <c r="BU1897" s="1539"/>
      <c r="BV1897" s="1539"/>
      <c r="BW1897" s="1539"/>
      <c r="BX1897" s="1539"/>
      <c r="BY1897" s="1539"/>
      <c r="BZ1897" s="1539"/>
      <c r="CA1897" s="1539"/>
      <c r="CB1897" s="1539"/>
      <c r="CC1897" s="1539"/>
      <c r="CD1897" s="1539"/>
      <c r="CE1897" s="1539"/>
      <c r="CF1897" s="1539"/>
      <c r="CG1897" s="1539"/>
      <c r="CH1897" s="1539"/>
      <c r="CI1897" s="1539"/>
      <c r="CJ1897" s="1539"/>
      <c r="CK1897" s="1539"/>
      <c r="CL1897" s="1539"/>
      <c r="CM1897" s="1539"/>
      <c r="CN1897" s="1539"/>
      <c r="CO1897" s="1539"/>
    </row>
    <row r="1898" spans="1:93" ht="15.5">
      <c r="A1898" s="1598">
        <v>42.216000000000001</v>
      </c>
      <c r="B1898" s="1599" t="s">
        <v>1808</v>
      </c>
      <c r="C1898" s="1643" t="e">
        <f>+SUMIF(#REF!,Final!A1898,#REF!)</f>
        <v>#REF!</v>
      </c>
      <c r="D1898" s="1597" t="e">
        <f>+SUMIF(#REF!,Final!A1898,#REF!)</f>
        <v>#REF!</v>
      </c>
      <c r="E1898" s="1643" t="e">
        <f>SUMIF(#REF!,Final!A1898,#REF!)</f>
        <v>#REF!</v>
      </c>
      <c r="F1898" s="1644" t="e">
        <f>SUMIF(#REF!,Final!A1898,#REF!)</f>
        <v>#REF!</v>
      </c>
      <c r="G1898" s="1597" t="e">
        <f t="shared" si="188"/>
        <v>#REF!</v>
      </c>
      <c r="H1898" s="1644" t="e">
        <f t="shared" si="189"/>
        <v>#REF!</v>
      </c>
      <c r="I1898" s="1597" t="e">
        <f t="shared" si="190"/>
        <v>#REF!</v>
      </c>
      <c r="J1898" s="1644" t="e">
        <f t="shared" si="191"/>
        <v>#REF!</v>
      </c>
      <c r="M1898" s="1545"/>
      <c r="N1898" s="1545"/>
    </row>
    <row r="1899" spans="1:93" ht="15.5">
      <c r="A1899" s="1598">
        <v>42.216999999999999</v>
      </c>
      <c r="B1899" s="1599" t="s">
        <v>1809</v>
      </c>
      <c r="C1899" s="1643" t="e">
        <f>+SUMIF(#REF!,Final!A1899,#REF!)</f>
        <v>#REF!</v>
      </c>
      <c r="D1899" s="1597" t="e">
        <f>+SUMIF(#REF!,Final!A1899,#REF!)</f>
        <v>#REF!</v>
      </c>
      <c r="E1899" s="1643" t="e">
        <f>SUMIF(#REF!,Final!A1899,#REF!)</f>
        <v>#REF!</v>
      </c>
      <c r="F1899" s="1644" t="e">
        <f>SUMIF(#REF!,Final!A1899,#REF!)</f>
        <v>#REF!</v>
      </c>
      <c r="G1899" s="1597" t="e">
        <f t="shared" si="188"/>
        <v>#REF!</v>
      </c>
      <c r="H1899" s="1644" t="e">
        <f t="shared" si="189"/>
        <v>#REF!</v>
      </c>
      <c r="I1899" s="1597" t="e">
        <f t="shared" si="190"/>
        <v>#REF!</v>
      </c>
      <c r="J1899" s="1644" t="e">
        <f t="shared" si="191"/>
        <v>#REF!</v>
      </c>
      <c r="M1899" s="1545"/>
      <c r="N1899" s="1545"/>
    </row>
    <row r="1900" spans="1:93" ht="15.5">
      <c r="A1900" s="1598">
        <v>42.218000000000004</v>
      </c>
      <c r="B1900" s="1599" t="s">
        <v>1810</v>
      </c>
      <c r="C1900" s="1643" t="e">
        <f>+SUMIF(#REF!,Final!A1900,#REF!)</f>
        <v>#REF!</v>
      </c>
      <c r="D1900" s="1597" t="e">
        <f>+SUMIF(#REF!,Final!A1900,#REF!)</f>
        <v>#REF!</v>
      </c>
      <c r="E1900" s="1643" t="e">
        <f>SUMIF(#REF!,Final!A1900,#REF!)</f>
        <v>#REF!</v>
      </c>
      <c r="F1900" s="1644" t="e">
        <f>SUMIF(#REF!,Final!A1900,#REF!)</f>
        <v>#REF!</v>
      </c>
      <c r="G1900" s="1597" t="e">
        <f t="shared" si="188"/>
        <v>#REF!</v>
      </c>
      <c r="H1900" s="1644" t="e">
        <f t="shared" si="189"/>
        <v>#REF!</v>
      </c>
      <c r="I1900" s="1597" t="e">
        <f t="shared" si="190"/>
        <v>#REF!</v>
      </c>
      <c r="J1900" s="1644" t="e">
        <f t="shared" si="191"/>
        <v>#REF!</v>
      </c>
      <c r="M1900" s="1545"/>
      <c r="N1900" s="1545"/>
    </row>
    <row r="1901" spans="1:93" s="1542" customFormat="1" ht="15.5">
      <c r="A1901" s="1598">
        <v>42.219000000000001</v>
      </c>
      <c r="B1901" s="1599" t="s">
        <v>1811</v>
      </c>
      <c r="C1901" s="1643" t="e">
        <f>+SUMIF(#REF!,Final!A1901,#REF!)</f>
        <v>#REF!</v>
      </c>
      <c r="D1901" s="1597" t="e">
        <f>+SUMIF(#REF!,Final!A1901,#REF!)</f>
        <v>#REF!</v>
      </c>
      <c r="E1901" s="1643" t="e">
        <f>SUMIF(#REF!,Final!A1901,#REF!)</f>
        <v>#REF!</v>
      </c>
      <c r="F1901" s="1644" t="e">
        <f>SUMIF(#REF!,Final!A1901,#REF!)</f>
        <v>#REF!</v>
      </c>
      <c r="G1901" s="1597" t="e">
        <f t="shared" ref="G1901:G1978" si="196">C1901+E1901</f>
        <v>#REF!</v>
      </c>
      <c r="H1901" s="1644" t="e">
        <f t="shared" ref="H1901:H1978" si="197">D1901+F1901</f>
        <v>#REF!</v>
      </c>
      <c r="I1901" s="1597" t="e">
        <f t="shared" ref="I1901:I1978" si="198">IF(G1901&gt;H1901,G1901-H1901,0)</f>
        <v>#REF!</v>
      </c>
      <c r="J1901" s="1644" t="e">
        <f t="shared" ref="J1901:J1978" si="199">IF(H1901&gt;G1901,H1901-G1901,0)</f>
        <v>#REF!</v>
      </c>
      <c r="K1901" s="1539"/>
      <c r="L1901" s="1539"/>
      <c r="M1901" s="1545"/>
      <c r="N1901" s="1545"/>
      <c r="O1901" s="1539"/>
      <c r="P1901" s="1539"/>
      <c r="Q1901" s="1539"/>
      <c r="R1901" s="1539"/>
      <c r="S1901" s="1539"/>
      <c r="T1901" s="1539"/>
      <c r="U1901" s="1539"/>
      <c r="V1901" s="1539"/>
      <c r="W1901" s="1539"/>
      <c r="X1901" s="1539"/>
      <c r="Y1901" s="1539"/>
      <c r="Z1901" s="1539"/>
      <c r="AA1901" s="1539"/>
      <c r="AB1901" s="1539"/>
      <c r="AC1901" s="1539"/>
      <c r="AD1901" s="1539"/>
      <c r="AE1901" s="1539"/>
      <c r="AF1901" s="1539"/>
      <c r="AG1901" s="1539"/>
      <c r="AH1901" s="1539"/>
      <c r="AI1901" s="1539"/>
      <c r="AJ1901" s="1539"/>
      <c r="AK1901" s="1539"/>
      <c r="AL1901" s="1539"/>
      <c r="AM1901" s="1539"/>
      <c r="AN1901" s="1539"/>
      <c r="AO1901" s="1539"/>
      <c r="AP1901" s="1539"/>
      <c r="AQ1901" s="1539"/>
      <c r="AR1901" s="1539"/>
      <c r="AS1901" s="1539"/>
      <c r="AT1901" s="1539"/>
      <c r="AU1901" s="1539"/>
      <c r="AV1901" s="1539"/>
      <c r="AW1901" s="1539"/>
      <c r="AX1901" s="1539"/>
      <c r="AY1901" s="1539"/>
      <c r="AZ1901" s="1539"/>
      <c r="BA1901" s="1539"/>
      <c r="BB1901" s="1539"/>
      <c r="BC1901" s="1539"/>
      <c r="BD1901" s="1539"/>
      <c r="BE1901" s="1539"/>
      <c r="BF1901" s="1539"/>
      <c r="BG1901" s="1539"/>
      <c r="BH1901" s="1539"/>
      <c r="BI1901" s="1539"/>
      <c r="BJ1901" s="1539"/>
      <c r="BK1901" s="1539"/>
      <c r="BL1901" s="1539"/>
      <c r="BM1901" s="1539"/>
      <c r="BN1901" s="1539"/>
      <c r="BO1901" s="1539"/>
      <c r="BP1901" s="1539"/>
      <c r="BQ1901" s="1539"/>
      <c r="BR1901" s="1539"/>
      <c r="BS1901" s="1539"/>
      <c r="BT1901" s="1539"/>
      <c r="BU1901" s="1539"/>
      <c r="BV1901" s="1539"/>
      <c r="BW1901" s="1539"/>
      <c r="BX1901" s="1539"/>
      <c r="BY1901" s="1539"/>
      <c r="BZ1901" s="1539"/>
      <c r="CA1901" s="1539"/>
      <c r="CB1901" s="1539"/>
      <c r="CC1901" s="1539"/>
      <c r="CD1901" s="1539"/>
      <c r="CE1901" s="1539"/>
      <c r="CF1901" s="1539"/>
      <c r="CG1901" s="1539"/>
      <c r="CH1901" s="1539"/>
      <c r="CI1901" s="1539"/>
      <c r="CJ1901" s="1539"/>
      <c r="CK1901" s="1539"/>
      <c r="CL1901" s="1539"/>
      <c r="CM1901" s="1539"/>
      <c r="CN1901" s="1539"/>
      <c r="CO1901" s="1539"/>
    </row>
    <row r="1902" spans="1:93" ht="15.5">
      <c r="A1902" s="1598">
        <v>42.22</v>
      </c>
      <c r="B1902" s="1599" t="s">
        <v>1812</v>
      </c>
      <c r="C1902" s="1643" t="e">
        <f>+SUMIF(#REF!,Final!A1902,#REF!)</f>
        <v>#REF!</v>
      </c>
      <c r="D1902" s="1597" t="e">
        <f>+SUMIF(#REF!,Final!A1902,#REF!)</f>
        <v>#REF!</v>
      </c>
      <c r="E1902" s="1643" t="e">
        <f>SUMIF(#REF!,Final!A1902,#REF!)</f>
        <v>#REF!</v>
      </c>
      <c r="F1902" s="1644" t="e">
        <f>SUMIF(#REF!,Final!A1902,#REF!)</f>
        <v>#REF!</v>
      </c>
      <c r="G1902" s="1597" t="e">
        <f t="shared" si="196"/>
        <v>#REF!</v>
      </c>
      <c r="H1902" s="1644" t="e">
        <f t="shared" si="197"/>
        <v>#REF!</v>
      </c>
      <c r="I1902" s="1597" t="e">
        <f t="shared" si="198"/>
        <v>#REF!</v>
      </c>
      <c r="J1902" s="1644" t="e">
        <f t="shared" si="199"/>
        <v>#REF!</v>
      </c>
      <c r="M1902" s="1545"/>
      <c r="N1902" s="1545"/>
    </row>
    <row r="1903" spans="1:93" ht="15.5">
      <c r="A1903" s="1598">
        <v>42.222999999999999</v>
      </c>
      <c r="B1903" s="1599" t="s">
        <v>1813</v>
      </c>
      <c r="C1903" s="1643" t="e">
        <f>+SUMIF(#REF!,Final!A1903,#REF!)</f>
        <v>#REF!</v>
      </c>
      <c r="D1903" s="1597" t="e">
        <f>+SUMIF(#REF!,Final!A1903,#REF!)</f>
        <v>#REF!</v>
      </c>
      <c r="E1903" s="1643" t="e">
        <f>SUMIF(#REF!,Final!A1903,#REF!)</f>
        <v>#REF!</v>
      </c>
      <c r="F1903" s="1644" t="e">
        <f>SUMIF(#REF!,Final!A1903,#REF!)</f>
        <v>#REF!</v>
      </c>
      <c r="G1903" s="1597" t="e">
        <f t="shared" si="196"/>
        <v>#REF!</v>
      </c>
      <c r="H1903" s="1644" t="e">
        <f t="shared" si="197"/>
        <v>#REF!</v>
      </c>
      <c r="I1903" s="1597" t="e">
        <f t="shared" si="198"/>
        <v>#REF!</v>
      </c>
      <c r="J1903" s="1644" t="e">
        <f t="shared" si="199"/>
        <v>#REF!</v>
      </c>
      <c r="M1903" s="1545"/>
      <c r="N1903" s="1545"/>
    </row>
    <row r="1904" spans="1:93" ht="15.5">
      <c r="A1904" s="1598">
        <v>42.228999999999999</v>
      </c>
      <c r="B1904" s="1599" t="s">
        <v>1814</v>
      </c>
      <c r="C1904" s="1643" t="e">
        <f>+SUMIF(#REF!,Final!A1904,#REF!)</f>
        <v>#REF!</v>
      </c>
      <c r="D1904" s="1597" t="e">
        <f>+SUMIF(#REF!,Final!A1904,#REF!)</f>
        <v>#REF!</v>
      </c>
      <c r="E1904" s="1643" t="e">
        <f>SUMIF(#REF!,Final!A1904,#REF!)</f>
        <v>#REF!</v>
      </c>
      <c r="F1904" s="1644" t="e">
        <f>SUMIF(#REF!,Final!A1904,#REF!)</f>
        <v>#REF!</v>
      </c>
      <c r="G1904" s="1597" t="e">
        <f t="shared" si="196"/>
        <v>#REF!</v>
      </c>
      <c r="H1904" s="1644" t="e">
        <f t="shared" si="197"/>
        <v>#REF!</v>
      </c>
      <c r="I1904" s="1597" t="e">
        <f t="shared" si="198"/>
        <v>#REF!</v>
      </c>
      <c r="J1904" s="1644" t="e">
        <f t="shared" si="199"/>
        <v>#REF!</v>
      </c>
      <c r="M1904" s="1545"/>
      <c r="N1904" s="1545"/>
    </row>
    <row r="1905" spans="1:93" s="1552" customFormat="1" ht="15.5">
      <c r="A1905" s="1598"/>
      <c r="B1905" s="1599" t="s">
        <v>1747</v>
      </c>
      <c r="C1905" s="1643" t="e">
        <f>+SUMIF(#REF!,Final!A1905,#REF!)</f>
        <v>#REF!</v>
      </c>
      <c r="D1905" s="1597" t="e">
        <f>+SUMIF(#REF!,Final!A1905,#REF!)</f>
        <v>#REF!</v>
      </c>
      <c r="E1905" s="1643" t="e">
        <f>SUMIF(#REF!,Final!A1905,#REF!)</f>
        <v>#REF!</v>
      </c>
      <c r="F1905" s="1644" t="e">
        <f>SUMIF(#REF!,Final!A1905,#REF!)</f>
        <v>#REF!</v>
      </c>
      <c r="G1905" s="1597" t="e">
        <f t="shared" si="196"/>
        <v>#REF!</v>
      </c>
      <c r="H1905" s="1644" t="e">
        <f t="shared" si="197"/>
        <v>#REF!</v>
      </c>
      <c r="I1905" s="1597" t="e">
        <f t="shared" si="198"/>
        <v>#REF!</v>
      </c>
      <c r="J1905" s="1644" t="e">
        <f t="shared" si="199"/>
        <v>#REF!</v>
      </c>
      <c r="K1905" s="1539"/>
      <c r="L1905" s="1539"/>
      <c r="M1905" s="1545"/>
      <c r="N1905" s="1545"/>
      <c r="O1905" s="1539"/>
      <c r="P1905" s="1539"/>
      <c r="Q1905" s="1539"/>
      <c r="R1905" s="1539"/>
      <c r="S1905" s="1539"/>
      <c r="T1905" s="1539"/>
      <c r="U1905" s="1539"/>
      <c r="V1905" s="1539"/>
      <c r="W1905" s="1539"/>
      <c r="X1905" s="1539"/>
      <c r="Y1905" s="1539"/>
      <c r="Z1905" s="1539"/>
      <c r="AA1905" s="1539"/>
      <c r="AB1905" s="1539"/>
      <c r="AC1905" s="1539"/>
      <c r="AD1905" s="1539"/>
      <c r="AE1905" s="1539"/>
      <c r="AF1905" s="1539"/>
      <c r="AG1905" s="1539"/>
      <c r="AH1905" s="1539"/>
      <c r="AI1905" s="1539"/>
      <c r="AJ1905" s="1539"/>
      <c r="AK1905" s="1539"/>
      <c r="AL1905" s="1539"/>
      <c r="AM1905" s="1539"/>
      <c r="AN1905" s="1539"/>
      <c r="AO1905" s="1539"/>
      <c r="AP1905" s="1539"/>
      <c r="AQ1905" s="1539"/>
      <c r="AR1905" s="1539"/>
      <c r="AS1905" s="1539"/>
      <c r="AT1905" s="1539"/>
      <c r="AU1905" s="1539"/>
      <c r="AV1905" s="1539"/>
      <c r="AW1905" s="1539"/>
      <c r="AX1905" s="1539"/>
      <c r="AY1905" s="1539"/>
      <c r="AZ1905" s="1539"/>
      <c r="BA1905" s="1539"/>
      <c r="BB1905" s="1539"/>
      <c r="BC1905" s="1539"/>
      <c r="BD1905" s="1539"/>
      <c r="BE1905" s="1539"/>
      <c r="BF1905" s="1539"/>
      <c r="BG1905" s="1539"/>
      <c r="BH1905" s="1539"/>
      <c r="BI1905" s="1539"/>
      <c r="BJ1905" s="1539"/>
      <c r="BK1905" s="1539"/>
      <c r="BL1905" s="1539"/>
      <c r="BM1905" s="1539"/>
      <c r="BN1905" s="1539"/>
      <c r="BO1905" s="1539"/>
      <c r="BP1905" s="1539"/>
      <c r="BQ1905" s="1539"/>
      <c r="BR1905" s="1539"/>
      <c r="BS1905" s="1539"/>
      <c r="BT1905" s="1539"/>
      <c r="BU1905" s="1539"/>
      <c r="BV1905" s="1539"/>
      <c r="BW1905" s="1539"/>
      <c r="BX1905" s="1539"/>
      <c r="BY1905" s="1539"/>
      <c r="BZ1905" s="1539"/>
      <c r="CA1905" s="1539"/>
      <c r="CB1905" s="1539"/>
      <c r="CC1905" s="1539"/>
      <c r="CD1905" s="1539"/>
      <c r="CE1905" s="1539"/>
      <c r="CF1905" s="1539"/>
      <c r="CG1905" s="1539"/>
      <c r="CH1905" s="1539"/>
      <c r="CI1905" s="1539"/>
      <c r="CJ1905" s="1539"/>
      <c r="CK1905" s="1539"/>
      <c r="CL1905" s="1539"/>
      <c r="CM1905" s="1539"/>
      <c r="CN1905" s="1539"/>
      <c r="CO1905" s="1539"/>
    </row>
    <row r="1906" spans="1:93" s="1552" customFormat="1" ht="15.5">
      <c r="A1906" s="1598" t="s">
        <v>3443</v>
      </c>
      <c r="B1906" s="1599" t="s">
        <v>1760</v>
      </c>
      <c r="C1906" s="1643" t="e">
        <f>+SUMIF(#REF!,Final!A1906,#REF!)</f>
        <v>#REF!</v>
      </c>
      <c r="D1906" s="1597" t="e">
        <f>+SUMIF(#REF!,Final!A1906,#REF!)</f>
        <v>#REF!</v>
      </c>
      <c r="E1906" s="1643" t="e">
        <f>SUMIF(#REF!,Final!A1906,#REF!)</f>
        <v>#REF!</v>
      </c>
      <c r="F1906" s="1644" t="e">
        <f>SUMIF(#REF!,Final!A1906,#REF!)</f>
        <v>#REF!</v>
      </c>
      <c r="G1906" s="1597" t="e">
        <f t="shared" si="196"/>
        <v>#REF!</v>
      </c>
      <c r="H1906" s="1644" t="e">
        <f t="shared" si="197"/>
        <v>#REF!</v>
      </c>
      <c r="I1906" s="1597" t="e">
        <f t="shared" si="198"/>
        <v>#REF!</v>
      </c>
      <c r="J1906" s="1644" t="e">
        <f t="shared" si="199"/>
        <v>#REF!</v>
      </c>
      <c r="K1906" s="1539"/>
      <c r="L1906" s="1539"/>
      <c r="M1906" s="1545"/>
      <c r="N1906" s="1545"/>
      <c r="O1906" s="1539"/>
      <c r="P1906" s="1539"/>
      <c r="Q1906" s="1539"/>
      <c r="R1906" s="1539"/>
      <c r="S1906" s="1539"/>
      <c r="T1906" s="1539"/>
      <c r="U1906" s="1539"/>
      <c r="V1906" s="1539"/>
      <c r="W1906" s="1539"/>
      <c r="X1906" s="1539"/>
      <c r="Y1906" s="1539"/>
      <c r="Z1906" s="1539"/>
      <c r="AA1906" s="1539"/>
      <c r="AB1906" s="1539"/>
      <c r="AC1906" s="1539"/>
      <c r="AD1906" s="1539"/>
      <c r="AE1906" s="1539"/>
      <c r="AF1906" s="1539"/>
      <c r="AG1906" s="1539"/>
      <c r="AH1906" s="1539"/>
      <c r="AI1906" s="1539"/>
      <c r="AJ1906" s="1539"/>
      <c r="AK1906" s="1539"/>
      <c r="AL1906" s="1539"/>
      <c r="AM1906" s="1539"/>
      <c r="AN1906" s="1539"/>
      <c r="AO1906" s="1539"/>
      <c r="AP1906" s="1539"/>
      <c r="AQ1906" s="1539"/>
      <c r="AR1906" s="1539"/>
      <c r="AS1906" s="1539"/>
      <c r="AT1906" s="1539"/>
      <c r="AU1906" s="1539"/>
      <c r="AV1906" s="1539"/>
      <c r="AW1906" s="1539"/>
      <c r="AX1906" s="1539"/>
      <c r="AY1906" s="1539"/>
      <c r="AZ1906" s="1539"/>
      <c r="BA1906" s="1539"/>
      <c r="BB1906" s="1539"/>
      <c r="BC1906" s="1539"/>
      <c r="BD1906" s="1539"/>
      <c r="BE1906" s="1539"/>
      <c r="BF1906" s="1539"/>
      <c r="BG1906" s="1539"/>
      <c r="BH1906" s="1539"/>
      <c r="BI1906" s="1539"/>
      <c r="BJ1906" s="1539"/>
      <c r="BK1906" s="1539"/>
      <c r="BL1906" s="1539"/>
      <c r="BM1906" s="1539"/>
      <c r="BN1906" s="1539"/>
      <c r="BO1906" s="1539"/>
      <c r="BP1906" s="1539"/>
      <c r="BQ1906" s="1539"/>
      <c r="BR1906" s="1539"/>
      <c r="BS1906" s="1539"/>
      <c r="BT1906" s="1539"/>
      <c r="BU1906" s="1539"/>
      <c r="BV1906" s="1539"/>
      <c r="BW1906" s="1539"/>
      <c r="BX1906" s="1539"/>
      <c r="BY1906" s="1539"/>
      <c r="BZ1906" s="1539"/>
      <c r="CA1906" s="1539"/>
      <c r="CB1906" s="1539"/>
      <c r="CC1906" s="1539"/>
      <c r="CD1906" s="1539"/>
      <c r="CE1906" s="1539"/>
      <c r="CF1906" s="1539"/>
      <c r="CG1906" s="1539"/>
      <c r="CH1906" s="1539"/>
      <c r="CI1906" s="1539"/>
      <c r="CJ1906" s="1539"/>
      <c r="CK1906" s="1539"/>
      <c r="CL1906" s="1539"/>
      <c r="CM1906" s="1539"/>
      <c r="CN1906" s="1539"/>
      <c r="CO1906" s="1539"/>
    </row>
    <row r="1907" spans="1:93" s="1542" customFormat="1" ht="15.5">
      <c r="A1907" s="1598" t="s">
        <v>1815</v>
      </c>
      <c r="B1907" s="1599" t="s">
        <v>1816</v>
      </c>
      <c r="C1907" s="1643" t="e">
        <f>+SUMIF(#REF!,Final!A1907,#REF!)</f>
        <v>#REF!</v>
      </c>
      <c r="D1907" s="1597" t="e">
        <f>+SUMIF(#REF!,Final!A1907,#REF!)</f>
        <v>#REF!</v>
      </c>
      <c r="E1907" s="1643" t="e">
        <f>SUMIF(#REF!,Final!A1907,#REF!)</f>
        <v>#REF!</v>
      </c>
      <c r="F1907" s="1644" t="e">
        <f>SUMIF(#REF!,Final!A1907,#REF!)</f>
        <v>#REF!</v>
      </c>
      <c r="G1907" s="1597" t="e">
        <f t="shared" si="196"/>
        <v>#REF!</v>
      </c>
      <c r="H1907" s="1644" t="e">
        <f t="shared" si="197"/>
        <v>#REF!</v>
      </c>
      <c r="I1907" s="1597" t="e">
        <f t="shared" si="198"/>
        <v>#REF!</v>
      </c>
      <c r="J1907" s="1644" t="e">
        <f t="shared" si="199"/>
        <v>#REF!</v>
      </c>
      <c r="K1907" s="1539"/>
      <c r="L1907" s="1539"/>
      <c r="M1907" s="1545"/>
      <c r="N1907" s="1545"/>
      <c r="O1907" s="1539"/>
      <c r="P1907" s="1539"/>
      <c r="Q1907" s="1539"/>
      <c r="R1907" s="1539"/>
      <c r="S1907" s="1539"/>
      <c r="T1907" s="1539"/>
      <c r="U1907" s="1539"/>
      <c r="V1907" s="1539"/>
      <c r="W1907" s="1539"/>
      <c r="X1907" s="1539"/>
      <c r="Y1907" s="1539"/>
      <c r="Z1907" s="1539"/>
      <c r="AA1907" s="1539"/>
      <c r="AB1907" s="1539"/>
      <c r="AC1907" s="1539"/>
      <c r="AD1907" s="1539"/>
      <c r="AE1907" s="1539"/>
      <c r="AF1907" s="1539"/>
      <c r="AG1907" s="1539"/>
      <c r="AH1907" s="1539"/>
      <c r="AI1907" s="1539"/>
      <c r="AJ1907" s="1539"/>
      <c r="AK1907" s="1539"/>
      <c r="AL1907" s="1539"/>
      <c r="AM1907" s="1539"/>
      <c r="AN1907" s="1539"/>
      <c r="AO1907" s="1539"/>
      <c r="AP1907" s="1539"/>
      <c r="AQ1907" s="1539"/>
      <c r="AR1907" s="1539"/>
      <c r="AS1907" s="1539"/>
      <c r="AT1907" s="1539"/>
      <c r="AU1907" s="1539"/>
      <c r="AV1907" s="1539"/>
      <c r="AW1907" s="1539"/>
      <c r="AX1907" s="1539"/>
      <c r="AY1907" s="1539"/>
      <c r="AZ1907" s="1539"/>
      <c r="BA1907" s="1539"/>
      <c r="BB1907" s="1539"/>
      <c r="BC1907" s="1539"/>
      <c r="BD1907" s="1539"/>
      <c r="BE1907" s="1539"/>
      <c r="BF1907" s="1539"/>
      <c r="BG1907" s="1539"/>
      <c r="BH1907" s="1539"/>
      <c r="BI1907" s="1539"/>
      <c r="BJ1907" s="1539"/>
      <c r="BK1907" s="1539"/>
      <c r="BL1907" s="1539"/>
      <c r="BM1907" s="1539"/>
      <c r="BN1907" s="1539"/>
      <c r="BO1907" s="1539"/>
      <c r="BP1907" s="1539"/>
      <c r="BQ1907" s="1539"/>
      <c r="BR1907" s="1539"/>
      <c r="BS1907" s="1539"/>
      <c r="BT1907" s="1539"/>
      <c r="BU1907" s="1539"/>
      <c r="BV1907" s="1539"/>
      <c r="BW1907" s="1539"/>
      <c r="BX1907" s="1539"/>
      <c r="BY1907" s="1539"/>
      <c r="BZ1907" s="1539"/>
      <c r="CA1907" s="1539"/>
      <c r="CB1907" s="1539"/>
      <c r="CC1907" s="1539"/>
      <c r="CD1907" s="1539"/>
      <c r="CE1907" s="1539"/>
      <c r="CF1907" s="1539"/>
      <c r="CG1907" s="1539"/>
      <c r="CH1907" s="1539"/>
      <c r="CI1907" s="1539"/>
      <c r="CJ1907" s="1539"/>
      <c r="CK1907" s="1539"/>
      <c r="CL1907" s="1539"/>
      <c r="CM1907" s="1539"/>
      <c r="CN1907" s="1539"/>
      <c r="CO1907" s="1539"/>
    </row>
    <row r="1908" spans="1:93" ht="15.5">
      <c r="A1908" s="1598">
        <v>42.301000000000002</v>
      </c>
      <c r="B1908" s="1599" t="s">
        <v>1817</v>
      </c>
      <c r="C1908" s="1643" t="e">
        <f>+SUMIF(#REF!,Final!A1908,#REF!)</f>
        <v>#REF!</v>
      </c>
      <c r="D1908" s="1597" t="e">
        <f>+SUMIF(#REF!,Final!A1908,#REF!)</f>
        <v>#REF!</v>
      </c>
      <c r="E1908" s="1643" t="e">
        <f>SUMIF(#REF!,Final!A1908,#REF!)</f>
        <v>#REF!</v>
      </c>
      <c r="F1908" s="1644" t="e">
        <f>SUMIF(#REF!,Final!A1908,#REF!)</f>
        <v>#REF!</v>
      </c>
      <c r="G1908" s="1597" t="e">
        <f t="shared" si="196"/>
        <v>#REF!</v>
      </c>
      <c r="H1908" s="1644" t="e">
        <f t="shared" si="197"/>
        <v>#REF!</v>
      </c>
      <c r="I1908" s="1597" t="e">
        <f t="shared" si="198"/>
        <v>#REF!</v>
      </c>
      <c r="J1908" s="1644" t="e">
        <f t="shared" si="199"/>
        <v>#REF!</v>
      </c>
      <c r="M1908" s="1545"/>
      <c r="N1908" s="1545"/>
    </row>
    <row r="1909" spans="1:93" ht="15.5">
      <c r="A1909" s="1598">
        <v>42.31</v>
      </c>
      <c r="B1909" s="1599" t="s">
        <v>1817</v>
      </c>
      <c r="C1909" s="1643" t="e">
        <f>+SUMIF(#REF!,Final!A1909,#REF!)</f>
        <v>#REF!</v>
      </c>
      <c r="D1909" s="1597" t="e">
        <f>+SUMIF(#REF!,Final!A1909,#REF!)</f>
        <v>#REF!</v>
      </c>
      <c r="E1909" s="1643" t="e">
        <f>SUMIF(#REF!,Final!A1909,#REF!)</f>
        <v>#REF!</v>
      </c>
      <c r="F1909" s="1644" t="e">
        <f>SUMIF(#REF!,Final!A1909,#REF!)</f>
        <v>#REF!</v>
      </c>
      <c r="G1909" s="1597" t="e">
        <f t="shared" si="196"/>
        <v>#REF!</v>
      </c>
      <c r="H1909" s="1644" t="e">
        <f t="shared" si="197"/>
        <v>#REF!</v>
      </c>
      <c r="I1909" s="1597" t="e">
        <f t="shared" si="198"/>
        <v>#REF!</v>
      </c>
      <c r="J1909" s="1644" t="e">
        <f t="shared" si="199"/>
        <v>#REF!</v>
      </c>
      <c r="M1909" s="1545"/>
      <c r="N1909" s="1545"/>
    </row>
    <row r="1910" spans="1:93" s="1542" customFormat="1" ht="15.5">
      <c r="A1910" s="1598">
        <v>42.399000000000001</v>
      </c>
      <c r="B1910" s="1599" t="s">
        <v>1817</v>
      </c>
      <c r="C1910" s="1643" t="e">
        <f>+SUMIF(#REF!,Final!A1910,#REF!)</f>
        <v>#REF!</v>
      </c>
      <c r="D1910" s="1597" t="e">
        <f>+SUMIF(#REF!,Final!A1910,#REF!)</f>
        <v>#REF!</v>
      </c>
      <c r="E1910" s="1643" t="e">
        <f>SUMIF(#REF!,Final!A1910,#REF!)</f>
        <v>#REF!</v>
      </c>
      <c r="F1910" s="1644" t="e">
        <f>SUMIF(#REF!,Final!A1910,#REF!)</f>
        <v>#REF!</v>
      </c>
      <c r="G1910" s="1597" t="e">
        <f t="shared" si="196"/>
        <v>#REF!</v>
      </c>
      <c r="H1910" s="1644" t="e">
        <f t="shared" si="197"/>
        <v>#REF!</v>
      </c>
      <c r="I1910" s="1597" t="e">
        <f t="shared" si="198"/>
        <v>#REF!</v>
      </c>
      <c r="J1910" s="1644" t="e">
        <f t="shared" si="199"/>
        <v>#REF!</v>
      </c>
      <c r="K1910" s="1539"/>
      <c r="L1910" s="1539"/>
      <c r="M1910" s="1545"/>
      <c r="N1910" s="1545"/>
      <c r="O1910" s="1539"/>
      <c r="P1910" s="1539"/>
      <c r="Q1910" s="1539"/>
      <c r="R1910" s="1539"/>
      <c r="S1910" s="1539"/>
      <c r="T1910" s="1539"/>
      <c r="U1910" s="1539"/>
      <c r="V1910" s="1539"/>
      <c r="W1910" s="1539"/>
      <c r="X1910" s="1539"/>
      <c r="Y1910" s="1539"/>
      <c r="Z1910" s="1539"/>
      <c r="AA1910" s="1539"/>
      <c r="AB1910" s="1539"/>
      <c r="AC1910" s="1539"/>
      <c r="AD1910" s="1539"/>
      <c r="AE1910" s="1539"/>
      <c r="AF1910" s="1539"/>
      <c r="AG1910" s="1539"/>
      <c r="AH1910" s="1539"/>
      <c r="AI1910" s="1539"/>
      <c r="AJ1910" s="1539"/>
      <c r="AK1910" s="1539"/>
      <c r="AL1910" s="1539"/>
      <c r="AM1910" s="1539"/>
      <c r="AN1910" s="1539"/>
      <c r="AO1910" s="1539"/>
      <c r="AP1910" s="1539"/>
      <c r="AQ1910" s="1539"/>
      <c r="AR1910" s="1539"/>
      <c r="AS1910" s="1539"/>
      <c r="AT1910" s="1539"/>
      <c r="AU1910" s="1539"/>
      <c r="AV1910" s="1539"/>
      <c r="AW1910" s="1539"/>
      <c r="AX1910" s="1539"/>
      <c r="AY1910" s="1539"/>
      <c r="AZ1910" s="1539"/>
      <c r="BA1910" s="1539"/>
      <c r="BB1910" s="1539"/>
      <c r="BC1910" s="1539"/>
      <c r="BD1910" s="1539"/>
      <c r="BE1910" s="1539"/>
      <c r="BF1910" s="1539"/>
      <c r="BG1910" s="1539"/>
      <c r="BH1910" s="1539"/>
      <c r="BI1910" s="1539"/>
      <c r="BJ1910" s="1539"/>
      <c r="BK1910" s="1539"/>
      <c r="BL1910" s="1539"/>
      <c r="BM1910" s="1539"/>
      <c r="BN1910" s="1539"/>
      <c r="BO1910" s="1539"/>
      <c r="BP1910" s="1539"/>
      <c r="BQ1910" s="1539"/>
      <c r="BR1910" s="1539"/>
      <c r="BS1910" s="1539"/>
      <c r="BT1910" s="1539"/>
      <c r="BU1910" s="1539"/>
      <c r="BV1910" s="1539"/>
      <c r="BW1910" s="1539"/>
      <c r="BX1910" s="1539"/>
      <c r="BY1910" s="1539"/>
      <c r="BZ1910" s="1539"/>
      <c r="CA1910" s="1539"/>
      <c r="CB1910" s="1539"/>
      <c r="CC1910" s="1539"/>
      <c r="CD1910" s="1539"/>
      <c r="CE1910" s="1539"/>
      <c r="CF1910" s="1539"/>
      <c r="CG1910" s="1539"/>
      <c r="CH1910" s="1539"/>
      <c r="CI1910" s="1539"/>
      <c r="CJ1910" s="1539"/>
      <c r="CK1910" s="1539"/>
      <c r="CL1910" s="1539"/>
      <c r="CM1910" s="1539"/>
      <c r="CN1910" s="1539"/>
      <c r="CO1910" s="1539"/>
    </row>
    <row r="1911" spans="1:93" s="1552" customFormat="1" ht="15.5">
      <c r="A1911" s="1598"/>
      <c r="B1911" s="1599" t="s">
        <v>1747</v>
      </c>
      <c r="C1911" s="1643" t="e">
        <f>+SUMIF(#REF!,Final!A1911,#REF!)</f>
        <v>#REF!</v>
      </c>
      <c r="D1911" s="1597" t="e">
        <f>+SUMIF(#REF!,Final!A1911,#REF!)</f>
        <v>#REF!</v>
      </c>
      <c r="E1911" s="1643" t="e">
        <f>SUMIF(#REF!,Final!A1911,#REF!)</f>
        <v>#REF!</v>
      </c>
      <c r="F1911" s="1644" t="e">
        <f>SUMIF(#REF!,Final!A1911,#REF!)</f>
        <v>#REF!</v>
      </c>
      <c r="G1911" s="1597" t="e">
        <f t="shared" si="196"/>
        <v>#REF!</v>
      </c>
      <c r="H1911" s="1644" t="e">
        <f t="shared" si="197"/>
        <v>#REF!</v>
      </c>
      <c r="I1911" s="1597" t="e">
        <f t="shared" si="198"/>
        <v>#REF!</v>
      </c>
      <c r="J1911" s="1644" t="e">
        <f t="shared" si="199"/>
        <v>#REF!</v>
      </c>
      <c r="K1911" s="1539"/>
      <c r="L1911" s="1539"/>
      <c r="M1911" s="1545"/>
      <c r="N1911" s="1545"/>
      <c r="O1911" s="1539"/>
      <c r="P1911" s="1539"/>
      <c r="Q1911" s="1539"/>
      <c r="R1911" s="1539"/>
      <c r="S1911" s="1539"/>
      <c r="T1911" s="1539"/>
      <c r="U1911" s="1539"/>
      <c r="V1911" s="1539"/>
      <c r="W1911" s="1539"/>
      <c r="X1911" s="1539"/>
      <c r="Y1911" s="1539"/>
      <c r="Z1911" s="1539"/>
      <c r="AA1911" s="1539"/>
      <c r="AB1911" s="1539"/>
      <c r="AC1911" s="1539"/>
      <c r="AD1911" s="1539"/>
      <c r="AE1911" s="1539"/>
      <c r="AF1911" s="1539"/>
      <c r="AG1911" s="1539"/>
      <c r="AH1911" s="1539"/>
      <c r="AI1911" s="1539"/>
      <c r="AJ1911" s="1539"/>
      <c r="AK1911" s="1539"/>
      <c r="AL1911" s="1539"/>
      <c r="AM1911" s="1539"/>
      <c r="AN1911" s="1539"/>
      <c r="AO1911" s="1539"/>
      <c r="AP1911" s="1539"/>
      <c r="AQ1911" s="1539"/>
      <c r="AR1911" s="1539"/>
      <c r="AS1911" s="1539"/>
      <c r="AT1911" s="1539"/>
      <c r="AU1911" s="1539"/>
      <c r="AV1911" s="1539"/>
      <c r="AW1911" s="1539"/>
      <c r="AX1911" s="1539"/>
      <c r="AY1911" s="1539"/>
      <c r="AZ1911" s="1539"/>
      <c r="BA1911" s="1539"/>
      <c r="BB1911" s="1539"/>
      <c r="BC1911" s="1539"/>
      <c r="BD1911" s="1539"/>
      <c r="BE1911" s="1539"/>
      <c r="BF1911" s="1539"/>
      <c r="BG1911" s="1539"/>
      <c r="BH1911" s="1539"/>
      <c r="BI1911" s="1539"/>
      <c r="BJ1911" s="1539"/>
      <c r="BK1911" s="1539"/>
      <c r="BL1911" s="1539"/>
      <c r="BM1911" s="1539"/>
      <c r="BN1911" s="1539"/>
      <c r="BO1911" s="1539"/>
      <c r="BP1911" s="1539"/>
      <c r="BQ1911" s="1539"/>
      <c r="BR1911" s="1539"/>
      <c r="BS1911" s="1539"/>
      <c r="BT1911" s="1539"/>
      <c r="BU1911" s="1539"/>
      <c r="BV1911" s="1539"/>
      <c r="BW1911" s="1539"/>
      <c r="BX1911" s="1539"/>
      <c r="BY1911" s="1539"/>
      <c r="BZ1911" s="1539"/>
      <c r="CA1911" s="1539"/>
      <c r="CB1911" s="1539"/>
      <c r="CC1911" s="1539"/>
      <c r="CD1911" s="1539"/>
      <c r="CE1911" s="1539"/>
      <c r="CF1911" s="1539"/>
      <c r="CG1911" s="1539"/>
      <c r="CH1911" s="1539"/>
      <c r="CI1911" s="1539"/>
      <c r="CJ1911" s="1539"/>
      <c r="CK1911" s="1539"/>
      <c r="CL1911" s="1539"/>
      <c r="CM1911" s="1539"/>
      <c r="CN1911" s="1539"/>
      <c r="CO1911" s="1539"/>
    </row>
    <row r="1912" spans="1:93" s="1552" customFormat="1" ht="15.5">
      <c r="A1912" s="1598" t="s">
        <v>3443</v>
      </c>
      <c r="B1912" s="1599" t="s">
        <v>1760</v>
      </c>
      <c r="C1912" s="1643" t="e">
        <f>+SUMIF(#REF!,Final!A1912,#REF!)</f>
        <v>#REF!</v>
      </c>
      <c r="D1912" s="1597" t="e">
        <f>+SUMIF(#REF!,Final!A1912,#REF!)</f>
        <v>#REF!</v>
      </c>
      <c r="E1912" s="1643" t="e">
        <f>SUMIF(#REF!,Final!A1912,#REF!)</f>
        <v>#REF!</v>
      </c>
      <c r="F1912" s="1644" t="e">
        <f>SUMIF(#REF!,Final!A1912,#REF!)</f>
        <v>#REF!</v>
      </c>
      <c r="G1912" s="1597" t="e">
        <f t="shared" si="196"/>
        <v>#REF!</v>
      </c>
      <c r="H1912" s="1644" t="e">
        <f t="shared" si="197"/>
        <v>#REF!</v>
      </c>
      <c r="I1912" s="1597" t="e">
        <f t="shared" si="198"/>
        <v>#REF!</v>
      </c>
      <c r="J1912" s="1644" t="e">
        <f t="shared" si="199"/>
        <v>#REF!</v>
      </c>
      <c r="K1912" s="1539"/>
      <c r="L1912" s="1539"/>
      <c r="M1912" s="1545"/>
      <c r="N1912" s="1545"/>
      <c r="O1912" s="1539"/>
      <c r="P1912" s="1539"/>
      <c r="Q1912" s="1539"/>
      <c r="R1912" s="1539"/>
      <c r="S1912" s="1539"/>
      <c r="T1912" s="1539"/>
      <c r="U1912" s="1539"/>
      <c r="V1912" s="1539"/>
      <c r="W1912" s="1539"/>
      <c r="X1912" s="1539"/>
      <c r="Y1912" s="1539"/>
      <c r="Z1912" s="1539"/>
      <c r="AA1912" s="1539"/>
      <c r="AB1912" s="1539"/>
      <c r="AC1912" s="1539"/>
      <c r="AD1912" s="1539"/>
      <c r="AE1912" s="1539"/>
      <c r="AF1912" s="1539"/>
      <c r="AG1912" s="1539"/>
      <c r="AH1912" s="1539"/>
      <c r="AI1912" s="1539"/>
      <c r="AJ1912" s="1539"/>
      <c r="AK1912" s="1539"/>
      <c r="AL1912" s="1539"/>
      <c r="AM1912" s="1539"/>
      <c r="AN1912" s="1539"/>
      <c r="AO1912" s="1539"/>
      <c r="AP1912" s="1539"/>
      <c r="AQ1912" s="1539"/>
      <c r="AR1912" s="1539"/>
      <c r="AS1912" s="1539"/>
      <c r="AT1912" s="1539"/>
      <c r="AU1912" s="1539"/>
      <c r="AV1912" s="1539"/>
      <c r="AW1912" s="1539"/>
      <c r="AX1912" s="1539"/>
      <c r="AY1912" s="1539"/>
      <c r="AZ1912" s="1539"/>
      <c r="BA1912" s="1539"/>
      <c r="BB1912" s="1539"/>
      <c r="BC1912" s="1539"/>
      <c r="BD1912" s="1539"/>
      <c r="BE1912" s="1539"/>
      <c r="BF1912" s="1539"/>
      <c r="BG1912" s="1539"/>
      <c r="BH1912" s="1539"/>
      <c r="BI1912" s="1539"/>
      <c r="BJ1912" s="1539"/>
      <c r="BK1912" s="1539"/>
      <c r="BL1912" s="1539"/>
      <c r="BM1912" s="1539"/>
      <c r="BN1912" s="1539"/>
      <c r="BO1912" s="1539"/>
      <c r="BP1912" s="1539"/>
      <c r="BQ1912" s="1539"/>
      <c r="BR1912" s="1539"/>
      <c r="BS1912" s="1539"/>
      <c r="BT1912" s="1539"/>
      <c r="BU1912" s="1539"/>
      <c r="BV1912" s="1539"/>
      <c r="BW1912" s="1539"/>
      <c r="BX1912" s="1539"/>
      <c r="BY1912" s="1539"/>
      <c r="BZ1912" s="1539"/>
      <c r="CA1912" s="1539"/>
      <c r="CB1912" s="1539"/>
      <c r="CC1912" s="1539"/>
      <c r="CD1912" s="1539"/>
      <c r="CE1912" s="1539"/>
      <c r="CF1912" s="1539"/>
      <c r="CG1912" s="1539"/>
      <c r="CH1912" s="1539"/>
      <c r="CI1912" s="1539"/>
      <c r="CJ1912" s="1539"/>
      <c r="CK1912" s="1539"/>
      <c r="CL1912" s="1539"/>
      <c r="CM1912" s="1539"/>
      <c r="CN1912" s="1539"/>
      <c r="CO1912" s="1539"/>
    </row>
    <row r="1913" spans="1:93" s="1542" customFormat="1" ht="15.5">
      <c r="A1913" s="1598" t="s">
        <v>1818</v>
      </c>
      <c r="B1913" s="1599" t="s">
        <v>1819</v>
      </c>
      <c r="C1913" s="1643" t="e">
        <f>+SUMIF(#REF!,Final!A1913,#REF!)</f>
        <v>#REF!</v>
      </c>
      <c r="D1913" s="1597" t="e">
        <f>+SUMIF(#REF!,Final!A1913,#REF!)</f>
        <v>#REF!</v>
      </c>
      <c r="E1913" s="1643" t="e">
        <f>SUMIF(#REF!,Final!A1913,#REF!)</f>
        <v>#REF!</v>
      </c>
      <c r="F1913" s="1644" t="e">
        <f>SUMIF(#REF!,Final!A1913,#REF!)</f>
        <v>#REF!</v>
      </c>
      <c r="G1913" s="1597" t="e">
        <f t="shared" si="196"/>
        <v>#REF!</v>
      </c>
      <c r="H1913" s="1644" t="e">
        <f t="shared" si="197"/>
        <v>#REF!</v>
      </c>
      <c r="I1913" s="1597" t="e">
        <f t="shared" si="198"/>
        <v>#REF!</v>
      </c>
      <c r="J1913" s="1644" t="e">
        <f t="shared" si="199"/>
        <v>#REF!</v>
      </c>
      <c r="K1913" s="1539"/>
      <c r="L1913" s="1539"/>
      <c r="M1913" s="1545"/>
      <c r="N1913" s="1545"/>
      <c r="O1913" s="1539"/>
      <c r="P1913" s="1539"/>
      <c r="Q1913" s="1539"/>
      <c r="R1913" s="1539"/>
      <c r="S1913" s="1539"/>
      <c r="T1913" s="1539"/>
      <c r="U1913" s="1539"/>
      <c r="V1913" s="1539"/>
      <c r="W1913" s="1539"/>
      <c r="X1913" s="1539"/>
      <c r="Y1913" s="1539"/>
      <c r="Z1913" s="1539"/>
      <c r="AA1913" s="1539"/>
      <c r="AB1913" s="1539"/>
      <c r="AC1913" s="1539"/>
      <c r="AD1913" s="1539"/>
      <c r="AE1913" s="1539"/>
      <c r="AF1913" s="1539"/>
      <c r="AG1913" s="1539"/>
      <c r="AH1913" s="1539"/>
      <c r="AI1913" s="1539"/>
      <c r="AJ1913" s="1539"/>
      <c r="AK1913" s="1539"/>
      <c r="AL1913" s="1539"/>
      <c r="AM1913" s="1539"/>
      <c r="AN1913" s="1539"/>
      <c r="AO1913" s="1539"/>
      <c r="AP1913" s="1539"/>
      <c r="AQ1913" s="1539"/>
      <c r="AR1913" s="1539"/>
      <c r="AS1913" s="1539"/>
      <c r="AT1913" s="1539"/>
      <c r="AU1913" s="1539"/>
      <c r="AV1913" s="1539"/>
      <c r="AW1913" s="1539"/>
      <c r="AX1913" s="1539"/>
      <c r="AY1913" s="1539"/>
      <c r="AZ1913" s="1539"/>
      <c r="BA1913" s="1539"/>
      <c r="BB1913" s="1539"/>
      <c r="BC1913" s="1539"/>
      <c r="BD1913" s="1539"/>
      <c r="BE1913" s="1539"/>
      <c r="BF1913" s="1539"/>
      <c r="BG1913" s="1539"/>
      <c r="BH1913" s="1539"/>
      <c r="BI1913" s="1539"/>
      <c r="BJ1913" s="1539"/>
      <c r="BK1913" s="1539"/>
      <c r="BL1913" s="1539"/>
      <c r="BM1913" s="1539"/>
      <c r="BN1913" s="1539"/>
      <c r="BO1913" s="1539"/>
      <c r="BP1913" s="1539"/>
      <c r="BQ1913" s="1539"/>
      <c r="BR1913" s="1539"/>
      <c r="BS1913" s="1539"/>
      <c r="BT1913" s="1539"/>
      <c r="BU1913" s="1539"/>
      <c r="BV1913" s="1539"/>
      <c r="BW1913" s="1539"/>
      <c r="BX1913" s="1539"/>
      <c r="BY1913" s="1539"/>
      <c r="BZ1913" s="1539"/>
      <c r="CA1913" s="1539"/>
      <c r="CB1913" s="1539"/>
      <c r="CC1913" s="1539"/>
      <c r="CD1913" s="1539"/>
      <c r="CE1913" s="1539"/>
      <c r="CF1913" s="1539"/>
      <c r="CG1913" s="1539"/>
      <c r="CH1913" s="1539"/>
      <c r="CI1913" s="1539"/>
      <c r="CJ1913" s="1539"/>
      <c r="CK1913" s="1539"/>
      <c r="CL1913" s="1539"/>
      <c r="CM1913" s="1539"/>
      <c r="CN1913" s="1539"/>
      <c r="CO1913" s="1539"/>
    </row>
    <row r="1914" spans="1:93" ht="15.5">
      <c r="A1914" s="1598">
        <v>42.401000000000003</v>
      </c>
      <c r="B1914" s="1599" t="s">
        <v>1820</v>
      </c>
      <c r="C1914" s="1643" t="e">
        <f>+SUMIF(#REF!,Final!A1914,#REF!)</f>
        <v>#REF!</v>
      </c>
      <c r="D1914" s="1597" t="e">
        <f>+SUMIF(#REF!,Final!A1914,#REF!)</f>
        <v>#REF!</v>
      </c>
      <c r="E1914" s="1643" t="e">
        <f>SUMIF(#REF!,Final!A1914,#REF!)</f>
        <v>#REF!</v>
      </c>
      <c r="F1914" s="1644" t="e">
        <f>SUMIF(#REF!,Final!A1914,#REF!)</f>
        <v>#REF!</v>
      </c>
      <c r="G1914" s="1597" t="e">
        <f t="shared" si="196"/>
        <v>#REF!</v>
      </c>
      <c r="H1914" s="1644" t="e">
        <f t="shared" si="197"/>
        <v>#REF!</v>
      </c>
      <c r="I1914" s="1597" t="e">
        <f t="shared" si="198"/>
        <v>#REF!</v>
      </c>
      <c r="J1914" s="1644" t="e">
        <f t="shared" si="199"/>
        <v>#REF!</v>
      </c>
      <c r="M1914" s="1545"/>
      <c r="N1914" s="1545"/>
    </row>
    <row r="1915" spans="1:93" s="1552" customFormat="1" ht="15.5">
      <c r="A1915" s="1598"/>
      <c r="B1915" s="1599" t="s">
        <v>1747</v>
      </c>
      <c r="C1915" s="1643" t="e">
        <f>+SUMIF(#REF!,Final!A1915,#REF!)</f>
        <v>#REF!</v>
      </c>
      <c r="D1915" s="1597" t="e">
        <f>+SUMIF(#REF!,Final!A1915,#REF!)</f>
        <v>#REF!</v>
      </c>
      <c r="E1915" s="1643" t="e">
        <f>SUMIF(#REF!,Final!A1915,#REF!)</f>
        <v>#REF!</v>
      </c>
      <c r="F1915" s="1644" t="e">
        <f>SUMIF(#REF!,Final!A1915,#REF!)</f>
        <v>#REF!</v>
      </c>
      <c r="G1915" s="1597" t="e">
        <f t="shared" si="196"/>
        <v>#REF!</v>
      </c>
      <c r="H1915" s="1644" t="e">
        <f t="shared" si="197"/>
        <v>#REF!</v>
      </c>
      <c r="I1915" s="1597" t="e">
        <f t="shared" si="198"/>
        <v>#REF!</v>
      </c>
      <c r="J1915" s="1644" t="e">
        <f t="shared" si="199"/>
        <v>#REF!</v>
      </c>
      <c r="K1915" s="1539"/>
      <c r="L1915" s="1539"/>
      <c r="M1915" s="1545"/>
      <c r="N1915" s="1545"/>
      <c r="O1915" s="1539"/>
      <c r="P1915" s="1539"/>
      <c r="Q1915" s="1539"/>
      <c r="R1915" s="1539"/>
      <c r="S1915" s="1539"/>
      <c r="T1915" s="1539"/>
      <c r="U1915" s="1539"/>
      <c r="V1915" s="1539"/>
      <c r="W1915" s="1539"/>
      <c r="X1915" s="1539"/>
      <c r="Y1915" s="1539"/>
      <c r="Z1915" s="1539"/>
      <c r="AA1915" s="1539"/>
      <c r="AB1915" s="1539"/>
      <c r="AC1915" s="1539"/>
      <c r="AD1915" s="1539"/>
      <c r="AE1915" s="1539"/>
      <c r="AF1915" s="1539"/>
      <c r="AG1915" s="1539"/>
      <c r="AH1915" s="1539"/>
      <c r="AI1915" s="1539"/>
      <c r="AJ1915" s="1539"/>
      <c r="AK1915" s="1539"/>
      <c r="AL1915" s="1539"/>
      <c r="AM1915" s="1539"/>
      <c r="AN1915" s="1539"/>
      <c r="AO1915" s="1539"/>
      <c r="AP1915" s="1539"/>
      <c r="AQ1915" s="1539"/>
      <c r="AR1915" s="1539"/>
      <c r="AS1915" s="1539"/>
      <c r="AT1915" s="1539"/>
      <c r="AU1915" s="1539"/>
      <c r="AV1915" s="1539"/>
      <c r="AW1915" s="1539"/>
      <c r="AX1915" s="1539"/>
      <c r="AY1915" s="1539"/>
      <c r="AZ1915" s="1539"/>
      <c r="BA1915" s="1539"/>
      <c r="BB1915" s="1539"/>
      <c r="BC1915" s="1539"/>
      <c r="BD1915" s="1539"/>
      <c r="BE1915" s="1539"/>
      <c r="BF1915" s="1539"/>
      <c r="BG1915" s="1539"/>
      <c r="BH1915" s="1539"/>
      <c r="BI1915" s="1539"/>
      <c r="BJ1915" s="1539"/>
      <c r="BK1915" s="1539"/>
      <c r="BL1915" s="1539"/>
      <c r="BM1915" s="1539"/>
      <c r="BN1915" s="1539"/>
      <c r="BO1915" s="1539"/>
      <c r="BP1915" s="1539"/>
      <c r="BQ1915" s="1539"/>
      <c r="BR1915" s="1539"/>
      <c r="BS1915" s="1539"/>
      <c r="BT1915" s="1539"/>
      <c r="BU1915" s="1539"/>
      <c r="BV1915" s="1539"/>
      <c r="BW1915" s="1539"/>
      <c r="BX1915" s="1539"/>
      <c r="BY1915" s="1539"/>
      <c r="BZ1915" s="1539"/>
      <c r="CA1915" s="1539"/>
      <c r="CB1915" s="1539"/>
      <c r="CC1915" s="1539"/>
      <c r="CD1915" s="1539"/>
      <c r="CE1915" s="1539"/>
      <c r="CF1915" s="1539"/>
      <c r="CG1915" s="1539"/>
      <c r="CH1915" s="1539"/>
      <c r="CI1915" s="1539"/>
      <c r="CJ1915" s="1539"/>
      <c r="CK1915" s="1539"/>
      <c r="CL1915" s="1539"/>
      <c r="CM1915" s="1539"/>
      <c r="CN1915" s="1539"/>
      <c r="CO1915" s="1539"/>
    </row>
    <row r="1916" spans="1:93" s="1552" customFormat="1" ht="15.5">
      <c r="A1916" s="1598" t="s">
        <v>3443</v>
      </c>
      <c r="B1916" s="1599" t="s">
        <v>1760</v>
      </c>
      <c r="C1916" s="1643" t="e">
        <f>+SUMIF(#REF!,Final!A1916,#REF!)</f>
        <v>#REF!</v>
      </c>
      <c r="D1916" s="1597" t="e">
        <f>+SUMIF(#REF!,Final!A1916,#REF!)</f>
        <v>#REF!</v>
      </c>
      <c r="E1916" s="1643" t="e">
        <f>SUMIF(#REF!,Final!A1916,#REF!)</f>
        <v>#REF!</v>
      </c>
      <c r="F1916" s="1644" t="e">
        <f>SUMIF(#REF!,Final!A1916,#REF!)</f>
        <v>#REF!</v>
      </c>
      <c r="G1916" s="1597" t="e">
        <f t="shared" si="196"/>
        <v>#REF!</v>
      </c>
      <c r="H1916" s="1644" t="e">
        <f t="shared" si="197"/>
        <v>#REF!</v>
      </c>
      <c r="I1916" s="1597" t="e">
        <f t="shared" si="198"/>
        <v>#REF!</v>
      </c>
      <c r="J1916" s="1644" t="e">
        <f t="shared" si="199"/>
        <v>#REF!</v>
      </c>
      <c r="K1916" s="1539"/>
      <c r="L1916" s="1539"/>
      <c r="M1916" s="1545"/>
      <c r="N1916" s="1545"/>
      <c r="O1916" s="1539"/>
      <c r="P1916" s="1539"/>
      <c r="Q1916" s="1539"/>
      <c r="R1916" s="1539"/>
      <c r="S1916" s="1539"/>
      <c r="T1916" s="1539"/>
      <c r="U1916" s="1539"/>
      <c r="V1916" s="1539"/>
      <c r="W1916" s="1539"/>
      <c r="X1916" s="1539"/>
      <c r="Y1916" s="1539"/>
      <c r="Z1916" s="1539"/>
      <c r="AA1916" s="1539"/>
      <c r="AB1916" s="1539"/>
      <c r="AC1916" s="1539"/>
      <c r="AD1916" s="1539"/>
      <c r="AE1916" s="1539"/>
      <c r="AF1916" s="1539"/>
      <c r="AG1916" s="1539"/>
      <c r="AH1916" s="1539"/>
      <c r="AI1916" s="1539"/>
      <c r="AJ1916" s="1539"/>
      <c r="AK1916" s="1539"/>
      <c r="AL1916" s="1539"/>
      <c r="AM1916" s="1539"/>
      <c r="AN1916" s="1539"/>
      <c r="AO1916" s="1539"/>
      <c r="AP1916" s="1539"/>
      <c r="AQ1916" s="1539"/>
      <c r="AR1916" s="1539"/>
      <c r="AS1916" s="1539"/>
      <c r="AT1916" s="1539"/>
      <c r="AU1916" s="1539"/>
      <c r="AV1916" s="1539"/>
      <c r="AW1916" s="1539"/>
      <c r="AX1916" s="1539"/>
      <c r="AY1916" s="1539"/>
      <c r="AZ1916" s="1539"/>
      <c r="BA1916" s="1539"/>
      <c r="BB1916" s="1539"/>
      <c r="BC1916" s="1539"/>
      <c r="BD1916" s="1539"/>
      <c r="BE1916" s="1539"/>
      <c r="BF1916" s="1539"/>
      <c r="BG1916" s="1539"/>
      <c r="BH1916" s="1539"/>
      <c r="BI1916" s="1539"/>
      <c r="BJ1916" s="1539"/>
      <c r="BK1916" s="1539"/>
      <c r="BL1916" s="1539"/>
      <c r="BM1916" s="1539"/>
      <c r="BN1916" s="1539"/>
      <c r="BO1916" s="1539"/>
      <c r="BP1916" s="1539"/>
      <c r="BQ1916" s="1539"/>
      <c r="BR1916" s="1539"/>
      <c r="BS1916" s="1539"/>
      <c r="BT1916" s="1539"/>
      <c r="BU1916" s="1539"/>
      <c r="BV1916" s="1539"/>
      <c r="BW1916" s="1539"/>
      <c r="BX1916" s="1539"/>
      <c r="BY1916" s="1539"/>
      <c r="BZ1916" s="1539"/>
      <c r="CA1916" s="1539"/>
      <c r="CB1916" s="1539"/>
      <c r="CC1916" s="1539"/>
      <c r="CD1916" s="1539"/>
      <c r="CE1916" s="1539"/>
      <c r="CF1916" s="1539"/>
      <c r="CG1916" s="1539"/>
      <c r="CH1916" s="1539"/>
      <c r="CI1916" s="1539"/>
      <c r="CJ1916" s="1539"/>
      <c r="CK1916" s="1539"/>
      <c r="CL1916" s="1539"/>
      <c r="CM1916" s="1539"/>
      <c r="CN1916" s="1539"/>
      <c r="CO1916" s="1539"/>
    </row>
    <row r="1917" spans="1:93" s="1542" customFormat="1" ht="15.5">
      <c r="A1917" s="1598" t="s">
        <v>1821</v>
      </c>
      <c r="B1917" s="1599" t="s">
        <v>1822</v>
      </c>
      <c r="C1917" s="1643" t="e">
        <f>+SUMIF(#REF!,Final!A1917,#REF!)</f>
        <v>#REF!</v>
      </c>
      <c r="D1917" s="1597" t="e">
        <f>+SUMIF(#REF!,Final!A1917,#REF!)</f>
        <v>#REF!</v>
      </c>
      <c r="E1917" s="1643" t="e">
        <f>SUMIF(#REF!,Final!A1917,#REF!)</f>
        <v>#REF!</v>
      </c>
      <c r="F1917" s="1644" t="e">
        <f>SUMIF(#REF!,Final!A1917,#REF!)</f>
        <v>#REF!</v>
      </c>
      <c r="G1917" s="1597" t="e">
        <f t="shared" si="196"/>
        <v>#REF!</v>
      </c>
      <c r="H1917" s="1644" t="e">
        <f t="shared" si="197"/>
        <v>#REF!</v>
      </c>
      <c r="I1917" s="1597" t="e">
        <f t="shared" si="198"/>
        <v>#REF!</v>
      </c>
      <c r="J1917" s="1644" t="e">
        <f t="shared" si="199"/>
        <v>#REF!</v>
      </c>
      <c r="K1917" s="1539"/>
      <c r="L1917" s="1539"/>
      <c r="M1917" s="1545"/>
      <c r="N1917" s="1545"/>
      <c r="O1917" s="1539"/>
      <c r="P1917" s="1539"/>
      <c r="Q1917" s="1539"/>
      <c r="R1917" s="1539"/>
      <c r="S1917" s="1539"/>
      <c r="T1917" s="1539"/>
      <c r="U1917" s="1539"/>
      <c r="V1917" s="1539"/>
      <c r="W1917" s="1539"/>
      <c r="X1917" s="1539"/>
      <c r="Y1917" s="1539"/>
      <c r="Z1917" s="1539"/>
      <c r="AA1917" s="1539"/>
      <c r="AB1917" s="1539"/>
      <c r="AC1917" s="1539"/>
      <c r="AD1917" s="1539"/>
      <c r="AE1917" s="1539"/>
      <c r="AF1917" s="1539"/>
      <c r="AG1917" s="1539"/>
      <c r="AH1917" s="1539"/>
      <c r="AI1917" s="1539"/>
      <c r="AJ1917" s="1539"/>
      <c r="AK1917" s="1539"/>
      <c r="AL1917" s="1539"/>
      <c r="AM1917" s="1539"/>
      <c r="AN1917" s="1539"/>
      <c r="AO1917" s="1539"/>
      <c r="AP1917" s="1539"/>
      <c r="AQ1917" s="1539"/>
      <c r="AR1917" s="1539"/>
      <c r="AS1917" s="1539"/>
      <c r="AT1917" s="1539"/>
      <c r="AU1917" s="1539"/>
      <c r="AV1917" s="1539"/>
      <c r="AW1917" s="1539"/>
      <c r="AX1917" s="1539"/>
      <c r="AY1917" s="1539"/>
      <c r="AZ1917" s="1539"/>
      <c r="BA1917" s="1539"/>
      <c r="BB1917" s="1539"/>
      <c r="BC1917" s="1539"/>
      <c r="BD1917" s="1539"/>
      <c r="BE1917" s="1539"/>
      <c r="BF1917" s="1539"/>
      <c r="BG1917" s="1539"/>
      <c r="BH1917" s="1539"/>
      <c r="BI1917" s="1539"/>
      <c r="BJ1917" s="1539"/>
      <c r="BK1917" s="1539"/>
      <c r="BL1917" s="1539"/>
      <c r="BM1917" s="1539"/>
      <c r="BN1917" s="1539"/>
      <c r="BO1917" s="1539"/>
      <c r="BP1917" s="1539"/>
      <c r="BQ1917" s="1539"/>
      <c r="BR1917" s="1539"/>
      <c r="BS1917" s="1539"/>
      <c r="BT1917" s="1539"/>
      <c r="BU1917" s="1539"/>
      <c r="BV1917" s="1539"/>
      <c r="BW1917" s="1539"/>
      <c r="BX1917" s="1539"/>
      <c r="BY1917" s="1539"/>
      <c r="BZ1917" s="1539"/>
      <c r="CA1917" s="1539"/>
      <c r="CB1917" s="1539"/>
      <c r="CC1917" s="1539"/>
      <c r="CD1917" s="1539"/>
      <c r="CE1917" s="1539"/>
      <c r="CF1917" s="1539"/>
      <c r="CG1917" s="1539"/>
      <c r="CH1917" s="1539"/>
      <c r="CI1917" s="1539"/>
      <c r="CJ1917" s="1539"/>
      <c r="CK1917" s="1539"/>
      <c r="CL1917" s="1539"/>
      <c r="CM1917" s="1539"/>
      <c r="CN1917" s="1539"/>
      <c r="CO1917" s="1539"/>
    </row>
    <row r="1918" spans="1:93" s="1542" customFormat="1" ht="15.5">
      <c r="A1918" s="1598">
        <v>42.500999999999998</v>
      </c>
      <c r="B1918" s="1599" t="s">
        <v>1823</v>
      </c>
      <c r="C1918" s="1643" t="e">
        <f>+SUMIF(#REF!,Final!A1918,#REF!)</f>
        <v>#REF!</v>
      </c>
      <c r="D1918" s="1597" t="e">
        <f>+SUMIF(#REF!,Final!A1918,#REF!)</f>
        <v>#REF!</v>
      </c>
      <c r="E1918" s="1643" t="e">
        <f>SUMIF(#REF!,Final!A1918,#REF!)</f>
        <v>#REF!</v>
      </c>
      <c r="F1918" s="1644" t="e">
        <f>SUMIF(#REF!,Final!A1918,#REF!)</f>
        <v>#REF!</v>
      </c>
      <c r="G1918" s="1597" t="e">
        <f t="shared" si="196"/>
        <v>#REF!</v>
      </c>
      <c r="H1918" s="1644" t="e">
        <f t="shared" si="197"/>
        <v>#REF!</v>
      </c>
      <c r="I1918" s="1597" t="e">
        <f t="shared" si="198"/>
        <v>#REF!</v>
      </c>
      <c r="J1918" s="1644" t="e">
        <f t="shared" si="199"/>
        <v>#REF!</v>
      </c>
      <c r="K1918" s="1539"/>
      <c r="L1918" s="1539"/>
      <c r="M1918" s="1545"/>
      <c r="N1918" s="1545"/>
      <c r="O1918" s="1539"/>
      <c r="P1918" s="1539"/>
      <c r="Q1918" s="1539"/>
      <c r="R1918" s="1539"/>
      <c r="S1918" s="1539"/>
      <c r="T1918" s="1539"/>
      <c r="U1918" s="1539"/>
      <c r="V1918" s="1539"/>
      <c r="W1918" s="1539"/>
      <c r="X1918" s="1539"/>
      <c r="Y1918" s="1539"/>
      <c r="Z1918" s="1539"/>
      <c r="AA1918" s="1539"/>
      <c r="AB1918" s="1539"/>
      <c r="AC1918" s="1539"/>
      <c r="AD1918" s="1539"/>
      <c r="AE1918" s="1539"/>
      <c r="AF1918" s="1539"/>
      <c r="AG1918" s="1539"/>
      <c r="AH1918" s="1539"/>
      <c r="AI1918" s="1539"/>
      <c r="AJ1918" s="1539"/>
      <c r="AK1918" s="1539"/>
      <c r="AL1918" s="1539"/>
      <c r="AM1918" s="1539"/>
      <c r="AN1918" s="1539"/>
      <c r="AO1918" s="1539"/>
      <c r="AP1918" s="1539"/>
      <c r="AQ1918" s="1539"/>
      <c r="AR1918" s="1539"/>
      <c r="AS1918" s="1539"/>
      <c r="AT1918" s="1539"/>
      <c r="AU1918" s="1539"/>
      <c r="AV1918" s="1539"/>
      <c r="AW1918" s="1539"/>
      <c r="AX1918" s="1539"/>
      <c r="AY1918" s="1539"/>
      <c r="AZ1918" s="1539"/>
      <c r="BA1918" s="1539"/>
      <c r="BB1918" s="1539"/>
      <c r="BC1918" s="1539"/>
      <c r="BD1918" s="1539"/>
      <c r="BE1918" s="1539"/>
      <c r="BF1918" s="1539"/>
      <c r="BG1918" s="1539"/>
      <c r="BH1918" s="1539"/>
      <c r="BI1918" s="1539"/>
      <c r="BJ1918" s="1539"/>
      <c r="BK1918" s="1539"/>
      <c r="BL1918" s="1539"/>
      <c r="BM1918" s="1539"/>
      <c r="BN1918" s="1539"/>
      <c r="BO1918" s="1539"/>
      <c r="BP1918" s="1539"/>
      <c r="BQ1918" s="1539"/>
      <c r="BR1918" s="1539"/>
      <c r="BS1918" s="1539"/>
      <c r="BT1918" s="1539"/>
      <c r="BU1918" s="1539"/>
      <c r="BV1918" s="1539"/>
      <c r="BW1918" s="1539"/>
      <c r="BX1918" s="1539"/>
      <c r="BY1918" s="1539"/>
      <c r="BZ1918" s="1539"/>
      <c r="CA1918" s="1539"/>
      <c r="CB1918" s="1539"/>
      <c r="CC1918" s="1539"/>
      <c r="CD1918" s="1539"/>
      <c r="CE1918" s="1539"/>
      <c r="CF1918" s="1539"/>
      <c r="CG1918" s="1539"/>
      <c r="CH1918" s="1539"/>
      <c r="CI1918" s="1539"/>
      <c r="CJ1918" s="1539"/>
      <c r="CK1918" s="1539"/>
      <c r="CL1918" s="1539"/>
      <c r="CM1918" s="1539"/>
      <c r="CN1918" s="1539"/>
      <c r="CO1918" s="1539"/>
    </row>
    <row r="1919" spans="1:93" s="1552" customFormat="1" ht="15.5">
      <c r="A1919" s="1598"/>
      <c r="B1919" s="1599" t="s">
        <v>1747</v>
      </c>
      <c r="C1919" s="1643" t="e">
        <f>+SUMIF(#REF!,Final!A1919,#REF!)</f>
        <v>#REF!</v>
      </c>
      <c r="D1919" s="1597" t="e">
        <f>+SUMIF(#REF!,Final!A1919,#REF!)</f>
        <v>#REF!</v>
      </c>
      <c r="E1919" s="1643" t="e">
        <f>SUMIF(#REF!,Final!A1919,#REF!)</f>
        <v>#REF!</v>
      </c>
      <c r="F1919" s="1644" t="e">
        <f>SUMIF(#REF!,Final!A1919,#REF!)</f>
        <v>#REF!</v>
      </c>
      <c r="G1919" s="1597" t="e">
        <f t="shared" si="196"/>
        <v>#REF!</v>
      </c>
      <c r="H1919" s="1644" t="e">
        <f t="shared" si="197"/>
        <v>#REF!</v>
      </c>
      <c r="I1919" s="1597" t="e">
        <f t="shared" si="198"/>
        <v>#REF!</v>
      </c>
      <c r="J1919" s="1644" t="e">
        <f t="shared" si="199"/>
        <v>#REF!</v>
      </c>
      <c r="K1919" s="1539"/>
      <c r="L1919" s="1539"/>
      <c r="M1919" s="1545"/>
      <c r="N1919" s="1545"/>
      <c r="O1919" s="1539"/>
      <c r="P1919" s="1539"/>
      <c r="Q1919" s="1539"/>
      <c r="R1919" s="1539"/>
      <c r="S1919" s="1539"/>
      <c r="T1919" s="1539"/>
      <c r="U1919" s="1539"/>
      <c r="V1919" s="1539"/>
      <c r="W1919" s="1539"/>
      <c r="X1919" s="1539"/>
      <c r="Y1919" s="1539"/>
      <c r="Z1919" s="1539"/>
      <c r="AA1919" s="1539"/>
      <c r="AB1919" s="1539"/>
      <c r="AC1919" s="1539"/>
      <c r="AD1919" s="1539"/>
      <c r="AE1919" s="1539"/>
      <c r="AF1919" s="1539"/>
      <c r="AG1919" s="1539"/>
      <c r="AH1919" s="1539"/>
      <c r="AI1919" s="1539"/>
      <c r="AJ1919" s="1539"/>
      <c r="AK1919" s="1539"/>
      <c r="AL1919" s="1539"/>
      <c r="AM1919" s="1539"/>
      <c r="AN1919" s="1539"/>
      <c r="AO1919" s="1539"/>
      <c r="AP1919" s="1539"/>
      <c r="AQ1919" s="1539"/>
      <c r="AR1919" s="1539"/>
      <c r="AS1919" s="1539"/>
      <c r="AT1919" s="1539"/>
      <c r="AU1919" s="1539"/>
      <c r="AV1919" s="1539"/>
      <c r="AW1919" s="1539"/>
      <c r="AX1919" s="1539"/>
      <c r="AY1919" s="1539"/>
      <c r="AZ1919" s="1539"/>
      <c r="BA1919" s="1539"/>
      <c r="BB1919" s="1539"/>
      <c r="BC1919" s="1539"/>
      <c r="BD1919" s="1539"/>
      <c r="BE1919" s="1539"/>
      <c r="BF1919" s="1539"/>
      <c r="BG1919" s="1539"/>
      <c r="BH1919" s="1539"/>
      <c r="BI1919" s="1539"/>
      <c r="BJ1919" s="1539"/>
      <c r="BK1919" s="1539"/>
      <c r="BL1919" s="1539"/>
      <c r="BM1919" s="1539"/>
      <c r="BN1919" s="1539"/>
      <c r="BO1919" s="1539"/>
      <c r="BP1919" s="1539"/>
      <c r="BQ1919" s="1539"/>
      <c r="BR1919" s="1539"/>
      <c r="BS1919" s="1539"/>
      <c r="BT1919" s="1539"/>
      <c r="BU1919" s="1539"/>
      <c r="BV1919" s="1539"/>
      <c r="BW1919" s="1539"/>
      <c r="BX1919" s="1539"/>
      <c r="BY1919" s="1539"/>
      <c r="BZ1919" s="1539"/>
      <c r="CA1919" s="1539"/>
      <c r="CB1919" s="1539"/>
      <c r="CC1919" s="1539"/>
      <c r="CD1919" s="1539"/>
      <c r="CE1919" s="1539"/>
      <c r="CF1919" s="1539"/>
      <c r="CG1919" s="1539"/>
      <c r="CH1919" s="1539"/>
      <c r="CI1919" s="1539"/>
      <c r="CJ1919" s="1539"/>
      <c r="CK1919" s="1539"/>
      <c r="CL1919" s="1539"/>
      <c r="CM1919" s="1539"/>
      <c r="CN1919" s="1539"/>
      <c r="CO1919" s="1539"/>
    </row>
    <row r="1920" spans="1:93" s="1552" customFormat="1" ht="15.5">
      <c r="A1920" s="1598" t="s">
        <v>3443</v>
      </c>
      <c r="B1920" s="1599" t="s">
        <v>1760</v>
      </c>
      <c r="C1920" s="1643" t="e">
        <f>+SUMIF(#REF!,Final!A1920,#REF!)</f>
        <v>#REF!</v>
      </c>
      <c r="D1920" s="1597" t="e">
        <f>+SUMIF(#REF!,Final!A1920,#REF!)</f>
        <v>#REF!</v>
      </c>
      <c r="E1920" s="1643" t="e">
        <f>SUMIF(#REF!,Final!A1920,#REF!)</f>
        <v>#REF!</v>
      </c>
      <c r="F1920" s="1644" t="e">
        <f>SUMIF(#REF!,Final!A1920,#REF!)</f>
        <v>#REF!</v>
      </c>
      <c r="G1920" s="1597" t="e">
        <f t="shared" si="196"/>
        <v>#REF!</v>
      </c>
      <c r="H1920" s="1644" t="e">
        <f t="shared" si="197"/>
        <v>#REF!</v>
      </c>
      <c r="I1920" s="1597" t="e">
        <f t="shared" si="198"/>
        <v>#REF!</v>
      </c>
      <c r="J1920" s="1644" t="e">
        <f t="shared" si="199"/>
        <v>#REF!</v>
      </c>
      <c r="K1920" s="1539"/>
      <c r="L1920" s="1539"/>
      <c r="M1920" s="1545"/>
      <c r="N1920" s="1545"/>
      <c r="O1920" s="1539"/>
      <c r="P1920" s="1539"/>
      <c r="Q1920" s="1539"/>
      <c r="R1920" s="1539"/>
      <c r="S1920" s="1539"/>
      <c r="T1920" s="1539"/>
      <c r="U1920" s="1539"/>
      <c r="V1920" s="1539"/>
      <c r="W1920" s="1539"/>
      <c r="X1920" s="1539"/>
      <c r="Y1920" s="1539"/>
      <c r="Z1920" s="1539"/>
      <c r="AA1920" s="1539"/>
      <c r="AB1920" s="1539"/>
      <c r="AC1920" s="1539"/>
      <c r="AD1920" s="1539"/>
      <c r="AE1920" s="1539"/>
      <c r="AF1920" s="1539"/>
      <c r="AG1920" s="1539"/>
      <c r="AH1920" s="1539"/>
      <c r="AI1920" s="1539"/>
      <c r="AJ1920" s="1539"/>
      <c r="AK1920" s="1539"/>
      <c r="AL1920" s="1539"/>
      <c r="AM1920" s="1539"/>
      <c r="AN1920" s="1539"/>
      <c r="AO1920" s="1539"/>
      <c r="AP1920" s="1539"/>
      <c r="AQ1920" s="1539"/>
      <c r="AR1920" s="1539"/>
      <c r="AS1920" s="1539"/>
      <c r="AT1920" s="1539"/>
      <c r="AU1920" s="1539"/>
      <c r="AV1920" s="1539"/>
      <c r="AW1920" s="1539"/>
      <c r="AX1920" s="1539"/>
      <c r="AY1920" s="1539"/>
      <c r="AZ1920" s="1539"/>
      <c r="BA1920" s="1539"/>
      <c r="BB1920" s="1539"/>
      <c r="BC1920" s="1539"/>
      <c r="BD1920" s="1539"/>
      <c r="BE1920" s="1539"/>
      <c r="BF1920" s="1539"/>
      <c r="BG1920" s="1539"/>
      <c r="BH1920" s="1539"/>
      <c r="BI1920" s="1539"/>
      <c r="BJ1920" s="1539"/>
      <c r="BK1920" s="1539"/>
      <c r="BL1920" s="1539"/>
      <c r="BM1920" s="1539"/>
      <c r="BN1920" s="1539"/>
      <c r="BO1920" s="1539"/>
      <c r="BP1920" s="1539"/>
      <c r="BQ1920" s="1539"/>
      <c r="BR1920" s="1539"/>
      <c r="BS1920" s="1539"/>
      <c r="BT1920" s="1539"/>
      <c r="BU1920" s="1539"/>
      <c r="BV1920" s="1539"/>
      <c r="BW1920" s="1539"/>
      <c r="BX1920" s="1539"/>
      <c r="BY1920" s="1539"/>
      <c r="BZ1920" s="1539"/>
      <c r="CA1920" s="1539"/>
      <c r="CB1920" s="1539"/>
      <c r="CC1920" s="1539"/>
      <c r="CD1920" s="1539"/>
      <c r="CE1920" s="1539"/>
      <c r="CF1920" s="1539"/>
      <c r="CG1920" s="1539"/>
      <c r="CH1920" s="1539"/>
      <c r="CI1920" s="1539"/>
      <c r="CJ1920" s="1539"/>
      <c r="CK1920" s="1539"/>
      <c r="CL1920" s="1539"/>
      <c r="CM1920" s="1539"/>
      <c r="CN1920" s="1539"/>
      <c r="CO1920" s="1539"/>
    </row>
    <row r="1921" spans="1:93" s="1542" customFormat="1" ht="15.5">
      <c r="A1921" s="1598" t="s">
        <v>1824</v>
      </c>
      <c r="B1921" s="1599" t="s">
        <v>1825</v>
      </c>
      <c r="C1921" s="1643" t="e">
        <f>+SUMIF(#REF!,Final!A1921,#REF!)</f>
        <v>#REF!</v>
      </c>
      <c r="D1921" s="1597" t="e">
        <f>+SUMIF(#REF!,Final!A1921,#REF!)</f>
        <v>#REF!</v>
      </c>
      <c r="E1921" s="1643" t="e">
        <f>SUMIF(#REF!,Final!A1921,#REF!)</f>
        <v>#REF!</v>
      </c>
      <c r="F1921" s="1644" t="e">
        <f>SUMIF(#REF!,Final!A1921,#REF!)</f>
        <v>#REF!</v>
      </c>
      <c r="G1921" s="1597" t="e">
        <f t="shared" si="196"/>
        <v>#REF!</v>
      </c>
      <c r="H1921" s="1644" t="e">
        <f t="shared" si="197"/>
        <v>#REF!</v>
      </c>
      <c r="I1921" s="1597" t="e">
        <f t="shared" si="198"/>
        <v>#REF!</v>
      </c>
      <c r="J1921" s="1644" t="e">
        <f t="shared" si="199"/>
        <v>#REF!</v>
      </c>
      <c r="K1921" s="1539"/>
      <c r="L1921" s="1539"/>
      <c r="M1921" s="1545"/>
      <c r="N1921" s="1545"/>
      <c r="O1921" s="1539"/>
      <c r="P1921" s="1539"/>
      <c r="Q1921" s="1539"/>
      <c r="R1921" s="1539"/>
      <c r="S1921" s="1539"/>
      <c r="T1921" s="1539"/>
      <c r="U1921" s="1539"/>
      <c r="V1921" s="1539"/>
      <c r="W1921" s="1539"/>
      <c r="X1921" s="1539"/>
      <c r="Y1921" s="1539"/>
      <c r="Z1921" s="1539"/>
      <c r="AA1921" s="1539"/>
      <c r="AB1921" s="1539"/>
      <c r="AC1921" s="1539"/>
      <c r="AD1921" s="1539"/>
      <c r="AE1921" s="1539"/>
      <c r="AF1921" s="1539"/>
      <c r="AG1921" s="1539"/>
      <c r="AH1921" s="1539"/>
      <c r="AI1921" s="1539"/>
      <c r="AJ1921" s="1539"/>
      <c r="AK1921" s="1539"/>
      <c r="AL1921" s="1539"/>
      <c r="AM1921" s="1539"/>
      <c r="AN1921" s="1539"/>
      <c r="AO1921" s="1539"/>
      <c r="AP1921" s="1539"/>
      <c r="AQ1921" s="1539"/>
      <c r="AR1921" s="1539"/>
      <c r="AS1921" s="1539"/>
      <c r="AT1921" s="1539"/>
      <c r="AU1921" s="1539"/>
      <c r="AV1921" s="1539"/>
      <c r="AW1921" s="1539"/>
      <c r="AX1921" s="1539"/>
      <c r="AY1921" s="1539"/>
      <c r="AZ1921" s="1539"/>
      <c r="BA1921" s="1539"/>
      <c r="BB1921" s="1539"/>
      <c r="BC1921" s="1539"/>
      <c r="BD1921" s="1539"/>
      <c r="BE1921" s="1539"/>
      <c r="BF1921" s="1539"/>
      <c r="BG1921" s="1539"/>
      <c r="BH1921" s="1539"/>
      <c r="BI1921" s="1539"/>
      <c r="BJ1921" s="1539"/>
      <c r="BK1921" s="1539"/>
      <c r="BL1921" s="1539"/>
      <c r="BM1921" s="1539"/>
      <c r="BN1921" s="1539"/>
      <c r="BO1921" s="1539"/>
      <c r="BP1921" s="1539"/>
      <c r="BQ1921" s="1539"/>
      <c r="BR1921" s="1539"/>
      <c r="BS1921" s="1539"/>
      <c r="BT1921" s="1539"/>
      <c r="BU1921" s="1539"/>
      <c r="BV1921" s="1539"/>
      <c r="BW1921" s="1539"/>
      <c r="BX1921" s="1539"/>
      <c r="BY1921" s="1539"/>
      <c r="BZ1921" s="1539"/>
      <c r="CA1921" s="1539"/>
      <c r="CB1921" s="1539"/>
      <c r="CC1921" s="1539"/>
      <c r="CD1921" s="1539"/>
      <c r="CE1921" s="1539"/>
      <c r="CF1921" s="1539"/>
      <c r="CG1921" s="1539"/>
      <c r="CH1921" s="1539"/>
      <c r="CI1921" s="1539"/>
      <c r="CJ1921" s="1539"/>
      <c r="CK1921" s="1539"/>
      <c r="CL1921" s="1539"/>
      <c r="CM1921" s="1539"/>
      <c r="CN1921" s="1539"/>
      <c r="CO1921" s="1539"/>
    </row>
    <row r="1922" spans="1:93" ht="15.5">
      <c r="A1922" s="1598">
        <v>43.11</v>
      </c>
      <c r="B1922" s="1599" t="s">
        <v>1826</v>
      </c>
      <c r="C1922" s="1643" t="e">
        <f>+SUMIF(#REF!,Final!A1922,#REF!)</f>
        <v>#REF!</v>
      </c>
      <c r="D1922" s="1597" t="e">
        <f>+SUMIF(#REF!,Final!A1922,#REF!)</f>
        <v>#REF!</v>
      </c>
      <c r="E1922" s="1643" t="e">
        <f>SUMIF(#REF!,Final!A1922,#REF!)</f>
        <v>#REF!</v>
      </c>
      <c r="F1922" s="1644" t="e">
        <f>SUMIF(#REF!,Final!A1922,#REF!)</f>
        <v>#REF!</v>
      </c>
      <c r="G1922" s="1597" t="e">
        <f t="shared" si="196"/>
        <v>#REF!</v>
      </c>
      <c r="H1922" s="1644" t="e">
        <f t="shared" si="197"/>
        <v>#REF!</v>
      </c>
      <c r="I1922" s="1597" t="e">
        <f t="shared" si="198"/>
        <v>#REF!</v>
      </c>
      <c r="J1922" s="1644" t="e">
        <f t="shared" si="199"/>
        <v>#REF!</v>
      </c>
      <c r="M1922" s="1545"/>
      <c r="N1922" s="1545"/>
    </row>
    <row r="1923" spans="1:93" ht="15.5">
      <c r="A1923" s="1598">
        <v>43.110999999999997</v>
      </c>
      <c r="B1923" s="1599" t="s">
        <v>3930</v>
      </c>
      <c r="C1923" s="1643" t="e">
        <f>+SUMIF(#REF!,Final!A1923,#REF!)</f>
        <v>#REF!</v>
      </c>
      <c r="D1923" s="1597" t="e">
        <f>+SUMIF(#REF!,Final!A1923,#REF!)</f>
        <v>#REF!</v>
      </c>
      <c r="E1923" s="1643" t="e">
        <f>SUMIF(#REF!,Final!A1923,#REF!)</f>
        <v>#REF!</v>
      </c>
      <c r="F1923" s="1644" t="e">
        <f>SUMIF(#REF!,Final!A1923,#REF!)</f>
        <v>#REF!</v>
      </c>
      <c r="G1923" s="1597" t="e">
        <f t="shared" si="196"/>
        <v>#REF!</v>
      </c>
      <c r="H1923" s="1644" t="e">
        <f t="shared" si="197"/>
        <v>#REF!</v>
      </c>
      <c r="I1923" s="1597" t="e">
        <f t="shared" si="198"/>
        <v>#REF!</v>
      </c>
      <c r="J1923" s="1644" t="e">
        <f t="shared" si="199"/>
        <v>#REF!</v>
      </c>
      <c r="M1923" s="1545"/>
      <c r="N1923" s="1545"/>
    </row>
    <row r="1924" spans="1:93" ht="15.5">
      <c r="A1924" s="1598">
        <v>43.112000000000002</v>
      </c>
      <c r="B1924" s="1599" t="s">
        <v>3931</v>
      </c>
      <c r="C1924" s="1643" t="e">
        <f>+SUMIF(#REF!,Final!A1924,#REF!)</f>
        <v>#REF!</v>
      </c>
      <c r="D1924" s="1597" t="e">
        <f>+SUMIF(#REF!,Final!A1924,#REF!)</f>
        <v>#REF!</v>
      </c>
      <c r="E1924" s="1643" t="e">
        <f>SUMIF(#REF!,Final!A1924,#REF!)</f>
        <v>#REF!</v>
      </c>
      <c r="F1924" s="1644" t="e">
        <f>SUMIF(#REF!,Final!A1924,#REF!)</f>
        <v>#REF!</v>
      </c>
      <c r="G1924" s="1597" t="e">
        <f t="shared" si="196"/>
        <v>#REF!</v>
      </c>
      <c r="H1924" s="1644" t="e">
        <f t="shared" si="197"/>
        <v>#REF!</v>
      </c>
      <c r="I1924" s="1597" t="e">
        <f t="shared" si="198"/>
        <v>#REF!</v>
      </c>
      <c r="J1924" s="1644" t="e">
        <f t="shared" si="199"/>
        <v>#REF!</v>
      </c>
      <c r="M1924" s="1545"/>
      <c r="N1924" s="1545"/>
    </row>
    <row r="1925" spans="1:93" ht="15.5">
      <c r="A1925" s="1598">
        <v>43.113999999999997</v>
      </c>
      <c r="B1925" s="1599" t="s">
        <v>4547</v>
      </c>
      <c r="C1925" s="1643" t="e">
        <f>+SUMIF(#REF!,Final!A1925,#REF!)</f>
        <v>#REF!</v>
      </c>
      <c r="D1925" s="1597" t="e">
        <f>+SUMIF(#REF!,Final!A1925,#REF!)</f>
        <v>#REF!</v>
      </c>
      <c r="E1925" s="1643" t="e">
        <f>SUMIF(#REF!,Final!A1925,#REF!)</f>
        <v>#REF!</v>
      </c>
      <c r="F1925" s="1644" t="e">
        <f>SUMIF(#REF!,Final!A1925,#REF!)</f>
        <v>#REF!</v>
      </c>
      <c r="G1925" s="1597" t="e">
        <f t="shared" si="196"/>
        <v>#REF!</v>
      </c>
      <c r="H1925" s="1644" t="e">
        <f t="shared" si="197"/>
        <v>#REF!</v>
      </c>
      <c r="I1925" s="1597" t="e">
        <f t="shared" si="198"/>
        <v>#REF!</v>
      </c>
      <c r="J1925" s="1644" t="e">
        <f t="shared" si="199"/>
        <v>#REF!</v>
      </c>
      <c r="M1925" s="1545"/>
      <c r="N1925" s="1545"/>
    </row>
    <row r="1926" spans="1:93" ht="15.5">
      <c r="A1926" s="1598">
        <v>43.115000000000002</v>
      </c>
      <c r="B1926" s="1599" t="s">
        <v>4548</v>
      </c>
      <c r="C1926" s="1643" t="e">
        <f>+SUMIF(#REF!,Final!A1926,#REF!)</f>
        <v>#REF!</v>
      </c>
      <c r="D1926" s="1597" t="e">
        <f>+SUMIF(#REF!,Final!A1926,#REF!)</f>
        <v>#REF!</v>
      </c>
      <c r="E1926" s="1643" t="e">
        <f>SUMIF(#REF!,Final!A1926,#REF!)</f>
        <v>#REF!</v>
      </c>
      <c r="F1926" s="1644" t="e">
        <f>SUMIF(#REF!,Final!A1926,#REF!)</f>
        <v>#REF!</v>
      </c>
      <c r="G1926" s="1597" t="e">
        <f t="shared" si="196"/>
        <v>#REF!</v>
      </c>
      <c r="H1926" s="1644" t="e">
        <f t="shared" si="197"/>
        <v>#REF!</v>
      </c>
      <c r="I1926" s="1597" t="e">
        <f t="shared" si="198"/>
        <v>#REF!</v>
      </c>
      <c r="J1926" s="1644" t="e">
        <f t="shared" si="199"/>
        <v>#REF!</v>
      </c>
      <c r="M1926" s="1545"/>
      <c r="N1926" s="1545"/>
    </row>
    <row r="1927" spans="1:93" ht="15.5">
      <c r="A1927" s="1598">
        <v>43.116</v>
      </c>
      <c r="B1927" s="1599" t="s">
        <v>4549</v>
      </c>
      <c r="C1927" s="1643" t="e">
        <f>+SUMIF(#REF!,Final!A1927,#REF!)</f>
        <v>#REF!</v>
      </c>
      <c r="D1927" s="1597" t="e">
        <f>+SUMIF(#REF!,Final!A1927,#REF!)</f>
        <v>#REF!</v>
      </c>
      <c r="E1927" s="1643" t="e">
        <f>SUMIF(#REF!,Final!A1927,#REF!)</f>
        <v>#REF!</v>
      </c>
      <c r="F1927" s="1644" t="e">
        <f>SUMIF(#REF!,Final!A1927,#REF!)</f>
        <v>#REF!</v>
      </c>
      <c r="G1927" s="1597" t="e">
        <f t="shared" si="196"/>
        <v>#REF!</v>
      </c>
      <c r="H1927" s="1644" t="e">
        <f t="shared" si="197"/>
        <v>#REF!</v>
      </c>
      <c r="I1927" s="1597" t="e">
        <f t="shared" si="198"/>
        <v>#REF!</v>
      </c>
      <c r="J1927" s="1644" t="e">
        <f t="shared" si="199"/>
        <v>#REF!</v>
      </c>
      <c r="M1927" s="1545"/>
      <c r="N1927" s="1545"/>
    </row>
    <row r="1928" spans="1:93" ht="15.5">
      <c r="A1928" s="1678">
        <v>43.116999999999997</v>
      </c>
      <c r="B1928" s="1697" t="s">
        <v>4984</v>
      </c>
      <c r="C1928" s="1643" t="e">
        <f>+SUMIF(#REF!,Final!A1928,#REF!)</f>
        <v>#REF!</v>
      </c>
      <c r="D1928" s="1597" t="e">
        <f>+SUMIF(#REF!,Final!A1928,#REF!)</f>
        <v>#REF!</v>
      </c>
      <c r="E1928" s="1643" t="e">
        <f>SUMIF(#REF!,Final!A1928,#REF!)</f>
        <v>#REF!</v>
      </c>
      <c r="F1928" s="1644" t="e">
        <f>SUMIF(#REF!,Final!A1928,#REF!)</f>
        <v>#REF!</v>
      </c>
      <c r="G1928" s="1597" t="e">
        <f t="shared" si="196"/>
        <v>#REF!</v>
      </c>
      <c r="H1928" s="1644" t="e">
        <f t="shared" si="197"/>
        <v>#REF!</v>
      </c>
      <c r="I1928" s="1597" t="e">
        <f t="shared" si="198"/>
        <v>#REF!</v>
      </c>
      <c r="J1928" s="1644" t="e">
        <f t="shared" si="199"/>
        <v>#REF!</v>
      </c>
      <c r="M1928" s="1545"/>
      <c r="N1928" s="1545"/>
    </row>
    <row r="1929" spans="1:93" ht="15.5">
      <c r="A1929" s="1690" t="s">
        <v>4985</v>
      </c>
      <c r="B1929" s="1703" t="s">
        <v>4986</v>
      </c>
      <c r="C1929" s="1643" t="e">
        <f>+SUMIF(#REF!,Final!A1929,#REF!)</f>
        <v>#REF!</v>
      </c>
      <c r="D1929" s="1597" t="e">
        <f>+SUMIF(#REF!,Final!A1929,#REF!)</f>
        <v>#REF!</v>
      </c>
      <c r="E1929" s="1643" t="e">
        <f>SUMIF(#REF!,Final!A1929,#REF!)</f>
        <v>#REF!</v>
      </c>
      <c r="F1929" s="1644" t="e">
        <f>SUMIF(#REF!,Final!A1929,#REF!)</f>
        <v>#REF!</v>
      </c>
      <c r="G1929" s="1597" t="e">
        <f t="shared" si="196"/>
        <v>#REF!</v>
      </c>
      <c r="H1929" s="1644" t="e">
        <f t="shared" si="197"/>
        <v>#REF!</v>
      </c>
      <c r="I1929" s="1597" t="e">
        <f t="shared" si="198"/>
        <v>#REF!</v>
      </c>
      <c r="J1929" s="1644" t="e">
        <f t="shared" si="199"/>
        <v>#REF!</v>
      </c>
      <c r="M1929" s="1545"/>
      <c r="N1929" s="1545"/>
    </row>
    <row r="1930" spans="1:93" ht="15.5">
      <c r="A1930" s="1690" t="s">
        <v>4987</v>
      </c>
      <c r="B1930" s="1703" t="s">
        <v>4988</v>
      </c>
      <c r="C1930" s="1643" t="e">
        <f>+SUMIF(#REF!,Final!A1930,#REF!)</f>
        <v>#REF!</v>
      </c>
      <c r="D1930" s="1597" t="e">
        <f>+SUMIF(#REF!,Final!A1930,#REF!)</f>
        <v>#REF!</v>
      </c>
      <c r="E1930" s="1643" t="e">
        <f>SUMIF(#REF!,Final!A1930,#REF!)</f>
        <v>#REF!</v>
      </c>
      <c r="F1930" s="1644" t="e">
        <f>SUMIF(#REF!,Final!A1930,#REF!)</f>
        <v>#REF!</v>
      </c>
      <c r="G1930" s="1597" t="e">
        <f t="shared" si="196"/>
        <v>#REF!</v>
      </c>
      <c r="H1930" s="1644" t="e">
        <f t="shared" si="197"/>
        <v>#REF!</v>
      </c>
      <c r="I1930" s="1597" t="e">
        <f t="shared" si="198"/>
        <v>#REF!</v>
      </c>
      <c r="J1930" s="1644" t="e">
        <f t="shared" si="199"/>
        <v>#REF!</v>
      </c>
      <c r="M1930" s="1545"/>
      <c r="N1930" s="1545"/>
    </row>
    <row r="1931" spans="1:93" ht="15.5">
      <c r="A1931" s="1690" t="s">
        <v>4989</v>
      </c>
      <c r="B1931" s="1703" t="s">
        <v>4990</v>
      </c>
      <c r="C1931" s="1643" t="e">
        <f>+SUMIF(#REF!,Final!A1931,#REF!)</f>
        <v>#REF!</v>
      </c>
      <c r="D1931" s="1597" t="e">
        <f>+SUMIF(#REF!,Final!A1931,#REF!)</f>
        <v>#REF!</v>
      </c>
      <c r="E1931" s="1643" t="e">
        <f>SUMIF(#REF!,Final!A1931,#REF!)</f>
        <v>#REF!</v>
      </c>
      <c r="F1931" s="1644" t="e">
        <f>SUMIF(#REF!,Final!A1931,#REF!)</f>
        <v>#REF!</v>
      </c>
      <c r="G1931" s="1597" t="e">
        <f t="shared" si="196"/>
        <v>#REF!</v>
      </c>
      <c r="H1931" s="1644" t="e">
        <f t="shared" si="197"/>
        <v>#REF!</v>
      </c>
      <c r="I1931" s="1597" t="e">
        <f t="shared" si="198"/>
        <v>#REF!</v>
      </c>
      <c r="J1931" s="1644" t="e">
        <f t="shared" si="199"/>
        <v>#REF!</v>
      </c>
      <c r="M1931" s="1545"/>
      <c r="N1931" s="1545"/>
    </row>
    <row r="1932" spans="1:93" ht="15.5">
      <c r="A1932" s="1794" t="s">
        <v>5255</v>
      </c>
      <c r="B1932" s="1795" t="s">
        <v>5256</v>
      </c>
      <c r="C1932" s="1643" t="e">
        <f>+SUMIF(#REF!,Final!A1932,#REF!)</f>
        <v>#REF!</v>
      </c>
      <c r="D1932" s="1597" t="e">
        <f>+SUMIF(#REF!,Final!A1932,#REF!)</f>
        <v>#REF!</v>
      </c>
      <c r="E1932" s="1643" t="e">
        <f>SUMIF(#REF!,Final!A1932,#REF!)</f>
        <v>#REF!</v>
      </c>
      <c r="F1932" s="1644" t="e">
        <f>SUMIF(#REF!,Final!A1932,#REF!)</f>
        <v>#REF!</v>
      </c>
      <c r="G1932" s="1597" t="e">
        <f t="shared" ref="G1932:G1934" si="200">C1932+E1932</f>
        <v>#REF!</v>
      </c>
      <c r="H1932" s="1644" t="e">
        <f t="shared" ref="H1932:H1934" si="201">D1932+F1932</f>
        <v>#REF!</v>
      </c>
      <c r="I1932" s="1597" t="e">
        <f t="shared" ref="I1932:I1934" si="202">IF(G1932&gt;H1932,G1932-H1932,0)</f>
        <v>#REF!</v>
      </c>
      <c r="J1932" s="1644" t="e">
        <f t="shared" ref="J1932:J1934" si="203">IF(H1932&gt;G1932,H1932-G1932,0)</f>
        <v>#REF!</v>
      </c>
      <c r="M1932" s="1545"/>
      <c r="N1932" s="1545"/>
    </row>
    <row r="1933" spans="1:93" ht="15.5">
      <c r="A1933" s="1794" t="s">
        <v>5257</v>
      </c>
      <c r="B1933" s="1795" t="s">
        <v>5258</v>
      </c>
      <c r="C1933" s="1643" t="e">
        <f>+SUMIF(#REF!,Final!A1933,#REF!)</f>
        <v>#REF!</v>
      </c>
      <c r="D1933" s="1597" t="e">
        <f>+SUMIF(#REF!,Final!A1933,#REF!)</f>
        <v>#REF!</v>
      </c>
      <c r="E1933" s="1643" t="e">
        <f>SUMIF(#REF!,Final!A1933,#REF!)</f>
        <v>#REF!</v>
      </c>
      <c r="F1933" s="1644" t="e">
        <f>SUMIF(#REF!,Final!A1933,#REF!)</f>
        <v>#REF!</v>
      </c>
      <c r="G1933" s="1597" t="e">
        <f t="shared" si="200"/>
        <v>#REF!</v>
      </c>
      <c r="H1933" s="1644" t="e">
        <f t="shared" si="201"/>
        <v>#REF!</v>
      </c>
      <c r="I1933" s="1597" t="e">
        <f t="shared" si="202"/>
        <v>#REF!</v>
      </c>
      <c r="J1933" s="1644" t="e">
        <f t="shared" si="203"/>
        <v>#REF!</v>
      </c>
      <c r="M1933" s="1545"/>
      <c r="N1933" s="1545"/>
    </row>
    <row r="1934" spans="1:93" ht="15.5">
      <c r="A1934" s="1794" t="s">
        <v>5259</v>
      </c>
      <c r="B1934" s="1795" t="s">
        <v>5260</v>
      </c>
      <c r="C1934" s="1643" t="e">
        <f>+SUMIF(#REF!,Final!A1934,#REF!)</f>
        <v>#REF!</v>
      </c>
      <c r="D1934" s="1597" t="e">
        <f>+SUMIF(#REF!,Final!A1934,#REF!)</f>
        <v>#REF!</v>
      </c>
      <c r="E1934" s="1643" t="e">
        <f>SUMIF(#REF!,Final!A1934,#REF!)</f>
        <v>#REF!</v>
      </c>
      <c r="F1934" s="1644" t="e">
        <f>SUMIF(#REF!,Final!A1934,#REF!)</f>
        <v>#REF!</v>
      </c>
      <c r="G1934" s="1597" t="e">
        <f t="shared" si="200"/>
        <v>#REF!</v>
      </c>
      <c r="H1934" s="1644" t="e">
        <f t="shared" si="201"/>
        <v>#REF!</v>
      </c>
      <c r="I1934" s="1597" t="e">
        <f t="shared" si="202"/>
        <v>#REF!</v>
      </c>
      <c r="J1934" s="1644" t="e">
        <f t="shared" si="203"/>
        <v>#REF!</v>
      </c>
      <c r="M1934" s="1545"/>
      <c r="N1934" s="1545"/>
    </row>
    <row r="1935" spans="1:93" ht="15.5">
      <c r="A1935" s="1598">
        <v>43.113</v>
      </c>
      <c r="B1935" s="1599" t="s">
        <v>3932</v>
      </c>
      <c r="C1935" s="1643" t="e">
        <f>+SUMIF(#REF!,Final!A1935,#REF!)</f>
        <v>#REF!</v>
      </c>
      <c r="D1935" s="1597" t="e">
        <f>+SUMIF(#REF!,Final!A1935,#REF!)</f>
        <v>#REF!</v>
      </c>
      <c r="E1935" s="1643" t="e">
        <f>SUMIF(#REF!,Final!A1935,#REF!)</f>
        <v>#REF!</v>
      </c>
      <c r="F1935" s="1644" t="e">
        <f>SUMIF(#REF!,Final!A1935,#REF!)</f>
        <v>#REF!</v>
      </c>
      <c r="G1935" s="1597" t="e">
        <f t="shared" si="196"/>
        <v>#REF!</v>
      </c>
      <c r="H1935" s="1644" t="e">
        <f t="shared" si="197"/>
        <v>#REF!</v>
      </c>
      <c r="I1935" s="1597" t="e">
        <f t="shared" si="198"/>
        <v>#REF!</v>
      </c>
      <c r="J1935" s="1644" t="e">
        <f t="shared" si="199"/>
        <v>#REF!</v>
      </c>
      <c r="M1935" s="1545"/>
      <c r="N1935" s="1545"/>
    </row>
    <row r="1936" spans="1:93" s="1552" customFormat="1" ht="15.5">
      <c r="A1936" s="1598"/>
      <c r="B1936" s="1599" t="s">
        <v>1747</v>
      </c>
      <c r="C1936" s="1643" t="e">
        <f>+SUMIF(#REF!,Final!A1936,#REF!)</f>
        <v>#REF!</v>
      </c>
      <c r="D1936" s="1597" t="e">
        <f>+SUMIF(#REF!,Final!A1936,#REF!)</f>
        <v>#REF!</v>
      </c>
      <c r="E1936" s="1643" t="e">
        <f>SUMIF(#REF!,Final!A1936,#REF!)</f>
        <v>#REF!</v>
      </c>
      <c r="F1936" s="1644" t="e">
        <f>SUMIF(#REF!,Final!A1936,#REF!)</f>
        <v>#REF!</v>
      </c>
      <c r="G1936" s="1597" t="e">
        <f t="shared" si="196"/>
        <v>#REF!</v>
      </c>
      <c r="H1936" s="1644" t="e">
        <f t="shared" si="197"/>
        <v>#REF!</v>
      </c>
      <c r="I1936" s="1597" t="e">
        <f t="shared" si="198"/>
        <v>#REF!</v>
      </c>
      <c r="J1936" s="1644" t="e">
        <f t="shared" si="199"/>
        <v>#REF!</v>
      </c>
      <c r="K1936" s="1539"/>
      <c r="L1936" s="1539"/>
      <c r="M1936" s="1545"/>
      <c r="N1936" s="1545"/>
      <c r="O1936" s="1539"/>
      <c r="P1936" s="1539"/>
      <c r="Q1936" s="1539"/>
      <c r="R1936" s="1539"/>
      <c r="S1936" s="1539"/>
      <c r="T1936" s="1539"/>
      <c r="U1936" s="1539"/>
      <c r="V1936" s="1539"/>
      <c r="W1936" s="1539"/>
      <c r="X1936" s="1539"/>
      <c r="Y1936" s="1539"/>
      <c r="Z1936" s="1539"/>
      <c r="AA1936" s="1539"/>
      <c r="AB1936" s="1539"/>
      <c r="AC1936" s="1539"/>
      <c r="AD1936" s="1539"/>
      <c r="AE1936" s="1539"/>
      <c r="AF1936" s="1539"/>
      <c r="AG1936" s="1539"/>
      <c r="AH1936" s="1539"/>
      <c r="AI1936" s="1539"/>
      <c r="AJ1936" s="1539"/>
      <c r="AK1936" s="1539"/>
      <c r="AL1936" s="1539"/>
      <c r="AM1936" s="1539"/>
      <c r="AN1936" s="1539"/>
      <c r="AO1936" s="1539"/>
      <c r="AP1936" s="1539"/>
      <c r="AQ1936" s="1539"/>
      <c r="AR1936" s="1539"/>
      <c r="AS1936" s="1539"/>
      <c r="AT1936" s="1539"/>
      <c r="AU1936" s="1539"/>
      <c r="AV1936" s="1539"/>
      <c r="AW1936" s="1539"/>
      <c r="AX1936" s="1539"/>
      <c r="AY1936" s="1539"/>
      <c r="AZ1936" s="1539"/>
      <c r="BA1936" s="1539"/>
      <c r="BB1936" s="1539"/>
      <c r="BC1936" s="1539"/>
      <c r="BD1936" s="1539"/>
      <c r="BE1936" s="1539"/>
      <c r="BF1936" s="1539"/>
      <c r="BG1936" s="1539"/>
      <c r="BH1936" s="1539"/>
      <c r="BI1936" s="1539"/>
      <c r="BJ1936" s="1539"/>
      <c r="BK1936" s="1539"/>
      <c r="BL1936" s="1539"/>
      <c r="BM1936" s="1539"/>
      <c r="BN1936" s="1539"/>
      <c r="BO1936" s="1539"/>
      <c r="BP1936" s="1539"/>
      <c r="BQ1936" s="1539"/>
      <c r="BR1936" s="1539"/>
      <c r="BS1936" s="1539"/>
      <c r="BT1936" s="1539"/>
      <c r="BU1936" s="1539"/>
      <c r="BV1936" s="1539"/>
      <c r="BW1936" s="1539"/>
      <c r="BX1936" s="1539"/>
      <c r="BY1936" s="1539"/>
      <c r="BZ1936" s="1539"/>
      <c r="CA1936" s="1539"/>
      <c r="CB1936" s="1539"/>
      <c r="CC1936" s="1539"/>
      <c r="CD1936" s="1539"/>
      <c r="CE1936" s="1539"/>
      <c r="CF1936" s="1539"/>
      <c r="CG1936" s="1539"/>
      <c r="CH1936" s="1539"/>
      <c r="CI1936" s="1539"/>
      <c r="CJ1936" s="1539"/>
      <c r="CK1936" s="1539"/>
      <c r="CL1936" s="1539"/>
      <c r="CM1936" s="1539"/>
      <c r="CN1936" s="1539"/>
      <c r="CO1936" s="1539"/>
    </row>
    <row r="1937" spans="1:93" s="1552" customFormat="1" ht="15.5">
      <c r="A1937" s="1598" t="s">
        <v>3443</v>
      </c>
      <c r="B1937" s="1599" t="s">
        <v>1760</v>
      </c>
      <c r="C1937" s="1643" t="e">
        <f>+SUMIF(#REF!,Final!A1937,#REF!)</f>
        <v>#REF!</v>
      </c>
      <c r="D1937" s="1597" t="e">
        <f>+SUMIF(#REF!,Final!A1937,#REF!)</f>
        <v>#REF!</v>
      </c>
      <c r="E1937" s="1643" t="e">
        <f>SUMIF(#REF!,Final!A1937,#REF!)</f>
        <v>#REF!</v>
      </c>
      <c r="F1937" s="1644" t="e">
        <f>SUMIF(#REF!,Final!A1937,#REF!)</f>
        <v>#REF!</v>
      </c>
      <c r="G1937" s="1597" t="e">
        <f t="shared" si="196"/>
        <v>#REF!</v>
      </c>
      <c r="H1937" s="1644" t="e">
        <f t="shared" si="197"/>
        <v>#REF!</v>
      </c>
      <c r="I1937" s="1597" t="e">
        <f t="shared" si="198"/>
        <v>#REF!</v>
      </c>
      <c r="J1937" s="1644" t="e">
        <f t="shared" si="199"/>
        <v>#REF!</v>
      </c>
      <c r="K1937" s="1539"/>
      <c r="L1937" s="1539"/>
      <c r="M1937" s="1545"/>
      <c r="N1937" s="1545"/>
      <c r="O1937" s="1539"/>
      <c r="P1937" s="1539"/>
      <c r="Q1937" s="1539"/>
      <c r="R1937" s="1539"/>
      <c r="S1937" s="1539"/>
      <c r="T1937" s="1539"/>
      <c r="U1937" s="1539"/>
      <c r="V1937" s="1539"/>
      <c r="W1937" s="1539"/>
      <c r="X1937" s="1539"/>
      <c r="Y1937" s="1539"/>
      <c r="Z1937" s="1539"/>
      <c r="AA1937" s="1539"/>
      <c r="AB1937" s="1539"/>
      <c r="AC1937" s="1539"/>
      <c r="AD1937" s="1539"/>
      <c r="AE1937" s="1539"/>
      <c r="AF1937" s="1539"/>
      <c r="AG1937" s="1539"/>
      <c r="AH1937" s="1539"/>
      <c r="AI1937" s="1539"/>
      <c r="AJ1937" s="1539"/>
      <c r="AK1937" s="1539"/>
      <c r="AL1937" s="1539"/>
      <c r="AM1937" s="1539"/>
      <c r="AN1937" s="1539"/>
      <c r="AO1937" s="1539"/>
      <c r="AP1937" s="1539"/>
      <c r="AQ1937" s="1539"/>
      <c r="AR1937" s="1539"/>
      <c r="AS1937" s="1539"/>
      <c r="AT1937" s="1539"/>
      <c r="AU1937" s="1539"/>
      <c r="AV1937" s="1539"/>
      <c r="AW1937" s="1539"/>
      <c r="AX1937" s="1539"/>
      <c r="AY1937" s="1539"/>
      <c r="AZ1937" s="1539"/>
      <c r="BA1937" s="1539"/>
      <c r="BB1937" s="1539"/>
      <c r="BC1937" s="1539"/>
      <c r="BD1937" s="1539"/>
      <c r="BE1937" s="1539"/>
      <c r="BF1937" s="1539"/>
      <c r="BG1937" s="1539"/>
      <c r="BH1937" s="1539"/>
      <c r="BI1937" s="1539"/>
      <c r="BJ1937" s="1539"/>
      <c r="BK1937" s="1539"/>
      <c r="BL1937" s="1539"/>
      <c r="BM1937" s="1539"/>
      <c r="BN1937" s="1539"/>
      <c r="BO1937" s="1539"/>
      <c r="BP1937" s="1539"/>
      <c r="BQ1937" s="1539"/>
      <c r="BR1937" s="1539"/>
      <c r="BS1937" s="1539"/>
      <c r="BT1937" s="1539"/>
      <c r="BU1937" s="1539"/>
      <c r="BV1937" s="1539"/>
      <c r="BW1937" s="1539"/>
      <c r="BX1937" s="1539"/>
      <c r="BY1937" s="1539"/>
      <c r="BZ1937" s="1539"/>
      <c r="CA1937" s="1539"/>
      <c r="CB1937" s="1539"/>
      <c r="CC1937" s="1539"/>
      <c r="CD1937" s="1539"/>
      <c r="CE1937" s="1539"/>
      <c r="CF1937" s="1539"/>
      <c r="CG1937" s="1539"/>
      <c r="CH1937" s="1539"/>
      <c r="CI1937" s="1539"/>
      <c r="CJ1937" s="1539"/>
      <c r="CK1937" s="1539"/>
      <c r="CL1937" s="1539"/>
      <c r="CM1937" s="1539"/>
      <c r="CN1937" s="1539"/>
      <c r="CO1937" s="1539"/>
    </row>
    <row r="1938" spans="1:93" s="1542" customFormat="1" ht="15.5">
      <c r="A1938" s="1598" t="s">
        <v>1827</v>
      </c>
      <c r="B1938" s="1599" t="s">
        <v>1828</v>
      </c>
      <c r="C1938" s="1643" t="e">
        <f>+SUMIF(#REF!,Final!A1938,#REF!)</f>
        <v>#REF!</v>
      </c>
      <c r="D1938" s="1597" t="e">
        <f>+SUMIF(#REF!,Final!A1938,#REF!)</f>
        <v>#REF!</v>
      </c>
      <c r="E1938" s="1643" t="e">
        <f>SUMIF(#REF!,Final!A1938,#REF!)</f>
        <v>#REF!</v>
      </c>
      <c r="F1938" s="1644" t="e">
        <f>SUMIF(#REF!,Final!A1938,#REF!)</f>
        <v>#REF!</v>
      </c>
      <c r="G1938" s="1597" t="e">
        <f t="shared" si="196"/>
        <v>#REF!</v>
      </c>
      <c r="H1938" s="1644" t="e">
        <f t="shared" si="197"/>
        <v>#REF!</v>
      </c>
      <c r="I1938" s="1597" t="e">
        <f t="shared" si="198"/>
        <v>#REF!</v>
      </c>
      <c r="J1938" s="1644" t="e">
        <f t="shared" si="199"/>
        <v>#REF!</v>
      </c>
      <c r="K1938" s="1539"/>
      <c r="L1938" s="1539"/>
      <c r="M1938" s="1545"/>
      <c r="N1938" s="1545"/>
      <c r="O1938" s="1539"/>
      <c r="P1938" s="1539"/>
      <c r="Q1938" s="1539"/>
      <c r="R1938" s="1539"/>
      <c r="S1938" s="1539"/>
      <c r="T1938" s="1539"/>
      <c r="U1938" s="1539"/>
      <c r="V1938" s="1539"/>
      <c r="W1938" s="1539"/>
      <c r="X1938" s="1539"/>
      <c r="Y1938" s="1539"/>
      <c r="Z1938" s="1539"/>
      <c r="AA1938" s="1539"/>
      <c r="AB1938" s="1539"/>
      <c r="AC1938" s="1539"/>
      <c r="AD1938" s="1539"/>
      <c r="AE1938" s="1539"/>
      <c r="AF1938" s="1539"/>
      <c r="AG1938" s="1539"/>
      <c r="AH1938" s="1539"/>
      <c r="AI1938" s="1539"/>
      <c r="AJ1938" s="1539"/>
      <c r="AK1938" s="1539"/>
      <c r="AL1938" s="1539"/>
      <c r="AM1938" s="1539"/>
      <c r="AN1938" s="1539"/>
      <c r="AO1938" s="1539"/>
      <c r="AP1938" s="1539"/>
      <c r="AQ1938" s="1539"/>
      <c r="AR1938" s="1539"/>
      <c r="AS1938" s="1539"/>
      <c r="AT1938" s="1539"/>
      <c r="AU1938" s="1539"/>
      <c r="AV1938" s="1539"/>
      <c r="AW1938" s="1539"/>
      <c r="AX1938" s="1539"/>
      <c r="AY1938" s="1539"/>
      <c r="AZ1938" s="1539"/>
      <c r="BA1938" s="1539"/>
      <c r="BB1938" s="1539"/>
      <c r="BC1938" s="1539"/>
      <c r="BD1938" s="1539"/>
      <c r="BE1938" s="1539"/>
      <c r="BF1938" s="1539"/>
      <c r="BG1938" s="1539"/>
      <c r="BH1938" s="1539"/>
      <c r="BI1938" s="1539"/>
      <c r="BJ1938" s="1539"/>
      <c r="BK1938" s="1539"/>
      <c r="BL1938" s="1539"/>
      <c r="BM1938" s="1539"/>
      <c r="BN1938" s="1539"/>
      <c r="BO1938" s="1539"/>
      <c r="BP1938" s="1539"/>
      <c r="BQ1938" s="1539"/>
      <c r="BR1938" s="1539"/>
      <c r="BS1938" s="1539"/>
      <c r="BT1938" s="1539"/>
      <c r="BU1938" s="1539"/>
      <c r="BV1938" s="1539"/>
      <c r="BW1938" s="1539"/>
      <c r="BX1938" s="1539"/>
      <c r="BY1938" s="1539"/>
      <c r="BZ1938" s="1539"/>
      <c r="CA1938" s="1539"/>
      <c r="CB1938" s="1539"/>
      <c r="CC1938" s="1539"/>
      <c r="CD1938" s="1539"/>
      <c r="CE1938" s="1539"/>
      <c r="CF1938" s="1539"/>
      <c r="CG1938" s="1539"/>
      <c r="CH1938" s="1539"/>
      <c r="CI1938" s="1539"/>
      <c r="CJ1938" s="1539"/>
      <c r="CK1938" s="1539"/>
      <c r="CL1938" s="1539"/>
      <c r="CM1938" s="1539"/>
      <c r="CN1938" s="1539"/>
      <c r="CO1938" s="1539"/>
    </row>
    <row r="1939" spans="1:93" ht="15.5">
      <c r="A1939" s="1598">
        <v>43.21</v>
      </c>
      <c r="B1939" s="1599" t="s">
        <v>1829</v>
      </c>
      <c r="C1939" s="1643" t="e">
        <f>+SUMIF(#REF!,Final!A1939,#REF!)</f>
        <v>#REF!</v>
      </c>
      <c r="D1939" s="1597" t="e">
        <f>+SUMIF(#REF!,Final!A1939,#REF!)</f>
        <v>#REF!</v>
      </c>
      <c r="E1939" s="1643" t="e">
        <f>SUMIF(#REF!,Final!A1939,#REF!)</f>
        <v>#REF!</v>
      </c>
      <c r="F1939" s="1644" t="e">
        <f>SUMIF(#REF!,Final!A1939,#REF!)</f>
        <v>#REF!</v>
      </c>
      <c r="G1939" s="1597" t="e">
        <f t="shared" si="196"/>
        <v>#REF!</v>
      </c>
      <c r="H1939" s="1644" t="e">
        <f t="shared" si="197"/>
        <v>#REF!</v>
      </c>
      <c r="I1939" s="1597" t="e">
        <f t="shared" si="198"/>
        <v>#REF!</v>
      </c>
      <c r="J1939" s="1644" t="e">
        <f t="shared" si="199"/>
        <v>#REF!</v>
      </c>
      <c r="M1939" s="1545"/>
      <c r="N1939" s="1545"/>
    </row>
    <row r="1940" spans="1:93" s="1552" customFormat="1" ht="15.5">
      <c r="A1940" s="1598"/>
      <c r="B1940" s="1599" t="s">
        <v>1747</v>
      </c>
      <c r="C1940" s="1643" t="e">
        <f>+SUMIF(#REF!,Final!A1940,#REF!)</f>
        <v>#REF!</v>
      </c>
      <c r="D1940" s="1597" t="e">
        <f>+SUMIF(#REF!,Final!A1940,#REF!)</f>
        <v>#REF!</v>
      </c>
      <c r="E1940" s="1643" t="e">
        <f>SUMIF(#REF!,Final!A1940,#REF!)</f>
        <v>#REF!</v>
      </c>
      <c r="F1940" s="1644" t="e">
        <f>SUMIF(#REF!,Final!A1940,#REF!)</f>
        <v>#REF!</v>
      </c>
      <c r="G1940" s="1597" t="e">
        <f t="shared" si="196"/>
        <v>#REF!</v>
      </c>
      <c r="H1940" s="1644" t="e">
        <f t="shared" si="197"/>
        <v>#REF!</v>
      </c>
      <c r="I1940" s="1597" t="e">
        <f t="shared" si="198"/>
        <v>#REF!</v>
      </c>
      <c r="J1940" s="1644" t="e">
        <f t="shared" si="199"/>
        <v>#REF!</v>
      </c>
      <c r="K1940" s="1539"/>
      <c r="L1940" s="1539"/>
      <c r="M1940" s="1545"/>
      <c r="N1940" s="1545"/>
      <c r="O1940" s="1539"/>
      <c r="P1940" s="1539"/>
      <c r="Q1940" s="1539"/>
      <c r="R1940" s="1539"/>
      <c r="S1940" s="1539"/>
      <c r="T1940" s="1539"/>
      <c r="U1940" s="1539"/>
      <c r="V1940" s="1539"/>
      <c r="W1940" s="1539"/>
      <c r="X1940" s="1539"/>
      <c r="Y1940" s="1539"/>
      <c r="Z1940" s="1539"/>
      <c r="AA1940" s="1539"/>
      <c r="AB1940" s="1539"/>
      <c r="AC1940" s="1539"/>
      <c r="AD1940" s="1539"/>
      <c r="AE1940" s="1539"/>
      <c r="AF1940" s="1539"/>
      <c r="AG1940" s="1539"/>
      <c r="AH1940" s="1539"/>
      <c r="AI1940" s="1539"/>
      <c r="AJ1940" s="1539"/>
      <c r="AK1940" s="1539"/>
      <c r="AL1940" s="1539"/>
      <c r="AM1940" s="1539"/>
      <c r="AN1940" s="1539"/>
      <c r="AO1940" s="1539"/>
      <c r="AP1940" s="1539"/>
      <c r="AQ1940" s="1539"/>
      <c r="AR1940" s="1539"/>
      <c r="AS1940" s="1539"/>
      <c r="AT1940" s="1539"/>
      <c r="AU1940" s="1539"/>
      <c r="AV1940" s="1539"/>
      <c r="AW1940" s="1539"/>
      <c r="AX1940" s="1539"/>
      <c r="AY1940" s="1539"/>
      <c r="AZ1940" s="1539"/>
      <c r="BA1940" s="1539"/>
      <c r="BB1940" s="1539"/>
      <c r="BC1940" s="1539"/>
      <c r="BD1940" s="1539"/>
      <c r="BE1940" s="1539"/>
      <c r="BF1940" s="1539"/>
      <c r="BG1940" s="1539"/>
      <c r="BH1940" s="1539"/>
      <c r="BI1940" s="1539"/>
      <c r="BJ1940" s="1539"/>
      <c r="BK1940" s="1539"/>
      <c r="BL1940" s="1539"/>
      <c r="BM1940" s="1539"/>
      <c r="BN1940" s="1539"/>
      <c r="BO1940" s="1539"/>
      <c r="BP1940" s="1539"/>
      <c r="BQ1940" s="1539"/>
      <c r="BR1940" s="1539"/>
      <c r="BS1940" s="1539"/>
      <c r="BT1940" s="1539"/>
      <c r="BU1940" s="1539"/>
      <c r="BV1940" s="1539"/>
      <c r="BW1940" s="1539"/>
      <c r="BX1940" s="1539"/>
      <c r="BY1940" s="1539"/>
      <c r="BZ1940" s="1539"/>
      <c r="CA1940" s="1539"/>
      <c r="CB1940" s="1539"/>
      <c r="CC1940" s="1539"/>
      <c r="CD1940" s="1539"/>
      <c r="CE1940" s="1539"/>
      <c r="CF1940" s="1539"/>
      <c r="CG1940" s="1539"/>
      <c r="CH1940" s="1539"/>
      <c r="CI1940" s="1539"/>
      <c r="CJ1940" s="1539"/>
      <c r="CK1940" s="1539"/>
      <c r="CL1940" s="1539"/>
      <c r="CM1940" s="1539"/>
      <c r="CN1940" s="1539"/>
      <c r="CO1940" s="1539"/>
    </row>
    <row r="1941" spans="1:93" s="1552" customFormat="1" ht="15.5">
      <c r="A1941" s="1598" t="s">
        <v>3443</v>
      </c>
      <c r="B1941" s="1599" t="s">
        <v>1760</v>
      </c>
      <c r="C1941" s="1643" t="e">
        <f>+SUMIF(#REF!,Final!A1941,#REF!)</f>
        <v>#REF!</v>
      </c>
      <c r="D1941" s="1597" t="e">
        <f>+SUMIF(#REF!,Final!A1941,#REF!)</f>
        <v>#REF!</v>
      </c>
      <c r="E1941" s="1643" t="e">
        <f>SUMIF(#REF!,Final!A1941,#REF!)</f>
        <v>#REF!</v>
      </c>
      <c r="F1941" s="1644" t="e">
        <f>SUMIF(#REF!,Final!A1941,#REF!)</f>
        <v>#REF!</v>
      </c>
      <c r="G1941" s="1597" t="e">
        <f t="shared" si="196"/>
        <v>#REF!</v>
      </c>
      <c r="H1941" s="1644" t="e">
        <f t="shared" si="197"/>
        <v>#REF!</v>
      </c>
      <c r="I1941" s="1597" t="e">
        <f t="shared" si="198"/>
        <v>#REF!</v>
      </c>
      <c r="J1941" s="1644" t="e">
        <f t="shared" si="199"/>
        <v>#REF!</v>
      </c>
      <c r="K1941" s="1539"/>
      <c r="L1941" s="1539"/>
      <c r="M1941" s="1545"/>
      <c r="N1941" s="1545"/>
      <c r="O1941" s="1539"/>
      <c r="P1941" s="1539"/>
      <c r="Q1941" s="1539"/>
      <c r="R1941" s="1539"/>
      <c r="S1941" s="1539"/>
      <c r="T1941" s="1539"/>
      <c r="U1941" s="1539"/>
      <c r="V1941" s="1539"/>
      <c r="W1941" s="1539"/>
      <c r="X1941" s="1539"/>
      <c r="Y1941" s="1539"/>
      <c r="Z1941" s="1539"/>
      <c r="AA1941" s="1539"/>
      <c r="AB1941" s="1539"/>
      <c r="AC1941" s="1539"/>
      <c r="AD1941" s="1539"/>
      <c r="AE1941" s="1539"/>
      <c r="AF1941" s="1539"/>
      <c r="AG1941" s="1539"/>
      <c r="AH1941" s="1539"/>
      <c r="AI1941" s="1539"/>
      <c r="AJ1941" s="1539"/>
      <c r="AK1941" s="1539"/>
      <c r="AL1941" s="1539"/>
      <c r="AM1941" s="1539"/>
      <c r="AN1941" s="1539"/>
      <c r="AO1941" s="1539"/>
      <c r="AP1941" s="1539"/>
      <c r="AQ1941" s="1539"/>
      <c r="AR1941" s="1539"/>
      <c r="AS1941" s="1539"/>
      <c r="AT1941" s="1539"/>
      <c r="AU1941" s="1539"/>
      <c r="AV1941" s="1539"/>
      <c r="AW1941" s="1539"/>
      <c r="AX1941" s="1539"/>
      <c r="AY1941" s="1539"/>
      <c r="AZ1941" s="1539"/>
      <c r="BA1941" s="1539"/>
      <c r="BB1941" s="1539"/>
      <c r="BC1941" s="1539"/>
      <c r="BD1941" s="1539"/>
      <c r="BE1941" s="1539"/>
      <c r="BF1941" s="1539"/>
      <c r="BG1941" s="1539"/>
      <c r="BH1941" s="1539"/>
      <c r="BI1941" s="1539"/>
      <c r="BJ1941" s="1539"/>
      <c r="BK1941" s="1539"/>
      <c r="BL1941" s="1539"/>
      <c r="BM1941" s="1539"/>
      <c r="BN1941" s="1539"/>
      <c r="BO1941" s="1539"/>
      <c r="BP1941" s="1539"/>
      <c r="BQ1941" s="1539"/>
      <c r="BR1941" s="1539"/>
      <c r="BS1941" s="1539"/>
      <c r="BT1941" s="1539"/>
      <c r="BU1941" s="1539"/>
      <c r="BV1941" s="1539"/>
      <c r="BW1941" s="1539"/>
      <c r="BX1941" s="1539"/>
      <c r="BY1941" s="1539"/>
      <c r="BZ1941" s="1539"/>
      <c r="CA1941" s="1539"/>
      <c r="CB1941" s="1539"/>
      <c r="CC1941" s="1539"/>
      <c r="CD1941" s="1539"/>
      <c r="CE1941" s="1539"/>
      <c r="CF1941" s="1539"/>
      <c r="CG1941" s="1539"/>
      <c r="CH1941" s="1539"/>
      <c r="CI1941" s="1539"/>
      <c r="CJ1941" s="1539"/>
      <c r="CK1941" s="1539"/>
      <c r="CL1941" s="1539"/>
      <c r="CM1941" s="1539"/>
      <c r="CN1941" s="1539"/>
      <c r="CO1941" s="1539"/>
    </row>
    <row r="1942" spans="1:93" s="1542" customFormat="1" ht="15.5">
      <c r="A1942" s="1598" t="s">
        <v>1830</v>
      </c>
      <c r="B1942" s="1599" t="s">
        <v>1831</v>
      </c>
      <c r="C1942" s="1643" t="e">
        <f>+SUMIF(#REF!,Final!A1942,#REF!)</f>
        <v>#REF!</v>
      </c>
      <c r="D1942" s="1597" t="e">
        <f>+SUMIF(#REF!,Final!A1942,#REF!)</f>
        <v>#REF!</v>
      </c>
      <c r="E1942" s="1643" t="e">
        <f>SUMIF(#REF!,Final!A1942,#REF!)</f>
        <v>#REF!</v>
      </c>
      <c r="F1942" s="1644" t="e">
        <f>SUMIF(#REF!,Final!A1942,#REF!)</f>
        <v>#REF!</v>
      </c>
      <c r="G1942" s="1597" t="e">
        <f t="shared" si="196"/>
        <v>#REF!</v>
      </c>
      <c r="H1942" s="1644" t="e">
        <f t="shared" si="197"/>
        <v>#REF!</v>
      </c>
      <c r="I1942" s="1597" t="e">
        <f t="shared" si="198"/>
        <v>#REF!</v>
      </c>
      <c r="J1942" s="1644" t="e">
        <f t="shared" si="199"/>
        <v>#REF!</v>
      </c>
      <c r="K1942" s="1539"/>
      <c r="L1942" s="1539"/>
      <c r="M1942" s="1545"/>
      <c r="N1942" s="1545"/>
      <c r="O1942" s="1539"/>
      <c r="P1942" s="1539"/>
      <c r="Q1942" s="1539"/>
      <c r="R1942" s="1539"/>
      <c r="S1942" s="1539"/>
      <c r="T1942" s="1539"/>
      <c r="U1942" s="1539"/>
      <c r="V1942" s="1539"/>
      <c r="W1942" s="1539"/>
      <c r="X1942" s="1539"/>
      <c r="Y1942" s="1539"/>
      <c r="Z1942" s="1539"/>
      <c r="AA1942" s="1539"/>
      <c r="AB1942" s="1539"/>
      <c r="AC1942" s="1539"/>
      <c r="AD1942" s="1539"/>
      <c r="AE1942" s="1539"/>
      <c r="AF1942" s="1539"/>
      <c r="AG1942" s="1539"/>
      <c r="AH1942" s="1539"/>
      <c r="AI1942" s="1539"/>
      <c r="AJ1942" s="1539"/>
      <c r="AK1942" s="1539"/>
      <c r="AL1942" s="1539"/>
      <c r="AM1942" s="1539"/>
      <c r="AN1942" s="1539"/>
      <c r="AO1942" s="1539"/>
      <c r="AP1942" s="1539"/>
      <c r="AQ1942" s="1539"/>
      <c r="AR1942" s="1539"/>
      <c r="AS1942" s="1539"/>
      <c r="AT1942" s="1539"/>
      <c r="AU1942" s="1539"/>
      <c r="AV1942" s="1539"/>
      <c r="AW1942" s="1539"/>
      <c r="AX1942" s="1539"/>
      <c r="AY1942" s="1539"/>
      <c r="AZ1942" s="1539"/>
      <c r="BA1942" s="1539"/>
      <c r="BB1942" s="1539"/>
      <c r="BC1942" s="1539"/>
      <c r="BD1942" s="1539"/>
      <c r="BE1942" s="1539"/>
      <c r="BF1942" s="1539"/>
      <c r="BG1942" s="1539"/>
      <c r="BH1942" s="1539"/>
      <c r="BI1942" s="1539"/>
      <c r="BJ1942" s="1539"/>
      <c r="BK1942" s="1539"/>
      <c r="BL1942" s="1539"/>
      <c r="BM1942" s="1539"/>
      <c r="BN1942" s="1539"/>
      <c r="BO1942" s="1539"/>
      <c r="BP1942" s="1539"/>
      <c r="BQ1942" s="1539"/>
      <c r="BR1942" s="1539"/>
      <c r="BS1942" s="1539"/>
      <c r="BT1942" s="1539"/>
      <c r="BU1942" s="1539"/>
      <c r="BV1942" s="1539"/>
      <c r="BW1942" s="1539"/>
      <c r="BX1942" s="1539"/>
      <c r="BY1942" s="1539"/>
      <c r="BZ1942" s="1539"/>
      <c r="CA1942" s="1539"/>
      <c r="CB1942" s="1539"/>
      <c r="CC1942" s="1539"/>
      <c r="CD1942" s="1539"/>
      <c r="CE1942" s="1539"/>
      <c r="CF1942" s="1539"/>
      <c r="CG1942" s="1539"/>
      <c r="CH1942" s="1539"/>
      <c r="CI1942" s="1539"/>
      <c r="CJ1942" s="1539"/>
      <c r="CK1942" s="1539"/>
      <c r="CL1942" s="1539"/>
      <c r="CM1942" s="1539"/>
      <c r="CN1942" s="1539"/>
      <c r="CO1942" s="1539"/>
    </row>
    <row r="1943" spans="1:93" ht="15.5">
      <c r="A1943" s="1598">
        <v>43.301000000000002</v>
      </c>
      <c r="B1943" s="1599" t="s">
        <v>1832</v>
      </c>
      <c r="C1943" s="1643" t="e">
        <f>+SUMIF(#REF!,Final!A1943,#REF!)</f>
        <v>#REF!</v>
      </c>
      <c r="D1943" s="1597" t="e">
        <f>+SUMIF(#REF!,Final!A1943,#REF!)</f>
        <v>#REF!</v>
      </c>
      <c r="E1943" s="1643" t="e">
        <f>SUMIF(#REF!,Final!A1943,#REF!)</f>
        <v>#REF!</v>
      </c>
      <c r="F1943" s="1644" t="e">
        <f>SUMIF(#REF!,Final!A1943,#REF!)</f>
        <v>#REF!</v>
      </c>
      <c r="G1943" s="1597" t="e">
        <f t="shared" si="196"/>
        <v>#REF!</v>
      </c>
      <c r="H1943" s="1644" t="e">
        <f t="shared" si="197"/>
        <v>#REF!</v>
      </c>
      <c r="I1943" s="1597" t="e">
        <f t="shared" si="198"/>
        <v>#REF!</v>
      </c>
      <c r="J1943" s="1644" t="e">
        <f t="shared" si="199"/>
        <v>#REF!</v>
      </c>
      <c r="M1943" s="1545"/>
      <c r="N1943" s="1545"/>
    </row>
    <row r="1944" spans="1:93" ht="15.5">
      <c r="A1944" s="1598">
        <v>43.31</v>
      </c>
      <c r="B1944" s="1599" t="s">
        <v>1833</v>
      </c>
      <c r="C1944" s="1643" t="e">
        <f>+SUMIF(#REF!,Final!A1944,#REF!)</f>
        <v>#REF!</v>
      </c>
      <c r="D1944" s="1597" t="e">
        <f>+SUMIF(#REF!,Final!A1944,#REF!)</f>
        <v>#REF!</v>
      </c>
      <c r="E1944" s="1643" t="e">
        <f>SUMIF(#REF!,Final!A1944,#REF!)</f>
        <v>#REF!</v>
      </c>
      <c r="F1944" s="1644" t="e">
        <f>SUMIF(#REF!,Final!A1944,#REF!)</f>
        <v>#REF!</v>
      </c>
      <c r="G1944" s="1597" t="e">
        <f t="shared" si="196"/>
        <v>#REF!</v>
      </c>
      <c r="H1944" s="1644" t="e">
        <f t="shared" si="197"/>
        <v>#REF!</v>
      </c>
      <c r="I1944" s="1597" t="e">
        <f t="shared" si="198"/>
        <v>#REF!</v>
      </c>
      <c r="J1944" s="1644" t="e">
        <f t="shared" si="199"/>
        <v>#REF!</v>
      </c>
      <c r="M1944" s="1545"/>
      <c r="N1944" s="1545"/>
    </row>
    <row r="1945" spans="1:93" s="1552" customFormat="1" ht="15.5">
      <c r="A1945" s="1598"/>
      <c r="B1945" s="1599" t="s">
        <v>1747</v>
      </c>
      <c r="C1945" s="1643" t="e">
        <f>+SUMIF(#REF!,Final!A1945,#REF!)</f>
        <v>#REF!</v>
      </c>
      <c r="D1945" s="1597" t="e">
        <f>+SUMIF(#REF!,Final!A1945,#REF!)</f>
        <v>#REF!</v>
      </c>
      <c r="E1945" s="1643" t="e">
        <f>SUMIF(#REF!,Final!A1945,#REF!)</f>
        <v>#REF!</v>
      </c>
      <c r="F1945" s="1644" t="e">
        <f>SUMIF(#REF!,Final!A1945,#REF!)</f>
        <v>#REF!</v>
      </c>
      <c r="G1945" s="1597" t="e">
        <f t="shared" si="196"/>
        <v>#REF!</v>
      </c>
      <c r="H1945" s="1644" t="e">
        <f t="shared" si="197"/>
        <v>#REF!</v>
      </c>
      <c r="I1945" s="1597" t="e">
        <f t="shared" si="198"/>
        <v>#REF!</v>
      </c>
      <c r="J1945" s="1644" t="e">
        <f t="shared" si="199"/>
        <v>#REF!</v>
      </c>
      <c r="K1945" s="1539"/>
      <c r="L1945" s="1539"/>
      <c r="M1945" s="1545"/>
      <c r="N1945" s="1545"/>
      <c r="O1945" s="1539"/>
      <c r="P1945" s="1539"/>
      <c r="Q1945" s="1539"/>
      <c r="R1945" s="1539"/>
      <c r="S1945" s="1539"/>
      <c r="T1945" s="1539"/>
      <c r="U1945" s="1539"/>
      <c r="V1945" s="1539"/>
      <c r="W1945" s="1539"/>
      <c r="X1945" s="1539"/>
      <c r="Y1945" s="1539"/>
      <c r="Z1945" s="1539"/>
      <c r="AA1945" s="1539"/>
      <c r="AB1945" s="1539"/>
      <c r="AC1945" s="1539"/>
      <c r="AD1945" s="1539"/>
      <c r="AE1945" s="1539"/>
      <c r="AF1945" s="1539"/>
      <c r="AG1945" s="1539"/>
      <c r="AH1945" s="1539"/>
      <c r="AI1945" s="1539"/>
      <c r="AJ1945" s="1539"/>
      <c r="AK1945" s="1539"/>
      <c r="AL1945" s="1539"/>
      <c r="AM1945" s="1539"/>
      <c r="AN1945" s="1539"/>
      <c r="AO1945" s="1539"/>
      <c r="AP1945" s="1539"/>
      <c r="AQ1945" s="1539"/>
      <c r="AR1945" s="1539"/>
      <c r="AS1945" s="1539"/>
      <c r="AT1945" s="1539"/>
      <c r="AU1945" s="1539"/>
      <c r="AV1945" s="1539"/>
      <c r="AW1945" s="1539"/>
      <c r="AX1945" s="1539"/>
      <c r="AY1945" s="1539"/>
      <c r="AZ1945" s="1539"/>
      <c r="BA1945" s="1539"/>
      <c r="BB1945" s="1539"/>
      <c r="BC1945" s="1539"/>
      <c r="BD1945" s="1539"/>
      <c r="BE1945" s="1539"/>
      <c r="BF1945" s="1539"/>
      <c r="BG1945" s="1539"/>
      <c r="BH1945" s="1539"/>
      <c r="BI1945" s="1539"/>
      <c r="BJ1945" s="1539"/>
      <c r="BK1945" s="1539"/>
      <c r="BL1945" s="1539"/>
      <c r="BM1945" s="1539"/>
      <c r="BN1945" s="1539"/>
      <c r="BO1945" s="1539"/>
      <c r="BP1945" s="1539"/>
      <c r="BQ1945" s="1539"/>
      <c r="BR1945" s="1539"/>
      <c r="BS1945" s="1539"/>
      <c r="BT1945" s="1539"/>
      <c r="BU1945" s="1539"/>
      <c r="BV1945" s="1539"/>
      <c r="BW1945" s="1539"/>
      <c r="BX1945" s="1539"/>
      <c r="BY1945" s="1539"/>
      <c r="BZ1945" s="1539"/>
      <c r="CA1945" s="1539"/>
      <c r="CB1945" s="1539"/>
      <c r="CC1945" s="1539"/>
      <c r="CD1945" s="1539"/>
      <c r="CE1945" s="1539"/>
      <c r="CF1945" s="1539"/>
      <c r="CG1945" s="1539"/>
      <c r="CH1945" s="1539"/>
      <c r="CI1945" s="1539"/>
      <c r="CJ1945" s="1539"/>
      <c r="CK1945" s="1539"/>
      <c r="CL1945" s="1539"/>
      <c r="CM1945" s="1539"/>
      <c r="CN1945" s="1539"/>
      <c r="CO1945" s="1539"/>
    </row>
    <row r="1946" spans="1:93" s="1552" customFormat="1" ht="15.5">
      <c r="A1946" s="1598" t="s">
        <v>3443</v>
      </c>
      <c r="B1946" s="1599" t="s">
        <v>1760</v>
      </c>
      <c r="C1946" s="1643" t="e">
        <f>+SUMIF(#REF!,Final!A1946,#REF!)</f>
        <v>#REF!</v>
      </c>
      <c r="D1946" s="1597" t="e">
        <f>+SUMIF(#REF!,Final!A1946,#REF!)</f>
        <v>#REF!</v>
      </c>
      <c r="E1946" s="1643" t="e">
        <f>SUMIF(#REF!,Final!A1946,#REF!)</f>
        <v>#REF!</v>
      </c>
      <c r="F1946" s="1644" t="e">
        <f>SUMIF(#REF!,Final!A1946,#REF!)</f>
        <v>#REF!</v>
      </c>
      <c r="G1946" s="1597" t="e">
        <f t="shared" si="196"/>
        <v>#REF!</v>
      </c>
      <c r="H1946" s="1644" t="e">
        <f t="shared" si="197"/>
        <v>#REF!</v>
      </c>
      <c r="I1946" s="1597" t="e">
        <f t="shared" si="198"/>
        <v>#REF!</v>
      </c>
      <c r="J1946" s="1644" t="e">
        <f t="shared" si="199"/>
        <v>#REF!</v>
      </c>
      <c r="K1946" s="1539"/>
      <c r="L1946" s="1539"/>
      <c r="M1946" s="1545"/>
      <c r="N1946" s="1545"/>
      <c r="O1946" s="1539"/>
      <c r="P1946" s="1539"/>
      <c r="Q1946" s="1539"/>
      <c r="R1946" s="1539"/>
      <c r="S1946" s="1539"/>
      <c r="T1946" s="1539"/>
      <c r="U1946" s="1539"/>
      <c r="V1946" s="1539"/>
      <c r="W1946" s="1539"/>
      <c r="X1946" s="1539"/>
      <c r="Y1946" s="1539"/>
      <c r="Z1946" s="1539"/>
      <c r="AA1946" s="1539"/>
      <c r="AB1946" s="1539"/>
      <c r="AC1946" s="1539"/>
      <c r="AD1946" s="1539"/>
      <c r="AE1946" s="1539"/>
      <c r="AF1946" s="1539"/>
      <c r="AG1946" s="1539"/>
      <c r="AH1946" s="1539"/>
      <c r="AI1946" s="1539"/>
      <c r="AJ1946" s="1539"/>
      <c r="AK1946" s="1539"/>
      <c r="AL1946" s="1539"/>
      <c r="AM1946" s="1539"/>
      <c r="AN1946" s="1539"/>
      <c r="AO1946" s="1539"/>
      <c r="AP1946" s="1539"/>
      <c r="AQ1946" s="1539"/>
      <c r="AR1946" s="1539"/>
      <c r="AS1946" s="1539"/>
      <c r="AT1946" s="1539"/>
      <c r="AU1946" s="1539"/>
      <c r="AV1946" s="1539"/>
      <c r="AW1946" s="1539"/>
      <c r="AX1946" s="1539"/>
      <c r="AY1946" s="1539"/>
      <c r="AZ1946" s="1539"/>
      <c r="BA1946" s="1539"/>
      <c r="BB1946" s="1539"/>
      <c r="BC1946" s="1539"/>
      <c r="BD1946" s="1539"/>
      <c r="BE1946" s="1539"/>
      <c r="BF1946" s="1539"/>
      <c r="BG1946" s="1539"/>
      <c r="BH1946" s="1539"/>
      <c r="BI1946" s="1539"/>
      <c r="BJ1946" s="1539"/>
      <c r="BK1946" s="1539"/>
      <c r="BL1946" s="1539"/>
      <c r="BM1946" s="1539"/>
      <c r="BN1946" s="1539"/>
      <c r="BO1946" s="1539"/>
      <c r="BP1946" s="1539"/>
      <c r="BQ1946" s="1539"/>
      <c r="BR1946" s="1539"/>
      <c r="BS1946" s="1539"/>
      <c r="BT1946" s="1539"/>
      <c r="BU1946" s="1539"/>
      <c r="BV1946" s="1539"/>
      <c r="BW1946" s="1539"/>
      <c r="BX1946" s="1539"/>
      <c r="BY1946" s="1539"/>
      <c r="BZ1946" s="1539"/>
      <c r="CA1946" s="1539"/>
      <c r="CB1946" s="1539"/>
      <c r="CC1946" s="1539"/>
      <c r="CD1946" s="1539"/>
      <c r="CE1946" s="1539"/>
      <c r="CF1946" s="1539"/>
      <c r="CG1946" s="1539"/>
      <c r="CH1946" s="1539"/>
      <c r="CI1946" s="1539"/>
      <c r="CJ1946" s="1539"/>
      <c r="CK1946" s="1539"/>
      <c r="CL1946" s="1539"/>
      <c r="CM1946" s="1539"/>
      <c r="CN1946" s="1539"/>
      <c r="CO1946" s="1539"/>
    </row>
    <row r="1947" spans="1:93" s="1542" customFormat="1" ht="15.5">
      <c r="A1947" s="1598" t="s">
        <v>1834</v>
      </c>
      <c r="B1947" s="1599" t="s">
        <v>1835</v>
      </c>
      <c r="C1947" s="1643" t="e">
        <f>+SUMIF(#REF!,Final!A1947,#REF!)</f>
        <v>#REF!</v>
      </c>
      <c r="D1947" s="1597" t="e">
        <f>+SUMIF(#REF!,Final!A1947,#REF!)</f>
        <v>#REF!</v>
      </c>
      <c r="E1947" s="1643" t="e">
        <f>SUMIF(#REF!,Final!A1947,#REF!)</f>
        <v>#REF!</v>
      </c>
      <c r="F1947" s="1644" t="e">
        <f>SUMIF(#REF!,Final!A1947,#REF!)</f>
        <v>#REF!</v>
      </c>
      <c r="G1947" s="1597" t="e">
        <f t="shared" si="196"/>
        <v>#REF!</v>
      </c>
      <c r="H1947" s="1644" t="e">
        <f t="shared" si="197"/>
        <v>#REF!</v>
      </c>
      <c r="I1947" s="1597" t="e">
        <f t="shared" si="198"/>
        <v>#REF!</v>
      </c>
      <c r="J1947" s="1644" t="e">
        <f t="shared" si="199"/>
        <v>#REF!</v>
      </c>
      <c r="K1947" s="1539"/>
      <c r="L1947" s="1539"/>
      <c r="M1947" s="1545"/>
      <c r="N1947" s="1545"/>
      <c r="O1947" s="1539"/>
      <c r="P1947" s="1539"/>
      <c r="Q1947" s="1539"/>
      <c r="R1947" s="1539"/>
      <c r="S1947" s="1539"/>
      <c r="T1947" s="1539"/>
      <c r="U1947" s="1539"/>
      <c r="V1947" s="1539"/>
      <c r="W1947" s="1539"/>
      <c r="X1947" s="1539"/>
      <c r="Y1947" s="1539"/>
      <c r="Z1947" s="1539"/>
      <c r="AA1947" s="1539"/>
      <c r="AB1947" s="1539"/>
      <c r="AC1947" s="1539"/>
      <c r="AD1947" s="1539"/>
      <c r="AE1947" s="1539"/>
      <c r="AF1947" s="1539"/>
      <c r="AG1947" s="1539"/>
      <c r="AH1947" s="1539"/>
      <c r="AI1947" s="1539"/>
      <c r="AJ1947" s="1539"/>
      <c r="AK1947" s="1539"/>
      <c r="AL1947" s="1539"/>
      <c r="AM1947" s="1539"/>
      <c r="AN1947" s="1539"/>
      <c r="AO1947" s="1539"/>
      <c r="AP1947" s="1539"/>
      <c r="AQ1947" s="1539"/>
      <c r="AR1947" s="1539"/>
      <c r="AS1947" s="1539"/>
      <c r="AT1947" s="1539"/>
      <c r="AU1947" s="1539"/>
      <c r="AV1947" s="1539"/>
      <c r="AW1947" s="1539"/>
      <c r="AX1947" s="1539"/>
      <c r="AY1947" s="1539"/>
      <c r="AZ1947" s="1539"/>
      <c r="BA1947" s="1539"/>
      <c r="BB1947" s="1539"/>
      <c r="BC1947" s="1539"/>
      <c r="BD1947" s="1539"/>
      <c r="BE1947" s="1539"/>
      <c r="BF1947" s="1539"/>
      <c r="BG1947" s="1539"/>
      <c r="BH1947" s="1539"/>
      <c r="BI1947" s="1539"/>
      <c r="BJ1947" s="1539"/>
      <c r="BK1947" s="1539"/>
      <c r="BL1947" s="1539"/>
      <c r="BM1947" s="1539"/>
      <c r="BN1947" s="1539"/>
      <c r="BO1947" s="1539"/>
      <c r="BP1947" s="1539"/>
      <c r="BQ1947" s="1539"/>
      <c r="BR1947" s="1539"/>
      <c r="BS1947" s="1539"/>
      <c r="BT1947" s="1539"/>
      <c r="BU1947" s="1539"/>
      <c r="BV1947" s="1539"/>
      <c r="BW1947" s="1539"/>
      <c r="BX1947" s="1539"/>
      <c r="BY1947" s="1539"/>
      <c r="BZ1947" s="1539"/>
      <c r="CA1947" s="1539"/>
      <c r="CB1947" s="1539"/>
      <c r="CC1947" s="1539"/>
      <c r="CD1947" s="1539"/>
      <c r="CE1947" s="1539"/>
      <c r="CF1947" s="1539"/>
      <c r="CG1947" s="1539"/>
      <c r="CH1947" s="1539"/>
      <c r="CI1947" s="1539"/>
      <c r="CJ1947" s="1539"/>
      <c r="CK1947" s="1539"/>
      <c r="CL1947" s="1539"/>
      <c r="CM1947" s="1539"/>
      <c r="CN1947" s="1539"/>
      <c r="CO1947" s="1539"/>
    </row>
    <row r="1948" spans="1:93" ht="15.5">
      <c r="A1948" s="1598">
        <v>43.41</v>
      </c>
      <c r="B1948" s="1599" t="s">
        <v>1836</v>
      </c>
      <c r="C1948" s="1643" t="e">
        <f>+SUMIF(#REF!,Final!A1948,#REF!)</f>
        <v>#REF!</v>
      </c>
      <c r="D1948" s="1597" t="e">
        <f>+SUMIF(#REF!,Final!A1948,#REF!)</f>
        <v>#REF!</v>
      </c>
      <c r="E1948" s="1643" t="e">
        <f>SUMIF(#REF!,Final!A1948,#REF!)</f>
        <v>#REF!</v>
      </c>
      <c r="F1948" s="1644" t="e">
        <f>SUMIF(#REF!,Final!A1948,#REF!)</f>
        <v>#REF!</v>
      </c>
      <c r="G1948" s="1597" t="e">
        <f t="shared" si="196"/>
        <v>#REF!</v>
      </c>
      <c r="H1948" s="1644" t="e">
        <f t="shared" si="197"/>
        <v>#REF!</v>
      </c>
      <c r="I1948" s="1597" t="e">
        <f t="shared" si="198"/>
        <v>#REF!</v>
      </c>
      <c r="J1948" s="1644" t="e">
        <f t="shared" si="199"/>
        <v>#REF!</v>
      </c>
      <c r="M1948" s="1545"/>
      <c r="N1948" s="1545"/>
    </row>
    <row r="1949" spans="1:93" s="1552" customFormat="1" ht="15.5">
      <c r="A1949" s="1598"/>
      <c r="B1949" s="1599" t="s">
        <v>1747</v>
      </c>
      <c r="C1949" s="1643" t="e">
        <f>+SUMIF(#REF!,Final!A1949,#REF!)</f>
        <v>#REF!</v>
      </c>
      <c r="D1949" s="1597" t="e">
        <f>+SUMIF(#REF!,Final!A1949,#REF!)</f>
        <v>#REF!</v>
      </c>
      <c r="E1949" s="1643" t="e">
        <f>SUMIF(#REF!,Final!A1949,#REF!)</f>
        <v>#REF!</v>
      </c>
      <c r="F1949" s="1644" t="e">
        <f>SUMIF(#REF!,Final!A1949,#REF!)</f>
        <v>#REF!</v>
      </c>
      <c r="G1949" s="1597" t="e">
        <f t="shared" si="196"/>
        <v>#REF!</v>
      </c>
      <c r="H1949" s="1644" t="e">
        <f t="shared" si="197"/>
        <v>#REF!</v>
      </c>
      <c r="I1949" s="1597" t="e">
        <f t="shared" si="198"/>
        <v>#REF!</v>
      </c>
      <c r="J1949" s="1644" t="e">
        <f t="shared" si="199"/>
        <v>#REF!</v>
      </c>
      <c r="K1949" s="1539"/>
      <c r="L1949" s="1539"/>
      <c r="M1949" s="1545"/>
      <c r="N1949" s="1545"/>
      <c r="O1949" s="1539"/>
      <c r="P1949" s="1539"/>
      <c r="Q1949" s="1539"/>
      <c r="R1949" s="1539"/>
      <c r="S1949" s="1539"/>
      <c r="T1949" s="1539"/>
      <c r="U1949" s="1539"/>
      <c r="V1949" s="1539"/>
      <c r="W1949" s="1539"/>
      <c r="X1949" s="1539"/>
      <c r="Y1949" s="1539"/>
      <c r="Z1949" s="1539"/>
      <c r="AA1949" s="1539"/>
      <c r="AB1949" s="1539"/>
      <c r="AC1949" s="1539"/>
      <c r="AD1949" s="1539"/>
      <c r="AE1949" s="1539"/>
      <c r="AF1949" s="1539"/>
      <c r="AG1949" s="1539"/>
      <c r="AH1949" s="1539"/>
      <c r="AI1949" s="1539"/>
      <c r="AJ1949" s="1539"/>
      <c r="AK1949" s="1539"/>
      <c r="AL1949" s="1539"/>
      <c r="AM1949" s="1539"/>
      <c r="AN1949" s="1539"/>
      <c r="AO1949" s="1539"/>
      <c r="AP1949" s="1539"/>
      <c r="AQ1949" s="1539"/>
      <c r="AR1949" s="1539"/>
      <c r="AS1949" s="1539"/>
      <c r="AT1949" s="1539"/>
      <c r="AU1949" s="1539"/>
      <c r="AV1949" s="1539"/>
      <c r="AW1949" s="1539"/>
      <c r="AX1949" s="1539"/>
      <c r="AY1949" s="1539"/>
      <c r="AZ1949" s="1539"/>
      <c r="BA1949" s="1539"/>
      <c r="BB1949" s="1539"/>
      <c r="BC1949" s="1539"/>
      <c r="BD1949" s="1539"/>
      <c r="BE1949" s="1539"/>
      <c r="BF1949" s="1539"/>
      <c r="BG1949" s="1539"/>
      <c r="BH1949" s="1539"/>
      <c r="BI1949" s="1539"/>
      <c r="BJ1949" s="1539"/>
      <c r="BK1949" s="1539"/>
      <c r="BL1949" s="1539"/>
      <c r="BM1949" s="1539"/>
      <c r="BN1949" s="1539"/>
      <c r="BO1949" s="1539"/>
      <c r="BP1949" s="1539"/>
      <c r="BQ1949" s="1539"/>
      <c r="BR1949" s="1539"/>
      <c r="BS1949" s="1539"/>
      <c r="BT1949" s="1539"/>
      <c r="BU1949" s="1539"/>
      <c r="BV1949" s="1539"/>
      <c r="BW1949" s="1539"/>
      <c r="BX1949" s="1539"/>
      <c r="BY1949" s="1539"/>
      <c r="BZ1949" s="1539"/>
      <c r="CA1949" s="1539"/>
      <c r="CB1949" s="1539"/>
      <c r="CC1949" s="1539"/>
      <c r="CD1949" s="1539"/>
      <c r="CE1949" s="1539"/>
      <c r="CF1949" s="1539"/>
      <c r="CG1949" s="1539"/>
      <c r="CH1949" s="1539"/>
      <c r="CI1949" s="1539"/>
      <c r="CJ1949" s="1539"/>
      <c r="CK1949" s="1539"/>
      <c r="CL1949" s="1539"/>
      <c r="CM1949" s="1539"/>
      <c r="CN1949" s="1539"/>
      <c r="CO1949" s="1539"/>
    </row>
    <row r="1950" spans="1:93" s="1552" customFormat="1" ht="15.5">
      <c r="A1950" s="1598" t="s">
        <v>3443</v>
      </c>
      <c r="B1950" s="1599" t="s">
        <v>1760</v>
      </c>
      <c r="C1950" s="1643" t="e">
        <f>+SUMIF(#REF!,Final!A1950,#REF!)</f>
        <v>#REF!</v>
      </c>
      <c r="D1950" s="1597" t="e">
        <f>+SUMIF(#REF!,Final!A1950,#REF!)</f>
        <v>#REF!</v>
      </c>
      <c r="E1950" s="1643" t="e">
        <f>SUMIF(#REF!,Final!A1950,#REF!)</f>
        <v>#REF!</v>
      </c>
      <c r="F1950" s="1644" t="e">
        <f>SUMIF(#REF!,Final!A1950,#REF!)</f>
        <v>#REF!</v>
      </c>
      <c r="G1950" s="1597" t="e">
        <f t="shared" si="196"/>
        <v>#REF!</v>
      </c>
      <c r="H1950" s="1644" t="e">
        <f t="shared" si="197"/>
        <v>#REF!</v>
      </c>
      <c r="I1950" s="1597" t="e">
        <f t="shared" si="198"/>
        <v>#REF!</v>
      </c>
      <c r="J1950" s="1644" t="e">
        <f t="shared" si="199"/>
        <v>#REF!</v>
      </c>
      <c r="K1950" s="1539"/>
      <c r="L1950" s="1539"/>
      <c r="M1950" s="1545"/>
      <c r="N1950" s="1545"/>
      <c r="O1950" s="1539"/>
      <c r="P1950" s="1539"/>
      <c r="Q1950" s="1539"/>
      <c r="R1950" s="1539"/>
      <c r="S1950" s="1539"/>
      <c r="T1950" s="1539"/>
      <c r="U1950" s="1539"/>
      <c r="V1950" s="1539"/>
      <c r="W1950" s="1539"/>
      <c r="X1950" s="1539"/>
      <c r="Y1950" s="1539"/>
      <c r="Z1950" s="1539"/>
      <c r="AA1950" s="1539"/>
      <c r="AB1950" s="1539"/>
      <c r="AC1950" s="1539"/>
      <c r="AD1950" s="1539"/>
      <c r="AE1950" s="1539"/>
      <c r="AF1950" s="1539"/>
      <c r="AG1950" s="1539"/>
      <c r="AH1950" s="1539"/>
      <c r="AI1950" s="1539"/>
      <c r="AJ1950" s="1539"/>
      <c r="AK1950" s="1539"/>
      <c r="AL1950" s="1539"/>
      <c r="AM1950" s="1539"/>
      <c r="AN1950" s="1539"/>
      <c r="AO1950" s="1539"/>
      <c r="AP1950" s="1539"/>
      <c r="AQ1950" s="1539"/>
      <c r="AR1950" s="1539"/>
      <c r="AS1950" s="1539"/>
      <c r="AT1950" s="1539"/>
      <c r="AU1950" s="1539"/>
      <c r="AV1950" s="1539"/>
      <c r="AW1950" s="1539"/>
      <c r="AX1950" s="1539"/>
      <c r="AY1950" s="1539"/>
      <c r="AZ1950" s="1539"/>
      <c r="BA1950" s="1539"/>
      <c r="BB1950" s="1539"/>
      <c r="BC1950" s="1539"/>
      <c r="BD1950" s="1539"/>
      <c r="BE1950" s="1539"/>
      <c r="BF1950" s="1539"/>
      <c r="BG1950" s="1539"/>
      <c r="BH1950" s="1539"/>
      <c r="BI1950" s="1539"/>
      <c r="BJ1950" s="1539"/>
      <c r="BK1950" s="1539"/>
      <c r="BL1950" s="1539"/>
      <c r="BM1950" s="1539"/>
      <c r="BN1950" s="1539"/>
      <c r="BO1950" s="1539"/>
      <c r="BP1950" s="1539"/>
      <c r="BQ1950" s="1539"/>
      <c r="BR1950" s="1539"/>
      <c r="BS1950" s="1539"/>
      <c r="BT1950" s="1539"/>
      <c r="BU1950" s="1539"/>
      <c r="BV1950" s="1539"/>
      <c r="BW1950" s="1539"/>
      <c r="BX1950" s="1539"/>
      <c r="BY1950" s="1539"/>
      <c r="BZ1950" s="1539"/>
      <c r="CA1950" s="1539"/>
      <c r="CB1950" s="1539"/>
      <c r="CC1950" s="1539"/>
      <c r="CD1950" s="1539"/>
      <c r="CE1950" s="1539"/>
      <c r="CF1950" s="1539"/>
      <c r="CG1950" s="1539"/>
      <c r="CH1950" s="1539"/>
      <c r="CI1950" s="1539"/>
      <c r="CJ1950" s="1539"/>
      <c r="CK1950" s="1539"/>
      <c r="CL1950" s="1539"/>
      <c r="CM1950" s="1539"/>
      <c r="CN1950" s="1539"/>
      <c r="CO1950" s="1539"/>
    </row>
    <row r="1951" spans="1:93" s="1542" customFormat="1" ht="15.5">
      <c r="A1951" s="1598" t="s">
        <v>1837</v>
      </c>
      <c r="B1951" s="1599" t="s">
        <v>1838</v>
      </c>
      <c r="C1951" s="1643" t="e">
        <f>+SUMIF(#REF!,Final!A1951,#REF!)</f>
        <v>#REF!</v>
      </c>
      <c r="D1951" s="1597" t="e">
        <f>+SUMIF(#REF!,Final!A1951,#REF!)</f>
        <v>#REF!</v>
      </c>
      <c r="E1951" s="1643" t="e">
        <f>SUMIF(#REF!,Final!A1951,#REF!)</f>
        <v>#REF!</v>
      </c>
      <c r="F1951" s="1644" t="e">
        <f>SUMIF(#REF!,Final!A1951,#REF!)</f>
        <v>#REF!</v>
      </c>
      <c r="G1951" s="1597" t="e">
        <f t="shared" si="196"/>
        <v>#REF!</v>
      </c>
      <c r="H1951" s="1644" t="e">
        <f t="shared" si="197"/>
        <v>#REF!</v>
      </c>
      <c r="I1951" s="1597" t="e">
        <f t="shared" si="198"/>
        <v>#REF!</v>
      </c>
      <c r="J1951" s="1644" t="e">
        <f t="shared" si="199"/>
        <v>#REF!</v>
      </c>
      <c r="K1951" s="1539"/>
      <c r="L1951" s="1539"/>
      <c r="M1951" s="1545"/>
      <c r="N1951" s="1545"/>
      <c r="O1951" s="1539"/>
      <c r="P1951" s="1539"/>
      <c r="Q1951" s="1539"/>
      <c r="R1951" s="1539"/>
      <c r="S1951" s="1539"/>
      <c r="T1951" s="1539"/>
      <c r="U1951" s="1539"/>
      <c r="V1951" s="1539"/>
      <c r="W1951" s="1539"/>
      <c r="X1951" s="1539"/>
      <c r="Y1951" s="1539"/>
      <c r="Z1951" s="1539"/>
      <c r="AA1951" s="1539"/>
      <c r="AB1951" s="1539"/>
      <c r="AC1951" s="1539"/>
      <c r="AD1951" s="1539"/>
      <c r="AE1951" s="1539"/>
      <c r="AF1951" s="1539"/>
      <c r="AG1951" s="1539"/>
      <c r="AH1951" s="1539"/>
      <c r="AI1951" s="1539"/>
      <c r="AJ1951" s="1539"/>
      <c r="AK1951" s="1539"/>
      <c r="AL1951" s="1539"/>
      <c r="AM1951" s="1539"/>
      <c r="AN1951" s="1539"/>
      <c r="AO1951" s="1539"/>
      <c r="AP1951" s="1539"/>
      <c r="AQ1951" s="1539"/>
      <c r="AR1951" s="1539"/>
      <c r="AS1951" s="1539"/>
      <c r="AT1951" s="1539"/>
      <c r="AU1951" s="1539"/>
      <c r="AV1951" s="1539"/>
      <c r="AW1951" s="1539"/>
      <c r="AX1951" s="1539"/>
      <c r="AY1951" s="1539"/>
      <c r="AZ1951" s="1539"/>
      <c r="BA1951" s="1539"/>
      <c r="BB1951" s="1539"/>
      <c r="BC1951" s="1539"/>
      <c r="BD1951" s="1539"/>
      <c r="BE1951" s="1539"/>
      <c r="BF1951" s="1539"/>
      <c r="BG1951" s="1539"/>
      <c r="BH1951" s="1539"/>
      <c r="BI1951" s="1539"/>
      <c r="BJ1951" s="1539"/>
      <c r="BK1951" s="1539"/>
      <c r="BL1951" s="1539"/>
      <c r="BM1951" s="1539"/>
      <c r="BN1951" s="1539"/>
      <c r="BO1951" s="1539"/>
      <c r="BP1951" s="1539"/>
      <c r="BQ1951" s="1539"/>
      <c r="BR1951" s="1539"/>
      <c r="BS1951" s="1539"/>
      <c r="BT1951" s="1539"/>
      <c r="BU1951" s="1539"/>
      <c r="BV1951" s="1539"/>
      <c r="BW1951" s="1539"/>
      <c r="BX1951" s="1539"/>
      <c r="BY1951" s="1539"/>
      <c r="BZ1951" s="1539"/>
      <c r="CA1951" s="1539"/>
      <c r="CB1951" s="1539"/>
      <c r="CC1951" s="1539"/>
      <c r="CD1951" s="1539"/>
      <c r="CE1951" s="1539"/>
      <c r="CF1951" s="1539"/>
      <c r="CG1951" s="1539"/>
      <c r="CH1951" s="1539"/>
      <c r="CI1951" s="1539"/>
      <c r="CJ1951" s="1539"/>
      <c r="CK1951" s="1539"/>
      <c r="CL1951" s="1539"/>
      <c r="CM1951" s="1539"/>
      <c r="CN1951" s="1539"/>
      <c r="CO1951" s="1539"/>
    </row>
    <row r="1952" spans="1:93" ht="15.5">
      <c r="A1952" s="1598">
        <v>43.51</v>
      </c>
      <c r="B1952" s="1599" t="s">
        <v>1839</v>
      </c>
      <c r="C1952" s="1643" t="e">
        <f>+SUMIF(#REF!,Final!A1952,#REF!)</f>
        <v>#REF!</v>
      </c>
      <c r="D1952" s="1597" t="e">
        <f>+SUMIF(#REF!,Final!A1952,#REF!)</f>
        <v>#REF!</v>
      </c>
      <c r="E1952" s="1643" t="e">
        <f>SUMIF(#REF!,Final!A1952,#REF!)</f>
        <v>#REF!</v>
      </c>
      <c r="F1952" s="1644" t="e">
        <f>SUMIF(#REF!,Final!A1952,#REF!)</f>
        <v>#REF!</v>
      </c>
      <c r="G1952" s="1597" t="e">
        <f t="shared" si="196"/>
        <v>#REF!</v>
      </c>
      <c r="H1952" s="1644" t="e">
        <f t="shared" si="197"/>
        <v>#REF!</v>
      </c>
      <c r="I1952" s="1597" t="e">
        <f t="shared" si="198"/>
        <v>#REF!</v>
      </c>
      <c r="J1952" s="1644" t="e">
        <f t="shared" si="199"/>
        <v>#REF!</v>
      </c>
      <c r="M1952" s="1545"/>
      <c r="N1952" s="1545"/>
    </row>
    <row r="1953" spans="1:93" s="1552" customFormat="1" ht="15.5">
      <c r="A1953" s="1598"/>
      <c r="B1953" s="1599" t="s">
        <v>1747</v>
      </c>
      <c r="C1953" s="1643" t="e">
        <f>+SUMIF(#REF!,Final!A1953,#REF!)</f>
        <v>#REF!</v>
      </c>
      <c r="D1953" s="1597" t="e">
        <f>+SUMIF(#REF!,Final!A1953,#REF!)</f>
        <v>#REF!</v>
      </c>
      <c r="E1953" s="1643" t="e">
        <f>SUMIF(#REF!,Final!A1953,#REF!)</f>
        <v>#REF!</v>
      </c>
      <c r="F1953" s="1644" t="e">
        <f>SUMIF(#REF!,Final!A1953,#REF!)</f>
        <v>#REF!</v>
      </c>
      <c r="G1953" s="1597" t="e">
        <f t="shared" si="196"/>
        <v>#REF!</v>
      </c>
      <c r="H1953" s="1644" t="e">
        <f t="shared" si="197"/>
        <v>#REF!</v>
      </c>
      <c r="I1953" s="1597" t="e">
        <f t="shared" si="198"/>
        <v>#REF!</v>
      </c>
      <c r="J1953" s="1644" t="e">
        <f t="shared" si="199"/>
        <v>#REF!</v>
      </c>
      <c r="K1953" s="1539"/>
      <c r="L1953" s="1539"/>
      <c r="M1953" s="1545"/>
      <c r="N1953" s="1545"/>
      <c r="O1953" s="1539"/>
      <c r="P1953" s="1539"/>
      <c r="Q1953" s="1539"/>
      <c r="R1953" s="1539"/>
      <c r="S1953" s="1539"/>
      <c r="T1953" s="1539"/>
      <c r="U1953" s="1539"/>
      <c r="V1953" s="1539"/>
      <c r="W1953" s="1539"/>
      <c r="X1953" s="1539"/>
      <c r="Y1953" s="1539"/>
      <c r="Z1953" s="1539"/>
      <c r="AA1953" s="1539"/>
      <c r="AB1953" s="1539"/>
      <c r="AC1953" s="1539"/>
      <c r="AD1953" s="1539"/>
      <c r="AE1953" s="1539"/>
      <c r="AF1953" s="1539"/>
      <c r="AG1953" s="1539"/>
      <c r="AH1953" s="1539"/>
      <c r="AI1953" s="1539"/>
      <c r="AJ1953" s="1539"/>
      <c r="AK1953" s="1539"/>
      <c r="AL1953" s="1539"/>
      <c r="AM1953" s="1539"/>
      <c r="AN1953" s="1539"/>
      <c r="AO1953" s="1539"/>
      <c r="AP1953" s="1539"/>
      <c r="AQ1953" s="1539"/>
      <c r="AR1953" s="1539"/>
      <c r="AS1953" s="1539"/>
      <c r="AT1953" s="1539"/>
      <c r="AU1953" s="1539"/>
      <c r="AV1953" s="1539"/>
      <c r="AW1953" s="1539"/>
      <c r="AX1953" s="1539"/>
      <c r="AY1953" s="1539"/>
      <c r="AZ1953" s="1539"/>
      <c r="BA1953" s="1539"/>
      <c r="BB1953" s="1539"/>
      <c r="BC1953" s="1539"/>
      <c r="BD1953" s="1539"/>
      <c r="BE1953" s="1539"/>
      <c r="BF1953" s="1539"/>
      <c r="BG1953" s="1539"/>
      <c r="BH1953" s="1539"/>
      <c r="BI1953" s="1539"/>
      <c r="BJ1953" s="1539"/>
      <c r="BK1953" s="1539"/>
      <c r="BL1953" s="1539"/>
      <c r="BM1953" s="1539"/>
      <c r="BN1953" s="1539"/>
      <c r="BO1953" s="1539"/>
      <c r="BP1953" s="1539"/>
      <c r="BQ1953" s="1539"/>
      <c r="BR1953" s="1539"/>
      <c r="BS1953" s="1539"/>
      <c r="BT1953" s="1539"/>
      <c r="BU1953" s="1539"/>
      <c r="BV1953" s="1539"/>
      <c r="BW1953" s="1539"/>
      <c r="BX1953" s="1539"/>
      <c r="BY1953" s="1539"/>
      <c r="BZ1953" s="1539"/>
      <c r="CA1953" s="1539"/>
      <c r="CB1953" s="1539"/>
      <c r="CC1953" s="1539"/>
      <c r="CD1953" s="1539"/>
      <c r="CE1953" s="1539"/>
      <c r="CF1953" s="1539"/>
      <c r="CG1953" s="1539"/>
      <c r="CH1953" s="1539"/>
      <c r="CI1953" s="1539"/>
      <c r="CJ1953" s="1539"/>
      <c r="CK1953" s="1539"/>
      <c r="CL1953" s="1539"/>
      <c r="CM1953" s="1539"/>
      <c r="CN1953" s="1539"/>
      <c r="CO1953" s="1539"/>
    </row>
    <row r="1954" spans="1:93" s="1552" customFormat="1" ht="15.5">
      <c r="A1954" s="1598" t="s">
        <v>3443</v>
      </c>
      <c r="B1954" s="1599" t="s">
        <v>1760</v>
      </c>
      <c r="C1954" s="1643" t="e">
        <f>+SUMIF(#REF!,Final!A1954,#REF!)</f>
        <v>#REF!</v>
      </c>
      <c r="D1954" s="1597" t="e">
        <f>+SUMIF(#REF!,Final!A1954,#REF!)</f>
        <v>#REF!</v>
      </c>
      <c r="E1954" s="1643" t="e">
        <f>SUMIF(#REF!,Final!A1954,#REF!)</f>
        <v>#REF!</v>
      </c>
      <c r="F1954" s="1644" t="e">
        <f>SUMIF(#REF!,Final!A1954,#REF!)</f>
        <v>#REF!</v>
      </c>
      <c r="G1954" s="1597" t="e">
        <f t="shared" si="196"/>
        <v>#REF!</v>
      </c>
      <c r="H1954" s="1644" t="e">
        <f t="shared" si="197"/>
        <v>#REF!</v>
      </c>
      <c r="I1954" s="1597" t="e">
        <f t="shared" si="198"/>
        <v>#REF!</v>
      </c>
      <c r="J1954" s="1644" t="e">
        <f t="shared" si="199"/>
        <v>#REF!</v>
      </c>
      <c r="K1954" s="1539"/>
      <c r="L1954" s="1539"/>
      <c r="M1954" s="1545"/>
      <c r="N1954" s="1545"/>
      <c r="O1954" s="1539"/>
      <c r="P1954" s="1539"/>
      <c r="Q1954" s="1539"/>
      <c r="R1954" s="1539"/>
      <c r="S1954" s="1539"/>
      <c r="T1954" s="1539"/>
      <c r="U1954" s="1539"/>
      <c r="V1954" s="1539"/>
      <c r="W1954" s="1539"/>
      <c r="X1954" s="1539"/>
      <c r="Y1954" s="1539"/>
      <c r="Z1954" s="1539"/>
      <c r="AA1954" s="1539"/>
      <c r="AB1954" s="1539"/>
      <c r="AC1954" s="1539"/>
      <c r="AD1954" s="1539"/>
      <c r="AE1954" s="1539"/>
      <c r="AF1954" s="1539"/>
      <c r="AG1954" s="1539"/>
      <c r="AH1954" s="1539"/>
      <c r="AI1954" s="1539"/>
      <c r="AJ1954" s="1539"/>
      <c r="AK1954" s="1539"/>
      <c r="AL1954" s="1539"/>
      <c r="AM1954" s="1539"/>
      <c r="AN1954" s="1539"/>
      <c r="AO1954" s="1539"/>
      <c r="AP1954" s="1539"/>
      <c r="AQ1954" s="1539"/>
      <c r="AR1954" s="1539"/>
      <c r="AS1954" s="1539"/>
      <c r="AT1954" s="1539"/>
      <c r="AU1954" s="1539"/>
      <c r="AV1954" s="1539"/>
      <c r="AW1954" s="1539"/>
      <c r="AX1954" s="1539"/>
      <c r="AY1954" s="1539"/>
      <c r="AZ1954" s="1539"/>
      <c r="BA1954" s="1539"/>
      <c r="BB1954" s="1539"/>
      <c r="BC1954" s="1539"/>
      <c r="BD1954" s="1539"/>
      <c r="BE1954" s="1539"/>
      <c r="BF1954" s="1539"/>
      <c r="BG1954" s="1539"/>
      <c r="BH1954" s="1539"/>
      <c r="BI1954" s="1539"/>
      <c r="BJ1954" s="1539"/>
      <c r="BK1954" s="1539"/>
      <c r="BL1954" s="1539"/>
      <c r="BM1954" s="1539"/>
      <c r="BN1954" s="1539"/>
      <c r="BO1954" s="1539"/>
      <c r="BP1954" s="1539"/>
      <c r="BQ1954" s="1539"/>
      <c r="BR1954" s="1539"/>
      <c r="BS1954" s="1539"/>
      <c r="BT1954" s="1539"/>
      <c r="BU1954" s="1539"/>
      <c r="BV1954" s="1539"/>
      <c r="BW1954" s="1539"/>
      <c r="BX1954" s="1539"/>
      <c r="BY1954" s="1539"/>
      <c r="BZ1954" s="1539"/>
      <c r="CA1954" s="1539"/>
      <c r="CB1954" s="1539"/>
      <c r="CC1954" s="1539"/>
      <c r="CD1954" s="1539"/>
      <c r="CE1954" s="1539"/>
      <c r="CF1954" s="1539"/>
      <c r="CG1954" s="1539"/>
      <c r="CH1954" s="1539"/>
      <c r="CI1954" s="1539"/>
      <c r="CJ1954" s="1539"/>
      <c r="CK1954" s="1539"/>
      <c r="CL1954" s="1539"/>
      <c r="CM1954" s="1539"/>
      <c r="CN1954" s="1539"/>
      <c r="CO1954" s="1539"/>
    </row>
    <row r="1955" spans="1:93" s="1542" customFormat="1" ht="15.5">
      <c r="A1955" s="1598">
        <v>12</v>
      </c>
      <c r="B1955" s="1599" t="s">
        <v>1978</v>
      </c>
      <c r="C1955" s="1643" t="e">
        <f>+SUMIF(#REF!,Final!A1955,#REF!)</f>
        <v>#REF!</v>
      </c>
      <c r="D1955" s="1597" t="e">
        <f>+SUMIF(#REF!,Final!A1955,#REF!)</f>
        <v>#REF!</v>
      </c>
      <c r="E1955" s="1643" t="e">
        <f>SUMIF(#REF!,Final!A1955,#REF!)</f>
        <v>#REF!</v>
      </c>
      <c r="F1955" s="1644" t="e">
        <f>SUMIF(#REF!,Final!A1955,#REF!)</f>
        <v>#REF!</v>
      </c>
      <c r="G1955" s="1597" t="e">
        <f t="shared" si="196"/>
        <v>#REF!</v>
      </c>
      <c r="H1955" s="1644" t="e">
        <f t="shared" si="197"/>
        <v>#REF!</v>
      </c>
      <c r="I1955" s="1597" t="e">
        <f t="shared" si="198"/>
        <v>#REF!</v>
      </c>
      <c r="J1955" s="1644" t="e">
        <f t="shared" si="199"/>
        <v>#REF!</v>
      </c>
      <c r="K1955" s="1539"/>
      <c r="L1955" s="1539"/>
      <c r="M1955" s="1545"/>
      <c r="N1955" s="1545"/>
      <c r="O1955" s="1539"/>
      <c r="P1955" s="1539"/>
      <c r="Q1955" s="1539"/>
      <c r="R1955" s="1539"/>
      <c r="S1955" s="1539"/>
      <c r="T1955" s="1539"/>
      <c r="U1955" s="1539"/>
      <c r="V1955" s="1539"/>
      <c r="W1955" s="1539"/>
      <c r="X1955" s="1539"/>
      <c r="Y1955" s="1539"/>
      <c r="Z1955" s="1539"/>
      <c r="AA1955" s="1539"/>
      <c r="AB1955" s="1539"/>
      <c r="AC1955" s="1539"/>
      <c r="AD1955" s="1539"/>
      <c r="AE1955" s="1539"/>
      <c r="AF1955" s="1539"/>
      <c r="AG1955" s="1539"/>
      <c r="AH1955" s="1539"/>
      <c r="AI1955" s="1539"/>
      <c r="AJ1955" s="1539"/>
      <c r="AK1955" s="1539"/>
      <c r="AL1955" s="1539"/>
      <c r="AM1955" s="1539"/>
      <c r="AN1955" s="1539"/>
      <c r="AO1955" s="1539"/>
      <c r="AP1955" s="1539"/>
      <c r="AQ1955" s="1539"/>
      <c r="AR1955" s="1539"/>
      <c r="AS1955" s="1539"/>
      <c r="AT1955" s="1539"/>
      <c r="AU1955" s="1539"/>
      <c r="AV1955" s="1539"/>
      <c r="AW1955" s="1539"/>
      <c r="AX1955" s="1539"/>
      <c r="AY1955" s="1539"/>
      <c r="AZ1955" s="1539"/>
      <c r="BA1955" s="1539"/>
      <c r="BB1955" s="1539"/>
      <c r="BC1955" s="1539"/>
      <c r="BD1955" s="1539"/>
      <c r="BE1955" s="1539"/>
      <c r="BF1955" s="1539"/>
      <c r="BG1955" s="1539"/>
      <c r="BH1955" s="1539"/>
      <c r="BI1955" s="1539"/>
      <c r="BJ1955" s="1539"/>
      <c r="BK1955" s="1539"/>
      <c r="BL1955" s="1539"/>
      <c r="BM1955" s="1539"/>
      <c r="BN1955" s="1539"/>
      <c r="BO1955" s="1539"/>
      <c r="BP1955" s="1539"/>
      <c r="BQ1955" s="1539"/>
      <c r="BR1955" s="1539"/>
      <c r="BS1955" s="1539"/>
      <c r="BT1955" s="1539"/>
      <c r="BU1955" s="1539"/>
      <c r="BV1955" s="1539"/>
      <c r="BW1955" s="1539"/>
      <c r="BX1955" s="1539"/>
      <c r="BY1955" s="1539"/>
      <c r="BZ1955" s="1539"/>
      <c r="CA1955" s="1539"/>
      <c r="CB1955" s="1539"/>
      <c r="CC1955" s="1539"/>
      <c r="CD1955" s="1539"/>
      <c r="CE1955" s="1539"/>
      <c r="CF1955" s="1539"/>
      <c r="CG1955" s="1539"/>
      <c r="CH1955" s="1539"/>
      <c r="CI1955" s="1539"/>
      <c r="CJ1955" s="1539"/>
      <c r="CK1955" s="1539"/>
      <c r="CL1955" s="1539"/>
      <c r="CM1955" s="1539"/>
      <c r="CN1955" s="1539"/>
      <c r="CO1955" s="1539"/>
    </row>
    <row r="1956" spans="1:93" s="1542" customFormat="1" ht="15.5">
      <c r="A1956" s="1598" t="s">
        <v>1102</v>
      </c>
      <c r="B1956" s="1599" t="s">
        <v>2007</v>
      </c>
      <c r="C1956" s="1643" t="e">
        <f>+SUMIF(#REF!,Final!A1956,#REF!)</f>
        <v>#REF!</v>
      </c>
      <c r="D1956" s="1597" t="e">
        <f>+SUMIF(#REF!,Final!A1956,#REF!)</f>
        <v>#REF!</v>
      </c>
      <c r="E1956" s="1643" t="e">
        <f>SUMIF(#REF!,Final!A1956,#REF!)</f>
        <v>#REF!</v>
      </c>
      <c r="F1956" s="1644" t="e">
        <f>SUMIF(#REF!,Final!A1956,#REF!)</f>
        <v>#REF!</v>
      </c>
      <c r="G1956" s="1597" t="e">
        <f t="shared" si="196"/>
        <v>#REF!</v>
      </c>
      <c r="H1956" s="1644" t="e">
        <f t="shared" si="197"/>
        <v>#REF!</v>
      </c>
      <c r="I1956" s="1597" t="e">
        <f t="shared" si="198"/>
        <v>#REF!</v>
      </c>
      <c r="J1956" s="1644" t="e">
        <f t="shared" si="199"/>
        <v>#REF!</v>
      </c>
      <c r="K1956" s="1539"/>
      <c r="L1956" s="1539"/>
      <c r="M1956" s="1545"/>
      <c r="N1956" s="1545"/>
      <c r="O1956" s="1539"/>
      <c r="P1956" s="1539"/>
      <c r="Q1956" s="1539"/>
      <c r="R1956" s="1539"/>
      <c r="S1956" s="1539"/>
      <c r="T1956" s="1539"/>
      <c r="U1956" s="1539"/>
      <c r="V1956" s="1539"/>
      <c r="W1956" s="1539"/>
      <c r="X1956" s="1539"/>
      <c r="Y1956" s="1539"/>
      <c r="Z1956" s="1539"/>
      <c r="AA1956" s="1539"/>
      <c r="AB1956" s="1539"/>
      <c r="AC1956" s="1539"/>
      <c r="AD1956" s="1539"/>
      <c r="AE1956" s="1539"/>
      <c r="AF1956" s="1539"/>
      <c r="AG1956" s="1539"/>
      <c r="AH1956" s="1539"/>
      <c r="AI1956" s="1539"/>
      <c r="AJ1956" s="1539"/>
      <c r="AK1956" s="1539"/>
      <c r="AL1956" s="1539"/>
      <c r="AM1956" s="1539"/>
      <c r="AN1956" s="1539"/>
      <c r="AO1956" s="1539"/>
      <c r="AP1956" s="1539"/>
      <c r="AQ1956" s="1539"/>
      <c r="AR1956" s="1539"/>
      <c r="AS1956" s="1539"/>
      <c r="AT1956" s="1539"/>
      <c r="AU1956" s="1539"/>
      <c r="AV1956" s="1539"/>
      <c r="AW1956" s="1539"/>
      <c r="AX1956" s="1539"/>
      <c r="AY1956" s="1539"/>
      <c r="AZ1956" s="1539"/>
      <c r="BA1956" s="1539"/>
      <c r="BB1956" s="1539"/>
      <c r="BC1956" s="1539"/>
      <c r="BD1956" s="1539"/>
      <c r="BE1956" s="1539"/>
      <c r="BF1956" s="1539"/>
      <c r="BG1956" s="1539"/>
      <c r="BH1956" s="1539"/>
      <c r="BI1956" s="1539"/>
      <c r="BJ1956" s="1539"/>
      <c r="BK1956" s="1539"/>
      <c r="BL1956" s="1539"/>
      <c r="BM1956" s="1539"/>
      <c r="BN1956" s="1539"/>
      <c r="BO1956" s="1539"/>
      <c r="BP1956" s="1539"/>
      <c r="BQ1956" s="1539"/>
      <c r="BR1956" s="1539"/>
      <c r="BS1956" s="1539"/>
      <c r="BT1956" s="1539"/>
      <c r="BU1956" s="1539"/>
      <c r="BV1956" s="1539"/>
      <c r="BW1956" s="1539"/>
      <c r="BX1956" s="1539"/>
      <c r="BY1956" s="1539"/>
      <c r="BZ1956" s="1539"/>
      <c r="CA1956" s="1539"/>
      <c r="CB1956" s="1539"/>
      <c r="CC1956" s="1539"/>
      <c r="CD1956" s="1539"/>
      <c r="CE1956" s="1539"/>
      <c r="CF1956" s="1539"/>
      <c r="CG1956" s="1539"/>
      <c r="CH1956" s="1539"/>
      <c r="CI1956" s="1539"/>
      <c r="CJ1956" s="1539"/>
      <c r="CK1956" s="1539"/>
      <c r="CL1956" s="1539"/>
      <c r="CM1956" s="1539"/>
      <c r="CN1956" s="1539"/>
      <c r="CO1956" s="1539"/>
    </row>
    <row r="1957" spans="1:93" s="1542" customFormat="1" ht="15.5">
      <c r="A1957" s="1598" t="s">
        <v>1762</v>
      </c>
      <c r="B1957" s="1599" t="s">
        <v>2008</v>
      </c>
      <c r="C1957" s="1643" t="e">
        <f>+SUMIF(#REF!,Final!A1957,#REF!)</f>
        <v>#REF!</v>
      </c>
      <c r="D1957" s="1597" t="e">
        <f>+SUMIF(#REF!,Final!A1957,#REF!)</f>
        <v>#REF!</v>
      </c>
      <c r="E1957" s="1643" t="e">
        <f>SUMIF(#REF!,Final!A1957,#REF!)</f>
        <v>#REF!</v>
      </c>
      <c r="F1957" s="1644" t="e">
        <f>SUMIF(#REF!,Final!A1957,#REF!)</f>
        <v>#REF!</v>
      </c>
      <c r="G1957" s="1597" t="e">
        <f t="shared" si="196"/>
        <v>#REF!</v>
      </c>
      <c r="H1957" s="1644" t="e">
        <f t="shared" si="197"/>
        <v>#REF!</v>
      </c>
      <c r="I1957" s="1597" t="e">
        <f t="shared" si="198"/>
        <v>#REF!</v>
      </c>
      <c r="J1957" s="1644" t="e">
        <f t="shared" si="199"/>
        <v>#REF!</v>
      </c>
      <c r="K1957" s="1539"/>
      <c r="L1957" s="1539"/>
      <c r="M1957" s="1545"/>
      <c r="N1957" s="1545"/>
      <c r="O1957" s="1539"/>
      <c r="P1957" s="1539"/>
      <c r="Q1957" s="1539"/>
      <c r="R1957" s="1539"/>
      <c r="S1957" s="1539"/>
      <c r="T1957" s="1539"/>
      <c r="U1957" s="1539"/>
      <c r="V1957" s="1539"/>
      <c r="W1957" s="1539"/>
      <c r="X1957" s="1539"/>
      <c r="Y1957" s="1539"/>
      <c r="Z1957" s="1539"/>
      <c r="AA1957" s="1539"/>
      <c r="AB1957" s="1539"/>
      <c r="AC1957" s="1539"/>
      <c r="AD1957" s="1539"/>
      <c r="AE1957" s="1539"/>
      <c r="AF1957" s="1539"/>
      <c r="AG1957" s="1539"/>
      <c r="AH1957" s="1539"/>
      <c r="AI1957" s="1539"/>
      <c r="AJ1957" s="1539"/>
      <c r="AK1957" s="1539"/>
      <c r="AL1957" s="1539"/>
      <c r="AM1957" s="1539"/>
      <c r="AN1957" s="1539"/>
      <c r="AO1957" s="1539"/>
      <c r="AP1957" s="1539"/>
      <c r="AQ1957" s="1539"/>
      <c r="AR1957" s="1539"/>
      <c r="AS1957" s="1539"/>
      <c r="AT1957" s="1539"/>
      <c r="AU1957" s="1539"/>
      <c r="AV1957" s="1539"/>
      <c r="AW1957" s="1539"/>
      <c r="AX1957" s="1539"/>
      <c r="AY1957" s="1539"/>
      <c r="AZ1957" s="1539"/>
      <c r="BA1957" s="1539"/>
      <c r="BB1957" s="1539"/>
      <c r="BC1957" s="1539"/>
      <c r="BD1957" s="1539"/>
      <c r="BE1957" s="1539"/>
      <c r="BF1957" s="1539"/>
      <c r="BG1957" s="1539"/>
      <c r="BH1957" s="1539"/>
      <c r="BI1957" s="1539"/>
      <c r="BJ1957" s="1539"/>
      <c r="BK1957" s="1539"/>
      <c r="BL1957" s="1539"/>
      <c r="BM1957" s="1539"/>
      <c r="BN1957" s="1539"/>
      <c r="BO1957" s="1539"/>
      <c r="BP1957" s="1539"/>
      <c r="BQ1957" s="1539"/>
      <c r="BR1957" s="1539"/>
      <c r="BS1957" s="1539"/>
      <c r="BT1957" s="1539"/>
      <c r="BU1957" s="1539"/>
      <c r="BV1957" s="1539"/>
      <c r="BW1957" s="1539"/>
      <c r="BX1957" s="1539"/>
      <c r="BY1957" s="1539"/>
      <c r="BZ1957" s="1539"/>
      <c r="CA1957" s="1539"/>
      <c r="CB1957" s="1539"/>
      <c r="CC1957" s="1539"/>
      <c r="CD1957" s="1539"/>
      <c r="CE1957" s="1539"/>
      <c r="CF1957" s="1539"/>
      <c r="CG1957" s="1539"/>
      <c r="CH1957" s="1539"/>
      <c r="CI1957" s="1539"/>
      <c r="CJ1957" s="1539"/>
      <c r="CK1957" s="1539"/>
      <c r="CL1957" s="1539"/>
      <c r="CM1957" s="1539"/>
      <c r="CN1957" s="1539"/>
      <c r="CO1957" s="1539"/>
    </row>
    <row r="1958" spans="1:93" ht="15.5">
      <c r="A1958" s="1598">
        <v>44.11</v>
      </c>
      <c r="B1958" s="1599" t="s">
        <v>3446</v>
      </c>
      <c r="C1958" s="1643" t="e">
        <f>+SUMIF(#REF!,Final!A1958,#REF!)</f>
        <v>#REF!</v>
      </c>
      <c r="D1958" s="1597" t="e">
        <f>+SUMIF(#REF!,Final!A1958,#REF!)</f>
        <v>#REF!</v>
      </c>
      <c r="E1958" s="1643" t="e">
        <f>SUMIF(#REF!,Final!A1958,#REF!)</f>
        <v>#REF!</v>
      </c>
      <c r="F1958" s="1644" t="e">
        <f>SUMIF(#REF!,Final!A1958,#REF!)</f>
        <v>#REF!</v>
      </c>
      <c r="G1958" s="1597" t="e">
        <f t="shared" si="196"/>
        <v>#REF!</v>
      </c>
      <c r="H1958" s="1644" t="e">
        <f t="shared" si="197"/>
        <v>#REF!</v>
      </c>
      <c r="I1958" s="1597" t="e">
        <f t="shared" si="198"/>
        <v>#REF!</v>
      </c>
      <c r="J1958" s="1644" t="e">
        <f t="shared" si="199"/>
        <v>#REF!</v>
      </c>
      <c r="M1958" s="1545"/>
      <c r="N1958" s="1545"/>
    </row>
    <row r="1959" spans="1:93" s="1552" customFormat="1" ht="15.5">
      <c r="A1959" s="1598"/>
      <c r="B1959" s="1599" t="s">
        <v>1747</v>
      </c>
      <c r="C1959" s="1643" t="e">
        <f>+SUMIF(#REF!,Final!A1959,#REF!)</f>
        <v>#REF!</v>
      </c>
      <c r="D1959" s="1597" t="e">
        <f>+SUMIF(#REF!,Final!A1959,#REF!)</f>
        <v>#REF!</v>
      </c>
      <c r="E1959" s="1643" t="e">
        <f>SUMIF(#REF!,Final!A1959,#REF!)</f>
        <v>#REF!</v>
      </c>
      <c r="F1959" s="1644" t="e">
        <f>SUMIF(#REF!,Final!A1959,#REF!)</f>
        <v>#REF!</v>
      </c>
      <c r="G1959" s="1597" t="e">
        <f t="shared" si="196"/>
        <v>#REF!</v>
      </c>
      <c r="H1959" s="1644" t="e">
        <f t="shared" si="197"/>
        <v>#REF!</v>
      </c>
      <c r="I1959" s="1597" t="e">
        <f t="shared" si="198"/>
        <v>#REF!</v>
      </c>
      <c r="J1959" s="1644" t="e">
        <f t="shared" si="199"/>
        <v>#REF!</v>
      </c>
      <c r="K1959" s="1539"/>
      <c r="L1959" s="1539"/>
      <c r="M1959" s="1545"/>
      <c r="N1959" s="1545"/>
      <c r="O1959" s="1539"/>
      <c r="P1959" s="1539"/>
      <c r="Q1959" s="1539"/>
      <c r="R1959" s="1539"/>
      <c r="S1959" s="1539"/>
      <c r="T1959" s="1539"/>
      <c r="U1959" s="1539"/>
      <c r="V1959" s="1539"/>
      <c r="W1959" s="1539"/>
      <c r="X1959" s="1539"/>
      <c r="Y1959" s="1539"/>
      <c r="Z1959" s="1539"/>
      <c r="AA1959" s="1539"/>
      <c r="AB1959" s="1539"/>
      <c r="AC1959" s="1539"/>
      <c r="AD1959" s="1539"/>
      <c r="AE1959" s="1539"/>
      <c r="AF1959" s="1539"/>
      <c r="AG1959" s="1539"/>
      <c r="AH1959" s="1539"/>
      <c r="AI1959" s="1539"/>
      <c r="AJ1959" s="1539"/>
      <c r="AK1959" s="1539"/>
      <c r="AL1959" s="1539"/>
      <c r="AM1959" s="1539"/>
      <c r="AN1959" s="1539"/>
      <c r="AO1959" s="1539"/>
      <c r="AP1959" s="1539"/>
      <c r="AQ1959" s="1539"/>
      <c r="AR1959" s="1539"/>
      <c r="AS1959" s="1539"/>
      <c r="AT1959" s="1539"/>
      <c r="AU1959" s="1539"/>
      <c r="AV1959" s="1539"/>
      <c r="AW1959" s="1539"/>
      <c r="AX1959" s="1539"/>
      <c r="AY1959" s="1539"/>
      <c r="AZ1959" s="1539"/>
      <c r="BA1959" s="1539"/>
      <c r="BB1959" s="1539"/>
      <c r="BC1959" s="1539"/>
      <c r="BD1959" s="1539"/>
      <c r="BE1959" s="1539"/>
      <c r="BF1959" s="1539"/>
      <c r="BG1959" s="1539"/>
      <c r="BH1959" s="1539"/>
      <c r="BI1959" s="1539"/>
      <c r="BJ1959" s="1539"/>
      <c r="BK1959" s="1539"/>
      <c r="BL1959" s="1539"/>
      <c r="BM1959" s="1539"/>
      <c r="BN1959" s="1539"/>
      <c r="BO1959" s="1539"/>
      <c r="BP1959" s="1539"/>
      <c r="BQ1959" s="1539"/>
      <c r="BR1959" s="1539"/>
      <c r="BS1959" s="1539"/>
      <c r="BT1959" s="1539"/>
      <c r="BU1959" s="1539"/>
      <c r="BV1959" s="1539"/>
      <c r="BW1959" s="1539"/>
      <c r="BX1959" s="1539"/>
      <c r="BY1959" s="1539"/>
      <c r="BZ1959" s="1539"/>
      <c r="CA1959" s="1539"/>
      <c r="CB1959" s="1539"/>
      <c r="CC1959" s="1539"/>
      <c r="CD1959" s="1539"/>
      <c r="CE1959" s="1539"/>
      <c r="CF1959" s="1539"/>
      <c r="CG1959" s="1539"/>
      <c r="CH1959" s="1539"/>
      <c r="CI1959" s="1539"/>
      <c r="CJ1959" s="1539"/>
      <c r="CK1959" s="1539"/>
      <c r="CL1959" s="1539"/>
      <c r="CM1959" s="1539"/>
      <c r="CN1959" s="1539"/>
      <c r="CO1959" s="1539"/>
    </row>
    <row r="1960" spans="1:93" s="1552" customFormat="1" ht="15.5">
      <c r="A1960" s="1598" t="s">
        <v>3447</v>
      </c>
      <c r="B1960" s="1599" t="s">
        <v>1760</v>
      </c>
      <c r="C1960" s="1643" t="e">
        <f>+SUMIF(#REF!,Final!A1960,#REF!)</f>
        <v>#REF!</v>
      </c>
      <c r="D1960" s="1597" t="e">
        <f>+SUMIF(#REF!,Final!A1960,#REF!)</f>
        <v>#REF!</v>
      </c>
      <c r="E1960" s="1643" t="e">
        <f>SUMIF(#REF!,Final!A1960,#REF!)</f>
        <v>#REF!</v>
      </c>
      <c r="F1960" s="1644" t="e">
        <f>SUMIF(#REF!,Final!A1960,#REF!)</f>
        <v>#REF!</v>
      </c>
      <c r="G1960" s="1597" t="e">
        <f t="shared" si="196"/>
        <v>#REF!</v>
      </c>
      <c r="H1960" s="1644" t="e">
        <f t="shared" si="197"/>
        <v>#REF!</v>
      </c>
      <c r="I1960" s="1597" t="e">
        <f t="shared" si="198"/>
        <v>#REF!</v>
      </c>
      <c r="J1960" s="1644" t="e">
        <f t="shared" si="199"/>
        <v>#REF!</v>
      </c>
      <c r="K1960" s="1539"/>
      <c r="L1960" s="1539"/>
      <c r="M1960" s="1545"/>
      <c r="N1960" s="1545"/>
      <c r="O1960" s="1539"/>
      <c r="P1960" s="1539"/>
      <c r="Q1960" s="1539"/>
      <c r="R1960" s="1539"/>
      <c r="S1960" s="1539"/>
      <c r="T1960" s="1539"/>
      <c r="U1960" s="1539"/>
      <c r="V1960" s="1539"/>
      <c r="W1960" s="1539"/>
      <c r="X1960" s="1539"/>
      <c r="Y1960" s="1539"/>
      <c r="Z1960" s="1539"/>
      <c r="AA1960" s="1539"/>
      <c r="AB1960" s="1539"/>
      <c r="AC1960" s="1539"/>
      <c r="AD1960" s="1539"/>
      <c r="AE1960" s="1539"/>
      <c r="AF1960" s="1539"/>
      <c r="AG1960" s="1539"/>
      <c r="AH1960" s="1539"/>
      <c r="AI1960" s="1539"/>
      <c r="AJ1960" s="1539"/>
      <c r="AK1960" s="1539"/>
      <c r="AL1960" s="1539"/>
      <c r="AM1960" s="1539"/>
      <c r="AN1960" s="1539"/>
      <c r="AO1960" s="1539"/>
      <c r="AP1960" s="1539"/>
      <c r="AQ1960" s="1539"/>
      <c r="AR1960" s="1539"/>
      <c r="AS1960" s="1539"/>
      <c r="AT1960" s="1539"/>
      <c r="AU1960" s="1539"/>
      <c r="AV1960" s="1539"/>
      <c r="AW1960" s="1539"/>
      <c r="AX1960" s="1539"/>
      <c r="AY1960" s="1539"/>
      <c r="AZ1960" s="1539"/>
      <c r="BA1960" s="1539"/>
      <c r="BB1960" s="1539"/>
      <c r="BC1960" s="1539"/>
      <c r="BD1960" s="1539"/>
      <c r="BE1960" s="1539"/>
      <c r="BF1960" s="1539"/>
      <c r="BG1960" s="1539"/>
      <c r="BH1960" s="1539"/>
      <c r="BI1960" s="1539"/>
      <c r="BJ1960" s="1539"/>
      <c r="BK1960" s="1539"/>
      <c r="BL1960" s="1539"/>
      <c r="BM1960" s="1539"/>
      <c r="BN1960" s="1539"/>
      <c r="BO1960" s="1539"/>
      <c r="BP1960" s="1539"/>
      <c r="BQ1960" s="1539"/>
      <c r="BR1960" s="1539"/>
      <c r="BS1960" s="1539"/>
      <c r="BT1960" s="1539"/>
      <c r="BU1960" s="1539"/>
      <c r="BV1960" s="1539"/>
      <c r="BW1960" s="1539"/>
      <c r="BX1960" s="1539"/>
      <c r="BY1960" s="1539"/>
      <c r="BZ1960" s="1539"/>
      <c r="CA1960" s="1539"/>
      <c r="CB1960" s="1539"/>
      <c r="CC1960" s="1539"/>
      <c r="CD1960" s="1539"/>
      <c r="CE1960" s="1539"/>
      <c r="CF1960" s="1539"/>
      <c r="CG1960" s="1539"/>
      <c r="CH1960" s="1539"/>
      <c r="CI1960" s="1539"/>
      <c r="CJ1960" s="1539"/>
      <c r="CK1960" s="1539"/>
      <c r="CL1960" s="1539"/>
      <c r="CM1960" s="1539"/>
      <c r="CN1960" s="1539"/>
      <c r="CO1960" s="1539"/>
    </row>
    <row r="1961" spans="1:93" s="1552" customFormat="1" ht="15.5">
      <c r="A1961" s="1529" t="s">
        <v>5495</v>
      </c>
      <c r="B1961" s="1810" t="s">
        <v>5496</v>
      </c>
      <c r="C1961" s="1643" t="e">
        <f>+SUMIF(#REF!,Final!A1961,#REF!)</f>
        <v>#REF!</v>
      </c>
      <c r="D1961" s="1597" t="e">
        <f>+SUMIF(#REF!,Final!A1961,#REF!)</f>
        <v>#REF!</v>
      </c>
      <c r="E1961" s="1643" t="e">
        <f>SUMIF(#REF!,Final!A1961,#REF!)</f>
        <v>#REF!</v>
      </c>
      <c r="F1961" s="1644" t="e">
        <f>SUMIF(#REF!,Final!A1961,#REF!)</f>
        <v>#REF!</v>
      </c>
      <c r="G1961" s="1597" t="e">
        <f t="shared" ref="G1961" si="204">C1961+E1961</f>
        <v>#REF!</v>
      </c>
      <c r="H1961" s="1644" t="e">
        <f t="shared" ref="H1961" si="205">D1961+F1961</f>
        <v>#REF!</v>
      </c>
      <c r="I1961" s="1597" t="e">
        <f t="shared" ref="I1961" si="206">IF(G1961&gt;H1961,G1961-H1961,0)</f>
        <v>#REF!</v>
      </c>
      <c r="J1961" s="1644" t="e">
        <f t="shared" ref="J1961" si="207">IF(H1961&gt;G1961,H1961-G1961,0)</f>
        <v>#REF!</v>
      </c>
      <c r="K1961" s="1539"/>
      <c r="L1961" s="1539"/>
      <c r="M1961" s="1545"/>
      <c r="N1961" s="1545"/>
      <c r="O1961" s="1539"/>
      <c r="P1961" s="1539"/>
      <c r="Q1961" s="1539"/>
      <c r="R1961" s="1539"/>
      <c r="S1961" s="1539"/>
      <c r="T1961" s="1539"/>
      <c r="U1961" s="1539"/>
      <c r="V1961" s="1539"/>
      <c r="W1961" s="1539"/>
      <c r="X1961" s="1539"/>
      <c r="Y1961" s="1539"/>
      <c r="Z1961" s="1539"/>
      <c r="AA1961" s="1539"/>
      <c r="AB1961" s="1539"/>
      <c r="AC1961" s="1539"/>
      <c r="AD1961" s="1539"/>
      <c r="AE1961" s="1539"/>
      <c r="AF1961" s="1539"/>
      <c r="AG1961" s="1539"/>
      <c r="AH1961" s="1539"/>
      <c r="AI1961" s="1539"/>
      <c r="AJ1961" s="1539"/>
      <c r="AK1961" s="1539"/>
      <c r="AL1961" s="1539"/>
      <c r="AM1961" s="1539"/>
      <c r="AN1961" s="1539"/>
      <c r="AO1961" s="1539"/>
      <c r="AP1961" s="1539"/>
      <c r="AQ1961" s="1539"/>
      <c r="AR1961" s="1539"/>
      <c r="AS1961" s="1539"/>
      <c r="AT1961" s="1539"/>
      <c r="AU1961" s="1539"/>
      <c r="AV1961" s="1539"/>
      <c r="AW1961" s="1539"/>
      <c r="AX1961" s="1539"/>
      <c r="AY1961" s="1539"/>
      <c r="AZ1961" s="1539"/>
      <c r="BA1961" s="1539"/>
      <c r="BB1961" s="1539"/>
      <c r="BC1961" s="1539"/>
      <c r="BD1961" s="1539"/>
      <c r="BE1961" s="1539"/>
      <c r="BF1961" s="1539"/>
      <c r="BG1961" s="1539"/>
      <c r="BH1961" s="1539"/>
      <c r="BI1961" s="1539"/>
      <c r="BJ1961" s="1539"/>
      <c r="BK1961" s="1539"/>
      <c r="BL1961" s="1539"/>
      <c r="BM1961" s="1539"/>
      <c r="BN1961" s="1539"/>
      <c r="BO1961" s="1539"/>
      <c r="BP1961" s="1539"/>
      <c r="BQ1961" s="1539"/>
      <c r="BR1961" s="1539"/>
      <c r="BS1961" s="1539"/>
      <c r="BT1961" s="1539"/>
      <c r="BU1961" s="1539"/>
      <c r="BV1961" s="1539"/>
      <c r="BW1961" s="1539"/>
      <c r="BX1961" s="1539"/>
      <c r="BY1961" s="1539"/>
      <c r="BZ1961" s="1539"/>
      <c r="CA1961" s="1539"/>
      <c r="CB1961" s="1539"/>
      <c r="CC1961" s="1539"/>
      <c r="CD1961" s="1539"/>
      <c r="CE1961" s="1539"/>
      <c r="CF1961" s="1539"/>
      <c r="CG1961" s="1539"/>
      <c r="CH1961" s="1539"/>
      <c r="CI1961" s="1539"/>
      <c r="CJ1961" s="1539"/>
      <c r="CK1961" s="1539"/>
      <c r="CL1961" s="1539"/>
      <c r="CM1961" s="1539"/>
      <c r="CN1961" s="1539"/>
      <c r="CO1961" s="1539"/>
    </row>
    <row r="1962" spans="1:93" s="1552" customFormat="1" ht="15.5">
      <c r="A1962" s="1863">
        <v>44.110999999999997</v>
      </c>
      <c r="B1962" s="1809" t="s">
        <v>5485</v>
      </c>
      <c r="C1962" s="1643" t="e">
        <f>+SUMIF(#REF!,Final!A1962,#REF!)</f>
        <v>#REF!</v>
      </c>
      <c r="D1962" s="1597" t="e">
        <f>+SUMIF(#REF!,Final!A1962,#REF!)</f>
        <v>#REF!</v>
      </c>
      <c r="E1962" s="1643" t="e">
        <f>SUMIF(#REF!,Final!A1962,#REF!)</f>
        <v>#REF!</v>
      </c>
      <c r="F1962" s="1644" t="e">
        <f>SUMIF(#REF!,Final!A1962,#REF!)</f>
        <v>#REF!</v>
      </c>
      <c r="G1962" s="1597" t="e">
        <f t="shared" ref="G1962:G1970" si="208">C1962+E1962</f>
        <v>#REF!</v>
      </c>
      <c r="H1962" s="1644" t="e">
        <f t="shared" ref="H1962:H1970" si="209">D1962+F1962</f>
        <v>#REF!</v>
      </c>
      <c r="I1962" s="1597" t="e">
        <f t="shared" ref="I1962:I1970" si="210">IF(G1962&gt;H1962,G1962-H1962,0)</f>
        <v>#REF!</v>
      </c>
      <c r="J1962" s="1644" t="e">
        <f t="shared" ref="J1962:J1970" si="211">IF(H1962&gt;G1962,H1962-G1962,0)</f>
        <v>#REF!</v>
      </c>
      <c r="K1962" s="1539"/>
      <c r="L1962" s="1539"/>
      <c r="M1962" s="1545"/>
      <c r="N1962" s="1545"/>
      <c r="O1962" s="1539"/>
      <c r="P1962" s="1539"/>
      <c r="Q1962" s="1539"/>
      <c r="R1962" s="1539"/>
      <c r="S1962" s="1539"/>
      <c r="T1962" s="1539"/>
      <c r="U1962" s="1539"/>
      <c r="V1962" s="1539"/>
      <c r="W1962" s="1539"/>
      <c r="X1962" s="1539"/>
      <c r="Y1962" s="1539"/>
      <c r="Z1962" s="1539"/>
      <c r="AA1962" s="1539"/>
      <c r="AB1962" s="1539"/>
      <c r="AC1962" s="1539"/>
      <c r="AD1962" s="1539"/>
      <c r="AE1962" s="1539"/>
      <c r="AF1962" s="1539"/>
      <c r="AG1962" s="1539"/>
      <c r="AH1962" s="1539"/>
      <c r="AI1962" s="1539"/>
      <c r="AJ1962" s="1539"/>
      <c r="AK1962" s="1539"/>
      <c r="AL1962" s="1539"/>
      <c r="AM1962" s="1539"/>
      <c r="AN1962" s="1539"/>
      <c r="AO1962" s="1539"/>
      <c r="AP1962" s="1539"/>
      <c r="AQ1962" s="1539"/>
      <c r="AR1962" s="1539"/>
      <c r="AS1962" s="1539"/>
      <c r="AT1962" s="1539"/>
      <c r="AU1962" s="1539"/>
      <c r="AV1962" s="1539"/>
      <c r="AW1962" s="1539"/>
      <c r="AX1962" s="1539"/>
      <c r="AY1962" s="1539"/>
      <c r="AZ1962" s="1539"/>
      <c r="BA1962" s="1539"/>
      <c r="BB1962" s="1539"/>
      <c r="BC1962" s="1539"/>
      <c r="BD1962" s="1539"/>
      <c r="BE1962" s="1539"/>
      <c r="BF1962" s="1539"/>
      <c r="BG1962" s="1539"/>
      <c r="BH1962" s="1539"/>
      <c r="BI1962" s="1539"/>
      <c r="BJ1962" s="1539"/>
      <c r="BK1962" s="1539"/>
      <c r="BL1962" s="1539"/>
      <c r="BM1962" s="1539"/>
      <c r="BN1962" s="1539"/>
      <c r="BO1962" s="1539"/>
      <c r="BP1962" s="1539"/>
      <c r="BQ1962" s="1539"/>
      <c r="BR1962" s="1539"/>
      <c r="BS1962" s="1539"/>
      <c r="BT1962" s="1539"/>
      <c r="BU1962" s="1539"/>
      <c r="BV1962" s="1539"/>
      <c r="BW1962" s="1539"/>
      <c r="BX1962" s="1539"/>
      <c r="BY1962" s="1539"/>
      <c r="BZ1962" s="1539"/>
      <c r="CA1962" s="1539"/>
      <c r="CB1962" s="1539"/>
      <c r="CC1962" s="1539"/>
      <c r="CD1962" s="1539"/>
      <c r="CE1962" s="1539"/>
      <c r="CF1962" s="1539"/>
      <c r="CG1962" s="1539"/>
      <c r="CH1962" s="1539"/>
      <c r="CI1962" s="1539"/>
      <c r="CJ1962" s="1539"/>
      <c r="CK1962" s="1539"/>
      <c r="CL1962" s="1539"/>
      <c r="CM1962" s="1539"/>
      <c r="CN1962" s="1539"/>
      <c r="CO1962" s="1539"/>
    </row>
    <row r="1963" spans="1:93" s="1552" customFormat="1" ht="15.5">
      <c r="A1963" s="1863">
        <v>44.142000000000003</v>
      </c>
      <c r="B1963" s="1809" t="s">
        <v>5486</v>
      </c>
      <c r="C1963" s="1643" t="e">
        <f>+SUMIF(#REF!,Final!A1963,#REF!)</f>
        <v>#REF!</v>
      </c>
      <c r="D1963" s="1597" t="e">
        <f>+SUMIF(#REF!,Final!A1963,#REF!)</f>
        <v>#REF!</v>
      </c>
      <c r="E1963" s="1643" t="e">
        <f>SUMIF(#REF!,Final!A1963,#REF!)</f>
        <v>#REF!</v>
      </c>
      <c r="F1963" s="1644" t="e">
        <f>SUMIF(#REF!,Final!A1963,#REF!)</f>
        <v>#REF!</v>
      </c>
      <c r="G1963" s="1597" t="e">
        <f t="shared" si="208"/>
        <v>#REF!</v>
      </c>
      <c r="H1963" s="1644" t="e">
        <f t="shared" si="209"/>
        <v>#REF!</v>
      </c>
      <c r="I1963" s="1597" t="e">
        <f t="shared" si="210"/>
        <v>#REF!</v>
      </c>
      <c r="J1963" s="1644" t="e">
        <f t="shared" si="211"/>
        <v>#REF!</v>
      </c>
      <c r="K1963" s="1539"/>
      <c r="L1963" s="1539"/>
      <c r="M1963" s="1545"/>
      <c r="N1963" s="1545"/>
      <c r="O1963" s="1539"/>
      <c r="P1963" s="1539"/>
      <c r="Q1963" s="1539"/>
      <c r="R1963" s="1539"/>
      <c r="S1963" s="1539"/>
      <c r="T1963" s="1539"/>
      <c r="U1963" s="1539"/>
      <c r="V1963" s="1539"/>
      <c r="W1963" s="1539"/>
      <c r="X1963" s="1539"/>
      <c r="Y1963" s="1539"/>
      <c r="Z1963" s="1539"/>
      <c r="AA1963" s="1539"/>
      <c r="AB1963" s="1539"/>
      <c r="AC1963" s="1539"/>
      <c r="AD1963" s="1539"/>
      <c r="AE1963" s="1539"/>
      <c r="AF1963" s="1539"/>
      <c r="AG1963" s="1539"/>
      <c r="AH1963" s="1539"/>
      <c r="AI1963" s="1539"/>
      <c r="AJ1963" s="1539"/>
      <c r="AK1963" s="1539"/>
      <c r="AL1963" s="1539"/>
      <c r="AM1963" s="1539"/>
      <c r="AN1963" s="1539"/>
      <c r="AO1963" s="1539"/>
      <c r="AP1963" s="1539"/>
      <c r="AQ1963" s="1539"/>
      <c r="AR1963" s="1539"/>
      <c r="AS1963" s="1539"/>
      <c r="AT1963" s="1539"/>
      <c r="AU1963" s="1539"/>
      <c r="AV1963" s="1539"/>
      <c r="AW1963" s="1539"/>
      <c r="AX1963" s="1539"/>
      <c r="AY1963" s="1539"/>
      <c r="AZ1963" s="1539"/>
      <c r="BA1963" s="1539"/>
      <c r="BB1963" s="1539"/>
      <c r="BC1963" s="1539"/>
      <c r="BD1963" s="1539"/>
      <c r="BE1963" s="1539"/>
      <c r="BF1963" s="1539"/>
      <c r="BG1963" s="1539"/>
      <c r="BH1963" s="1539"/>
      <c r="BI1963" s="1539"/>
      <c r="BJ1963" s="1539"/>
      <c r="BK1963" s="1539"/>
      <c r="BL1963" s="1539"/>
      <c r="BM1963" s="1539"/>
      <c r="BN1963" s="1539"/>
      <c r="BO1963" s="1539"/>
      <c r="BP1963" s="1539"/>
      <c r="BQ1963" s="1539"/>
      <c r="BR1963" s="1539"/>
      <c r="BS1963" s="1539"/>
      <c r="BT1963" s="1539"/>
      <c r="BU1963" s="1539"/>
      <c r="BV1963" s="1539"/>
      <c r="BW1963" s="1539"/>
      <c r="BX1963" s="1539"/>
      <c r="BY1963" s="1539"/>
      <c r="BZ1963" s="1539"/>
      <c r="CA1963" s="1539"/>
      <c r="CB1963" s="1539"/>
      <c r="CC1963" s="1539"/>
      <c r="CD1963" s="1539"/>
      <c r="CE1963" s="1539"/>
      <c r="CF1963" s="1539"/>
      <c r="CG1963" s="1539"/>
      <c r="CH1963" s="1539"/>
      <c r="CI1963" s="1539"/>
      <c r="CJ1963" s="1539"/>
      <c r="CK1963" s="1539"/>
      <c r="CL1963" s="1539"/>
      <c r="CM1963" s="1539"/>
      <c r="CN1963" s="1539"/>
      <c r="CO1963" s="1539"/>
    </row>
    <row r="1964" spans="1:93" s="1552" customFormat="1" ht="15.5">
      <c r="A1964" s="1863">
        <v>44.143000000000001</v>
      </c>
      <c r="B1964" s="1809" t="s">
        <v>5487</v>
      </c>
      <c r="C1964" s="1643" t="e">
        <f>+SUMIF(#REF!,Final!A1964,#REF!)</f>
        <v>#REF!</v>
      </c>
      <c r="D1964" s="1597" t="e">
        <f>+SUMIF(#REF!,Final!A1964,#REF!)</f>
        <v>#REF!</v>
      </c>
      <c r="E1964" s="1643" t="e">
        <f>SUMIF(#REF!,Final!A1964,#REF!)</f>
        <v>#REF!</v>
      </c>
      <c r="F1964" s="1644" t="e">
        <f>SUMIF(#REF!,Final!A1964,#REF!)</f>
        <v>#REF!</v>
      </c>
      <c r="G1964" s="1597" t="e">
        <f t="shared" si="208"/>
        <v>#REF!</v>
      </c>
      <c r="H1964" s="1644" t="e">
        <f t="shared" si="209"/>
        <v>#REF!</v>
      </c>
      <c r="I1964" s="1597" t="e">
        <f t="shared" si="210"/>
        <v>#REF!</v>
      </c>
      <c r="J1964" s="1644" t="e">
        <f t="shared" si="211"/>
        <v>#REF!</v>
      </c>
      <c r="K1964" s="1539"/>
      <c r="L1964" s="1539"/>
      <c r="M1964" s="1545"/>
      <c r="N1964" s="1545"/>
      <c r="O1964" s="1539"/>
      <c r="P1964" s="1539"/>
      <c r="Q1964" s="1539"/>
      <c r="R1964" s="1539"/>
      <c r="S1964" s="1539"/>
      <c r="T1964" s="1539"/>
      <c r="U1964" s="1539"/>
      <c r="V1964" s="1539"/>
      <c r="W1964" s="1539"/>
      <c r="X1964" s="1539"/>
      <c r="Y1964" s="1539"/>
      <c r="Z1964" s="1539"/>
      <c r="AA1964" s="1539"/>
      <c r="AB1964" s="1539"/>
      <c r="AC1964" s="1539"/>
      <c r="AD1964" s="1539"/>
      <c r="AE1964" s="1539"/>
      <c r="AF1964" s="1539"/>
      <c r="AG1964" s="1539"/>
      <c r="AH1964" s="1539"/>
      <c r="AI1964" s="1539"/>
      <c r="AJ1964" s="1539"/>
      <c r="AK1964" s="1539"/>
      <c r="AL1964" s="1539"/>
      <c r="AM1964" s="1539"/>
      <c r="AN1964" s="1539"/>
      <c r="AO1964" s="1539"/>
      <c r="AP1964" s="1539"/>
      <c r="AQ1964" s="1539"/>
      <c r="AR1964" s="1539"/>
      <c r="AS1964" s="1539"/>
      <c r="AT1964" s="1539"/>
      <c r="AU1964" s="1539"/>
      <c r="AV1964" s="1539"/>
      <c r="AW1964" s="1539"/>
      <c r="AX1964" s="1539"/>
      <c r="AY1964" s="1539"/>
      <c r="AZ1964" s="1539"/>
      <c r="BA1964" s="1539"/>
      <c r="BB1964" s="1539"/>
      <c r="BC1964" s="1539"/>
      <c r="BD1964" s="1539"/>
      <c r="BE1964" s="1539"/>
      <c r="BF1964" s="1539"/>
      <c r="BG1964" s="1539"/>
      <c r="BH1964" s="1539"/>
      <c r="BI1964" s="1539"/>
      <c r="BJ1964" s="1539"/>
      <c r="BK1964" s="1539"/>
      <c r="BL1964" s="1539"/>
      <c r="BM1964" s="1539"/>
      <c r="BN1964" s="1539"/>
      <c r="BO1964" s="1539"/>
      <c r="BP1964" s="1539"/>
      <c r="BQ1964" s="1539"/>
      <c r="BR1964" s="1539"/>
      <c r="BS1964" s="1539"/>
      <c r="BT1964" s="1539"/>
      <c r="BU1964" s="1539"/>
      <c r="BV1964" s="1539"/>
      <c r="BW1964" s="1539"/>
      <c r="BX1964" s="1539"/>
      <c r="BY1964" s="1539"/>
      <c r="BZ1964" s="1539"/>
      <c r="CA1964" s="1539"/>
      <c r="CB1964" s="1539"/>
      <c r="CC1964" s="1539"/>
      <c r="CD1964" s="1539"/>
      <c r="CE1964" s="1539"/>
      <c r="CF1964" s="1539"/>
      <c r="CG1964" s="1539"/>
      <c r="CH1964" s="1539"/>
      <c r="CI1964" s="1539"/>
      <c r="CJ1964" s="1539"/>
      <c r="CK1964" s="1539"/>
      <c r="CL1964" s="1539"/>
      <c r="CM1964" s="1539"/>
      <c r="CN1964" s="1539"/>
      <c r="CO1964" s="1539"/>
    </row>
    <row r="1965" spans="1:93" s="1552" customFormat="1" ht="15.5">
      <c r="A1965" s="1863">
        <v>44.143999999999998</v>
      </c>
      <c r="B1965" s="1809" t="s">
        <v>5488</v>
      </c>
      <c r="C1965" s="1643" t="e">
        <f>+SUMIF(#REF!,Final!A1965,#REF!)</f>
        <v>#REF!</v>
      </c>
      <c r="D1965" s="1597" t="e">
        <f>+SUMIF(#REF!,Final!A1965,#REF!)</f>
        <v>#REF!</v>
      </c>
      <c r="E1965" s="1643" t="e">
        <f>SUMIF(#REF!,Final!A1965,#REF!)</f>
        <v>#REF!</v>
      </c>
      <c r="F1965" s="1644" t="e">
        <f>SUMIF(#REF!,Final!A1965,#REF!)</f>
        <v>#REF!</v>
      </c>
      <c r="G1965" s="1597" t="e">
        <f t="shared" si="208"/>
        <v>#REF!</v>
      </c>
      <c r="H1965" s="1644" t="e">
        <f t="shared" si="209"/>
        <v>#REF!</v>
      </c>
      <c r="I1965" s="1597" t="e">
        <f t="shared" si="210"/>
        <v>#REF!</v>
      </c>
      <c r="J1965" s="1644" t="e">
        <f t="shared" si="211"/>
        <v>#REF!</v>
      </c>
      <c r="K1965" s="1539"/>
      <c r="L1965" s="1539"/>
      <c r="M1965" s="1545"/>
      <c r="N1965" s="1545"/>
      <c r="O1965" s="1539"/>
      <c r="P1965" s="1539"/>
      <c r="Q1965" s="1539"/>
      <c r="R1965" s="1539"/>
      <c r="S1965" s="1539"/>
      <c r="T1965" s="1539"/>
      <c r="U1965" s="1539"/>
      <c r="V1965" s="1539"/>
      <c r="W1965" s="1539"/>
      <c r="X1965" s="1539"/>
      <c r="Y1965" s="1539"/>
      <c r="Z1965" s="1539"/>
      <c r="AA1965" s="1539"/>
      <c r="AB1965" s="1539"/>
      <c r="AC1965" s="1539"/>
      <c r="AD1965" s="1539"/>
      <c r="AE1965" s="1539"/>
      <c r="AF1965" s="1539"/>
      <c r="AG1965" s="1539"/>
      <c r="AH1965" s="1539"/>
      <c r="AI1965" s="1539"/>
      <c r="AJ1965" s="1539"/>
      <c r="AK1965" s="1539"/>
      <c r="AL1965" s="1539"/>
      <c r="AM1965" s="1539"/>
      <c r="AN1965" s="1539"/>
      <c r="AO1965" s="1539"/>
      <c r="AP1965" s="1539"/>
      <c r="AQ1965" s="1539"/>
      <c r="AR1965" s="1539"/>
      <c r="AS1965" s="1539"/>
      <c r="AT1965" s="1539"/>
      <c r="AU1965" s="1539"/>
      <c r="AV1965" s="1539"/>
      <c r="AW1965" s="1539"/>
      <c r="AX1965" s="1539"/>
      <c r="AY1965" s="1539"/>
      <c r="AZ1965" s="1539"/>
      <c r="BA1965" s="1539"/>
      <c r="BB1965" s="1539"/>
      <c r="BC1965" s="1539"/>
      <c r="BD1965" s="1539"/>
      <c r="BE1965" s="1539"/>
      <c r="BF1965" s="1539"/>
      <c r="BG1965" s="1539"/>
      <c r="BH1965" s="1539"/>
      <c r="BI1965" s="1539"/>
      <c r="BJ1965" s="1539"/>
      <c r="BK1965" s="1539"/>
      <c r="BL1965" s="1539"/>
      <c r="BM1965" s="1539"/>
      <c r="BN1965" s="1539"/>
      <c r="BO1965" s="1539"/>
      <c r="BP1965" s="1539"/>
      <c r="BQ1965" s="1539"/>
      <c r="BR1965" s="1539"/>
      <c r="BS1965" s="1539"/>
      <c r="BT1965" s="1539"/>
      <c r="BU1965" s="1539"/>
      <c r="BV1965" s="1539"/>
      <c r="BW1965" s="1539"/>
      <c r="BX1965" s="1539"/>
      <c r="BY1965" s="1539"/>
      <c r="BZ1965" s="1539"/>
      <c r="CA1965" s="1539"/>
      <c r="CB1965" s="1539"/>
      <c r="CC1965" s="1539"/>
      <c r="CD1965" s="1539"/>
      <c r="CE1965" s="1539"/>
      <c r="CF1965" s="1539"/>
      <c r="CG1965" s="1539"/>
      <c r="CH1965" s="1539"/>
      <c r="CI1965" s="1539"/>
      <c r="CJ1965" s="1539"/>
      <c r="CK1965" s="1539"/>
      <c r="CL1965" s="1539"/>
      <c r="CM1965" s="1539"/>
      <c r="CN1965" s="1539"/>
      <c r="CO1965" s="1539"/>
    </row>
    <row r="1966" spans="1:93" s="1552" customFormat="1" ht="15.5">
      <c r="A1966" s="1863">
        <v>44.145000000000003</v>
      </c>
      <c r="B1966" s="1809" t="s">
        <v>5489</v>
      </c>
      <c r="C1966" s="1643" t="e">
        <f>+SUMIF(#REF!,Final!A1966,#REF!)</f>
        <v>#REF!</v>
      </c>
      <c r="D1966" s="1597" t="e">
        <f>+SUMIF(#REF!,Final!A1966,#REF!)</f>
        <v>#REF!</v>
      </c>
      <c r="E1966" s="1643" t="e">
        <f>SUMIF(#REF!,Final!A1966,#REF!)</f>
        <v>#REF!</v>
      </c>
      <c r="F1966" s="1644" t="e">
        <f>SUMIF(#REF!,Final!A1966,#REF!)</f>
        <v>#REF!</v>
      </c>
      <c r="G1966" s="1597" t="e">
        <f t="shared" si="208"/>
        <v>#REF!</v>
      </c>
      <c r="H1966" s="1644" t="e">
        <f t="shared" si="209"/>
        <v>#REF!</v>
      </c>
      <c r="I1966" s="1597" t="e">
        <f t="shared" si="210"/>
        <v>#REF!</v>
      </c>
      <c r="J1966" s="1644" t="e">
        <f t="shared" si="211"/>
        <v>#REF!</v>
      </c>
      <c r="K1966" s="1539"/>
      <c r="L1966" s="1539"/>
      <c r="M1966" s="1545"/>
      <c r="N1966" s="1545"/>
      <c r="O1966" s="1539"/>
      <c r="P1966" s="1539"/>
      <c r="Q1966" s="1539"/>
      <c r="R1966" s="1539"/>
      <c r="S1966" s="1539"/>
      <c r="T1966" s="1539"/>
      <c r="U1966" s="1539"/>
      <c r="V1966" s="1539"/>
      <c r="W1966" s="1539"/>
      <c r="X1966" s="1539"/>
      <c r="Y1966" s="1539"/>
      <c r="Z1966" s="1539"/>
      <c r="AA1966" s="1539"/>
      <c r="AB1966" s="1539"/>
      <c r="AC1966" s="1539"/>
      <c r="AD1966" s="1539"/>
      <c r="AE1966" s="1539"/>
      <c r="AF1966" s="1539"/>
      <c r="AG1966" s="1539"/>
      <c r="AH1966" s="1539"/>
      <c r="AI1966" s="1539"/>
      <c r="AJ1966" s="1539"/>
      <c r="AK1966" s="1539"/>
      <c r="AL1966" s="1539"/>
      <c r="AM1966" s="1539"/>
      <c r="AN1966" s="1539"/>
      <c r="AO1966" s="1539"/>
      <c r="AP1966" s="1539"/>
      <c r="AQ1966" s="1539"/>
      <c r="AR1966" s="1539"/>
      <c r="AS1966" s="1539"/>
      <c r="AT1966" s="1539"/>
      <c r="AU1966" s="1539"/>
      <c r="AV1966" s="1539"/>
      <c r="AW1966" s="1539"/>
      <c r="AX1966" s="1539"/>
      <c r="AY1966" s="1539"/>
      <c r="AZ1966" s="1539"/>
      <c r="BA1966" s="1539"/>
      <c r="BB1966" s="1539"/>
      <c r="BC1966" s="1539"/>
      <c r="BD1966" s="1539"/>
      <c r="BE1966" s="1539"/>
      <c r="BF1966" s="1539"/>
      <c r="BG1966" s="1539"/>
      <c r="BH1966" s="1539"/>
      <c r="BI1966" s="1539"/>
      <c r="BJ1966" s="1539"/>
      <c r="BK1966" s="1539"/>
      <c r="BL1966" s="1539"/>
      <c r="BM1966" s="1539"/>
      <c r="BN1966" s="1539"/>
      <c r="BO1966" s="1539"/>
      <c r="BP1966" s="1539"/>
      <c r="BQ1966" s="1539"/>
      <c r="BR1966" s="1539"/>
      <c r="BS1966" s="1539"/>
      <c r="BT1966" s="1539"/>
      <c r="BU1966" s="1539"/>
      <c r="BV1966" s="1539"/>
      <c r="BW1966" s="1539"/>
      <c r="BX1966" s="1539"/>
      <c r="BY1966" s="1539"/>
      <c r="BZ1966" s="1539"/>
      <c r="CA1966" s="1539"/>
      <c r="CB1966" s="1539"/>
      <c r="CC1966" s="1539"/>
      <c r="CD1966" s="1539"/>
      <c r="CE1966" s="1539"/>
      <c r="CF1966" s="1539"/>
      <c r="CG1966" s="1539"/>
      <c r="CH1966" s="1539"/>
      <c r="CI1966" s="1539"/>
      <c r="CJ1966" s="1539"/>
      <c r="CK1966" s="1539"/>
      <c r="CL1966" s="1539"/>
      <c r="CM1966" s="1539"/>
      <c r="CN1966" s="1539"/>
      <c r="CO1966" s="1539"/>
    </row>
    <row r="1967" spans="1:93" s="1552" customFormat="1" ht="15.5">
      <c r="A1967" s="1863">
        <v>44.146000000000001</v>
      </c>
      <c r="B1967" s="1809" t="s">
        <v>5490</v>
      </c>
      <c r="C1967" s="1643" t="e">
        <f>+SUMIF(#REF!,Final!A1967,#REF!)</f>
        <v>#REF!</v>
      </c>
      <c r="D1967" s="1597" t="e">
        <f>+SUMIF(#REF!,Final!A1967,#REF!)</f>
        <v>#REF!</v>
      </c>
      <c r="E1967" s="1643" t="e">
        <f>SUMIF(#REF!,Final!A1967,#REF!)</f>
        <v>#REF!</v>
      </c>
      <c r="F1967" s="1644" t="e">
        <f>SUMIF(#REF!,Final!A1967,#REF!)</f>
        <v>#REF!</v>
      </c>
      <c r="G1967" s="1597" t="e">
        <f t="shared" si="208"/>
        <v>#REF!</v>
      </c>
      <c r="H1967" s="1644" t="e">
        <f t="shared" si="209"/>
        <v>#REF!</v>
      </c>
      <c r="I1967" s="1597" t="e">
        <f t="shared" si="210"/>
        <v>#REF!</v>
      </c>
      <c r="J1967" s="1644" t="e">
        <f t="shared" si="211"/>
        <v>#REF!</v>
      </c>
      <c r="K1967" s="1539"/>
      <c r="L1967" s="1539"/>
      <c r="M1967" s="1545"/>
      <c r="N1967" s="1545"/>
      <c r="O1967" s="1539"/>
      <c r="P1967" s="1539"/>
      <c r="Q1967" s="1539"/>
      <c r="R1967" s="1539"/>
      <c r="S1967" s="1539"/>
      <c r="T1967" s="1539"/>
      <c r="U1967" s="1539"/>
      <c r="V1967" s="1539"/>
      <c r="W1967" s="1539"/>
      <c r="X1967" s="1539"/>
      <c r="Y1967" s="1539"/>
      <c r="Z1967" s="1539"/>
      <c r="AA1967" s="1539"/>
      <c r="AB1967" s="1539"/>
      <c r="AC1967" s="1539"/>
      <c r="AD1967" s="1539"/>
      <c r="AE1967" s="1539"/>
      <c r="AF1967" s="1539"/>
      <c r="AG1967" s="1539"/>
      <c r="AH1967" s="1539"/>
      <c r="AI1967" s="1539"/>
      <c r="AJ1967" s="1539"/>
      <c r="AK1967" s="1539"/>
      <c r="AL1967" s="1539"/>
      <c r="AM1967" s="1539"/>
      <c r="AN1967" s="1539"/>
      <c r="AO1967" s="1539"/>
      <c r="AP1967" s="1539"/>
      <c r="AQ1967" s="1539"/>
      <c r="AR1967" s="1539"/>
      <c r="AS1967" s="1539"/>
      <c r="AT1967" s="1539"/>
      <c r="AU1967" s="1539"/>
      <c r="AV1967" s="1539"/>
      <c r="AW1967" s="1539"/>
      <c r="AX1967" s="1539"/>
      <c r="AY1967" s="1539"/>
      <c r="AZ1967" s="1539"/>
      <c r="BA1967" s="1539"/>
      <c r="BB1967" s="1539"/>
      <c r="BC1967" s="1539"/>
      <c r="BD1967" s="1539"/>
      <c r="BE1967" s="1539"/>
      <c r="BF1967" s="1539"/>
      <c r="BG1967" s="1539"/>
      <c r="BH1967" s="1539"/>
      <c r="BI1967" s="1539"/>
      <c r="BJ1967" s="1539"/>
      <c r="BK1967" s="1539"/>
      <c r="BL1967" s="1539"/>
      <c r="BM1967" s="1539"/>
      <c r="BN1967" s="1539"/>
      <c r="BO1967" s="1539"/>
      <c r="BP1967" s="1539"/>
      <c r="BQ1967" s="1539"/>
      <c r="BR1967" s="1539"/>
      <c r="BS1967" s="1539"/>
      <c r="BT1967" s="1539"/>
      <c r="BU1967" s="1539"/>
      <c r="BV1967" s="1539"/>
      <c r="BW1967" s="1539"/>
      <c r="BX1967" s="1539"/>
      <c r="BY1967" s="1539"/>
      <c r="BZ1967" s="1539"/>
      <c r="CA1967" s="1539"/>
      <c r="CB1967" s="1539"/>
      <c r="CC1967" s="1539"/>
      <c r="CD1967" s="1539"/>
      <c r="CE1967" s="1539"/>
      <c r="CF1967" s="1539"/>
      <c r="CG1967" s="1539"/>
      <c r="CH1967" s="1539"/>
      <c r="CI1967" s="1539"/>
      <c r="CJ1967" s="1539"/>
      <c r="CK1967" s="1539"/>
      <c r="CL1967" s="1539"/>
      <c r="CM1967" s="1539"/>
      <c r="CN1967" s="1539"/>
      <c r="CO1967" s="1539"/>
    </row>
    <row r="1968" spans="1:93" s="1552" customFormat="1" ht="15.5">
      <c r="A1968" s="1863">
        <v>44.146999999999998</v>
      </c>
      <c r="B1968" s="1809" t="s">
        <v>5491</v>
      </c>
      <c r="C1968" s="1643" t="e">
        <f>+SUMIF(#REF!,Final!A1968,#REF!)</f>
        <v>#REF!</v>
      </c>
      <c r="D1968" s="1597" t="e">
        <f>+SUMIF(#REF!,Final!A1968,#REF!)</f>
        <v>#REF!</v>
      </c>
      <c r="E1968" s="1643" t="e">
        <f>SUMIF(#REF!,Final!A1968,#REF!)</f>
        <v>#REF!</v>
      </c>
      <c r="F1968" s="1644" t="e">
        <f>SUMIF(#REF!,Final!A1968,#REF!)</f>
        <v>#REF!</v>
      </c>
      <c r="G1968" s="1597" t="e">
        <f t="shared" si="208"/>
        <v>#REF!</v>
      </c>
      <c r="H1968" s="1644" t="e">
        <f t="shared" si="209"/>
        <v>#REF!</v>
      </c>
      <c r="I1968" s="1597" t="e">
        <f t="shared" si="210"/>
        <v>#REF!</v>
      </c>
      <c r="J1968" s="1644" t="e">
        <f t="shared" si="211"/>
        <v>#REF!</v>
      </c>
      <c r="K1968" s="1539"/>
      <c r="L1968" s="1539"/>
      <c r="M1968" s="1545"/>
      <c r="N1968" s="1545"/>
      <c r="O1968" s="1539"/>
      <c r="P1968" s="1539"/>
      <c r="Q1968" s="1539"/>
      <c r="R1968" s="1539"/>
      <c r="S1968" s="1539"/>
      <c r="T1968" s="1539"/>
      <c r="U1968" s="1539"/>
      <c r="V1968" s="1539"/>
      <c r="W1968" s="1539"/>
      <c r="X1968" s="1539"/>
      <c r="Y1968" s="1539"/>
      <c r="Z1968" s="1539"/>
      <c r="AA1968" s="1539"/>
      <c r="AB1968" s="1539"/>
      <c r="AC1968" s="1539"/>
      <c r="AD1968" s="1539"/>
      <c r="AE1968" s="1539"/>
      <c r="AF1968" s="1539"/>
      <c r="AG1968" s="1539"/>
      <c r="AH1968" s="1539"/>
      <c r="AI1968" s="1539"/>
      <c r="AJ1968" s="1539"/>
      <c r="AK1968" s="1539"/>
      <c r="AL1968" s="1539"/>
      <c r="AM1968" s="1539"/>
      <c r="AN1968" s="1539"/>
      <c r="AO1968" s="1539"/>
      <c r="AP1968" s="1539"/>
      <c r="AQ1968" s="1539"/>
      <c r="AR1968" s="1539"/>
      <c r="AS1968" s="1539"/>
      <c r="AT1968" s="1539"/>
      <c r="AU1968" s="1539"/>
      <c r="AV1968" s="1539"/>
      <c r="AW1968" s="1539"/>
      <c r="AX1968" s="1539"/>
      <c r="AY1968" s="1539"/>
      <c r="AZ1968" s="1539"/>
      <c r="BA1968" s="1539"/>
      <c r="BB1968" s="1539"/>
      <c r="BC1968" s="1539"/>
      <c r="BD1968" s="1539"/>
      <c r="BE1968" s="1539"/>
      <c r="BF1968" s="1539"/>
      <c r="BG1968" s="1539"/>
      <c r="BH1968" s="1539"/>
      <c r="BI1968" s="1539"/>
      <c r="BJ1968" s="1539"/>
      <c r="BK1968" s="1539"/>
      <c r="BL1968" s="1539"/>
      <c r="BM1968" s="1539"/>
      <c r="BN1968" s="1539"/>
      <c r="BO1968" s="1539"/>
      <c r="BP1968" s="1539"/>
      <c r="BQ1968" s="1539"/>
      <c r="BR1968" s="1539"/>
      <c r="BS1968" s="1539"/>
      <c r="BT1968" s="1539"/>
      <c r="BU1968" s="1539"/>
      <c r="BV1968" s="1539"/>
      <c r="BW1968" s="1539"/>
      <c r="BX1968" s="1539"/>
      <c r="BY1968" s="1539"/>
      <c r="BZ1968" s="1539"/>
      <c r="CA1968" s="1539"/>
      <c r="CB1968" s="1539"/>
      <c r="CC1968" s="1539"/>
      <c r="CD1968" s="1539"/>
      <c r="CE1968" s="1539"/>
      <c r="CF1968" s="1539"/>
      <c r="CG1968" s="1539"/>
      <c r="CH1968" s="1539"/>
      <c r="CI1968" s="1539"/>
      <c r="CJ1968" s="1539"/>
      <c r="CK1968" s="1539"/>
      <c r="CL1968" s="1539"/>
      <c r="CM1968" s="1539"/>
      <c r="CN1968" s="1539"/>
      <c r="CO1968" s="1539"/>
    </row>
    <row r="1969" spans="1:93" s="1552" customFormat="1" ht="15.5">
      <c r="A1969" s="1864">
        <v>44.148000000000003</v>
      </c>
      <c r="B1969" s="1809" t="s">
        <v>5497</v>
      </c>
      <c r="C1969" s="1643" t="e">
        <f>+SUMIF(#REF!,Final!A1969,#REF!)</f>
        <v>#REF!</v>
      </c>
      <c r="D1969" s="1597" t="e">
        <f>+SUMIF(#REF!,Final!A1969,#REF!)</f>
        <v>#REF!</v>
      </c>
      <c r="E1969" s="1643" t="e">
        <f>SUMIF(#REF!,Final!A1969,#REF!)</f>
        <v>#REF!</v>
      </c>
      <c r="F1969" s="1644" t="e">
        <f>SUMIF(#REF!,Final!A1969,#REF!)</f>
        <v>#REF!</v>
      </c>
      <c r="G1969" s="1597" t="e">
        <f t="shared" si="208"/>
        <v>#REF!</v>
      </c>
      <c r="H1969" s="1644" t="e">
        <f t="shared" si="209"/>
        <v>#REF!</v>
      </c>
      <c r="I1969" s="1597" t="e">
        <f t="shared" si="210"/>
        <v>#REF!</v>
      </c>
      <c r="J1969" s="1644" t="e">
        <f t="shared" si="211"/>
        <v>#REF!</v>
      </c>
      <c r="K1969" s="1539"/>
      <c r="L1969" s="1539"/>
      <c r="M1969" s="1545"/>
      <c r="N1969" s="1545"/>
      <c r="O1969" s="1539"/>
      <c r="P1969" s="1539"/>
      <c r="Q1969" s="1539"/>
      <c r="R1969" s="1539"/>
      <c r="S1969" s="1539"/>
      <c r="T1969" s="1539"/>
      <c r="U1969" s="1539"/>
      <c r="V1969" s="1539"/>
      <c r="W1969" s="1539"/>
      <c r="X1969" s="1539"/>
      <c r="Y1969" s="1539"/>
      <c r="Z1969" s="1539"/>
      <c r="AA1969" s="1539"/>
      <c r="AB1969" s="1539"/>
      <c r="AC1969" s="1539"/>
      <c r="AD1969" s="1539"/>
      <c r="AE1969" s="1539"/>
      <c r="AF1969" s="1539"/>
      <c r="AG1969" s="1539"/>
      <c r="AH1969" s="1539"/>
      <c r="AI1969" s="1539"/>
      <c r="AJ1969" s="1539"/>
      <c r="AK1969" s="1539"/>
      <c r="AL1969" s="1539"/>
      <c r="AM1969" s="1539"/>
      <c r="AN1969" s="1539"/>
      <c r="AO1969" s="1539"/>
      <c r="AP1969" s="1539"/>
      <c r="AQ1969" s="1539"/>
      <c r="AR1969" s="1539"/>
      <c r="AS1969" s="1539"/>
      <c r="AT1969" s="1539"/>
      <c r="AU1969" s="1539"/>
      <c r="AV1969" s="1539"/>
      <c r="AW1969" s="1539"/>
      <c r="AX1969" s="1539"/>
      <c r="AY1969" s="1539"/>
      <c r="AZ1969" s="1539"/>
      <c r="BA1969" s="1539"/>
      <c r="BB1969" s="1539"/>
      <c r="BC1969" s="1539"/>
      <c r="BD1969" s="1539"/>
      <c r="BE1969" s="1539"/>
      <c r="BF1969" s="1539"/>
      <c r="BG1969" s="1539"/>
      <c r="BH1969" s="1539"/>
      <c r="BI1969" s="1539"/>
      <c r="BJ1969" s="1539"/>
      <c r="BK1969" s="1539"/>
      <c r="BL1969" s="1539"/>
      <c r="BM1969" s="1539"/>
      <c r="BN1969" s="1539"/>
      <c r="BO1969" s="1539"/>
      <c r="BP1969" s="1539"/>
      <c r="BQ1969" s="1539"/>
      <c r="BR1969" s="1539"/>
      <c r="BS1969" s="1539"/>
      <c r="BT1969" s="1539"/>
      <c r="BU1969" s="1539"/>
      <c r="BV1969" s="1539"/>
      <c r="BW1969" s="1539"/>
      <c r="BX1969" s="1539"/>
      <c r="BY1969" s="1539"/>
      <c r="BZ1969" s="1539"/>
      <c r="CA1969" s="1539"/>
      <c r="CB1969" s="1539"/>
      <c r="CC1969" s="1539"/>
      <c r="CD1969" s="1539"/>
      <c r="CE1969" s="1539"/>
      <c r="CF1969" s="1539"/>
      <c r="CG1969" s="1539"/>
      <c r="CH1969" s="1539"/>
      <c r="CI1969" s="1539"/>
      <c r="CJ1969" s="1539"/>
      <c r="CK1969" s="1539"/>
      <c r="CL1969" s="1539"/>
      <c r="CM1969" s="1539"/>
      <c r="CN1969" s="1539"/>
      <c r="CO1969" s="1539"/>
    </row>
    <row r="1970" spans="1:93" s="1552" customFormat="1" ht="15.5">
      <c r="A1970" s="1864">
        <v>44.149000000000001</v>
      </c>
      <c r="B1970" s="1809" t="s">
        <v>5498</v>
      </c>
      <c r="C1970" s="1643" t="e">
        <f>+SUMIF(#REF!,Final!A1970,#REF!)</f>
        <v>#REF!</v>
      </c>
      <c r="D1970" s="1597" t="e">
        <f>+SUMIF(#REF!,Final!A1970,#REF!)</f>
        <v>#REF!</v>
      </c>
      <c r="E1970" s="1643" t="e">
        <f>SUMIF(#REF!,Final!A1970,#REF!)</f>
        <v>#REF!</v>
      </c>
      <c r="F1970" s="1644" t="e">
        <f>SUMIF(#REF!,Final!A1970,#REF!)</f>
        <v>#REF!</v>
      </c>
      <c r="G1970" s="1597" t="e">
        <f t="shared" si="208"/>
        <v>#REF!</v>
      </c>
      <c r="H1970" s="1644" t="e">
        <f t="shared" si="209"/>
        <v>#REF!</v>
      </c>
      <c r="I1970" s="1597" t="e">
        <f t="shared" si="210"/>
        <v>#REF!</v>
      </c>
      <c r="J1970" s="1644" t="e">
        <f t="shared" si="211"/>
        <v>#REF!</v>
      </c>
      <c r="K1970" s="1539"/>
      <c r="L1970" s="1539"/>
      <c r="M1970" s="1545"/>
      <c r="N1970" s="1545"/>
      <c r="O1970" s="1539"/>
      <c r="P1970" s="1539"/>
      <c r="Q1970" s="1539"/>
      <c r="R1970" s="1539"/>
      <c r="S1970" s="1539"/>
      <c r="T1970" s="1539"/>
      <c r="U1970" s="1539"/>
      <c r="V1970" s="1539"/>
      <c r="W1970" s="1539"/>
      <c r="X1970" s="1539"/>
      <c r="Y1970" s="1539"/>
      <c r="Z1970" s="1539"/>
      <c r="AA1970" s="1539"/>
      <c r="AB1970" s="1539"/>
      <c r="AC1970" s="1539"/>
      <c r="AD1970" s="1539"/>
      <c r="AE1970" s="1539"/>
      <c r="AF1970" s="1539"/>
      <c r="AG1970" s="1539"/>
      <c r="AH1970" s="1539"/>
      <c r="AI1970" s="1539"/>
      <c r="AJ1970" s="1539"/>
      <c r="AK1970" s="1539"/>
      <c r="AL1970" s="1539"/>
      <c r="AM1970" s="1539"/>
      <c r="AN1970" s="1539"/>
      <c r="AO1970" s="1539"/>
      <c r="AP1970" s="1539"/>
      <c r="AQ1970" s="1539"/>
      <c r="AR1970" s="1539"/>
      <c r="AS1970" s="1539"/>
      <c r="AT1970" s="1539"/>
      <c r="AU1970" s="1539"/>
      <c r="AV1970" s="1539"/>
      <c r="AW1970" s="1539"/>
      <c r="AX1970" s="1539"/>
      <c r="AY1970" s="1539"/>
      <c r="AZ1970" s="1539"/>
      <c r="BA1970" s="1539"/>
      <c r="BB1970" s="1539"/>
      <c r="BC1970" s="1539"/>
      <c r="BD1970" s="1539"/>
      <c r="BE1970" s="1539"/>
      <c r="BF1970" s="1539"/>
      <c r="BG1970" s="1539"/>
      <c r="BH1970" s="1539"/>
      <c r="BI1970" s="1539"/>
      <c r="BJ1970" s="1539"/>
      <c r="BK1970" s="1539"/>
      <c r="BL1970" s="1539"/>
      <c r="BM1970" s="1539"/>
      <c r="BN1970" s="1539"/>
      <c r="BO1970" s="1539"/>
      <c r="BP1970" s="1539"/>
      <c r="BQ1970" s="1539"/>
      <c r="BR1970" s="1539"/>
      <c r="BS1970" s="1539"/>
      <c r="BT1970" s="1539"/>
      <c r="BU1970" s="1539"/>
      <c r="BV1970" s="1539"/>
      <c r="BW1970" s="1539"/>
      <c r="BX1970" s="1539"/>
      <c r="BY1970" s="1539"/>
      <c r="BZ1970" s="1539"/>
      <c r="CA1970" s="1539"/>
      <c r="CB1970" s="1539"/>
      <c r="CC1970" s="1539"/>
      <c r="CD1970" s="1539"/>
      <c r="CE1970" s="1539"/>
      <c r="CF1970" s="1539"/>
      <c r="CG1970" s="1539"/>
      <c r="CH1970" s="1539"/>
      <c r="CI1970" s="1539"/>
      <c r="CJ1970" s="1539"/>
      <c r="CK1970" s="1539"/>
      <c r="CL1970" s="1539"/>
      <c r="CM1970" s="1539"/>
      <c r="CN1970" s="1539"/>
      <c r="CO1970" s="1539"/>
    </row>
    <row r="1971" spans="1:93" s="1542" customFormat="1" ht="15.5">
      <c r="A1971" s="1598" t="s">
        <v>1768</v>
      </c>
      <c r="B1971" s="1599" t="s">
        <v>2009</v>
      </c>
      <c r="C1971" s="1643" t="e">
        <f>+SUMIF(#REF!,Final!A1971,#REF!)</f>
        <v>#REF!</v>
      </c>
      <c r="D1971" s="1597" t="e">
        <f>+SUMIF(#REF!,Final!A1971,#REF!)</f>
        <v>#REF!</v>
      </c>
      <c r="E1971" s="1643" t="e">
        <f>SUMIF(#REF!,Final!A1971,#REF!)</f>
        <v>#REF!</v>
      </c>
      <c r="F1971" s="1644" t="e">
        <f>SUMIF(#REF!,Final!A1971,#REF!)</f>
        <v>#REF!</v>
      </c>
      <c r="G1971" s="1597" t="e">
        <f t="shared" si="196"/>
        <v>#REF!</v>
      </c>
      <c r="H1971" s="1644" t="e">
        <f t="shared" si="197"/>
        <v>#REF!</v>
      </c>
      <c r="I1971" s="1597" t="e">
        <f t="shared" si="198"/>
        <v>#REF!</v>
      </c>
      <c r="J1971" s="1644" t="e">
        <f t="shared" si="199"/>
        <v>#REF!</v>
      </c>
      <c r="K1971" s="1539"/>
      <c r="L1971" s="1539"/>
      <c r="M1971" s="1545"/>
      <c r="N1971" s="1545"/>
      <c r="O1971" s="1539"/>
      <c r="P1971" s="1539"/>
      <c r="Q1971" s="1539"/>
      <c r="R1971" s="1539"/>
      <c r="S1971" s="1539"/>
      <c r="T1971" s="1539"/>
      <c r="U1971" s="1539"/>
      <c r="V1971" s="1539"/>
      <c r="W1971" s="1539"/>
      <c r="X1971" s="1539"/>
      <c r="Y1971" s="1539"/>
      <c r="Z1971" s="1539"/>
      <c r="AA1971" s="1539"/>
      <c r="AB1971" s="1539"/>
      <c r="AC1971" s="1539"/>
      <c r="AD1971" s="1539"/>
      <c r="AE1971" s="1539"/>
      <c r="AF1971" s="1539"/>
      <c r="AG1971" s="1539"/>
      <c r="AH1971" s="1539"/>
      <c r="AI1971" s="1539"/>
      <c r="AJ1971" s="1539"/>
      <c r="AK1971" s="1539"/>
      <c r="AL1971" s="1539"/>
      <c r="AM1971" s="1539"/>
      <c r="AN1971" s="1539"/>
      <c r="AO1971" s="1539"/>
      <c r="AP1971" s="1539"/>
      <c r="AQ1971" s="1539"/>
      <c r="AR1971" s="1539"/>
      <c r="AS1971" s="1539"/>
      <c r="AT1971" s="1539"/>
      <c r="AU1971" s="1539"/>
      <c r="AV1971" s="1539"/>
      <c r="AW1971" s="1539"/>
      <c r="AX1971" s="1539"/>
      <c r="AY1971" s="1539"/>
      <c r="AZ1971" s="1539"/>
      <c r="BA1971" s="1539"/>
      <c r="BB1971" s="1539"/>
      <c r="BC1971" s="1539"/>
      <c r="BD1971" s="1539"/>
      <c r="BE1971" s="1539"/>
      <c r="BF1971" s="1539"/>
      <c r="BG1971" s="1539"/>
      <c r="BH1971" s="1539"/>
      <c r="BI1971" s="1539"/>
      <c r="BJ1971" s="1539"/>
      <c r="BK1971" s="1539"/>
      <c r="BL1971" s="1539"/>
      <c r="BM1971" s="1539"/>
      <c r="BN1971" s="1539"/>
      <c r="BO1971" s="1539"/>
      <c r="BP1971" s="1539"/>
      <c r="BQ1971" s="1539"/>
      <c r="BR1971" s="1539"/>
      <c r="BS1971" s="1539"/>
      <c r="BT1971" s="1539"/>
      <c r="BU1971" s="1539"/>
      <c r="BV1971" s="1539"/>
      <c r="BW1971" s="1539"/>
      <c r="BX1971" s="1539"/>
      <c r="BY1971" s="1539"/>
      <c r="BZ1971" s="1539"/>
      <c r="CA1971" s="1539"/>
      <c r="CB1971" s="1539"/>
      <c r="CC1971" s="1539"/>
      <c r="CD1971" s="1539"/>
      <c r="CE1971" s="1539"/>
      <c r="CF1971" s="1539"/>
      <c r="CG1971" s="1539"/>
      <c r="CH1971" s="1539"/>
      <c r="CI1971" s="1539"/>
      <c r="CJ1971" s="1539"/>
      <c r="CK1971" s="1539"/>
      <c r="CL1971" s="1539"/>
      <c r="CM1971" s="1539"/>
      <c r="CN1971" s="1539"/>
      <c r="CO1971" s="1539"/>
    </row>
    <row r="1972" spans="1:93" ht="15.5">
      <c r="A1972" s="1598">
        <v>44.115000000000002</v>
      </c>
      <c r="B1972" s="1599" t="s">
        <v>3448</v>
      </c>
      <c r="C1972" s="1643" t="e">
        <f>+SUMIF(#REF!,Final!A1972,#REF!)</f>
        <v>#REF!</v>
      </c>
      <c r="D1972" s="1597" t="e">
        <f>+SUMIF(#REF!,Final!A1972,#REF!)</f>
        <v>#REF!</v>
      </c>
      <c r="E1972" s="1643" t="e">
        <f>SUMIF(#REF!,Final!A1972,#REF!)</f>
        <v>#REF!</v>
      </c>
      <c r="F1972" s="1644" t="e">
        <f>SUMIF(#REF!,Final!A1972,#REF!)</f>
        <v>#REF!</v>
      </c>
      <c r="G1972" s="1597" t="e">
        <f t="shared" si="196"/>
        <v>#REF!</v>
      </c>
      <c r="H1972" s="1644" t="e">
        <f t="shared" si="197"/>
        <v>#REF!</v>
      </c>
      <c r="I1972" s="1597" t="e">
        <f t="shared" si="198"/>
        <v>#REF!</v>
      </c>
      <c r="J1972" s="1644" t="e">
        <f t="shared" si="199"/>
        <v>#REF!</v>
      </c>
      <c r="M1972" s="1545"/>
      <c r="N1972" s="1545"/>
    </row>
    <row r="1973" spans="1:93" s="1552" customFormat="1" ht="15.5">
      <c r="A1973" s="1598"/>
      <c r="B1973" s="1599" t="s">
        <v>1747</v>
      </c>
      <c r="C1973" s="1643" t="e">
        <f>+SUMIF(#REF!,Final!A1973,#REF!)</f>
        <v>#REF!</v>
      </c>
      <c r="D1973" s="1597" t="e">
        <f>+SUMIF(#REF!,Final!A1973,#REF!)</f>
        <v>#REF!</v>
      </c>
      <c r="E1973" s="1643" t="e">
        <f>SUMIF(#REF!,Final!A1973,#REF!)</f>
        <v>#REF!</v>
      </c>
      <c r="F1973" s="1644" t="e">
        <f>SUMIF(#REF!,Final!A1973,#REF!)</f>
        <v>#REF!</v>
      </c>
      <c r="G1973" s="1597" t="e">
        <f t="shared" si="196"/>
        <v>#REF!</v>
      </c>
      <c r="H1973" s="1644" t="e">
        <f t="shared" si="197"/>
        <v>#REF!</v>
      </c>
      <c r="I1973" s="1597" t="e">
        <f t="shared" si="198"/>
        <v>#REF!</v>
      </c>
      <c r="J1973" s="1644" t="e">
        <f t="shared" si="199"/>
        <v>#REF!</v>
      </c>
      <c r="K1973" s="1539"/>
      <c r="L1973" s="1539"/>
      <c r="M1973" s="1545"/>
      <c r="N1973" s="1545"/>
      <c r="O1973" s="1539"/>
      <c r="P1973" s="1539"/>
      <c r="Q1973" s="1539"/>
      <c r="R1973" s="1539"/>
      <c r="S1973" s="1539"/>
      <c r="T1973" s="1539"/>
      <c r="U1973" s="1539"/>
      <c r="V1973" s="1539"/>
      <c r="W1973" s="1539"/>
      <c r="X1973" s="1539"/>
      <c r="Y1973" s="1539"/>
      <c r="Z1973" s="1539"/>
      <c r="AA1973" s="1539"/>
      <c r="AB1973" s="1539"/>
      <c r="AC1973" s="1539"/>
      <c r="AD1973" s="1539"/>
      <c r="AE1973" s="1539"/>
      <c r="AF1973" s="1539"/>
      <c r="AG1973" s="1539"/>
      <c r="AH1973" s="1539"/>
      <c r="AI1973" s="1539"/>
      <c r="AJ1973" s="1539"/>
      <c r="AK1973" s="1539"/>
      <c r="AL1973" s="1539"/>
      <c r="AM1973" s="1539"/>
      <c r="AN1973" s="1539"/>
      <c r="AO1973" s="1539"/>
      <c r="AP1973" s="1539"/>
      <c r="AQ1973" s="1539"/>
      <c r="AR1973" s="1539"/>
      <c r="AS1973" s="1539"/>
      <c r="AT1973" s="1539"/>
      <c r="AU1973" s="1539"/>
      <c r="AV1973" s="1539"/>
      <c r="AW1973" s="1539"/>
      <c r="AX1973" s="1539"/>
      <c r="AY1973" s="1539"/>
      <c r="AZ1973" s="1539"/>
      <c r="BA1973" s="1539"/>
      <c r="BB1973" s="1539"/>
      <c r="BC1973" s="1539"/>
      <c r="BD1973" s="1539"/>
      <c r="BE1973" s="1539"/>
      <c r="BF1973" s="1539"/>
      <c r="BG1973" s="1539"/>
      <c r="BH1973" s="1539"/>
      <c r="BI1973" s="1539"/>
      <c r="BJ1973" s="1539"/>
      <c r="BK1973" s="1539"/>
      <c r="BL1973" s="1539"/>
      <c r="BM1973" s="1539"/>
      <c r="BN1973" s="1539"/>
      <c r="BO1973" s="1539"/>
      <c r="BP1973" s="1539"/>
      <c r="BQ1973" s="1539"/>
      <c r="BR1973" s="1539"/>
      <c r="BS1973" s="1539"/>
      <c r="BT1973" s="1539"/>
      <c r="BU1973" s="1539"/>
      <c r="BV1973" s="1539"/>
      <c r="BW1973" s="1539"/>
      <c r="BX1973" s="1539"/>
      <c r="BY1973" s="1539"/>
      <c r="BZ1973" s="1539"/>
      <c r="CA1973" s="1539"/>
      <c r="CB1973" s="1539"/>
      <c r="CC1973" s="1539"/>
      <c r="CD1973" s="1539"/>
      <c r="CE1973" s="1539"/>
      <c r="CF1973" s="1539"/>
      <c r="CG1973" s="1539"/>
      <c r="CH1973" s="1539"/>
      <c r="CI1973" s="1539"/>
      <c r="CJ1973" s="1539"/>
      <c r="CK1973" s="1539"/>
      <c r="CL1973" s="1539"/>
      <c r="CM1973" s="1539"/>
      <c r="CN1973" s="1539"/>
      <c r="CO1973" s="1539"/>
    </row>
    <row r="1974" spans="1:93" s="1552" customFormat="1" ht="15.5">
      <c r="A1974" s="1527" t="s">
        <v>5499</v>
      </c>
      <c r="B1974" s="1810" t="s">
        <v>5500</v>
      </c>
      <c r="C1974" s="1643" t="e">
        <f>+SUMIF(#REF!,Final!A1974,#REF!)</f>
        <v>#REF!</v>
      </c>
      <c r="D1974" s="1597" t="e">
        <f>+SUMIF(#REF!,Final!A1974,#REF!)</f>
        <v>#REF!</v>
      </c>
      <c r="E1974" s="1643" t="e">
        <f>SUMIF(#REF!,Final!A1974,#REF!)</f>
        <v>#REF!</v>
      </c>
      <c r="F1974" s="1644" t="e">
        <f>SUMIF(#REF!,Final!A1974,#REF!)</f>
        <v>#REF!</v>
      </c>
      <c r="G1974" s="1597" t="e">
        <f t="shared" ref="G1974" si="212">C1974+E1974</f>
        <v>#REF!</v>
      </c>
      <c r="H1974" s="1644" t="e">
        <f t="shared" ref="H1974" si="213">D1974+F1974</f>
        <v>#REF!</v>
      </c>
      <c r="I1974" s="1597" t="e">
        <f t="shared" ref="I1974" si="214">IF(G1974&gt;H1974,G1974-H1974,0)</f>
        <v>#REF!</v>
      </c>
      <c r="J1974" s="1644" t="e">
        <f t="shared" ref="J1974" si="215">IF(H1974&gt;G1974,H1974-G1974,0)</f>
        <v>#REF!</v>
      </c>
      <c r="K1974" s="1539"/>
      <c r="L1974" s="1539"/>
      <c r="M1974" s="1545"/>
      <c r="N1974" s="1545"/>
      <c r="O1974" s="1539"/>
      <c r="P1974" s="1539"/>
      <c r="Q1974" s="1539"/>
      <c r="R1974" s="1539"/>
      <c r="S1974" s="1539"/>
      <c r="T1974" s="1539"/>
      <c r="U1974" s="1539"/>
      <c r="V1974" s="1539"/>
      <c r="W1974" s="1539"/>
      <c r="X1974" s="1539"/>
      <c r="Y1974" s="1539"/>
      <c r="Z1974" s="1539"/>
      <c r="AA1974" s="1539"/>
      <c r="AB1974" s="1539"/>
      <c r="AC1974" s="1539"/>
      <c r="AD1974" s="1539"/>
      <c r="AE1974" s="1539"/>
      <c r="AF1974" s="1539"/>
      <c r="AG1974" s="1539"/>
      <c r="AH1974" s="1539"/>
      <c r="AI1974" s="1539"/>
      <c r="AJ1974" s="1539"/>
      <c r="AK1974" s="1539"/>
      <c r="AL1974" s="1539"/>
      <c r="AM1974" s="1539"/>
      <c r="AN1974" s="1539"/>
      <c r="AO1974" s="1539"/>
      <c r="AP1974" s="1539"/>
      <c r="AQ1974" s="1539"/>
      <c r="AR1974" s="1539"/>
      <c r="AS1974" s="1539"/>
      <c r="AT1974" s="1539"/>
      <c r="AU1974" s="1539"/>
      <c r="AV1974" s="1539"/>
      <c r="AW1974" s="1539"/>
      <c r="AX1974" s="1539"/>
      <c r="AY1974" s="1539"/>
      <c r="AZ1974" s="1539"/>
      <c r="BA1974" s="1539"/>
      <c r="BB1974" s="1539"/>
      <c r="BC1974" s="1539"/>
      <c r="BD1974" s="1539"/>
      <c r="BE1974" s="1539"/>
      <c r="BF1974" s="1539"/>
      <c r="BG1974" s="1539"/>
      <c r="BH1974" s="1539"/>
      <c r="BI1974" s="1539"/>
      <c r="BJ1974" s="1539"/>
      <c r="BK1974" s="1539"/>
      <c r="BL1974" s="1539"/>
      <c r="BM1974" s="1539"/>
      <c r="BN1974" s="1539"/>
      <c r="BO1974" s="1539"/>
      <c r="BP1974" s="1539"/>
      <c r="BQ1974" s="1539"/>
      <c r="BR1974" s="1539"/>
      <c r="BS1974" s="1539"/>
      <c r="BT1974" s="1539"/>
      <c r="BU1974" s="1539"/>
      <c r="BV1974" s="1539"/>
      <c r="BW1974" s="1539"/>
      <c r="BX1974" s="1539"/>
      <c r="BY1974" s="1539"/>
      <c r="BZ1974" s="1539"/>
      <c r="CA1974" s="1539"/>
      <c r="CB1974" s="1539"/>
      <c r="CC1974" s="1539"/>
      <c r="CD1974" s="1539"/>
      <c r="CE1974" s="1539"/>
      <c r="CF1974" s="1539"/>
      <c r="CG1974" s="1539"/>
      <c r="CH1974" s="1539"/>
      <c r="CI1974" s="1539"/>
      <c r="CJ1974" s="1539"/>
      <c r="CK1974" s="1539"/>
      <c r="CL1974" s="1539"/>
      <c r="CM1974" s="1539"/>
      <c r="CN1974" s="1539"/>
      <c r="CO1974" s="1539"/>
    </row>
    <row r="1975" spans="1:93" s="1552" customFormat="1" ht="15.5">
      <c r="A1975" s="1598" t="s">
        <v>3447</v>
      </c>
      <c r="B1975" s="1599" t="s">
        <v>1760</v>
      </c>
      <c r="C1975" s="1643" t="e">
        <f>+SUMIF(#REF!,Final!A1975,#REF!)</f>
        <v>#REF!</v>
      </c>
      <c r="D1975" s="1597" t="e">
        <f>+SUMIF(#REF!,Final!A1975,#REF!)</f>
        <v>#REF!</v>
      </c>
      <c r="E1975" s="1643" t="e">
        <f>SUMIF(#REF!,Final!A1975,#REF!)</f>
        <v>#REF!</v>
      </c>
      <c r="F1975" s="1644" t="e">
        <f>SUMIF(#REF!,Final!A1975,#REF!)</f>
        <v>#REF!</v>
      </c>
      <c r="G1975" s="1597" t="e">
        <f t="shared" si="196"/>
        <v>#REF!</v>
      </c>
      <c r="H1975" s="1644" t="e">
        <f t="shared" si="197"/>
        <v>#REF!</v>
      </c>
      <c r="I1975" s="1597" t="e">
        <f t="shared" si="198"/>
        <v>#REF!</v>
      </c>
      <c r="J1975" s="1644" t="e">
        <f t="shared" si="199"/>
        <v>#REF!</v>
      </c>
      <c r="K1975" s="1539"/>
      <c r="L1975" s="1539"/>
      <c r="M1975" s="1545"/>
      <c r="N1975" s="1545"/>
      <c r="O1975" s="1539"/>
      <c r="P1975" s="1539"/>
      <c r="Q1975" s="1539"/>
      <c r="R1975" s="1539"/>
      <c r="S1975" s="1539"/>
      <c r="T1975" s="1539"/>
      <c r="U1975" s="1539"/>
      <c r="V1975" s="1539"/>
      <c r="W1975" s="1539"/>
      <c r="X1975" s="1539"/>
      <c r="Y1975" s="1539"/>
      <c r="Z1975" s="1539"/>
      <c r="AA1975" s="1539"/>
      <c r="AB1975" s="1539"/>
      <c r="AC1975" s="1539"/>
      <c r="AD1975" s="1539"/>
      <c r="AE1975" s="1539"/>
      <c r="AF1975" s="1539"/>
      <c r="AG1975" s="1539"/>
      <c r="AH1975" s="1539"/>
      <c r="AI1975" s="1539"/>
      <c r="AJ1975" s="1539"/>
      <c r="AK1975" s="1539"/>
      <c r="AL1975" s="1539"/>
      <c r="AM1975" s="1539"/>
      <c r="AN1975" s="1539"/>
      <c r="AO1975" s="1539"/>
      <c r="AP1975" s="1539"/>
      <c r="AQ1975" s="1539"/>
      <c r="AR1975" s="1539"/>
      <c r="AS1975" s="1539"/>
      <c r="AT1975" s="1539"/>
      <c r="AU1975" s="1539"/>
      <c r="AV1975" s="1539"/>
      <c r="AW1975" s="1539"/>
      <c r="AX1975" s="1539"/>
      <c r="AY1975" s="1539"/>
      <c r="AZ1975" s="1539"/>
      <c r="BA1975" s="1539"/>
      <c r="BB1975" s="1539"/>
      <c r="BC1975" s="1539"/>
      <c r="BD1975" s="1539"/>
      <c r="BE1975" s="1539"/>
      <c r="BF1975" s="1539"/>
      <c r="BG1975" s="1539"/>
      <c r="BH1975" s="1539"/>
      <c r="BI1975" s="1539"/>
      <c r="BJ1975" s="1539"/>
      <c r="BK1975" s="1539"/>
      <c r="BL1975" s="1539"/>
      <c r="BM1975" s="1539"/>
      <c r="BN1975" s="1539"/>
      <c r="BO1975" s="1539"/>
      <c r="BP1975" s="1539"/>
      <c r="BQ1975" s="1539"/>
      <c r="BR1975" s="1539"/>
      <c r="BS1975" s="1539"/>
      <c r="BT1975" s="1539"/>
      <c r="BU1975" s="1539"/>
      <c r="BV1975" s="1539"/>
      <c r="BW1975" s="1539"/>
      <c r="BX1975" s="1539"/>
      <c r="BY1975" s="1539"/>
      <c r="BZ1975" s="1539"/>
      <c r="CA1975" s="1539"/>
      <c r="CB1975" s="1539"/>
      <c r="CC1975" s="1539"/>
      <c r="CD1975" s="1539"/>
      <c r="CE1975" s="1539"/>
      <c r="CF1975" s="1539"/>
      <c r="CG1975" s="1539"/>
      <c r="CH1975" s="1539"/>
      <c r="CI1975" s="1539"/>
      <c r="CJ1975" s="1539"/>
      <c r="CK1975" s="1539"/>
      <c r="CL1975" s="1539"/>
      <c r="CM1975" s="1539"/>
      <c r="CN1975" s="1539"/>
      <c r="CO1975" s="1539"/>
    </row>
    <row r="1976" spans="1:93" s="1542" customFormat="1" ht="15.5">
      <c r="A1976" s="1598" t="s">
        <v>543</v>
      </c>
      <c r="B1976" s="1599" t="s">
        <v>1923</v>
      </c>
      <c r="C1976" s="1643" t="e">
        <f>+SUMIF(#REF!,Final!A1976,#REF!)</f>
        <v>#REF!</v>
      </c>
      <c r="D1976" s="1597" t="e">
        <f>+SUMIF(#REF!,Final!A1976,#REF!)</f>
        <v>#REF!</v>
      </c>
      <c r="E1976" s="1643" t="e">
        <f>SUMIF(#REF!,Final!A1976,#REF!)</f>
        <v>#REF!</v>
      </c>
      <c r="F1976" s="1644" t="e">
        <f>SUMIF(#REF!,Final!A1976,#REF!)</f>
        <v>#REF!</v>
      </c>
      <c r="G1976" s="1597" t="e">
        <f t="shared" si="196"/>
        <v>#REF!</v>
      </c>
      <c r="H1976" s="1644" t="e">
        <f t="shared" si="197"/>
        <v>#REF!</v>
      </c>
      <c r="I1976" s="1597" t="e">
        <f t="shared" si="198"/>
        <v>#REF!</v>
      </c>
      <c r="J1976" s="1644" t="e">
        <f t="shared" si="199"/>
        <v>#REF!</v>
      </c>
      <c r="K1976" s="1539"/>
      <c r="L1976" s="1539"/>
      <c r="M1976" s="1545"/>
      <c r="N1976" s="1545"/>
      <c r="O1976" s="1539"/>
      <c r="P1976" s="1539"/>
      <c r="Q1976" s="1539"/>
      <c r="R1976" s="1539"/>
      <c r="S1976" s="1539"/>
      <c r="T1976" s="1539"/>
      <c r="U1976" s="1539"/>
      <c r="V1976" s="1539"/>
      <c r="W1976" s="1539"/>
      <c r="X1976" s="1539"/>
      <c r="Y1976" s="1539"/>
      <c r="Z1976" s="1539"/>
      <c r="AA1976" s="1539"/>
      <c r="AB1976" s="1539"/>
      <c r="AC1976" s="1539"/>
      <c r="AD1976" s="1539"/>
      <c r="AE1976" s="1539"/>
      <c r="AF1976" s="1539"/>
      <c r="AG1976" s="1539"/>
      <c r="AH1976" s="1539"/>
      <c r="AI1976" s="1539"/>
      <c r="AJ1976" s="1539"/>
      <c r="AK1976" s="1539"/>
      <c r="AL1976" s="1539"/>
      <c r="AM1976" s="1539"/>
      <c r="AN1976" s="1539"/>
      <c r="AO1976" s="1539"/>
      <c r="AP1976" s="1539"/>
      <c r="AQ1976" s="1539"/>
      <c r="AR1976" s="1539"/>
      <c r="AS1976" s="1539"/>
      <c r="AT1976" s="1539"/>
      <c r="AU1976" s="1539"/>
      <c r="AV1976" s="1539"/>
      <c r="AW1976" s="1539"/>
      <c r="AX1976" s="1539"/>
      <c r="AY1976" s="1539"/>
      <c r="AZ1976" s="1539"/>
      <c r="BA1976" s="1539"/>
      <c r="BB1976" s="1539"/>
      <c r="BC1976" s="1539"/>
      <c r="BD1976" s="1539"/>
      <c r="BE1976" s="1539"/>
      <c r="BF1976" s="1539"/>
      <c r="BG1976" s="1539"/>
      <c r="BH1976" s="1539"/>
      <c r="BI1976" s="1539"/>
      <c r="BJ1976" s="1539"/>
      <c r="BK1976" s="1539"/>
      <c r="BL1976" s="1539"/>
      <c r="BM1976" s="1539"/>
      <c r="BN1976" s="1539"/>
      <c r="BO1976" s="1539"/>
      <c r="BP1976" s="1539"/>
      <c r="BQ1976" s="1539"/>
      <c r="BR1976" s="1539"/>
      <c r="BS1976" s="1539"/>
      <c r="BT1976" s="1539"/>
      <c r="BU1976" s="1539"/>
      <c r="BV1976" s="1539"/>
      <c r="BW1976" s="1539"/>
      <c r="BX1976" s="1539"/>
      <c r="BY1976" s="1539"/>
      <c r="BZ1976" s="1539"/>
      <c r="CA1976" s="1539"/>
      <c r="CB1976" s="1539"/>
      <c r="CC1976" s="1539"/>
      <c r="CD1976" s="1539"/>
      <c r="CE1976" s="1539"/>
      <c r="CF1976" s="1539"/>
      <c r="CG1976" s="1539"/>
      <c r="CH1976" s="1539"/>
      <c r="CI1976" s="1539"/>
      <c r="CJ1976" s="1539"/>
      <c r="CK1976" s="1539"/>
      <c r="CL1976" s="1539"/>
      <c r="CM1976" s="1539"/>
      <c r="CN1976" s="1539"/>
      <c r="CO1976" s="1539"/>
    </row>
    <row r="1977" spans="1:93" s="1542" customFormat="1" ht="15.5">
      <c r="A1977" s="1598" t="s">
        <v>1762</v>
      </c>
      <c r="B1977" s="1599" t="s">
        <v>1924</v>
      </c>
      <c r="C1977" s="1643" t="e">
        <f>+SUMIF(#REF!,Final!A1977,#REF!)</f>
        <v>#REF!</v>
      </c>
      <c r="D1977" s="1597" t="e">
        <f>+SUMIF(#REF!,Final!A1977,#REF!)</f>
        <v>#REF!</v>
      </c>
      <c r="E1977" s="1643" t="e">
        <f>SUMIF(#REF!,Final!A1977,#REF!)</f>
        <v>#REF!</v>
      </c>
      <c r="F1977" s="1644" t="e">
        <f>SUMIF(#REF!,Final!A1977,#REF!)</f>
        <v>#REF!</v>
      </c>
      <c r="G1977" s="1597" t="e">
        <f t="shared" si="196"/>
        <v>#REF!</v>
      </c>
      <c r="H1977" s="1644" t="e">
        <f t="shared" si="197"/>
        <v>#REF!</v>
      </c>
      <c r="I1977" s="1597" t="e">
        <f t="shared" si="198"/>
        <v>#REF!</v>
      </c>
      <c r="J1977" s="1644" t="e">
        <f t="shared" si="199"/>
        <v>#REF!</v>
      </c>
      <c r="K1977" s="1539"/>
      <c r="L1977" s="1539"/>
      <c r="M1977" s="1545"/>
      <c r="N1977" s="1545"/>
      <c r="O1977" s="1539"/>
      <c r="P1977" s="1539"/>
      <c r="Q1977" s="1539"/>
      <c r="R1977" s="1539"/>
      <c r="S1977" s="1539"/>
      <c r="T1977" s="1539"/>
      <c r="U1977" s="1539"/>
      <c r="V1977" s="1539"/>
      <c r="W1977" s="1539"/>
      <c r="X1977" s="1539"/>
      <c r="Y1977" s="1539"/>
      <c r="Z1977" s="1539"/>
      <c r="AA1977" s="1539"/>
      <c r="AB1977" s="1539"/>
      <c r="AC1977" s="1539"/>
      <c r="AD1977" s="1539"/>
      <c r="AE1977" s="1539"/>
      <c r="AF1977" s="1539"/>
      <c r="AG1977" s="1539"/>
      <c r="AH1977" s="1539"/>
      <c r="AI1977" s="1539"/>
      <c r="AJ1977" s="1539"/>
      <c r="AK1977" s="1539"/>
      <c r="AL1977" s="1539"/>
      <c r="AM1977" s="1539"/>
      <c r="AN1977" s="1539"/>
      <c r="AO1977" s="1539"/>
      <c r="AP1977" s="1539"/>
      <c r="AQ1977" s="1539"/>
      <c r="AR1977" s="1539"/>
      <c r="AS1977" s="1539"/>
      <c r="AT1977" s="1539"/>
      <c r="AU1977" s="1539"/>
      <c r="AV1977" s="1539"/>
      <c r="AW1977" s="1539"/>
      <c r="AX1977" s="1539"/>
      <c r="AY1977" s="1539"/>
      <c r="AZ1977" s="1539"/>
      <c r="BA1977" s="1539"/>
      <c r="BB1977" s="1539"/>
      <c r="BC1977" s="1539"/>
      <c r="BD1977" s="1539"/>
      <c r="BE1977" s="1539"/>
      <c r="BF1977" s="1539"/>
      <c r="BG1977" s="1539"/>
      <c r="BH1977" s="1539"/>
      <c r="BI1977" s="1539"/>
      <c r="BJ1977" s="1539"/>
      <c r="BK1977" s="1539"/>
      <c r="BL1977" s="1539"/>
      <c r="BM1977" s="1539"/>
      <c r="BN1977" s="1539"/>
      <c r="BO1977" s="1539"/>
      <c r="BP1977" s="1539"/>
      <c r="BQ1977" s="1539"/>
      <c r="BR1977" s="1539"/>
      <c r="BS1977" s="1539"/>
      <c r="BT1977" s="1539"/>
      <c r="BU1977" s="1539"/>
      <c r="BV1977" s="1539"/>
      <c r="BW1977" s="1539"/>
      <c r="BX1977" s="1539"/>
      <c r="BY1977" s="1539"/>
      <c r="BZ1977" s="1539"/>
      <c r="CA1977" s="1539"/>
      <c r="CB1977" s="1539"/>
      <c r="CC1977" s="1539"/>
      <c r="CD1977" s="1539"/>
      <c r="CE1977" s="1539"/>
      <c r="CF1977" s="1539"/>
      <c r="CG1977" s="1539"/>
      <c r="CH1977" s="1539"/>
      <c r="CI1977" s="1539"/>
      <c r="CJ1977" s="1539"/>
      <c r="CK1977" s="1539"/>
      <c r="CL1977" s="1539"/>
      <c r="CM1977" s="1539"/>
      <c r="CN1977" s="1539"/>
      <c r="CO1977" s="1539"/>
    </row>
    <row r="1978" spans="1:93" ht="15.5">
      <c r="A1978" s="1598">
        <v>44.12</v>
      </c>
      <c r="B1978" s="1599" t="s">
        <v>1925</v>
      </c>
      <c r="C1978" s="1643" t="e">
        <f>+SUMIF(#REF!,Final!A1978,#REF!)</f>
        <v>#REF!</v>
      </c>
      <c r="D1978" s="1597" t="e">
        <f>+SUMIF(#REF!,Final!A1978,#REF!)</f>
        <v>#REF!</v>
      </c>
      <c r="E1978" s="1643" t="e">
        <f>SUMIF(#REF!,Final!A1978,#REF!)</f>
        <v>#REF!</v>
      </c>
      <c r="F1978" s="1644" t="e">
        <f>SUMIF(#REF!,Final!A1978,#REF!)</f>
        <v>#REF!</v>
      </c>
      <c r="G1978" s="1597" t="e">
        <f t="shared" si="196"/>
        <v>#REF!</v>
      </c>
      <c r="H1978" s="1644" t="e">
        <f t="shared" si="197"/>
        <v>#REF!</v>
      </c>
      <c r="I1978" s="1597" t="e">
        <f t="shared" si="198"/>
        <v>#REF!</v>
      </c>
      <c r="J1978" s="1644" t="e">
        <f t="shared" si="199"/>
        <v>#REF!</v>
      </c>
      <c r="M1978" s="1545"/>
      <c r="N1978" s="1545"/>
    </row>
    <row r="1979" spans="1:93" s="1552" customFormat="1" ht="15.5">
      <c r="A1979" s="1598"/>
      <c r="B1979" s="1599" t="s">
        <v>1747</v>
      </c>
      <c r="C1979" s="1643" t="e">
        <f>+SUMIF(#REF!,Final!A1979,#REF!)</f>
        <v>#REF!</v>
      </c>
      <c r="D1979" s="1597" t="e">
        <f>+SUMIF(#REF!,Final!A1979,#REF!)</f>
        <v>#REF!</v>
      </c>
      <c r="E1979" s="1643" t="e">
        <f>SUMIF(#REF!,Final!A1979,#REF!)</f>
        <v>#REF!</v>
      </c>
      <c r="F1979" s="1644" t="e">
        <f>SUMIF(#REF!,Final!A1979,#REF!)</f>
        <v>#REF!</v>
      </c>
      <c r="G1979" s="1597" t="e">
        <f t="shared" ref="G1979:G2042" si="216">C1979+E1979</f>
        <v>#REF!</v>
      </c>
      <c r="H1979" s="1644" t="e">
        <f t="shared" ref="H1979:H2042" si="217">D1979+F1979</f>
        <v>#REF!</v>
      </c>
      <c r="I1979" s="1597" t="e">
        <f t="shared" ref="I1979:I2042" si="218">IF(G1979&gt;H1979,G1979-H1979,0)</f>
        <v>#REF!</v>
      </c>
      <c r="J1979" s="1644" t="e">
        <f t="shared" ref="J1979:J2042" si="219">IF(H1979&gt;G1979,H1979-G1979,0)</f>
        <v>#REF!</v>
      </c>
      <c r="K1979" s="1539"/>
      <c r="L1979" s="1539"/>
      <c r="M1979" s="1545"/>
      <c r="N1979" s="1545"/>
      <c r="O1979" s="1539"/>
      <c r="P1979" s="1539"/>
      <c r="Q1979" s="1539"/>
      <c r="R1979" s="1539"/>
      <c r="S1979" s="1539"/>
      <c r="T1979" s="1539"/>
      <c r="U1979" s="1539"/>
      <c r="V1979" s="1539"/>
      <c r="W1979" s="1539"/>
      <c r="X1979" s="1539"/>
      <c r="Y1979" s="1539"/>
      <c r="Z1979" s="1539"/>
      <c r="AA1979" s="1539"/>
      <c r="AB1979" s="1539"/>
      <c r="AC1979" s="1539"/>
      <c r="AD1979" s="1539"/>
      <c r="AE1979" s="1539"/>
      <c r="AF1979" s="1539"/>
      <c r="AG1979" s="1539"/>
      <c r="AH1979" s="1539"/>
      <c r="AI1979" s="1539"/>
      <c r="AJ1979" s="1539"/>
      <c r="AK1979" s="1539"/>
      <c r="AL1979" s="1539"/>
      <c r="AM1979" s="1539"/>
      <c r="AN1979" s="1539"/>
      <c r="AO1979" s="1539"/>
      <c r="AP1979" s="1539"/>
      <c r="AQ1979" s="1539"/>
      <c r="AR1979" s="1539"/>
      <c r="AS1979" s="1539"/>
      <c r="AT1979" s="1539"/>
      <c r="AU1979" s="1539"/>
      <c r="AV1979" s="1539"/>
      <c r="AW1979" s="1539"/>
      <c r="AX1979" s="1539"/>
      <c r="AY1979" s="1539"/>
      <c r="AZ1979" s="1539"/>
      <c r="BA1979" s="1539"/>
      <c r="BB1979" s="1539"/>
      <c r="BC1979" s="1539"/>
      <c r="BD1979" s="1539"/>
      <c r="BE1979" s="1539"/>
      <c r="BF1979" s="1539"/>
      <c r="BG1979" s="1539"/>
      <c r="BH1979" s="1539"/>
      <c r="BI1979" s="1539"/>
      <c r="BJ1979" s="1539"/>
      <c r="BK1979" s="1539"/>
      <c r="BL1979" s="1539"/>
      <c r="BM1979" s="1539"/>
      <c r="BN1979" s="1539"/>
      <c r="BO1979" s="1539"/>
      <c r="BP1979" s="1539"/>
      <c r="BQ1979" s="1539"/>
      <c r="BR1979" s="1539"/>
      <c r="BS1979" s="1539"/>
      <c r="BT1979" s="1539"/>
      <c r="BU1979" s="1539"/>
      <c r="BV1979" s="1539"/>
      <c r="BW1979" s="1539"/>
      <c r="BX1979" s="1539"/>
      <c r="BY1979" s="1539"/>
      <c r="BZ1979" s="1539"/>
      <c r="CA1979" s="1539"/>
      <c r="CB1979" s="1539"/>
      <c r="CC1979" s="1539"/>
      <c r="CD1979" s="1539"/>
      <c r="CE1979" s="1539"/>
      <c r="CF1979" s="1539"/>
      <c r="CG1979" s="1539"/>
      <c r="CH1979" s="1539"/>
      <c r="CI1979" s="1539"/>
      <c r="CJ1979" s="1539"/>
      <c r="CK1979" s="1539"/>
      <c r="CL1979" s="1539"/>
      <c r="CM1979" s="1539"/>
      <c r="CN1979" s="1539"/>
      <c r="CO1979" s="1539"/>
    </row>
    <row r="1980" spans="1:93" s="1552" customFormat="1" ht="15.5">
      <c r="A1980" s="1598" t="s">
        <v>2916</v>
      </c>
      <c r="B1980" s="1599" t="s">
        <v>1760</v>
      </c>
      <c r="C1980" s="1643" t="e">
        <f>+SUMIF(#REF!,Final!A1980,#REF!)</f>
        <v>#REF!</v>
      </c>
      <c r="D1980" s="1597" t="e">
        <f>+SUMIF(#REF!,Final!A1980,#REF!)</f>
        <v>#REF!</v>
      </c>
      <c r="E1980" s="1643" t="e">
        <f>SUMIF(#REF!,Final!A1980,#REF!)</f>
        <v>#REF!</v>
      </c>
      <c r="F1980" s="1644" t="e">
        <f>SUMIF(#REF!,Final!A1980,#REF!)</f>
        <v>#REF!</v>
      </c>
      <c r="G1980" s="1597" t="e">
        <f t="shared" si="216"/>
        <v>#REF!</v>
      </c>
      <c r="H1980" s="1644" t="e">
        <f t="shared" si="217"/>
        <v>#REF!</v>
      </c>
      <c r="I1980" s="1597" t="e">
        <f t="shared" si="218"/>
        <v>#REF!</v>
      </c>
      <c r="J1980" s="1644" t="e">
        <f t="shared" si="219"/>
        <v>#REF!</v>
      </c>
      <c r="K1980" s="1539"/>
      <c r="L1980" s="1539"/>
      <c r="M1980" s="1545"/>
      <c r="N1980" s="1545"/>
      <c r="O1980" s="1539"/>
      <c r="P1980" s="1539"/>
      <c r="Q1980" s="1539"/>
      <c r="R1980" s="1539"/>
      <c r="S1980" s="1539"/>
      <c r="T1980" s="1539"/>
      <c r="U1980" s="1539"/>
      <c r="V1980" s="1539"/>
      <c r="W1980" s="1539"/>
      <c r="X1980" s="1539"/>
      <c r="Y1980" s="1539"/>
      <c r="Z1980" s="1539"/>
      <c r="AA1980" s="1539"/>
      <c r="AB1980" s="1539"/>
      <c r="AC1980" s="1539"/>
      <c r="AD1980" s="1539"/>
      <c r="AE1980" s="1539"/>
      <c r="AF1980" s="1539"/>
      <c r="AG1980" s="1539"/>
      <c r="AH1980" s="1539"/>
      <c r="AI1980" s="1539"/>
      <c r="AJ1980" s="1539"/>
      <c r="AK1980" s="1539"/>
      <c r="AL1980" s="1539"/>
      <c r="AM1980" s="1539"/>
      <c r="AN1980" s="1539"/>
      <c r="AO1980" s="1539"/>
      <c r="AP1980" s="1539"/>
      <c r="AQ1980" s="1539"/>
      <c r="AR1980" s="1539"/>
      <c r="AS1980" s="1539"/>
      <c r="AT1980" s="1539"/>
      <c r="AU1980" s="1539"/>
      <c r="AV1980" s="1539"/>
      <c r="AW1980" s="1539"/>
      <c r="AX1980" s="1539"/>
      <c r="AY1980" s="1539"/>
      <c r="AZ1980" s="1539"/>
      <c r="BA1980" s="1539"/>
      <c r="BB1980" s="1539"/>
      <c r="BC1980" s="1539"/>
      <c r="BD1980" s="1539"/>
      <c r="BE1980" s="1539"/>
      <c r="BF1980" s="1539"/>
      <c r="BG1980" s="1539"/>
      <c r="BH1980" s="1539"/>
      <c r="BI1980" s="1539"/>
      <c r="BJ1980" s="1539"/>
      <c r="BK1980" s="1539"/>
      <c r="BL1980" s="1539"/>
      <c r="BM1980" s="1539"/>
      <c r="BN1980" s="1539"/>
      <c r="BO1980" s="1539"/>
      <c r="BP1980" s="1539"/>
      <c r="BQ1980" s="1539"/>
      <c r="BR1980" s="1539"/>
      <c r="BS1980" s="1539"/>
      <c r="BT1980" s="1539"/>
      <c r="BU1980" s="1539"/>
      <c r="BV1980" s="1539"/>
      <c r="BW1980" s="1539"/>
      <c r="BX1980" s="1539"/>
      <c r="BY1980" s="1539"/>
      <c r="BZ1980" s="1539"/>
      <c r="CA1980" s="1539"/>
      <c r="CB1980" s="1539"/>
      <c r="CC1980" s="1539"/>
      <c r="CD1980" s="1539"/>
      <c r="CE1980" s="1539"/>
      <c r="CF1980" s="1539"/>
      <c r="CG1980" s="1539"/>
      <c r="CH1980" s="1539"/>
      <c r="CI1980" s="1539"/>
      <c r="CJ1980" s="1539"/>
      <c r="CK1980" s="1539"/>
      <c r="CL1980" s="1539"/>
      <c r="CM1980" s="1539"/>
      <c r="CN1980" s="1539"/>
      <c r="CO1980" s="1539"/>
    </row>
    <row r="1981" spans="1:93" s="1542" customFormat="1" ht="15.5">
      <c r="A1981" s="1598" t="s">
        <v>1768</v>
      </c>
      <c r="B1981" s="1599" t="s">
        <v>1926</v>
      </c>
      <c r="C1981" s="1643" t="e">
        <f>+SUMIF(#REF!,Final!A1981,#REF!)</f>
        <v>#REF!</v>
      </c>
      <c r="D1981" s="1597" t="e">
        <f>+SUMIF(#REF!,Final!A1981,#REF!)</f>
        <v>#REF!</v>
      </c>
      <c r="E1981" s="1643" t="e">
        <f>SUMIF(#REF!,Final!A1981,#REF!)</f>
        <v>#REF!</v>
      </c>
      <c r="F1981" s="1644" t="e">
        <f>SUMIF(#REF!,Final!A1981,#REF!)</f>
        <v>#REF!</v>
      </c>
      <c r="G1981" s="1597" t="e">
        <f t="shared" si="216"/>
        <v>#REF!</v>
      </c>
      <c r="H1981" s="1644" t="e">
        <f t="shared" si="217"/>
        <v>#REF!</v>
      </c>
      <c r="I1981" s="1597" t="e">
        <f t="shared" si="218"/>
        <v>#REF!</v>
      </c>
      <c r="J1981" s="1644" t="e">
        <f t="shared" si="219"/>
        <v>#REF!</v>
      </c>
      <c r="K1981" s="1539"/>
      <c r="L1981" s="1539"/>
      <c r="M1981" s="1545"/>
      <c r="N1981" s="1545"/>
      <c r="O1981" s="1539"/>
      <c r="P1981" s="1539"/>
      <c r="Q1981" s="1539"/>
      <c r="R1981" s="1539"/>
      <c r="S1981" s="1539"/>
      <c r="T1981" s="1539"/>
      <c r="U1981" s="1539"/>
      <c r="V1981" s="1539"/>
      <c r="W1981" s="1539"/>
      <c r="X1981" s="1539"/>
      <c r="Y1981" s="1539"/>
      <c r="Z1981" s="1539"/>
      <c r="AA1981" s="1539"/>
      <c r="AB1981" s="1539"/>
      <c r="AC1981" s="1539"/>
      <c r="AD1981" s="1539"/>
      <c r="AE1981" s="1539"/>
      <c r="AF1981" s="1539"/>
      <c r="AG1981" s="1539"/>
      <c r="AH1981" s="1539"/>
      <c r="AI1981" s="1539"/>
      <c r="AJ1981" s="1539"/>
      <c r="AK1981" s="1539"/>
      <c r="AL1981" s="1539"/>
      <c r="AM1981" s="1539"/>
      <c r="AN1981" s="1539"/>
      <c r="AO1981" s="1539"/>
      <c r="AP1981" s="1539"/>
      <c r="AQ1981" s="1539"/>
      <c r="AR1981" s="1539"/>
      <c r="AS1981" s="1539"/>
      <c r="AT1981" s="1539"/>
      <c r="AU1981" s="1539"/>
      <c r="AV1981" s="1539"/>
      <c r="AW1981" s="1539"/>
      <c r="AX1981" s="1539"/>
      <c r="AY1981" s="1539"/>
      <c r="AZ1981" s="1539"/>
      <c r="BA1981" s="1539"/>
      <c r="BB1981" s="1539"/>
      <c r="BC1981" s="1539"/>
      <c r="BD1981" s="1539"/>
      <c r="BE1981" s="1539"/>
      <c r="BF1981" s="1539"/>
      <c r="BG1981" s="1539"/>
      <c r="BH1981" s="1539"/>
      <c r="BI1981" s="1539"/>
      <c r="BJ1981" s="1539"/>
      <c r="BK1981" s="1539"/>
      <c r="BL1981" s="1539"/>
      <c r="BM1981" s="1539"/>
      <c r="BN1981" s="1539"/>
      <c r="BO1981" s="1539"/>
      <c r="BP1981" s="1539"/>
      <c r="BQ1981" s="1539"/>
      <c r="BR1981" s="1539"/>
      <c r="BS1981" s="1539"/>
      <c r="BT1981" s="1539"/>
      <c r="BU1981" s="1539"/>
      <c r="BV1981" s="1539"/>
      <c r="BW1981" s="1539"/>
      <c r="BX1981" s="1539"/>
      <c r="BY1981" s="1539"/>
      <c r="BZ1981" s="1539"/>
      <c r="CA1981" s="1539"/>
      <c r="CB1981" s="1539"/>
      <c r="CC1981" s="1539"/>
      <c r="CD1981" s="1539"/>
      <c r="CE1981" s="1539"/>
      <c r="CF1981" s="1539"/>
      <c r="CG1981" s="1539"/>
      <c r="CH1981" s="1539"/>
      <c r="CI1981" s="1539"/>
      <c r="CJ1981" s="1539"/>
      <c r="CK1981" s="1539"/>
      <c r="CL1981" s="1539"/>
      <c r="CM1981" s="1539"/>
      <c r="CN1981" s="1539"/>
      <c r="CO1981" s="1539"/>
    </row>
    <row r="1982" spans="1:93" ht="15.5">
      <c r="A1982" s="1598">
        <v>44.13</v>
      </c>
      <c r="B1982" s="1599" t="s">
        <v>1926</v>
      </c>
      <c r="C1982" s="1643" t="e">
        <f>+SUMIF(#REF!,Final!A1982,#REF!)</f>
        <v>#REF!</v>
      </c>
      <c r="D1982" s="1597" t="e">
        <f>+SUMIF(#REF!,Final!A1982,#REF!)</f>
        <v>#REF!</v>
      </c>
      <c r="E1982" s="1643" t="e">
        <f>SUMIF(#REF!,Final!A1982,#REF!)</f>
        <v>#REF!</v>
      </c>
      <c r="F1982" s="1644" t="e">
        <f>SUMIF(#REF!,Final!A1982,#REF!)</f>
        <v>#REF!</v>
      </c>
      <c r="G1982" s="1597" t="e">
        <f t="shared" si="216"/>
        <v>#REF!</v>
      </c>
      <c r="H1982" s="1644" t="e">
        <f t="shared" si="217"/>
        <v>#REF!</v>
      </c>
      <c r="I1982" s="1597" t="e">
        <f t="shared" si="218"/>
        <v>#REF!</v>
      </c>
      <c r="J1982" s="1644" t="e">
        <f t="shared" si="219"/>
        <v>#REF!</v>
      </c>
      <c r="M1982" s="1545"/>
      <c r="N1982" s="1545"/>
    </row>
    <row r="1983" spans="1:93" s="1552" customFormat="1" ht="15.5">
      <c r="A1983" s="1598"/>
      <c r="B1983" s="1599" t="s">
        <v>1747</v>
      </c>
      <c r="C1983" s="1643" t="e">
        <f>+SUMIF(#REF!,Final!A1983,#REF!)</f>
        <v>#REF!</v>
      </c>
      <c r="D1983" s="1597" t="e">
        <f>+SUMIF(#REF!,Final!A1983,#REF!)</f>
        <v>#REF!</v>
      </c>
      <c r="E1983" s="1643" t="e">
        <f>SUMIF(#REF!,Final!A1983,#REF!)</f>
        <v>#REF!</v>
      </c>
      <c r="F1983" s="1644" t="e">
        <f>SUMIF(#REF!,Final!A1983,#REF!)</f>
        <v>#REF!</v>
      </c>
      <c r="G1983" s="1597" t="e">
        <f t="shared" si="216"/>
        <v>#REF!</v>
      </c>
      <c r="H1983" s="1644" t="e">
        <f t="shared" si="217"/>
        <v>#REF!</v>
      </c>
      <c r="I1983" s="1597" t="e">
        <f t="shared" si="218"/>
        <v>#REF!</v>
      </c>
      <c r="J1983" s="1644" t="e">
        <f t="shared" si="219"/>
        <v>#REF!</v>
      </c>
      <c r="K1983" s="1539"/>
      <c r="L1983" s="1539"/>
      <c r="M1983" s="1545"/>
      <c r="N1983" s="1545"/>
      <c r="O1983" s="1539"/>
      <c r="P1983" s="1539"/>
      <c r="Q1983" s="1539"/>
      <c r="R1983" s="1539"/>
      <c r="S1983" s="1539"/>
      <c r="T1983" s="1539"/>
      <c r="U1983" s="1539"/>
      <c r="V1983" s="1539"/>
      <c r="W1983" s="1539"/>
      <c r="X1983" s="1539"/>
      <c r="Y1983" s="1539"/>
      <c r="Z1983" s="1539"/>
      <c r="AA1983" s="1539"/>
      <c r="AB1983" s="1539"/>
      <c r="AC1983" s="1539"/>
      <c r="AD1983" s="1539"/>
      <c r="AE1983" s="1539"/>
      <c r="AF1983" s="1539"/>
      <c r="AG1983" s="1539"/>
      <c r="AH1983" s="1539"/>
      <c r="AI1983" s="1539"/>
      <c r="AJ1983" s="1539"/>
      <c r="AK1983" s="1539"/>
      <c r="AL1983" s="1539"/>
      <c r="AM1983" s="1539"/>
      <c r="AN1983" s="1539"/>
      <c r="AO1983" s="1539"/>
      <c r="AP1983" s="1539"/>
      <c r="AQ1983" s="1539"/>
      <c r="AR1983" s="1539"/>
      <c r="AS1983" s="1539"/>
      <c r="AT1983" s="1539"/>
      <c r="AU1983" s="1539"/>
      <c r="AV1983" s="1539"/>
      <c r="AW1983" s="1539"/>
      <c r="AX1983" s="1539"/>
      <c r="AY1983" s="1539"/>
      <c r="AZ1983" s="1539"/>
      <c r="BA1983" s="1539"/>
      <c r="BB1983" s="1539"/>
      <c r="BC1983" s="1539"/>
      <c r="BD1983" s="1539"/>
      <c r="BE1983" s="1539"/>
      <c r="BF1983" s="1539"/>
      <c r="BG1983" s="1539"/>
      <c r="BH1983" s="1539"/>
      <c r="BI1983" s="1539"/>
      <c r="BJ1983" s="1539"/>
      <c r="BK1983" s="1539"/>
      <c r="BL1983" s="1539"/>
      <c r="BM1983" s="1539"/>
      <c r="BN1983" s="1539"/>
      <c r="BO1983" s="1539"/>
      <c r="BP1983" s="1539"/>
      <c r="BQ1983" s="1539"/>
      <c r="BR1983" s="1539"/>
      <c r="BS1983" s="1539"/>
      <c r="BT1983" s="1539"/>
      <c r="BU1983" s="1539"/>
      <c r="BV1983" s="1539"/>
      <c r="BW1983" s="1539"/>
      <c r="BX1983" s="1539"/>
      <c r="BY1983" s="1539"/>
      <c r="BZ1983" s="1539"/>
      <c r="CA1983" s="1539"/>
      <c r="CB1983" s="1539"/>
      <c r="CC1983" s="1539"/>
      <c r="CD1983" s="1539"/>
      <c r="CE1983" s="1539"/>
      <c r="CF1983" s="1539"/>
      <c r="CG1983" s="1539"/>
      <c r="CH1983" s="1539"/>
      <c r="CI1983" s="1539"/>
      <c r="CJ1983" s="1539"/>
      <c r="CK1983" s="1539"/>
      <c r="CL1983" s="1539"/>
      <c r="CM1983" s="1539"/>
      <c r="CN1983" s="1539"/>
      <c r="CO1983" s="1539"/>
    </row>
    <row r="1984" spans="1:93" s="1552" customFormat="1" ht="15.5">
      <c r="A1984" s="1598" t="s">
        <v>2916</v>
      </c>
      <c r="B1984" s="1599" t="s">
        <v>1760</v>
      </c>
      <c r="C1984" s="1643" t="e">
        <f>+SUMIF(#REF!,Final!A1984,#REF!)</f>
        <v>#REF!</v>
      </c>
      <c r="D1984" s="1597" t="e">
        <f>+SUMIF(#REF!,Final!A1984,#REF!)</f>
        <v>#REF!</v>
      </c>
      <c r="E1984" s="1643" t="e">
        <f>SUMIF(#REF!,Final!A1984,#REF!)</f>
        <v>#REF!</v>
      </c>
      <c r="F1984" s="1644" t="e">
        <f>SUMIF(#REF!,Final!A1984,#REF!)</f>
        <v>#REF!</v>
      </c>
      <c r="G1984" s="1597" t="e">
        <f t="shared" si="216"/>
        <v>#REF!</v>
      </c>
      <c r="H1984" s="1644" t="e">
        <f t="shared" si="217"/>
        <v>#REF!</v>
      </c>
      <c r="I1984" s="1597" t="e">
        <f t="shared" si="218"/>
        <v>#REF!</v>
      </c>
      <c r="J1984" s="1644" t="e">
        <f t="shared" si="219"/>
        <v>#REF!</v>
      </c>
      <c r="K1984" s="1539"/>
      <c r="L1984" s="1539"/>
      <c r="M1984" s="1545"/>
      <c r="N1984" s="1545"/>
      <c r="O1984" s="1539"/>
      <c r="P1984" s="1539"/>
      <c r="Q1984" s="1539"/>
      <c r="R1984" s="1539"/>
      <c r="S1984" s="1539"/>
      <c r="T1984" s="1539"/>
      <c r="U1984" s="1539"/>
      <c r="V1984" s="1539"/>
      <c r="W1984" s="1539"/>
      <c r="X1984" s="1539"/>
      <c r="Y1984" s="1539"/>
      <c r="Z1984" s="1539"/>
      <c r="AA1984" s="1539"/>
      <c r="AB1984" s="1539"/>
      <c r="AC1984" s="1539"/>
      <c r="AD1984" s="1539"/>
      <c r="AE1984" s="1539"/>
      <c r="AF1984" s="1539"/>
      <c r="AG1984" s="1539"/>
      <c r="AH1984" s="1539"/>
      <c r="AI1984" s="1539"/>
      <c r="AJ1984" s="1539"/>
      <c r="AK1984" s="1539"/>
      <c r="AL1984" s="1539"/>
      <c r="AM1984" s="1539"/>
      <c r="AN1984" s="1539"/>
      <c r="AO1984" s="1539"/>
      <c r="AP1984" s="1539"/>
      <c r="AQ1984" s="1539"/>
      <c r="AR1984" s="1539"/>
      <c r="AS1984" s="1539"/>
      <c r="AT1984" s="1539"/>
      <c r="AU1984" s="1539"/>
      <c r="AV1984" s="1539"/>
      <c r="AW1984" s="1539"/>
      <c r="AX1984" s="1539"/>
      <c r="AY1984" s="1539"/>
      <c r="AZ1984" s="1539"/>
      <c r="BA1984" s="1539"/>
      <c r="BB1984" s="1539"/>
      <c r="BC1984" s="1539"/>
      <c r="BD1984" s="1539"/>
      <c r="BE1984" s="1539"/>
      <c r="BF1984" s="1539"/>
      <c r="BG1984" s="1539"/>
      <c r="BH1984" s="1539"/>
      <c r="BI1984" s="1539"/>
      <c r="BJ1984" s="1539"/>
      <c r="BK1984" s="1539"/>
      <c r="BL1984" s="1539"/>
      <c r="BM1984" s="1539"/>
      <c r="BN1984" s="1539"/>
      <c r="BO1984" s="1539"/>
      <c r="BP1984" s="1539"/>
      <c r="BQ1984" s="1539"/>
      <c r="BR1984" s="1539"/>
      <c r="BS1984" s="1539"/>
      <c r="BT1984" s="1539"/>
      <c r="BU1984" s="1539"/>
      <c r="BV1984" s="1539"/>
      <c r="BW1984" s="1539"/>
      <c r="BX1984" s="1539"/>
      <c r="BY1984" s="1539"/>
      <c r="BZ1984" s="1539"/>
      <c r="CA1984" s="1539"/>
      <c r="CB1984" s="1539"/>
      <c r="CC1984" s="1539"/>
      <c r="CD1984" s="1539"/>
      <c r="CE1984" s="1539"/>
      <c r="CF1984" s="1539"/>
      <c r="CG1984" s="1539"/>
      <c r="CH1984" s="1539"/>
      <c r="CI1984" s="1539"/>
      <c r="CJ1984" s="1539"/>
      <c r="CK1984" s="1539"/>
      <c r="CL1984" s="1539"/>
      <c r="CM1984" s="1539"/>
      <c r="CN1984" s="1539"/>
      <c r="CO1984" s="1539"/>
    </row>
    <row r="1985" spans="1:93" s="1542" customFormat="1" ht="15.5">
      <c r="A1985" s="1598" t="s">
        <v>1815</v>
      </c>
      <c r="B1985" s="1599" t="s">
        <v>1927</v>
      </c>
      <c r="C1985" s="1643" t="e">
        <f>+SUMIF(#REF!,Final!A1985,#REF!)</f>
        <v>#REF!</v>
      </c>
      <c r="D1985" s="1597" t="e">
        <f>+SUMIF(#REF!,Final!A1985,#REF!)</f>
        <v>#REF!</v>
      </c>
      <c r="E1985" s="1643" t="e">
        <f>SUMIF(#REF!,Final!A1985,#REF!)</f>
        <v>#REF!</v>
      </c>
      <c r="F1985" s="1644" t="e">
        <f>SUMIF(#REF!,Final!A1985,#REF!)</f>
        <v>#REF!</v>
      </c>
      <c r="G1985" s="1597" t="e">
        <f t="shared" si="216"/>
        <v>#REF!</v>
      </c>
      <c r="H1985" s="1644" t="e">
        <f t="shared" si="217"/>
        <v>#REF!</v>
      </c>
      <c r="I1985" s="1597" t="e">
        <f t="shared" si="218"/>
        <v>#REF!</v>
      </c>
      <c r="J1985" s="1644" t="e">
        <f t="shared" si="219"/>
        <v>#REF!</v>
      </c>
      <c r="K1985" s="1539"/>
      <c r="L1985" s="1539"/>
      <c r="M1985" s="1545"/>
      <c r="N1985" s="1545"/>
      <c r="O1985" s="1539"/>
      <c r="P1985" s="1539"/>
      <c r="Q1985" s="1539"/>
      <c r="R1985" s="1539"/>
      <c r="S1985" s="1539"/>
      <c r="T1985" s="1539"/>
      <c r="U1985" s="1539"/>
      <c r="V1985" s="1539"/>
      <c r="W1985" s="1539"/>
      <c r="X1985" s="1539"/>
      <c r="Y1985" s="1539"/>
      <c r="Z1985" s="1539"/>
      <c r="AA1985" s="1539"/>
      <c r="AB1985" s="1539"/>
      <c r="AC1985" s="1539"/>
      <c r="AD1985" s="1539"/>
      <c r="AE1985" s="1539"/>
      <c r="AF1985" s="1539"/>
      <c r="AG1985" s="1539"/>
      <c r="AH1985" s="1539"/>
      <c r="AI1985" s="1539"/>
      <c r="AJ1985" s="1539"/>
      <c r="AK1985" s="1539"/>
      <c r="AL1985" s="1539"/>
      <c r="AM1985" s="1539"/>
      <c r="AN1985" s="1539"/>
      <c r="AO1985" s="1539"/>
      <c r="AP1985" s="1539"/>
      <c r="AQ1985" s="1539"/>
      <c r="AR1985" s="1539"/>
      <c r="AS1985" s="1539"/>
      <c r="AT1985" s="1539"/>
      <c r="AU1985" s="1539"/>
      <c r="AV1985" s="1539"/>
      <c r="AW1985" s="1539"/>
      <c r="AX1985" s="1539"/>
      <c r="AY1985" s="1539"/>
      <c r="AZ1985" s="1539"/>
      <c r="BA1985" s="1539"/>
      <c r="BB1985" s="1539"/>
      <c r="BC1985" s="1539"/>
      <c r="BD1985" s="1539"/>
      <c r="BE1985" s="1539"/>
      <c r="BF1985" s="1539"/>
      <c r="BG1985" s="1539"/>
      <c r="BH1985" s="1539"/>
      <c r="BI1985" s="1539"/>
      <c r="BJ1985" s="1539"/>
      <c r="BK1985" s="1539"/>
      <c r="BL1985" s="1539"/>
      <c r="BM1985" s="1539"/>
      <c r="BN1985" s="1539"/>
      <c r="BO1985" s="1539"/>
      <c r="BP1985" s="1539"/>
      <c r="BQ1985" s="1539"/>
      <c r="BR1985" s="1539"/>
      <c r="BS1985" s="1539"/>
      <c r="BT1985" s="1539"/>
      <c r="BU1985" s="1539"/>
      <c r="BV1985" s="1539"/>
      <c r="BW1985" s="1539"/>
      <c r="BX1985" s="1539"/>
      <c r="BY1985" s="1539"/>
      <c r="BZ1985" s="1539"/>
      <c r="CA1985" s="1539"/>
      <c r="CB1985" s="1539"/>
      <c r="CC1985" s="1539"/>
      <c r="CD1985" s="1539"/>
      <c r="CE1985" s="1539"/>
      <c r="CF1985" s="1539"/>
      <c r="CG1985" s="1539"/>
      <c r="CH1985" s="1539"/>
      <c r="CI1985" s="1539"/>
      <c r="CJ1985" s="1539"/>
      <c r="CK1985" s="1539"/>
      <c r="CL1985" s="1539"/>
      <c r="CM1985" s="1539"/>
      <c r="CN1985" s="1539"/>
      <c r="CO1985" s="1539"/>
    </row>
    <row r="1986" spans="1:93" ht="15.5">
      <c r="A1986" s="1598">
        <v>44.134999999999998</v>
      </c>
      <c r="B1986" s="1599" t="s">
        <v>1927</v>
      </c>
      <c r="C1986" s="1643" t="e">
        <f>+SUMIF(#REF!,Final!A1986,#REF!)</f>
        <v>#REF!</v>
      </c>
      <c r="D1986" s="1597" t="e">
        <f>+SUMIF(#REF!,Final!A1986,#REF!)</f>
        <v>#REF!</v>
      </c>
      <c r="E1986" s="1643" t="e">
        <f>SUMIF(#REF!,Final!A1986,#REF!)</f>
        <v>#REF!</v>
      </c>
      <c r="F1986" s="1644" t="e">
        <f>SUMIF(#REF!,Final!A1986,#REF!)</f>
        <v>#REF!</v>
      </c>
      <c r="G1986" s="1597" t="e">
        <f t="shared" si="216"/>
        <v>#REF!</v>
      </c>
      <c r="H1986" s="1644" t="e">
        <f t="shared" si="217"/>
        <v>#REF!</v>
      </c>
      <c r="I1986" s="1597" t="e">
        <f t="shared" si="218"/>
        <v>#REF!</v>
      </c>
      <c r="J1986" s="1644" t="e">
        <f t="shared" si="219"/>
        <v>#REF!</v>
      </c>
      <c r="M1986" s="1545"/>
      <c r="N1986" s="1545"/>
    </row>
    <row r="1987" spans="1:93" s="1552" customFormat="1" ht="15.5">
      <c r="A1987" s="1598"/>
      <c r="B1987" s="1599" t="s">
        <v>1747</v>
      </c>
      <c r="C1987" s="1643" t="e">
        <f>+SUMIF(#REF!,Final!A1987,#REF!)</f>
        <v>#REF!</v>
      </c>
      <c r="D1987" s="1597" t="e">
        <f>+SUMIF(#REF!,Final!A1987,#REF!)</f>
        <v>#REF!</v>
      </c>
      <c r="E1987" s="1643" t="e">
        <f>SUMIF(#REF!,Final!A1987,#REF!)</f>
        <v>#REF!</v>
      </c>
      <c r="F1987" s="1644" t="e">
        <f>SUMIF(#REF!,Final!A1987,#REF!)</f>
        <v>#REF!</v>
      </c>
      <c r="G1987" s="1597" t="e">
        <f t="shared" si="216"/>
        <v>#REF!</v>
      </c>
      <c r="H1987" s="1644" t="e">
        <f t="shared" si="217"/>
        <v>#REF!</v>
      </c>
      <c r="I1987" s="1597" t="e">
        <f t="shared" si="218"/>
        <v>#REF!</v>
      </c>
      <c r="J1987" s="1644" t="e">
        <f t="shared" si="219"/>
        <v>#REF!</v>
      </c>
      <c r="K1987" s="1539"/>
      <c r="L1987" s="1539"/>
      <c r="M1987" s="1545"/>
      <c r="N1987" s="1545"/>
      <c r="O1987" s="1539"/>
      <c r="P1987" s="1539"/>
      <c r="Q1987" s="1539"/>
      <c r="R1987" s="1539"/>
      <c r="S1987" s="1539"/>
      <c r="T1987" s="1539"/>
      <c r="U1987" s="1539"/>
      <c r="V1987" s="1539"/>
      <c r="W1987" s="1539"/>
      <c r="X1987" s="1539"/>
      <c r="Y1987" s="1539"/>
      <c r="Z1987" s="1539"/>
      <c r="AA1987" s="1539"/>
      <c r="AB1987" s="1539"/>
      <c r="AC1987" s="1539"/>
      <c r="AD1987" s="1539"/>
      <c r="AE1987" s="1539"/>
      <c r="AF1987" s="1539"/>
      <c r="AG1987" s="1539"/>
      <c r="AH1987" s="1539"/>
      <c r="AI1987" s="1539"/>
      <c r="AJ1987" s="1539"/>
      <c r="AK1987" s="1539"/>
      <c r="AL1987" s="1539"/>
      <c r="AM1987" s="1539"/>
      <c r="AN1987" s="1539"/>
      <c r="AO1987" s="1539"/>
      <c r="AP1987" s="1539"/>
      <c r="AQ1987" s="1539"/>
      <c r="AR1987" s="1539"/>
      <c r="AS1987" s="1539"/>
      <c r="AT1987" s="1539"/>
      <c r="AU1987" s="1539"/>
      <c r="AV1987" s="1539"/>
      <c r="AW1987" s="1539"/>
      <c r="AX1987" s="1539"/>
      <c r="AY1987" s="1539"/>
      <c r="AZ1987" s="1539"/>
      <c r="BA1987" s="1539"/>
      <c r="BB1987" s="1539"/>
      <c r="BC1987" s="1539"/>
      <c r="BD1987" s="1539"/>
      <c r="BE1987" s="1539"/>
      <c r="BF1987" s="1539"/>
      <c r="BG1987" s="1539"/>
      <c r="BH1987" s="1539"/>
      <c r="BI1987" s="1539"/>
      <c r="BJ1987" s="1539"/>
      <c r="BK1987" s="1539"/>
      <c r="BL1987" s="1539"/>
      <c r="BM1987" s="1539"/>
      <c r="BN1987" s="1539"/>
      <c r="BO1987" s="1539"/>
      <c r="BP1987" s="1539"/>
      <c r="BQ1987" s="1539"/>
      <c r="BR1987" s="1539"/>
      <c r="BS1987" s="1539"/>
      <c r="BT1987" s="1539"/>
      <c r="BU1987" s="1539"/>
      <c r="BV1987" s="1539"/>
      <c r="BW1987" s="1539"/>
      <c r="BX1987" s="1539"/>
      <c r="BY1987" s="1539"/>
      <c r="BZ1987" s="1539"/>
      <c r="CA1987" s="1539"/>
      <c r="CB1987" s="1539"/>
      <c r="CC1987" s="1539"/>
      <c r="CD1987" s="1539"/>
      <c r="CE1987" s="1539"/>
      <c r="CF1987" s="1539"/>
      <c r="CG1987" s="1539"/>
      <c r="CH1987" s="1539"/>
      <c r="CI1987" s="1539"/>
      <c r="CJ1987" s="1539"/>
      <c r="CK1987" s="1539"/>
      <c r="CL1987" s="1539"/>
      <c r="CM1987" s="1539"/>
      <c r="CN1987" s="1539"/>
      <c r="CO1987" s="1539"/>
    </row>
    <row r="1988" spans="1:93" s="1552" customFormat="1" ht="15.5">
      <c r="A1988" s="1598" t="s">
        <v>2916</v>
      </c>
      <c r="B1988" s="1599" t="s">
        <v>1760</v>
      </c>
      <c r="C1988" s="1643" t="e">
        <f>+SUMIF(#REF!,Final!A1988,#REF!)</f>
        <v>#REF!</v>
      </c>
      <c r="D1988" s="1597" t="e">
        <f>+SUMIF(#REF!,Final!A1988,#REF!)</f>
        <v>#REF!</v>
      </c>
      <c r="E1988" s="1643" t="e">
        <f>SUMIF(#REF!,Final!A1988,#REF!)</f>
        <v>#REF!</v>
      </c>
      <c r="F1988" s="1644" t="e">
        <f>SUMIF(#REF!,Final!A1988,#REF!)</f>
        <v>#REF!</v>
      </c>
      <c r="G1988" s="1597" t="e">
        <f t="shared" si="216"/>
        <v>#REF!</v>
      </c>
      <c r="H1988" s="1644" t="e">
        <f t="shared" si="217"/>
        <v>#REF!</v>
      </c>
      <c r="I1988" s="1597" t="e">
        <f t="shared" si="218"/>
        <v>#REF!</v>
      </c>
      <c r="J1988" s="1644" t="e">
        <f t="shared" si="219"/>
        <v>#REF!</v>
      </c>
      <c r="K1988" s="1539"/>
      <c r="L1988" s="1539"/>
      <c r="M1988" s="1545"/>
      <c r="N1988" s="1545"/>
      <c r="O1988" s="1539"/>
      <c r="P1988" s="1539"/>
      <c r="Q1988" s="1539"/>
      <c r="R1988" s="1539"/>
      <c r="S1988" s="1539"/>
      <c r="T1988" s="1539"/>
      <c r="U1988" s="1539"/>
      <c r="V1988" s="1539"/>
      <c r="W1988" s="1539"/>
      <c r="X1988" s="1539"/>
      <c r="Y1988" s="1539"/>
      <c r="Z1988" s="1539"/>
      <c r="AA1988" s="1539"/>
      <c r="AB1988" s="1539"/>
      <c r="AC1988" s="1539"/>
      <c r="AD1988" s="1539"/>
      <c r="AE1988" s="1539"/>
      <c r="AF1988" s="1539"/>
      <c r="AG1988" s="1539"/>
      <c r="AH1988" s="1539"/>
      <c r="AI1988" s="1539"/>
      <c r="AJ1988" s="1539"/>
      <c r="AK1988" s="1539"/>
      <c r="AL1988" s="1539"/>
      <c r="AM1988" s="1539"/>
      <c r="AN1988" s="1539"/>
      <c r="AO1988" s="1539"/>
      <c r="AP1988" s="1539"/>
      <c r="AQ1988" s="1539"/>
      <c r="AR1988" s="1539"/>
      <c r="AS1988" s="1539"/>
      <c r="AT1988" s="1539"/>
      <c r="AU1988" s="1539"/>
      <c r="AV1988" s="1539"/>
      <c r="AW1988" s="1539"/>
      <c r="AX1988" s="1539"/>
      <c r="AY1988" s="1539"/>
      <c r="AZ1988" s="1539"/>
      <c r="BA1988" s="1539"/>
      <c r="BB1988" s="1539"/>
      <c r="BC1988" s="1539"/>
      <c r="BD1988" s="1539"/>
      <c r="BE1988" s="1539"/>
      <c r="BF1988" s="1539"/>
      <c r="BG1988" s="1539"/>
      <c r="BH1988" s="1539"/>
      <c r="BI1988" s="1539"/>
      <c r="BJ1988" s="1539"/>
      <c r="BK1988" s="1539"/>
      <c r="BL1988" s="1539"/>
      <c r="BM1988" s="1539"/>
      <c r="BN1988" s="1539"/>
      <c r="BO1988" s="1539"/>
      <c r="BP1988" s="1539"/>
      <c r="BQ1988" s="1539"/>
      <c r="BR1988" s="1539"/>
      <c r="BS1988" s="1539"/>
      <c r="BT1988" s="1539"/>
      <c r="BU1988" s="1539"/>
      <c r="BV1988" s="1539"/>
      <c r="BW1988" s="1539"/>
      <c r="BX1988" s="1539"/>
      <c r="BY1988" s="1539"/>
      <c r="BZ1988" s="1539"/>
      <c r="CA1988" s="1539"/>
      <c r="CB1988" s="1539"/>
      <c r="CC1988" s="1539"/>
      <c r="CD1988" s="1539"/>
      <c r="CE1988" s="1539"/>
      <c r="CF1988" s="1539"/>
      <c r="CG1988" s="1539"/>
      <c r="CH1988" s="1539"/>
      <c r="CI1988" s="1539"/>
      <c r="CJ1988" s="1539"/>
      <c r="CK1988" s="1539"/>
      <c r="CL1988" s="1539"/>
      <c r="CM1988" s="1539"/>
      <c r="CN1988" s="1539"/>
      <c r="CO1988" s="1539"/>
    </row>
    <row r="1989" spans="1:93" ht="15.5">
      <c r="A1989" s="1598"/>
      <c r="B1989" s="1599" t="s">
        <v>1928</v>
      </c>
      <c r="C1989" s="1643" t="e">
        <f>+SUMIF(#REF!,Final!A1989,#REF!)</f>
        <v>#REF!</v>
      </c>
      <c r="D1989" s="1597" t="e">
        <f>+SUMIF(#REF!,Final!A1989,#REF!)</f>
        <v>#REF!</v>
      </c>
      <c r="E1989" s="1643" t="e">
        <f>SUMIF(#REF!,Final!A1989,#REF!)</f>
        <v>#REF!</v>
      </c>
      <c r="F1989" s="1644" t="e">
        <f>SUMIF(#REF!,Final!A1989,#REF!)</f>
        <v>#REF!</v>
      </c>
      <c r="G1989" s="1597" t="e">
        <f t="shared" si="216"/>
        <v>#REF!</v>
      </c>
      <c r="H1989" s="1644" t="e">
        <f t="shared" si="217"/>
        <v>#REF!</v>
      </c>
      <c r="I1989" s="1597" t="e">
        <f t="shared" si="218"/>
        <v>#REF!</v>
      </c>
      <c r="J1989" s="1644" t="e">
        <f t="shared" si="219"/>
        <v>#REF!</v>
      </c>
      <c r="M1989" s="1545"/>
      <c r="N1989" s="1545"/>
    </row>
    <row r="1990" spans="1:93" ht="15.5">
      <c r="A1990" s="1799" t="s">
        <v>5323</v>
      </c>
      <c r="B1990" s="1800" t="s">
        <v>5325</v>
      </c>
      <c r="C1990" s="1643" t="e">
        <f>+SUMIF(#REF!,Final!A1990,#REF!)</f>
        <v>#REF!</v>
      </c>
      <c r="D1990" s="1597" t="e">
        <f>+SUMIF(#REF!,Final!A1990,#REF!)</f>
        <v>#REF!</v>
      </c>
      <c r="E1990" s="1643" t="e">
        <f>SUMIF(#REF!,Final!A1990,#REF!)</f>
        <v>#REF!</v>
      </c>
      <c r="F1990" s="1644" t="e">
        <f>SUMIF(#REF!,Final!A1990,#REF!)</f>
        <v>#REF!</v>
      </c>
      <c r="G1990" s="1597" t="e">
        <f t="shared" si="216"/>
        <v>#REF!</v>
      </c>
      <c r="H1990" s="1644" t="e">
        <f t="shared" si="217"/>
        <v>#REF!</v>
      </c>
      <c r="I1990" s="1597" t="e">
        <f t="shared" si="218"/>
        <v>#REF!</v>
      </c>
      <c r="J1990" s="1644" t="e">
        <f t="shared" si="219"/>
        <v>#REF!</v>
      </c>
      <c r="M1990" s="1545"/>
      <c r="N1990" s="1545"/>
    </row>
    <row r="1991" spans="1:93" s="1542" customFormat="1" ht="15.5">
      <c r="A1991" s="1799" t="s">
        <v>5324</v>
      </c>
      <c r="B1991" s="1800" t="s">
        <v>5326</v>
      </c>
      <c r="C1991" s="1643" t="e">
        <f>+SUMIF(#REF!,Final!A1991,#REF!)</f>
        <v>#REF!</v>
      </c>
      <c r="D1991" s="1597" t="e">
        <f>+SUMIF(#REF!,Final!A1991,#REF!)</f>
        <v>#REF!</v>
      </c>
      <c r="E1991" s="1643" t="e">
        <f>SUMIF(#REF!,Final!A1991,#REF!)</f>
        <v>#REF!</v>
      </c>
      <c r="F1991" s="1644" t="e">
        <f>SUMIF(#REF!,Final!A1991,#REF!)</f>
        <v>#REF!</v>
      </c>
      <c r="G1991" s="1597" t="e">
        <f t="shared" si="216"/>
        <v>#REF!</v>
      </c>
      <c r="H1991" s="1644" t="e">
        <f t="shared" si="217"/>
        <v>#REF!</v>
      </c>
      <c r="I1991" s="1597" t="e">
        <f t="shared" si="218"/>
        <v>#REF!</v>
      </c>
      <c r="J1991" s="1644" t="e">
        <f t="shared" si="219"/>
        <v>#REF!</v>
      </c>
      <c r="K1991" s="1539"/>
      <c r="L1991" s="1539"/>
      <c r="M1991" s="1545"/>
      <c r="N1991" s="1545"/>
      <c r="O1991" s="1539"/>
      <c r="P1991" s="1539"/>
      <c r="Q1991" s="1539"/>
      <c r="R1991" s="1539"/>
      <c r="S1991" s="1539"/>
      <c r="T1991" s="1539"/>
      <c r="U1991" s="1539"/>
      <c r="V1991" s="1539"/>
      <c r="W1991" s="1539"/>
      <c r="X1991" s="1539"/>
      <c r="Y1991" s="1539"/>
      <c r="Z1991" s="1539"/>
      <c r="AA1991" s="1539"/>
      <c r="AB1991" s="1539"/>
      <c r="AC1991" s="1539"/>
      <c r="AD1991" s="1539"/>
      <c r="AE1991" s="1539"/>
      <c r="AF1991" s="1539"/>
      <c r="AG1991" s="1539"/>
      <c r="AH1991" s="1539"/>
      <c r="AI1991" s="1539"/>
      <c r="AJ1991" s="1539"/>
      <c r="AK1991" s="1539"/>
      <c r="AL1991" s="1539"/>
      <c r="AM1991" s="1539"/>
      <c r="AN1991" s="1539"/>
      <c r="AO1991" s="1539"/>
      <c r="AP1991" s="1539"/>
      <c r="AQ1991" s="1539"/>
      <c r="AR1991" s="1539"/>
      <c r="AS1991" s="1539"/>
      <c r="AT1991" s="1539"/>
      <c r="AU1991" s="1539"/>
      <c r="AV1991" s="1539"/>
      <c r="AW1991" s="1539"/>
      <c r="AX1991" s="1539"/>
      <c r="AY1991" s="1539"/>
      <c r="AZ1991" s="1539"/>
      <c r="BA1991" s="1539"/>
      <c r="BB1991" s="1539"/>
      <c r="BC1991" s="1539"/>
      <c r="BD1991" s="1539"/>
      <c r="BE1991" s="1539"/>
      <c r="BF1991" s="1539"/>
      <c r="BG1991" s="1539"/>
      <c r="BH1991" s="1539"/>
      <c r="BI1991" s="1539"/>
      <c r="BJ1991" s="1539"/>
      <c r="BK1991" s="1539"/>
      <c r="BL1991" s="1539"/>
      <c r="BM1991" s="1539"/>
      <c r="BN1991" s="1539"/>
      <c r="BO1991" s="1539"/>
      <c r="BP1991" s="1539"/>
      <c r="BQ1991" s="1539"/>
      <c r="BR1991" s="1539"/>
      <c r="BS1991" s="1539"/>
      <c r="BT1991" s="1539"/>
      <c r="BU1991" s="1539"/>
      <c r="BV1991" s="1539"/>
      <c r="BW1991" s="1539"/>
      <c r="BX1991" s="1539"/>
      <c r="BY1991" s="1539"/>
      <c r="BZ1991" s="1539"/>
      <c r="CA1991" s="1539"/>
      <c r="CB1991" s="1539"/>
      <c r="CC1991" s="1539"/>
      <c r="CD1991" s="1539"/>
      <c r="CE1991" s="1539"/>
      <c r="CF1991" s="1539"/>
      <c r="CG1991" s="1539"/>
      <c r="CH1991" s="1539"/>
      <c r="CI1991" s="1539"/>
      <c r="CJ1991" s="1539"/>
      <c r="CK1991" s="1539"/>
      <c r="CL1991" s="1539"/>
      <c r="CM1991" s="1539"/>
      <c r="CN1991" s="1539"/>
      <c r="CO1991" s="1539"/>
    </row>
    <row r="1992" spans="1:93" s="1552" customFormat="1" ht="15.5">
      <c r="A1992" s="1598"/>
      <c r="B1992" s="1599" t="s">
        <v>1747</v>
      </c>
      <c r="C1992" s="1643" t="e">
        <f>+SUMIF(#REF!,Final!A1992,#REF!)</f>
        <v>#REF!</v>
      </c>
      <c r="D1992" s="1597" t="e">
        <f>+SUMIF(#REF!,Final!A1992,#REF!)</f>
        <v>#REF!</v>
      </c>
      <c r="E1992" s="1643" t="e">
        <f>SUMIF(#REF!,Final!A1992,#REF!)</f>
        <v>#REF!</v>
      </c>
      <c r="F1992" s="1644" t="e">
        <f>SUMIF(#REF!,Final!A1992,#REF!)</f>
        <v>#REF!</v>
      </c>
      <c r="G1992" s="1597" t="e">
        <f t="shared" si="216"/>
        <v>#REF!</v>
      </c>
      <c r="H1992" s="1644" t="e">
        <f t="shared" si="217"/>
        <v>#REF!</v>
      </c>
      <c r="I1992" s="1597" t="e">
        <f t="shared" si="218"/>
        <v>#REF!</v>
      </c>
      <c r="J1992" s="1644" t="e">
        <f t="shared" si="219"/>
        <v>#REF!</v>
      </c>
      <c r="K1992" s="1539"/>
      <c r="L1992" s="1539"/>
      <c r="M1992" s="1545"/>
      <c r="N1992" s="1545"/>
      <c r="O1992" s="1539"/>
      <c r="P1992" s="1539"/>
      <c r="Q1992" s="1539"/>
      <c r="R1992" s="1539"/>
      <c r="S1992" s="1539"/>
      <c r="T1992" s="1539"/>
      <c r="U1992" s="1539"/>
      <c r="V1992" s="1539"/>
      <c r="W1992" s="1539"/>
      <c r="X1992" s="1539"/>
      <c r="Y1992" s="1539"/>
      <c r="Z1992" s="1539"/>
      <c r="AA1992" s="1539"/>
      <c r="AB1992" s="1539"/>
      <c r="AC1992" s="1539"/>
      <c r="AD1992" s="1539"/>
      <c r="AE1992" s="1539"/>
      <c r="AF1992" s="1539"/>
      <c r="AG1992" s="1539"/>
      <c r="AH1992" s="1539"/>
      <c r="AI1992" s="1539"/>
      <c r="AJ1992" s="1539"/>
      <c r="AK1992" s="1539"/>
      <c r="AL1992" s="1539"/>
      <c r="AM1992" s="1539"/>
      <c r="AN1992" s="1539"/>
      <c r="AO1992" s="1539"/>
      <c r="AP1992" s="1539"/>
      <c r="AQ1992" s="1539"/>
      <c r="AR1992" s="1539"/>
      <c r="AS1992" s="1539"/>
      <c r="AT1992" s="1539"/>
      <c r="AU1992" s="1539"/>
      <c r="AV1992" s="1539"/>
      <c r="AW1992" s="1539"/>
      <c r="AX1992" s="1539"/>
      <c r="AY1992" s="1539"/>
      <c r="AZ1992" s="1539"/>
      <c r="BA1992" s="1539"/>
      <c r="BB1992" s="1539"/>
      <c r="BC1992" s="1539"/>
      <c r="BD1992" s="1539"/>
      <c r="BE1992" s="1539"/>
      <c r="BF1992" s="1539"/>
      <c r="BG1992" s="1539"/>
      <c r="BH1992" s="1539"/>
      <c r="BI1992" s="1539"/>
      <c r="BJ1992" s="1539"/>
      <c r="BK1992" s="1539"/>
      <c r="BL1992" s="1539"/>
      <c r="BM1992" s="1539"/>
      <c r="BN1992" s="1539"/>
      <c r="BO1992" s="1539"/>
      <c r="BP1992" s="1539"/>
      <c r="BQ1992" s="1539"/>
      <c r="BR1992" s="1539"/>
      <c r="BS1992" s="1539"/>
      <c r="BT1992" s="1539"/>
      <c r="BU1992" s="1539"/>
      <c r="BV1992" s="1539"/>
      <c r="BW1992" s="1539"/>
      <c r="BX1992" s="1539"/>
      <c r="BY1992" s="1539"/>
      <c r="BZ1992" s="1539"/>
      <c r="CA1992" s="1539"/>
      <c r="CB1992" s="1539"/>
      <c r="CC1992" s="1539"/>
      <c r="CD1992" s="1539"/>
      <c r="CE1992" s="1539"/>
      <c r="CF1992" s="1539"/>
      <c r="CG1992" s="1539"/>
      <c r="CH1992" s="1539"/>
      <c r="CI1992" s="1539"/>
      <c r="CJ1992" s="1539"/>
      <c r="CK1992" s="1539"/>
      <c r="CL1992" s="1539"/>
      <c r="CM1992" s="1539"/>
      <c r="CN1992" s="1539"/>
      <c r="CO1992" s="1539"/>
    </row>
    <row r="1993" spans="1:93" s="1552" customFormat="1" ht="15.5">
      <c r="A1993" s="1598" t="s">
        <v>2916</v>
      </c>
      <c r="B1993" s="1599" t="s">
        <v>1760</v>
      </c>
      <c r="C1993" s="1643" t="e">
        <f>+SUMIF(#REF!,Final!A1993,#REF!)</f>
        <v>#REF!</v>
      </c>
      <c r="D1993" s="1597" t="e">
        <f>+SUMIF(#REF!,Final!A1993,#REF!)</f>
        <v>#REF!</v>
      </c>
      <c r="E1993" s="1643" t="e">
        <f>SUMIF(#REF!,Final!A1993,#REF!)</f>
        <v>#REF!</v>
      </c>
      <c r="F1993" s="1644" t="e">
        <f>SUMIF(#REF!,Final!A1993,#REF!)</f>
        <v>#REF!</v>
      </c>
      <c r="G1993" s="1597" t="e">
        <f t="shared" si="216"/>
        <v>#REF!</v>
      </c>
      <c r="H1993" s="1644" t="e">
        <f t="shared" si="217"/>
        <v>#REF!</v>
      </c>
      <c r="I1993" s="1597" t="e">
        <f t="shared" si="218"/>
        <v>#REF!</v>
      </c>
      <c r="J1993" s="1644" t="e">
        <f t="shared" si="219"/>
        <v>#REF!</v>
      </c>
      <c r="K1993" s="1539"/>
      <c r="L1993" s="1539"/>
      <c r="M1993" s="1545"/>
      <c r="N1993" s="1545"/>
      <c r="O1993" s="1539"/>
      <c r="P1993" s="1539"/>
      <c r="Q1993" s="1539"/>
      <c r="R1993" s="1539"/>
      <c r="S1993" s="1539"/>
      <c r="T1993" s="1539"/>
      <c r="U1993" s="1539"/>
      <c r="V1993" s="1539"/>
      <c r="W1993" s="1539"/>
      <c r="X1993" s="1539"/>
      <c r="Y1993" s="1539"/>
      <c r="Z1993" s="1539"/>
      <c r="AA1993" s="1539"/>
      <c r="AB1993" s="1539"/>
      <c r="AC1993" s="1539"/>
      <c r="AD1993" s="1539"/>
      <c r="AE1993" s="1539"/>
      <c r="AF1993" s="1539"/>
      <c r="AG1993" s="1539"/>
      <c r="AH1993" s="1539"/>
      <c r="AI1993" s="1539"/>
      <c r="AJ1993" s="1539"/>
      <c r="AK1993" s="1539"/>
      <c r="AL1993" s="1539"/>
      <c r="AM1993" s="1539"/>
      <c r="AN1993" s="1539"/>
      <c r="AO1993" s="1539"/>
      <c r="AP1993" s="1539"/>
      <c r="AQ1993" s="1539"/>
      <c r="AR1993" s="1539"/>
      <c r="AS1993" s="1539"/>
      <c r="AT1993" s="1539"/>
      <c r="AU1993" s="1539"/>
      <c r="AV1993" s="1539"/>
      <c r="AW1993" s="1539"/>
      <c r="AX1993" s="1539"/>
      <c r="AY1993" s="1539"/>
      <c r="AZ1993" s="1539"/>
      <c r="BA1993" s="1539"/>
      <c r="BB1993" s="1539"/>
      <c r="BC1993" s="1539"/>
      <c r="BD1993" s="1539"/>
      <c r="BE1993" s="1539"/>
      <c r="BF1993" s="1539"/>
      <c r="BG1993" s="1539"/>
      <c r="BH1993" s="1539"/>
      <c r="BI1993" s="1539"/>
      <c r="BJ1993" s="1539"/>
      <c r="BK1993" s="1539"/>
      <c r="BL1993" s="1539"/>
      <c r="BM1993" s="1539"/>
      <c r="BN1993" s="1539"/>
      <c r="BO1993" s="1539"/>
      <c r="BP1993" s="1539"/>
      <c r="BQ1993" s="1539"/>
      <c r="BR1993" s="1539"/>
      <c r="BS1993" s="1539"/>
      <c r="BT1993" s="1539"/>
      <c r="BU1993" s="1539"/>
      <c r="BV1993" s="1539"/>
      <c r="BW1993" s="1539"/>
      <c r="BX1993" s="1539"/>
      <c r="BY1993" s="1539"/>
      <c r="BZ1993" s="1539"/>
      <c r="CA1993" s="1539"/>
      <c r="CB1993" s="1539"/>
      <c r="CC1993" s="1539"/>
      <c r="CD1993" s="1539"/>
      <c r="CE1993" s="1539"/>
      <c r="CF1993" s="1539"/>
      <c r="CG1993" s="1539"/>
      <c r="CH1993" s="1539"/>
      <c r="CI1993" s="1539"/>
      <c r="CJ1993" s="1539"/>
      <c r="CK1993" s="1539"/>
      <c r="CL1993" s="1539"/>
      <c r="CM1993" s="1539"/>
      <c r="CN1993" s="1539"/>
      <c r="CO1993" s="1539"/>
    </row>
    <row r="1994" spans="1:93" s="1542" customFormat="1" ht="15.5">
      <c r="A1994" s="1598" t="s">
        <v>1102</v>
      </c>
      <c r="B1994" s="1599" t="s">
        <v>2007</v>
      </c>
      <c r="C1994" s="1643" t="e">
        <f>+SUMIF(#REF!,Final!A1994,#REF!)</f>
        <v>#REF!</v>
      </c>
      <c r="D1994" s="1597" t="e">
        <f>+SUMIF(#REF!,Final!A1994,#REF!)</f>
        <v>#REF!</v>
      </c>
      <c r="E1994" s="1643" t="e">
        <f>SUMIF(#REF!,Final!A1994,#REF!)</f>
        <v>#REF!</v>
      </c>
      <c r="F1994" s="1644" t="e">
        <f>SUMIF(#REF!,Final!A1994,#REF!)</f>
        <v>#REF!</v>
      </c>
      <c r="G1994" s="1597" t="e">
        <f t="shared" si="216"/>
        <v>#REF!</v>
      </c>
      <c r="H1994" s="1644" t="e">
        <f t="shared" si="217"/>
        <v>#REF!</v>
      </c>
      <c r="I1994" s="1597" t="e">
        <f t="shared" si="218"/>
        <v>#REF!</v>
      </c>
      <c r="J1994" s="1644" t="e">
        <f t="shared" si="219"/>
        <v>#REF!</v>
      </c>
      <c r="K1994" s="1539"/>
      <c r="L1994" s="1539"/>
      <c r="M1994" s="1545"/>
      <c r="N1994" s="1545"/>
      <c r="O1994" s="1539"/>
      <c r="P1994" s="1539"/>
      <c r="Q1994" s="1539"/>
      <c r="R1994" s="1539"/>
      <c r="S1994" s="1539"/>
      <c r="T1994" s="1539"/>
      <c r="U1994" s="1539"/>
      <c r="V1994" s="1539"/>
      <c r="W1994" s="1539"/>
      <c r="X1994" s="1539"/>
      <c r="Y1994" s="1539"/>
      <c r="Z1994" s="1539"/>
      <c r="AA1994" s="1539"/>
      <c r="AB1994" s="1539"/>
      <c r="AC1994" s="1539"/>
      <c r="AD1994" s="1539"/>
      <c r="AE1994" s="1539"/>
      <c r="AF1994" s="1539"/>
      <c r="AG1994" s="1539"/>
      <c r="AH1994" s="1539"/>
      <c r="AI1994" s="1539"/>
      <c r="AJ1994" s="1539"/>
      <c r="AK1994" s="1539"/>
      <c r="AL1994" s="1539"/>
      <c r="AM1994" s="1539"/>
      <c r="AN1994" s="1539"/>
      <c r="AO1994" s="1539"/>
      <c r="AP1994" s="1539"/>
      <c r="AQ1994" s="1539"/>
      <c r="AR1994" s="1539"/>
      <c r="AS1994" s="1539"/>
      <c r="AT1994" s="1539"/>
      <c r="AU1994" s="1539"/>
      <c r="AV1994" s="1539"/>
      <c r="AW1994" s="1539"/>
      <c r="AX1994" s="1539"/>
      <c r="AY1994" s="1539"/>
      <c r="AZ1994" s="1539"/>
      <c r="BA1994" s="1539"/>
      <c r="BB1994" s="1539"/>
      <c r="BC1994" s="1539"/>
      <c r="BD1994" s="1539"/>
      <c r="BE1994" s="1539"/>
      <c r="BF1994" s="1539"/>
      <c r="BG1994" s="1539"/>
      <c r="BH1994" s="1539"/>
      <c r="BI1994" s="1539"/>
      <c r="BJ1994" s="1539"/>
      <c r="BK1994" s="1539"/>
      <c r="BL1994" s="1539"/>
      <c r="BM1994" s="1539"/>
      <c r="BN1994" s="1539"/>
      <c r="BO1994" s="1539"/>
      <c r="BP1994" s="1539"/>
      <c r="BQ1994" s="1539"/>
      <c r="BR1994" s="1539"/>
      <c r="BS1994" s="1539"/>
      <c r="BT1994" s="1539"/>
      <c r="BU1994" s="1539"/>
      <c r="BV1994" s="1539"/>
      <c r="BW1994" s="1539"/>
      <c r="BX1994" s="1539"/>
      <c r="BY1994" s="1539"/>
      <c r="BZ1994" s="1539"/>
      <c r="CA1994" s="1539"/>
      <c r="CB1994" s="1539"/>
      <c r="CC1994" s="1539"/>
      <c r="CD1994" s="1539"/>
      <c r="CE1994" s="1539"/>
      <c r="CF1994" s="1539"/>
      <c r="CG1994" s="1539"/>
      <c r="CH1994" s="1539"/>
      <c r="CI1994" s="1539"/>
      <c r="CJ1994" s="1539"/>
      <c r="CK1994" s="1539"/>
      <c r="CL1994" s="1539"/>
      <c r="CM1994" s="1539"/>
      <c r="CN1994" s="1539"/>
      <c r="CO1994" s="1539"/>
    </row>
    <row r="1995" spans="1:93" s="1542" customFormat="1" ht="15.5">
      <c r="A1995" s="1598" t="s">
        <v>1815</v>
      </c>
      <c r="B1995" s="1599" t="s">
        <v>2010</v>
      </c>
      <c r="C1995" s="1643" t="e">
        <f>+SUMIF(#REF!,Final!A1995,#REF!)</f>
        <v>#REF!</v>
      </c>
      <c r="D1995" s="1597" t="e">
        <f>+SUMIF(#REF!,Final!A1995,#REF!)</f>
        <v>#REF!</v>
      </c>
      <c r="E1995" s="1643" t="e">
        <f>SUMIF(#REF!,Final!A1995,#REF!)</f>
        <v>#REF!</v>
      </c>
      <c r="F1995" s="1644" t="e">
        <f>SUMIF(#REF!,Final!A1995,#REF!)</f>
        <v>#REF!</v>
      </c>
      <c r="G1995" s="1597" t="e">
        <f t="shared" si="216"/>
        <v>#REF!</v>
      </c>
      <c r="H1995" s="1644" t="e">
        <f t="shared" si="217"/>
        <v>#REF!</v>
      </c>
      <c r="I1995" s="1597" t="e">
        <f t="shared" si="218"/>
        <v>#REF!</v>
      </c>
      <c r="J1995" s="1644" t="e">
        <f t="shared" si="219"/>
        <v>#REF!</v>
      </c>
      <c r="K1995" s="1539"/>
      <c r="L1995" s="1539"/>
      <c r="M1995" s="1545"/>
      <c r="N1995" s="1545"/>
      <c r="O1995" s="1539"/>
      <c r="P1995" s="1539"/>
      <c r="Q1995" s="1539"/>
      <c r="R1995" s="1539"/>
      <c r="S1995" s="1539"/>
      <c r="T1995" s="1539"/>
      <c r="U1995" s="1539"/>
      <c r="V1995" s="1539"/>
      <c r="W1995" s="1539"/>
      <c r="X1995" s="1539"/>
      <c r="Y1995" s="1539"/>
      <c r="Z1995" s="1539"/>
      <c r="AA1995" s="1539"/>
      <c r="AB1995" s="1539"/>
      <c r="AC1995" s="1539"/>
      <c r="AD1995" s="1539"/>
      <c r="AE1995" s="1539"/>
      <c r="AF1995" s="1539"/>
      <c r="AG1995" s="1539"/>
      <c r="AH1995" s="1539"/>
      <c r="AI1995" s="1539"/>
      <c r="AJ1995" s="1539"/>
      <c r="AK1995" s="1539"/>
      <c r="AL1995" s="1539"/>
      <c r="AM1995" s="1539"/>
      <c r="AN1995" s="1539"/>
      <c r="AO1995" s="1539"/>
      <c r="AP1995" s="1539"/>
      <c r="AQ1995" s="1539"/>
      <c r="AR1995" s="1539"/>
      <c r="AS1995" s="1539"/>
      <c r="AT1995" s="1539"/>
      <c r="AU1995" s="1539"/>
      <c r="AV1995" s="1539"/>
      <c r="AW1995" s="1539"/>
      <c r="AX1995" s="1539"/>
      <c r="AY1995" s="1539"/>
      <c r="AZ1995" s="1539"/>
      <c r="BA1995" s="1539"/>
      <c r="BB1995" s="1539"/>
      <c r="BC1995" s="1539"/>
      <c r="BD1995" s="1539"/>
      <c r="BE1995" s="1539"/>
      <c r="BF1995" s="1539"/>
      <c r="BG1995" s="1539"/>
      <c r="BH1995" s="1539"/>
      <c r="BI1995" s="1539"/>
      <c r="BJ1995" s="1539"/>
      <c r="BK1995" s="1539"/>
      <c r="BL1995" s="1539"/>
      <c r="BM1995" s="1539"/>
      <c r="BN1995" s="1539"/>
      <c r="BO1995" s="1539"/>
      <c r="BP1995" s="1539"/>
      <c r="BQ1995" s="1539"/>
      <c r="BR1995" s="1539"/>
      <c r="BS1995" s="1539"/>
      <c r="BT1995" s="1539"/>
      <c r="BU1995" s="1539"/>
      <c r="BV1995" s="1539"/>
      <c r="BW1995" s="1539"/>
      <c r="BX1995" s="1539"/>
      <c r="BY1995" s="1539"/>
      <c r="BZ1995" s="1539"/>
      <c r="CA1995" s="1539"/>
      <c r="CB1995" s="1539"/>
      <c r="CC1995" s="1539"/>
      <c r="CD1995" s="1539"/>
      <c r="CE1995" s="1539"/>
      <c r="CF1995" s="1539"/>
      <c r="CG1995" s="1539"/>
      <c r="CH1995" s="1539"/>
      <c r="CI1995" s="1539"/>
      <c r="CJ1995" s="1539"/>
      <c r="CK1995" s="1539"/>
      <c r="CL1995" s="1539"/>
      <c r="CM1995" s="1539"/>
      <c r="CN1995" s="1539"/>
      <c r="CO1995" s="1539"/>
    </row>
    <row r="1996" spans="1:93" ht="15.5">
      <c r="A1996" s="1598">
        <v>44.14</v>
      </c>
      <c r="B1996" s="1599" t="s">
        <v>2011</v>
      </c>
      <c r="C1996" s="1643" t="e">
        <f>+SUMIF(#REF!,Final!A1996,#REF!)</f>
        <v>#REF!</v>
      </c>
      <c r="D1996" s="1597" t="e">
        <f>+SUMIF(#REF!,Final!A1996,#REF!)</f>
        <v>#REF!</v>
      </c>
      <c r="E1996" s="1643" t="e">
        <f>SUMIF(#REF!,Final!A1996,#REF!)</f>
        <v>#REF!</v>
      </c>
      <c r="F1996" s="1644" t="e">
        <f>SUMIF(#REF!,Final!A1996,#REF!)</f>
        <v>#REF!</v>
      </c>
      <c r="G1996" s="1597" t="e">
        <f t="shared" si="216"/>
        <v>#REF!</v>
      </c>
      <c r="H1996" s="1644" t="e">
        <f t="shared" si="217"/>
        <v>#REF!</v>
      </c>
      <c r="I1996" s="1597" t="e">
        <f t="shared" si="218"/>
        <v>#REF!</v>
      </c>
      <c r="J1996" s="1644" t="e">
        <f t="shared" si="219"/>
        <v>#REF!</v>
      </c>
      <c r="M1996" s="1545"/>
      <c r="N1996" s="1545"/>
    </row>
    <row r="1997" spans="1:93" s="1552" customFormat="1" ht="15.5">
      <c r="A1997" s="1598"/>
      <c r="B1997" s="1599" t="s">
        <v>1747</v>
      </c>
      <c r="C1997" s="1643" t="e">
        <f>+SUMIF(#REF!,Final!A1997,#REF!)</f>
        <v>#REF!</v>
      </c>
      <c r="D1997" s="1597" t="e">
        <f>+SUMIF(#REF!,Final!A1997,#REF!)</f>
        <v>#REF!</v>
      </c>
      <c r="E1997" s="1643" t="e">
        <f>SUMIF(#REF!,Final!A1997,#REF!)</f>
        <v>#REF!</v>
      </c>
      <c r="F1997" s="1644" t="e">
        <f>SUMIF(#REF!,Final!A1997,#REF!)</f>
        <v>#REF!</v>
      </c>
      <c r="G1997" s="1597" t="e">
        <f t="shared" si="216"/>
        <v>#REF!</v>
      </c>
      <c r="H1997" s="1644" t="e">
        <f t="shared" si="217"/>
        <v>#REF!</v>
      </c>
      <c r="I1997" s="1597" t="e">
        <f t="shared" si="218"/>
        <v>#REF!</v>
      </c>
      <c r="J1997" s="1644" t="e">
        <f t="shared" si="219"/>
        <v>#REF!</v>
      </c>
      <c r="K1997" s="1539"/>
      <c r="L1997" s="1539"/>
      <c r="M1997" s="1545"/>
      <c r="N1997" s="1545"/>
      <c r="O1997" s="1539"/>
      <c r="P1997" s="1539"/>
      <c r="Q1997" s="1539"/>
      <c r="R1997" s="1539"/>
      <c r="S1997" s="1539"/>
      <c r="T1997" s="1539"/>
      <c r="U1997" s="1539"/>
      <c r="V1997" s="1539"/>
      <c r="W1997" s="1539"/>
      <c r="X1997" s="1539"/>
      <c r="Y1997" s="1539"/>
      <c r="Z1997" s="1539"/>
      <c r="AA1997" s="1539"/>
      <c r="AB1997" s="1539"/>
      <c r="AC1997" s="1539"/>
      <c r="AD1997" s="1539"/>
      <c r="AE1997" s="1539"/>
      <c r="AF1997" s="1539"/>
      <c r="AG1997" s="1539"/>
      <c r="AH1997" s="1539"/>
      <c r="AI1997" s="1539"/>
      <c r="AJ1997" s="1539"/>
      <c r="AK1997" s="1539"/>
      <c r="AL1997" s="1539"/>
      <c r="AM1997" s="1539"/>
      <c r="AN1997" s="1539"/>
      <c r="AO1997" s="1539"/>
      <c r="AP1997" s="1539"/>
      <c r="AQ1997" s="1539"/>
      <c r="AR1997" s="1539"/>
      <c r="AS1997" s="1539"/>
      <c r="AT1997" s="1539"/>
      <c r="AU1997" s="1539"/>
      <c r="AV1997" s="1539"/>
      <c r="AW1997" s="1539"/>
      <c r="AX1997" s="1539"/>
      <c r="AY1997" s="1539"/>
      <c r="AZ1997" s="1539"/>
      <c r="BA1997" s="1539"/>
      <c r="BB1997" s="1539"/>
      <c r="BC1997" s="1539"/>
      <c r="BD1997" s="1539"/>
      <c r="BE1997" s="1539"/>
      <c r="BF1997" s="1539"/>
      <c r="BG1997" s="1539"/>
      <c r="BH1997" s="1539"/>
      <c r="BI1997" s="1539"/>
      <c r="BJ1997" s="1539"/>
      <c r="BK1997" s="1539"/>
      <c r="BL1997" s="1539"/>
      <c r="BM1997" s="1539"/>
      <c r="BN1997" s="1539"/>
      <c r="BO1997" s="1539"/>
      <c r="BP1997" s="1539"/>
      <c r="BQ1997" s="1539"/>
      <c r="BR1997" s="1539"/>
      <c r="BS1997" s="1539"/>
      <c r="BT1997" s="1539"/>
      <c r="BU1997" s="1539"/>
      <c r="BV1997" s="1539"/>
      <c r="BW1997" s="1539"/>
      <c r="BX1997" s="1539"/>
      <c r="BY1997" s="1539"/>
      <c r="BZ1997" s="1539"/>
      <c r="CA1997" s="1539"/>
      <c r="CB1997" s="1539"/>
      <c r="CC1997" s="1539"/>
      <c r="CD1997" s="1539"/>
      <c r="CE1997" s="1539"/>
      <c r="CF1997" s="1539"/>
      <c r="CG1997" s="1539"/>
      <c r="CH1997" s="1539"/>
      <c r="CI1997" s="1539"/>
      <c r="CJ1997" s="1539"/>
      <c r="CK1997" s="1539"/>
      <c r="CL1997" s="1539"/>
      <c r="CM1997" s="1539"/>
      <c r="CN1997" s="1539"/>
      <c r="CO1997" s="1539"/>
    </row>
    <row r="1998" spans="1:93" s="1552" customFormat="1" ht="15.5">
      <c r="A1998" s="1598" t="s">
        <v>3447</v>
      </c>
      <c r="B1998" s="1599" t="s">
        <v>1760</v>
      </c>
      <c r="C1998" s="1643" t="e">
        <f>+SUMIF(#REF!,Final!A1998,#REF!)</f>
        <v>#REF!</v>
      </c>
      <c r="D1998" s="1597" t="e">
        <f>+SUMIF(#REF!,Final!A1998,#REF!)</f>
        <v>#REF!</v>
      </c>
      <c r="E1998" s="1643" t="e">
        <f>SUMIF(#REF!,Final!A1998,#REF!)</f>
        <v>#REF!</v>
      </c>
      <c r="F1998" s="1644" t="e">
        <f>SUMIF(#REF!,Final!A1998,#REF!)</f>
        <v>#REF!</v>
      </c>
      <c r="G1998" s="1597" t="e">
        <f t="shared" si="216"/>
        <v>#REF!</v>
      </c>
      <c r="H1998" s="1644" t="e">
        <f t="shared" si="217"/>
        <v>#REF!</v>
      </c>
      <c r="I1998" s="1597" t="e">
        <f t="shared" si="218"/>
        <v>#REF!</v>
      </c>
      <c r="J1998" s="1644" t="e">
        <f t="shared" si="219"/>
        <v>#REF!</v>
      </c>
      <c r="K1998" s="1539"/>
      <c r="L1998" s="1539"/>
      <c r="M1998" s="1545"/>
      <c r="N1998" s="1545"/>
      <c r="O1998" s="1539"/>
      <c r="P1998" s="1539"/>
      <c r="Q1998" s="1539"/>
      <c r="R1998" s="1539"/>
      <c r="S1998" s="1539"/>
      <c r="T1998" s="1539"/>
      <c r="U1998" s="1539"/>
      <c r="V1998" s="1539"/>
      <c r="W1998" s="1539"/>
      <c r="X1998" s="1539"/>
      <c r="Y1998" s="1539"/>
      <c r="Z1998" s="1539"/>
      <c r="AA1998" s="1539"/>
      <c r="AB1998" s="1539"/>
      <c r="AC1998" s="1539"/>
      <c r="AD1998" s="1539"/>
      <c r="AE1998" s="1539"/>
      <c r="AF1998" s="1539"/>
      <c r="AG1998" s="1539"/>
      <c r="AH1998" s="1539"/>
      <c r="AI1998" s="1539"/>
      <c r="AJ1998" s="1539"/>
      <c r="AK1998" s="1539"/>
      <c r="AL1998" s="1539"/>
      <c r="AM1998" s="1539"/>
      <c r="AN1998" s="1539"/>
      <c r="AO1998" s="1539"/>
      <c r="AP1998" s="1539"/>
      <c r="AQ1998" s="1539"/>
      <c r="AR1998" s="1539"/>
      <c r="AS1998" s="1539"/>
      <c r="AT1998" s="1539"/>
      <c r="AU1998" s="1539"/>
      <c r="AV1998" s="1539"/>
      <c r="AW1998" s="1539"/>
      <c r="AX1998" s="1539"/>
      <c r="AY1998" s="1539"/>
      <c r="AZ1998" s="1539"/>
      <c r="BA1998" s="1539"/>
      <c r="BB1998" s="1539"/>
      <c r="BC1998" s="1539"/>
      <c r="BD1998" s="1539"/>
      <c r="BE1998" s="1539"/>
      <c r="BF1998" s="1539"/>
      <c r="BG1998" s="1539"/>
      <c r="BH1998" s="1539"/>
      <c r="BI1998" s="1539"/>
      <c r="BJ1998" s="1539"/>
      <c r="BK1998" s="1539"/>
      <c r="BL1998" s="1539"/>
      <c r="BM1998" s="1539"/>
      <c r="BN1998" s="1539"/>
      <c r="BO1998" s="1539"/>
      <c r="BP1998" s="1539"/>
      <c r="BQ1998" s="1539"/>
      <c r="BR1998" s="1539"/>
      <c r="BS1998" s="1539"/>
      <c r="BT1998" s="1539"/>
      <c r="BU1998" s="1539"/>
      <c r="BV1998" s="1539"/>
      <c r="BW1998" s="1539"/>
      <c r="BX1998" s="1539"/>
      <c r="BY1998" s="1539"/>
      <c r="BZ1998" s="1539"/>
      <c r="CA1998" s="1539"/>
      <c r="CB1998" s="1539"/>
      <c r="CC1998" s="1539"/>
      <c r="CD1998" s="1539"/>
      <c r="CE1998" s="1539"/>
      <c r="CF1998" s="1539"/>
      <c r="CG1998" s="1539"/>
      <c r="CH1998" s="1539"/>
      <c r="CI1998" s="1539"/>
      <c r="CJ1998" s="1539"/>
      <c r="CK1998" s="1539"/>
      <c r="CL1998" s="1539"/>
      <c r="CM1998" s="1539"/>
      <c r="CN1998" s="1539"/>
      <c r="CO1998" s="1539"/>
    </row>
    <row r="1999" spans="1:93" s="1552" customFormat="1" ht="15.5">
      <c r="A1999" s="1598" t="s">
        <v>3447</v>
      </c>
      <c r="B1999" s="1599" t="s">
        <v>2012</v>
      </c>
      <c r="C1999" s="1643" t="e">
        <f>+SUMIF(#REF!,Final!A1999,#REF!)</f>
        <v>#REF!</v>
      </c>
      <c r="D1999" s="1597" t="e">
        <f>+SUMIF(#REF!,Final!A1999,#REF!)</f>
        <v>#REF!</v>
      </c>
      <c r="E1999" s="1643" t="e">
        <f>SUMIF(#REF!,Final!A1999,#REF!)</f>
        <v>#REF!</v>
      </c>
      <c r="F1999" s="1644" t="e">
        <f>SUMIF(#REF!,Final!A1999,#REF!)</f>
        <v>#REF!</v>
      </c>
      <c r="G1999" s="1597" t="e">
        <f t="shared" si="216"/>
        <v>#REF!</v>
      </c>
      <c r="H1999" s="1644" t="e">
        <f t="shared" si="217"/>
        <v>#REF!</v>
      </c>
      <c r="I1999" s="1597" t="e">
        <f t="shared" si="218"/>
        <v>#REF!</v>
      </c>
      <c r="J1999" s="1644" t="e">
        <f t="shared" si="219"/>
        <v>#REF!</v>
      </c>
      <c r="K1999" s="1539"/>
      <c r="L1999" s="1539"/>
      <c r="M1999" s="1545"/>
      <c r="N1999" s="1545"/>
      <c r="O1999" s="1539"/>
      <c r="P1999" s="1539"/>
      <c r="Q1999" s="1539"/>
      <c r="R1999" s="1539"/>
      <c r="S1999" s="1539"/>
      <c r="T1999" s="1539"/>
      <c r="U1999" s="1539"/>
      <c r="V1999" s="1539"/>
      <c r="W1999" s="1539"/>
      <c r="X1999" s="1539"/>
      <c r="Y1999" s="1539"/>
      <c r="Z1999" s="1539"/>
      <c r="AA1999" s="1539"/>
      <c r="AB1999" s="1539"/>
      <c r="AC1999" s="1539"/>
      <c r="AD1999" s="1539"/>
      <c r="AE1999" s="1539"/>
      <c r="AF1999" s="1539"/>
      <c r="AG1999" s="1539"/>
      <c r="AH1999" s="1539"/>
      <c r="AI1999" s="1539"/>
      <c r="AJ1999" s="1539"/>
      <c r="AK1999" s="1539"/>
      <c r="AL1999" s="1539"/>
      <c r="AM1999" s="1539"/>
      <c r="AN1999" s="1539"/>
      <c r="AO1999" s="1539"/>
      <c r="AP1999" s="1539"/>
      <c r="AQ1999" s="1539"/>
      <c r="AR1999" s="1539"/>
      <c r="AS1999" s="1539"/>
      <c r="AT1999" s="1539"/>
      <c r="AU1999" s="1539"/>
      <c r="AV1999" s="1539"/>
      <c r="AW1999" s="1539"/>
      <c r="AX1999" s="1539"/>
      <c r="AY1999" s="1539"/>
      <c r="AZ1999" s="1539"/>
      <c r="BA1999" s="1539"/>
      <c r="BB1999" s="1539"/>
      <c r="BC1999" s="1539"/>
      <c r="BD1999" s="1539"/>
      <c r="BE1999" s="1539"/>
      <c r="BF1999" s="1539"/>
      <c r="BG1999" s="1539"/>
      <c r="BH1999" s="1539"/>
      <c r="BI1999" s="1539"/>
      <c r="BJ1999" s="1539"/>
      <c r="BK1999" s="1539"/>
      <c r="BL1999" s="1539"/>
      <c r="BM1999" s="1539"/>
      <c r="BN1999" s="1539"/>
      <c r="BO1999" s="1539"/>
      <c r="BP1999" s="1539"/>
      <c r="BQ1999" s="1539"/>
      <c r="BR1999" s="1539"/>
      <c r="BS1999" s="1539"/>
      <c r="BT1999" s="1539"/>
      <c r="BU1999" s="1539"/>
      <c r="BV1999" s="1539"/>
      <c r="BW1999" s="1539"/>
      <c r="BX1999" s="1539"/>
      <c r="BY1999" s="1539"/>
      <c r="BZ1999" s="1539"/>
      <c r="CA1999" s="1539"/>
      <c r="CB1999" s="1539"/>
      <c r="CC1999" s="1539"/>
      <c r="CD1999" s="1539"/>
      <c r="CE1999" s="1539"/>
      <c r="CF1999" s="1539"/>
      <c r="CG1999" s="1539"/>
      <c r="CH1999" s="1539"/>
      <c r="CI1999" s="1539"/>
      <c r="CJ1999" s="1539"/>
      <c r="CK1999" s="1539"/>
      <c r="CL1999" s="1539"/>
      <c r="CM1999" s="1539"/>
      <c r="CN1999" s="1539"/>
      <c r="CO1999" s="1539"/>
    </row>
    <row r="2000" spans="1:93" s="1542" customFormat="1" ht="15.5">
      <c r="A2000" s="1598" t="s">
        <v>543</v>
      </c>
      <c r="B2000" s="1599" t="s">
        <v>1923</v>
      </c>
      <c r="C2000" s="1643" t="e">
        <f>+SUMIF(#REF!,Final!A2000,#REF!)</f>
        <v>#REF!</v>
      </c>
      <c r="D2000" s="1597" t="e">
        <f>+SUMIF(#REF!,Final!A2000,#REF!)</f>
        <v>#REF!</v>
      </c>
      <c r="E2000" s="1643" t="e">
        <f>SUMIF(#REF!,Final!A2000,#REF!)</f>
        <v>#REF!</v>
      </c>
      <c r="F2000" s="1644" t="e">
        <f>SUMIF(#REF!,Final!A2000,#REF!)</f>
        <v>#REF!</v>
      </c>
      <c r="G2000" s="1597" t="e">
        <f t="shared" si="216"/>
        <v>#REF!</v>
      </c>
      <c r="H2000" s="1644" t="e">
        <f t="shared" si="217"/>
        <v>#REF!</v>
      </c>
      <c r="I2000" s="1597" t="e">
        <f t="shared" si="218"/>
        <v>#REF!</v>
      </c>
      <c r="J2000" s="1644" t="e">
        <f t="shared" si="219"/>
        <v>#REF!</v>
      </c>
      <c r="K2000" s="1539"/>
      <c r="L2000" s="1539"/>
      <c r="M2000" s="1545"/>
      <c r="N2000" s="1545"/>
      <c r="O2000" s="1539"/>
      <c r="P2000" s="1539"/>
      <c r="Q2000" s="1539"/>
      <c r="R2000" s="1539"/>
      <c r="S2000" s="1539"/>
      <c r="T2000" s="1539"/>
      <c r="U2000" s="1539"/>
      <c r="V2000" s="1539"/>
      <c r="W2000" s="1539"/>
      <c r="X2000" s="1539"/>
      <c r="Y2000" s="1539"/>
      <c r="Z2000" s="1539"/>
      <c r="AA2000" s="1539"/>
      <c r="AB2000" s="1539"/>
      <c r="AC2000" s="1539"/>
      <c r="AD2000" s="1539"/>
      <c r="AE2000" s="1539"/>
      <c r="AF2000" s="1539"/>
      <c r="AG2000" s="1539"/>
      <c r="AH2000" s="1539"/>
      <c r="AI2000" s="1539"/>
      <c r="AJ2000" s="1539"/>
      <c r="AK2000" s="1539"/>
      <c r="AL2000" s="1539"/>
      <c r="AM2000" s="1539"/>
      <c r="AN2000" s="1539"/>
      <c r="AO2000" s="1539"/>
      <c r="AP2000" s="1539"/>
      <c r="AQ2000" s="1539"/>
      <c r="AR2000" s="1539"/>
      <c r="AS2000" s="1539"/>
      <c r="AT2000" s="1539"/>
      <c r="AU2000" s="1539"/>
      <c r="AV2000" s="1539"/>
      <c r="AW2000" s="1539"/>
      <c r="AX2000" s="1539"/>
      <c r="AY2000" s="1539"/>
      <c r="AZ2000" s="1539"/>
      <c r="BA2000" s="1539"/>
      <c r="BB2000" s="1539"/>
      <c r="BC2000" s="1539"/>
      <c r="BD2000" s="1539"/>
      <c r="BE2000" s="1539"/>
      <c r="BF2000" s="1539"/>
      <c r="BG2000" s="1539"/>
      <c r="BH2000" s="1539"/>
      <c r="BI2000" s="1539"/>
      <c r="BJ2000" s="1539"/>
      <c r="BK2000" s="1539"/>
      <c r="BL2000" s="1539"/>
      <c r="BM2000" s="1539"/>
      <c r="BN2000" s="1539"/>
      <c r="BO2000" s="1539"/>
      <c r="BP2000" s="1539"/>
      <c r="BQ2000" s="1539"/>
      <c r="BR2000" s="1539"/>
      <c r="BS2000" s="1539"/>
      <c r="BT2000" s="1539"/>
      <c r="BU2000" s="1539"/>
      <c r="BV2000" s="1539"/>
      <c r="BW2000" s="1539"/>
      <c r="BX2000" s="1539"/>
      <c r="BY2000" s="1539"/>
      <c r="BZ2000" s="1539"/>
      <c r="CA2000" s="1539"/>
      <c r="CB2000" s="1539"/>
      <c r="CC2000" s="1539"/>
      <c r="CD2000" s="1539"/>
      <c r="CE2000" s="1539"/>
      <c r="CF2000" s="1539"/>
      <c r="CG2000" s="1539"/>
      <c r="CH2000" s="1539"/>
      <c r="CI2000" s="1539"/>
      <c r="CJ2000" s="1539"/>
      <c r="CK2000" s="1539"/>
      <c r="CL2000" s="1539"/>
      <c r="CM2000" s="1539"/>
      <c r="CN2000" s="1539"/>
      <c r="CO2000" s="1539"/>
    </row>
    <row r="2001" spans="1:93" s="1542" customFormat="1" ht="15.5">
      <c r="A2001" s="1598" t="s">
        <v>1818</v>
      </c>
      <c r="B2001" s="1599" t="s">
        <v>1929</v>
      </c>
      <c r="C2001" s="1643" t="e">
        <f>+SUMIF(#REF!,Final!A2001,#REF!)</f>
        <v>#REF!</v>
      </c>
      <c r="D2001" s="1597" t="e">
        <f>+SUMIF(#REF!,Final!A2001,#REF!)</f>
        <v>#REF!</v>
      </c>
      <c r="E2001" s="1643" t="e">
        <f>SUMIF(#REF!,Final!A2001,#REF!)</f>
        <v>#REF!</v>
      </c>
      <c r="F2001" s="1644" t="e">
        <f>SUMIF(#REF!,Final!A2001,#REF!)</f>
        <v>#REF!</v>
      </c>
      <c r="G2001" s="1597" t="e">
        <f t="shared" si="216"/>
        <v>#REF!</v>
      </c>
      <c r="H2001" s="1644" t="e">
        <f t="shared" si="217"/>
        <v>#REF!</v>
      </c>
      <c r="I2001" s="1597" t="e">
        <f t="shared" si="218"/>
        <v>#REF!</v>
      </c>
      <c r="J2001" s="1644" t="e">
        <f t="shared" si="219"/>
        <v>#REF!</v>
      </c>
      <c r="K2001" s="1539"/>
      <c r="L2001" s="1539"/>
      <c r="M2001" s="1545"/>
      <c r="N2001" s="1545"/>
      <c r="O2001" s="1539"/>
      <c r="P2001" s="1539"/>
      <c r="Q2001" s="1539"/>
      <c r="R2001" s="1539"/>
      <c r="S2001" s="1539"/>
      <c r="T2001" s="1539"/>
      <c r="U2001" s="1539"/>
      <c r="V2001" s="1539"/>
      <c r="W2001" s="1539"/>
      <c r="X2001" s="1539"/>
      <c r="Y2001" s="1539"/>
      <c r="Z2001" s="1539"/>
      <c r="AA2001" s="1539"/>
      <c r="AB2001" s="1539"/>
      <c r="AC2001" s="1539"/>
      <c r="AD2001" s="1539"/>
      <c r="AE2001" s="1539"/>
      <c r="AF2001" s="1539"/>
      <c r="AG2001" s="1539"/>
      <c r="AH2001" s="1539"/>
      <c r="AI2001" s="1539"/>
      <c r="AJ2001" s="1539"/>
      <c r="AK2001" s="1539"/>
      <c r="AL2001" s="1539"/>
      <c r="AM2001" s="1539"/>
      <c r="AN2001" s="1539"/>
      <c r="AO2001" s="1539"/>
      <c r="AP2001" s="1539"/>
      <c r="AQ2001" s="1539"/>
      <c r="AR2001" s="1539"/>
      <c r="AS2001" s="1539"/>
      <c r="AT2001" s="1539"/>
      <c r="AU2001" s="1539"/>
      <c r="AV2001" s="1539"/>
      <c r="AW2001" s="1539"/>
      <c r="AX2001" s="1539"/>
      <c r="AY2001" s="1539"/>
      <c r="AZ2001" s="1539"/>
      <c r="BA2001" s="1539"/>
      <c r="BB2001" s="1539"/>
      <c r="BC2001" s="1539"/>
      <c r="BD2001" s="1539"/>
      <c r="BE2001" s="1539"/>
      <c r="BF2001" s="1539"/>
      <c r="BG2001" s="1539"/>
      <c r="BH2001" s="1539"/>
      <c r="BI2001" s="1539"/>
      <c r="BJ2001" s="1539"/>
      <c r="BK2001" s="1539"/>
      <c r="BL2001" s="1539"/>
      <c r="BM2001" s="1539"/>
      <c r="BN2001" s="1539"/>
      <c r="BO2001" s="1539"/>
      <c r="BP2001" s="1539"/>
      <c r="BQ2001" s="1539"/>
      <c r="BR2001" s="1539"/>
      <c r="BS2001" s="1539"/>
      <c r="BT2001" s="1539"/>
      <c r="BU2001" s="1539"/>
      <c r="BV2001" s="1539"/>
      <c r="BW2001" s="1539"/>
      <c r="BX2001" s="1539"/>
      <c r="BY2001" s="1539"/>
      <c r="BZ2001" s="1539"/>
      <c r="CA2001" s="1539"/>
      <c r="CB2001" s="1539"/>
      <c r="CC2001" s="1539"/>
      <c r="CD2001" s="1539"/>
      <c r="CE2001" s="1539"/>
      <c r="CF2001" s="1539"/>
      <c r="CG2001" s="1539"/>
      <c r="CH2001" s="1539"/>
      <c r="CI2001" s="1539"/>
      <c r="CJ2001" s="1539"/>
      <c r="CK2001" s="1539"/>
      <c r="CL2001" s="1539"/>
      <c r="CM2001" s="1539"/>
      <c r="CN2001" s="1539"/>
      <c r="CO2001" s="1539"/>
    </row>
    <row r="2002" spans="1:93" ht="15.5">
      <c r="A2002" s="1598">
        <v>44.140999999999998</v>
      </c>
      <c r="B2002" s="1599" t="s">
        <v>1930</v>
      </c>
      <c r="C2002" s="1643" t="e">
        <f>+SUMIF(#REF!,Final!A2002,#REF!)</f>
        <v>#REF!</v>
      </c>
      <c r="D2002" s="1597" t="e">
        <f>+SUMIF(#REF!,Final!A2002,#REF!)</f>
        <v>#REF!</v>
      </c>
      <c r="E2002" s="1643" t="e">
        <f>SUMIF(#REF!,Final!A2002,#REF!)</f>
        <v>#REF!</v>
      </c>
      <c r="F2002" s="1644" t="e">
        <f>SUMIF(#REF!,Final!A2002,#REF!)</f>
        <v>#REF!</v>
      </c>
      <c r="G2002" s="1597" t="e">
        <f t="shared" si="216"/>
        <v>#REF!</v>
      </c>
      <c r="H2002" s="1644" t="e">
        <f t="shared" si="217"/>
        <v>#REF!</v>
      </c>
      <c r="I2002" s="1597" t="e">
        <f t="shared" si="218"/>
        <v>#REF!</v>
      </c>
      <c r="J2002" s="1644" t="e">
        <f t="shared" si="219"/>
        <v>#REF!</v>
      </c>
      <c r="M2002" s="1545"/>
      <c r="N2002" s="1545"/>
    </row>
    <row r="2003" spans="1:93" s="1552" customFormat="1" ht="15.5">
      <c r="A2003" s="1598"/>
      <c r="B2003" s="1599" t="s">
        <v>1747</v>
      </c>
      <c r="C2003" s="1643" t="e">
        <f>+SUMIF(#REF!,Final!A2003,#REF!)</f>
        <v>#REF!</v>
      </c>
      <c r="D2003" s="1597" t="e">
        <f>+SUMIF(#REF!,Final!A2003,#REF!)</f>
        <v>#REF!</v>
      </c>
      <c r="E2003" s="1643" t="e">
        <f>SUMIF(#REF!,Final!A2003,#REF!)</f>
        <v>#REF!</v>
      </c>
      <c r="F2003" s="1644" t="e">
        <f>SUMIF(#REF!,Final!A2003,#REF!)</f>
        <v>#REF!</v>
      </c>
      <c r="G2003" s="1597" t="e">
        <f t="shared" si="216"/>
        <v>#REF!</v>
      </c>
      <c r="H2003" s="1644" t="e">
        <f t="shared" si="217"/>
        <v>#REF!</v>
      </c>
      <c r="I2003" s="1597" t="e">
        <f t="shared" si="218"/>
        <v>#REF!</v>
      </c>
      <c r="J2003" s="1644" t="e">
        <f t="shared" si="219"/>
        <v>#REF!</v>
      </c>
      <c r="K2003" s="1539"/>
      <c r="L2003" s="1539"/>
      <c r="M2003" s="1545"/>
      <c r="N2003" s="1545"/>
      <c r="O2003" s="1539"/>
      <c r="P2003" s="1539"/>
      <c r="Q2003" s="1539"/>
      <c r="R2003" s="1539"/>
      <c r="S2003" s="1539"/>
      <c r="T2003" s="1539"/>
      <c r="U2003" s="1539"/>
      <c r="V2003" s="1539"/>
      <c r="W2003" s="1539"/>
      <c r="X2003" s="1539"/>
      <c r="Y2003" s="1539"/>
      <c r="Z2003" s="1539"/>
      <c r="AA2003" s="1539"/>
      <c r="AB2003" s="1539"/>
      <c r="AC2003" s="1539"/>
      <c r="AD2003" s="1539"/>
      <c r="AE2003" s="1539"/>
      <c r="AF2003" s="1539"/>
      <c r="AG2003" s="1539"/>
      <c r="AH2003" s="1539"/>
      <c r="AI2003" s="1539"/>
      <c r="AJ2003" s="1539"/>
      <c r="AK2003" s="1539"/>
      <c r="AL2003" s="1539"/>
      <c r="AM2003" s="1539"/>
      <c r="AN2003" s="1539"/>
      <c r="AO2003" s="1539"/>
      <c r="AP2003" s="1539"/>
      <c r="AQ2003" s="1539"/>
      <c r="AR2003" s="1539"/>
      <c r="AS2003" s="1539"/>
      <c r="AT2003" s="1539"/>
      <c r="AU2003" s="1539"/>
      <c r="AV2003" s="1539"/>
      <c r="AW2003" s="1539"/>
      <c r="AX2003" s="1539"/>
      <c r="AY2003" s="1539"/>
      <c r="AZ2003" s="1539"/>
      <c r="BA2003" s="1539"/>
      <c r="BB2003" s="1539"/>
      <c r="BC2003" s="1539"/>
      <c r="BD2003" s="1539"/>
      <c r="BE2003" s="1539"/>
      <c r="BF2003" s="1539"/>
      <c r="BG2003" s="1539"/>
      <c r="BH2003" s="1539"/>
      <c r="BI2003" s="1539"/>
      <c r="BJ2003" s="1539"/>
      <c r="BK2003" s="1539"/>
      <c r="BL2003" s="1539"/>
      <c r="BM2003" s="1539"/>
      <c r="BN2003" s="1539"/>
      <c r="BO2003" s="1539"/>
      <c r="BP2003" s="1539"/>
      <c r="BQ2003" s="1539"/>
      <c r="BR2003" s="1539"/>
      <c r="BS2003" s="1539"/>
      <c r="BT2003" s="1539"/>
      <c r="BU2003" s="1539"/>
      <c r="BV2003" s="1539"/>
      <c r="BW2003" s="1539"/>
      <c r="BX2003" s="1539"/>
      <c r="BY2003" s="1539"/>
      <c r="BZ2003" s="1539"/>
      <c r="CA2003" s="1539"/>
      <c r="CB2003" s="1539"/>
      <c r="CC2003" s="1539"/>
      <c r="CD2003" s="1539"/>
      <c r="CE2003" s="1539"/>
      <c r="CF2003" s="1539"/>
      <c r="CG2003" s="1539"/>
      <c r="CH2003" s="1539"/>
      <c r="CI2003" s="1539"/>
      <c r="CJ2003" s="1539"/>
      <c r="CK2003" s="1539"/>
      <c r="CL2003" s="1539"/>
      <c r="CM2003" s="1539"/>
      <c r="CN2003" s="1539"/>
      <c r="CO2003" s="1539"/>
    </row>
    <row r="2004" spans="1:93" s="1552" customFormat="1" ht="15.5">
      <c r="A2004" s="1598" t="s">
        <v>2916</v>
      </c>
      <c r="B2004" s="1599" t="s">
        <v>1760</v>
      </c>
      <c r="C2004" s="1643" t="e">
        <f>+SUMIF(#REF!,Final!A2004,#REF!)</f>
        <v>#REF!</v>
      </c>
      <c r="D2004" s="1597" t="e">
        <f>+SUMIF(#REF!,Final!A2004,#REF!)</f>
        <v>#REF!</v>
      </c>
      <c r="E2004" s="1643" t="e">
        <f>SUMIF(#REF!,Final!A2004,#REF!)</f>
        <v>#REF!</v>
      </c>
      <c r="F2004" s="1644" t="e">
        <f>SUMIF(#REF!,Final!A2004,#REF!)</f>
        <v>#REF!</v>
      </c>
      <c r="G2004" s="1597" t="e">
        <f t="shared" si="216"/>
        <v>#REF!</v>
      </c>
      <c r="H2004" s="1644" t="e">
        <f t="shared" si="217"/>
        <v>#REF!</v>
      </c>
      <c r="I2004" s="1597" t="e">
        <f t="shared" si="218"/>
        <v>#REF!</v>
      </c>
      <c r="J2004" s="1644" t="e">
        <f t="shared" si="219"/>
        <v>#REF!</v>
      </c>
      <c r="K2004" s="1539"/>
      <c r="L2004" s="1539"/>
      <c r="M2004" s="1545"/>
      <c r="N2004" s="1545"/>
      <c r="O2004" s="1539"/>
      <c r="P2004" s="1539"/>
      <c r="Q2004" s="1539"/>
      <c r="R2004" s="1539"/>
      <c r="S2004" s="1539"/>
      <c r="T2004" s="1539"/>
      <c r="U2004" s="1539"/>
      <c r="V2004" s="1539"/>
      <c r="W2004" s="1539"/>
      <c r="X2004" s="1539"/>
      <c r="Y2004" s="1539"/>
      <c r="Z2004" s="1539"/>
      <c r="AA2004" s="1539"/>
      <c r="AB2004" s="1539"/>
      <c r="AC2004" s="1539"/>
      <c r="AD2004" s="1539"/>
      <c r="AE2004" s="1539"/>
      <c r="AF2004" s="1539"/>
      <c r="AG2004" s="1539"/>
      <c r="AH2004" s="1539"/>
      <c r="AI2004" s="1539"/>
      <c r="AJ2004" s="1539"/>
      <c r="AK2004" s="1539"/>
      <c r="AL2004" s="1539"/>
      <c r="AM2004" s="1539"/>
      <c r="AN2004" s="1539"/>
      <c r="AO2004" s="1539"/>
      <c r="AP2004" s="1539"/>
      <c r="AQ2004" s="1539"/>
      <c r="AR2004" s="1539"/>
      <c r="AS2004" s="1539"/>
      <c r="AT2004" s="1539"/>
      <c r="AU2004" s="1539"/>
      <c r="AV2004" s="1539"/>
      <c r="AW2004" s="1539"/>
      <c r="AX2004" s="1539"/>
      <c r="AY2004" s="1539"/>
      <c r="AZ2004" s="1539"/>
      <c r="BA2004" s="1539"/>
      <c r="BB2004" s="1539"/>
      <c r="BC2004" s="1539"/>
      <c r="BD2004" s="1539"/>
      <c r="BE2004" s="1539"/>
      <c r="BF2004" s="1539"/>
      <c r="BG2004" s="1539"/>
      <c r="BH2004" s="1539"/>
      <c r="BI2004" s="1539"/>
      <c r="BJ2004" s="1539"/>
      <c r="BK2004" s="1539"/>
      <c r="BL2004" s="1539"/>
      <c r="BM2004" s="1539"/>
      <c r="BN2004" s="1539"/>
      <c r="BO2004" s="1539"/>
      <c r="BP2004" s="1539"/>
      <c r="BQ2004" s="1539"/>
      <c r="BR2004" s="1539"/>
      <c r="BS2004" s="1539"/>
      <c r="BT2004" s="1539"/>
      <c r="BU2004" s="1539"/>
      <c r="BV2004" s="1539"/>
      <c r="BW2004" s="1539"/>
      <c r="BX2004" s="1539"/>
      <c r="BY2004" s="1539"/>
      <c r="BZ2004" s="1539"/>
      <c r="CA2004" s="1539"/>
      <c r="CB2004" s="1539"/>
      <c r="CC2004" s="1539"/>
      <c r="CD2004" s="1539"/>
      <c r="CE2004" s="1539"/>
      <c r="CF2004" s="1539"/>
      <c r="CG2004" s="1539"/>
      <c r="CH2004" s="1539"/>
      <c r="CI2004" s="1539"/>
      <c r="CJ2004" s="1539"/>
      <c r="CK2004" s="1539"/>
      <c r="CL2004" s="1539"/>
      <c r="CM2004" s="1539"/>
      <c r="CN2004" s="1539"/>
      <c r="CO2004" s="1539"/>
    </row>
    <row r="2005" spans="1:93" s="1542" customFormat="1" ht="15.5">
      <c r="A2005" s="1598" t="s">
        <v>1821</v>
      </c>
      <c r="B2005" s="1599" t="s">
        <v>1931</v>
      </c>
      <c r="C2005" s="1643" t="e">
        <f>+SUMIF(#REF!,Final!A2005,#REF!)</f>
        <v>#REF!</v>
      </c>
      <c r="D2005" s="1597" t="e">
        <f>+SUMIF(#REF!,Final!A2005,#REF!)</f>
        <v>#REF!</v>
      </c>
      <c r="E2005" s="1643" t="e">
        <f>SUMIF(#REF!,Final!A2005,#REF!)</f>
        <v>#REF!</v>
      </c>
      <c r="F2005" s="1644" t="e">
        <f>SUMIF(#REF!,Final!A2005,#REF!)</f>
        <v>#REF!</v>
      </c>
      <c r="G2005" s="1597" t="e">
        <f t="shared" si="216"/>
        <v>#REF!</v>
      </c>
      <c r="H2005" s="1644" t="e">
        <f t="shared" si="217"/>
        <v>#REF!</v>
      </c>
      <c r="I2005" s="1597" t="e">
        <f t="shared" si="218"/>
        <v>#REF!</v>
      </c>
      <c r="J2005" s="1644" t="e">
        <f t="shared" si="219"/>
        <v>#REF!</v>
      </c>
      <c r="K2005" s="1539"/>
      <c r="L2005" s="1539"/>
      <c r="M2005" s="1545"/>
      <c r="N2005" s="1545"/>
      <c r="O2005" s="1539"/>
      <c r="P2005" s="1539"/>
      <c r="Q2005" s="1539"/>
      <c r="R2005" s="1539"/>
      <c r="S2005" s="1539"/>
      <c r="T2005" s="1539"/>
      <c r="U2005" s="1539"/>
      <c r="V2005" s="1539"/>
      <c r="W2005" s="1539"/>
      <c r="X2005" s="1539"/>
      <c r="Y2005" s="1539"/>
      <c r="Z2005" s="1539"/>
      <c r="AA2005" s="1539"/>
      <c r="AB2005" s="1539"/>
      <c r="AC2005" s="1539"/>
      <c r="AD2005" s="1539"/>
      <c r="AE2005" s="1539"/>
      <c r="AF2005" s="1539"/>
      <c r="AG2005" s="1539"/>
      <c r="AH2005" s="1539"/>
      <c r="AI2005" s="1539"/>
      <c r="AJ2005" s="1539"/>
      <c r="AK2005" s="1539"/>
      <c r="AL2005" s="1539"/>
      <c r="AM2005" s="1539"/>
      <c r="AN2005" s="1539"/>
      <c r="AO2005" s="1539"/>
      <c r="AP2005" s="1539"/>
      <c r="AQ2005" s="1539"/>
      <c r="AR2005" s="1539"/>
      <c r="AS2005" s="1539"/>
      <c r="AT2005" s="1539"/>
      <c r="AU2005" s="1539"/>
      <c r="AV2005" s="1539"/>
      <c r="AW2005" s="1539"/>
      <c r="AX2005" s="1539"/>
      <c r="AY2005" s="1539"/>
      <c r="AZ2005" s="1539"/>
      <c r="BA2005" s="1539"/>
      <c r="BB2005" s="1539"/>
      <c r="BC2005" s="1539"/>
      <c r="BD2005" s="1539"/>
      <c r="BE2005" s="1539"/>
      <c r="BF2005" s="1539"/>
      <c r="BG2005" s="1539"/>
      <c r="BH2005" s="1539"/>
      <c r="BI2005" s="1539"/>
      <c r="BJ2005" s="1539"/>
      <c r="BK2005" s="1539"/>
      <c r="BL2005" s="1539"/>
      <c r="BM2005" s="1539"/>
      <c r="BN2005" s="1539"/>
      <c r="BO2005" s="1539"/>
      <c r="BP2005" s="1539"/>
      <c r="BQ2005" s="1539"/>
      <c r="BR2005" s="1539"/>
      <c r="BS2005" s="1539"/>
      <c r="BT2005" s="1539"/>
      <c r="BU2005" s="1539"/>
      <c r="BV2005" s="1539"/>
      <c r="BW2005" s="1539"/>
      <c r="BX2005" s="1539"/>
      <c r="BY2005" s="1539"/>
      <c r="BZ2005" s="1539"/>
      <c r="CA2005" s="1539"/>
      <c r="CB2005" s="1539"/>
      <c r="CC2005" s="1539"/>
      <c r="CD2005" s="1539"/>
      <c r="CE2005" s="1539"/>
      <c r="CF2005" s="1539"/>
      <c r="CG2005" s="1539"/>
      <c r="CH2005" s="1539"/>
      <c r="CI2005" s="1539"/>
      <c r="CJ2005" s="1539"/>
      <c r="CK2005" s="1539"/>
      <c r="CL2005" s="1539"/>
      <c r="CM2005" s="1539"/>
      <c r="CN2005" s="1539"/>
      <c r="CO2005" s="1539"/>
    </row>
    <row r="2006" spans="1:93" ht="15.5">
      <c r="A2006" s="1598">
        <v>44.21</v>
      </c>
      <c r="B2006" s="1599" t="s">
        <v>1932</v>
      </c>
      <c r="C2006" s="1643" t="e">
        <f>+SUMIF(#REF!,Final!A2006,#REF!)</f>
        <v>#REF!</v>
      </c>
      <c r="D2006" s="1597" t="e">
        <f>+SUMIF(#REF!,Final!A2006,#REF!)</f>
        <v>#REF!</v>
      </c>
      <c r="E2006" s="1643" t="e">
        <f>SUMIF(#REF!,Final!A2006,#REF!)</f>
        <v>#REF!</v>
      </c>
      <c r="F2006" s="1644" t="e">
        <f>SUMIF(#REF!,Final!A2006,#REF!)</f>
        <v>#REF!</v>
      </c>
      <c r="G2006" s="1597" t="e">
        <f t="shared" si="216"/>
        <v>#REF!</v>
      </c>
      <c r="H2006" s="1644" t="e">
        <f t="shared" si="217"/>
        <v>#REF!</v>
      </c>
      <c r="I2006" s="1597" t="e">
        <f t="shared" si="218"/>
        <v>#REF!</v>
      </c>
      <c r="J2006" s="1644" t="e">
        <f t="shared" si="219"/>
        <v>#REF!</v>
      </c>
      <c r="M2006" s="1545"/>
      <c r="N2006" s="1545"/>
    </row>
    <row r="2007" spans="1:93" ht="15.5">
      <c r="A2007" s="1598">
        <v>44.22</v>
      </c>
      <c r="B2007" s="1599" t="s">
        <v>1933</v>
      </c>
      <c r="C2007" s="1643" t="e">
        <f>+SUMIF(#REF!,Final!A2007,#REF!)</f>
        <v>#REF!</v>
      </c>
      <c r="D2007" s="1597" t="e">
        <f>+SUMIF(#REF!,Final!A2007,#REF!)</f>
        <v>#REF!</v>
      </c>
      <c r="E2007" s="1643" t="e">
        <f>SUMIF(#REF!,Final!A2007,#REF!)</f>
        <v>#REF!</v>
      </c>
      <c r="F2007" s="1644" t="e">
        <f>SUMIF(#REF!,Final!A2007,#REF!)</f>
        <v>#REF!</v>
      </c>
      <c r="G2007" s="1597" t="e">
        <f t="shared" si="216"/>
        <v>#REF!</v>
      </c>
      <c r="H2007" s="1644" t="e">
        <f t="shared" si="217"/>
        <v>#REF!</v>
      </c>
      <c r="I2007" s="1597" t="e">
        <f t="shared" si="218"/>
        <v>#REF!</v>
      </c>
      <c r="J2007" s="1644" t="e">
        <f t="shared" si="219"/>
        <v>#REF!</v>
      </c>
      <c r="M2007" s="1545"/>
      <c r="N2007" s="1545"/>
    </row>
    <row r="2008" spans="1:93" s="1542" customFormat="1" ht="15.5">
      <c r="A2008" s="1598">
        <v>44.23</v>
      </c>
      <c r="B2008" s="1599" t="s">
        <v>1934</v>
      </c>
      <c r="C2008" s="1643" t="e">
        <f>+SUMIF(#REF!,Final!A2008,#REF!)</f>
        <v>#REF!</v>
      </c>
      <c r="D2008" s="1597" t="e">
        <f>+SUMIF(#REF!,Final!A2008,#REF!)</f>
        <v>#REF!</v>
      </c>
      <c r="E2008" s="1643" t="e">
        <f>SUMIF(#REF!,Final!A2008,#REF!)</f>
        <v>#REF!</v>
      </c>
      <c r="F2008" s="1644" t="e">
        <f>SUMIF(#REF!,Final!A2008,#REF!)</f>
        <v>#REF!</v>
      </c>
      <c r="G2008" s="1597" t="e">
        <f t="shared" si="216"/>
        <v>#REF!</v>
      </c>
      <c r="H2008" s="1644" t="e">
        <f t="shared" si="217"/>
        <v>#REF!</v>
      </c>
      <c r="I2008" s="1597" t="e">
        <f t="shared" si="218"/>
        <v>#REF!</v>
      </c>
      <c r="J2008" s="1644" t="e">
        <f t="shared" si="219"/>
        <v>#REF!</v>
      </c>
      <c r="K2008" s="1539"/>
      <c r="L2008" s="1539"/>
      <c r="M2008" s="1545"/>
      <c r="N2008" s="1545"/>
      <c r="O2008" s="1539"/>
      <c r="P2008" s="1539"/>
      <c r="Q2008" s="1539"/>
      <c r="R2008" s="1539"/>
      <c r="S2008" s="1539"/>
      <c r="T2008" s="1539"/>
      <c r="U2008" s="1539"/>
      <c r="V2008" s="1539"/>
      <c r="W2008" s="1539"/>
      <c r="X2008" s="1539"/>
      <c r="Y2008" s="1539"/>
      <c r="Z2008" s="1539"/>
      <c r="AA2008" s="1539"/>
      <c r="AB2008" s="1539"/>
      <c r="AC2008" s="1539"/>
      <c r="AD2008" s="1539"/>
      <c r="AE2008" s="1539"/>
      <c r="AF2008" s="1539"/>
      <c r="AG2008" s="1539"/>
      <c r="AH2008" s="1539"/>
      <c r="AI2008" s="1539"/>
      <c r="AJ2008" s="1539"/>
      <c r="AK2008" s="1539"/>
      <c r="AL2008" s="1539"/>
      <c r="AM2008" s="1539"/>
      <c r="AN2008" s="1539"/>
      <c r="AO2008" s="1539"/>
      <c r="AP2008" s="1539"/>
      <c r="AQ2008" s="1539"/>
      <c r="AR2008" s="1539"/>
      <c r="AS2008" s="1539"/>
      <c r="AT2008" s="1539"/>
      <c r="AU2008" s="1539"/>
      <c r="AV2008" s="1539"/>
      <c r="AW2008" s="1539"/>
      <c r="AX2008" s="1539"/>
      <c r="AY2008" s="1539"/>
      <c r="AZ2008" s="1539"/>
      <c r="BA2008" s="1539"/>
      <c r="BB2008" s="1539"/>
      <c r="BC2008" s="1539"/>
      <c r="BD2008" s="1539"/>
      <c r="BE2008" s="1539"/>
      <c r="BF2008" s="1539"/>
      <c r="BG2008" s="1539"/>
      <c r="BH2008" s="1539"/>
      <c r="BI2008" s="1539"/>
      <c r="BJ2008" s="1539"/>
      <c r="BK2008" s="1539"/>
      <c r="BL2008" s="1539"/>
      <c r="BM2008" s="1539"/>
      <c r="BN2008" s="1539"/>
      <c r="BO2008" s="1539"/>
      <c r="BP2008" s="1539"/>
      <c r="BQ2008" s="1539"/>
      <c r="BR2008" s="1539"/>
      <c r="BS2008" s="1539"/>
      <c r="BT2008" s="1539"/>
      <c r="BU2008" s="1539"/>
      <c r="BV2008" s="1539"/>
      <c r="BW2008" s="1539"/>
      <c r="BX2008" s="1539"/>
      <c r="BY2008" s="1539"/>
      <c r="BZ2008" s="1539"/>
      <c r="CA2008" s="1539"/>
      <c r="CB2008" s="1539"/>
      <c r="CC2008" s="1539"/>
      <c r="CD2008" s="1539"/>
      <c r="CE2008" s="1539"/>
      <c r="CF2008" s="1539"/>
      <c r="CG2008" s="1539"/>
      <c r="CH2008" s="1539"/>
      <c r="CI2008" s="1539"/>
      <c r="CJ2008" s="1539"/>
      <c r="CK2008" s="1539"/>
      <c r="CL2008" s="1539"/>
      <c r="CM2008" s="1539"/>
      <c r="CN2008" s="1539"/>
      <c r="CO2008" s="1539"/>
    </row>
    <row r="2009" spans="1:93" s="1552" customFormat="1" ht="15.5">
      <c r="A2009" s="1598"/>
      <c r="B2009" s="1599" t="s">
        <v>1747</v>
      </c>
      <c r="C2009" s="1643" t="e">
        <f>+SUMIF(#REF!,Final!A2009,#REF!)</f>
        <v>#REF!</v>
      </c>
      <c r="D2009" s="1597" t="e">
        <f>+SUMIF(#REF!,Final!A2009,#REF!)</f>
        <v>#REF!</v>
      </c>
      <c r="E2009" s="1643" t="e">
        <f>SUMIF(#REF!,Final!A2009,#REF!)</f>
        <v>#REF!</v>
      </c>
      <c r="F2009" s="1644" t="e">
        <f>SUMIF(#REF!,Final!A2009,#REF!)</f>
        <v>#REF!</v>
      </c>
      <c r="G2009" s="1597" t="e">
        <f t="shared" si="216"/>
        <v>#REF!</v>
      </c>
      <c r="H2009" s="1644" t="e">
        <f t="shared" si="217"/>
        <v>#REF!</v>
      </c>
      <c r="I2009" s="1597" t="e">
        <f t="shared" si="218"/>
        <v>#REF!</v>
      </c>
      <c r="J2009" s="1644" t="e">
        <f t="shared" si="219"/>
        <v>#REF!</v>
      </c>
      <c r="K2009" s="1539"/>
      <c r="L2009" s="1539"/>
      <c r="M2009" s="1545"/>
      <c r="N2009" s="1545"/>
      <c r="O2009" s="1539"/>
      <c r="P2009" s="1539"/>
      <c r="Q2009" s="1539"/>
      <c r="R2009" s="1539"/>
      <c r="S2009" s="1539"/>
      <c r="T2009" s="1539"/>
      <c r="U2009" s="1539"/>
      <c r="V2009" s="1539"/>
      <c r="W2009" s="1539"/>
      <c r="X2009" s="1539"/>
      <c r="Y2009" s="1539"/>
      <c r="Z2009" s="1539"/>
      <c r="AA2009" s="1539"/>
      <c r="AB2009" s="1539"/>
      <c r="AC2009" s="1539"/>
      <c r="AD2009" s="1539"/>
      <c r="AE2009" s="1539"/>
      <c r="AF2009" s="1539"/>
      <c r="AG2009" s="1539"/>
      <c r="AH2009" s="1539"/>
      <c r="AI2009" s="1539"/>
      <c r="AJ2009" s="1539"/>
      <c r="AK2009" s="1539"/>
      <c r="AL2009" s="1539"/>
      <c r="AM2009" s="1539"/>
      <c r="AN2009" s="1539"/>
      <c r="AO2009" s="1539"/>
      <c r="AP2009" s="1539"/>
      <c r="AQ2009" s="1539"/>
      <c r="AR2009" s="1539"/>
      <c r="AS2009" s="1539"/>
      <c r="AT2009" s="1539"/>
      <c r="AU2009" s="1539"/>
      <c r="AV2009" s="1539"/>
      <c r="AW2009" s="1539"/>
      <c r="AX2009" s="1539"/>
      <c r="AY2009" s="1539"/>
      <c r="AZ2009" s="1539"/>
      <c r="BA2009" s="1539"/>
      <c r="BB2009" s="1539"/>
      <c r="BC2009" s="1539"/>
      <c r="BD2009" s="1539"/>
      <c r="BE2009" s="1539"/>
      <c r="BF2009" s="1539"/>
      <c r="BG2009" s="1539"/>
      <c r="BH2009" s="1539"/>
      <c r="BI2009" s="1539"/>
      <c r="BJ2009" s="1539"/>
      <c r="BK2009" s="1539"/>
      <c r="BL2009" s="1539"/>
      <c r="BM2009" s="1539"/>
      <c r="BN2009" s="1539"/>
      <c r="BO2009" s="1539"/>
      <c r="BP2009" s="1539"/>
      <c r="BQ2009" s="1539"/>
      <c r="BR2009" s="1539"/>
      <c r="BS2009" s="1539"/>
      <c r="BT2009" s="1539"/>
      <c r="BU2009" s="1539"/>
      <c r="BV2009" s="1539"/>
      <c r="BW2009" s="1539"/>
      <c r="BX2009" s="1539"/>
      <c r="BY2009" s="1539"/>
      <c r="BZ2009" s="1539"/>
      <c r="CA2009" s="1539"/>
      <c r="CB2009" s="1539"/>
      <c r="CC2009" s="1539"/>
      <c r="CD2009" s="1539"/>
      <c r="CE2009" s="1539"/>
      <c r="CF2009" s="1539"/>
      <c r="CG2009" s="1539"/>
      <c r="CH2009" s="1539"/>
      <c r="CI2009" s="1539"/>
      <c r="CJ2009" s="1539"/>
      <c r="CK2009" s="1539"/>
      <c r="CL2009" s="1539"/>
      <c r="CM2009" s="1539"/>
      <c r="CN2009" s="1539"/>
      <c r="CO2009" s="1539"/>
    </row>
    <row r="2010" spans="1:93" s="1552" customFormat="1" ht="15.5">
      <c r="A2010" s="1598" t="s">
        <v>2916</v>
      </c>
      <c r="B2010" s="1599" t="s">
        <v>1760</v>
      </c>
      <c r="C2010" s="1643" t="e">
        <f>+SUMIF(#REF!,Final!A2010,#REF!)</f>
        <v>#REF!</v>
      </c>
      <c r="D2010" s="1597" t="e">
        <f>+SUMIF(#REF!,Final!A2010,#REF!)</f>
        <v>#REF!</v>
      </c>
      <c r="E2010" s="1643" t="e">
        <f>SUMIF(#REF!,Final!A2010,#REF!)</f>
        <v>#REF!</v>
      </c>
      <c r="F2010" s="1644" t="e">
        <f>SUMIF(#REF!,Final!A2010,#REF!)</f>
        <v>#REF!</v>
      </c>
      <c r="G2010" s="1597" t="e">
        <f t="shared" si="216"/>
        <v>#REF!</v>
      </c>
      <c r="H2010" s="1644" t="e">
        <f t="shared" si="217"/>
        <v>#REF!</v>
      </c>
      <c r="I2010" s="1597" t="e">
        <f t="shared" si="218"/>
        <v>#REF!</v>
      </c>
      <c r="J2010" s="1644" t="e">
        <f t="shared" si="219"/>
        <v>#REF!</v>
      </c>
      <c r="K2010" s="1539"/>
      <c r="L2010" s="1539"/>
      <c r="M2010" s="1545"/>
      <c r="N2010" s="1545"/>
      <c r="O2010" s="1539"/>
      <c r="P2010" s="1539"/>
      <c r="Q2010" s="1539"/>
      <c r="R2010" s="1539"/>
      <c r="S2010" s="1539"/>
      <c r="T2010" s="1539"/>
      <c r="U2010" s="1539"/>
      <c r="V2010" s="1539"/>
      <c r="W2010" s="1539"/>
      <c r="X2010" s="1539"/>
      <c r="Y2010" s="1539"/>
      <c r="Z2010" s="1539"/>
      <c r="AA2010" s="1539"/>
      <c r="AB2010" s="1539"/>
      <c r="AC2010" s="1539"/>
      <c r="AD2010" s="1539"/>
      <c r="AE2010" s="1539"/>
      <c r="AF2010" s="1539"/>
      <c r="AG2010" s="1539"/>
      <c r="AH2010" s="1539"/>
      <c r="AI2010" s="1539"/>
      <c r="AJ2010" s="1539"/>
      <c r="AK2010" s="1539"/>
      <c r="AL2010" s="1539"/>
      <c r="AM2010" s="1539"/>
      <c r="AN2010" s="1539"/>
      <c r="AO2010" s="1539"/>
      <c r="AP2010" s="1539"/>
      <c r="AQ2010" s="1539"/>
      <c r="AR2010" s="1539"/>
      <c r="AS2010" s="1539"/>
      <c r="AT2010" s="1539"/>
      <c r="AU2010" s="1539"/>
      <c r="AV2010" s="1539"/>
      <c r="AW2010" s="1539"/>
      <c r="AX2010" s="1539"/>
      <c r="AY2010" s="1539"/>
      <c r="AZ2010" s="1539"/>
      <c r="BA2010" s="1539"/>
      <c r="BB2010" s="1539"/>
      <c r="BC2010" s="1539"/>
      <c r="BD2010" s="1539"/>
      <c r="BE2010" s="1539"/>
      <c r="BF2010" s="1539"/>
      <c r="BG2010" s="1539"/>
      <c r="BH2010" s="1539"/>
      <c r="BI2010" s="1539"/>
      <c r="BJ2010" s="1539"/>
      <c r="BK2010" s="1539"/>
      <c r="BL2010" s="1539"/>
      <c r="BM2010" s="1539"/>
      <c r="BN2010" s="1539"/>
      <c r="BO2010" s="1539"/>
      <c r="BP2010" s="1539"/>
      <c r="BQ2010" s="1539"/>
      <c r="BR2010" s="1539"/>
      <c r="BS2010" s="1539"/>
      <c r="BT2010" s="1539"/>
      <c r="BU2010" s="1539"/>
      <c r="BV2010" s="1539"/>
      <c r="BW2010" s="1539"/>
      <c r="BX2010" s="1539"/>
      <c r="BY2010" s="1539"/>
      <c r="BZ2010" s="1539"/>
      <c r="CA2010" s="1539"/>
      <c r="CB2010" s="1539"/>
      <c r="CC2010" s="1539"/>
      <c r="CD2010" s="1539"/>
      <c r="CE2010" s="1539"/>
      <c r="CF2010" s="1539"/>
      <c r="CG2010" s="1539"/>
      <c r="CH2010" s="1539"/>
      <c r="CI2010" s="1539"/>
      <c r="CJ2010" s="1539"/>
      <c r="CK2010" s="1539"/>
      <c r="CL2010" s="1539"/>
      <c r="CM2010" s="1539"/>
      <c r="CN2010" s="1539"/>
      <c r="CO2010" s="1539"/>
    </row>
    <row r="2011" spans="1:93" s="1542" customFormat="1" ht="15.5">
      <c r="A2011" s="1598" t="s">
        <v>1824</v>
      </c>
      <c r="B2011" s="1599" t="s">
        <v>1935</v>
      </c>
      <c r="C2011" s="1643" t="e">
        <f>+SUMIF(#REF!,Final!A2011,#REF!)</f>
        <v>#REF!</v>
      </c>
      <c r="D2011" s="1597" t="e">
        <f>+SUMIF(#REF!,Final!A2011,#REF!)</f>
        <v>#REF!</v>
      </c>
      <c r="E2011" s="1643" t="e">
        <f>SUMIF(#REF!,Final!A2011,#REF!)</f>
        <v>#REF!</v>
      </c>
      <c r="F2011" s="1644" t="e">
        <f>SUMIF(#REF!,Final!A2011,#REF!)</f>
        <v>#REF!</v>
      </c>
      <c r="G2011" s="1597" t="e">
        <f t="shared" si="216"/>
        <v>#REF!</v>
      </c>
      <c r="H2011" s="1644" t="e">
        <f t="shared" si="217"/>
        <v>#REF!</v>
      </c>
      <c r="I2011" s="1597" t="e">
        <f t="shared" si="218"/>
        <v>#REF!</v>
      </c>
      <c r="J2011" s="1644" t="e">
        <f t="shared" si="219"/>
        <v>#REF!</v>
      </c>
      <c r="K2011" s="1539"/>
      <c r="L2011" s="1539"/>
      <c r="M2011" s="1545"/>
      <c r="N2011" s="1545"/>
      <c r="O2011" s="1539"/>
      <c r="P2011" s="1539"/>
      <c r="Q2011" s="1539"/>
      <c r="R2011" s="1539"/>
      <c r="S2011" s="1539"/>
      <c r="T2011" s="1539"/>
      <c r="U2011" s="1539"/>
      <c r="V2011" s="1539"/>
      <c r="W2011" s="1539"/>
      <c r="X2011" s="1539"/>
      <c r="Y2011" s="1539"/>
      <c r="Z2011" s="1539"/>
      <c r="AA2011" s="1539"/>
      <c r="AB2011" s="1539"/>
      <c r="AC2011" s="1539"/>
      <c r="AD2011" s="1539"/>
      <c r="AE2011" s="1539"/>
      <c r="AF2011" s="1539"/>
      <c r="AG2011" s="1539"/>
      <c r="AH2011" s="1539"/>
      <c r="AI2011" s="1539"/>
      <c r="AJ2011" s="1539"/>
      <c r="AK2011" s="1539"/>
      <c r="AL2011" s="1539"/>
      <c r="AM2011" s="1539"/>
      <c r="AN2011" s="1539"/>
      <c r="AO2011" s="1539"/>
      <c r="AP2011" s="1539"/>
      <c r="AQ2011" s="1539"/>
      <c r="AR2011" s="1539"/>
      <c r="AS2011" s="1539"/>
      <c r="AT2011" s="1539"/>
      <c r="AU2011" s="1539"/>
      <c r="AV2011" s="1539"/>
      <c r="AW2011" s="1539"/>
      <c r="AX2011" s="1539"/>
      <c r="AY2011" s="1539"/>
      <c r="AZ2011" s="1539"/>
      <c r="BA2011" s="1539"/>
      <c r="BB2011" s="1539"/>
      <c r="BC2011" s="1539"/>
      <c r="BD2011" s="1539"/>
      <c r="BE2011" s="1539"/>
      <c r="BF2011" s="1539"/>
      <c r="BG2011" s="1539"/>
      <c r="BH2011" s="1539"/>
      <c r="BI2011" s="1539"/>
      <c r="BJ2011" s="1539"/>
      <c r="BK2011" s="1539"/>
      <c r="BL2011" s="1539"/>
      <c r="BM2011" s="1539"/>
      <c r="BN2011" s="1539"/>
      <c r="BO2011" s="1539"/>
      <c r="BP2011" s="1539"/>
      <c r="BQ2011" s="1539"/>
      <c r="BR2011" s="1539"/>
      <c r="BS2011" s="1539"/>
      <c r="BT2011" s="1539"/>
      <c r="BU2011" s="1539"/>
      <c r="BV2011" s="1539"/>
      <c r="BW2011" s="1539"/>
      <c r="BX2011" s="1539"/>
      <c r="BY2011" s="1539"/>
      <c r="BZ2011" s="1539"/>
      <c r="CA2011" s="1539"/>
      <c r="CB2011" s="1539"/>
      <c r="CC2011" s="1539"/>
      <c r="CD2011" s="1539"/>
      <c r="CE2011" s="1539"/>
      <c r="CF2011" s="1539"/>
      <c r="CG2011" s="1539"/>
      <c r="CH2011" s="1539"/>
      <c r="CI2011" s="1539"/>
      <c r="CJ2011" s="1539"/>
      <c r="CK2011" s="1539"/>
      <c r="CL2011" s="1539"/>
      <c r="CM2011" s="1539"/>
      <c r="CN2011" s="1539"/>
      <c r="CO2011" s="1539"/>
    </row>
    <row r="2012" spans="1:93" s="1542" customFormat="1" ht="15.5">
      <c r="A2012" s="1598">
        <v>44.31</v>
      </c>
      <c r="B2012" s="1599" t="s">
        <v>1936</v>
      </c>
      <c r="C2012" s="1643" t="e">
        <f>+SUMIF(#REF!,Final!A2012,#REF!)</f>
        <v>#REF!</v>
      </c>
      <c r="D2012" s="1597" t="e">
        <f>+SUMIF(#REF!,Final!A2012,#REF!)</f>
        <v>#REF!</v>
      </c>
      <c r="E2012" s="1643" t="e">
        <f>SUMIF(#REF!,Final!A2012,#REF!)</f>
        <v>#REF!</v>
      </c>
      <c r="F2012" s="1644" t="e">
        <f>SUMIF(#REF!,Final!A2012,#REF!)</f>
        <v>#REF!</v>
      </c>
      <c r="G2012" s="1597" t="e">
        <f t="shared" si="216"/>
        <v>#REF!</v>
      </c>
      <c r="H2012" s="1644" t="e">
        <f t="shared" si="217"/>
        <v>#REF!</v>
      </c>
      <c r="I2012" s="1597" t="e">
        <f t="shared" si="218"/>
        <v>#REF!</v>
      </c>
      <c r="J2012" s="1644" t="e">
        <f t="shared" si="219"/>
        <v>#REF!</v>
      </c>
      <c r="K2012" s="1539"/>
      <c r="L2012" s="1539"/>
      <c r="M2012" s="1545"/>
      <c r="N2012" s="1545"/>
      <c r="O2012" s="1539"/>
      <c r="P2012" s="1539"/>
      <c r="Q2012" s="1539"/>
      <c r="R2012" s="1539"/>
      <c r="S2012" s="1539"/>
      <c r="T2012" s="1539"/>
      <c r="U2012" s="1539"/>
      <c r="V2012" s="1539"/>
      <c r="W2012" s="1539"/>
      <c r="X2012" s="1539"/>
      <c r="Y2012" s="1539"/>
      <c r="Z2012" s="1539"/>
      <c r="AA2012" s="1539"/>
      <c r="AB2012" s="1539"/>
      <c r="AC2012" s="1539"/>
      <c r="AD2012" s="1539"/>
      <c r="AE2012" s="1539"/>
      <c r="AF2012" s="1539"/>
      <c r="AG2012" s="1539"/>
      <c r="AH2012" s="1539"/>
      <c r="AI2012" s="1539"/>
      <c r="AJ2012" s="1539"/>
      <c r="AK2012" s="1539"/>
      <c r="AL2012" s="1539"/>
      <c r="AM2012" s="1539"/>
      <c r="AN2012" s="1539"/>
      <c r="AO2012" s="1539"/>
      <c r="AP2012" s="1539"/>
      <c r="AQ2012" s="1539"/>
      <c r="AR2012" s="1539"/>
      <c r="AS2012" s="1539"/>
      <c r="AT2012" s="1539"/>
      <c r="AU2012" s="1539"/>
      <c r="AV2012" s="1539"/>
      <c r="AW2012" s="1539"/>
      <c r="AX2012" s="1539"/>
      <c r="AY2012" s="1539"/>
      <c r="AZ2012" s="1539"/>
      <c r="BA2012" s="1539"/>
      <c r="BB2012" s="1539"/>
      <c r="BC2012" s="1539"/>
      <c r="BD2012" s="1539"/>
      <c r="BE2012" s="1539"/>
      <c r="BF2012" s="1539"/>
      <c r="BG2012" s="1539"/>
      <c r="BH2012" s="1539"/>
      <c r="BI2012" s="1539"/>
      <c r="BJ2012" s="1539"/>
      <c r="BK2012" s="1539"/>
      <c r="BL2012" s="1539"/>
      <c r="BM2012" s="1539"/>
      <c r="BN2012" s="1539"/>
      <c r="BO2012" s="1539"/>
      <c r="BP2012" s="1539"/>
      <c r="BQ2012" s="1539"/>
      <c r="BR2012" s="1539"/>
      <c r="BS2012" s="1539"/>
      <c r="BT2012" s="1539"/>
      <c r="BU2012" s="1539"/>
      <c r="BV2012" s="1539"/>
      <c r="BW2012" s="1539"/>
      <c r="BX2012" s="1539"/>
      <c r="BY2012" s="1539"/>
      <c r="BZ2012" s="1539"/>
      <c r="CA2012" s="1539"/>
      <c r="CB2012" s="1539"/>
      <c r="CC2012" s="1539"/>
      <c r="CD2012" s="1539"/>
      <c r="CE2012" s="1539"/>
      <c r="CF2012" s="1539"/>
      <c r="CG2012" s="1539"/>
      <c r="CH2012" s="1539"/>
      <c r="CI2012" s="1539"/>
      <c r="CJ2012" s="1539"/>
      <c r="CK2012" s="1539"/>
      <c r="CL2012" s="1539"/>
      <c r="CM2012" s="1539"/>
      <c r="CN2012" s="1539"/>
      <c r="CO2012" s="1539"/>
    </row>
    <row r="2013" spans="1:93" ht="15.5">
      <c r="A2013" s="1598">
        <v>44.32</v>
      </c>
      <c r="B2013" s="1599" t="s">
        <v>1937</v>
      </c>
      <c r="C2013" s="1643" t="e">
        <f>+SUMIF(#REF!,Final!A2013,#REF!)</f>
        <v>#REF!</v>
      </c>
      <c r="D2013" s="1597" t="e">
        <f>+SUMIF(#REF!,Final!A2013,#REF!)</f>
        <v>#REF!</v>
      </c>
      <c r="E2013" s="1643" t="e">
        <f>SUMIF(#REF!,Final!A2013,#REF!)</f>
        <v>#REF!</v>
      </c>
      <c r="F2013" s="1644" t="e">
        <f>SUMIF(#REF!,Final!A2013,#REF!)</f>
        <v>#REF!</v>
      </c>
      <c r="G2013" s="1597" t="e">
        <f t="shared" si="216"/>
        <v>#REF!</v>
      </c>
      <c r="H2013" s="1644" t="e">
        <f t="shared" si="217"/>
        <v>#REF!</v>
      </c>
      <c r="I2013" s="1597" t="e">
        <f t="shared" si="218"/>
        <v>#REF!</v>
      </c>
      <c r="J2013" s="1644" t="e">
        <f t="shared" si="219"/>
        <v>#REF!</v>
      </c>
      <c r="M2013" s="1545"/>
      <c r="N2013" s="1545"/>
    </row>
    <row r="2014" spans="1:93" ht="15.5">
      <c r="A2014" s="1598">
        <v>44.33</v>
      </c>
      <c r="B2014" s="1599" t="s">
        <v>1938</v>
      </c>
      <c r="C2014" s="1643" t="e">
        <f>+SUMIF(#REF!,Final!A2014,#REF!)</f>
        <v>#REF!</v>
      </c>
      <c r="D2014" s="1597" t="e">
        <f>+SUMIF(#REF!,Final!A2014,#REF!)</f>
        <v>#REF!</v>
      </c>
      <c r="E2014" s="1643" t="e">
        <f>SUMIF(#REF!,Final!A2014,#REF!)</f>
        <v>#REF!</v>
      </c>
      <c r="F2014" s="1644" t="e">
        <f>SUMIF(#REF!,Final!A2014,#REF!)</f>
        <v>#REF!</v>
      </c>
      <c r="G2014" s="1597" t="e">
        <f t="shared" si="216"/>
        <v>#REF!</v>
      </c>
      <c r="H2014" s="1644" t="e">
        <f t="shared" si="217"/>
        <v>#REF!</v>
      </c>
      <c r="I2014" s="1597" t="e">
        <f t="shared" si="218"/>
        <v>#REF!</v>
      </c>
      <c r="J2014" s="1644" t="e">
        <f t="shared" si="219"/>
        <v>#REF!</v>
      </c>
      <c r="M2014" s="1545"/>
      <c r="N2014" s="1545"/>
    </row>
    <row r="2015" spans="1:93" ht="15.5">
      <c r="A2015" s="1598">
        <v>44.34</v>
      </c>
      <c r="B2015" s="1599" t="s">
        <v>1939</v>
      </c>
      <c r="C2015" s="1643" t="e">
        <f>+SUMIF(#REF!,Final!A2015,#REF!)</f>
        <v>#REF!</v>
      </c>
      <c r="D2015" s="1597" t="e">
        <f>+SUMIF(#REF!,Final!A2015,#REF!)</f>
        <v>#REF!</v>
      </c>
      <c r="E2015" s="1643" t="e">
        <f>SUMIF(#REF!,Final!A2015,#REF!)</f>
        <v>#REF!</v>
      </c>
      <c r="F2015" s="1644" t="e">
        <f>SUMIF(#REF!,Final!A2015,#REF!)</f>
        <v>#REF!</v>
      </c>
      <c r="G2015" s="1597" t="e">
        <f t="shared" si="216"/>
        <v>#REF!</v>
      </c>
      <c r="H2015" s="1644" t="e">
        <f t="shared" si="217"/>
        <v>#REF!</v>
      </c>
      <c r="I2015" s="1597" t="e">
        <f t="shared" si="218"/>
        <v>#REF!</v>
      </c>
      <c r="J2015" s="1644" t="e">
        <f t="shared" si="219"/>
        <v>#REF!</v>
      </c>
      <c r="M2015" s="1545"/>
      <c r="N2015" s="1545"/>
    </row>
    <row r="2016" spans="1:93" ht="15.5">
      <c r="A2016" s="1598">
        <v>44.35</v>
      </c>
      <c r="B2016" s="1599" t="s">
        <v>1940</v>
      </c>
      <c r="C2016" s="1643" t="e">
        <f>+SUMIF(#REF!,Final!A2016,#REF!)</f>
        <v>#REF!</v>
      </c>
      <c r="D2016" s="1597" t="e">
        <f>+SUMIF(#REF!,Final!A2016,#REF!)</f>
        <v>#REF!</v>
      </c>
      <c r="E2016" s="1643" t="e">
        <f>SUMIF(#REF!,Final!A2016,#REF!)</f>
        <v>#REF!</v>
      </c>
      <c r="F2016" s="1644" t="e">
        <f>SUMIF(#REF!,Final!A2016,#REF!)</f>
        <v>#REF!</v>
      </c>
      <c r="G2016" s="1597" t="e">
        <f t="shared" si="216"/>
        <v>#REF!</v>
      </c>
      <c r="H2016" s="1644" t="e">
        <f t="shared" si="217"/>
        <v>#REF!</v>
      </c>
      <c r="I2016" s="1597" t="e">
        <f t="shared" si="218"/>
        <v>#REF!</v>
      </c>
      <c r="J2016" s="1644" t="e">
        <f t="shared" si="219"/>
        <v>#REF!</v>
      </c>
      <c r="M2016" s="1545"/>
      <c r="N2016" s="1545"/>
    </row>
    <row r="2017" spans="1:93" s="1552" customFormat="1" ht="15.5">
      <c r="A2017" s="1598"/>
      <c r="B2017" s="1599" t="s">
        <v>1747</v>
      </c>
      <c r="C2017" s="1643" t="e">
        <f>+SUMIF(#REF!,Final!A2017,#REF!)</f>
        <v>#REF!</v>
      </c>
      <c r="D2017" s="1597" t="e">
        <f>+SUMIF(#REF!,Final!A2017,#REF!)</f>
        <v>#REF!</v>
      </c>
      <c r="E2017" s="1643" t="e">
        <f>SUMIF(#REF!,Final!A2017,#REF!)</f>
        <v>#REF!</v>
      </c>
      <c r="F2017" s="1644" t="e">
        <f>SUMIF(#REF!,Final!A2017,#REF!)</f>
        <v>#REF!</v>
      </c>
      <c r="G2017" s="1597" t="e">
        <f t="shared" si="216"/>
        <v>#REF!</v>
      </c>
      <c r="H2017" s="1644" t="e">
        <f t="shared" si="217"/>
        <v>#REF!</v>
      </c>
      <c r="I2017" s="1597" t="e">
        <f t="shared" si="218"/>
        <v>#REF!</v>
      </c>
      <c r="J2017" s="1644" t="e">
        <f t="shared" si="219"/>
        <v>#REF!</v>
      </c>
      <c r="K2017" s="1539"/>
      <c r="L2017" s="1539"/>
      <c r="M2017" s="1545"/>
      <c r="N2017" s="1545"/>
      <c r="O2017" s="1539"/>
      <c r="P2017" s="1539"/>
      <c r="Q2017" s="1539"/>
      <c r="R2017" s="1539"/>
      <c r="S2017" s="1539"/>
      <c r="T2017" s="1539"/>
      <c r="U2017" s="1539"/>
      <c r="V2017" s="1539"/>
      <c r="W2017" s="1539"/>
      <c r="X2017" s="1539"/>
      <c r="Y2017" s="1539"/>
      <c r="Z2017" s="1539"/>
      <c r="AA2017" s="1539"/>
      <c r="AB2017" s="1539"/>
      <c r="AC2017" s="1539"/>
      <c r="AD2017" s="1539"/>
      <c r="AE2017" s="1539"/>
      <c r="AF2017" s="1539"/>
      <c r="AG2017" s="1539"/>
      <c r="AH2017" s="1539"/>
      <c r="AI2017" s="1539"/>
      <c r="AJ2017" s="1539"/>
      <c r="AK2017" s="1539"/>
      <c r="AL2017" s="1539"/>
      <c r="AM2017" s="1539"/>
      <c r="AN2017" s="1539"/>
      <c r="AO2017" s="1539"/>
      <c r="AP2017" s="1539"/>
      <c r="AQ2017" s="1539"/>
      <c r="AR2017" s="1539"/>
      <c r="AS2017" s="1539"/>
      <c r="AT2017" s="1539"/>
      <c r="AU2017" s="1539"/>
      <c r="AV2017" s="1539"/>
      <c r="AW2017" s="1539"/>
      <c r="AX2017" s="1539"/>
      <c r="AY2017" s="1539"/>
      <c r="AZ2017" s="1539"/>
      <c r="BA2017" s="1539"/>
      <c r="BB2017" s="1539"/>
      <c r="BC2017" s="1539"/>
      <c r="BD2017" s="1539"/>
      <c r="BE2017" s="1539"/>
      <c r="BF2017" s="1539"/>
      <c r="BG2017" s="1539"/>
      <c r="BH2017" s="1539"/>
      <c r="BI2017" s="1539"/>
      <c r="BJ2017" s="1539"/>
      <c r="BK2017" s="1539"/>
      <c r="BL2017" s="1539"/>
      <c r="BM2017" s="1539"/>
      <c r="BN2017" s="1539"/>
      <c r="BO2017" s="1539"/>
      <c r="BP2017" s="1539"/>
      <c r="BQ2017" s="1539"/>
      <c r="BR2017" s="1539"/>
      <c r="BS2017" s="1539"/>
      <c r="BT2017" s="1539"/>
      <c r="BU2017" s="1539"/>
      <c r="BV2017" s="1539"/>
      <c r="BW2017" s="1539"/>
      <c r="BX2017" s="1539"/>
      <c r="BY2017" s="1539"/>
      <c r="BZ2017" s="1539"/>
      <c r="CA2017" s="1539"/>
      <c r="CB2017" s="1539"/>
      <c r="CC2017" s="1539"/>
      <c r="CD2017" s="1539"/>
      <c r="CE2017" s="1539"/>
      <c r="CF2017" s="1539"/>
      <c r="CG2017" s="1539"/>
      <c r="CH2017" s="1539"/>
      <c r="CI2017" s="1539"/>
      <c r="CJ2017" s="1539"/>
      <c r="CK2017" s="1539"/>
      <c r="CL2017" s="1539"/>
      <c r="CM2017" s="1539"/>
      <c r="CN2017" s="1539"/>
      <c r="CO2017" s="1539"/>
    </row>
    <row r="2018" spans="1:93" s="1552" customFormat="1" ht="15.5">
      <c r="A2018" s="1598" t="s">
        <v>2916</v>
      </c>
      <c r="B2018" s="1599" t="s">
        <v>1760</v>
      </c>
      <c r="C2018" s="1643" t="e">
        <f>+SUMIF(#REF!,Final!A2018,#REF!)</f>
        <v>#REF!</v>
      </c>
      <c r="D2018" s="1597" t="e">
        <f>+SUMIF(#REF!,Final!A2018,#REF!)</f>
        <v>#REF!</v>
      </c>
      <c r="E2018" s="1643" t="e">
        <f>SUMIF(#REF!,Final!A2018,#REF!)</f>
        <v>#REF!</v>
      </c>
      <c r="F2018" s="1644" t="e">
        <f>SUMIF(#REF!,Final!A2018,#REF!)</f>
        <v>#REF!</v>
      </c>
      <c r="G2018" s="1597" t="e">
        <f t="shared" si="216"/>
        <v>#REF!</v>
      </c>
      <c r="H2018" s="1644" t="e">
        <f t="shared" si="217"/>
        <v>#REF!</v>
      </c>
      <c r="I2018" s="1597" t="e">
        <f t="shared" si="218"/>
        <v>#REF!</v>
      </c>
      <c r="J2018" s="1644" t="e">
        <f t="shared" si="219"/>
        <v>#REF!</v>
      </c>
      <c r="K2018" s="1539"/>
      <c r="L2018" s="1539"/>
      <c r="M2018" s="1545"/>
      <c r="N2018" s="1545"/>
      <c r="O2018" s="1539"/>
      <c r="P2018" s="1539"/>
      <c r="Q2018" s="1539"/>
      <c r="R2018" s="1539"/>
      <c r="S2018" s="1539"/>
      <c r="T2018" s="1539"/>
      <c r="U2018" s="1539"/>
      <c r="V2018" s="1539"/>
      <c r="W2018" s="1539"/>
      <c r="X2018" s="1539"/>
      <c r="Y2018" s="1539"/>
      <c r="Z2018" s="1539"/>
      <c r="AA2018" s="1539"/>
      <c r="AB2018" s="1539"/>
      <c r="AC2018" s="1539"/>
      <c r="AD2018" s="1539"/>
      <c r="AE2018" s="1539"/>
      <c r="AF2018" s="1539"/>
      <c r="AG2018" s="1539"/>
      <c r="AH2018" s="1539"/>
      <c r="AI2018" s="1539"/>
      <c r="AJ2018" s="1539"/>
      <c r="AK2018" s="1539"/>
      <c r="AL2018" s="1539"/>
      <c r="AM2018" s="1539"/>
      <c r="AN2018" s="1539"/>
      <c r="AO2018" s="1539"/>
      <c r="AP2018" s="1539"/>
      <c r="AQ2018" s="1539"/>
      <c r="AR2018" s="1539"/>
      <c r="AS2018" s="1539"/>
      <c r="AT2018" s="1539"/>
      <c r="AU2018" s="1539"/>
      <c r="AV2018" s="1539"/>
      <c r="AW2018" s="1539"/>
      <c r="AX2018" s="1539"/>
      <c r="AY2018" s="1539"/>
      <c r="AZ2018" s="1539"/>
      <c r="BA2018" s="1539"/>
      <c r="BB2018" s="1539"/>
      <c r="BC2018" s="1539"/>
      <c r="BD2018" s="1539"/>
      <c r="BE2018" s="1539"/>
      <c r="BF2018" s="1539"/>
      <c r="BG2018" s="1539"/>
      <c r="BH2018" s="1539"/>
      <c r="BI2018" s="1539"/>
      <c r="BJ2018" s="1539"/>
      <c r="BK2018" s="1539"/>
      <c r="BL2018" s="1539"/>
      <c r="BM2018" s="1539"/>
      <c r="BN2018" s="1539"/>
      <c r="BO2018" s="1539"/>
      <c r="BP2018" s="1539"/>
      <c r="BQ2018" s="1539"/>
      <c r="BR2018" s="1539"/>
      <c r="BS2018" s="1539"/>
      <c r="BT2018" s="1539"/>
      <c r="BU2018" s="1539"/>
      <c r="BV2018" s="1539"/>
      <c r="BW2018" s="1539"/>
      <c r="BX2018" s="1539"/>
      <c r="BY2018" s="1539"/>
      <c r="BZ2018" s="1539"/>
      <c r="CA2018" s="1539"/>
      <c r="CB2018" s="1539"/>
      <c r="CC2018" s="1539"/>
      <c r="CD2018" s="1539"/>
      <c r="CE2018" s="1539"/>
      <c r="CF2018" s="1539"/>
      <c r="CG2018" s="1539"/>
      <c r="CH2018" s="1539"/>
      <c r="CI2018" s="1539"/>
      <c r="CJ2018" s="1539"/>
      <c r="CK2018" s="1539"/>
      <c r="CL2018" s="1539"/>
      <c r="CM2018" s="1539"/>
      <c r="CN2018" s="1539"/>
      <c r="CO2018" s="1539"/>
    </row>
    <row r="2019" spans="1:93" s="1542" customFormat="1" ht="15.5">
      <c r="A2019" s="1598" t="s">
        <v>1827</v>
      </c>
      <c r="B2019" s="1599" t="s">
        <v>1941</v>
      </c>
      <c r="C2019" s="1643" t="e">
        <f>+SUMIF(#REF!,Final!A2019,#REF!)</f>
        <v>#REF!</v>
      </c>
      <c r="D2019" s="1597" t="e">
        <f>+SUMIF(#REF!,Final!A2019,#REF!)</f>
        <v>#REF!</v>
      </c>
      <c r="E2019" s="1643" t="e">
        <f>SUMIF(#REF!,Final!A2019,#REF!)</f>
        <v>#REF!</v>
      </c>
      <c r="F2019" s="1644" t="e">
        <f>SUMIF(#REF!,Final!A2019,#REF!)</f>
        <v>#REF!</v>
      </c>
      <c r="G2019" s="1597" t="e">
        <f t="shared" si="216"/>
        <v>#REF!</v>
      </c>
      <c r="H2019" s="1644" t="e">
        <f t="shared" si="217"/>
        <v>#REF!</v>
      </c>
      <c r="I2019" s="1597" t="e">
        <f t="shared" si="218"/>
        <v>#REF!</v>
      </c>
      <c r="J2019" s="1644" t="e">
        <f t="shared" si="219"/>
        <v>#REF!</v>
      </c>
      <c r="K2019" s="1539"/>
      <c r="L2019" s="1539"/>
      <c r="M2019" s="1545"/>
      <c r="N2019" s="1545"/>
      <c r="O2019" s="1539"/>
      <c r="P2019" s="1539"/>
      <c r="Q2019" s="1539"/>
      <c r="R2019" s="1539"/>
      <c r="S2019" s="1539"/>
      <c r="T2019" s="1539"/>
      <c r="U2019" s="1539"/>
      <c r="V2019" s="1539"/>
      <c r="W2019" s="1539"/>
      <c r="X2019" s="1539"/>
      <c r="Y2019" s="1539"/>
      <c r="Z2019" s="1539"/>
      <c r="AA2019" s="1539"/>
      <c r="AB2019" s="1539"/>
      <c r="AC2019" s="1539"/>
      <c r="AD2019" s="1539"/>
      <c r="AE2019" s="1539"/>
      <c r="AF2019" s="1539"/>
      <c r="AG2019" s="1539"/>
      <c r="AH2019" s="1539"/>
      <c r="AI2019" s="1539"/>
      <c r="AJ2019" s="1539"/>
      <c r="AK2019" s="1539"/>
      <c r="AL2019" s="1539"/>
      <c r="AM2019" s="1539"/>
      <c r="AN2019" s="1539"/>
      <c r="AO2019" s="1539"/>
      <c r="AP2019" s="1539"/>
      <c r="AQ2019" s="1539"/>
      <c r="AR2019" s="1539"/>
      <c r="AS2019" s="1539"/>
      <c r="AT2019" s="1539"/>
      <c r="AU2019" s="1539"/>
      <c r="AV2019" s="1539"/>
      <c r="AW2019" s="1539"/>
      <c r="AX2019" s="1539"/>
      <c r="AY2019" s="1539"/>
      <c r="AZ2019" s="1539"/>
      <c r="BA2019" s="1539"/>
      <c r="BB2019" s="1539"/>
      <c r="BC2019" s="1539"/>
      <c r="BD2019" s="1539"/>
      <c r="BE2019" s="1539"/>
      <c r="BF2019" s="1539"/>
      <c r="BG2019" s="1539"/>
      <c r="BH2019" s="1539"/>
      <c r="BI2019" s="1539"/>
      <c r="BJ2019" s="1539"/>
      <c r="BK2019" s="1539"/>
      <c r="BL2019" s="1539"/>
      <c r="BM2019" s="1539"/>
      <c r="BN2019" s="1539"/>
      <c r="BO2019" s="1539"/>
      <c r="BP2019" s="1539"/>
      <c r="BQ2019" s="1539"/>
      <c r="BR2019" s="1539"/>
      <c r="BS2019" s="1539"/>
      <c r="BT2019" s="1539"/>
      <c r="BU2019" s="1539"/>
      <c r="BV2019" s="1539"/>
      <c r="BW2019" s="1539"/>
      <c r="BX2019" s="1539"/>
      <c r="BY2019" s="1539"/>
      <c r="BZ2019" s="1539"/>
      <c r="CA2019" s="1539"/>
      <c r="CB2019" s="1539"/>
      <c r="CC2019" s="1539"/>
      <c r="CD2019" s="1539"/>
      <c r="CE2019" s="1539"/>
      <c r="CF2019" s="1539"/>
      <c r="CG2019" s="1539"/>
      <c r="CH2019" s="1539"/>
      <c r="CI2019" s="1539"/>
      <c r="CJ2019" s="1539"/>
      <c r="CK2019" s="1539"/>
      <c r="CL2019" s="1539"/>
      <c r="CM2019" s="1539"/>
      <c r="CN2019" s="1539"/>
      <c r="CO2019" s="1539"/>
    </row>
    <row r="2020" spans="1:93" ht="15.5">
      <c r="A2020" s="1598">
        <v>44.401000000000003</v>
      </c>
      <c r="B2020" s="1599" t="s">
        <v>1942</v>
      </c>
      <c r="C2020" s="1643" t="e">
        <f>+SUMIF(#REF!,Final!A2020,#REF!)</f>
        <v>#REF!</v>
      </c>
      <c r="D2020" s="1597" t="e">
        <f>+SUMIF(#REF!,Final!A2020,#REF!)</f>
        <v>#REF!</v>
      </c>
      <c r="E2020" s="1643" t="e">
        <f>SUMIF(#REF!,Final!A2020,#REF!)</f>
        <v>#REF!</v>
      </c>
      <c r="F2020" s="1644" t="e">
        <f>SUMIF(#REF!,Final!A2020,#REF!)</f>
        <v>#REF!</v>
      </c>
      <c r="G2020" s="1597" t="e">
        <f t="shared" si="216"/>
        <v>#REF!</v>
      </c>
      <c r="H2020" s="1644" t="e">
        <f t="shared" si="217"/>
        <v>#REF!</v>
      </c>
      <c r="I2020" s="1597" t="e">
        <f t="shared" si="218"/>
        <v>#REF!</v>
      </c>
      <c r="J2020" s="1644" t="e">
        <f t="shared" si="219"/>
        <v>#REF!</v>
      </c>
      <c r="M2020" s="1545"/>
      <c r="N2020" s="1545"/>
    </row>
    <row r="2021" spans="1:93" ht="15.5">
      <c r="A2021" s="1598">
        <v>44.402000000000001</v>
      </c>
      <c r="B2021" s="1599" t="s">
        <v>1943</v>
      </c>
      <c r="C2021" s="1643" t="e">
        <f>+SUMIF(#REF!,Final!A2021,#REF!)</f>
        <v>#REF!</v>
      </c>
      <c r="D2021" s="1597" t="e">
        <f>+SUMIF(#REF!,Final!A2021,#REF!)</f>
        <v>#REF!</v>
      </c>
      <c r="E2021" s="1643" t="e">
        <f>SUMIF(#REF!,Final!A2021,#REF!)</f>
        <v>#REF!</v>
      </c>
      <c r="F2021" s="1644" t="e">
        <f>SUMIF(#REF!,Final!A2021,#REF!)</f>
        <v>#REF!</v>
      </c>
      <c r="G2021" s="1597" t="e">
        <f t="shared" si="216"/>
        <v>#REF!</v>
      </c>
      <c r="H2021" s="1644" t="e">
        <f t="shared" si="217"/>
        <v>#REF!</v>
      </c>
      <c r="I2021" s="1597" t="e">
        <f t="shared" si="218"/>
        <v>#REF!</v>
      </c>
      <c r="J2021" s="1644" t="e">
        <f t="shared" si="219"/>
        <v>#REF!</v>
      </c>
      <c r="M2021" s="1545"/>
      <c r="N2021" s="1545"/>
    </row>
    <row r="2022" spans="1:93" ht="15.5">
      <c r="A2022" s="1598">
        <v>44.402999999999999</v>
      </c>
      <c r="B2022" s="1599"/>
      <c r="C2022" s="1643" t="e">
        <f>+SUMIF(#REF!,Final!A2022,#REF!)</f>
        <v>#REF!</v>
      </c>
      <c r="D2022" s="1597" t="e">
        <f>+SUMIF(#REF!,Final!A2022,#REF!)</f>
        <v>#REF!</v>
      </c>
      <c r="E2022" s="1643" t="e">
        <f>SUMIF(#REF!,Final!A2022,#REF!)</f>
        <v>#REF!</v>
      </c>
      <c r="F2022" s="1644" t="e">
        <f>SUMIF(#REF!,Final!A2022,#REF!)</f>
        <v>#REF!</v>
      </c>
      <c r="G2022" s="1597" t="e">
        <f t="shared" si="216"/>
        <v>#REF!</v>
      </c>
      <c r="H2022" s="1644" t="e">
        <f t="shared" si="217"/>
        <v>#REF!</v>
      </c>
      <c r="I2022" s="1597" t="e">
        <f t="shared" si="218"/>
        <v>#REF!</v>
      </c>
      <c r="J2022" s="1644" t="e">
        <f t="shared" si="219"/>
        <v>#REF!</v>
      </c>
      <c r="M2022" s="1545"/>
      <c r="N2022" s="1545"/>
    </row>
    <row r="2023" spans="1:93" ht="15.5">
      <c r="A2023" s="1598">
        <v>44.404000000000003</v>
      </c>
      <c r="B2023" s="1599" t="s">
        <v>1944</v>
      </c>
      <c r="C2023" s="1643" t="e">
        <f>+SUMIF(#REF!,Final!A2023,#REF!)</f>
        <v>#REF!</v>
      </c>
      <c r="D2023" s="1597" t="e">
        <f>+SUMIF(#REF!,Final!A2023,#REF!)</f>
        <v>#REF!</v>
      </c>
      <c r="E2023" s="1643" t="e">
        <f>SUMIF(#REF!,Final!A2023,#REF!)</f>
        <v>#REF!</v>
      </c>
      <c r="F2023" s="1644" t="e">
        <f>SUMIF(#REF!,Final!A2023,#REF!)</f>
        <v>#REF!</v>
      </c>
      <c r="G2023" s="1597" t="e">
        <f t="shared" si="216"/>
        <v>#REF!</v>
      </c>
      <c r="H2023" s="1644" t="e">
        <f t="shared" si="217"/>
        <v>#REF!</v>
      </c>
      <c r="I2023" s="1597" t="e">
        <f t="shared" si="218"/>
        <v>#REF!</v>
      </c>
      <c r="J2023" s="1644" t="e">
        <f t="shared" si="219"/>
        <v>#REF!</v>
      </c>
      <c r="M2023" s="1545"/>
      <c r="N2023" s="1545"/>
    </row>
    <row r="2024" spans="1:93" ht="15.5">
      <c r="A2024" s="1598">
        <v>44.405000000000001</v>
      </c>
      <c r="B2024" s="1599" t="s">
        <v>1945</v>
      </c>
      <c r="C2024" s="1643" t="e">
        <f>+SUMIF(#REF!,Final!A2024,#REF!)</f>
        <v>#REF!</v>
      </c>
      <c r="D2024" s="1597" t="e">
        <f>+SUMIF(#REF!,Final!A2024,#REF!)</f>
        <v>#REF!</v>
      </c>
      <c r="E2024" s="1643" t="e">
        <f>SUMIF(#REF!,Final!A2024,#REF!)</f>
        <v>#REF!</v>
      </c>
      <c r="F2024" s="1644" t="e">
        <f>SUMIF(#REF!,Final!A2024,#REF!)</f>
        <v>#REF!</v>
      </c>
      <c r="G2024" s="1597" t="e">
        <f t="shared" si="216"/>
        <v>#REF!</v>
      </c>
      <c r="H2024" s="1644" t="e">
        <f t="shared" si="217"/>
        <v>#REF!</v>
      </c>
      <c r="I2024" s="1597" t="e">
        <f t="shared" si="218"/>
        <v>#REF!</v>
      </c>
      <c r="J2024" s="1644" t="e">
        <f t="shared" si="219"/>
        <v>#REF!</v>
      </c>
      <c r="M2024" s="1545"/>
      <c r="N2024" s="1545"/>
    </row>
    <row r="2025" spans="1:93" ht="15.5">
      <c r="A2025" s="1598">
        <v>44.405999999999999</v>
      </c>
      <c r="B2025" s="1599" t="s">
        <v>1946</v>
      </c>
      <c r="C2025" s="1643" t="e">
        <f>+SUMIF(#REF!,Final!A2025,#REF!)</f>
        <v>#REF!</v>
      </c>
      <c r="D2025" s="1597" t="e">
        <f>+SUMIF(#REF!,Final!A2025,#REF!)</f>
        <v>#REF!</v>
      </c>
      <c r="E2025" s="1643" t="e">
        <f>SUMIF(#REF!,Final!A2025,#REF!)</f>
        <v>#REF!</v>
      </c>
      <c r="F2025" s="1644" t="e">
        <f>SUMIF(#REF!,Final!A2025,#REF!)</f>
        <v>#REF!</v>
      </c>
      <c r="G2025" s="1597" t="e">
        <f t="shared" si="216"/>
        <v>#REF!</v>
      </c>
      <c r="H2025" s="1644" t="e">
        <f t="shared" si="217"/>
        <v>#REF!</v>
      </c>
      <c r="I2025" s="1597" t="e">
        <f t="shared" si="218"/>
        <v>#REF!</v>
      </c>
      <c r="J2025" s="1644" t="e">
        <f t="shared" si="219"/>
        <v>#REF!</v>
      </c>
      <c r="M2025" s="1545"/>
      <c r="N2025" s="1545"/>
    </row>
    <row r="2026" spans="1:93" ht="15.5">
      <c r="A2026" s="1598">
        <v>44.406999999999996</v>
      </c>
      <c r="B2026" s="1599" t="s">
        <v>1947</v>
      </c>
      <c r="C2026" s="1643" t="e">
        <f>+SUMIF(#REF!,Final!A2026,#REF!)</f>
        <v>#REF!</v>
      </c>
      <c r="D2026" s="1597" t="e">
        <f>+SUMIF(#REF!,Final!A2026,#REF!)</f>
        <v>#REF!</v>
      </c>
      <c r="E2026" s="1643" t="e">
        <f>SUMIF(#REF!,Final!A2026,#REF!)</f>
        <v>#REF!</v>
      </c>
      <c r="F2026" s="1644" t="e">
        <f>SUMIF(#REF!,Final!A2026,#REF!)</f>
        <v>#REF!</v>
      </c>
      <c r="G2026" s="1597" t="e">
        <f t="shared" si="216"/>
        <v>#REF!</v>
      </c>
      <c r="H2026" s="1644" t="e">
        <f t="shared" si="217"/>
        <v>#REF!</v>
      </c>
      <c r="I2026" s="1597" t="e">
        <f t="shared" si="218"/>
        <v>#REF!</v>
      </c>
      <c r="J2026" s="1644" t="e">
        <f t="shared" si="219"/>
        <v>#REF!</v>
      </c>
      <c r="M2026" s="1545"/>
      <c r="N2026" s="1545"/>
    </row>
    <row r="2027" spans="1:93" ht="15.5">
      <c r="A2027" s="1598">
        <v>44.408000000000001</v>
      </c>
      <c r="B2027" s="1599" t="s">
        <v>1948</v>
      </c>
      <c r="C2027" s="1643" t="e">
        <f>+SUMIF(#REF!,Final!A2027,#REF!)</f>
        <v>#REF!</v>
      </c>
      <c r="D2027" s="1597" t="e">
        <f>+SUMIF(#REF!,Final!A2027,#REF!)</f>
        <v>#REF!</v>
      </c>
      <c r="E2027" s="1643" t="e">
        <f>SUMIF(#REF!,Final!A2027,#REF!)</f>
        <v>#REF!</v>
      </c>
      <c r="F2027" s="1644" t="e">
        <f>SUMIF(#REF!,Final!A2027,#REF!)</f>
        <v>#REF!</v>
      </c>
      <c r="G2027" s="1597" t="e">
        <f t="shared" si="216"/>
        <v>#REF!</v>
      </c>
      <c r="H2027" s="1644" t="e">
        <f t="shared" si="217"/>
        <v>#REF!</v>
      </c>
      <c r="I2027" s="1597" t="e">
        <f t="shared" si="218"/>
        <v>#REF!</v>
      </c>
      <c r="J2027" s="1644" t="e">
        <f t="shared" si="219"/>
        <v>#REF!</v>
      </c>
      <c r="M2027" s="1545"/>
      <c r="N2027" s="1545"/>
    </row>
    <row r="2028" spans="1:93" ht="15.5">
      <c r="A2028" s="1598">
        <v>44.41</v>
      </c>
      <c r="B2028" s="1599" t="s">
        <v>1949</v>
      </c>
      <c r="C2028" s="1643" t="e">
        <f>+SUMIF(#REF!,Final!A2028,#REF!)</f>
        <v>#REF!</v>
      </c>
      <c r="D2028" s="1597" t="e">
        <f>+SUMIF(#REF!,Final!A2028,#REF!)</f>
        <v>#REF!</v>
      </c>
      <c r="E2028" s="1643" t="e">
        <f>SUMIF(#REF!,Final!A2028,#REF!)</f>
        <v>#REF!</v>
      </c>
      <c r="F2028" s="1644" t="e">
        <f>SUMIF(#REF!,Final!A2028,#REF!)</f>
        <v>#REF!</v>
      </c>
      <c r="G2028" s="1597" t="e">
        <f t="shared" si="216"/>
        <v>#REF!</v>
      </c>
      <c r="H2028" s="1644" t="e">
        <f t="shared" si="217"/>
        <v>#REF!</v>
      </c>
      <c r="I2028" s="1597" t="e">
        <f t="shared" si="218"/>
        <v>#REF!</v>
      </c>
      <c r="J2028" s="1644" t="e">
        <f t="shared" si="219"/>
        <v>#REF!</v>
      </c>
      <c r="M2028" s="1545"/>
      <c r="N2028" s="1545"/>
    </row>
    <row r="2029" spans="1:93" ht="15.5">
      <c r="A2029" s="1598">
        <v>44.414999999999999</v>
      </c>
      <c r="B2029" s="1599"/>
      <c r="C2029" s="1643" t="e">
        <f>+SUMIF(#REF!,Final!A2029,#REF!)</f>
        <v>#REF!</v>
      </c>
      <c r="D2029" s="1597" t="e">
        <f>+SUMIF(#REF!,Final!A2029,#REF!)</f>
        <v>#REF!</v>
      </c>
      <c r="E2029" s="1643" t="e">
        <f>SUMIF(#REF!,Final!A2029,#REF!)</f>
        <v>#REF!</v>
      </c>
      <c r="F2029" s="1644" t="e">
        <f>SUMIF(#REF!,Final!A2029,#REF!)</f>
        <v>#REF!</v>
      </c>
      <c r="G2029" s="1597" t="e">
        <f t="shared" si="216"/>
        <v>#REF!</v>
      </c>
      <c r="H2029" s="1644" t="e">
        <f t="shared" si="217"/>
        <v>#REF!</v>
      </c>
      <c r="I2029" s="1597" t="e">
        <f t="shared" si="218"/>
        <v>#REF!</v>
      </c>
      <c r="J2029" s="1644" t="e">
        <f t="shared" si="219"/>
        <v>#REF!</v>
      </c>
      <c r="M2029" s="1545"/>
      <c r="N2029" s="1545"/>
    </row>
    <row r="2030" spans="1:93" ht="15.5">
      <c r="A2030" s="1598">
        <v>44.423000000000002</v>
      </c>
      <c r="B2030" s="1599" t="s">
        <v>1950</v>
      </c>
      <c r="C2030" s="1643" t="e">
        <f>+SUMIF(#REF!,Final!A2030,#REF!)</f>
        <v>#REF!</v>
      </c>
      <c r="D2030" s="1597" t="e">
        <f>+SUMIF(#REF!,Final!A2030,#REF!)</f>
        <v>#REF!</v>
      </c>
      <c r="E2030" s="1643" t="e">
        <f>SUMIF(#REF!,Final!A2030,#REF!)</f>
        <v>#REF!</v>
      </c>
      <c r="F2030" s="1644" t="e">
        <f>SUMIF(#REF!,Final!A2030,#REF!)</f>
        <v>#REF!</v>
      </c>
      <c r="G2030" s="1597" t="e">
        <f t="shared" si="216"/>
        <v>#REF!</v>
      </c>
      <c r="H2030" s="1644" t="e">
        <f t="shared" si="217"/>
        <v>#REF!</v>
      </c>
      <c r="I2030" s="1597" t="e">
        <f t="shared" si="218"/>
        <v>#REF!</v>
      </c>
      <c r="J2030" s="1644" t="e">
        <f t="shared" si="219"/>
        <v>#REF!</v>
      </c>
      <c r="M2030" s="1545"/>
      <c r="N2030" s="1545"/>
    </row>
    <row r="2031" spans="1:93" s="1542" customFormat="1" ht="15.5">
      <c r="A2031" s="1598">
        <v>44.430999999999997</v>
      </c>
      <c r="B2031" s="1599" t="s">
        <v>1951</v>
      </c>
      <c r="C2031" s="1643" t="e">
        <f>+SUMIF(#REF!,Final!A2031,#REF!)</f>
        <v>#REF!</v>
      </c>
      <c r="D2031" s="1597" t="e">
        <f>+SUMIF(#REF!,Final!A2031,#REF!)</f>
        <v>#REF!</v>
      </c>
      <c r="E2031" s="1643" t="e">
        <f>SUMIF(#REF!,Final!A2031,#REF!)</f>
        <v>#REF!</v>
      </c>
      <c r="F2031" s="1644" t="e">
        <f>SUMIF(#REF!,Final!A2031,#REF!)</f>
        <v>#REF!</v>
      </c>
      <c r="G2031" s="1597" t="e">
        <f t="shared" si="216"/>
        <v>#REF!</v>
      </c>
      <c r="H2031" s="1644" t="e">
        <f t="shared" si="217"/>
        <v>#REF!</v>
      </c>
      <c r="I2031" s="1597" t="e">
        <f t="shared" si="218"/>
        <v>#REF!</v>
      </c>
      <c r="J2031" s="1644" t="e">
        <f t="shared" si="219"/>
        <v>#REF!</v>
      </c>
      <c r="K2031" s="1539"/>
      <c r="L2031" s="1539"/>
      <c r="M2031" s="1545"/>
      <c r="N2031" s="1545"/>
      <c r="O2031" s="1539"/>
      <c r="P2031" s="1539"/>
      <c r="Q2031" s="1539"/>
      <c r="R2031" s="1539"/>
      <c r="S2031" s="1539"/>
      <c r="T2031" s="1539"/>
      <c r="U2031" s="1539"/>
      <c r="V2031" s="1539"/>
      <c r="W2031" s="1539"/>
      <c r="X2031" s="1539"/>
      <c r="Y2031" s="1539"/>
      <c r="Z2031" s="1539"/>
      <c r="AA2031" s="1539"/>
      <c r="AB2031" s="1539"/>
      <c r="AC2031" s="1539"/>
      <c r="AD2031" s="1539"/>
      <c r="AE2031" s="1539"/>
      <c r="AF2031" s="1539"/>
      <c r="AG2031" s="1539"/>
      <c r="AH2031" s="1539"/>
      <c r="AI2031" s="1539"/>
      <c r="AJ2031" s="1539"/>
      <c r="AK2031" s="1539"/>
      <c r="AL2031" s="1539"/>
      <c r="AM2031" s="1539"/>
      <c r="AN2031" s="1539"/>
      <c r="AO2031" s="1539"/>
      <c r="AP2031" s="1539"/>
      <c r="AQ2031" s="1539"/>
      <c r="AR2031" s="1539"/>
      <c r="AS2031" s="1539"/>
      <c r="AT2031" s="1539"/>
      <c r="AU2031" s="1539"/>
      <c r="AV2031" s="1539"/>
      <c r="AW2031" s="1539"/>
      <c r="AX2031" s="1539"/>
      <c r="AY2031" s="1539"/>
      <c r="AZ2031" s="1539"/>
      <c r="BA2031" s="1539"/>
      <c r="BB2031" s="1539"/>
      <c r="BC2031" s="1539"/>
      <c r="BD2031" s="1539"/>
      <c r="BE2031" s="1539"/>
      <c r="BF2031" s="1539"/>
      <c r="BG2031" s="1539"/>
      <c r="BH2031" s="1539"/>
      <c r="BI2031" s="1539"/>
      <c r="BJ2031" s="1539"/>
      <c r="BK2031" s="1539"/>
      <c r="BL2031" s="1539"/>
      <c r="BM2031" s="1539"/>
      <c r="BN2031" s="1539"/>
      <c r="BO2031" s="1539"/>
      <c r="BP2031" s="1539"/>
      <c r="BQ2031" s="1539"/>
      <c r="BR2031" s="1539"/>
      <c r="BS2031" s="1539"/>
      <c r="BT2031" s="1539"/>
      <c r="BU2031" s="1539"/>
      <c r="BV2031" s="1539"/>
      <c r="BW2031" s="1539"/>
      <c r="BX2031" s="1539"/>
      <c r="BY2031" s="1539"/>
      <c r="BZ2031" s="1539"/>
      <c r="CA2031" s="1539"/>
      <c r="CB2031" s="1539"/>
      <c r="CC2031" s="1539"/>
      <c r="CD2031" s="1539"/>
      <c r="CE2031" s="1539"/>
      <c r="CF2031" s="1539"/>
      <c r="CG2031" s="1539"/>
      <c r="CH2031" s="1539"/>
      <c r="CI2031" s="1539"/>
      <c r="CJ2031" s="1539"/>
      <c r="CK2031" s="1539"/>
      <c r="CL2031" s="1539"/>
      <c r="CM2031" s="1539"/>
      <c r="CN2031" s="1539"/>
      <c r="CO2031" s="1539"/>
    </row>
    <row r="2032" spans="1:93" ht="15.5">
      <c r="A2032" s="1598">
        <v>44.432000000000002</v>
      </c>
      <c r="B2032" s="1599" t="s">
        <v>1952</v>
      </c>
      <c r="C2032" s="1643" t="e">
        <f>+SUMIF(#REF!,Final!A2032,#REF!)</f>
        <v>#REF!</v>
      </c>
      <c r="D2032" s="1597" t="e">
        <f>+SUMIF(#REF!,Final!A2032,#REF!)</f>
        <v>#REF!</v>
      </c>
      <c r="E2032" s="1643" t="e">
        <f>SUMIF(#REF!,Final!A2032,#REF!)</f>
        <v>#REF!</v>
      </c>
      <c r="F2032" s="1644" t="e">
        <f>SUMIF(#REF!,Final!A2032,#REF!)</f>
        <v>#REF!</v>
      </c>
      <c r="G2032" s="1597" t="e">
        <f t="shared" si="216"/>
        <v>#REF!</v>
      </c>
      <c r="H2032" s="1644" t="e">
        <f t="shared" si="217"/>
        <v>#REF!</v>
      </c>
      <c r="I2032" s="1597" t="e">
        <f t="shared" si="218"/>
        <v>#REF!</v>
      </c>
      <c r="J2032" s="1644" t="e">
        <f t="shared" si="219"/>
        <v>#REF!</v>
      </c>
      <c r="M2032" s="1545"/>
      <c r="N2032" s="1545"/>
    </row>
    <row r="2033" spans="1:93" ht="15.5">
      <c r="A2033" s="1598">
        <v>44.433</v>
      </c>
      <c r="B2033" s="1599" t="s">
        <v>1953</v>
      </c>
      <c r="C2033" s="1643" t="e">
        <f>+SUMIF(#REF!,Final!A2033,#REF!)</f>
        <v>#REF!</v>
      </c>
      <c r="D2033" s="1597" t="e">
        <f>+SUMIF(#REF!,Final!A2033,#REF!)</f>
        <v>#REF!</v>
      </c>
      <c r="E2033" s="1643" t="e">
        <f>SUMIF(#REF!,Final!A2033,#REF!)</f>
        <v>#REF!</v>
      </c>
      <c r="F2033" s="1644" t="e">
        <f>SUMIF(#REF!,Final!A2033,#REF!)</f>
        <v>#REF!</v>
      </c>
      <c r="G2033" s="1597" t="e">
        <f t="shared" si="216"/>
        <v>#REF!</v>
      </c>
      <c r="H2033" s="1644" t="e">
        <f t="shared" si="217"/>
        <v>#REF!</v>
      </c>
      <c r="I2033" s="1597" t="e">
        <f t="shared" si="218"/>
        <v>#REF!</v>
      </c>
      <c r="J2033" s="1644" t="e">
        <f t="shared" si="219"/>
        <v>#REF!</v>
      </c>
      <c r="M2033" s="1545"/>
      <c r="N2033" s="1545"/>
    </row>
    <row r="2034" spans="1:93" ht="15.5">
      <c r="A2034" s="1598">
        <v>44.441000000000003</v>
      </c>
      <c r="B2034" s="1599" t="s">
        <v>1954</v>
      </c>
      <c r="C2034" s="1643" t="e">
        <f>+SUMIF(#REF!,Final!A2034,#REF!)</f>
        <v>#REF!</v>
      </c>
      <c r="D2034" s="1597" t="e">
        <f>+SUMIF(#REF!,Final!A2034,#REF!)</f>
        <v>#REF!</v>
      </c>
      <c r="E2034" s="1643" t="e">
        <f>SUMIF(#REF!,Final!A2034,#REF!)</f>
        <v>#REF!</v>
      </c>
      <c r="F2034" s="1644" t="e">
        <f>SUMIF(#REF!,Final!A2034,#REF!)</f>
        <v>#REF!</v>
      </c>
      <c r="G2034" s="1597" t="e">
        <f t="shared" si="216"/>
        <v>#REF!</v>
      </c>
      <c r="H2034" s="1644" t="e">
        <f t="shared" si="217"/>
        <v>#REF!</v>
      </c>
      <c r="I2034" s="1597" t="e">
        <f t="shared" si="218"/>
        <v>#REF!</v>
      </c>
      <c r="J2034" s="1644" t="e">
        <f t="shared" si="219"/>
        <v>#REF!</v>
      </c>
      <c r="M2034" s="1545"/>
      <c r="N2034" s="1545"/>
    </row>
    <row r="2035" spans="1:93" ht="15.5">
      <c r="A2035" s="1598">
        <v>44.442</v>
      </c>
      <c r="B2035" s="1599" t="s">
        <v>1955</v>
      </c>
      <c r="C2035" s="1643" t="e">
        <f>+SUMIF(#REF!,Final!A2035,#REF!)</f>
        <v>#REF!</v>
      </c>
      <c r="D2035" s="1597" t="e">
        <f>+SUMIF(#REF!,Final!A2035,#REF!)</f>
        <v>#REF!</v>
      </c>
      <c r="E2035" s="1643" t="e">
        <f>SUMIF(#REF!,Final!A2035,#REF!)</f>
        <v>#REF!</v>
      </c>
      <c r="F2035" s="1644" t="e">
        <f>SUMIF(#REF!,Final!A2035,#REF!)</f>
        <v>#REF!</v>
      </c>
      <c r="G2035" s="1597" t="e">
        <f t="shared" si="216"/>
        <v>#REF!</v>
      </c>
      <c r="H2035" s="1644" t="e">
        <f t="shared" si="217"/>
        <v>#REF!</v>
      </c>
      <c r="I2035" s="1597" t="e">
        <f t="shared" si="218"/>
        <v>#REF!</v>
      </c>
      <c r="J2035" s="1644" t="e">
        <f t="shared" si="219"/>
        <v>#REF!</v>
      </c>
      <c r="M2035" s="1545"/>
      <c r="N2035" s="1545"/>
    </row>
    <row r="2036" spans="1:93" ht="15.5">
      <c r="A2036" s="1598">
        <v>44.442999999999998</v>
      </c>
      <c r="B2036" s="1599" t="s">
        <v>1956</v>
      </c>
      <c r="C2036" s="1643" t="e">
        <f>+SUMIF(#REF!,Final!A2036,#REF!)</f>
        <v>#REF!</v>
      </c>
      <c r="D2036" s="1597" t="e">
        <f>+SUMIF(#REF!,Final!A2036,#REF!)</f>
        <v>#REF!</v>
      </c>
      <c r="E2036" s="1643" t="e">
        <f>SUMIF(#REF!,Final!A2036,#REF!)</f>
        <v>#REF!</v>
      </c>
      <c r="F2036" s="1644" t="e">
        <f>SUMIF(#REF!,Final!A2036,#REF!)</f>
        <v>#REF!</v>
      </c>
      <c r="G2036" s="1597" t="e">
        <f t="shared" si="216"/>
        <v>#REF!</v>
      </c>
      <c r="H2036" s="1644" t="e">
        <f t="shared" si="217"/>
        <v>#REF!</v>
      </c>
      <c r="I2036" s="1597" t="e">
        <f t="shared" si="218"/>
        <v>#REF!</v>
      </c>
      <c r="J2036" s="1644" t="e">
        <f t="shared" si="219"/>
        <v>#REF!</v>
      </c>
      <c r="M2036" s="1545"/>
      <c r="N2036" s="1545"/>
    </row>
    <row r="2037" spans="1:93" ht="15.5">
      <c r="A2037" s="1598">
        <v>44.445</v>
      </c>
      <c r="B2037" s="1599" t="s">
        <v>1957</v>
      </c>
      <c r="C2037" s="1643" t="e">
        <f>+SUMIF(#REF!,Final!A2037,#REF!)</f>
        <v>#REF!</v>
      </c>
      <c r="D2037" s="1597" t="e">
        <f>+SUMIF(#REF!,Final!A2037,#REF!)</f>
        <v>#REF!</v>
      </c>
      <c r="E2037" s="1643" t="e">
        <f>SUMIF(#REF!,Final!A2037,#REF!)</f>
        <v>#REF!</v>
      </c>
      <c r="F2037" s="1644" t="e">
        <f>SUMIF(#REF!,Final!A2037,#REF!)</f>
        <v>#REF!</v>
      </c>
      <c r="G2037" s="1597" t="e">
        <f t="shared" si="216"/>
        <v>#REF!</v>
      </c>
      <c r="H2037" s="1644" t="e">
        <f t="shared" si="217"/>
        <v>#REF!</v>
      </c>
      <c r="I2037" s="1597" t="e">
        <f t="shared" si="218"/>
        <v>#REF!</v>
      </c>
      <c r="J2037" s="1644" t="e">
        <f t="shared" si="219"/>
        <v>#REF!</v>
      </c>
      <c r="M2037" s="1545"/>
      <c r="N2037" s="1545"/>
    </row>
    <row r="2038" spans="1:93" ht="15.5">
      <c r="A2038" s="1598">
        <v>44.445999999999998</v>
      </c>
      <c r="B2038" s="1599" t="s">
        <v>1958</v>
      </c>
      <c r="C2038" s="1643" t="e">
        <f>+SUMIF(#REF!,Final!A2038,#REF!)</f>
        <v>#REF!</v>
      </c>
      <c r="D2038" s="1597" t="e">
        <f>+SUMIF(#REF!,Final!A2038,#REF!)</f>
        <v>#REF!</v>
      </c>
      <c r="E2038" s="1643" t="e">
        <f>SUMIF(#REF!,Final!A2038,#REF!)</f>
        <v>#REF!</v>
      </c>
      <c r="F2038" s="1644" t="e">
        <f>SUMIF(#REF!,Final!A2038,#REF!)</f>
        <v>#REF!</v>
      </c>
      <c r="G2038" s="1597" t="e">
        <f t="shared" si="216"/>
        <v>#REF!</v>
      </c>
      <c r="H2038" s="1644" t="e">
        <f t="shared" si="217"/>
        <v>#REF!</v>
      </c>
      <c r="I2038" s="1597" t="e">
        <f t="shared" si="218"/>
        <v>#REF!</v>
      </c>
      <c r="J2038" s="1644" t="e">
        <f t="shared" si="219"/>
        <v>#REF!</v>
      </c>
      <c r="M2038" s="1545"/>
      <c r="N2038" s="1545"/>
    </row>
    <row r="2039" spans="1:93" ht="15.5">
      <c r="A2039" s="1598">
        <v>44.447000000000003</v>
      </c>
      <c r="B2039" s="1599" t="s">
        <v>1959</v>
      </c>
      <c r="C2039" s="1643" t="e">
        <f>+SUMIF(#REF!,Final!A2039,#REF!)</f>
        <v>#REF!</v>
      </c>
      <c r="D2039" s="1597" t="e">
        <f>+SUMIF(#REF!,Final!A2039,#REF!)</f>
        <v>#REF!</v>
      </c>
      <c r="E2039" s="1643" t="e">
        <f>SUMIF(#REF!,Final!A2039,#REF!)</f>
        <v>#REF!</v>
      </c>
      <c r="F2039" s="1644" t="e">
        <f>SUMIF(#REF!,Final!A2039,#REF!)</f>
        <v>#REF!</v>
      </c>
      <c r="G2039" s="1597" t="e">
        <f t="shared" si="216"/>
        <v>#REF!</v>
      </c>
      <c r="H2039" s="1644" t="e">
        <f t="shared" si="217"/>
        <v>#REF!</v>
      </c>
      <c r="I2039" s="1597" t="e">
        <f t="shared" si="218"/>
        <v>#REF!</v>
      </c>
      <c r="J2039" s="1644" t="e">
        <f t="shared" si="219"/>
        <v>#REF!</v>
      </c>
      <c r="M2039" s="1545"/>
      <c r="N2039" s="1545"/>
    </row>
    <row r="2040" spans="1:93" ht="15.5">
      <c r="A2040" s="1598">
        <v>44.448</v>
      </c>
      <c r="B2040" s="1599" t="s">
        <v>1960</v>
      </c>
      <c r="C2040" s="1643" t="e">
        <f>+SUMIF(#REF!,Final!A2040,#REF!)</f>
        <v>#REF!</v>
      </c>
      <c r="D2040" s="1597" t="e">
        <f>+SUMIF(#REF!,Final!A2040,#REF!)</f>
        <v>#REF!</v>
      </c>
      <c r="E2040" s="1643" t="e">
        <f>SUMIF(#REF!,Final!A2040,#REF!)</f>
        <v>#REF!</v>
      </c>
      <c r="F2040" s="1644" t="e">
        <f>SUMIF(#REF!,Final!A2040,#REF!)</f>
        <v>#REF!</v>
      </c>
      <c r="G2040" s="1597" t="e">
        <f t="shared" si="216"/>
        <v>#REF!</v>
      </c>
      <c r="H2040" s="1644" t="e">
        <f t="shared" si="217"/>
        <v>#REF!</v>
      </c>
      <c r="I2040" s="1597" t="e">
        <f t="shared" si="218"/>
        <v>#REF!</v>
      </c>
      <c r="J2040" s="1644" t="e">
        <f t="shared" si="219"/>
        <v>#REF!</v>
      </c>
      <c r="M2040" s="1545"/>
      <c r="N2040" s="1545"/>
    </row>
    <row r="2041" spans="1:93" ht="15.5">
      <c r="A2041" s="1598">
        <v>44.451000000000001</v>
      </c>
      <c r="B2041" s="1599"/>
      <c r="C2041" s="1643" t="e">
        <f>+SUMIF(#REF!,Final!A2041,#REF!)</f>
        <v>#REF!</v>
      </c>
      <c r="D2041" s="1597" t="e">
        <f>+SUMIF(#REF!,Final!A2041,#REF!)</f>
        <v>#REF!</v>
      </c>
      <c r="E2041" s="1643" t="e">
        <f>SUMIF(#REF!,Final!A2041,#REF!)</f>
        <v>#REF!</v>
      </c>
      <c r="F2041" s="1644" t="e">
        <f>SUMIF(#REF!,Final!A2041,#REF!)</f>
        <v>#REF!</v>
      </c>
      <c r="G2041" s="1597" t="e">
        <f t="shared" si="216"/>
        <v>#REF!</v>
      </c>
      <c r="H2041" s="1644" t="e">
        <f t="shared" si="217"/>
        <v>#REF!</v>
      </c>
      <c r="I2041" s="1597" t="e">
        <f t="shared" si="218"/>
        <v>#REF!</v>
      </c>
      <c r="J2041" s="1644" t="e">
        <f t="shared" si="219"/>
        <v>#REF!</v>
      </c>
      <c r="M2041" s="1545"/>
      <c r="N2041" s="1545"/>
    </row>
    <row r="2042" spans="1:93" ht="15.5">
      <c r="A2042" s="1598">
        <v>44.46</v>
      </c>
      <c r="B2042" s="1599" t="s">
        <v>1961</v>
      </c>
      <c r="C2042" s="1643" t="e">
        <f>+SUMIF(#REF!,Final!A2042,#REF!)</f>
        <v>#REF!</v>
      </c>
      <c r="D2042" s="1597" t="e">
        <f>+SUMIF(#REF!,Final!A2042,#REF!)</f>
        <v>#REF!</v>
      </c>
      <c r="E2042" s="1643" t="e">
        <f>SUMIF(#REF!,Final!A2042,#REF!)</f>
        <v>#REF!</v>
      </c>
      <c r="F2042" s="1644" t="e">
        <f>SUMIF(#REF!,Final!A2042,#REF!)</f>
        <v>#REF!</v>
      </c>
      <c r="G2042" s="1597" t="e">
        <f t="shared" si="216"/>
        <v>#REF!</v>
      </c>
      <c r="H2042" s="1644" t="e">
        <f t="shared" si="217"/>
        <v>#REF!</v>
      </c>
      <c r="I2042" s="1597" t="e">
        <f t="shared" si="218"/>
        <v>#REF!</v>
      </c>
      <c r="J2042" s="1644" t="e">
        <f t="shared" si="219"/>
        <v>#REF!</v>
      </c>
      <c r="M2042" s="1545"/>
      <c r="N2042" s="1545"/>
    </row>
    <row r="2043" spans="1:93" ht="15.5">
      <c r="A2043" s="1598">
        <v>44.460999999999999</v>
      </c>
      <c r="B2043" s="1599" t="s">
        <v>1962</v>
      </c>
      <c r="C2043" s="1643" t="e">
        <f>+SUMIF(#REF!,Final!A2043,#REF!)</f>
        <v>#REF!</v>
      </c>
      <c r="D2043" s="1597" t="e">
        <f>+SUMIF(#REF!,Final!A2043,#REF!)</f>
        <v>#REF!</v>
      </c>
      <c r="E2043" s="1643" t="e">
        <f>SUMIF(#REF!,Final!A2043,#REF!)</f>
        <v>#REF!</v>
      </c>
      <c r="F2043" s="1644" t="e">
        <f>SUMIF(#REF!,Final!A2043,#REF!)</f>
        <v>#REF!</v>
      </c>
      <c r="G2043" s="1597" t="e">
        <f t="shared" ref="G2043:G2107" si="220">C2043+E2043</f>
        <v>#REF!</v>
      </c>
      <c r="H2043" s="1644" t="e">
        <f t="shared" ref="H2043:H2107" si="221">D2043+F2043</f>
        <v>#REF!</v>
      </c>
      <c r="I2043" s="1597" t="e">
        <f t="shared" ref="I2043:I2107" si="222">IF(G2043&gt;H2043,G2043-H2043,0)</f>
        <v>#REF!</v>
      </c>
      <c r="J2043" s="1644" t="e">
        <f t="shared" ref="J2043:J2107" si="223">IF(H2043&gt;G2043,H2043-G2043,0)</f>
        <v>#REF!</v>
      </c>
      <c r="M2043" s="1545"/>
      <c r="N2043" s="1545"/>
    </row>
    <row r="2044" spans="1:93" ht="15.5">
      <c r="A2044" s="1598">
        <v>44.463999999999999</v>
      </c>
      <c r="B2044" s="1599"/>
      <c r="C2044" s="1643" t="e">
        <f>+SUMIF(#REF!,Final!A2044,#REF!)</f>
        <v>#REF!</v>
      </c>
      <c r="D2044" s="1597" t="e">
        <f>+SUMIF(#REF!,Final!A2044,#REF!)</f>
        <v>#REF!</v>
      </c>
      <c r="E2044" s="1643" t="e">
        <f>SUMIF(#REF!,Final!A2044,#REF!)</f>
        <v>#REF!</v>
      </c>
      <c r="F2044" s="1644" t="e">
        <f>SUMIF(#REF!,Final!A2044,#REF!)</f>
        <v>#REF!</v>
      </c>
      <c r="G2044" s="1597" t="e">
        <f t="shared" si="220"/>
        <v>#REF!</v>
      </c>
      <c r="H2044" s="1644" t="e">
        <f t="shared" si="221"/>
        <v>#REF!</v>
      </c>
      <c r="I2044" s="1597" t="e">
        <f t="shared" si="222"/>
        <v>#REF!</v>
      </c>
      <c r="J2044" s="1644" t="e">
        <f t="shared" si="223"/>
        <v>#REF!</v>
      </c>
      <c r="M2044" s="1545"/>
      <c r="N2044" s="1545"/>
    </row>
    <row r="2045" spans="1:93" ht="15.5">
      <c r="A2045" s="1598">
        <v>44.465000000000003</v>
      </c>
      <c r="B2045" s="1599" t="s">
        <v>1963</v>
      </c>
      <c r="C2045" s="1643" t="e">
        <f>+SUMIF(#REF!,Final!A2045,#REF!)</f>
        <v>#REF!</v>
      </c>
      <c r="D2045" s="1597" t="e">
        <f>+SUMIF(#REF!,Final!A2045,#REF!)</f>
        <v>#REF!</v>
      </c>
      <c r="E2045" s="1643" t="e">
        <f>SUMIF(#REF!,Final!A2045,#REF!)</f>
        <v>#REF!</v>
      </c>
      <c r="F2045" s="1644" t="e">
        <f>SUMIF(#REF!,Final!A2045,#REF!)</f>
        <v>#REF!</v>
      </c>
      <c r="G2045" s="1597" t="e">
        <f t="shared" si="220"/>
        <v>#REF!</v>
      </c>
      <c r="H2045" s="1644" t="e">
        <f t="shared" si="221"/>
        <v>#REF!</v>
      </c>
      <c r="I2045" s="1597" t="e">
        <f t="shared" si="222"/>
        <v>#REF!</v>
      </c>
      <c r="J2045" s="1644" t="e">
        <f t="shared" si="223"/>
        <v>#REF!</v>
      </c>
      <c r="M2045" s="1545"/>
      <c r="N2045" s="1545"/>
    </row>
    <row r="2046" spans="1:93" ht="15.5">
      <c r="A2046" s="1598">
        <v>44.466000000000001</v>
      </c>
      <c r="B2046" s="1599"/>
      <c r="C2046" s="1643" t="e">
        <f>+SUMIF(#REF!,Final!A2046,#REF!)</f>
        <v>#REF!</v>
      </c>
      <c r="D2046" s="1597" t="e">
        <f>+SUMIF(#REF!,Final!A2046,#REF!)</f>
        <v>#REF!</v>
      </c>
      <c r="E2046" s="1643" t="e">
        <f>SUMIF(#REF!,Final!A2046,#REF!)</f>
        <v>#REF!</v>
      </c>
      <c r="F2046" s="1644" t="e">
        <f>SUMIF(#REF!,Final!A2046,#REF!)</f>
        <v>#REF!</v>
      </c>
      <c r="G2046" s="1597" t="e">
        <f t="shared" si="220"/>
        <v>#REF!</v>
      </c>
      <c r="H2046" s="1644" t="e">
        <f t="shared" si="221"/>
        <v>#REF!</v>
      </c>
      <c r="I2046" s="1597" t="e">
        <f t="shared" si="222"/>
        <v>#REF!</v>
      </c>
      <c r="J2046" s="1644" t="e">
        <f t="shared" si="223"/>
        <v>#REF!</v>
      </c>
      <c r="M2046" s="1545"/>
      <c r="N2046" s="1545"/>
    </row>
    <row r="2047" spans="1:93" s="1542" customFormat="1" ht="15.5">
      <c r="A2047" s="1598">
        <v>44.470999999999997</v>
      </c>
      <c r="B2047" s="1599" t="s">
        <v>1964</v>
      </c>
      <c r="C2047" s="1643" t="e">
        <f>+SUMIF(#REF!,Final!A2047,#REF!)</f>
        <v>#REF!</v>
      </c>
      <c r="D2047" s="1597" t="e">
        <f>+SUMIF(#REF!,Final!A2047,#REF!)</f>
        <v>#REF!</v>
      </c>
      <c r="E2047" s="1643" t="e">
        <f>SUMIF(#REF!,Final!A2047,#REF!)</f>
        <v>#REF!</v>
      </c>
      <c r="F2047" s="1644" t="e">
        <f>SUMIF(#REF!,Final!A2047,#REF!)</f>
        <v>#REF!</v>
      </c>
      <c r="G2047" s="1597" t="e">
        <f t="shared" si="220"/>
        <v>#REF!</v>
      </c>
      <c r="H2047" s="1644" t="e">
        <f t="shared" si="221"/>
        <v>#REF!</v>
      </c>
      <c r="I2047" s="1597" t="e">
        <f t="shared" si="222"/>
        <v>#REF!</v>
      </c>
      <c r="J2047" s="1644" t="e">
        <f t="shared" si="223"/>
        <v>#REF!</v>
      </c>
      <c r="K2047" s="1539"/>
      <c r="L2047" s="1539"/>
      <c r="M2047" s="1545"/>
      <c r="N2047" s="1545"/>
      <c r="O2047" s="1539"/>
      <c r="P2047" s="1539"/>
      <c r="Q2047" s="1539"/>
      <c r="R2047" s="1539"/>
      <c r="S2047" s="1539"/>
      <c r="T2047" s="1539"/>
      <c r="U2047" s="1539"/>
      <c r="V2047" s="1539"/>
      <c r="W2047" s="1539"/>
      <c r="X2047" s="1539"/>
      <c r="Y2047" s="1539"/>
      <c r="Z2047" s="1539"/>
      <c r="AA2047" s="1539"/>
      <c r="AB2047" s="1539"/>
      <c r="AC2047" s="1539"/>
      <c r="AD2047" s="1539"/>
      <c r="AE2047" s="1539"/>
      <c r="AF2047" s="1539"/>
      <c r="AG2047" s="1539"/>
      <c r="AH2047" s="1539"/>
      <c r="AI2047" s="1539"/>
      <c r="AJ2047" s="1539"/>
      <c r="AK2047" s="1539"/>
      <c r="AL2047" s="1539"/>
      <c r="AM2047" s="1539"/>
      <c r="AN2047" s="1539"/>
      <c r="AO2047" s="1539"/>
      <c r="AP2047" s="1539"/>
      <c r="AQ2047" s="1539"/>
      <c r="AR2047" s="1539"/>
      <c r="AS2047" s="1539"/>
      <c r="AT2047" s="1539"/>
      <c r="AU2047" s="1539"/>
      <c r="AV2047" s="1539"/>
      <c r="AW2047" s="1539"/>
      <c r="AX2047" s="1539"/>
      <c r="AY2047" s="1539"/>
      <c r="AZ2047" s="1539"/>
      <c r="BA2047" s="1539"/>
      <c r="BB2047" s="1539"/>
      <c r="BC2047" s="1539"/>
      <c r="BD2047" s="1539"/>
      <c r="BE2047" s="1539"/>
      <c r="BF2047" s="1539"/>
      <c r="BG2047" s="1539"/>
      <c r="BH2047" s="1539"/>
      <c r="BI2047" s="1539"/>
      <c r="BJ2047" s="1539"/>
      <c r="BK2047" s="1539"/>
      <c r="BL2047" s="1539"/>
      <c r="BM2047" s="1539"/>
      <c r="BN2047" s="1539"/>
      <c r="BO2047" s="1539"/>
      <c r="BP2047" s="1539"/>
      <c r="BQ2047" s="1539"/>
      <c r="BR2047" s="1539"/>
      <c r="BS2047" s="1539"/>
      <c r="BT2047" s="1539"/>
      <c r="BU2047" s="1539"/>
      <c r="BV2047" s="1539"/>
      <c r="BW2047" s="1539"/>
      <c r="BX2047" s="1539"/>
      <c r="BY2047" s="1539"/>
      <c r="BZ2047" s="1539"/>
      <c r="CA2047" s="1539"/>
      <c r="CB2047" s="1539"/>
      <c r="CC2047" s="1539"/>
      <c r="CD2047" s="1539"/>
      <c r="CE2047" s="1539"/>
      <c r="CF2047" s="1539"/>
      <c r="CG2047" s="1539"/>
      <c r="CH2047" s="1539"/>
      <c r="CI2047" s="1539"/>
      <c r="CJ2047" s="1539"/>
      <c r="CK2047" s="1539"/>
      <c r="CL2047" s="1539"/>
      <c r="CM2047" s="1539"/>
      <c r="CN2047" s="1539"/>
      <c r="CO2047" s="1539"/>
    </row>
    <row r="2048" spans="1:93" s="1542" customFormat="1" ht="15.5">
      <c r="A2048" s="1598">
        <v>44.469000000000001</v>
      </c>
      <c r="B2048" s="1599" t="s">
        <v>4780</v>
      </c>
      <c r="C2048" s="1643" t="e">
        <f>+SUMIF(#REF!,Final!A2048,#REF!)</f>
        <v>#REF!</v>
      </c>
      <c r="D2048" s="1597" t="e">
        <f>+SUMIF(#REF!,Final!A2048,#REF!)</f>
        <v>#REF!</v>
      </c>
      <c r="E2048" s="1643" t="e">
        <f>SUMIF(#REF!,Final!A2048,#REF!)</f>
        <v>#REF!</v>
      </c>
      <c r="F2048" s="1644" t="e">
        <f>SUMIF(#REF!,Final!A2048,#REF!)</f>
        <v>#REF!</v>
      </c>
      <c r="G2048" s="1597" t="e">
        <f t="shared" si="220"/>
        <v>#REF!</v>
      </c>
      <c r="H2048" s="1644" t="e">
        <f t="shared" si="221"/>
        <v>#REF!</v>
      </c>
      <c r="I2048" s="1597" t="e">
        <f t="shared" si="222"/>
        <v>#REF!</v>
      </c>
      <c r="J2048" s="1644" t="e">
        <f t="shared" si="223"/>
        <v>#REF!</v>
      </c>
      <c r="K2048" s="1539"/>
      <c r="L2048" s="1539"/>
      <c r="M2048" s="1545"/>
      <c r="N2048" s="1545"/>
      <c r="O2048" s="1539"/>
      <c r="P2048" s="1539"/>
      <c r="Q2048" s="1539"/>
      <c r="R2048" s="1539"/>
      <c r="S2048" s="1539"/>
      <c r="T2048" s="1539"/>
      <c r="U2048" s="1539"/>
      <c r="V2048" s="1539"/>
      <c r="W2048" s="1539"/>
      <c r="X2048" s="1539"/>
      <c r="Y2048" s="1539"/>
      <c r="Z2048" s="1539"/>
      <c r="AA2048" s="1539"/>
      <c r="AB2048" s="1539"/>
      <c r="AC2048" s="1539"/>
      <c r="AD2048" s="1539"/>
      <c r="AE2048" s="1539"/>
      <c r="AF2048" s="1539"/>
      <c r="AG2048" s="1539"/>
      <c r="AH2048" s="1539"/>
      <c r="AI2048" s="1539"/>
      <c r="AJ2048" s="1539"/>
      <c r="AK2048" s="1539"/>
      <c r="AL2048" s="1539"/>
      <c r="AM2048" s="1539"/>
      <c r="AN2048" s="1539"/>
      <c r="AO2048" s="1539"/>
      <c r="AP2048" s="1539"/>
      <c r="AQ2048" s="1539"/>
      <c r="AR2048" s="1539"/>
      <c r="AS2048" s="1539"/>
      <c r="AT2048" s="1539"/>
      <c r="AU2048" s="1539"/>
      <c r="AV2048" s="1539"/>
      <c r="AW2048" s="1539"/>
      <c r="AX2048" s="1539"/>
      <c r="AY2048" s="1539"/>
      <c r="AZ2048" s="1539"/>
      <c r="BA2048" s="1539"/>
      <c r="BB2048" s="1539"/>
      <c r="BC2048" s="1539"/>
      <c r="BD2048" s="1539"/>
      <c r="BE2048" s="1539"/>
      <c r="BF2048" s="1539"/>
      <c r="BG2048" s="1539"/>
      <c r="BH2048" s="1539"/>
      <c r="BI2048" s="1539"/>
      <c r="BJ2048" s="1539"/>
      <c r="BK2048" s="1539"/>
      <c r="BL2048" s="1539"/>
      <c r="BM2048" s="1539"/>
      <c r="BN2048" s="1539"/>
      <c r="BO2048" s="1539"/>
      <c r="BP2048" s="1539"/>
      <c r="BQ2048" s="1539"/>
      <c r="BR2048" s="1539"/>
      <c r="BS2048" s="1539"/>
      <c r="BT2048" s="1539"/>
      <c r="BU2048" s="1539"/>
      <c r="BV2048" s="1539"/>
      <c r="BW2048" s="1539"/>
      <c r="BX2048" s="1539"/>
      <c r="BY2048" s="1539"/>
      <c r="BZ2048" s="1539"/>
      <c r="CA2048" s="1539"/>
      <c r="CB2048" s="1539"/>
      <c r="CC2048" s="1539"/>
      <c r="CD2048" s="1539"/>
      <c r="CE2048" s="1539"/>
      <c r="CF2048" s="1539"/>
      <c r="CG2048" s="1539"/>
      <c r="CH2048" s="1539"/>
      <c r="CI2048" s="1539"/>
      <c r="CJ2048" s="1539"/>
      <c r="CK2048" s="1539"/>
      <c r="CL2048" s="1539"/>
      <c r="CM2048" s="1539"/>
      <c r="CN2048" s="1539"/>
      <c r="CO2048" s="1539"/>
    </row>
    <row r="2049" spans="1:93" ht="15.5">
      <c r="A2049" s="1598">
        <v>44.472000000000001</v>
      </c>
      <c r="B2049" s="1599" t="s">
        <v>1965</v>
      </c>
      <c r="C2049" s="1643" t="e">
        <f>+SUMIF(#REF!,Final!A2049,#REF!)</f>
        <v>#REF!</v>
      </c>
      <c r="D2049" s="1597" t="e">
        <f>+SUMIF(#REF!,Final!A2049,#REF!)</f>
        <v>#REF!</v>
      </c>
      <c r="E2049" s="1643" t="e">
        <f>SUMIF(#REF!,Final!A2049,#REF!)</f>
        <v>#REF!</v>
      </c>
      <c r="F2049" s="1644" t="e">
        <f>SUMIF(#REF!,Final!A2049,#REF!)</f>
        <v>#REF!</v>
      </c>
      <c r="G2049" s="1597" t="e">
        <f t="shared" si="220"/>
        <v>#REF!</v>
      </c>
      <c r="H2049" s="1644" t="e">
        <f t="shared" si="221"/>
        <v>#REF!</v>
      </c>
      <c r="I2049" s="1597" t="e">
        <f t="shared" si="222"/>
        <v>#REF!</v>
      </c>
      <c r="J2049" s="1644" t="e">
        <f t="shared" si="223"/>
        <v>#REF!</v>
      </c>
      <c r="M2049" s="1545"/>
      <c r="N2049" s="1545"/>
    </row>
    <row r="2050" spans="1:93" ht="15.5">
      <c r="A2050" s="1598">
        <v>44.472999999999999</v>
      </c>
      <c r="B2050" s="1599" t="s">
        <v>1966</v>
      </c>
      <c r="C2050" s="1643" t="e">
        <f>+SUMIF(#REF!,Final!A2050,#REF!)</f>
        <v>#REF!</v>
      </c>
      <c r="D2050" s="1597" t="e">
        <f>+SUMIF(#REF!,Final!A2050,#REF!)</f>
        <v>#REF!</v>
      </c>
      <c r="E2050" s="1643" t="e">
        <f>SUMIF(#REF!,Final!A2050,#REF!)</f>
        <v>#REF!</v>
      </c>
      <c r="F2050" s="1644" t="e">
        <f>SUMIF(#REF!,Final!A2050,#REF!)</f>
        <v>#REF!</v>
      </c>
      <c r="G2050" s="1597" t="e">
        <f t="shared" si="220"/>
        <v>#REF!</v>
      </c>
      <c r="H2050" s="1644" t="e">
        <f t="shared" si="221"/>
        <v>#REF!</v>
      </c>
      <c r="I2050" s="1597" t="e">
        <f t="shared" si="222"/>
        <v>#REF!</v>
      </c>
      <c r="J2050" s="1644" t="e">
        <f t="shared" si="223"/>
        <v>#REF!</v>
      </c>
      <c r="M2050" s="1545"/>
      <c r="N2050" s="1545"/>
    </row>
    <row r="2051" spans="1:93" ht="15.5">
      <c r="A2051" s="1598">
        <v>44.473999999999997</v>
      </c>
      <c r="B2051" s="1599" t="s">
        <v>1967</v>
      </c>
      <c r="C2051" s="1643" t="e">
        <f>+SUMIF(#REF!,Final!A2051,#REF!)</f>
        <v>#REF!</v>
      </c>
      <c r="D2051" s="1597" t="e">
        <f>+SUMIF(#REF!,Final!A2051,#REF!)</f>
        <v>#REF!</v>
      </c>
      <c r="E2051" s="1643" t="e">
        <f>SUMIF(#REF!,Final!A2051,#REF!)</f>
        <v>#REF!</v>
      </c>
      <c r="F2051" s="1644" t="e">
        <f>SUMIF(#REF!,Final!A2051,#REF!)</f>
        <v>#REF!</v>
      </c>
      <c r="G2051" s="1597" t="e">
        <f t="shared" si="220"/>
        <v>#REF!</v>
      </c>
      <c r="H2051" s="1644" t="e">
        <f t="shared" si="221"/>
        <v>#REF!</v>
      </c>
      <c r="I2051" s="1597" t="e">
        <f t="shared" si="222"/>
        <v>#REF!</v>
      </c>
      <c r="J2051" s="1644" t="e">
        <f t="shared" si="223"/>
        <v>#REF!</v>
      </c>
      <c r="M2051" s="1545"/>
      <c r="N2051" s="1545"/>
    </row>
    <row r="2052" spans="1:93" ht="15.5">
      <c r="A2052" s="1598">
        <v>44.48</v>
      </c>
      <c r="B2052" s="1599" t="s">
        <v>1968</v>
      </c>
      <c r="C2052" s="1643" t="e">
        <f>+SUMIF(#REF!,Final!A2052,#REF!)</f>
        <v>#REF!</v>
      </c>
      <c r="D2052" s="1597" t="e">
        <f>+SUMIF(#REF!,Final!A2052,#REF!)</f>
        <v>#REF!</v>
      </c>
      <c r="E2052" s="1643" t="e">
        <f>SUMIF(#REF!,Final!A2052,#REF!)</f>
        <v>#REF!</v>
      </c>
      <c r="F2052" s="1644" t="e">
        <f>SUMIF(#REF!,Final!A2052,#REF!)</f>
        <v>#REF!</v>
      </c>
      <c r="G2052" s="1597" t="e">
        <f t="shared" si="220"/>
        <v>#REF!</v>
      </c>
      <c r="H2052" s="1644" t="e">
        <f t="shared" si="221"/>
        <v>#REF!</v>
      </c>
      <c r="I2052" s="1597" t="e">
        <f t="shared" si="222"/>
        <v>#REF!</v>
      </c>
      <c r="J2052" s="1644" t="e">
        <f t="shared" si="223"/>
        <v>#REF!</v>
      </c>
      <c r="M2052" s="1545"/>
      <c r="N2052" s="1545"/>
    </row>
    <row r="2053" spans="1:93" ht="15.5">
      <c r="A2053" s="1598">
        <v>44.484000000000002</v>
      </c>
      <c r="B2053" s="1599" t="s">
        <v>1969</v>
      </c>
      <c r="C2053" s="1643" t="e">
        <f>+SUMIF(#REF!,Final!A2053,#REF!)</f>
        <v>#REF!</v>
      </c>
      <c r="D2053" s="1597" t="e">
        <f>+SUMIF(#REF!,Final!A2053,#REF!)</f>
        <v>#REF!</v>
      </c>
      <c r="E2053" s="1643" t="e">
        <f>SUMIF(#REF!,Final!A2053,#REF!)</f>
        <v>#REF!</v>
      </c>
      <c r="F2053" s="1644" t="e">
        <f>SUMIF(#REF!,Final!A2053,#REF!)</f>
        <v>#REF!</v>
      </c>
      <c r="G2053" s="1597" t="e">
        <f t="shared" si="220"/>
        <v>#REF!</v>
      </c>
      <c r="H2053" s="1644" t="e">
        <f t="shared" si="221"/>
        <v>#REF!</v>
      </c>
      <c r="I2053" s="1597" t="e">
        <f t="shared" si="222"/>
        <v>#REF!</v>
      </c>
      <c r="J2053" s="1644" t="e">
        <f t="shared" si="223"/>
        <v>#REF!</v>
      </c>
      <c r="M2053" s="1545"/>
      <c r="N2053" s="1545"/>
    </row>
    <row r="2054" spans="1:93" ht="15.5">
      <c r="A2054" s="1598">
        <v>44.484999999999999</v>
      </c>
      <c r="B2054" s="1599" t="s">
        <v>1970</v>
      </c>
      <c r="C2054" s="1643" t="e">
        <f>+SUMIF(#REF!,Final!A2054,#REF!)</f>
        <v>#REF!</v>
      </c>
      <c r="D2054" s="1597" t="e">
        <f>+SUMIF(#REF!,Final!A2054,#REF!)</f>
        <v>#REF!</v>
      </c>
      <c r="E2054" s="1643" t="e">
        <f>SUMIF(#REF!,Final!A2054,#REF!)</f>
        <v>#REF!</v>
      </c>
      <c r="F2054" s="1644" t="e">
        <f>SUMIF(#REF!,Final!A2054,#REF!)</f>
        <v>#REF!</v>
      </c>
      <c r="G2054" s="1597" t="e">
        <f t="shared" si="220"/>
        <v>#REF!</v>
      </c>
      <c r="H2054" s="1644" t="e">
        <f t="shared" si="221"/>
        <v>#REF!</v>
      </c>
      <c r="I2054" s="1597" t="e">
        <f t="shared" si="222"/>
        <v>#REF!</v>
      </c>
      <c r="J2054" s="1644" t="e">
        <f t="shared" si="223"/>
        <v>#REF!</v>
      </c>
      <c r="M2054" s="1545"/>
      <c r="N2054" s="1545"/>
    </row>
    <row r="2055" spans="1:93" ht="15.5">
      <c r="A2055" s="1598">
        <v>44.485999999999997</v>
      </c>
      <c r="B2055" s="1599" t="s">
        <v>1971</v>
      </c>
      <c r="C2055" s="1643" t="e">
        <f>+SUMIF(#REF!,Final!A2055,#REF!)</f>
        <v>#REF!</v>
      </c>
      <c r="D2055" s="1597" t="e">
        <f>+SUMIF(#REF!,Final!A2055,#REF!)</f>
        <v>#REF!</v>
      </c>
      <c r="E2055" s="1643" t="e">
        <f>SUMIF(#REF!,Final!A2055,#REF!)</f>
        <v>#REF!</v>
      </c>
      <c r="F2055" s="1644" t="e">
        <f>SUMIF(#REF!,Final!A2055,#REF!)</f>
        <v>#REF!</v>
      </c>
      <c r="G2055" s="1597" t="e">
        <f t="shared" si="220"/>
        <v>#REF!</v>
      </c>
      <c r="H2055" s="1644" t="e">
        <f t="shared" si="221"/>
        <v>#REF!</v>
      </c>
      <c r="I2055" s="1597" t="e">
        <f t="shared" si="222"/>
        <v>#REF!</v>
      </c>
      <c r="J2055" s="1644" t="e">
        <f t="shared" si="223"/>
        <v>#REF!</v>
      </c>
      <c r="M2055" s="1545"/>
      <c r="N2055" s="1545"/>
    </row>
    <row r="2056" spans="1:93" ht="15.5">
      <c r="A2056" s="1598">
        <v>44.487000000000002</v>
      </c>
      <c r="B2056" s="1599" t="s">
        <v>1972</v>
      </c>
      <c r="C2056" s="1643" t="e">
        <f>+SUMIF(#REF!,Final!A2056,#REF!)</f>
        <v>#REF!</v>
      </c>
      <c r="D2056" s="1597" t="e">
        <f>+SUMIF(#REF!,Final!A2056,#REF!)</f>
        <v>#REF!</v>
      </c>
      <c r="E2056" s="1643" t="e">
        <f>SUMIF(#REF!,Final!A2056,#REF!)</f>
        <v>#REF!</v>
      </c>
      <c r="F2056" s="1644" t="e">
        <f>SUMIF(#REF!,Final!A2056,#REF!)</f>
        <v>#REF!</v>
      </c>
      <c r="G2056" s="1597" t="e">
        <f t="shared" si="220"/>
        <v>#REF!</v>
      </c>
      <c r="H2056" s="1644" t="e">
        <f t="shared" si="221"/>
        <v>#REF!</v>
      </c>
      <c r="I2056" s="1597" t="e">
        <f t="shared" si="222"/>
        <v>#REF!</v>
      </c>
      <c r="J2056" s="1644" t="e">
        <f t="shared" si="223"/>
        <v>#REF!</v>
      </c>
      <c r="M2056" s="1545"/>
      <c r="N2056" s="1545"/>
    </row>
    <row r="2057" spans="1:93" ht="15.5">
      <c r="A2057" s="1598">
        <v>44.488999999999997</v>
      </c>
      <c r="B2057" s="1599" t="s">
        <v>1973</v>
      </c>
      <c r="C2057" s="1643" t="e">
        <f>+SUMIF(#REF!,Final!A2057,#REF!)</f>
        <v>#REF!</v>
      </c>
      <c r="D2057" s="1597" t="e">
        <f>+SUMIF(#REF!,Final!A2057,#REF!)</f>
        <v>#REF!</v>
      </c>
      <c r="E2057" s="1643" t="e">
        <f>SUMIF(#REF!,Final!A2057,#REF!)</f>
        <v>#REF!</v>
      </c>
      <c r="F2057" s="1644" t="e">
        <f>SUMIF(#REF!,Final!A2057,#REF!)</f>
        <v>#REF!</v>
      </c>
      <c r="G2057" s="1597" t="e">
        <f t="shared" si="220"/>
        <v>#REF!</v>
      </c>
      <c r="H2057" s="1644" t="e">
        <f t="shared" si="221"/>
        <v>#REF!</v>
      </c>
      <c r="I2057" s="1597" t="e">
        <f t="shared" si="222"/>
        <v>#REF!</v>
      </c>
      <c r="J2057" s="1644" t="e">
        <f t="shared" si="223"/>
        <v>#REF!</v>
      </c>
      <c r="M2057" s="1545"/>
      <c r="N2057" s="1545"/>
    </row>
    <row r="2058" spans="1:93" ht="15.5">
      <c r="A2058" s="1598">
        <v>44.491999999999997</v>
      </c>
      <c r="B2058" s="1599" t="s">
        <v>1974</v>
      </c>
      <c r="C2058" s="1643" t="e">
        <f>+SUMIF(#REF!,Final!A2058,#REF!)</f>
        <v>#REF!</v>
      </c>
      <c r="D2058" s="1597" t="e">
        <f>+SUMIF(#REF!,Final!A2058,#REF!)</f>
        <v>#REF!</v>
      </c>
      <c r="E2058" s="1643" t="e">
        <f>SUMIF(#REF!,Final!A2058,#REF!)</f>
        <v>#REF!</v>
      </c>
      <c r="F2058" s="1644" t="e">
        <f>SUMIF(#REF!,Final!A2058,#REF!)</f>
        <v>#REF!</v>
      </c>
      <c r="G2058" s="1597" t="e">
        <f t="shared" si="220"/>
        <v>#REF!</v>
      </c>
      <c r="H2058" s="1644" t="e">
        <f t="shared" si="221"/>
        <v>#REF!</v>
      </c>
      <c r="I2058" s="1597" t="e">
        <f t="shared" si="222"/>
        <v>#REF!</v>
      </c>
      <c r="J2058" s="1644" t="e">
        <f t="shared" si="223"/>
        <v>#REF!</v>
      </c>
      <c r="M2058" s="1545"/>
      <c r="N2058" s="1545"/>
    </row>
    <row r="2059" spans="1:93" ht="15.5">
      <c r="A2059" s="1598">
        <v>44.494</v>
      </c>
      <c r="B2059" s="1599" t="s">
        <v>1975</v>
      </c>
      <c r="C2059" s="1643" t="e">
        <f>+SUMIF(#REF!,Final!A2059,#REF!)</f>
        <v>#REF!</v>
      </c>
      <c r="D2059" s="1597" t="e">
        <f>+SUMIF(#REF!,Final!A2059,#REF!)</f>
        <v>#REF!</v>
      </c>
      <c r="E2059" s="1643" t="e">
        <f>SUMIF(#REF!,Final!A2059,#REF!)</f>
        <v>#REF!</v>
      </c>
      <c r="F2059" s="1644" t="e">
        <f>SUMIF(#REF!,Final!A2059,#REF!)</f>
        <v>#REF!</v>
      </c>
      <c r="G2059" s="1597" t="e">
        <f t="shared" si="220"/>
        <v>#REF!</v>
      </c>
      <c r="H2059" s="1644" t="e">
        <f t="shared" si="221"/>
        <v>#REF!</v>
      </c>
      <c r="I2059" s="1597" t="e">
        <f t="shared" si="222"/>
        <v>#REF!</v>
      </c>
      <c r="J2059" s="1644" t="e">
        <f t="shared" si="223"/>
        <v>#REF!</v>
      </c>
      <c r="M2059" s="1545"/>
      <c r="N2059" s="1545"/>
    </row>
    <row r="2060" spans="1:93" ht="15.5">
      <c r="A2060" s="1598">
        <v>44.494999999999997</v>
      </c>
      <c r="B2060" s="1599" t="s">
        <v>1976</v>
      </c>
      <c r="C2060" s="1643" t="e">
        <f>+SUMIF(#REF!,Final!A2060,#REF!)</f>
        <v>#REF!</v>
      </c>
      <c r="D2060" s="1597" t="e">
        <f>+SUMIF(#REF!,Final!A2060,#REF!)</f>
        <v>#REF!</v>
      </c>
      <c r="E2060" s="1643" t="e">
        <f>SUMIF(#REF!,Final!A2060,#REF!)</f>
        <v>#REF!</v>
      </c>
      <c r="F2060" s="1644" t="e">
        <f>SUMIF(#REF!,Final!A2060,#REF!)</f>
        <v>#REF!</v>
      </c>
      <c r="G2060" s="1597" t="e">
        <f t="shared" si="220"/>
        <v>#REF!</v>
      </c>
      <c r="H2060" s="1644" t="e">
        <f t="shared" si="221"/>
        <v>#REF!</v>
      </c>
      <c r="I2060" s="1597" t="e">
        <f t="shared" si="222"/>
        <v>#REF!</v>
      </c>
      <c r="J2060" s="1644" t="e">
        <f t="shared" si="223"/>
        <v>#REF!</v>
      </c>
      <c r="M2060" s="1545"/>
      <c r="N2060" s="1545"/>
    </row>
    <row r="2061" spans="1:93" ht="15.5">
      <c r="A2061" s="1598">
        <v>44.496000000000002</v>
      </c>
      <c r="B2061" s="1599" t="s">
        <v>1977</v>
      </c>
      <c r="C2061" s="1643" t="e">
        <f>+SUMIF(#REF!,Final!A2061,#REF!)</f>
        <v>#REF!</v>
      </c>
      <c r="D2061" s="1597" t="e">
        <f>+SUMIF(#REF!,Final!A2061,#REF!)</f>
        <v>#REF!</v>
      </c>
      <c r="E2061" s="1643" t="e">
        <f>SUMIF(#REF!,Final!A2061,#REF!)</f>
        <v>#REF!</v>
      </c>
      <c r="F2061" s="1644" t="e">
        <f>SUMIF(#REF!,Final!A2061,#REF!)</f>
        <v>#REF!</v>
      </c>
      <c r="G2061" s="1597" t="e">
        <f t="shared" si="220"/>
        <v>#REF!</v>
      </c>
      <c r="H2061" s="1644" t="e">
        <f t="shared" si="221"/>
        <v>#REF!</v>
      </c>
      <c r="I2061" s="1597" t="e">
        <f t="shared" si="222"/>
        <v>#REF!</v>
      </c>
      <c r="J2061" s="1644" t="e">
        <f t="shared" si="223"/>
        <v>#REF!</v>
      </c>
      <c r="M2061" s="1545"/>
      <c r="N2061" s="1545"/>
    </row>
    <row r="2062" spans="1:93" ht="15.5">
      <c r="A2062" s="1527">
        <v>44.497</v>
      </c>
      <c r="B2062" s="1810" t="s">
        <v>5419</v>
      </c>
      <c r="C2062" s="1643" t="e">
        <f>+SUMIF(#REF!,Final!A2062,#REF!)</f>
        <v>#REF!</v>
      </c>
      <c r="D2062" s="1597" t="e">
        <f>+SUMIF(#REF!,Final!A2062,#REF!)</f>
        <v>#REF!</v>
      </c>
      <c r="E2062" s="1643" t="e">
        <f>SUMIF(#REF!,Final!A2062,#REF!)</f>
        <v>#REF!</v>
      </c>
      <c r="F2062" s="1644" t="e">
        <f>SUMIF(#REF!,Final!A2062,#REF!)</f>
        <v>#REF!</v>
      </c>
      <c r="G2062" s="1597" t="e">
        <f t="shared" ref="G2062" si="224">C2062+E2062</f>
        <v>#REF!</v>
      </c>
      <c r="H2062" s="1644" t="e">
        <f t="shared" ref="H2062" si="225">D2062+F2062</f>
        <v>#REF!</v>
      </c>
      <c r="I2062" s="1597" t="e">
        <f t="shared" ref="I2062" si="226">IF(G2062&gt;H2062,G2062-H2062,0)</f>
        <v>#REF!</v>
      </c>
      <c r="J2062" s="1644" t="e">
        <f t="shared" ref="J2062" si="227">IF(H2062&gt;G2062,H2062-G2062,0)</f>
        <v>#REF!</v>
      </c>
      <c r="M2062" s="1545"/>
      <c r="N2062" s="1545"/>
    </row>
    <row r="2063" spans="1:93" ht="15.5">
      <c r="A2063" s="1600">
        <v>46.35</v>
      </c>
      <c r="B2063" s="1599" t="s">
        <v>4750</v>
      </c>
      <c r="C2063" s="1643" t="e">
        <f>+SUMIF(#REF!,Final!A2063,#REF!)</f>
        <v>#REF!</v>
      </c>
      <c r="D2063" s="1597" t="e">
        <f>+SUMIF(#REF!,Final!A2063,#REF!)</f>
        <v>#REF!</v>
      </c>
      <c r="E2063" s="1643" t="e">
        <f>SUMIF(#REF!,Final!A2063,#REF!)</f>
        <v>#REF!</v>
      </c>
      <c r="F2063" s="1644" t="e">
        <f>SUMIF(#REF!,Final!A2063,#REF!)</f>
        <v>#REF!</v>
      </c>
      <c r="G2063" s="1597" t="e">
        <f t="shared" si="220"/>
        <v>#REF!</v>
      </c>
      <c r="H2063" s="1644" t="e">
        <f t="shared" si="221"/>
        <v>#REF!</v>
      </c>
      <c r="I2063" s="1597" t="e">
        <f t="shared" si="222"/>
        <v>#REF!</v>
      </c>
      <c r="J2063" s="1644" t="e">
        <f t="shared" si="223"/>
        <v>#REF!</v>
      </c>
      <c r="M2063" s="1545"/>
      <c r="N2063" s="1545"/>
    </row>
    <row r="2064" spans="1:93" s="1552" customFormat="1" ht="15.5">
      <c r="A2064" s="1598"/>
      <c r="B2064" s="1599" t="s">
        <v>1747</v>
      </c>
      <c r="C2064" s="1643" t="e">
        <f>+SUMIF(#REF!,Final!A2064,#REF!)</f>
        <v>#REF!</v>
      </c>
      <c r="D2064" s="1597" t="e">
        <f>+SUMIF(#REF!,Final!A2064,#REF!)</f>
        <v>#REF!</v>
      </c>
      <c r="E2064" s="1643" t="e">
        <f>SUMIF(#REF!,Final!A2064,#REF!)</f>
        <v>#REF!</v>
      </c>
      <c r="F2064" s="1644" t="e">
        <f>SUMIF(#REF!,Final!A2064,#REF!)</f>
        <v>#REF!</v>
      </c>
      <c r="G2064" s="1597" t="e">
        <f t="shared" si="220"/>
        <v>#REF!</v>
      </c>
      <c r="H2064" s="1644" t="e">
        <f t="shared" si="221"/>
        <v>#REF!</v>
      </c>
      <c r="I2064" s="1597" t="e">
        <f t="shared" si="222"/>
        <v>#REF!</v>
      </c>
      <c r="J2064" s="1644" t="e">
        <f t="shared" si="223"/>
        <v>#REF!</v>
      </c>
      <c r="K2064" s="1539"/>
      <c r="L2064" s="1539"/>
      <c r="M2064" s="1545"/>
      <c r="N2064" s="1545"/>
      <c r="O2064" s="1539"/>
      <c r="P2064" s="1539"/>
      <c r="Q2064" s="1539"/>
      <c r="R2064" s="1539"/>
      <c r="S2064" s="1539"/>
      <c r="T2064" s="1539"/>
      <c r="U2064" s="1539"/>
      <c r="V2064" s="1539"/>
      <c r="W2064" s="1539"/>
      <c r="X2064" s="1539"/>
      <c r="Y2064" s="1539"/>
      <c r="Z2064" s="1539"/>
      <c r="AA2064" s="1539"/>
      <c r="AB2064" s="1539"/>
      <c r="AC2064" s="1539"/>
      <c r="AD2064" s="1539"/>
      <c r="AE2064" s="1539"/>
      <c r="AF2064" s="1539"/>
      <c r="AG2064" s="1539"/>
      <c r="AH2064" s="1539"/>
      <c r="AI2064" s="1539"/>
      <c r="AJ2064" s="1539"/>
      <c r="AK2064" s="1539"/>
      <c r="AL2064" s="1539"/>
      <c r="AM2064" s="1539"/>
      <c r="AN2064" s="1539"/>
      <c r="AO2064" s="1539"/>
      <c r="AP2064" s="1539"/>
      <c r="AQ2064" s="1539"/>
      <c r="AR2064" s="1539"/>
      <c r="AS2064" s="1539"/>
      <c r="AT2064" s="1539"/>
      <c r="AU2064" s="1539"/>
      <c r="AV2064" s="1539"/>
      <c r="AW2064" s="1539"/>
      <c r="AX2064" s="1539"/>
      <c r="AY2064" s="1539"/>
      <c r="AZ2064" s="1539"/>
      <c r="BA2064" s="1539"/>
      <c r="BB2064" s="1539"/>
      <c r="BC2064" s="1539"/>
      <c r="BD2064" s="1539"/>
      <c r="BE2064" s="1539"/>
      <c r="BF2064" s="1539"/>
      <c r="BG2064" s="1539"/>
      <c r="BH2064" s="1539"/>
      <c r="BI2064" s="1539"/>
      <c r="BJ2064" s="1539"/>
      <c r="BK2064" s="1539"/>
      <c r="BL2064" s="1539"/>
      <c r="BM2064" s="1539"/>
      <c r="BN2064" s="1539"/>
      <c r="BO2064" s="1539"/>
      <c r="BP2064" s="1539"/>
      <c r="BQ2064" s="1539"/>
      <c r="BR2064" s="1539"/>
      <c r="BS2064" s="1539"/>
      <c r="BT2064" s="1539"/>
      <c r="BU2064" s="1539"/>
      <c r="BV2064" s="1539"/>
      <c r="BW2064" s="1539"/>
      <c r="BX2064" s="1539"/>
      <c r="BY2064" s="1539"/>
      <c r="BZ2064" s="1539"/>
      <c r="CA2064" s="1539"/>
      <c r="CB2064" s="1539"/>
      <c r="CC2064" s="1539"/>
      <c r="CD2064" s="1539"/>
      <c r="CE2064" s="1539"/>
      <c r="CF2064" s="1539"/>
      <c r="CG2064" s="1539"/>
      <c r="CH2064" s="1539"/>
      <c r="CI2064" s="1539"/>
      <c r="CJ2064" s="1539"/>
      <c r="CK2064" s="1539"/>
      <c r="CL2064" s="1539"/>
      <c r="CM2064" s="1539"/>
      <c r="CN2064" s="1539"/>
      <c r="CO2064" s="1539"/>
    </row>
    <row r="2065" spans="1:93" s="1552" customFormat="1" ht="15.5">
      <c r="A2065" s="1598" t="s">
        <v>2916</v>
      </c>
      <c r="B2065" s="1599" t="s">
        <v>1760</v>
      </c>
      <c r="C2065" s="1643" t="e">
        <f>+SUMIF(#REF!,Final!A2065,#REF!)</f>
        <v>#REF!</v>
      </c>
      <c r="D2065" s="1597" t="e">
        <f>+SUMIF(#REF!,Final!A2065,#REF!)</f>
        <v>#REF!</v>
      </c>
      <c r="E2065" s="1643" t="e">
        <f>SUMIF(#REF!,Final!A2065,#REF!)</f>
        <v>#REF!</v>
      </c>
      <c r="F2065" s="1644" t="e">
        <f>SUMIF(#REF!,Final!A2065,#REF!)</f>
        <v>#REF!</v>
      </c>
      <c r="G2065" s="1597" t="e">
        <f t="shared" si="220"/>
        <v>#REF!</v>
      </c>
      <c r="H2065" s="1644" t="e">
        <f t="shared" si="221"/>
        <v>#REF!</v>
      </c>
      <c r="I2065" s="1597" t="e">
        <f t="shared" si="222"/>
        <v>#REF!</v>
      </c>
      <c r="J2065" s="1644" t="e">
        <f t="shared" si="223"/>
        <v>#REF!</v>
      </c>
      <c r="K2065" s="1539"/>
      <c r="L2065" s="1539"/>
      <c r="M2065" s="1545"/>
      <c r="N2065" s="1545"/>
      <c r="O2065" s="1539"/>
      <c r="P2065" s="1539"/>
      <c r="Q2065" s="1539"/>
      <c r="R2065" s="1539"/>
      <c r="S2065" s="1539"/>
      <c r="T2065" s="1539"/>
      <c r="U2065" s="1539"/>
      <c r="V2065" s="1539"/>
      <c r="W2065" s="1539"/>
      <c r="X2065" s="1539"/>
      <c r="Y2065" s="1539"/>
      <c r="Z2065" s="1539"/>
      <c r="AA2065" s="1539"/>
      <c r="AB2065" s="1539"/>
      <c r="AC2065" s="1539"/>
      <c r="AD2065" s="1539"/>
      <c r="AE2065" s="1539"/>
      <c r="AF2065" s="1539"/>
      <c r="AG2065" s="1539"/>
      <c r="AH2065" s="1539"/>
      <c r="AI2065" s="1539"/>
      <c r="AJ2065" s="1539"/>
      <c r="AK2065" s="1539"/>
      <c r="AL2065" s="1539"/>
      <c r="AM2065" s="1539"/>
      <c r="AN2065" s="1539"/>
      <c r="AO2065" s="1539"/>
      <c r="AP2065" s="1539"/>
      <c r="AQ2065" s="1539"/>
      <c r="AR2065" s="1539"/>
      <c r="AS2065" s="1539"/>
      <c r="AT2065" s="1539"/>
      <c r="AU2065" s="1539"/>
      <c r="AV2065" s="1539"/>
      <c r="AW2065" s="1539"/>
      <c r="AX2065" s="1539"/>
      <c r="AY2065" s="1539"/>
      <c r="AZ2065" s="1539"/>
      <c r="BA2065" s="1539"/>
      <c r="BB2065" s="1539"/>
      <c r="BC2065" s="1539"/>
      <c r="BD2065" s="1539"/>
      <c r="BE2065" s="1539"/>
      <c r="BF2065" s="1539"/>
      <c r="BG2065" s="1539"/>
      <c r="BH2065" s="1539"/>
      <c r="BI2065" s="1539"/>
      <c r="BJ2065" s="1539"/>
      <c r="BK2065" s="1539"/>
      <c r="BL2065" s="1539"/>
      <c r="BM2065" s="1539"/>
      <c r="BN2065" s="1539"/>
      <c r="BO2065" s="1539"/>
      <c r="BP2065" s="1539"/>
      <c r="BQ2065" s="1539"/>
      <c r="BR2065" s="1539"/>
      <c r="BS2065" s="1539"/>
      <c r="BT2065" s="1539"/>
      <c r="BU2065" s="1539"/>
      <c r="BV2065" s="1539"/>
      <c r="BW2065" s="1539"/>
      <c r="BX2065" s="1539"/>
      <c r="BY2065" s="1539"/>
      <c r="BZ2065" s="1539"/>
      <c r="CA2065" s="1539"/>
      <c r="CB2065" s="1539"/>
      <c r="CC2065" s="1539"/>
      <c r="CD2065" s="1539"/>
      <c r="CE2065" s="1539"/>
      <c r="CF2065" s="1539"/>
      <c r="CG2065" s="1539"/>
      <c r="CH2065" s="1539"/>
      <c r="CI2065" s="1539"/>
      <c r="CJ2065" s="1539"/>
      <c r="CK2065" s="1539"/>
      <c r="CL2065" s="1539"/>
      <c r="CM2065" s="1539"/>
      <c r="CN2065" s="1539"/>
      <c r="CO2065" s="1539"/>
    </row>
    <row r="2066" spans="1:93" s="1542" customFormat="1" ht="15.5">
      <c r="A2066" s="1598">
        <v>11</v>
      </c>
      <c r="B2066" s="1599" t="s">
        <v>1778</v>
      </c>
      <c r="C2066" s="1643" t="e">
        <f>+SUMIF(#REF!,Final!A2066,#REF!)</f>
        <v>#REF!</v>
      </c>
      <c r="D2066" s="1597" t="e">
        <f>+SUMIF(#REF!,Final!A2066,#REF!)</f>
        <v>#REF!</v>
      </c>
      <c r="E2066" s="1643" t="e">
        <f>SUMIF(#REF!,Final!A2066,#REF!)</f>
        <v>#REF!</v>
      </c>
      <c r="F2066" s="1644" t="e">
        <f>SUMIF(#REF!,Final!A2066,#REF!)</f>
        <v>#REF!</v>
      </c>
      <c r="G2066" s="1597" t="e">
        <f t="shared" si="220"/>
        <v>#REF!</v>
      </c>
      <c r="H2066" s="1644" t="e">
        <f t="shared" si="221"/>
        <v>#REF!</v>
      </c>
      <c r="I2066" s="1597" t="e">
        <f t="shared" si="222"/>
        <v>#REF!</v>
      </c>
      <c r="J2066" s="1644" t="e">
        <f t="shared" si="223"/>
        <v>#REF!</v>
      </c>
      <c r="K2066" s="1539"/>
      <c r="L2066" s="1539"/>
      <c r="M2066" s="1545"/>
      <c r="N2066" s="1545"/>
      <c r="O2066" s="1539"/>
      <c r="P2066" s="1539"/>
      <c r="Q2066" s="1539"/>
      <c r="R2066" s="1539"/>
      <c r="S2066" s="1539"/>
      <c r="T2066" s="1539"/>
      <c r="U2066" s="1539"/>
      <c r="V2066" s="1539"/>
      <c r="W2066" s="1539"/>
      <c r="X2066" s="1539"/>
      <c r="Y2066" s="1539"/>
      <c r="Z2066" s="1539"/>
      <c r="AA2066" s="1539"/>
      <c r="AB2066" s="1539"/>
      <c r="AC2066" s="1539"/>
      <c r="AD2066" s="1539"/>
      <c r="AE2066" s="1539"/>
      <c r="AF2066" s="1539"/>
      <c r="AG2066" s="1539"/>
      <c r="AH2066" s="1539"/>
      <c r="AI2066" s="1539"/>
      <c r="AJ2066" s="1539"/>
      <c r="AK2066" s="1539"/>
      <c r="AL2066" s="1539"/>
      <c r="AM2066" s="1539"/>
      <c r="AN2066" s="1539"/>
      <c r="AO2066" s="1539"/>
      <c r="AP2066" s="1539"/>
      <c r="AQ2066" s="1539"/>
      <c r="AR2066" s="1539"/>
      <c r="AS2066" s="1539"/>
      <c r="AT2066" s="1539"/>
      <c r="AU2066" s="1539"/>
      <c r="AV2066" s="1539"/>
      <c r="AW2066" s="1539"/>
      <c r="AX2066" s="1539"/>
      <c r="AY2066" s="1539"/>
      <c r="AZ2066" s="1539"/>
      <c r="BA2066" s="1539"/>
      <c r="BB2066" s="1539"/>
      <c r="BC2066" s="1539"/>
      <c r="BD2066" s="1539"/>
      <c r="BE2066" s="1539"/>
      <c r="BF2066" s="1539"/>
      <c r="BG2066" s="1539"/>
      <c r="BH2066" s="1539"/>
      <c r="BI2066" s="1539"/>
      <c r="BJ2066" s="1539"/>
      <c r="BK2066" s="1539"/>
      <c r="BL2066" s="1539"/>
      <c r="BM2066" s="1539"/>
      <c r="BN2066" s="1539"/>
      <c r="BO2066" s="1539"/>
      <c r="BP2066" s="1539"/>
      <c r="BQ2066" s="1539"/>
      <c r="BR2066" s="1539"/>
      <c r="BS2066" s="1539"/>
      <c r="BT2066" s="1539"/>
      <c r="BU2066" s="1539"/>
      <c r="BV2066" s="1539"/>
      <c r="BW2066" s="1539"/>
      <c r="BX2066" s="1539"/>
      <c r="BY2066" s="1539"/>
      <c r="BZ2066" s="1539"/>
      <c r="CA2066" s="1539"/>
      <c r="CB2066" s="1539"/>
      <c r="CC2066" s="1539"/>
      <c r="CD2066" s="1539"/>
      <c r="CE2066" s="1539"/>
      <c r="CF2066" s="1539"/>
      <c r="CG2066" s="1539"/>
      <c r="CH2066" s="1539"/>
      <c r="CI2066" s="1539"/>
      <c r="CJ2066" s="1539"/>
      <c r="CK2066" s="1539"/>
      <c r="CL2066" s="1539"/>
      <c r="CM2066" s="1539"/>
      <c r="CN2066" s="1539"/>
      <c r="CO2066" s="1539"/>
    </row>
    <row r="2067" spans="1:93" s="1542" customFormat="1" ht="15.5">
      <c r="A2067" s="1598" t="s">
        <v>545</v>
      </c>
      <c r="B2067" s="1599" t="s">
        <v>1840</v>
      </c>
      <c r="C2067" s="1643" t="e">
        <f>+SUMIF(#REF!,Final!A2067,#REF!)</f>
        <v>#REF!</v>
      </c>
      <c r="D2067" s="1597" t="e">
        <f>+SUMIF(#REF!,Final!A2067,#REF!)</f>
        <v>#REF!</v>
      </c>
      <c r="E2067" s="1643" t="e">
        <f>SUMIF(#REF!,Final!A2067,#REF!)</f>
        <v>#REF!</v>
      </c>
      <c r="F2067" s="1644" t="e">
        <f>SUMIF(#REF!,Final!A2067,#REF!)</f>
        <v>#REF!</v>
      </c>
      <c r="G2067" s="1597" t="e">
        <f t="shared" si="220"/>
        <v>#REF!</v>
      </c>
      <c r="H2067" s="1644" t="e">
        <f t="shared" si="221"/>
        <v>#REF!</v>
      </c>
      <c r="I2067" s="1597" t="e">
        <f t="shared" si="222"/>
        <v>#REF!</v>
      </c>
      <c r="J2067" s="1644" t="e">
        <f t="shared" si="223"/>
        <v>#REF!</v>
      </c>
      <c r="K2067" s="1539"/>
      <c r="L2067" s="1539"/>
      <c r="M2067" s="1545"/>
      <c r="N2067" s="1545"/>
      <c r="O2067" s="1539"/>
      <c r="P2067" s="1539"/>
      <c r="Q2067" s="1539"/>
      <c r="R2067" s="1539"/>
      <c r="S2067" s="1539"/>
      <c r="T2067" s="1539"/>
      <c r="U2067" s="1539"/>
      <c r="V2067" s="1539"/>
      <c r="W2067" s="1539"/>
      <c r="X2067" s="1539"/>
      <c r="Y2067" s="1539"/>
      <c r="Z2067" s="1539"/>
      <c r="AA2067" s="1539"/>
      <c r="AB2067" s="1539"/>
      <c r="AC2067" s="1539"/>
      <c r="AD2067" s="1539"/>
      <c r="AE2067" s="1539"/>
      <c r="AF2067" s="1539"/>
      <c r="AG2067" s="1539"/>
      <c r="AH2067" s="1539"/>
      <c r="AI2067" s="1539"/>
      <c r="AJ2067" s="1539"/>
      <c r="AK2067" s="1539"/>
      <c r="AL2067" s="1539"/>
      <c r="AM2067" s="1539"/>
      <c r="AN2067" s="1539"/>
      <c r="AO2067" s="1539"/>
      <c r="AP2067" s="1539"/>
      <c r="AQ2067" s="1539"/>
      <c r="AR2067" s="1539"/>
      <c r="AS2067" s="1539"/>
      <c r="AT2067" s="1539"/>
      <c r="AU2067" s="1539"/>
      <c r="AV2067" s="1539"/>
      <c r="AW2067" s="1539"/>
      <c r="AX2067" s="1539"/>
      <c r="AY2067" s="1539"/>
      <c r="AZ2067" s="1539"/>
      <c r="BA2067" s="1539"/>
      <c r="BB2067" s="1539"/>
      <c r="BC2067" s="1539"/>
      <c r="BD2067" s="1539"/>
      <c r="BE2067" s="1539"/>
      <c r="BF2067" s="1539"/>
      <c r="BG2067" s="1539"/>
      <c r="BH2067" s="1539"/>
      <c r="BI2067" s="1539"/>
      <c r="BJ2067" s="1539"/>
      <c r="BK2067" s="1539"/>
      <c r="BL2067" s="1539"/>
      <c r="BM2067" s="1539"/>
      <c r="BN2067" s="1539"/>
      <c r="BO2067" s="1539"/>
      <c r="BP2067" s="1539"/>
      <c r="BQ2067" s="1539"/>
      <c r="BR2067" s="1539"/>
      <c r="BS2067" s="1539"/>
      <c r="BT2067" s="1539"/>
      <c r="BU2067" s="1539"/>
      <c r="BV2067" s="1539"/>
      <c r="BW2067" s="1539"/>
      <c r="BX2067" s="1539"/>
      <c r="BY2067" s="1539"/>
      <c r="BZ2067" s="1539"/>
      <c r="CA2067" s="1539"/>
      <c r="CB2067" s="1539"/>
      <c r="CC2067" s="1539"/>
      <c r="CD2067" s="1539"/>
      <c r="CE2067" s="1539"/>
      <c r="CF2067" s="1539"/>
      <c r="CG2067" s="1539"/>
      <c r="CH2067" s="1539"/>
      <c r="CI2067" s="1539"/>
      <c r="CJ2067" s="1539"/>
      <c r="CK2067" s="1539"/>
      <c r="CL2067" s="1539"/>
      <c r="CM2067" s="1539"/>
      <c r="CN2067" s="1539"/>
      <c r="CO2067" s="1539"/>
    </row>
    <row r="2068" spans="1:93" ht="15.5">
      <c r="A2068" s="1598">
        <v>46.100999999999999</v>
      </c>
      <c r="B2068" s="1599" t="s">
        <v>1841</v>
      </c>
      <c r="C2068" s="1643" t="e">
        <f>+SUMIF(#REF!,Final!A2068,#REF!)</f>
        <v>#REF!</v>
      </c>
      <c r="D2068" s="1597" t="e">
        <f>+SUMIF(#REF!,Final!A2068,#REF!)</f>
        <v>#REF!</v>
      </c>
      <c r="E2068" s="1643" t="e">
        <f>SUMIF(#REF!,Final!A2068,#REF!)</f>
        <v>#REF!</v>
      </c>
      <c r="F2068" s="1644" t="e">
        <f>SUMIF(#REF!,Final!A2068,#REF!)</f>
        <v>#REF!</v>
      </c>
      <c r="G2068" s="1597" t="e">
        <f t="shared" si="220"/>
        <v>#REF!</v>
      </c>
      <c r="H2068" s="1644" t="e">
        <f t="shared" si="221"/>
        <v>#REF!</v>
      </c>
      <c r="I2068" s="1597" t="e">
        <f t="shared" si="222"/>
        <v>#REF!</v>
      </c>
      <c r="J2068" s="1644" t="e">
        <f t="shared" si="223"/>
        <v>#REF!</v>
      </c>
      <c r="M2068" s="1545"/>
      <c r="N2068" s="1545"/>
    </row>
    <row r="2069" spans="1:93" ht="15.5">
      <c r="A2069" s="1598">
        <v>46.101999999999997</v>
      </c>
      <c r="B2069" s="1599" t="s">
        <v>4550</v>
      </c>
      <c r="C2069" s="1643" t="e">
        <f>+SUMIF(#REF!,Final!A2069,#REF!)</f>
        <v>#REF!</v>
      </c>
      <c r="D2069" s="1597" t="e">
        <f>+SUMIF(#REF!,Final!A2069,#REF!)</f>
        <v>#REF!</v>
      </c>
      <c r="E2069" s="1643" t="e">
        <f>SUMIF(#REF!,Final!A2069,#REF!)</f>
        <v>#REF!</v>
      </c>
      <c r="F2069" s="1644" t="e">
        <f>SUMIF(#REF!,Final!A2069,#REF!)</f>
        <v>#REF!</v>
      </c>
      <c r="G2069" s="1597" t="e">
        <f t="shared" si="220"/>
        <v>#REF!</v>
      </c>
      <c r="H2069" s="1644" t="e">
        <f t="shared" si="221"/>
        <v>#REF!</v>
      </c>
      <c r="I2069" s="1597" t="e">
        <f t="shared" si="222"/>
        <v>#REF!</v>
      </c>
      <c r="J2069" s="1644" t="e">
        <f t="shared" si="223"/>
        <v>#REF!</v>
      </c>
      <c r="M2069" s="1545"/>
      <c r="N2069" s="1545"/>
    </row>
    <row r="2070" spans="1:93" ht="15.5">
      <c r="A2070" s="1598">
        <v>46.103000000000002</v>
      </c>
      <c r="B2070" s="1599" t="s">
        <v>1842</v>
      </c>
      <c r="C2070" s="1643" t="e">
        <f>+SUMIF(#REF!,Final!A2070,#REF!)</f>
        <v>#REF!</v>
      </c>
      <c r="D2070" s="1597" t="e">
        <f>+SUMIF(#REF!,Final!A2070,#REF!)</f>
        <v>#REF!</v>
      </c>
      <c r="E2070" s="1643" t="e">
        <f>SUMIF(#REF!,Final!A2070,#REF!)</f>
        <v>#REF!</v>
      </c>
      <c r="F2070" s="1644" t="e">
        <f>SUMIF(#REF!,Final!A2070,#REF!)</f>
        <v>#REF!</v>
      </c>
      <c r="G2070" s="1597" t="e">
        <f t="shared" si="220"/>
        <v>#REF!</v>
      </c>
      <c r="H2070" s="1644" t="e">
        <f t="shared" si="221"/>
        <v>#REF!</v>
      </c>
      <c r="I2070" s="1597" t="e">
        <f t="shared" si="222"/>
        <v>#REF!</v>
      </c>
      <c r="J2070" s="1644" t="e">
        <f t="shared" si="223"/>
        <v>#REF!</v>
      </c>
      <c r="M2070" s="1545"/>
      <c r="N2070" s="1545"/>
    </row>
    <row r="2071" spans="1:93" s="1552" customFormat="1" ht="15.5">
      <c r="A2071" s="1530"/>
      <c r="B2071" s="1604" t="s">
        <v>5423</v>
      </c>
      <c r="C2071" s="1643" t="e">
        <f>+SUMIF(#REF!,Final!A2071,#REF!)</f>
        <v>#REF!</v>
      </c>
      <c r="D2071" s="1597" t="e">
        <f>+SUMIF(#REF!,Final!A2071,#REF!)</f>
        <v>#REF!</v>
      </c>
      <c r="E2071" s="1643" t="e">
        <f>SUMIF(#REF!,Final!A2071,#REF!)</f>
        <v>#REF!</v>
      </c>
      <c r="F2071" s="1644" t="e">
        <f>SUMIF(#REF!,Final!A2071,#REF!)</f>
        <v>#REF!</v>
      </c>
      <c r="G2071" s="1597" t="e">
        <f t="shared" si="220"/>
        <v>#REF!</v>
      </c>
      <c r="H2071" s="1644" t="e">
        <f t="shared" si="221"/>
        <v>#REF!</v>
      </c>
      <c r="I2071" s="1597" t="e">
        <f t="shared" si="222"/>
        <v>#REF!</v>
      </c>
      <c r="J2071" s="1644" t="e">
        <f t="shared" si="223"/>
        <v>#REF!</v>
      </c>
      <c r="K2071" s="1539"/>
      <c r="L2071" s="1539"/>
      <c r="M2071" s="1545"/>
      <c r="N2071" s="1545"/>
      <c r="O2071" s="1539"/>
      <c r="P2071" s="1539"/>
      <c r="Q2071" s="1539"/>
      <c r="R2071" s="1539"/>
      <c r="S2071" s="1539"/>
      <c r="T2071" s="1539"/>
      <c r="U2071" s="1539"/>
      <c r="V2071" s="1539"/>
      <c r="W2071" s="1539"/>
      <c r="X2071" s="1539"/>
      <c r="Y2071" s="1539"/>
      <c r="Z2071" s="1539"/>
      <c r="AA2071" s="1539"/>
      <c r="AB2071" s="1539"/>
      <c r="AC2071" s="1539"/>
      <c r="AD2071" s="1539"/>
      <c r="AE2071" s="1539"/>
      <c r="AF2071" s="1539"/>
      <c r="AG2071" s="1539"/>
      <c r="AH2071" s="1539"/>
      <c r="AI2071" s="1539"/>
      <c r="AJ2071" s="1539"/>
      <c r="AK2071" s="1539"/>
      <c r="AL2071" s="1539"/>
      <c r="AM2071" s="1539"/>
      <c r="AN2071" s="1539"/>
      <c r="AO2071" s="1539"/>
      <c r="AP2071" s="1539"/>
      <c r="AQ2071" s="1539"/>
      <c r="AR2071" s="1539"/>
      <c r="AS2071" s="1539"/>
      <c r="AT2071" s="1539"/>
      <c r="AU2071" s="1539"/>
      <c r="AV2071" s="1539"/>
      <c r="AW2071" s="1539"/>
      <c r="AX2071" s="1539"/>
      <c r="AY2071" s="1539"/>
      <c r="AZ2071" s="1539"/>
      <c r="BA2071" s="1539"/>
      <c r="BB2071" s="1539"/>
      <c r="BC2071" s="1539"/>
      <c r="BD2071" s="1539"/>
      <c r="BE2071" s="1539"/>
      <c r="BF2071" s="1539"/>
      <c r="BG2071" s="1539"/>
      <c r="BH2071" s="1539"/>
      <c r="BI2071" s="1539"/>
      <c r="BJ2071" s="1539"/>
      <c r="BK2071" s="1539"/>
      <c r="BL2071" s="1539"/>
      <c r="BM2071" s="1539"/>
      <c r="BN2071" s="1539"/>
      <c r="BO2071" s="1539"/>
      <c r="BP2071" s="1539"/>
      <c r="BQ2071" s="1539"/>
      <c r="BR2071" s="1539"/>
      <c r="BS2071" s="1539"/>
      <c r="BT2071" s="1539"/>
      <c r="BU2071" s="1539"/>
      <c r="BV2071" s="1539"/>
      <c r="BW2071" s="1539"/>
      <c r="BX2071" s="1539"/>
      <c r="BY2071" s="1539"/>
      <c r="BZ2071" s="1539"/>
      <c r="CA2071" s="1539"/>
      <c r="CB2071" s="1539"/>
      <c r="CC2071" s="1539"/>
      <c r="CD2071" s="1539"/>
      <c r="CE2071" s="1539"/>
      <c r="CF2071" s="1539"/>
      <c r="CG2071" s="1539"/>
      <c r="CH2071" s="1539"/>
      <c r="CI2071" s="1539"/>
      <c r="CJ2071" s="1539"/>
      <c r="CK2071" s="1539"/>
      <c r="CL2071" s="1539"/>
      <c r="CM2071" s="1539"/>
      <c r="CN2071" s="1539"/>
      <c r="CO2071" s="1539"/>
    </row>
    <row r="2072" spans="1:93" s="1552" customFormat="1" ht="15.5">
      <c r="A2072" s="1527">
        <v>46.109000000000002</v>
      </c>
      <c r="B2072" s="1810" t="s">
        <v>5423</v>
      </c>
      <c r="C2072" s="1643" t="e">
        <f>+SUMIF(#REF!,Final!A2072,#REF!)</f>
        <v>#REF!</v>
      </c>
      <c r="D2072" s="1597" t="e">
        <f>+SUMIF(#REF!,Final!A2072,#REF!)</f>
        <v>#REF!</v>
      </c>
      <c r="E2072" s="1643" t="e">
        <f>SUMIF(#REF!,Final!A2072,#REF!)</f>
        <v>#REF!</v>
      </c>
      <c r="F2072" s="1644" t="e">
        <f>SUMIF(#REF!,Final!A2072,#REF!)</f>
        <v>#REF!</v>
      </c>
      <c r="G2072" s="1597" t="e">
        <f t="shared" si="220"/>
        <v>#REF!</v>
      </c>
      <c r="H2072" s="1644" t="e">
        <f t="shared" si="221"/>
        <v>#REF!</v>
      </c>
      <c r="I2072" s="1597" t="e">
        <f t="shared" si="222"/>
        <v>#REF!</v>
      </c>
      <c r="J2072" s="1644" t="e">
        <f t="shared" si="223"/>
        <v>#REF!</v>
      </c>
      <c r="K2072" s="1539"/>
      <c r="L2072" s="1539"/>
      <c r="M2072" s="1545"/>
      <c r="N2072" s="1545"/>
      <c r="O2072" s="1539"/>
      <c r="P2072" s="1539"/>
      <c r="Q2072" s="1539"/>
      <c r="R2072" s="1539"/>
      <c r="S2072" s="1539"/>
      <c r="T2072" s="1539"/>
      <c r="U2072" s="1539"/>
      <c r="V2072" s="1539"/>
      <c r="W2072" s="1539"/>
      <c r="X2072" s="1539"/>
      <c r="Y2072" s="1539"/>
      <c r="Z2072" s="1539"/>
      <c r="AA2072" s="1539"/>
      <c r="AB2072" s="1539"/>
      <c r="AC2072" s="1539"/>
      <c r="AD2072" s="1539"/>
      <c r="AE2072" s="1539"/>
      <c r="AF2072" s="1539"/>
      <c r="AG2072" s="1539"/>
      <c r="AH2072" s="1539"/>
      <c r="AI2072" s="1539"/>
      <c r="AJ2072" s="1539"/>
      <c r="AK2072" s="1539"/>
      <c r="AL2072" s="1539"/>
      <c r="AM2072" s="1539"/>
      <c r="AN2072" s="1539"/>
      <c r="AO2072" s="1539"/>
      <c r="AP2072" s="1539"/>
      <c r="AQ2072" s="1539"/>
      <c r="AR2072" s="1539"/>
      <c r="AS2072" s="1539"/>
      <c r="AT2072" s="1539"/>
      <c r="AU2072" s="1539"/>
      <c r="AV2072" s="1539"/>
      <c r="AW2072" s="1539"/>
      <c r="AX2072" s="1539"/>
      <c r="AY2072" s="1539"/>
      <c r="AZ2072" s="1539"/>
      <c r="BA2072" s="1539"/>
      <c r="BB2072" s="1539"/>
      <c r="BC2072" s="1539"/>
      <c r="BD2072" s="1539"/>
      <c r="BE2072" s="1539"/>
      <c r="BF2072" s="1539"/>
      <c r="BG2072" s="1539"/>
      <c r="BH2072" s="1539"/>
      <c r="BI2072" s="1539"/>
      <c r="BJ2072" s="1539"/>
      <c r="BK2072" s="1539"/>
      <c r="BL2072" s="1539"/>
      <c r="BM2072" s="1539"/>
      <c r="BN2072" s="1539"/>
      <c r="BO2072" s="1539"/>
      <c r="BP2072" s="1539"/>
      <c r="BQ2072" s="1539"/>
      <c r="BR2072" s="1539"/>
      <c r="BS2072" s="1539"/>
      <c r="BT2072" s="1539"/>
      <c r="BU2072" s="1539"/>
      <c r="BV2072" s="1539"/>
      <c r="BW2072" s="1539"/>
      <c r="BX2072" s="1539"/>
      <c r="BY2072" s="1539"/>
      <c r="BZ2072" s="1539"/>
      <c r="CA2072" s="1539"/>
      <c r="CB2072" s="1539"/>
      <c r="CC2072" s="1539"/>
      <c r="CD2072" s="1539"/>
      <c r="CE2072" s="1539"/>
      <c r="CF2072" s="1539"/>
      <c r="CG2072" s="1539"/>
      <c r="CH2072" s="1539"/>
      <c r="CI2072" s="1539"/>
      <c r="CJ2072" s="1539"/>
      <c r="CK2072" s="1539"/>
      <c r="CL2072" s="1539"/>
      <c r="CM2072" s="1539"/>
      <c r="CN2072" s="1539"/>
      <c r="CO2072" s="1539"/>
    </row>
    <row r="2073" spans="1:93" s="1542" customFormat="1" ht="15.5">
      <c r="A2073" s="1598">
        <v>11</v>
      </c>
      <c r="B2073" s="1599" t="s">
        <v>1778</v>
      </c>
      <c r="C2073" s="1643" t="e">
        <f>+SUMIF(#REF!,Final!A2073,#REF!)</f>
        <v>#REF!</v>
      </c>
      <c r="D2073" s="1597" t="e">
        <f>+SUMIF(#REF!,Final!A2073,#REF!)</f>
        <v>#REF!</v>
      </c>
      <c r="E2073" s="1643" t="e">
        <f>SUMIF(#REF!,Final!A2073,#REF!)</f>
        <v>#REF!</v>
      </c>
      <c r="F2073" s="1644" t="e">
        <f>SUMIF(#REF!,Final!A2073,#REF!)</f>
        <v>#REF!</v>
      </c>
      <c r="G2073" s="1597" t="e">
        <f t="shared" si="220"/>
        <v>#REF!</v>
      </c>
      <c r="H2073" s="1644" t="e">
        <f t="shared" si="221"/>
        <v>#REF!</v>
      </c>
      <c r="I2073" s="1597" t="e">
        <f t="shared" si="222"/>
        <v>#REF!</v>
      </c>
      <c r="J2073" s="1644" t="e">
        <f t="shared" si="223"/>
        <v>#REF!</v>
      </c>
      <c r="K2073" s="1539"/>
      <c r="L2073" s="1539"/>
      <c r="M2073" s="1545"/>
      <c r="N2073" s="1545"/>
      <c r="O2073" s="1539"/>
      <c r="P2073" s="1539"/>
      <c r="Q2073" s="1539"/>
      <c r="R2073" s="1539"/>
      <c r="S2073" s="1539"/>
      <c r="T2073" s="1539"/>
      <c r="U2073" s="1539"/>
      <c r="V2073" s="1539"/>
      <c r="W2073" s="1539"/>
      <c r="X2073" s="1539"/>
      <c r="Y2073" s="1539"/>
      <c r="Z2073" s="1539"/>
      <c r="AA2073" s="1539"/>
      <c r="AB2073" s="1539"/>
      <c r="AC2073" s="1539"/>
      <c r="AD2073" s="1539"/>
      <c r="AE2073" s="1539"/>
      <c r="AF2073" s="1539"/>
      <c r="AG2073" s="1539"/>
      <c r="AH2073" s="1539"/>
      <c r="AI2073" s="1539"/>
      <c r="AJ2073" s="1539"/>
      <c r="AK2073" s="1539"/>
      <c r="AL2073" s="1539"/>
      <c r="AM2073" s="1539"/>
      <c r="AN2073" s="1539"/>
      <c r="AO2073" s="1539"/>
      <c r="AP2073" s="1539"/>
      <c r="AQ2073" s="1539"/>
      <c r="AR2073" s="1539"/>
      <c r="AS2073" s="1539"/>
      <c r="AT2073" s="1539"/>
      <c r="AU2073" s="1539"/>
      <c r="AV2073" s="1539"/>
      <c r="AW2073" s="1539"/>
      <c r="AX2073" s="1539"/>
      <c r="AY2073" s="1539"/>
      <c r="AZ2073" s="1539"/>
      <c r="BA2073" s="1539"/>
      <c r="BB2073" s="1539"/>
      <c r="BC2073" s="1539"/>
      <c r="BD2073" s="1539"/>
      <c r="BE2073" s="1539"/>
      <c r="BF2073" s="1539"/>
      <c r="BG2073" s="1539"/>
      <c r="BH2073" s="1539"/>
      <c r="BI2073" s="1539"/>
      <c r="BJ2073" s="1539"/>
      <c r="BK2073" s="1539"/>
      <c r="BL2073" s="1539"/>
      <c r="BM2073" s="1539"/>
      <c r="BN2073" s="1539"/>
      <c r="BO2073" s="1539"/>
      <c r="BP2073" s="1539"/>
      <c r="BQ2073" s="1539"/>
      <c r="BR2073" s="1539"/>
      <c r="BS2073" s="1539"/>
      <c r="BT2073" s="1539"/>
      <c r="BU2073" s="1539"/>
      <c r="BV2073" s="1539"/>
      <c r="BW2073" s="1539"/>
      <c r="BX2073" s="1539"/>
      <c r="BY2073" s="1539"/>
      <c r="BZ2073" s="1539"/>
      <c r="CA2073" s="1539"/>
      <c r="CB2073" s="1539"/>
      <c r="CC2073" s="1539"/>
      <c r="CD2073" s="1539"/>
      <c r="CE2073" s="1539"/>
      <c r="CF2073" s="1539"/>
      <c r="CG2073" s="1539"/>
      <c r="CH2073" s="1539"/>
      <c r="CI2073" s="1539"/>
      <c r="CJ2073" s="1539"/>
      <c r="CK2073" s="1539"/>
      <c r="CL2073" s="1539"/>
      <c r="CM2073" s="1539"/>
      <c r="CN2073" s="1539"/>
      <c r="CO2073" s="1539"/>
    </row>
    <row r="2074" spans="1:93" s="1542" customFormat="1" ht="15.5">
      <c r="A2074" s="1598" t="s">
        <v>544</v>
      </c>
      <c r="B2074" s="1599" t="s">
        <v>1843</v>
      </c>
      <c r="C2074" s="1643" t="e">
        <f>+SUMIF(#REF!,Final!A2074,#REF!)</f>
        <v>#REF!</v>
      </c>
      <c r="D2074" s="1597" t="e">
        <f>+SUMIF(#REF!,Final!A2074,#REF!)</f>
        <v>#REF!</v>
      </c>
      <c r="E2074" s="1643" t="e">
        <f>SUMIF(#REF!,Final!A2074,#REF!)</f>
        <v>#REF!</v>
      </c>
      <c r="F2074" s="1644" t="e">
        <f>SUMIF(#REF!,Final!A2074,#REF!)</f>
        <v>#REF!</v>
      </c>
      <c r="G2074" s="1597" t="e">
        <f t="shared" si="220"/>
        <v>#REF!</v>
      </c>
      <c r="H2074" s="1644" t="e">
        <f t="shared" si="221"/>
        <v>#REF!</v>
      </c>
      <c r="I2074" s="1597" t="e">
        <f t="shared" si="222"/>
        <v>#REF!</v>
      </c>
      <c r="J2074" s="1644" t="e">
        <f t="shared" si="223"/>
        <v>#REF!</v>
      </c>
      <c r="K2074" s="1539"/>
      <c r="L2074" s="1539"/>
      <c r="M2074" s="1545"/>
      <c r="N2074" s="1545"/>
      <c r="O2074" s="1539"/>
      <c r="P2074" s="1539"/>
      <c r="Q2074" s="1539"/>
      <c r="R2074" s="1539"/>
      <c r="S2074" s="1539"/>
      <c r="T2074" s="1539"/>
      <c r="U2074" s="1539"/>
      <c r="V2074" s="1539"/>
      <c r="W2074" s="1539"/>
      <c r="X2074" s="1539"/>
      <c r="Y2074" s="1539"/>
      <c r="Z2074" s="1539"/>
      <c r="AA2074" s="1539"/>
      <c r="AB2074" s="1539"/>
      <c r="AC2074" s="1539"/>
      <c r="AD2074" s="1539"/>
      <c r="AE2074" s="1539"/>
      <c r="AF2074" s="1539"/>
      <c r="AG2074" s="1539"/>
      <c r="AH2074" s="1539"/>
      <c r="AI2074" s="1539"/>
      <c r="AJ2074" s="1539"/>
      <c r="AK2074" s="1539"/>
      <c r="AL2074" s="1539"/>
      <c r="AM2074" s="1539"/>
      <c r="AN2074" s="1539"/>
      <c r="AO2074" s="1539"/>
      <c r="AP2074" s="1539"/>
      <c r="AQ2074" s="1539"/>
      <c r="AR2074" s="1539"/>
      <c r="AS2074" s="1539"/>
      <c r="AT2074" s="1539"/>
      <c r="AU2074" s="1539"/>
      <c r="AV2074" s="1539"/>
      <c r="AW2074" s="1539"/>
      <c r="AX2074" s="1539"/>
      <c r="AY2074" s="1539"/>
      <c r="AZ2074" s="1539"/>
      <c r="BA2074" s="1539"/>
      <c r="BB2074" s="1539"/>
      <c r="BC2074" s="1539"/>
      <c r="BD2074" s="1539"/>
      <c r="BE2074" s="1539"/>
      <c r="BF2074" s="1539"/>
      <c r="BG2074" s="1539"/>
      <c r="BH2074" s="1539"/>
      <c r="BI2074" s="1539"/>
      <c r="BJ2074" s="1539"/>
      <c r="BK2074" s="1539"/>
      <c r="BL2074" s="1539"/>
      <c r="BM2074" s="1539"/>
      <c r="BN2074" s="1539"/>
      <c r="BO2074" s="1539"/>
      <c r="BP2074" s="1539"/>
      <c r="BQ2074" s="1539"/>
      <c r="BR2074" s="1539"/>
      <c r="BS2074" s="1539"/>
      <c r="BT2074" s="1539"/>
      <c r="BU2074" s="1539"/>
      <c r="BV2074" s="1539"/>
      <c r="BW2074" s="1539"/>
      <c r="BX2074" s="1539"/>
      <c r="BY2074" s="1539"/>
      <c r="BZ2074" s="1539"/>
      <c r="CA2074" s="1539"/>
      <c r="CB2074" s="1539"/>
      <c r="CC2074" s="1539"/>
      <c r="CD2074" s="1539"/>
      <c r="CE2074" s="1539"/>
      <c r="CF2074" s="1539"/>
      <c r="CG2074" s="1539"/>
      <c r="CH2074" s="1539"/>
      <c r="CI2074" s="1539"/>
      <c r="CJ2074" s="1539"/>
      <c r="CK2074" s="1539"/>
      <c r="CL2074" s="1539"/>
      <c r="CM2074" s="1539"/>
      <c r="CN2074" s="1539"/>
      <c r="CO2074" s="1539"/>
    </row>
    <row r="2075" spans="1:93" s="1542" customFormat="1" ht="15.5">
      <c r="A2075" s="1598">
        <v>46.104999999999997</v>
      </c>
      <c r="B2075" s="1599" t="s">
        <v>1844</v>
      </c>
      <c r="C2075" s="1643" t="e">
        <f>+SUMIF(#REF!,Final!A2075,#REF!)</f>
        <v>#REF!</v>
      </c>
      <c r="D2075" s="1597" t="e">
        <f>+SUMIF(#REF!,Final!A2075,#REF!)</f>
        <v>#REF!</v>
      </c>
      <c r="E2075" s="1643" t="e">
        <f>SUMIF(#REF!,Final!A2075,#REF!)</f>
        <v>#REF!</v>
      </c>
      <c r="F2075" s="1644" t="e">
        <f>SUMIF(#REF!,Final!A2075,#REF!)</f>
        <v>#REF!</v>
      </c>
      <c r="G2075" s="1597" t="e">
        <f t="shared" si="220"/>
        <v>#REF!</v>
      </c>
      <c r="H2075" s="1644" t="e">
        <f t="shared" si="221"/>
        <v>#REF!</v>
      </c>
      <c r="I2075" s="1597" t="e">
        <f t="shared" si="222"/>
        <v>#REF!</v>
      </c>
      <c r="J2075" s="1644" t="e">
        <f t="shared" si="223"/>
        <v>#REF!</v>
      </c>
      <c r="K2075" s="1539"/>
      <c r="L2075" s="1539"/>
      <c r="M2075" s="1545"/>
      <c r="N2075" s="1545"/>
      <c r="O2075" s="1539"/>
      <c r="P2075" s="1539"/>
      <c r="Q2075" s="1539"/>
      <c r="R2075" s="1539"/>
      <c r="S2075" s="1539"/>
      <c r="T2075" s="1539"/>
      <c r="U2075" s="1539"/>
      <c r="V2075" s="1539"/>
      <c r="W2075" s="1539"/>
      <c r="X2075" s="1539"/>
      <c r="Y2075" s="1539"/>
      <c r="Z2075" s="1539"/>
      <c r="AA2075" s="1539"/>
      <c r="AB2075" s="1539"/>
      <c r="AC2075" s="1539"/>
      <c r="AD2075" s="1539"/>
      <c r="AE2075" s="1539"/>
      <c r="AF2075" s="1539"/>
      <c r="AG2075" s="1539"/>
      <c r="AH2075" s="1539"/>
      <c r="AI2075" s="1539"/>
      <c r="AJ2075" s="1539"/>
      <c r="AK2075" s="1539"/>
      <c r="AL2075" s="1539"/>
      <c r="AM2075" s="1539"/>
      <c r="AN2075" s="1539"/>
      <c r="AO2075" s="1539"/>
      <c r="AP2075" s="1539"/>
      <c r="AQ2075" s="1539"/>
      <c r="AR2075" s="1539"/>
      <c r="AS2075" s="1539"/>
      <c r="AT2075" s="1539"/>
      <c r="AU2075" s="1539"/>
      <c r="AV2075" s="1539"/>
      <c r="AW2075" s="1539"/>
      <c r="AX2075" s="1539"/>
      <c r="AY2075" s="1539"/>
      <c r="AZ2075" s="1539"/>
      <c r="BA2075" s="1539"/>
      <c r="BB2075" s="1539"/>
      <c r="BC2075" s="1539"/>
      <c r="BD2075" s="1539"/>
      <c r="BE2075" s="1539"/>
      <c r="BF2075" s="1539"/>
      <c r="BG2075" s="1539"/>
      <c r="BH2075" s="1539"/>
      <c r="BI2075" s="1539"/>
      <c r="BJ2075" s="1539"/>
      <c r="BK2075" s="1539"/>
      <c r="BL2075" s="1539"/>
      <c r="BM2075" s="1539"/>
      <c r="BN2075" s="1539"/>
      <c r="BO2075" s="1539"/>
      <c r="BP2075" s="1539"/>
      <c r="BQ2075" s="1539"/>
      <c r="BR2075" s="1539"/>
      <c r="BS2075" s="1539"/>
      <c r="BT2075" s="1539"/>
      <c r="BU2075" s="1539"/>
      <c r="BV2075" s="1539"/>
      <c r="BW2075" s="1539"/>
      <c r="BX2075" s="1539"/>
      <c r="BY2075" s="1539"/>
      <c r="BZ2075" s="1539"/>
      <c r="CA2075" s="1539"/>
      <c r="CB2075" s="1539"/>
      <c r="CC2075" s="1539"/>
      <c r="CD2075" s="1539"/>
      <c r="CE2075" s="1539"/>
      <c r="CF2075" s="1539"/>
      <c r="CG2075" s="1539"/>
      <c r="CH2075" s="1539"/>
      <c r="CI2075" s="1539"/>
      <c r="CJ2075" s="1539"/>
      <c r="CK2075" s="1539"/>
      <c r="CL2075" s="1539"/>
      <c r="CM2075" s="1539"/>
      <c r="CN2075" s="1539"/>
      <c r="CO2075" s="1539"/>
    </row>
    <row r="2076" spans="1:93" s="1542" customFormat="1" ht="15.5">
      <c r="A2076" s="1678">
        <v>46.106999999999999</v>
      </c>
      <c r="B2076" s="1697" t="s">
        <v>4991</v>
      </c>
      <c r="C2076" s="1643" t="e">
        <f>+SUMIF(#REF!,Final!A2076,#REF!)</f>
        <v>#REF!</v>
      </c>
      <c r="D2076" s="1597" t="e">
        <f>+SUMIF(#REF!,Final!A2076,#REF!)</f>
        <v>#REF!</v>
      </c>
      <c r="E2076" s="1643" t="e">
        <f>SUMIF(#REF!,Final!A2076,#REF!)</f>
        <v>#REF!</v>
      </c>
      <c r="F2076" s="1644" t="e">
        <f>SUMIF(#REF!,Final!A2076,#REF!)</f>
        <v>#REF!</v>
      </c>
      <c r="G2076" s="1597" t="e">
        <f t="shared" si="220"/>
        <v>#REF!</v>
      </c>
      <c r="H2076" s="1644" t="e">
        <f t="shared" si="221"/>
        <v>#REF!</v>
      </c>
      <c r="I2076" s="1597" t="e">
        <f t="shared" si="222"/>
        <v>#REF!</v>
      </c>
      <c r="J2076" s="1644" t="e">
        <f t="shared" si="223"/>
        <v>#REF!</v>
      </c>
      <c r="K2076" s="1539"/>
      <c r="L2076" s="1539"/>
      <c r="M2076" s="1545"/>
      <c r="N2076" s="1545"/>
      <c r="O2076" s="1539"/>
      <c r="P2076" s="1539"/>
      <c r="Q2076" s="1539"/>
      <c r="R2076" s="1539"/>
      <c r="S2076" s="1539"/>
      <c r="T2076" s="1539"/>
      <c r="U2076" s="1539"/>
      <c r="V2076" s="1539"/>
      <c r="W2076" s="1539"/>
      <c r="X2076" s="1539"/>
      <c r="Y2076" s="1539"/>
      <c r="Z2076" s="1539"/>
      <c r="AA2076" s="1539"/>
      <c r="AB2076" s="1539"/>
      <c r="AC2076" s="1539"/>
      <c r="AD2076" s="1539"/>
      <c r="AE2076" s="1539"/>
      <c r="AF2076" s="1539"/>
      <c r="AG2076" s="1539"/>
      <c r="AH2076" s="1539"/>
      <c r="AI2076" s="1539"/>
      <c r="AJ2076" s="1539"/>
      <c r="AK2076" s="1539"/>
      <c r="AL2076" s="1539"/>
      <c r="AM2076" s="1539"/>
      <c r="AN2076" s="1539"/>
      <c r="AO2076" s="1539"/>
      <c r="AP2076" s="1539"/>
      <c r="AQ2076" s="1539"/>
      <c r="AR2076" s="1539"/>
      <c r="AS2076" s="1539"/>
      <c r="AT2076" s="1539"/>
      <c r="AU2076" s="1539"/>
      <c r="AV2076" s="1539"/>
      <c r="AW2076" s="1539"/>
      <c r="AX2076" s="1539"/>
      <c r="AY2076" s="1539"/>
      <c r="AZ2076" s="1539"/>
      <c r="BA2076" s="1539"/>
      <c r="BB2076" s="1539"/>
      <c r="BC2076" s="1539"/>
      <c r="BD2076" s="1539"/>
      <c r="BE2076" s="1539"/>
      <c r="BF2076" s="1539"/>
      <c r="BG2076" s="1539"/>
      <c r="BH2076" s="1539"/>
      <c r="BI2076" s="1539"/>
      <c r="BJ2076" s="1539"/>
      <c r="BK2076" s="1539"/>
      <c r="BL2076" s="1539"/>
      <c r="BM2076" s="1539"/>
      <c r="BN2076" s="1539"/>
      <c r="BO2076" s="1539"/>
      <c r="BP2076" s="1539"/>
      <c r="BQ2076" s="1539"/>
      <c r="BR2076" s="1539"/>
      <c r="BS2076" s="1539"/>
      <c r="BT2076" s="1539"/>
      <c r="BU2076" s="1539"/>
      <c r="BV2076" s="1539"/>
      <c r="BW2076" s="1539"/>
      <c r="BX2076" s="1539"/>
      <c r="BY2076" s="1539"/>
      <c r="BZ2076" s="1539"/>
      <c r="CA2076" s="1539"/>
      <c r="CB2076" s="1539"/>
      <c r="CC2076" s="1539"/>
      <c r="CD2076" s="1539"/>
      <c r="CE2076" s="1539"/>
      <c r="CF2076" s="1539"/>
      <c r="CG2076" s="1539"/>
      <c r="CH2076" s="1539"/>
      <c r="CI2076" s="1539"/>
      <c r="CJ2076" s="1539"/>
      <c r="CK2076" s="1539"/>
      <c r="CL2076" s="1539"/>
      <c r="CM2076" s="1539"/>
      <c r="CN2076" s="1539"/>
      <c r="CO2076" s="1539"/>
    </row>
    <row r="2077" spans="1:93" s="1542" customFormat="1" ht="15.5">
      <c r="A2077" s="1678">
        <v>46.103999999999999</v>
      </c>
      <c r="B2077" s="1697" t="s">
        <v>4992</v>
      </c>
      <c r="C2077" s="1643" t="e">
        <f>+SUMIF(#REF!,Final!A2077,#REF!)</f>
        <v>#REF!</v>
      </c>
      <c r="D2077" s="1597" t="e">
        <f>+SUMIF(#REF!,Final!A2077,#REF!)</f>
        <v>#REF!</v>
      </c>
      <c r="E2077" s="1643" t="e">
        <f>SUMIF(#REF!,Final!A2077,#REF!)</f>
        <v>#REF!</v>
      </c>
      <c r="F2077" s="1644" t="e">
        <f>SUMIF(#REF!,Final!A2077,#REF!)</f>
        <v>#REF!</v>
      </c>
      <c r="G2077" s="1597" t="e">
        <f t="shared" si="220"/>
        <v>#REF!</v>
      </c>
      <c r="H2077" s="1644" t="e">
        <f t="shared" si="221"/>
        <v>#REF!</v>
      </c>
      <c r="I2077" s="1597" t="e">
        <f t="shared" si="222"/>
        <v>#REF!</v>
      </c>
      <c r="J2077" s="1644" t="e">
        <f t="shared" si="223"/>
        <v>#REF!</v>
      </c>
      <c r="K2077" s="1539"/>
      <c r="L2077" s="1539"/>
      <c r="M2077" s="1545"/>
      <c r="N2077" s="1545"/>
      <c r="O2077" s="1539"/>
      <c r="P2077" s="1539"/>
      <c r="Q2077" s="1539"/>
      <c r="R2077" s="1539"/>
      <c r="S2077" s="1539"/>
      <c r="T2077" s="1539"/>
      <c r="U2077" s="1539"/>
      <c r="V2077" s="1539"/>
      <c r="W2077" s="1539"/>
      <c r="X2077" s="1539"/>
      <c r="Y2077" s="1539"/>
      <c r="Z2077" s="1539"/>
      <c r="AA2077" s="1539"/>
      <c r="AB2077" s="1539"/>
      <c r="AC2077" s="1539"/>
      <c r="AD2077" s="1539"/>
      <c r="AE2077" s="1539"/>
      <c r="AF2077" s="1539"/>
      <c r="AG2077" s="1539"/>
      <c r="AH2077" s="1539"/>
      <c r="AI2077" s="1539"/>
      <c r="AJ2077" s="1539"/>
      <c r="AK2077" s="1539"/>
      <c r="AL2077" s="1539"/>
      <c r="AM2077" s="1539"/>
      <c r="AN2077" s="1539"/>
      <c r="AO2077" s="1539"/>
      <c r="AP2077" s="1539"/>
      <c r="AQ2077" s="1539"/>
      <c r="AR2077" s="1539"/>
      <c r="AS2077" s="1539"/>
      <c r="AT2077" s="1539"/>
      <c r="AU2077" s="1539"/>
      <c r="AV2077" s="1539"/>
      <c r="AW2077" s="1539"/>
      <c r="AX2077" s="1539"/>
      <c r="AY2077" s="1539"/>
      <c r="AZ2077" s="1539"/>
      <c r="BA2077" s="1539"/>
      <c r="BB2077" s="1539"/>
      <c r="BC2077" s="1539"/>
      <c r="BD2077" s="1539"/>
      <c r="BE2077" s="1539"/>
      <c r="BF2077" s="1539"/>
      <c r="BG2077" s="1539"/>
      <c r="BH2077" s="1539"/>
      <c r="BI2077" s="1539"/>
      <c r="BJ2077" s="1539"/>
      <c r="BK2077" s="1539"/>
      <c r="BL2077" s="1539"/>
      <c r="BM2077" s="1539"/>
      <c r="BN2077" s="1539"/>
      <c r="BO2077" s="1539"/>
      <c r="BP2077" s="1539"/>
      <c r="BQ2077" s="1539"/>
      <c r="BR2077" s="1539"/>
      <c r="BS2077" s="1539"/>
      <c r="BT2077" s="1539"/>
      <c r="BU2077" s="1539"/>
      <c r="BV2077" s="1539"/>
      <c r="BW2077" s="1539"/>
      <c r="BX2077" s="1539"/>
      <c r="BY2077" s="1539"/>
      <c r="BZ2077" s="1539"/>
      <c r="CA2077" s="1539"/>
      <c r="CB2077" s="1539"/>
      <c r="CC2077" s="1539"/>
      <c r="CD2077" s="1539"/>
      <c r="CE2077" s="1539"/>
      <c r="CF2077" s="1539"/>
      <c r="CG2077" s="1539"/>
      <c r="CH2077" s="1539"/>
      <c r="CI2077" s="1539"/>
      <c r="CJ2077" s="1539"/>
      <c r="CK2077" s="1539"/>
      <c r="CL2077" s="1539"/>
      <c r="CM2077" s="1539"/>
      <c r="CN2077" s="1539"/>
      <c r="CO2077" s="1539"/>
    </row>
    <row r="2078" spans="1:93" ht="15.5">
      <c r="A2078" s="1598">
        <v>46.106000000000002</v>
      </c>
      <c r="B2078" s="1599" t="s">
        <v>1845</v>
      </c>
      <c r="C2078" s="1643" t="e">
        <f>+SUMIF(#REF!,Final!A2078,#REF!)</f>
        <v>#REF!</v>
      </c>
      <c r="D2078" s="1597" t="e">
        <f>+SUMIF(#REF!,Final!A2078,#REF!)</f>
        <v>#REF!</v>
      </c>
      <c r="E2078" s="1643" t="e">
        <f>SUMIF(#REF!,Final!A2078,#REF!)</f>
        <v>#REF!</v>
      </c>
      <c r="F2078" s="1644" t="e">
        <f>SUMIF(#REF!,Final!A2078,#REF!)</f>
        <v>#REF!</v>
      </c>
      <c r="G2078" s="1597" t="e">
        <f t="shared" si="220"/>
        <v>#REF!</v>
      </c>
      <c r="H2078" s="1644" t="e">
        <f t="shared" si="221"/>
        <v>#REF!</v>
      </c>
      <c r="I2078" s="1597" t="e">
        <f t="shared" si="222"/>
        <v>#REF!</v>
      </c>
      <c r="J2078" s="1644" t="e">
        <f t="shared" si="223"/>
        <v>#REF!</v>
      </c>
      <c r="M2078" s="1545"/>
      <c r="N2078" s="1545"/>
    </row>
    <row r="2079" spans="1:93" ht="15.5">
      <c r="A2079" s="1692">
        <v>46.107999999999997</v>
      </c>
      <c r="B2079" s="1705" t="s">
        <v>4993</v>
      </c>
      <c r="C2079" s="1643" t="e">
        <f>+SUMIF(#REF!,Final!A2079,#REF!)</f>
        <v>#REF!</v>
      </c>
      <c r="D2079" s="1597" t="e">
        <f>+SUMIF(#REF!,Final!A2079,#REF!)</f>
        <v>#REF!</v>
      </c>
      <c r="E2079" s="1643" t="e">
        <f>SUMIF(#REF!,Final!A2079,#REF!)</f>
        <v>#REF!</v>
      </c>
      <c r="F2079" s="1644" t="e">
        <f>SUMIF(#REF!,Final!A2079,#REF!)</f>
        <v>#REF!</v>
      </c>
      <c r="G2079" s="1597" t="e">
        <f t="shared" si="220"/>
        <v>#REF!</v>
      </c>
      <c r="H2079" s="1644" t="e">
        <f t="shared" si="221"/>
        <v>#REF!</v>
      </c>
      <c r="I2079" s="1597" t="e">
        <f t="shared" si="222"/>
        <v>#REF!</v>
      </c>
      <c r="J2079" s="1644" t="e">
        <f t="shared" si="223"/>
        <v>#REF!</v>
      </c>
      <c r="M2079" s="1545"/>
      <c r="N2079" s="1545"/>
    </row>
    <row r="2080" spans="1:93" s="1552" customFormat="1" ht="15.5">
      <c r="A2080" s="1598"/>
      <c r="B2080" s="1599" t="s">
        <v>1747</v>
      </c>
      <c r="C2080" s="1643" t="e">
        <f>+SUMIF(#REF!,Final!A2080,#REF!)</f>
        <v>#REF!</v>
      </c>
      <c r="D2080" s="1597" t="e">
        <f>+SUMIF(#REF!,Final!A2080,#REF!)</f>
        <v>#REF!</v>
      </c>
      <c r="E2080" s="1643" t="e">
        <f>SUMIF(#REF!,Final!A2080,#REF!)</f>
        <v>#REF!</v>
      </c>
      <c r="F2080" s="1644" t="e">
        <f>SUMIF(#REF!,Final!A2080,#REF!)</f>
        <v>#REF!</v>
      </c>
      <c r="G2080" s="1597" t="e">
        <f t="shared" si="220"/>
        <v>#REF!</v>
      </c>
      <c r="H2080" s="1644" t="e">
        <f t="shared" si="221"/>
        <v>#REF!</v>
      </c>
      <c r="I2080" s="1597" t="e">
        <f t="shared" si="222"/>
        <v>#REF!</v>
      </c>
      <c r="J2080" s="1644" t="e">
        <f t="shared" si="223"/>
        <v>#REF!</v>
      </c>
      <c r="K2080" s="1539"/>
      <c r="L2080" s="1539"/>
      <c r="M2080" s="1545"/>
      <c r="N2080" s="1545"/>
      <c r="O2080" s="1539"/>
      <c r="P2080" s="1539"/>
      <c r="Q2080" s="1539"/>
      <c r="R2080" s="1539"/>
      <c r="S2080" s="1539"/>
      <c r="T2080" s="1539"/>
      <c r="U2080" s="1539"/>
      <c r="V2080" s="1539"/>
      <c r="W2080" s="1539"/>
      <c r="X2080" s="1539"/>
      <c r="Y2080" s="1539"/>
      <c r="Z2080" s="1539"/>
      <c r="AA2080" s="1539"/>
      <c r="AB2080" s="1539"/>
      <c r="AC2080" s="1539"/>
      <c r="AD2080" s="1539"/>
      <c r="AE2080" s="1539"/>
      <c r="AF2080" s="1539"/>
      <c r="AG2080" s="1539"/>
      <c r="AH2080" s="1539"/>
      <c r="AI2080" s="1539"/>
      <c r="AJ2080" s="1539"/>
      <c r="AK2080" s="1539"/>
      <c r="AL2080" s="1539"/>
      <c r="AM2080" s="1539"/>
      <c r="AN2080" s="1539"/>
      <c r="AO2080" s="1539"/>
      <c r="AP2080" s="1539"/>
      <c r="AQ2080" s="1539"/>
      <c r="AR2080" s="1539"/>
      <c r="AS2080" s="1539"/>
      <c r="AT2080" s="1539"/>
      <c r="AU2080" s="1539"/>
      <c r="AV2080" s="1539"/>
      <c r="AW2080" s="1539"/>
      <c r="AX2080" s="1539"/>
      <c r="AY2080" s="1539"/>
      <c r="AZ2080" s="1539"/>
      <c r="BA2080" s="1539"/>
      <c r="BB2080" s="1539"/>
      <c r="BC2080" s="1539"/>
      <c r="BD2080" s="1539"/>
      <c r="BE2080" s="1539"/>
      <c r="BF2080" s="1539"/>
      <c r="BG2080" s="1539"/>
      <c r="BH2080" s="1539"/>
      <c r="BI2080" s="1539"/>
      <c r="BJ2080" s="1539"/>
      <c r="BK2080" s="1539"/>
      <c r="BL2080" s="1539"/>
      <c r="BM2080" s="1539"/>
      <c r="BN2080" s="1539"/>
      <c r="BO2080" s="1539"/>
      <c r="BP2080" s="1539"/>
      <c r="BQ2080" s="1539"/>
      <c r="BR2080" s="1539"/>
      <c r="BS2080" s="1539"/>
      <c r="BT2080" s="1539"/>
      <c r="BU2080" s="1539"/>
      <c r="BV2080" s="1539"/>
      <c r="BW2080" s="1539"/>
      <c r="BX2080" s="1539"/>
      <c r="BY2080" s="1539"/>
      <c r="BZ2080" s="1539"/>
      <c r="CA2080" s="1539"/>
      <c r="CB2080" s="1539"/>
      <c r="CC2080" s="1539"/>
      <c r="CD2080" s="1539"/>
      <c r="CE2080" s="1539"/>
      <c r="CF2080" s="1539"/>
      <c r="CG2080" s="1539"/>
      <c r="CH2080" s="1539"/>
      <c r="CI2080" s="1539"/>
      <c r="CJ2080" s="1539"/>
      <c r="CK2080" s="1539"/>
      <c r="CL2080" s="1539"/>
      <c r="CM2080" s="1539"/>
      <c r="CN2080" s="1539"/>
      <c r="CO2080" s="1539"/>
    </row>
    <row r="2081" spans="1:93" s="1552" customFormat="1" ht="15.5">
      <c r="A2081" s="1598" t="s">
        <v>3443</v>
      </c>
      <c r="B2081" s="1599" t="s">
        <v>1760</v>
      </c>
      <c r="C2081" s="1643" t="e">
        <f>+SUMIF(#REF!,Final!A2081,#REF!)</f>
        <v>#REF!</v>
      </c>
      <c r="D2081" s="1597" t="e">
        <f>+SUMIF(#REF!,Final!A2081,#REF!)</f>
        <v>#REF!</v>
      </c>
      <c r="E2081" s="1643" t="e">
        <f>SUMIF(#REF!,Final!A2081,#REF!)</f>
        <v>#REF!</v>
      </c>
      <c r="F2081" s="1644" t="e">
        <f>SUMIF(#REF!,Final!A2081,#REF!)</f>
        <v>#REF!</v>
      </c>
      <c r="G2081" s="1597" t="e">
        <f t="shared" si="220"/>
        <v>#REF!</v>
      </c>
      <c r="H2081" s="1644" t="e">
        <f t="shared" si="221"/>
        <v>#REF!</v>
      </c>
      <c r="I2081" s="1597" t="e">
        <f t="shared" si="222"/>
        <v>#REF!</v>
      </c>
      <c r="J2081" s="1644" t="e">
        <f t="shared" si="223"/>
        <v>#REF!</v>
      </c>
      <c r="K2081" s="1539"/>
      <c r="L2081" s="1539"/>
      <c r="M2081" s="1545"/>
      <c r="N2081" s="1545"/>
      <c r="O2081" s="1539"/>
      <c r="P2081" s="1539"/>
      <c r="Q2081" s="1539"/>
      <c r="R2081" s="1539"/>
      <c r="S2081" s="1539"/>
      <c r="T2081" s="1539"/>
      <c r="U2081" s="1539"/>
      <c r="V2081" s="1539"/>
      <c r="W2081" s="1539"/>
      <c r="X2081" s="1539"/>
      <c r="Y2081" s="1539"/>
      <c r="Z2081" s="1539"/>
      <c r="AA2081" s="1539"/>
      <c r="AB2081" s="1539"/>
      <c r="AC2081" s="1539"/>
      <c r="AD2081" s="1539"/>
      <c r="AE2081" s="1539"/>
      <c r="AF2081" s="1539"/>
      <c r="AG2081" s="1539"/>
      <c r="AH2081" s="1539"/>
      <c r="AI2081" s="1539"/>
      <c r="AJ2081" s="1539"/>
      <c r="AK2081" s="1539"/>
      <c r="AL2081" s="1539"/>
      <c r="AM2081" s="1539"/>
      <c r="AN2081" s="1539"/>
      <c r="AO2081" s="1539"/>
      <c r="AP2081" s="1539"/>
      <c r="AQ2081" s="1539"/>
      <c r="AR2081" s="1539"/>
      <c r="AS2081" s="1539"/>
      <c r="AT2081" s="1539"/>
      <c r="AU2081" s="1539"/>
      <c r="AV2081" s="1539"/>
      <c r="AW2081" s="1539"/>
      <c r="AX2081" s="1539"/>
      <c r="AY2081" s="1539"/>
      <c r="AZ2081" s="1539"/>
      <c r="BA2081" s="1539"/>
      <c r="BB2081" s="1539"/>
      <c r="BC2081" s="1539"/>
      <c r="BD2081" s="1539"/>
      <c r="BE2081" s="1539"/>
      <c r="BF2081" s="1539"/>
      <c r="BG2081" s="1539"/>
      <c r="BH2081" s="1539"/>
      <c r="BI2081" s="1539"/>
      <c r="BJ2081" s="1539"/>
      <c r="BK2081" s="1539"/>
      <c r="BL2081" s="1539"/>
      <c r="BM2081" s="1539"/>
      <c r="BN2081" s="1539"/>
      <c r="BO2081" s="1539"/>
      <c r="BP2081" s="1539"/>
      <c r="BQ2081" s="1539"/>
      <c r="BR2081" s="1539"/>
      <c r="BS2081" s="1539"/>
      <c r="BT2081" s="1539"/>
      <c r="BU2081" s="1539"/>
      <c r="BV2081" s="1539"/>
      <c r="BW2081" s="1539"/>
      <c r="BX2081" s="1539"/>
      <c r="BY2081" s="1539"/>
      <c r="BZ2081" s="1539"/>
      <c r="CA2081" s="1539"/>
      <c r="CB2081" s="1539"/>
      <c r="CC2081" s="1539"/>
      <c r="CD2081" s="1539"/>
      <c r="CE2081" s="1539"/>
      <c r="CF2081" s="1539"/>
      <c r="CG2081" s="1539"/>
      <c r="CH2081" s="1539"/>
      <c r="CI2081" s="1539"/>
      <c r="CJ2081" s="1539"/>
      <c r="CK2081" s="1539"/>
      <c r="CL2081" s="1539"/>
      <c r="CM2081" s="1539"/>
      <c r="CN2081" s="1539"/>
      <c r="CO2081" s="1539"/>
    </row>
    <row r="2082" spans="1:93" s="1542" customFormat="1" ht="15.5">
      <c r="A2082" s="1598">
        <v>11</v>
      </c>
      <c r="B2082" s="1599" t="s">
        <v>1778</v>
      </c>
      <c r="C2082" s="1643" t="e">
        <f>+SUMIF(#REF!,Final!A2082,#REF!)</f>
        <v>#REF!</v>
      </c>
      <c r="D2082" s="1597" t="e">
        <f>+SUMIF(#REF!,Final!A2082,#REF!)</f>
        <v>#REF!</v>
      </c>
      <c r="E2082" s="1643" t="e">
        <f>SUMIF(#REF!,Final!A2082,#REF!)</f>
        <v>#REF!</v>
      </c>
      <c r="F2082" s="1644" t="e">
        <f>SUMIF(#REF!,Final!A2082,#REF!)</f>
        <v>#REF!</v>
      </c>
      <c r="G2082" s="1597" t="e">
        <f t="shared" si="220"/>
        <v>#REF!</v>
      </c>
      <c r="H2082" s="1644" t="e">
        <f t="shared" si="221"/>
        <v>#REF!</v>
      </c>
      <c r="I2082" s="1597" t="e">
        <f t="shared" si="222"/>
        <v>#REF!</v>
      </c>
      <c r="J2082" s="1644" t="e">
        <f t="shared" si="223"/>
        <v>#REF!</v>
      </c>
      <c r="K2082" s="1539"/>
      <c r="L2082" s="1539"/>
      <c r="M2082" s="1545"/>
      <c r="N2082" s="1545"/>
      <c r="O2082" s="1539"/>
      <c r="P2082" s="1539"/>
      <c r="Q2082" s="1539"/>
      <c r="R2082" s="1539"/>
      <c r="S2082" s="1539"/>
      <c r="T2082" s="1539"/>
      <c r="U2082" s="1539"/>
      <c r="V2082" s="1539"/>
      <c r="W2082" s="1539"/>
      <c r="X2082" s="1539"/>
      <c r="Y2082" s="1539"/>
      <c r="Z2082" s="1539"/>
      <c r="AA2082" s="1539"/>
      <c r="AB2082" s="1539"/>
      <c r="AC2082" s="1539"/>
      <c r="AD2082" s="1539"/>
      <c r="AE2082" s="1539"/>
      <c r="AF2082" s="1539"/>
      <c r="AG2082" s="1539"/>
      <c r="AH2082" s="1539"/>
      <c r="AI2082" s="1539"/>
      <c r="AJ2082" s="1539"/>
      <c r="AK2082" s="1539"/>
      <c r="AL2082" s="1539"/>
      <c r="AM2082" s="1539"/>
      <c r="AN2082" s="1539"/>
      <c r="AO2082" s="1539"/>
      <c r="AP2082" s="1539"/>
      <c r="AQ2082" s="1539"/>
      <c r="AR2082" s="1539"/>
      <c r="AS2082" s="1539"/>
      <c r="AT2082" s="1539"/>
      <c r="AU2082" s="1539"/>
      <c r="AV2082" s="1539"/>
      <c r="AW2082" s="1539"/>
      <c r="AX2082" s="1539"/>
      <c r="AY2082" s="1539"/>
      <c r="AZ2082" s="1539"/>
      <c r="BA2082" s="1539"/>
      <c r="BB2082" s="1539"/>
      <c r="BC2082" s="1539"/>
      <c r="BD2082" s="1539"/>
      <c r="BE2082" s="1539"/>
      <c r="BF2082" s="1539"/>
      <c r="BG2082" s="1539"/>
      <c r="BH2082" s="1539"/>
      <c r="BI2082" s="1539"/>
      <c r="BJ2082" s="1539"/>
      <c r="BK2082" s="1539"/>
      <c r="BL2082" s="1539"/>
      <c r="BM2082" s="1539"/>
      <c r="BN2082" s="1539"/>
      <c r="BO2082" s="1539"/>
      <c r="BP2082" s="1539"/>
      <c r="BQ2082" s="1539"/>
      <c r="BR2082" s="1539"/>
      <c r="BS2082" s="1539"/>
      <c r="BT2082" s="1539"/>
      <c r="BU2082" s="1539"/>
      <c r="BV2082" s="1539"/>
      <c r="BW2082" s="1539"/>
      <c r="BX2082" s="1539"/>
      <c r="BY2082" s="1539"/>
      <c r="BZ2082" s="1539"/>
      <c r="CA2082" s="1539"/>
      <c r="CB2082" s="1539"/>
      <c r="CC2082" s="1539"/>
      <c r="CD2082" s="1539"/>
      <c r="CE2082" s="1539"/>
      <c r="CF2082" s="1539"/>
      <c r="CG2082" s="1539"/>
      <c r="CH2082" s="1539"/>
      <c r="CI2082" s="1539"/>
      <c r="CJ2082" s="1539"/>
      <c r="CK2082" s="1539"/>
      <c r="CL2082" s="1539"/>
      <c r="CM2082" s="1539"/>
      <c r="CN2082" s="1539"/>
      <c r="CO2082" s="1539"/>
    </row>
    <row r="2083" spans="1:93" s="1542" customFormat="1" ht="15.5">
      <c r="A2083" s="1598" t="s">
        <v>545</v>
      </c>
      <c r="B2083" s="1599" t="s">
        <v>1840</v>
      </c>
      <c r="C2083" s="1643" t="e">
        <f>+SUMIF(#REF!,Final!A2083,#REF!)</f>
        <v>#REF!</v>
      </c>
      <c r="D2083" s="1597" t="e">
        <f>+SUMIF(#REF!,Final!A2083,#REF!)</f>
        <v>#REF!</v>
      </c>
      <c r="E2083" s="1643" t="e">
        <f>SUMIF(#REF!,Final!A2083,#REF!)</f>
        <v>#REF!</v>
      </c>
      <c r="F2083" s="1644" t="e">
        <f>SUMIF(#REF!,Final!A2083,#REF!)</f>
        <v>#REF!</v>
      </c>
      <c r="G2083" s="1597" t="e">
        <f t="shared" si="220"/>
        <v>#REF!</v>
      </c>
      <c r="H2083" s="1644" t="e">
        <f t="shared" si="221"/>
        <v>#REF!</v>
      </c>
      <c r="I2083" s="1597" t="e">
        <f t="shared" si="222"/>
        <v>#REF!</v>
      </c>
      <c r="J2083" s="1644" t="e">
        <f t="shared" si="223"/>
        <v>#REF!</v>
      </c>
      <c r="K2083" s="1539"/>
      <c r="L2083" s="1539"/>
      <c r="M2083" s="1545"/>
      <c r="N2083" s="1545"/>
      <c r="O2083" s="1539"/>
      <c r="P2083" s="1539"/>
      <c r="Q2083" s="1539"/>
      <c r="R2083" s="1539"/>
      <c r="S2083" s="1539"/>
      <c r="T2083" s="1539"/>
      <c r="U2083" s="1539"/>
      <c r="V2083" s="1539"/>
      <c r="W2083" s="1539"/>
      <c r="X2083" s="1539"/>
      <c r="Y2083" s="1539"/>
      <c r="Z2083" s="1539"/>
      <c r="AA2083" s="1539"/>
      <c r="AB2083" s="1539"/>
      <c r="AC2083" s="1539"/>
      <c r="AD2083" s="1539"/>
      <c r="AE2083" s="1539"/>
      <c r="AF2083" s="1539"/>
      <c r="AG2083" s="1539"/>
      <c r="AH2083" s="1539"/>
      <c r="AI2083" s="1539"/>
      <c r="AJ2083" s="1539"/>
      <c r="AK2083" s="1539"/>
      <c r="AL2083" s="1539"/>
      <c r="AM2083" s="1539"/>
      <c r="AN2083" s="1539"/>
      <c r="AO2083" s="1539"/>
      <c r="AP2083" s="1539"/>
      <c r="AQ2083" s="1539"/>
      <c r="AR2083" s="1539"/>
      <c r="AS2083" s="1539"/>
      <c r="AT2083" s="1539"/>
      <c r="AU2083" s="1539"/>
      <c r="AV2083" s="1539"/>
      <c r="AW2083" s="1539"/>
      <c r="AX2083" s="1539"/>
      <c r="AY2083" s="1539"/>
      <c r="AZ2083" s="1539"/>
      <c r="BA2083" s="1539"/>
      <c r="BB2083" s="1539"/>
      <c r="BC2083" s="1539"/>
      <c r="BD2083" s="1539"/>
      <c r="BE2083" s="1539"/>
      <c r="BF2083" s="1539"/>
      <c r="BG2083" s="1539"/>
      <c r="BH2083" s="1539"/>
      <c r="BI2083" s="1539"/>
      <c r="BJ2083" s="1539"/>
      <c r="BK2083" s="1539"/>
      <c r="BL2083" s="1539"/>
      <c r="BM2083" s="1539"/>
      <c r="BN2083" s="1539"/>
      <c r="BO2083" s="1539"/>
      <c r="BP2083" s="1539"/>
      <c r="BQ2083" s="1539"/>
      <c r="BR2083" s="1539"/>
      <c r="BS2083" s="1539"/>
      <c r="BT2083" s="1539"/>
      <c r="BU2083" s="1539"/>
      <c r="BV2083" s="1539"/>
      <c r="BW2083" s="1539"/>
      <c r="BX2083" s="1539"/>
      <c r="BY2083" s="1539"/>
      <c r="BZ2083" s="1539"/>
      <c r="CA2083" s="1539"/>
      <c r="CB2083" s="1539"/>
      <c r="CC2083" s="1539"/>
      <c r="CD2083" s="1539"/>
      <c r="CE2083" s="1539"/>
      <c r="CF2083" s="1539"/>
      <c r="CG2083" s="1539"/>
      <c r="CH2083" s="1539"/>
      <c r="CI2083" s="1539"/>
      <c r="CJ2083" s="1539"/>
      <c r="CK2083" s="1539"/>
      <c r="CL2083" s="1539"/>
      <c r="CM2083" s="1539"/>
      <c r="CN2083" s="1539"/>
      <c r="CO2083" s="1539"/>
    </row>
    <row r="2084" spans="1:93" ht="15.5">
      <c r="A2084" s="1598">
        <v>46.121000000000002</v>
      </c>
      <c r="B2084" s="1599" t="s">
        <v>1846</v>
      </c>
      <c r="C2084" s="1643" t="e">
        <f>+SUMIF(#REF!,Final!A2084,#REF!)</f>
        <v>#REF!</v>
      </c>
      <c r="D2084" s="1597" t="e">
        <f>+SUMIF(#REF!,Final!A2084,#REF!)</f>
        <v>#REF!</v>
      </c>
      <c r="E2084" s="1643" t="e">
        <f>SUMIF(#REF!,Final!A2084,#REF!)</f>
        <v>#REF!</v>
      </c>
      <c r="F2084" s="1644" t="e">
        <f>SUMIF(#REF!,Final!A2084,#REF!)</f>
        <v>#REF!</v>
      </c>
      <c r="G2084" s="1597" t="e">
        <f t="shared" si="220"/>
        <v>#REF!</v>
      </c>
      <c r="H2084" s="1644" t="e">
        <f t="shared" si="221"/>
        <v>#REF!</v>
      </c>
      <c r="I2084" s="1597" t="e">
        <f t="shared" si="222"/>
        <v>#REF!</v>
      </c>
      <c r="J2084" s="1644" t="e">
        <f t="shared" si="223"/>
        <v>#REF!</v>
      </c>
      <c r="M2084" s="1545"/>
      <c r="N2084" s="1545"/>
    </row>
    <row r="2085" spans="1:93" ht="15.5">
      <c r="A2085" s="1598">
        <v>46.122</v>
      </c>
      <c r="B2085" s="1599" t="s">
        <v>1847</v>
      </c>
      <c r="C2085" s="1643" t="e">
        <f>+SUMIF(#REF!,Final!A2085,#REF!)</f>
        <v>#REF!</v>
      </c>
      <c r="D2085" s="1597" t="e">
        <f>+SUMIF(#REF!,Final!A2085,#REF!)</f>
        <v>#REF!</v>
      </c>
      <c r="E2085" s="1643" t="e">
        <f>SUMIF(#REF!,Final!A2085,#REF!)</f>
        <v>#REF!</v>
      </c>
      <c r="F2085" s="1644" t="e">
        <f>SUMIF(#REF!,Final!A2085,#REF!)</f>
        <v>#REF!</v>
      </c>
      <c r="G2085" s="1597" t="e">
        <f t="shared" si="220"/>
        <v>#REF!</v>
      </c>
      <c r="H2085" s="1644" t="e">
        <f t="shared" si="221"/>
        <v>#REF!</v>
      </c>
      <c r="I2085" s="1597" t="e">
        <f t="shared" si="222"/>
        <v>#REF!</v>
      </c>
      <c r="J2085" s="1644" t="e">
        <f t="shared" si="223"/>
        <v>#REF!</v>
      </c>
      <c r="M2085" s="1545"/>
      <c r="N2085" s="1545"/>
    </row>
    <row r="2086" spans="1:93" s="1542" customFormat="1" ht="15.5">
      <c r="A2086" s="1598">
        <v>46.122999999999998</v>
      </c>
      <c r="B2086" s="1599" t="s">
        <v>1848</v>
      </c>
      <c r="C2086" s="1643" t="e">
        <f>+SUMIF(#REF!,Final!A2086,#REF!)</f>
        <v>#REF!</v>
      </c>
      <c r="D2086" s="1597" t="e">
        <f>+SUMIF(#REF!,Final!A2086,#REF!)</f>
        <v>#REF!</v>
      </c>
      <c r="E2086" s="1643" t="e">
        <f>SUMIF(#REF!,Final!A2086,#REF!)</f>
        <v>#REF!</v>
      </c>
      <c r="F2086" s="1644" t="e">
        <f>SUMIF(#REF!,Final!A2086,#REF!)</f>
        <v>#REF!</v>
      </c>
      <c r="G2086" s="1597" t="e">
        <f t="shared" si="220"/>
        <v>#REF!</v>
      </c>
      <c r="H2086" s="1644" t="e">
        <f t="shared" si="221"/>
        <v>#REF!</v>
      </c>
      <c r="I2086" s="1597" t="e">
        <f t="shared" si="222"/>
        <v>#REF!</v>
      </c>
      <c r="J2086" s="1644" t="e">
        <f t="shared" si="223"/>
        <v>#REF!</v>
      </c>
      <c r="K2086" s="1539"/>
      <c r="L2086" s="1539"/>
      <c r="M2086" s="1545"/>
      <c r="N2086" s="1545"/>
      <c r="O2086" s="1539"/>
      <c r="P2086" s="1539"/>
      <c r="Q2086" s="1539"/>
      <c r="R2086" s="1539"/>
      <c r="S2086" s="1539"/>
      <c r="T2086" s="1539"/>
      <c r="U2086" s="1539"/>
      <c r="V2086" s="1539"/>
      <c r="W2086" s="1539"/>
      <c r="X2086" s="1539"/>
      <c r="Y2086" s="1539"/>
      <c r="Z2086" s="1539"/>
      <c r="AA2086" s="1539"/>
      <c r="AB2086" s="1539"/>
      <c r="AC2086" s="1539"/>
      <c r="AD2086" s="1539"/>
      <c r="AE2086" s="1539"/>
      <c r="AF2086" s="1539"/>
      <c r="AG2086" s="1539"/>
      <c r="AH2086" s="1539"/>
      <c r="AI2086" s="1539"/>
      <c r="AJ2086" s="1539"/>
      <c r="AK2086" s="1539"/>
      <c r="AL2086" s="1539"/>
      <c r="AM2086" s="1539"/>
      <c r="AN2086" s="1539"/>
      <c r="AO2086" s="1539"/>
      <c r="AP2086" s="1539"/>
      <c r="AQ2086" s="1539"/>
      <c r="AR2086" s="1539"/>
      <c r="AS2086" s="1539"/>
      <c r="AT2086" s="1539"/>
      <c r="AU2086" s="1539"/>
      <c r="AV2086" s="1539"/>
      <c r="AW2086" s="1539"/>
      <c r="AX2086" s="1539"/>
      <c r="AY2086" s="1539"/>
      <c r="AZ2086" s="1539"/>
      <c r="BA2086" s="1539"/>
      <c r="BB2086" s="1539"/>
      <c r="BC2086" s="1539"/>
      <c r="BD2086" s="1539"/>
      <c r="BE2086" s="1539"/>
      <c r="BF2086" s="1539"/>
      <c r="BG2086" s="1539"/>
      <c r="BH2086" s="1539"/>
      <c r="BI2086" s="1539"/>
      <c r="BJ2086" s="1539"/>
      <c r="BK2086" s="1539"/>
      <c r="BL2086" s="1539"/>
      <c r="BM2086" s="1539"/>
      <c r="BN2086" s="1539"/>
      <c r="BO2086" s="1539"/>
      <c r="BP2086" s="1539"/>
      <c r="BQ2086" s="1539"/>
      <c r="BR2086" s="1539"/>
      <c r="BS2086" s="1539"/>
      <c r="BT2086" s="1539"/>
      <c r="BU2086" s="1539"/>
      <c r="BV2086" s="1539"/>
      <c r="BW2086" s="1539"/>
      <c r="BX2086" s="1539"/>
      <c r="BY2086" s="1539"/>
      <c r="BZ2086" s="1539"/>
      <c r="CA2086" s="1539"/>
      <c r="CB2086" s="1539"/>
      <c r="CC2086" s="1539"/>
      <c r="CD2086" s="1539"/>
      <c r="CE2086" s="1539"/>
      <c r="CF2086" s="1539"/>
      <c r="CG2086" s="1539"/>
      <c r="CH2086" s="1539"/>
      <c r="CI2086" s="1539"/>
      <c r="CJ2086" s="1539"/>
      <c r="CK2086" s="1539"/>
      <c r="CL2086" s="1539"/>
      <c r="CM2086" s="1539"/>
      <c r="CN2086" s="1539"/>
      <c r="CO2086" s="1539"/>
    </row>
    <row r="2087" spans="1:93" s="1552" customFormat="1" ht="15.5">
      <c r="A2087" s="1598"/>
      <c r="B2087" s="1599" t="s">
        <v>1747</v>
      </c>
      <c r="C2087" s="1643" t="e">
        <f>+SUMIF(#REF!,Final!A2087,#REF!)</f>
        <v>#REF!</v>
      </c>
      <c r="D2087" s="1597" t="e">
        <f>+SUMIF(#REF!,Final!A2087,#REF!)</f>
        <v>#REF!</v>
      </c>
      <c r="E2087" s="1643" t="e">
        <f>SUMIF(#REF!,Final!A2087,#REF!)</f>
        <v>#REF!</v>
      </c>
      <c r="F2087" s="1644" t="e">
        <f>SUMIF(#REF!,Final!A2087,#REF!)</f>
        <v>#REF!</v>
      </c>
      <c r="G2087" s="1597" t="e">
        <f t="shared" si="220"/>
        <v>#REF!</v>
      </c>
      <c r="H2087" s="1644" t="e">
        <f t="shared" si="221"/>
        <v>#REF!</v>
      </c>
      <c r="I2087" s="1597" t="e">
        <f t="shared" si="222"/>
        <v>#REF!</v>
      </c>
      <c r="J2087" s="1644" t="e">
        <f t="shared" si="223"/>
        <v>#REF!</v>
      </c>
      <c r="K2087" s="1539"/>
      <c r="L2087" s="1539"/>
      <c r="M2087" s="1545"/>
      <c r="N2087" s="1545"/>
      <c r="O2087" s="1539"/>
      <c r="P2087" s="1539"/>
      <c r="Q2087" s="1539"/>
      <c r="R2087" s="1539"/>
      <c r="S2087" s="1539"/>
      <c r="T2087" s="1539"/>
      <c r="U2087" s="1539"/>
      <c r="V2087" s="1539"/>
      <c r="W2087" s="1539"/>
      <c r="X2087" s="1539"/>
      <c r="Y2087" s="1539"/>
      <c r="Z2087" s="1539"/>
      <c r="AA2087" s="1539"/>
      <c r="AB2087" s="1539"/>
      <c r="AC2087" s="1539"/>
      <c r="AD2087" s="1539"/>
      <c r="AE2087" s="1539"/>
      <c r="AF2087" s="1539"/>
      <c r="AG2087" s="1539"/>
      <c r="AH2087" s="1539"/>
      <c r="AI2087" s="1539"/>
      <c r="AJ2087" s="1539"/>
      <c r="AK2087" s="1539"/>
      <c r="AL2087" s="1539"/>
      <c r="AM2087" s="1539"/>
      <c r="AN2087" s="1539"/>
      <c r="AO2087" s="1539"/>
      <c r="AP2087" s="1539"/>
      <c r="AQ2087" s="1539"/>
      <c r="AR2087" s="1539"/>
      <c r="AS2087" s="1539"/>
      <c r="AT2087" s="1539"/>
      <c r="AU2087" s="1539"/>
      <c r="AV2087" s="1539"/>
      <c r="AW2087" s="1539"/>
      <c r="AX2087" s="1539"/>
      <c r="AY2087" s="1539"/>
      <c r="AZ2087" s="1539"/>
      <c r="BA2087" s="1539"/>
      <c r="BB2087" s="1539"/>
      <c r="BC2087" s="1539"/>
      <c r="BD2087" s="1539"/>
      <c r="BE2087" s="1539"/>
      <c r="BF2087" s="1539"/>
      <c r="BG2087" s="1539"/>
      <c r="BH2087" s="1539"/>
      <c r="BI2087" s="1539"/>
      <c r="BJ2087" s="1539"/>
      <c r="BK2087" s="1539"/>
      <c r="BL2087" s="1539"/>
      <c r="BM2087" s="1539"/>
      <c r="BN2087" s="1539"/>
      <c r="BO2087" s="1539"/>
      <c r="BP2087" s="1539"/>
      <c r="BQ2087" s="1539"/>
      <c r="BR2087" s="1539"/>
      <c r="BS2087" s="1539"/>
      <c r="BT2087" s="1539"/>
      <c r="BU2087" s="1539"/>
      <c r="BV2087" s="1539"/>
      <c r="BW2087" s="1539"/>
      <c r="BX2087" s="1539"/>
      <c r="BY2087" s="1539"/>
      <c r="BZ2087" s="1539"/>
      <c r="CA2087" s="1539"/>
      <c r="CB2087" s="1539"/>
      <c r="CC2087" s="1539"/>
      <c r="CD2087" s="1539"/>
      <c r="CE2087" s="1539"/>
      <c r="CF2087" s="1539"/>
      <c r="CG2087" s="1539"/>
      <c r="CH2087" s="1539"/>
      <c r="CI2087" s="1539"/>
      <c r="CJ2087" s="1539"/>
      <c r="CK2087" s="1539"/>
      <c r="CL2087" s="1539"/>
      <c r="CM2087" s="1539"/>
      <c r="CN2087" s="1539"/>
      <c r="CO2087" s="1539"/>
    </row>
    <row r="2088" spans="1:93" s="1552" customFormat="1" ht="15.5">
      <c r="A2088" s="1598" t="s">
        <v>3443</v>
      </c>
      <c r="B2088" s="1599" t="s">
        <v>1760</v>
      </c>
      <c r="C2088" s="1643" t="e">
        <f>+SUMIF(#REF!,Final!A2088,#REF!)</f>
        <v>#REF!</v>
      </c>
      <c r="D2088" s="1597" t="e">
        <f>+SUMIF(#REF!,Final!A2088,#REF!)</f>
        <v>#REF!</v>
      </c>
      <c r="E2088" s="1643" t="e">
        <f>SUMIF(#REF!,Final!A2088,#REF!)</f>
        <v>#REF!</v>
      </c>
      <c r="F2088" s="1644" t="e">
        <f>SUMIF(#REF!,Final!A2088,#REF!)</f>
        <v>#REF!</v>
      </c>
      <c r="G2088" s="1597" t="e">
        <f t="shared" si="220"/>
        <v>#REF!</v>
      </c>
      <c r="H2088" s="1644" t="e">
        <f t="shared" si="221"/>
        <v>#REF!</v>
      </c>
      <c r="I2088" s="1597" t="e">
        <f t="shared" si="222"/>
        <v>#REF!</v>
      </c>
      <c r="J2088" s="1644" t="e">
        <f t="shared" si="223"/>
        <v>#REF!</v>
      </c>
      <c r="K2088" s="1539"/>
      <c r="L2088" s="1539"/>
      <c r="M2088" s="1545"/>
      <c r="N2088" s="1545"/>
      <c r="O2088" s="1539"/>
      <c r="P2088" s="1539"/>
      <c r="Q2088" s="1539"/>
      <c r="R2088" s="1539"/>
      <c r="S2088" s="1539"/>
      <c r="T2088" s="1539"/>
      <c r="U2088" s="1539"/>
      <c r="V2088" s="1539"/>
      <c r="W2088" s="1539"/>
      <c r="X2088" s="1539"/>
      <c r="Y2088" s="1539"/>
      <c r="Z2088" s="1539"/>
      <c r="AA2088" s="1539"/>
      <c r="AB2088" s="1539"/>
      <c r="AC2088" s="1539"/>
      <c r="AD2088" s="1539"/>
      <c r="AE2088" s="1539"/>
      <c r="AF2088" s="1539"/>
      <c r="AG2088" s="1539"/>
      <c r="AH2088" s="1539"/>
      <c r="AI2088" s="1539"/>
      <c r="AJ2088" s="1539"/>
      <c r="AK2088" s="1539"/>
      <c r="AL2088" s="1539"/>
      <c r="AM2088" s="1539"/>
      <c r="AN2088" s="1539"/>
      <c r="AO2088" s="1539"/>
      <c r="AP2088" s="1539"/>
      <c r="AQ2088" s="1539"/>
      <c r="AR2088" s="1539"/>
      <c r="AS2088" s="1539"/>
      <c r="AT2088" s="1539"/>
      <c r="AU2088" s="1539"/>
      <c r="AV2088" s="1539"/>
      <c r="AW2088" s="1539"/>
      <c r="AX2088" s="1539"/>
      <c r="AY2088" s="1539"/>
      <c r="AZ2088" s="1539"/>
      <c r="BA2088" s="1539"/>
      <c r="BB2088" s="1539"/>
      <c r="BC2088" s="1539"/>
      <c r="BD2088" s="1539"/>
      <c r="BE2088" s="1539"/>
      <c r="BF2088" s="1539"/>
      <c r="BG2088" s="1539"/>
      <c r="BH2088" s="1539"/>
      <c r="BI2088" s="1539"/>
      <c r="BJ2088" s="1539"/>
      <c r="BK2088" s="1539"/>
      <c r="BL2088" s="1539"/>
      <c r="BM2088" s="1539"/>
      <c r="BN2088" s="1539"/>
      <c r="BO2088" s="1539"/>
      <c r="BP2088" s="1539"/>
      <c r="BQ2088" s="1539"/>
      <c r="BR2088" s="1539"/>
      <c r="BS2088" s="1539"/>
      <c r="BT2088" s="1539"/>
      <c r="BU2088" s="1539"/>
      <c r="BV2088" s="1539"/>
      <c r="BW2088" s="1539"/>
      <c r="BX2088" s="1539"/>
      <c r="BY2088" s="1539"/>
      <c r="BZ2088" s="1539"/>
      <c r="CA2088" s="1539"/>
      <c r="CB2088" s="1539"/>
      <c r="CC2088" s="1539"/>
      <c r="CD2088" s="1539"/>
      <c r="CE2088" s="1539"/>
      <c r="CF2088" s="1539"/>
      <c r="CG2088" s="1539"/>
      <c r="CH2088" s="1539"/>
      <c r="CI2088" s="1539"/>
      <c r="CJ2088" s="1539"/>
      <c r="CK2088" s="1539"/>
      <c r="CL2088" s="1539"/>
      <c r="CM2088" s="1539"/>
      <c r="CN2088" s="1539"/>
      <c r="CO2088" s="1539"/>
    </row>
    <row r="2089" spans="1:93" s="1542" customFormat="1" ht="15.5">
      <c r="A2089" s="1598">
        <v>11</v>
      </c>
      <c r="B2089" s="1599" t="s">
        <v>1778</v>
      </c>
      <c r="C2089" s="1643" t="e">
        <f>+SUMIF(#REF!,Final!A2089,#REF!)</f>
        <v>#REF!</v>
      </c>
      <c r="D2089" s="1597" t="e">
        <f>+SUMIF(#REF!,Final!A2089,#REF!)</f>
        <v>#REF!</v>
      </c>
      <c r="E2089" s="1643" t="e">
        <f>SUMIF(#REF!,Final!A2089,#REF!)</f>
        <v>#REF!</v>
      </c>
      <c r="F2089" s="1644" t="e">
        <f>SUMIF(#REF!,Final!A2089,#REF!)</f>
        <v>#REF!</v>
      </c>
      <c r="G2089" s="1597" t="e">
        <f t="shared" si="220"/>
        <v>#REF!</v>
      </c>
      <c r="H2089" s="1644" t="e">
        <f t="shared" si="221"/>
        <v>#REF!</v>
      </c>
      <c r="I2089" s="1597" t="e">
        <f t="shared" si="222"/>
        <v>#REF!</v>
      </c>
      <c r="J2089" s="1644" t="e">
        <f t="shared" si="223"/>
        <v>#REF!</v>
      </c>
      <c r="K2089" s="1539"/>
      <c r="L2089" s="1539"/>
      <c r="M2089" s="1545"/>
      <c r="N2089" s="1545"/>
      <c r="O2089" s="1539"/>
      <c r="P2089" s="1539"/>
      <c r="Q2089" s="1539"/>
      <c r="R2089" s="1539"/>
      <c r="S2089" s="1539"/>
      <c r="T2089" s="1539"/>
      <c r="U2089" s="1539"/>
      <c r="V2089" s="1539"/>
      <c r="W2089" s="1539"/>
      <c r="X2089" s="1539"/>
      <c r="Y2089" s="1539"/>
      <c r="Z2089" s="1539"/>
      <c r="AA2089" s="1539"/>
      <c r="AB2089" s="1539"/>
      <c r="AC2089" s="1539"/>
      <c r="AD2089" s="1539"/>
      <c r="AE2089" s="1539"/>
      <c r="AF2089" s="1539"/>
      <c r="AG2089" s="1539"/>
      <c r="AH2089" s="1539"/>
      <c r="AI2089" s="1539"/>
      <c r="AJ2089" s="1539"/>
      <c r="AK2089" s="1539"/>
      <c r="AL2089" s="1539"/>
      <c r="AM2089" s="1539"/>
      <c r="AN2089" s="1539"/>
      <c r="AO2089" s="1539"/>
      <c r="AP2089" s="1539"/>
      <c r="AQ2089" s="1539"/>
      <c r="AR2089" s="1539"/>
      <c r="AS2089" s="1539"/>
      <c r="AT2089" s="1539"/>
      <c r="AU2089" s="1539"/>
      <c r="AV2089" s="1539"/>
      <c r="AW2089" s="1539"/>
      <c r="AX2089" s="1539"/>
      <c r="AY2089" s="1539"/>
      <c r="AZ2089" s="1539"/>
      <c r="BA2089" s="1539"/>
      <c r="BB2089" s="1539"/>
      <c r="BC2089" s="1539"/>
      <c r="BD2089" s="1539"/>
      <c r="BE2089" s="1539"/>
      <c r="BF2089" s="1539"/>
      <c r="BG2089" s="1539"/>
      <c r="BH2089" s="1539"/>
      <c r="BI2089" s="1539"/>
      <c r="BJ2089" s="1539"/>
      <c r="BK2089" s="1539"/>
      <c r="BL2089" s="1539"/>
      <c r="BM2089" s="1539"/>
      <c r="BN2089" s="1539"/>
      <c r="BO2089" s="1539"/>
      <c r="BP2089" s="1539"/>
      <c r="BQ2089" s="1539"/>
      <c r="BR2089" s="1539"/>
      <c r="BS2089" s="1539"/>
      <c r="BT2089" s="1539"/>
      <c r="BU2089" s="1539"/>
      <c r="BV2089" s="1539"/>
      <c r="BW2089" s="1539"/>
      <c r="BX2089" s="1539"/>
      <c r="BY2089" s="1539"/>
      <c r="BZ2089" s="1539"/>
      <c r="CA2089" s="1539"/>
      <c r="CB2089" s="1539"/>
      <c r="CC2089" s="1539"/>
      <c r="CD2089" s="1539"/>
      <c r="CE2089" s="1539"/>
      <c r="CF2089" s="1539"/>
      <c r="CG2089" s="1539"/>
      <c r="CH2089" s="1539"/>
      <c r="CI2089" s="1539"/>
      <c r="CJ2089" s="1539"/>
      <c r="CK2089" s="1539"/>
      <c r="CL2089" s="1539"/>
      <c r="CM2089" s="1539"/>
      <c r="CN2089" s="1539"/>
      <c r="CO2089" s="1539"/>
    </row>
    <row r="2090" spans="1:93" s="1542" customFormat="1" ht="15.5">
      <c r="A2090" s="1598" t="s">
        <v>544</v>
      </c>
      <c r="B2090" s="1599" t="s">
        <v>1843</v>
      </c>
      <c r="C2090" s="1643" t="e">
        <f>+SUMIF(#REF!,Final!A2090,#REF!)</f>
        <v>#REF!</v>
      </c>
      <c r="D2090" s="1597" t="e">
        <f>+SUMIF(#REF!,Final!A2090,#REF!)</f>
        <v>#REF!</v>
      </c>
      <c r="E2090" s="1643" t="e">
        <f>SUMIF(#REF!,Final!A2090,#REF!)</f>
        <v>#REF!</v>
      </c>
      <c r="F2090" s="1644" t="e">
        <f>SUMIF(#REF!,Final!A2090,#REF!)</f>
        <v>#REF!</v>
      </c>
      <c r="G2090" s="1597" t="e">
        <f t="shared" si="220"/>
        <v>#REF!</v>
      </c>
      <c r="H2090" s="1644" t="e">
        <f t="shared" si="221"/>
        <v>#REF!</v>
      </c>
      <c r="I2090" s="1597" t="e">
        <f t="shared" si="222"/>
        <v>#REF!</v>
      </c>
      <c r="J2090" s="1644" t="e">
        <f t="shared" si="223"/>
        <v>#REF!</v>
      </c>
      <c r="K2090" s="1539"/>
      <c r="L2090" s="1539"/>
      <c r="M2090" s="1545"/>
      <c r="N2090" s="1545"/>
      <c r="O2090" s="1539"/>
      <c r="P2090" s="1539"/>
      <c r="Q2090" s="1539"/>
      <c r="R2090" s="1539"/>
      <c r="S2090" s="1539"/>
      <c r="T2090" s="1539"/>
      <c r="U2090" s="1539"/>
      <c r="V2090" s="1539"/>
      <c r="W2090" s="1539"/>
      <c r="X2090" s="1539"/>
      <c r="Y2090" s="1539"/>
      <c r="Z2090" s="1539"/>
      <c r="AA2090" s="1539"/>
      <c r="AB2090" s="1539"/>
      <c r="AC2090" s="1539"/>
      <c r="AD2090" s="1539"/>
      <c r="AE2090" s="1539"/>
      <c r="AF2090" s="1539"/>
      <c r="AG2090" s="1539"/>
      <c r="AH2090" s="1539"/>
      <c r="AI2090" s="1539"/>
      <c r="AJ2090" s="1539"/>
      <c r="AK2090" s="1539"/>
      <c r="AL2090" s="1539"/>
      <c r="AM2090" s="1539"/>
      <c r="AN2090" s="1539"/>
      <c r="AO2090" s="1539"/>
      <c r="AP2090" s="1539"/>
      <c r="AQ2090" s="1539"/>
      <c r="AR2090" s="1539"/>
      <c r="AS2090" s="1539"/>
      <c r="AT2090" s="1539"/>
      <c r="AU2090" s="1539"/>
      <c r="AV2090" s="1539"/>
      <c r="AW2090" s="1539"/>
      <c r="AX2090" s="1539"/>
      <c r="AY2090" s="1539"/>
      <c r="AZ2090" s="1539"/>
      <c r="BA2090" s="1539"/>
      <c r="BB2090" s="1539"/>
      <c r="BC2090" s="1539"/>
      <c r="BD2090" s="1539"/>
      <c r="BE2090" s="1539"/>
      <c r="BF2090" s="1539"/>
      <c r="BG2090" s="1539"/>
      <c r="BH2090" s="1539"/>
      <c r="BI2090" s="1539"/>
      <c r="BJ2090" s="1539"/>
      <c r="BK2090" s="1539"/>
      <c r="BL2090" s="1539"/>
      <c r="BM2090" s="1539"/>
      <c r="BN2090" s="1539"/>
      <c r="BO2090" s="1539"/>
      <c r="BP2090" s="1539"/>
      <c r="BQ2090" s="1539"/>
      <c r="BR2090" s="1539"/>
      <c r="BS2090" s="1539"/>
      <c r="BT2090" s="1539"/>
      <c r="BU2090" s="1539"/>
      <c r="BV2090" s="1539"/>
      <c r="BW2090" s="1539"/>
      <c r="BX2090" s="1539"/>
      <c r="BY2090" s="1539"/>
      <c r="BZ2090" s="1539"/>
      <c r="CA2090" s="1539"/>
      <c r="CB2090" s="1539"/>
      <c r="CC2090" s="1539"/>
      <c r="CD2090" s="1539"/>
      <c r="CE2090" s="1539"/>
      <c r="CF2090" s="1539"/>
      <c r="CG2090" s="1539"/>
      <c r="CH2090" s="1539"/>
      <c r="CI2090" s="1539"/>
      <c r="CJ2090" s="1539"/>
      <c r="CK2090" s="1539"/>
      <c r="CL2090" s="1539"/>
      <c r="CM2090" s="1539"/>
      <c r="CN2090" s="1539"/>
      <c r="CO2090" s="1539"/>
    </row>
    <row r="2091" spans="1:93" ht="15.5">
      <c r="A2091" s="1598">
        <v>46.125</v>
      </c>
      <c r="B2091" s="1599" t="s">
        <v>1849</v>
      </c>
      <c r="C2091" s="1643" t="e">
        <f>+SUMIF(#REF!,Final!A2091,#REF!)</f>
        <v>#REF!</v>
      </c>
      <c r="D2091" s="1597" t="e">
        <f>+SUMIF(#REF!,Final!A2091,#REF!)</f>
        <v>#REF!</v>
      </c>
      <c r="E2091" s="1643" t="e">
        <f>SUMIF(#REF!,Final!A2091,#REF!)</f>
        <v>#REF!</v>
      </c>
      <c r="F2091" s="1644" t="e">
        <f>SUMIF(#REF!,Final!A2091,#REF!)</f>
        <v>#REF!</v>
      </c>
      <c r="G2091" s="1597" t="e">
        <f t="shared" si="220"/>
        <v>#REF!</v>
      </c>
      <c r="H2091" s="1644" t="e">
        <f t="shared" si="221"/>
        <v>#REF!</v>
      </c>
      <c r="I2091" s="1597" t="e">
        <f t="shared" si="222"/>
        <v>#REF!</v>
      </c>
      <c r="J2091" s="1644" t="e">
        <f t="shared" si="223"/>
        <v>#REF!</v>
      </c>
      <c r="M2091" s="1545"/>
      <c r="N2091" s="1545"/>
    </row>
    <row r="2092" spans="1:93" ht="15.5">
      <c r="A2092" s="1598">
        <v>46.125999999999998</v>
      </c>
      <c r="B2092" s="1599" t="s">
        <v>1850</v>
      </c>
      <c r="C2092" s="1643" t="e">
        <f>+SUMIF(#REF!,Final!A2092,#REF!)</f>
        <v>#REF!</v>
      </c>
      <c r="D2092" s="1597" t="e">
        <f>+SUMIF(#REF!,Final!A2092,#REF!)</f>
        <v>#REF!</v>
      </c>
      <c r="E2092" s="1643" t="e">
        <f>SUMIF(#REF!,Final!A2092,#REF!)</f>
        <v>#REF!</v>
      </c>
      <c r="F2092" s="1644" t="e">
        <f>SUMIF(#REF!,Final!A2092,#REF!)</f>
        <v>#REF!</v>
      </c>
      <c r="G2092" s="1597" t="e">
        <f t="shared" si="220"/>
        <v>#REF!</v>
      </c>
      <c r="H2092" s="1644" t="e">
        <f t="shared" si="221"/>
        <v>#REF!</v>
      </c>
      <c r="I2092" s="1597" t="e">
        <f t="shared" si="222"/>
        <v>#REF!</v>
      </c>
      <c r="J2092" s="1644" t="e">
        <f t="shared" si="223"/>
        <v>#REF!</v>
      </c>
      <c r="M2092" s="1545"/>
      <c r="N2092" s="1545"/>
    </row>
    <row r="2093" spans="1:93" s="1552" customFormat="1" ht="15.5">
      <c r="A2093" s="1598"/>
      <c r="B2093" s="1599" t="s">
        <v>1747</v>
      </c>
      <c r="C2093" s="1643" t="e">
        <f>+SUMIF(#REF!,Final!A2093,#REF!)</f>
        <v>#REF!</v>
      </c>
      <c r="D2093" s="1597" t="e">
        <f>+SUMIF(#REF!,Final!A2093,#REF!)</f>
        <v>#REF!</v>
      </c>
      <c r="E2093" s="1643" t="e">
        <f>SUMIF(#REF!,Final!A2093,#REF!)</f>
        <v>#REF!</v>
      </c>
      <c r="F2093" s="1644" t="e">
        <f>SUMIF(#REF!,Final!A2093,#REF!)</f>
        <v>#REF!</v>
      </c>
      <c r="G2093" s="1597" t="e">
        <f t="shared" si="220"/>
        <v>#REF!</v>
      </c>
      <c r="H2093" s="1644" t="e">
        <f t="shared" si="221"/>
        <v>#REF!</v>
      </c>
      <c r="I2093" s="1597" t="e">
        <f t="shared" si="222"/>
        <v>#REF!</v>
      </c>
      <c r="J2093" s="1644" t="e">
        <f t="shared" si="223"/>
        <v>#REF!</v>
      </c>
      <c r="K2093" s="1539"/>
      <c r="L2093" s="1539"/>
      <c r="M2093" s="1545"/>
      <c r="N2093" s="1545"/>
      <c r="O2093" s="1539"/>
      <c r="P2093" s="1539"/>
      <c r="Q2093" s="1539"/>
      <c r="R2093" s="1539"/>
      <c r="S2093" s="1539"/>
      <c r="T2093" s="1539"/>
      <c r="U2093" s="1539"/>
      <c r="V2093" s="1539"/>
      <c r="W2093" s="1539"/>
      <c r="X2093" s="1539"/>
      <c r="Y2093" s="1539"/>
      <c r="Z2093" s="1539"/>
      <c r="AA2093" s="1539"/>
      <c r="AB2093" s="1539"/>
      <c r="AC2093" s="1539"/>
      <c r="AD2093" s="1539"/>
      <c r="AE2093" s="1539"/>
      <c r="AF2093" s="1539"/>
      <c r="AG2093" s="1539"/>
      <c r="AH2093" s="1539"/>
      <c r="AI2093" s="1539"/>
      <c r="AJ2093" s="1539"/>
      <c r="AK2093" s="1539"/>
      <c r="AL2093" s="1539"/>
      <c r="AM2093" s="1539"/>
      <c r="AN2093" s="1539"/>
      <c r="AO2093" s="1539"/>
      <c r="AP2093" s="1539"/>
      <c r="AQ2093" s="1539"/>
      <c r="AR2093" s="1539"/>
      <c r="AS2093" s="1539"/>
      <c r="AT2093" s="1539"/>
      <c r="AU2093" s="1539"/>
      <c r="AV2093" s="1539"/>
      <c r="AW2093" s="1539"/>
      <c r="AX2093" s="1539"/>
      <c r="AY2093" s="1539"/>
      <c r="AZ2093" s="1539"/>
      <c r="BA2093" s="1539"/>
      <c r="BB2093" s="1539"/>
      <c r="BC2093" s="1539"/>
      <c r="BD2093" s="1539"/>
      <c r="BE2093" s="1539"/>
      <c r="BF2093" s="1539"/>
      <c r="BG2093" s="1539"/>
      <c r="BH2093" s="1539"/>
      <c r="BI2093" s="1539"/>
      <c r="BJ2093" s="1539"/>
      <c r="BK2093" s="1539"/>
      <c r="BL2093" s="1539"/>
      <c r="BM2093" s="1539"/>
      <c r="BN2093" s="1539"/>
      <c r="BO2093" s="1539"/>
      <c r="BP2093" s="1539"/>
      <c r="BQ2093" s="1539"/>
      <c r="BR2093" s="1539"/>
      <c r="BS2093" s="1539"/>
      <c r="BT2093" s="1539"/>
      <c r="BU2093" s="1539"/>
      <c r="BV2093" s="1539"/>
      <c r="BW2093" s="1539"/>
      <c r="BX2093" s="1539"/>
      <c r="BY2093" s="1539"/>
      <c r="BZ2093" s="1539"/>
      <c r="CA2093" s="1539"/>
      <c r="CB2093" s="1539"/>
      <c r="CC2093" s="1539"/>
      <c r="CD2093" s="1539"/>
      <c r="CE2093" s="1539"/>
      <c r="CF2093" s="1539"/>
      <c r="CG2093" s="1539"/>
      <c r="CH2093" s="1539"/>
      <c r="CI2093" s="1539"/>
      <c r="CJ2093" s="1539"/>
      <c r="CK2093" s="1539"/>
      <c r="CL2093" s="1539"/>
      <c r="CM2093" s="1539"/>
      <c r="CN2093" s="1539"/>
      <c r="CO2093" s="1539"/>
    </row>
    <row r="2094" spans="1:93" s="1552" customFormat="1" ht="15.5">
      <c r="A2094" s="1598" t="s">
        <v>3443</v>
      </c>
      <c r="B2094" s="1599" t="s">
        <v>1760</v>
      </c>
      <c r="C2094" s="1643" t="e">
        <f>+SUMIF(#REF!,Final!A2094,#REF!)</f>
        <v>#REF!</v>
      </c>
      <c r="D2094" s="1597" t="e">
        <f>+SUMIF(#REF!,Final!A2094,#REF!)</f>
        <v>#REF!</v>
      </c>
      <c r="E2094" s="1643" t="e">
        <f>SUMIF(#REF!,Final!A2094,#REF!)</f>
        <v>#REF!</v>
      </c>
      <c r="F2094" s="1644" t="e">
        <f>SUMIF(#REF!,Final!A2094,#REF!)</f>
        <v>#REF!</v>
      </c>
      <c r="G2094" s="1597" t="e">
        <f t="shared" si="220"/>
        <v>#REF!</v>
      </c>
      <c r="H2094" s="1644" t="e">
        <f t="shared" si="221"/>
        <v>#REF!</v>
      </c>
      <c r="I2094" s="1597" t="e">
        <f t="shared" si="222"/>
        <v>#REF!</v>
      </c>
      <c r="J2094" s="1644" t="e">
        <f t="shared" si="223"/>
        <v>#REF!</v>
      </c>
      <c r="K2094" s="1539"/>
      <c r="L2094" s="1539"/>
      <c r="M2094" s="1545"/>
      <c r="N2094" s="1545"/>
      <c r="O2094" s="1539"/>
      <c r="P2094" s="1539"/>
      <c r="Q2094" s="1539"/>
      <c r="R2094" s="1539"/>
      <c r="S2094" s="1539"/>
      <c r="T2094" s="1539"/>
      <c r="U2094" s="1539"/>
      <c r="V2094" s="1539"/>
      <c r="W2094" s="1539"/>
      <c r="X2094" s="1539"/>
      <c r="Y2094" s="1539"/>
      <c r="Z2094" s="1539"/>
      <c r="AA2094" s="1539"/>
      <c r="AB2094" s="1539"/>
      <c r="AC2094" s="1539"/>
      <c r="AD2094" s="1539"/>
      <c r="AE2094" s="1539"/>
      <c r="AF2094" s="1539"/>
      <c r="AG2094" s="1539"/>
      <c r="AH2094" s="1539"/>
      <c r="AI2094" s="1539"/>
      <c r="AJ2094" s="1539"/>
      <c r="AK2094" s="1539"/>
      <c r="AL2094" s="1539"/>
      <c r="AM2094" s="1539"/>
      <c r="AN2094" s="1539"/>
      <c r="AO2094" s="1539"/>
      <c r="AP2094" s="1539"/>
      <c r="AQ2094" s="1539"/>
      <c r="AR2094" s="1539"/>
      <c r="AS2094" s="1539"/>
      <c r="AT2094" s="1539"/>
      <c r="AU2094" s="1539"/>
      <c r="AV2094" s="1539"/>
      <c r="AW2094" s="1539"/>
      <c r="AX2094" s="1539"/>
      <c r="AY2094" s="1539"/>
      <c r="AZ2094" s="1539"/>
      <c r="BA2094" s="1539"/>
      <c r="BB2094" s="1539"/>
      <c r="BC2094" s="1539"/>
      <c r="BD2094" s="1539"/>
      <c r="BE2094" s="1539"/>
      <c r="BF2094" s="1539"/>
      <c r="BG2094" s="1539"/>
      <c r="BH2094" s="1539"/>
      <c r="BI2094" s="1539"/>
      <c r="BJ2094" s="1539"/>
      <c r="BK2094" s="1539"/>
      <c r="BL2094" s="1539"/>
      <c r="BM2094" s="1539"/>
      <c r="BN2094" s="1539"/>
      <c r="BO2094" s="1539"/>
      <c r="BP2094" s="1539"/>
      <c r="BQ2094" s="1539"/>
      <c r="BR2094" s="1539"/>
      <c r="BS2094" s="1539"/>
      <c r="BT2094" s="1539"/>
      <c r="BU2094" s="1539"/>
      <c r="BV2094" s="1539"/>
      <c r="BW2094" s="1539"/>
      <c r="BX2094" s="1539"/>
      <c r="BY2094" s="1539"/>
      <c r="BZ2094" s="1539"/>
      <c r="CA2094" s="1539"/>
      <c r="CB2094" s="1539"/>
      <c r="CC2094" s="1539"/>
      <c r="CD2094" s="1539"/>
      <c r="CE2094" s="1539"/>
      <c r="CF2094" s="1539"/>
      <c r="CG2094" s="1539"/>
      <c r="CH2094" s="1539"/>
      <c r="CI2094" s="1539"/>
      <c r="CJ2094" s="1539"/>
      <c r="CK2094" s="1539"/>
      <c r="CL2094" s="1539"/>
      <c r="CM2094" s="1539"/>
      <c r="CN2094" s="1539"/>
      <c r="CO2094" s="1539"/>
    </row>
    <row r="2095" spans="1:93" s="1542" customFormat="1" ht="15.5">
      <c r="A2095" s="1598">
        <v>12</v>
      </c>
      <c r="B2095" s="1599" t="s">
        <v>1978</v>
      </c>
      <c r="C2095" s="1643" t="e">
        <f>+SUMIF(#REF!,Final!A2095,#REF!)</f>
        <v>#REF!</v>
      </c>
      <c r="D2095" s="1597" t="e">
        <f>+SUMIF(#REF!,Final!A2095,#REF!)</f>
        <v>#REF!</v>
      </c>
      <c r="E2095" s="1643" t="e">
        <f>SUMIF(#REF!,Final!A2095,#REF!)</f>
        <v>#REF!</v>
      </c>
      <c r="F2095" s="1644" t="e">
        <f>SUMIF(#REF!,Final!A2095,#REF!)</f>
        <v>#REF!</v>
      </c>
      <c r="G2095" s="1597" t="e">
        <f t="shared" si="220"/>
        <v>#REF!</v>
      </c>
      <c r="H2095" s="1644" t="e">
        <f t="shared" si="221"/>
        <v>#REF!</v>
      </c>
      <c r="I2095" s="1597" t="e">
        <f t="shared" si="222"/>
        <v>#REF!</v>
      </c>
      <c r="J2095" s="1644" t="e">
        <f t="shared" si="223"/>
        <v>#REF!</v>
      </c>
      <c r="K2095" s="1539"/>
      <c r="L2095" s="1539"/>
      <c r="M2095" s="1545"/>
      <c r="N2095" s="1545"/>
      <c r="O2095" s="1539"/>
      <c r="P2095" s="1539"/>
      <c r="Q2095" s="1539"/>
      <c r="R2095" s="1539"/>
      <c r="S2095" s="1539"/>
      <c r="T2095" s="1539"/>
      <c r="U2095" s="1539"/>
      <c r="V2095" s="1539"/>
      <c r="W2095" s="1539"/>
      <c r="X2095" s="1539"/>
      <c r="Y2095" s="1539"/>
      <c r="Z2095" s="1539"/>
      <c r="AA2095" s="1539"/>
      <c r="AB2095" s="1539"/>
      <c r="AC2095" s="1539"/>
      <c r="AD2095" s="1539"/>
      <c r="AE2095" s="1539"/>
      <c r="AF2095" s="1539"/>
      <c r="AG2095" s="1539"/>
      <c r="AH2095" s="1539"/>
      <c r="AI2095" s="1539"/>
      <c r="AJ2095" s="1539"/>
      <c r="AK2095" s="1539"/>
      <c r="AL2095" s="1539"/>
      <c r="AM2095" s="1539"/>
      <c r="AN2095" s="1539"/>
      <c r="AO2095" s="1539"/>
      <c r="AP2095" s="1539"/>
      <c r="AQ2095" s="1539"/>
      <c r="AR2095" s="1539"/>
      <c r="AS2095" s="1539"/>
      <c r="AT2095" s="1539"/>
      <c r="AU2095" s="1539"/>
      <c r="AV2095" s="1539"/>
      <c r="AW2095" s="1539"/>
      <c r="AX2095" s="1539"/>
      <c r="AY2095" s="1539"/>
      <c r="AZ2095" s="1539"/>
      <c r="BA2095" s="1539"/>
      <c r="BB2095" s="1539"/>
      <c r="BC2095" s="1539"/>
      <c r="BD2095" s="1539"/>
      <c r="BE2095" s="1539"/>
      <c r="BF2095" s="1539"/>
      <c r="BG2095" s="1539"/>
      <c r="BH2095" s="1539"/>
      <c r="BI2095" s="1539"/>
      <c r="BJ2095" s="1539"/>
      <c r="BK2095" s="1539"/>
      <c r="BL2095" s="1539"/>
      <c r="BM2095" s="1539"/>
      <c r="BN2095" s="1539"/>
      <c r="BO2095" s="1539"/>
      <c r="BP2095" s="1539"/>
      <c r="BQ2095" s="1539"/>
      <c r="BR2095" s="1539"/>
      <c r="BS2095" s="1539"/>
      <c r="BT2095" s="1539"/>
      <c r="BU2095" s="1539"/>
      <c r="BV2095" s="1539"/>
      <c r="BW2095" s="1539"/>
      <c r="BX2095" s="1539"/>
      <c r="BY2095" s="1539"/>
      <c r="BZ2095" s="1539"/>
      <c r="CA2095" s="1539"/>
      <c r="CB2095" s="1539"/>
      <c r="CC2095" s="1539"/>
      <c r="CD2095" s="1539"/>
      <c r="CE2095" s="1539"/>
      <c r="CF2095" s="1539"/>
      <c r="CG2095" s="1539"/>
      <c r="CH2095" s="1539"/>
      <c r="CI2095" s="1539"/>
      <c r="CJ2095" s="1539"/>
      <c r="CK2095" s="1539"/>
      <c r="CL2095" s="1539"/>
      <c r="CM2095" s="1539"/>
      <c r="CN2095" s="1539"/>
      <c r="CO2095" s="1539"/>
    </row>
    <row r="2096" spans="1:93" s="1542" customFormat="1" ht="15.5">
      <c r="A2096" s="1598" t="s">
        <v>544</v>
      </c>
      <c r="B2096" s="1599" t="s">
        <v>1979</v>
      </c>
      <c r="C2096" s="1643" t="e">
        <f>+SUMIF(#REF!,Final!A2096,#REF!)</f>
        <v>#REF!</v>
      </c>
      <c r="D2096" s="1597" t="e">
        <f>+SUMIF(#REF!,Final!A2096,#REF!)</f>
        <v>#REF!</v>
      </c>
      <c r="E2096" s="1643" t="e">
        <f>SUMIF(#REF!,Final!A2096,#REF!)</f>
        <v>#REF!</v>
      </c>
      <c r="F2096" s="1644" t="e">
        <f>SUMIF(#REF!,Final!A2096,#REF!)</f>
        <v>#REF!</v>
      </c>
      <c r="G2096" s="1597" t="e">
        <f t="shared" si="220"/>
        <v>#REF!</v>
      </c>
      <c r="H2096" s="1644" t="e">
        <f t="shared" si="221"/>
        <v>#REF!</v>
      </c>
      <c r="I2096" s="1597" t="e">
        <f t="shared" si="222"/>
        <v>#REF!</v>
      </c>
      <c r="J2096" s="1644" t="e">
        <f t="shared" si="223"/>
        <v>#REF!</v>
      </c>
      <c r="K2096" s="1539"/>
      <c r="L2096" s="1539"/>
      <c r="M2096" s="1545"/>
      <c r="N2096" s="1545"/>
      <c r="O2096" s="1539"/>
      <c r="P2096" s="1539"/>
      <c r="Q2096" s="1539"/>
      <c r="R2096" s="1539"/>
      <c r="S2096" s="1539"/>
      <c r="T2096" s="1539"/>
      <c r="U2096" s="1539"/>
      <c r="V2096" s="1539"/>
      <c r="W2096" s="1539"/>
      <c r="X2096" s="1539"/>
      <c r="Y2096" s="1539"/>
      <c r="Z2096" s="1539"/>
      <c r="AA2096" s="1539"/>
      <c r="AB2096" s="1539"/>
      <c r="AC2096" s="1539"/>
      <c r="AD2096" s="1539"/>
      <c r="AE2096" s="1539"/>
      <c r="AF2096" s="1539"/>
      <c r="AG2096" s="1539"/>
      <c r="AH2096" s="1539"/>
      <c r="AI2096" s="1539"/>
      <c r="AJ2096" s="1539"/>
      <c r="AK2096" s="1539"/>
      <c r="AL2096" s="1539"/>
      <c r="AM2096" s="1539"/>
      <c r="AN2096" s="1539"/>
      <c r="AO2096" s="1539"/>
      <c r="AP2096" s="1539"/>
      <c r="AQ2096" s="1539"/>
      <c r="AR2096" s="1539"/>
      <c r="AS2096" s="1539"/>
      <c r="AT2096" s="1539"/>
      <c r="AU2096" s="1539"/>
      <c r="AV2096" s="1539"/>
      <c r="AW2096" s="1539"/>
      <c r="AX2096" s="1539"/>
      <c r="AY2096" s="1539"/>
      <c r="AZ2096" s="1539"/>
      <c r="BA2096" s="1539"/>
      <c r="BB2096" s="1539"/>
      <c r="BC2096" s="1539"/>
      <c r="BD2096" s="1539"/>
      <c r="BE2096" s="1539"/>
      <c r="BF2096" s="1539"/>
      <c r="BG2096" s="1539"/>
      <c r="BH2096" s="1539"/>
      <c r="BI2096" s="1539"/>
      <c r="BJ2096" s="1539"/>
      <c r="BK2096" s="1539"/>
      <c r="BL2096" s="1539"/>
      <c r="BM2096" s="1539"/>
      <c r="BN2096" s="1539"/>
      <c r="BO2096" s="1539"/>
      <c r="BP2096" s="1539"/>
      <c r="BQ2096" s="1539"/>
      <c r="BR2096" s="1539"/>
      <c r="BS2096" s="1539"/>
      <c r="BT2096" s="1539"/>
      <c r="BU2096" s="1539"/>
      <c r="BV2096" s="1539"/>
      <c r="BW2096" s="1539"/>
      <c r="BX2096" s="1539"/>
      <c r="BY2096" s="1539"/>
      <c r="BZ2096" s="1539"/>
      <c r="CA2096" s="1539"/>
      <c r="CB2096" s="1539"/>
      <c r="CC2096" s="1539"/>
      <c r="CD2096" s="1539"/>
      <c r="CE2096" s="1539"/>
      <c r="CF2096" s="1539"/>
      <c r="CG2096" s="1539"/>
      <c r="CH2096" s="1539"/>
      <c r="CI2096" s="1539"/>
      <c r="CJ2096" s="1539"/>
      <c r="CK2096" s="1539"/>
      <c r="CL2096" s="1539"/>
      <c r="CM2096" s="1539"/>
      <c r="CN2096" s="1539"/>
      <c r="CO2096" s="1539"/>
    </row>
    <row r="2097" spans="1:93" s="1542" customFormat="1" ht="15.5">
      <c r="A2097" s="1598" t="s">
        <v>1762</v>
      </c>
      <c r="B2097" s="1599" t="s">
        <v>1980</v>
      </c>
      <c r="C2097" s="1643" t="e">
        <f>+SUMIF(#REF!,Final!A2097,#REF!)</f>
        <v>#REF!</v>
      </c>
      <c r="D2097" s="1597" t="e">
        <f>+SUMIF(#REF!,Final!A2097,#REF!)</f>
        <v>#REF!</v>
      </c>
      <c r="E2097" s="1643" t="e">
        <f>SUMIF(#REF!,Final!A2097,#REF!)</f>
        <v>#REF!</v>
      </c>
      <c r="F2097" s="1644" t="e">
        <f>SUMIF(#REF!,Final!A2097,#REF!)</f>
        <v>#REF!</v>
      </c>
      <c r="G2097" s="1597" t="e">
        <f t="shared" si="220"/>
        <v>#REF!</v>
      </c>
      <c r="H2097" s="1644" t="e">
        <f t="shared" si="221"/>
        <v>#REF!</v>
      </c>
      <c r="I2097" s="1597" t="e">
        <f t="shared" si="222"/>
        <v>#REF!</v>
      </c>
      <c r="J2097" s="1644" t="e">
        <f t="shared" si="223"/>
        <v>#REF!</v>
      </c>
      <c r="K2097" s="1539"/>
      <c r="L2097" s="1539"/>
      <c r="M2097" s="1545"/>
      <c r="N2097" s="1545"/>
      <c r="O2097" s="1539"/>
      <c r="P2097" s="1539"/>
      <c r="Q2097" s="1539"/>
      <c r="R2097" s="1539"/>
      <c r="S2097" s="1539"/>
      <c r="T2097" s="1539"/>
      <c r="U2097" s="1539"/>
      <c r="V2097" s="1539"/>
      <c r="W2097" s="1539"/>
      <c r="X2097" s="1539"/>
      <c r="Y2097" s="1539"/>
      <c r="Z2097" s="1539"/>
      <c r="AA2097" s="1539"/>
      <c r="AB2097" s="1539"/>
      <c r="AC2097" s="1539"/>
      <c r="AD2097" s="1539"/>
      <c r="AE2097" s="1539"/>
      <c r="AF2097" s="1539"/>
      <c r="AG2097" s="1539"/>
      <c r="AH2097" s="1539"/>
      <c r="AI2097" s="1539"/>
      <c r="AJ2097" s="1539"/>
      <c r="AK2097" s="1539"/>
      <c r="AL2097" s="1539"/>
      <c r="AM2097" s="1539"/>
      <c r="AN2097" s="1539"/>
      <c r="AO2097" s="1539"/>
      <c r="AP2097" s="1539"/>
      <c r="AQ2097" s="1539"/>
      <c r="AR2097" s="1539"/>
      <c r="AS2097" s="1539"/>
      <c r="AT2097" s="1539"/>
      <c r="AU2097" s="1539"/>
      <c r="AV2097" s="1539"/>
      <c r="AW2097" s="1539"/>
      <c r="AX2097" s="1539"/>
      <c r="AY2097" s="1539"/>
      <c r="AZ2097" s="1539"/>
      <c r="BA2097" s="1539"/>
      <c r="BB2097" s="1539"/>
      <c r="BC2097" s="1539"/>
      <c r="BD2097" s="1539"/>
      <c r="BE2097" s="1539"/>
      <c r="BF2097" s="1539"/>
      <c r="BG2097" s="1539"/>
      <c r="BH2097" s="1539"/>
      <c r="BI2097" s="1539"/>
      <c r="BJ2097" s="1539"/>
      <c r="BK2097" s="1539"/>
      <c r="BL2097" s="1539"/>
      <c r="BM2097" s="1539"/>
      <c r="BN2097" s="1539"/>
      <c r="BO2097" s="1539"/>
      <c r="BP2097" s="1539"/>
      <c r="BQ2097" s="1539"/>
      <c r="BR2097" s="1539"/>
      <c r="BS2097" s="1539"/>
      <c r="BT2097" s="1539"/>
      <c r="BU2097" s="1539"/>
      <c r="BV2097" s="1539"/>
      <c r="BW2097" s="1539"/>
      <c r="BX2097" s="1539"/>
      <c r="BY2097" s="1539"/>
      <c r="BZ2097" s="1539"/>
      <c r="CA2097" s="1539"/>
      <c r="CB2097" s="1539"/>
      <c r="CC2097" s="1539"/>
      <c r="CD2097" s="1539"/>
      <c r="CE2097" s="1539"/>
      <c r="CF2097" s="1539"/>
      <c r="CG2097" s="1539"/>
      <c r="CH2097" s="1539"/>
      <c r="CI2097" s="1539"/>
      <c r="CJ2097" s="1539"/>
      <c r="CK2097" s="1539"/>
      <c r="CL2097" s="1539"/>
      <c r="CM2097" s="1539"/>
      <c r="CN2097" s="1539"/>
      <c r="CO2097" s="1539"/>
    </row>
    <row r="2098" spans="1:93" ht="15.5">
      <c r="A2098" s="1598">
        <v>46.301000000000002</v>
      </c>
      <c r="B2098" s="1599" t="s">
        <v>1981</v>
      </c>
      <c r="C2098" s="1643" t="e">
        <f>+SUMIF(#REF!,Final!A2098,#REF!)</f>
        <v>#REF!</v>
      </c>
      <c r="D2098" s="1597" t="e">
        <f>+SUMIF(#REF!,Final!A2098,#REF!)</f>
        <v>#REF!</v>
      </c>
      <c r="E2098" s="1643" t="e">
        <f>SUMIF(#REF!,Final!A2098,#REF!)</f>
        <v>#REF!</v>
      </c>
      <c r="F2098" s="1644" t="e">
        <f>SUMIF(#REF!,Final!A2098,#REF!)</f>
        <v>#REF!</v>
      </c>
      <c r="G2098" s="1597" t="e">
        <f t="shared" si="220"/>
        <v>#REF!</v>
      </c>
      <c r="H2098" s="1644" t="e">
        <f t="shared" si="221"/>
        <v>#REF!</v>
      </c>
      <c r="I2098" s="1597" t="e">
        <f t="shared" si="222"/>
        <v>#REF!</v>
      </c>
      <c r="J2098" s="1644" t="e">
        <f t="shared" si="223"/>
        <v>#REF!</v>
      </c>
      <c r="M2098" s="1545"/>
      <c r="N2098" s="1545"/>
    </row>
    <row r="2099" spans="1:93" ht="15.5">
      <c r="A2099" s="1598">
        <v>46.302</v>
      </c>
      <c r="B2099" s="1599" t="s">
        <v>1982</v>
      </c>
      <c r="C2099" s="1643" t="e">
        <f>+SUMIF(#REF!,Final!A2099,#REF!)</f>
        <v>#REF!</v>
      </c>
      <c r="D2099" s="1597" t="e">
        <f>+SUMIF(#REF!,Final!A2099,#REF!)</f>
        <v>#REF!</v>
      </c>
      <c r="E2099" s="1643" t="e">
        <f>SUMIF(#REF!,Final!A2099,#REF!)</f>
        <v>#REF!</v>
      </c>
      <c r="F2099" s="1644" t="e">
        <f>SUMIF(#REF!,Final!A2099,#REF!)</f>
        <v>#REF!</v>
      </c>
      <c r="G2099" s="1597" t="e">
        <f t="shared" si="220"/>
        <v>#REF!</v>
      </c>
      <c r="H2099" s="1644" t="e">
        <f t="shared" si="221"/>
        <v>#REF!</v>
      </c>
      <c r="I2099" s="1597" t="e">
        <f t="shared" si="222"/>
        <v>#REF!</v>
      </c>
      <c r="J2099" s="1644" t="e">
        <f t="shared" si="223"/>
        <v>#REF!</v>
      </c>
      <c r="M2099" s="1545"/>
      <c r="N2099" s="1545"/>
    </row>
    <row r="2100" spans="1:93" ht="15.5">
      <c r="A2100" s="1598">
        <v>46.302999999999997</v>
      </c>
      <c r="B2100" s="1599" t="s">
        <v>1983</v>
      </c>
      <c r="C2100" s="1643" t="e">
        <f>+SUMIF(#REF!,Final!A2100,#REF!)</f>
        <v>#REF!</v>
      </c>
      <c r="D2100" s="1597" t="e">
        <f>+SUMIF(#REF!,Final!A2100,#REF!)</f>
        <v>#REF!</v>
      </c>
      <c r="E2100" s="1643" t="e">
        <f>SUMIF(#REF!,Final!A2100,#REF!)</f>
        <v>#REF!</v>
      </c>
      <c r="F2100" s="1644" t="e">
        <f>SUMIF(#REF!,Final!A2100,#REF!)</f>
        <v>#REF!</v>
      </c>
      <c r="G2100" s="1597" t="e">
        <f t="shared" si="220"/>
        <v>#REF!</v>
      </c>
      <c r="H2100" s="1644" t="e">
        <f t="shared" si="221"/>
        <v>#REF!</v>
      </c>
      <c r="I2100" s="1597" t="e">
        <f t="shared" si="222"/>
        <v>#REF!</v>
      </c>
      <c r="J2100" s="1644" t="e">
        <f t="shared" si="223"/>
        <v>#REF!</v>
      </c>
      <c r="M2100" s="1545"/>
      <c r="N2100" s="1545"/>
    </row>
    <row r="2101" spans="1:93" ht="15.5">
      <c r="A2101" s="1598">
        <v>46.31</v>
      </c>
      <c r="B2101" s="1599"/>
      <c r="C2101" s="1643" t="e">
        <f>+SUMIF(#REF!,Final!A2101,#REF!)</f>
        <v>#REF!</v>
      </c>
      <c r="D2101" s="1597" t="e">
        <f>+SUMIF(#REF!,Final!A2101,#REF!)</f>
        <v>#REF!</v>
      </c>
      <c r="E2101" s="1643" t="e">
        <f>SUMIF(#REF!,Final!A2101,#REF!)</f>
        <v>#REF!</v>
      </c>
      <c r="F2101" s="1644" t="e">
        <f>SUMIF(#REF!,Final!A2101,#REF!)</f>
        <v>#REF!</v>
      </c>
      <c r="G2101" s="1597" t="e">
        <f t="shared" si="220"/>
        <v>#REF!</v>
      </c>
      <c r="H2101" s="1644" t="e">
        <f t="shared" si="221"/>
        <v>#REF!</v>
      </c>
      <c r="I2101" s="1597" t="e">
        <f t="shared" si="222"/>
        <v>#REF!</v>
      </c>
      <c r="J2101" s="1644" t="e">
        <f t="shared" si="223"/>
        <v>#REF!</v>
      </c>
      <c r="M2101" s="1545"/>
      <c r="N2101" s="1545"/>
    </row>
    <row r="2102" spans="1:93" ht="15.5">
      <c r="A2102" s="1598">
        <v>46.331000000000003</v>
      </c>
      <c r="B2102" s="1599"/>
      <c r="C2102" s="1643" t="e">
        <f>+SUMIF(#REF!,Final!A2102,#REF!)</f>
        <v>#REF!</v>
      </c>
      <c r="D2102" s="1597" t="e">
        <f>+SUMIF(#REF!,Final!A2102,#REF!)</f>
        <v>#REF!</v>
      </c>
      <c r="E2102" s="1643" t="e">
        <f>SUMIF(#REF!,Final!A2102,#REF!)</f>
        <v>#REF!</v>
      </c>
      <c r="F2102" s="1644" t="e">
        <f>SUMIF(#REF!,Final!A2102,#REF!)</f>
        <v>#REF!</v>
      </c>
      <c r="G2102" s="1597" t="e">
        <f t="shared" si="220"/>
        <v>#REF!</v>
      </c>
      <c r="H2102" s="1644" t="e">
        <f t="shared" si="221"/>
        <v>#REF!</v>
      </c>
      <c r="I2102" s="1597" t="e">
        <f t="shared" si="222"/>
        <v>#REF!</v>
      </c>
      <c r="J2102" s="1644" t="e">
        <f t="shared" si="223"/>
        <v>#REF!</v>
      </c>
      <c r="M2102" s="1545"/>
      <c r="N2102" s="1545"/>
    </row>
    <row r="2103" spans="1:93" s="1552" customFormat="1" ht="15.5">
      <c r="A2103" s="1598"/>
      <c r="B2103" s="1599" t="s">
        <v>1747</v>
      </c>
      <c r="C2103" s="1643" t="e">
        <f>+SUMIF(#REF!,Final!A2103,#REF!)</f>
        <v>#REF!</v>
      </c>
      <c r="D2103" s="1597" t="e">
        <f>+SUMIF(#REF!,Final!A2103,#REF!)</f>
        <v>#REF!</v>
      </c>
      <c r="E2103" s="1643" t="e">
        <f>SUMIF(#REF!,Final!A2103,#REF!)</f>
        <v>#REF!</v>
      </c>
      <c r="F2103" s="1644" t="e">
        <f>SUMIF(#REF!,Final!A2103,#REF!)</f>
        <v>#REF!</v>
      </c>
      <c r="G2103" s="1597" t="e">
        <f t="shared" si="220"/>
        <v>#REF!</v>
      </c>
      <c r="H2103" s="1644" t="e">
        <f t="shared" si="221"/>
        <v>#REF!</v>
      </c>
      <c r="I2103" s="1597" t="e">
        <f t="shared" si="222"/>
        <v>#REF!</v>
      </c>
      <c r="J2103" s="1644" t="e">
        <f t="shared" si="223"/>
        <v>#REF!</v>
      </c>
      <c r="K2103" s="1539"/>
      <c r="L2103" s="1539"/>
      <c r="M2103" s="1545"/>
      <c r="N2103" s="1545"/>
      <c r="O2103" s="1539"/>
      <c r="P2103" s="1539"/>
      <c r="Q2103" s="1539"/>
      <c r="R2103" s="1539"/>
      <c r="S2103" s="1539"/>
      <c r="T2103" s="1539"/>
      <c r="U2103" s="1539"/>
      <c r="V2103" s="1539"/>
      <c r="W2103" s="1539"/>
      <c r="X2103" s="1539"/>
      <c r="Y2103" s="1539"/>
      <c r="Z2103" s="1539"/>
      <c r="AA2103" s="1539"/>
      <c r="AB2103" s="1539"/>
      <c r="AC2103" s="1539"/>
      <c r="AD2103" s="1539"/>
      <c r="AE2103" s="1539"/>
      <c r="AF2103" s="1539"/>
      <c r="AG2103" s="1539"/>
      <c r="AH2103" s="1539"/>
      <c r="AI2103" s="1539"/>
      <c r="AJ2103" s="1539"/>
      <c r="AK2103" s="1539"/>
      <c r="AL2103" s="1539"/>
      <c r="AM2103" s="1539"/>
      <c r="AN2103" s="1539"/>
      <c r="AO2103" s="1539"/>
      <c r="AP2103" s="1539"/>
      <c r="AQ2103" s="1539"/>
      <c r="AR2103" s="1539"/>
      <c r="AS2103" s="1539"/>
      <c r="AT2103" s="1539"/>
      <c r="AU2103" s="1539"/>
      <c r="AV2103" s="1539"/>
      <c r="AW2103" s="1539"/>
      <c r="AX2103" s="1539"/>
      <c r="AY2103" s="1539"/>
      <c r="AZ2103" s="1539"/>
      <c r="BA2103" s="1539"/>
      <c r="BB2103" s="1539"/>
      <c r="BC2103" s="1539"/>
      <c r="BD2103" s="1539"/>
      <c r="BE2103" s="1539"/>
      <c r="BF2103" s="1539"/>
      <c r="BG2103" s="1539"/>
      <c r="BH2103" s="1539"/>
      <c r="BI2103" s="1539"/>
      <c r="BJ2103" s="1539"/>
      <c r="BK2103" s="1539"/>
      <c r="BL2103" s="1539"/>
      <c r="BM2103" s="1539"/>
      <c r="BN2103" s="1539"/>
      <c r="BO2103" s="1539"/>
      <c r="BP2103" s="1539"/>
      <c r="BQ2103" s="1539"/>
      <c r="BR2103" s="1539"/>
      <c r="BS2103" s="1539"/>
      <c r="BT2103" s="1539"/>
      <c r="BU2103" s="1539"/>
      <c r="BV2103" s="1539"/>
      <c r="BW2103" s="1539"/>
      <c r="BX2103" s="1539"/>
      <c r="BY2103" s="1539"/>
      <c r="BZ2103" s="1539"/>
      <c r="CA2103" s="1539"/>
      <c r="CB2103" s="1539"/>
      <c r="CC2103" s="1539"/>
      <c r="CD2103" s="1539"/>
      <c r="CE2103" s="1539"/>
      <c r="CF2103" s="1539"/>
      <c r="CG2103" s="1539"/>
      <c r="CH2103" s="1539"/>
      <c r="CI2103" s="1539"/>
      <c r="CJ2103" s="1539"/>
      <c r="CK2103" s="1539"/>
      <c r="CL2103" s="1539"/>
      <c r="CM2103" s="1539"/>
      <c r="CN2103" s="1539"/>
      <c r="CO2103" s="1539"/>
    </row>
    <row r="2104" spans="1:93" s="1552" customFormat="1" ht="15.5">
      <c r="A2104" s="1598" t="s">
        <v>2916</v>
      </c>
      <c r="B2104" s="1599" t="s">
        <v>1760</v>
      </c>
      <c r="C2104" s="1643" t="e">
        <f>+SUMIF(#REF!,Final!A2104,#REF!)</f>
        <v>#REF!</v>
      </c>
      <c r="D2104" s="1597" t="e">
        <f>+SUMIF(#REF!,Final!A2104,#REF!)</f>
        <v>#REF!</v>
      </c>
      <c r="E2104" s="1643" t="e">
        <f>SUMIF(#REF!,Final!A2104,#REF!)</f>
        <v>#REF!</v>
      </c>
      <c r="F2104" s="1644" t="e">
        <f>SUMIF(#REF!,Final!A2104,#REF!)</f>
        <v>#REF!</v>
      </c>
      <c r="G2104" s="1597" t="e">
        <f t="shared" si="220"/>
        <v>#REF!</v>
      </c>
      <c r="H2104" s="1644" t="e">
        <f t="shared" si="221"/>
        <v>#REF!</v>
      </c>
      <c r="I2104" s="1597" t="e">
        <f t="shared" si="222"/>
        <v>#REF!</v>
      </c>
      <c r="J2104" s="1644" t="e">
        <f t="shared" si="223"/>
        <v>#REF!</v>
      </c>
      <c r="K2104" s="1539"/>
      <c r="L2104" s="1539"/>
      <c r="M2104" s="1545"/>
      <c r="N2104" s="1545"/>
      <c r="O2104" s="1539"/>
      <c r="P2104" s="1539"/>
      <c r="Q2104" s="1539"/>
      <c r="R2104" s="1539"/>
      <c r="S2104" s="1539"/>
      <c r="T2104" s="1539"/>
      <c r="U2104" s="1539"/>
      <c r="V2104" s="1539"/>
      <c r="W2104" s="1539"/>
      <c r="X2104" s="1539"/>
      <c r="Y2104" s="1539"/>
      <c r="Z2104" s="1539"/>
      <c r="AA2104" s="1539"/>
      <c r="AB2104" s="1539"/>
      <c r="AC2104" s="1539"/>
      <c r="AD2104" s="1539"/>
      <c r="AE2104" s="1539"/>
      <c r="AF2104" s="1539"/>
      <c r="AG2104" s="1539"/>
      <c r="AH2104" s="1539"/>
      <c r="AI2104" s="1539"/>
      <c r="AJ2104" s="1539"/>
      <c r="AK2104" s="1539"/>
      <c r="AL2104" s="1539"/>
      <c r="AM2104" s="1539"/>
      <c r="AN2104" s="1539"/>
      <c r="AO2104" s="1539"/>
      <c r="AP2104" s="1539"/>
      <c r="AQ2104" s="1539"/>
      <c r="AR2104" s="1539"/>
      <c r="AS2104" s="1539"/>
      <c r="AT2104" s="1539"/>
      <c r="AU2104" s="1539"/>
      <c r="AV2104" s="1539"/>
      <c r="AW2104" s="1539"/>
      <c r="AX2104" s="1539"/>
      <c r="AY2104" s="1539"/>
      <c r="AZ2104" s="1539"/>
      <c r="BA2104" s="1539"/>
      <c r="BB2104" s="1539"/>
      <c r="BC2104" s="1539"/>
      <c r="BD2104" s="1539"/>
      <c r="BE2104" s="1539"/>
      <c r="BF2104" s="1539"/>
      <c r="BG2104" s="1539"/>
      <c r="BH2104" s="1539"/>
      <c r="BI2104" s="1539"/>
      <c r="BJ2104" s="1539"/>
      <c r="BK2104" s="1539"/>
      <c r="BL2104" s="1539"/>
      <c r="BM2104" s="1539"/>
      <c r="BN2104" s="1539"/>
      <c r="BO2104" s="1539"/>
      <c r="BP2104" s="1539"/>
      <c r="BQ2104" s="1539"/>
      <c r="BR2104" s="1539"/>
      <c r="BS2104" s="1539"/>
      <c r="BT2104" s="1539"/>
      <c r="BU2104" s="1539"/>
      <c r="BV2104" s="1539"/>
      <c r="BW2104" s="1539"/>
      <c r="BX2104" s="1539"/>
      <c r="BY2104" s="1539"/>
      <c r="BZ2104" s="1539"/>
      <c r="CA2104" s="1539"/>
      <c r="CB2104" s="1539"/>
      <c r="CC2104" s="1539"/>
      <c r="CD2104" s="1539"/>
      <c r="CE2104" s="1539"/>
      <c r="CF2104" s="1539"/>
      <c r="CG2104" s="1539"/>
      <c r="CH2104" s="1539"/>
      <c r="CI2104" s="1539"/>
      <c r="CJ2104" s="1539"/>
      <c r="CK2104" s="1539"/>
      <c r="CL2104" s="1539"/>
      <c r="CM2104" s="1539"/>
      <c r="CN2104" s="1539"/>
      <c r="CO2104" s="1539"/>
    </row>
    <row r="2105" spans="1:93" s="1542" customFormat="1" ht="15.5">
      <c r="A2105" s="1598">
        <v>11</v>
      </c>
      <c r="B2105" s="1599" t="s">
        <v>1778</v>
      </c>
      <c r="C2105" s="1643" t="e">
        <f>+SUMIF(#REF!,Final!A2105,#REF!)</f>
        <v>#REF!</v>
      </c>
      <c r="D2105" s="1597" t="e">
        <f>+SUMIF(#REF!,Final!A2105,#REF!)</f>
        <v>#REF!</v>
      </c>
      <c r="E2105" s="1643" t="e">
        <f>SUMIF(#REF!,Final!A2105,#REF!)</f>
        <v>#REF!</v>
      </c>
      <c r="F2105" s="1644" t="e">
        <f>SUMIF(#REF!,Final!A2105,#REF!)</f>
        <v>#REF!</v>
      </c>
      <c r="G2105" s="1597" t="e">
        <f t="shared" si="220"/>
        <v>#REF!</v>
      </c>
      <c r="H2105" s="1644" t="e">
        <f t="shared" si="221"/>
        <v>#REF!</v>
      </c>
      <c r="I2105" s="1597" t="e">
        <f t="shared" si="222"/>
        <v>#REF!</v>
      </c>
      <c r="J2105" s="1644" t="e">
        <f t="shared" si="223"/>
        <v>#REF!</v>
      </c>
      <c r="K2105" s="1539"/>
      <c r="L2105" s="1539"/>
      <c r="M2105" s="1545"/>
      <c r="N2105" s="1545"/>
      <c r="O2105" s="1539"/>
      <c r="P2105" s="1539"/>
      <c r="Q2105" s="1539"/>
      <c r="R2105" s="1539"/>
      <c r="S2105" s="1539"/>
      <c r="T2105" s="1539"/>
      <c r="U2105" s="1539"/>
      <c r="V2105" s="1539"/>
      <c r="W2105" s="1539"/>
      <c r="X2105" s="1539"/>
      <c r="Y2105" s="1539"/>
      <c r="Z2105" s="1539"/>
      <c r="AA2105" s="1539"/>
      <c r="AB2105" s="1539"/>
      <c r="AC2105" s="1539"/>
      <c r="AD2105" s="1539"/>
      <c r="AE2105" s="1539"/>
      <c r="AF2105" s="1539"/>
      <c r="AG2105" s="1539"/>
      <c r="AH2105" s="1539"/>
      <c r="AI2105" s="1539"/>
      <c r="AJ2105" s="1539"/>
      <c r="AK2105" s="1539"/>
      <c r="AL2105" s="1539"/>
      <c r="AM2105" s="1539"/>
      <c r="AN2105" s="1539"/>
      <c r="AO2105" s="1539"/>
      <c r="AP2105" s="1539"/>
      <c r="AQ2105" s="1539"/>
      <c r="AR2105" s="1539"/>
      <c r="AS2105" s="1539"/>
      <c r="AT2105" s="1539"/>
      <c r="AU2105" s="1539"/>
      <c r="AV2105" s="1539"/>
      <c r="AW2105" s="1539"/>
      <c r="AX2105" s="1539"/>
      <c r="AY2105" s="1539"/>
      <c r="AZ2105" s="1539"/>
      <c r="BA2105" s="1539"/>
      <c r="BB2105" s="1539"/>
      <c r="BC2105" s="1539"/>
      <c r="BD2105" s="1539"/>
      <c r="BE2105" s="1539"/>
      <c r="BF2105" s="1539"/>
      <c r="BG2105" s="1539"/>
      <c r="BH2105" s="1539"/>
      <c r="BI2105" s="1539"/>
      <c r="BJ2105" s="1539"/>
      <c r="BK2105" s="1539"/>
      <c r="BL2105" s="1539"/>
      <c r="BM2105" s="1539"/>
      <c r="BN2105" s="1539"/>
      <c r="BO2105" s="1539"/>
      <c r="BP2105" s="1539"/>
      <c r="BQ2105" s="1539"/>
      <c r="BR2105" s="1539"/>
      <c r="BS2105" s="1539"/>
      <c r="BT2105" s="1539"/>
      <c r="BU2105" s="1539"/>
      <c r="BV2105" s="1539"/>
      <c r="BW2105" s="1539"/>
      <c r="BX2105" s="1539"/>
      <c r="BY2105" s="1539"/>
      <c r="BZ2105" s="1539"/>
      <c r="CA2105" s="1539"/>
      <c r="CB2105" s="1539"/>
      <c r="CC2105" s="1539"/>
      <c r="CD2105" s="1539"/>
      <c r="CE2105" s="1539"/>
      <c r="CF2105" s="1539"/>
      <c r="CG2105" s="1539"/>
      <c r="CH2105" s="1539"/>
      <c r="CI2105" s="1539"/>
      <c r="CJ2105" s="1539"/>
      <c r="CK2105" s="1539"/>
      <c r="CL2105" s="1539"/>
      <c r="CM2105" s="1539"/>
      <c r="CN2105" s="1539"/>
      <c r="CO2105" s="1539"/>
    </row>
    <row r="2106" spans="1:93" s="1542" customFormat="1" ht="15.5">
      <c r="A2106" s="1598" t="s">
        <v>543</v>
      </c>
      <c r="B2106" s="1599" t="s">
        <v>1784</v>
      </c>
      <c r="C2106" s="1643" t="e">
        <f>+SUMIF(#REF!,Final!A2106,#REF!)</f>
        <v>#REF!</v>
      </c>
      <c r="D2106" s="1597" t="e">
        <f>+SUMIF(#REF!,Final!A2106,#REF!)</f>
        <v>#REF!</v>
      </c>
      <c r="E2106" s="1643" t="e">
        <f>SUMIF(#REF!,Final!A2106,#REF!)</f>
        <v>#REF!</v>
      </c>
      <c r="F2106" s="1644" t="e">
        <f>SUMIF(#REF!,Final!A2106,#REF!)</f>
        <v>#REF!</v>
      </c>
      <c r="G2106" s="1597" t="e">
        <f t="shared" si="220"/>
        <v>#REF!</v>
      </c>
      <c r="H2106" s="1644" t="e">
        <f t="shared" si="221"/>
        <v>#REF!</v>
      </c>
      <c r="I2106" s="1597" t="e">
        <f t="shared" si="222"/>
        <v>#REF!</v>
      </c>
      <c r="J2106" s="1644" t="e">
        <f t="shared" si="223"/>
        <v>#REF!</v>
      </c>
      <c r="K2106" s="1539"/>
      <c r="L2106" s="1539"/>
      <c r="M2106" s="1545"/>
      <c r="N2106" s="1545"/>
      <c r="O2106" s="1539"/>
      <c r="P2106" s="1539"/>
      <c r="Q2106" s="1539"/>
      <c r="R2106" s="1539"/>
      <c r="S2106" s="1539"/>
      <c r="T2106" s="1539"/>
      <c r="U2106" s="1539"/>
      <c r="V2106" s="1539"/>
      <c r="W2106" s="1539"/>
      <c r="X2106" s="1539"/>
      <c r="Y2106" s="1539"/>
      <c r="Z2106" s="1539"/>
      <c r="AA2106" s="1539"/>
      <c r="AB2106" s="1539"/>
      <c r="AC2106" s="1539"/>
      <c r="AD2106" s="1539"/>
      <c r="AE2106" s="1539"/>
      <c r="AF2106" s="1539"/>
      <c r="AG2106" s="1539"/>
      <c r="AH2106" s="1539"/>
      <c r="AI2106" s="1539"/>
      <c r="AJ2106" s="1539"/>
      <c r="AK2106" s="1539"/>
      <c r="AL2106" s="1539"/>
      <c r="AM2106" s="1539"/>
      <c r="AN2106" s="1539"/>
      <c r="AO2106" s="1539"/>
      <c r="AP2106" s="1539"/>
      <c r="AQ2106" s="1539"/>
      <c r="AR2106" s="1539"/>
      <c r="AS2106" s="1539"/>
      <c r="AT2106" s="1539"/>
      <c r="AU2106" s="1539"/>
      <c r="AV2106" s="1539"/>
      <c r="AW2106" s="1539"/>
      <c r="AX2106" s="1539"/>
      <c r="AY2106" s="1539"/>
      <c r="AZ2106" s="1539"/>
      <c r="BA2106" s="1539"/>
      <c r="BB2106" s="1539"/>
      <c r="BC2106" s="1539"/>
      <c r="BD2106" s="1539"/>
      <c r="BE2106" s="1539"/>
      <c r="BF2106" s="1539"/>
      <c r="BG2106" s="1539"/>
      <c r="BH2106" s="1539"/>
      <c r="BI2106" s="1539"/>
      <c r="BJ2106" s="1539"/>
      <c r="BK2106" s="1539"/>
      <c r="BL2106" s="1539"/>
      <c r="BM2106" s="1539"/>
      <c r="BN2106" s="1539"/>
      <c r="BO2106" s="1539"/>
      <c r="BP2106" s="1539"/>
      <c r="BQ2106" s="1539"/>
      <c r="BR2106" s="1539"/>
      <c r="BS2106" s="1539"/>
      <c r="BT2106" s="1539"/>
      <c r="BU2106" s="1539"/>
      <c r="BV2106" s="1539"/>
      <c r="BW2106" s="1539"/>
      <c r="BX2106" s="1539"/>
      <c r="BY2106" s="1539"/>
      <c r="BZ2106" s="1539"/>
      <c r="CA2106" s="1539"/>
      <c r="CB2106" s="1539"/>
      <c r="CC2106" s="1539"/>
      <c r="CD2106" s="1539"/>
      <c r="CE2106" s="1539"/>
      <c r="CF2106" s="1539"/>
      <c r="CG2106" s="1539"/>
      <c r="CH2106" s="1539"/>
      <c r="CI2106" s="1539"/>
      <c r="CJ2106" s="1539"/>
      <c r="CK2106" s="1539"/>
      <c r="CL2106" s="1539"/>
      <c r="CM2106" s="1539"/>
      <c r="CN2106" s="1539"/>
      <c r="CO2106" s="1539"/>
    </row>
    <row r="2107" spans="1:93" s="1542" customFormat="1" ht="15.5">
      <c r="A2107" s="1598" t="s">
        <v>1851</v>
      </c>
      <c r="B2107" s="1599" t="s">
        <v>1852</v>
      </c>
      <c r="C2107" s="1643" t="e">
        <f>+SUMIF(#REF!,Final!A2107,#REF!)</f>
        <v>#REF!</v>
      </c>
      <c r="D2107" s="1597" t="e">
        <f>+SUMIF(#REF!,Final!A2107,#REF!)</f>
        <v>#REF!</v>
      </c>
      <c r="E2107" s="1643" t="e">
        <f>SUMIF(#REF!,Final!A2107,#REF!)</f>
        <v>#REF!</v>
      </c>
      <c r="F2107" s="1644" t="e">
        <f>SUMIF(#REF!,Final!A2107,#REF!)</f>
        <v>#REF!</v>
      </c>
      <c r="G2107" s="1597" t="e">
        <f t="shared" si="220"/>
        <v>#REF!</v>
      </c>
      <c r="H2107" s="1644" t="e">
        <f t="shared" si="221"/>
        <v>#REF!</v>
      </c>
      <c r="I2107" s="1597" t="e">
        <f t="shared" si="222"/>
        <v>#REF!</v>
      </c>
      <c r="J2107" s="1644" t="e">
        <f t="shared" si="223"/>
        <v>#REF!</v>
      </c>
      <c r="K2107" s="1539"/>
      <c r="L2107" s="1539"/>
      <c r="M2107" s="1545"/>
      <c r="N2107" s="1545"/>
      <c r="O2107" s="1539"/>
      <c r="P2107" s="1539"/>
      <c r="Q2107" s="1539"/>
      <c r="R2107" s="1539"/>
      <c r="S2107" s="1539"/>
      <c r="T2107" s="1539"/>
      <c r="U2107" s="1539"/>
      <c r="V2107" s="1539"/>
      <c r="W2107" s="1539"/>
      <c r="X2107" s="1539"/>
      <c r="Y2107" s="1539"/>
      <c r="Z2107" s="1539"/>
      <c r="AA2107" s="1539"/>
      <c r="AB2107" s="1539"/>
      <c r="AC2107" s="1539"/>
      <c r="AD2107" s="1539"/>
      <c r="AE2107" s="1539"/>
      <c r="AF2107" s="1539"/>
      <c r="AG2107" s="1539"/>
      <c r="AH2107" s="1539"/>
      <c r="AI2107" s="1539"/>
      <c r="AJ2107" s="1539"/>
      <c r="AK2107" s="1539"/>
      <c r="AL2107" s="1539"/>
      <c r="AM2107" s="1539"/>
      <c r="AN2107" s="1539"/>
      <c r="AO2107" s="1539"/>
      <c r="AP2107" s="1539"/>
      <c r="AQ2107" s="1539"/>
      <c r="AR2107" s="1539"/>
      <c r="AS2107" s="1539"/>
      <c r="AT2107" s="1539"/>
      <c r="AU2107" s="1539"/>
      <c r="AV2107" s="1539"/>
      <c r="AW2107" s="1539"/>
      <c r="AX2107" s="1539"/>
      <c r="AY2107" s="1539"/>
      <c r="AZ2107" s="1539"/>
      <c r="BA2107" s="1539"/>
      <c r="BB2107" s="1539"/>
      <c r="BC2107" s="1539"/>
      <c r="BD2107" s="1539"/>
      <c r="BE2107" s="1539"/>
      <c r="BF2107" s="1539"/>
      <c r="BG2107" s="1539"/>
      <c r="BH2107" s="1539"/>
      <c r="BI2107" s="1539"/>
      <c r="BJ2107" s="1539"/>
      <c r="BK2107" s="1539"/>
      <c r="BL2107" s="1539"/>
      <c r="BM2107" s="1539"/>
      <c r="BN2107" s="1539"/>
      <c r="BO2107" s="1539"/>
      <c r="BP2107" s="1539"/>
      <c r="BQ2107" s="1539"/>
      <c r="BR2107" s="1539"/>
      <c r="BS2107" s="1539"/>
      <c r="BT2107" s="1539"/>
      <c r="BU2107" s="1539"/>
      <c r="BV2107" s="1539"/>
      <c r="BW2107" s="1539"/>
      <c r="BX2107" s="1539"/>
      <c r="BY2107" s="1539"/>
      <c r="BZ2107" s="1539"/>
      <c r="CA2107" s="1539"/>
      <c r="CB2107" s="1539"/>
      <c r="CC2107" s="1539"/>
      <c r="CD2107" s="1539"/>
      <c r="CE2107" s="1539"/>
      <c r="CF2107" s="1539"/>
      <c r="CG2107" s="1539"/>
      <c r="CH2107" s="1539"/>
      <c r="CI2107" s="1539"/>
      <c r="CJ2107" s="1539"/>
      <c r="CK2107" s="1539"/>
      <c r="CL2107" s="1539"/>
      <c r="CM2107" s="1539"/>
      <c r="CN2107" s="1539"/>
      <c r="CO2107" s="1539"/>
    </row>
    <row r="2108" spans="1:93" ht="15.5">
      <c r="A2108" s="1598">
        <v>46.41</v>
      </c>
      <c r="B2108" s="1599" t="s">
        <v>1853</v>
      </c>
      <c r="C2108" s="1643" t="e">
        <f>+SUMIF(#REF!,Final!A2108,#REF!)</f>
        <v>#REF!</v>
      </c>
      <c r="D2108" s="1597" t="e">
        <f>+SUMIF(#REF!,Final!A2108,#REF!)</f>
        <v>#REF!</v>
      </c>
      <c r="E2108" s="1643" t="e">
        <f>SUMIF(#REF!,Final!A2108,#REF!)</f>
        <v>#REF!</v>
      </c>
      <c r="F2108" s="1644" t="e">
        <f>SUMIF(#REF!,Final!A2108,#REF!)</f>
        <v>#REF!</v>
      </c>
      <c r="G2108" s="1597" t="e">
        <f t="shared" ref="G2108:G2171" si="228">C2108+E2108</f>
        <v>#REF!</v>
      </c>
      <c r="H2108" s="1644" t="e">
        <f t="shared" ref="H2108:H2171" si="229">D2108+F2108</f>
        <v>#REF!</v>
      </c>
      <c r="I2108" s="1597" t="e">
        <f t="shared" ref="I2108:I2171" si="230">IF(G2108&gt;H2108,G2108-H2108,0)</f>
        <v>#REF!</v>
      </c>
      <c r="J2108" s="1644" t="e">
        <f t="shared" ref="J2108:J2171" si="231">IF(H2108&gt;G2108,H2108-G2108,0)</f>
        <v>#REF!</v>
      </c>
      <c r="M2108" s="1545"/>
      <c r="N2108" s="1545"/>
    </row>
    <row r="2109" spans="1:93" ht="15.5">
      <c r="A2109" s="1598">
        <v>46.411999999999999</v>
      </c>
      <c r="B2109" s="1599" t="s">
        <v>1854</v>
      </c>
      <c r="C2109" s="1643" t="e">
        <f>+SUMIF(#REF!,Final!A2109,#REF!)</f>
        <v>#REF!</v>
      </c>
      <c r="D2109" s="1597" t="e">
        <f>+SUMIF(#REF!,Final!A2109,#REF!)</f>
        <v>#REF!</v>
      </c>
      <c r="E2109" s="1643" t="e">
        <f>SUMIF(#REF!,Final!A2109,#REF!)</f>
        <v>#REF!</v>
      </c>
      <c r="F2109" s="1644" t="e">
        <f>SUMIF(#REF!,Final!A2109,#REF!)</f>
        <v>#REF!</v>
      </c>
      <c r="G2109" s="1597" t="e">
        <f t="shared" si="228"/>
        <v>#REF!</v>
      </c>
      <c r="H2109" s="1644" t="e">
        <f t="shared" si="229"/>
        <v>#REF!</v>
      </c>
      <c r="I2109" s="1597" t="e">
        <f t="shared" si="230"/>
        <v>#REF!</v>
      </c>
      <c r="J2109" s="1644" t="e">
        <f t="shared" si="231"/>
        <v>#REF!</v>
      </c>
      <c r="M2109" s="1545"/>
      <c r="N2109" s="1545"/>
    </row>
    <row r="2110" spans="1:93" ht="15.5">
      <c r="A2110" s="1598">
        <v>46.412999999999997</v>
      </c>
      <c r="B2110" s="1599" t="s">
        <v>1855</v>
      </c>
      <c r="C2110" s="1643" t="e">
        <f>+SUMIF(#REF!,Final!A2110,#REF!)</f>
        <v>#REF!</v>
      </c>
      <c r="D2110" s="1597" t="e">
        <f>+SUMIF(#REF!,Final!A2110,#REF!)</f>
        <v>#REF!</v>
      </c>
      <c r="E2110" s="1643" t="e">
        <f>SUMIF(#REF!,Final!A2110,#REF!)</f>
        <v>#REF!</v>
      </c>
      <c r="F2110" s="1644" t="e">
        <f>SUMIF(#REF!,Final!A2110,#REF!)</f>
        <v>#REF!</v>
      </c>
      <c r="G2110" s="1597" t="e">
        <f t="shared" si="228"/>
        <v>#REF!</v>
      </c>
      <c r="H2110" s="1644" t="e">
        <f t="shared" si="229"/>
        <v>#REF!</v>
      </c>
      <c r="I2110" s="1597" t="e">
        <f t="shared" si="230"/>
        <v>#REF!</v>
      </c>
      <c r="J2110" s="1644" t="e">
        <f t="shared" si="231"/>
        <v>#REF!</v>
      </c>
      <c r="M2110" s="1545"/>
      <c r="N2110" s="1545"/>
    </row>
    <row r="2111" spans="1:93" ht="15.5">
      <c r="A2111" s="1598">
        <v>46.414000000000001</v>
      </c>
      <c r="B2111" s="1599" t="s">
        <v>1856</v>
      </c>
      <c r="C2111" s="1643" t="e">
        <f>+SUMIF(#REF!,Final!A2111,#REF!)</f>
        <v>#REF!</v>
      </c>
      <c r="D2111" s="1597" t="e">
        <f>+SUMIF(#REF!,Final!A2111,#REF!)</f>
        <v>#REF!</v>
      </c>
      <c r="E2111" s="1643" t="e">
        <f>SUMIF(#REF!,Final!A2111,#REF!)</f>
        <v>#REF!</v>
      </c>
      <c r="F2111" s="1644" t="e">
        <f>SUMIF(#REF!,Final!A2111,#REF!)</f>
        <v>#REF!</v>
      </c>
      <c r="G2111" s="1597" t="e">
        <f t="shared" si="228"/>
        <v>#REF!</v>
      </c>
      <c r="H2111" s="1644" t="e">
        <f t="shared" si="229"/>
        <v>#REF!</v>
      </c>
      <c r="I2111" s="1597" t="e">
        <f t="shared" si="230"/>
        <v>#REF!</v>
      </c>
      <c r="J2111" s="1644" t="e">
        <f t="shared" si="231"/>
        <v>#REF!</v>
      </c>
      <c r="M2111" s="1545"/>
      <c r="N2111" s="1545"/>
    </row>
    <row r="2112" spans="1:93" ht="15.5">
      <c r="A2112" s="1598">
        <v>46.414999999999999</v>
      </c>
      <c r="B2112" s="1599" t="s">
        <v>1857</v>
      </c>
      <c r="C2112" s="1643" t="e">
        <f>+SUMIF(#REF!,Final!A2112,#REF!)</f>
        <v>#REF!</v>
      </c>
      <c r="D2112" s="1597" t="e">
        <f>+SUMIF(#REF!,Final!A2112,#REF!)</f>
        <v>#REF!</v>
      </c>
      <c r="E2112" s="1643" t="e">
        <f>SUMIF(#REF!,Final!A2112,#REF!)</f>
        <v>#REF!</v>
      </c>
      <c r="F2112" s="1644" t="e">
        <f>SUMIF(#REF!,Final!A2112,#REF!)</f>
        <v>#REF!</v>
      </c>
      <c r="G2112" s="1597" t="e">
        <f t="shared" si="228"/>
        <v>#REF!</v>
      </c>
      <c r="H2112" s="1644" t="e">
        <f t="shared" si="229"/>
        <v>#REF!</v>
      </c>
      <c r="I2112" s="1597" t="e">
        <f t="shared" si="230"/>
        <v>#REF!</v>
      </c>
      <c r="J2112" s="1644" t="e">
        <f t="shared" si="231"/>
        <v>#REF!</v>
      </c>
      <c r="M2112" s="1545"/>
      <c r="N2112" s="1545"/>
    </row>
    <row r="2113" spans="1:93" ht="15.5">
      <c r="A2113" s="1598">
        <v>46.417000000000002</v>
      </c>
      <c r="B2113" s="1599" t="s">
        <v>1858</v>
      </c>
      <c r="C2113" s="1643" t="e">
        <f>+SUMIF(#REF!,Final!A2113,#REF!)</f>
        <v>#REF!</v>
      </c>
      <c r="D2113" s="1597" t="e">
        <f>+SUMIF(#REF!,Final!A2113,#REF!)</f>
        <v>#REF!</v>
      </c>
      <c r="E2113" s="1643" t="e">
        <f>SUMIF(#REF!,Final!A2113,#REF!)</f>
        <v>#REF!</v>
      </c>
      <c r="F2113" s="1644" t="e">
        <f>SUMIF(#REF!,Final!A2113,#REF!)</f>
        <v>#REF!</v>
      </c>
      <c r="G2113" s="1597" t="e">
        <f t="shared" si="228"/>
        <v>#REF!</v>
      </c>
      <c r="H2113" s="1644" t="e">
        <f t="shared" si="229"/>
        <v>#REF!</v>
      </c>
      <c r="I2113" s="1597" t="e">
        <f t="shared" si="230"/>
        <v>#REF!</v>
      </c>
      <c r="J2113" s="1644" t="e">
        <f t="shared" si="231"/>
        <v>#REF!</v>
      </c>
      <c r="M2113" s="1545"/>
      <c r="N2113" s="1545"/>
    </row>
    <row r="2114" spans="1:93" ht="15.5">
      <c r="A2114" s="1598">
        <v>46.417999999999999</v>
      </c>
      <c r="B2114" s="1599" t="s">
        <v>1859</v>
      </c>
      <c r="C2114" s="1643" t="e">
        <f>+SUMIF(#REF!,Final!A2114,#REF!)</f>
        <v>#REF!</v>
      </c>
      <c r="D2114" s="1597" t="e">
        <f>+SUMIF(#REF!,Final!A2114,#REF!)</f>
        <v>#REF!</v>
      </c>
      <c r="E2114" s="1643" t="e">
        <f>SUMIF(#REF!,Final!A2114,#REF!)</f>
        <v>#REF!</v>
      </c>
      <c r="F2114" s="1644" t="e">
        <f>SUMIF(#REF!,Final!A2114,#REF!)</f>
        <v>#REF!</v>
      </c>
      <c r="G2114" s="1597" t="e">
        <f t="shared" si="228"/>
        <v>#REF!</v>
      </c>
      <c r="H2114" s="1644" t="e">
        <f t="shared" si="229"/>
        <v>#REF!</v>
      </c>
      <c r="I2114" s="1597" t="e">
        <f t="shared" si="230"/>
        <v>#REF!</v>
      </c>
      <c r="J2114" s="1644" t="e">
        <f t="shared" si="231"/>
        <v>#REF!</v>
      </c>
      <c r="M2114" s="1545"/>
      <c r="N2114" s="1545"/>
    </row>
    <row r="2115" spans="1:93" ht="15.5">
      <c r="A2115" s="1598">
        <v>46.418999999999997</v>
      </c>
      <c r="B2115" s="1599" t="s">
        <v>1860</v>
      </c>
      <c r="C2115" s="1643" t="e">
        <f>+SUMIF(#REF!,Final!A2115,#REF!)</f>
        <v>#REF!</v>
      </c>
      <c r="D2115" s="1597" t="e">
        <f>+SUMIF(#REF!,Final!A2115,#REF!)</f>
        <v>#REF!</v>
      </c>
      <c r="E2115" s="1643" t="e">
        <f>SUMIF(#REF!,Final!A2115,#REF!)</f>
        <v>#REF!</v>
      </c>
      <c r="F2115" s="1644" t="e">
        <f>SUMIF(#REF!,Final!A2115,#REF!)</f>
        <v>#REF!</v>
      </c>
      <c r="G2115" s="1597" t="e">
        <f t="shared" si="228"/>
        <v>#REF!</v>
      </c>
      <c r="H2115" s="1644" t="e">
        <f t="shared" si="229"/>
        <v>#REF!</v>
      </c>
      <c r="I2115" s="1597" t="e">
        <f t="shared" si="230"/>
        <v>#REF!</v>
      </c>
      <c r="J2115" s="1644" t="e">
        <f t="shared" si="231"/>
        <v>#REF!</v>
      </c>
      <c r="M2115" s="1545"/>
      <c r="N2115" s="1545"/>
    </row>
    <row r="2116" spans="1:93" s="1542" customFormat="1" ht="15.5">
      <c r="A2116" s="1598">
        <v>46.43</v>
      </c>
      <c r="B2116" s="1599" t="s">
        <v>1861</v>
      </c>
      <c r="C2116" s="1643" t="e">
        <f>+SUMIF(#REF!,Final!A2116,#REF!)</f>
        <v>#REF!</v>
      </c>
      <c r="D2116" s="1597" t="e">
        <f>+SUMIF(#REF!,Final!A2116,#REF!)</f>
        <v>#REF!</v>
      </c>
      <c r="E2116" s="1643" t="e">
        <f>SUMIF(#REF!,Final!A2116,#REF!)</f>
        <v>#REF!</v>
      </c>
      <c r="F2116" s="1644" t="e">
        <f>SUMIF(#REF!,Final!A2116,#REF!)</f>
        <v>#REF!</v>
      </c>
      <c r="G2116" s="1597" t="e">
        <f t="shared" si="228"/>
        <v>#REF!</v>
      </c>
      <c r="H2116" s="1644" t="e">
        <f t="shared" si="229"/>
        <v>#REF!</v>
      </c>
      <c r="I2116" s="1597" t="e">
        <f t="shared" si="230"/>
        <v>#REF!</v>
      </c>
      <c r="J2116" s="1644" t="e">
        <f t="shared" si="231"/>
        <v>#REF!</v>
      </c>
      <c r="K2116" s="1539"/>
      <c r="L2116" s="1539"/>
      <c r="M2116" s="1545"/>
      <c r="N2116" s="1545"/>
      <c r="O2116" s="1539"/>
      <c r="P2116" s="1539"/>
      <c r="Q2116" s="1539"/>
      <c r="R2116" s="1539"/>
      <c r="S2116" s="1539"/>
      <c r="T2116" s="1539"/>
      <c r="U2116" s="1539"/>
      <c r="V2116" s="1539"/>
      <c r="W2116" s="1539"/>
      <c r="X2116" s="1539"/>
      <c r="Y2116" s="1539"/>
      <c r="Z2116" s="1539"/>
      <c r="AA2116" s="1539"/>
      <c r="AB2116" s="1539"/>
      <c r="AC2116" s="1539"/>
      <c r="AD2116" s="1539"/>
      <c r="AE2116" s="1539"/>
      <c r="AF2116" s="1539"/>
      <c r="AG2116" s="1539"/>
      <c r="AH2116" s="1539"/>
      <c r="AI2116" s="1539"/>
      <c r="AJ2116" s="1539"/>
      <c r="AK2116" s="1539"/>
      <c r="AL2116" s="1539"/>
      <c r="AM2116" s="1539"/>
      <c r="AN2116" s="1539"/>
      <c r="AO2116" s="1539"/>
      <c r="AP2116" s="1539"/>
      <c r="AQ2116" s="1539"/>
      <c r="AR2116" s="1539"/>
      <c r="AS2116" s="1539"/>
      <c r="AT2116" s="1539"/>
      <c r="AU2116" s="1539"/>
      <c r="AV2116" s="1539"/>
      <c r="AW2116" s="1539"/>
      <c r="AX2116" s="1539"/>
      <c r="AY2116" s="1539"/>
      <c r="AZ2116" s="1539"/>
      <c r="BA2116" s="1539"/>
      <c r="BB2116" s="1539"/>
      <c r="BC2116" s="1539"/>
      <c r="BD2116" s="1539"/>
      <c r="BE2116" s="1539"/>
      <c r="BF2116" s="1539"/>
      <c r="BG2116" s="1539"/>
      <c r="BH2116" s="1539"/>
      <c r="BI2116" s="1539"/>
      <c r="BJ2116" s="1539"/>
      <c r="BK2116" s="1539"/>
      <c r="BL2116" s="1539"/>
      <c r="BM2116" s="1539"/>
      <c r="BN2116" s="1539"/>
      <c r="BO2116" s="1539"/>
      <c r="BP2116" s="1539"/>
      <c r="BQ2116" s="1539"/>
      <c r="BR2116" s="1539"/>
      <c r="BS2116" s="1539"/>
      <c r="BT2116" s="1539"/>
      <c r="BU2116" s="1539"/>
      <c r="BV2116" s="1539"/>
      <c r="BW2116" s="1539"/>
      <c r="BX2116" s="1539"/>
      <c r="BY2116" s="1539"/>
      <c r="BZ2116" s="1539"/>
      <c r="CA2116" s="1539"/>
      <c r="CB2116" s="1539"/>
      <c r="CC2116" s="1539"/>
      <c r="CD2116" s="1539"/>
      <c r="CE2116" s="1539"/>
      <c r="CF2116" s="1539"/>
      <c r="CG2116" s="1539"/>
      <c r="CH2116" s="1539"/>
      <c r="CI2116" s="1539"/>
      <c r="CJ2116" s="1539"/>
      <c r="CK2116" s="1539"/>
      <c r="CL2116" s="1539"/>
      <c r="CM2116" s="1539"/>
      <c r="CN2116" s="1539"/>
      <c r="CO2116" s="1539"/>
    </row>
    <row r="2117" spans="1:93" s="1542" customFormat="1" ht="15.5">
      <c r="A2117" s="1598">
        <v>46.438000000000002</v>
      </c>
      <c r="B2117" s="1599">
        <v>0</v>
      </c>
      <c r="C2117" s="1643" t="e">
        <f>+SUMIF(#REF!,Final!A2117,#REF!)</f>
        <v>#REF!</v>
      </c>
      <c r="D2117" s="1597" t="e">
        <f>+SUMIF(#REF!,Final!A2117,#REF!)</f>
        <v>#REF!</v>
      </c>
      <c r="E2117" s="1643" t="e">
        <f>SUMIF(#REF!,Final!A2117,#REF!)</f>
        <v>#REF!</v>
      </c>
      <c r="F2117" s="1644" t="e">
        <f>SUMIF(#REF!,Final!A2117,#REF!)</f>
        <v>#REF!</v>
      </c>
      <c r="G2117" s="1597" t="e">
        <f t="shared" si="228"/>
        <v>#REF!</v>
      </c>
      <c r="H2117" s="1644" t="e">
        <f t="shared" si="229"/>
        <v>#REF!</v>
      </c>
      <c r="I2117" s="1597" t="e">
        <f t="shared" si="230"/>
        <v>#REF!</v>
      </c>
      <c r="J2117" s="1644" t="e">
        <f t="shared" si="231"/>
        <v>#REF!</v>
      </c>
      <c r="K2117" s="1539"/>
      <c r="L2117" s="1539"/>
      <c r="M2117" s="1545"/>
      <c r="N2117" s="1545"/>
      <c r="O2117" s="1539"/>
      <c r="P2117" s="1539"/>
      <c r="Q2117" s="1539"/>
      <c r="R2117" s="1539"/>
      <c r="S2117" s="1539"/>
      <c r="T2117" s="1539"/>
      <c r="U2117" s="1539"/>
      <c r="V2117" s="1539"/>
      <c r="W2117" s="1539"/>
      <c r="X2117" s="1539"/>
      <c r="Y2117" s="1539"/>
      <c r="Z2117" s="1539"/>
      <c r="AA2117" s="1539"/>
      <c r="AB2117" s="1539"/>
      <c r="AC2117" s="1539"/>
      <c r="AD2117" s="1539"/>
      <c r="AE2117" s="1539"/>
      <c r="AF2117" s="1539"/>
      <c r="AG2117" s="1539"/>
      <c r="AH2117" s="1539"/>
      <c r="AI2117" s="1539"/>
      <c r="AJ2117" s="1539"/>
      <c r="AK2117" s="1539"/>
      <c r="AL2117" s="1539"/>
      <c r="AM2117" s="1539"/>
      <c r="AN2117" s="1539"/>
      <c r="AO2117" s="1539"/>
      <c r="AP2117" s="1539"/>
      <c r="AQ2117" s="1539"/>
      <c r="AR2117" s="1539"/>
      <c r="AS2117" s="1539"/>
      <c r="AT2117" s="1539"/>
      <c r="AU2117" s="1539"/>
      <c r="AV2117" s="1539"/>
      <c r="AW2117" s="1539"/>
      <c r="AX2117" s="1539"/>
      <c r="AY2117" s="1539"/>
      <c r="AZ2117" s="1539"/>
      <c r="BA2117" s="1539"/>
      <c r="BB2117" s="1539"/>
      <c r="BC2117" s="1539"/>
      <c r="BD2117" s="1539"/>
      <c r="BE2117" s="1539"/>
      <c r="BF2117" s="1539"/>
      <c r="BG2117" s="1539"/>
      <c r="BH2117" s="1539"/>
      <c r="BI2117" s="1539"/>
      <c r="BJ2117" s="1539"/>
      <c r="BK2117" s="1539"/>
      <c r="BL2117" s="1539"/>
      <c r="BM2117" s="1539"/>
      <c r="BN2117" s="1539"/>
      <c r="BO2117" s="1539"/>
      <c r="BP2117" s="1539"/>
      <c r="BQ2117" s="1539"/>
      <c r="BR2117" s="1539"/>
      <c r="BS2117" s="1539"/>
      <c r="BT2117" s="1539"/>
      <c r="BU2117" s="1539"/>
      <c r="BV2117" s="1539"/>
      <c r="BW2117" s="1539"/>
      <c r="BX2117" s="1539"/>
      <c r="BY2117" s="1539"/>
      <c r="BZ2117" s="1539"/>
      <c r="CA2117" s="1539"/>
      <c r="CB2117" s="1539"/>
      <c r="CC2117" s="1539"/>
      <c r="CD2117" s="1539"/>
      <c r="CE2117" s="1539"/>
      <c r="CF2117" s="1539"/>
      <c r="CG2117" s="1539"/>
      <c r="CH2117" s="1539"/>
      <c r="CI2117" s="1539"/>
      <c r="CJ2117" s="1539"/>
      <c r="CK2117" s="1539"/>
      <c r="CL2117" s="1539"/>
      <c r="CM2117" s="1539"/>
      <c r="CN2117" s="1539"/>
      <c r="CO2117" s="1539"/>
    </row>
    <row r="2118" spans="1:93" s="1552" customFormat="1" ht="15.5">
      <c r="A2118" s="1598"/>
      <c r="B2118" s="1599" t="s">
        <v>1747</v>
      </c>
      <c r="C2118" s="1643" t="e">
        <f>+SUMIF(#REF!,Final!A2118,#REF!)</f>
        <v>#REF!</v>
      </c>
      <c r="D2118" s="1597" t="e">
        <f>+SUMIF(#REF!,Final!A2118,#REF!)</f>
        <v>#REF!</v>
      </c>
      <c r="E2118" s="1643" t="e">
        <f>SUMIF(#REF!,Final!A2118,#REF!)</f>
        <v>#REF!</v>
      </c>
      <c r="F2118" s="1644" t="e">
        <f>SUMIF(#REF!,Final!A2118,#REF!)</f>
        <v>#REF!</v>
      </c>
      <c r="G2118" s="1597" t="e">
        <f t="shared" si="228"/>
        <v>#REF!</v>
      </c>
      <c r="H2118" s="1644" t="e">
        <f t="shared" si="229"/>
        <v>#REF!</v>
      </c>
      <c r="I2118" s="1597" t="e">
        <f t="shared" si="230"/>
        <v>#REF!</v>
      </c>
      <c r="J2118" s="1644" t="e">
        <f t="shared" si="231"/>
        <v>#REF!</v>
      </c>
      <c r="K2118" s="1539"/>
      <c r="L2118" s="1539"/>
      <c r="M2118" s="1545"/>
      <c r="N2118" s="1545"/>
      <c r="O2118" s="1539"/>
      <c r="P2118" s="1539"/>
      <c r="Q2118" s="1539"/>
      <c r="R2118" s="1539"/>
      <c r="S2118" s="1539"/>
      <c r="T2118" s="1539"/>
      <c r="U2118" s="1539"/>
      <c r="V2118" s="1539"/>
      <c r="W2118" s="1539"/>
      <c r="X2118" s="1539"/>
      <c r="Y2118" s="1539"/>
      <c r="Z2118" s="1539"/>
      <c r="AA2118" s="1539"/>
      <c r="AB2118" s="1539"/>
      <c r="AC2118" s="1539"/>
      <c r="AD2118" s="1539"/>
      <c r="AE2118" s="1539"/>
      <c r="AF2118" s="1539"/>
      <c r="AG2118" s="1539"/>
      <c r="AH2118" s="1539"/>
      <c r="AI2118" s="1539"/>
      <c r="AJ2118" s="1539"/>
      <c r="AK2118" s="1539"/>
      <c r="AL2118" s="1539"/>
      <c r="AM2118" s="1539"/>
      <c r="AN2118" s="1539"/>
      <c r="AO2118" s="1539"/>
      <c r="AP2118" s="1539"/>
      <c r="AQ2118" s="1539"/>
      <c r="AR2118" s="1539"/>
      <c r="AS2118" s="1539"/>
      <c r="AT2118" s="1539"/>
      <c r="AU2118" s="1539"/>
      <c r="AV2118" s="1539"/>
      <c r="AW2118" s="1539"/>
      <c r="AX2118" s="1539"/>
      <c r="AY2118" s="1539"/>
      <c r="AZ2118" s="1539"/>
      <c r="BA2118" s="1539"/>
      <c r="BB2118" s="1539"/>
      <c r="BC2118" s="1539"/>
      <c r="BD2118" s="1539"/>
      <c r="BE2118" s="1539"/>
      <c r="BF2118" s="1539"/>
      <c r="BG2118" s="1539"/>
      <c r="BH2118" s="1539"/>
      <c r="BI2118" s="1539"/>
      <c r="BJ2118" s="1539"/>
      <c r="BK2118" s="1539"/>
      <c r="BL2118" s="1539"/>
      <c r="BM2118" s="1539"/>
      <c r="BN2118" s="1539"/>
      <c r="BO2118" s="1539"/>
      <c r="BP2118" s="1539"/>
      <c r="BQ2118" s="1539"/>
      <c r="BR2118" s="1539"/>
      <c r="BS2118" s="1539"/>
      <c r="BT2118" s="1539"/>
      <c r="BU2118" s="1539"/>
      <c r="BV2118" s="1539"/>
      <c r="BW2118" s="1539"/>
      <c r="BX2118" s="1539"/>
      <c r="BY2118" s="1539"/>
      <c r="BZ2118" s="1539"/>
      <c r="CA2118" s="1539"/>
      <c r="CB2118" s="1539"/>
      <c r="CC2118" s="1539"/>
      <c r="CD2118" s="1539"/>
      <c r="CE2118" s="1539"/>
      <c r="CF2118" s="1539"/>
      <c r="CG2118" s="1539"/>
      <c r="CH2118" s="1539"/>
      <c r="CI2118" s="1539"/>
      <c r="CJ2118" s="1539"/>
      <c r="CK2118" s="1539"/>
      <c r="CL2118" s="1539"/>
      <c r="CM2118" s="1539"/>
      <c r="CN2118" s="1539"/>
      <c r="CO2118" s="1539"/>
    </row>
    <row r="2119" spans="1:93" s="1552" customFormat="1" ht="15.5">
      <c r="A2119" s="1598" t="s">
        <v>3443</v>
      </c>
      <c r="B2119" s="1599" t="s">
        <v>1760</v>
      </c>
      <c r="C2119" s="1643" t="e">
        <f>+SUMIF(#REF!,Final!A2119,#REF!)</f>
        <v>#REF!</v>
      </c>
      <c r="D2119" s="1597" t="e">
        <f>+SUMIF(#REF!,Final!A2119,#REF!)</f>
        <v>#REF!</v>
      </c>
      <c r="E2119" s="1643" t="e">
        <f>SUMIF(#REF!,Final!A2119,#REF!)</f>
        <v>#REF!</v>
      </c>
      <c r="F2119" s="1644" t="e">
        <f>SUMIF(#REF!,Final!A2119,#REF!)</f>
        <v>#REF!</v>
      </c>
      <c r="G2119" s="1597" t="e">
        <f t="shared" si="228"/>
        <v>#REF!</v>
      </c>
      <c r="H2119" s="1644" t="e">
        <f t="shared" si="229"/>
        <v>#REF!</v>
      </c>
      <c r="I2119" s="1597" t="e">
        <f t="shared" si="230"/>
        <v>#REF!</v>
      </c>
      <c r="J2119" s="1644" t="e">
        <f t="shared" si="231"/>
        <v>#REF!</v>
      </c>
      <c r="K2119" s="1539"/>
      <c r="L2119" s="1539"/>
      <c r="M2119" s="1545"/>
      <c r="N2119" s="1545"/>
      <c r="O2119" s="1539"/>
      <c r="P2119" s="1539"/>
      <c r="Q2119" s="1539"/>
      <c r="R2119" s="1539"/>
      <c r="S2119" s="1539"/>
      <c r="T2119" s="1539"/>
      <c r="U2119" s="1539"/>
      <c r="V2119" s="1539"/>
      <c r="W2119" s="1539"/>
      <c r="X2119" s="1539"/>
      <c r="Y2119" s="1539"/>
      <c r="Z2119" s="1539"/>
      <c r="AA2119" s="1539"/>
      <c r="AB2119" s="1539"/>
      <c r="AC2119" s="1539"/>
      <c r="AD2119" s="1539"/>
      <c r="AE2119" s="1539"/>
      <c r="AF2119" s="1539"/>
      <c r="AG2119" s="1539"/>
      <c r="AH2119" s="1539"/>
      <c r="AI2119" s="1539"/>
      <c r="AJ2119" s="1539"/>
      <c r="AK2119" s="1539"/>
      <c r="AL2119" s="1539"/>
      <c r="AM2119" s="1539"/>
      <c r="AN2119" s="1539"/>
      <c r="AO2119" s="1539"/>
      <c r="AP2119" s="1539"/>
      <c r="AQ2119" s="1539"/>
      <c r="AR2119" s="1539"/>
      <c r="AS2119" s="1539"/>
      <c r="AT2119" s="1539"/>
      <c r="AU2119" s="1539"/>
      <c r="AV2119" s="1539"/>
      <c r="AW2119" s="1539"/>
      <c r="AX2119" s="1539"/>
      <c r="AY2119" s="1539"/>
      <c r="AZ2119" s="1539"/>
      <c r="BA2119" s="1539"/>
      <c r="BB2119" s="1539"/>
      <c r="BC2119" s="1539"/>
      <c r="BD2119" s="1539"/>
      <c r="BE2119" s="1539"/>
      <c r="BF2119" s="1539"/>
      <c r="BG2119" s="1539"/>
      <c r="BH2119" s="1539"/>
      <c r="BI2119" s="1539"/>
      <c r="BJ2119" s="1539"/>
      <c r="BK2119" s="1539"/>
      <c r="BL2119" s="1539"/>
      <c r="BM2119" s="1539"/>
      <c r="BN2119" s="1539"/>
      <c r="BO2119" s="1539"/>
      <c r="BP2119" s="1539"/>
      <c r="BQ2119" s="1539"/>
      <c r="BR2119" s="1539"/>
      <c r="BS2119" s="1539"/>
      <c r="BT2119" s="1539"/>
      <c r="BU2119" s="1539"/>
      <c r="BV2119" s="1539"/>
      <c r="BW2119" s="1539"/>
      <c r="BX2119" s="1539"/>
      <c r="BY2119" s="1539"/>
      <c r="BZ2119" s="1539"/>
      <c r="CA2119" s="1539"/>
      <c r="CB2119" s="1539"/>
      <c r="CC2119" s="1539"/>
      <c r="CD2119" s="1539"/>
      <c r="CE2119" s="1539"/>
      <c r="CF2119" s="1539"/>
      <c r="CG2119" s="1539"/>
      <c r="CH2119" s="1539"/>
      <c r="CI2119" s="1539"/>
      <c r="CJ2119" s="1539"/>
      <c r="CK2119" s="1539"/>
      <c r="CL2119" s="1539"/>
      <c r="CM2119" s="1539"/>
      <c r="CN2119" s="1539"/>
      <c r="CO2119" s="1539"/>
    </row>
    <row r="2120" spans="1:93" s="1552" customFormat="1" ht="15.5">
      <c r="A2120" s="1598" t="s">
        <v>3443</v>
      </c>
      <c r="B2120" s="1599" t="s">
        <v>1862</v>
      </c>
      <c r="C2120" s="1643" t="e">
        <f>+SUMIF(#REF!,Final!A2120,#REF!)</f>
        <v>#REF!</v>
      </c>
      <c r="D2120" s="1597" t="e">
        <f>+SUMIF(#REF!,Final!A2120,#REF!)</f>
        <v>#REF!</v>
      </c>
      <c r="E2120" s="1643" t="e">
        <f>SUMIF(#REF!,Final!A2120,#REF!)</f>
        <v>#REF!</v>
      </c>
      <c r="F2120" s="1644" t="e">
        <f>SUMIF(#REF!,Final!A2120,#REF!)</f>
        <v>#REF!</v>
      </c>
      <c r="G2120" s="1597" t="e">
        <f t="shared" si="228"/>
        <v>#REF!</v>
      </c>
      <c r="H2120" s="1644" t="e">
        <f t="shared" si="229"/>
        <v>#REF!</v>
      </c>
      <c r="I2120" s="1597" t="e">
        <f t="shared" si="230"/>
        <v>#REF!</v>
      </c>
      <c r="J2120" s="1644" t="e">
        <f t="shared" si="231"/>
        <v>#REF!</v>
      </c>
      <c r="K2120" s="1539"/>
      <c r="L2120" s="1539"/>
      <c r="M2120" s="1545"/>
      <c r="N2120" s="1545"/>
      <c r="O2120" s="1539"/>
      <c r="P2120" s="1539"/>
      <c r="Q2120" s="1539"/>
      <c r="R2120" s="1539"/>
      <c r="S2120" s="1539"/>
      <c r="T2120" s="1539"/>
      <c r="U2120" s="1539"/>
      <c r="V2120" s="1539"/>
      <c r="W2120" s="1539"/>
      <c r="X2120" s="1539"/>
      <c r="Y2120" s="1539"/>
      <c r="Z2120" s="1539"/>
      <c r="AA2120" s="1539"/>
      <c r="AB2120" s="1539"/>
      <c r="AC2120" s="1539"/>
      <c r="AD2120" s="1539"/>
      <c r="AE2120" s="1539"/>
      <c r="AF2120" s="1539"/>
      <c r="AG2120" s="1539"/>
      <c r="AH2120" s="1539"/>
      <c r="AI2120" s="1539"/>
      <c r="AJ2120" s="1539"/>
      <c r="AK2120" s="1539"/>
      <c r="AL2120" s="1539"/>
      <c r="AM2120" s="1539"/>
      <c r="AN2120" s="1539"/>
      <c r="AO2120" s="1539"/>
      <c r="AP2120" s="1539"/>
      <c r="AQ2120" s="1539"/>
      <c r="AR2120" s="1539"/>
      <c r="AS2120" s="1539"/>
      <c r="AT2120" s="1539"/>
      <c r="AU2120" s="1539"/>
      <c r="AV2120" s="1539"/>
      <c r="AW2120" s="1539"/>
      <c r="AX2120" s="1539"/>
      <c r="AY2120" s="1539"/>
      <c r="AZ2120" s="1539"/>
      <c r="BA2120" s="1539"/>
      <c r="BB2120" s="1539"/>
      <c r="BC2120" s="1539"/>
      <c r="BD2120" s="1539"/>
      <c r="BE2120" s="1539"/>
      <c r="BF2120" s="1539"/>
      <c r="BG2120" s="1539"/>
      <c r="BH2120" s="1539"/>
      <c r="BI2120" s="1539"/>
      <c r="BJ2120" s="1539"/>
      <c r="BK2120" s="1539"/>
      <c r="BL2120" s="1539"/>
      <c r="BM2120" s="1539"/>
      <c r="BN2120" s="1539"/>
      <c r="BO2120" s="1539"/>
      <c r="BP2120" s="1539"/>
      <c r="BQ2120" s="1539"/>
      <c r="BR2120" s="1539"/>
      <c r="BS2120" s="1539"/>
      <c r="BT2120" s="1539"/>
      <c r="BU2120" s="1539"/>
      <c r="BV2120" s="1539"/>
      <c r="BW2120" s="1539"/>
      <c r="BX2120" s="1539"/>
      <c r="BY2120" s="1539"/>
      <c r="BZ2120" s="1539"/>
      <c r="CA2120" s="1539"/>
      <c r="CB2120" s="1539"/>
      <c r="CC2120" s="1539"/>
      <c r="CD2120" s="1539"/>
      <c r="CE2120" s="1539"/>
      <c r="CF2120" s="1539"/>
      <c r="CG2120" s="1539"/>
      <c r="CH2120" s="1539"/>
      <c r="CI2120" s="1539"/>
      <c r="CJ2120" s="1539"/>
      <c r="CK2120" s="1539"/>
      <c r="CL2120" s="1539"/>
      <c r="CM2120" s="1539"/>
      <c r="CN2120" s="1539"/>
      <c r="CO2120" s="1539"/>
    </row>
    <row r="2121" spans="1:93" s="1542" customFormat="1" ht="15.5">
      <c r="A2121" s="1598">
        <v>12</v>
      </c>
      <c r="B2121" s="1599" t="s">
        <v>1978</v>
      </c>
      <c r="C2121" s="1643" t="e">
        <f>+SUMIF(#REF!,Final!A2121,#REF!)</f>
        <v>#REF!</v>
      </c>
      <c r="D2121" s="1597" t="e">
        <f>+SUMIF(#REF!,Final!A2121,#REF!)</f>
        <v>#REF!</v>
      </c>
      <c r="E2121" s="1643" t="e">
        <f>SUMIF(#REF!,Final!A2121,#REF!)</f>
        <v>#REF!</v>
      </c>
      <c r="F2121" s="1644" t="e">
        <f>SUMIF(#REF!,Final!A2121,#REF!)</f>
        <v>#REF!</v>
      </c>
      <c r="G2121" s="1597" t="e">
        <f t="shared" si="228"/>
        <v>#REF!</v>
      </c>
      <c r="H2121" s="1644" t="e">
        <f t="shared" si="229"/>
        <v>#REF!</v>
      </c>
      <c r="I2121" s="1597" t="e">
        <f t="shared" si="230"/>
        <v>#REF!</v>
      </c>
      <c r="J2121" s="1644" t="e">
        <f t="shared" si="231"/>
        <v>#REF!</v>
      </c>
      <c r="K2121" s="1539"/>
      <c r="L2121" s="1539"/>
      <c r="M2121" s="1545"/>
      <c r="N2121" s="1545"/>
      <c r="O2121" s="1539"/>
      <c r="P2121" s="1539"/>
      <c r="Q2121" s="1539"/>
      <c r="R2121" s="1539"/>
      <c r="S2121" s="1539"/>
      <c r="T2121" s="1539"/>
      <c r="U2121" s="1539"/>
      <c r="V2121" s="1539"/>
      <c r="W2121" s="1539"/>
      <c r="X2121" s="1539"/>
      <c r="Y2121" s="1539"/>
      <c r="Z2121" s="1539"/>
      <c r="AA2121" s="1539"/>
      <c r="AB2121" s="1539"/>
      <c r="AC2121" s="1539"/>
      <c r="AD2121" s="1539"/>
      <c r="AE2121" s="1539"/>
      <c r="AF2121" s="1539"/>
      <c r="AG2121" s="1539"/>
      <c r="AH2121" s="1539"/>
      <c r="AI2121" s="1539"/>
      <c r="AJ2121" s="1539"/>
      <c r="AK2121" s="1539"/>
      <c r="AL2121" s="1539"/>
      <c r="AM2121" s="1539"/>
      <c r="AN2121" s="1539"/>
      <c r="AO2121" s="1539"/>
      <c r="AP2121" s="1539"/>
      <c r="AQ2121" s="1539"/>
      <c r="AR2121" s="1539"/>
      <c r="AS2121" s="1539"/>
      <c r="AT2121" s="1539"/>
      <c r="AU2121" s="1539"/>
      <c r="AV2121" s="1539"/>
      <c r="AW2121" s="1539"/>
      <c r="AX2121" s="1539"/>
      <c r="AY2121" s="1539"/>
      <c r="AZ2121" s="1539"/>
      <c r="BA2121" s="1539"/>
      <c r="BB2121" s="1539"/>
      <c r="BC2121" s="1539"/>
      <c r="BD2121" s="1539"/>
      <c r="BE2121" s="1539"/>
      <c r="BF2121" s="1539"/>
      <c r="BG2121" s="1539"/>
      <c r="BH2121" s="1539"/>
      <c r="BI2121" s="1539"/>
      <c r="BJ2121" s="1539"/>
      <c r="BK2121" s="1539"/>
      <c r="BL2121" s="1539"/>
      <c r="BM2121" s="1539"/>
      <c r="BN2121" s="1539"/>
      <c r="BO2121" s="1539"/>
      <c r="BP2121" s="1539"/>
      <c r="BQ2121" s="1539"/>
      <c r="BR2121" s="1539"/>
      <c r="BS2121" s="1539"/>
      <c r="BT2121" s="1539"/>
      <c r="BU2121" s="1539"/>
      <c r="BV2121" s="1539"/>
      <c r="BW2121" s="1539"/>
      <c r="BX2121" s="1539"/>
      <c r="BY2121" s="1539"/>
      <c r="BZ2121" s="1539"/>
      <c r="CA2121" s="1539"/>
      <c r="CB2121" s="1539"/>
      <c r="CC2121" s="1539"/>
      <c r="CD2121" s="1539"/>
      <c r="CE2121" s="1539"/>
      <c r="CF2121" s="1539"/>
      <c r="CG2121" s="1539"/>
      <c r="CH2121" s="1539"/>
      <c r="CI2121" s="1539"/>
      <c r="CJ2121" s="1539"/>
      <c r="CK2121" s="1539"/>
      <c r="CL2121" s="1539"/>
      <c r="CM2121" s="1539"/>
      <c r="CN2121" s="1539"/>
      <c r="CO2121" s="1539"/>
    </row>
    <row r="2122" spans="1:93" s="1542" customFormat="1" ht="15.5">
      <c r="A2122" s="1598" t="s">
        <v>544</v>
      </c>
      <c r="B2122" s="1599" t="s">
        <v>1979</v>
      </c>
      <c r="C2122" s="1643" t="e">
        <f>+SUMIF(#REF!,Final!A2122,#REF!)</f>
        <v>#REF!</v>
      </c>
      <c r="D2122" s="1597" t="e">
        <f>+SUMIF(#REF!,Final!A2122,#REF!)</f>
        <v>#REF!</v>
      </c>
      <c r="E2122" s="1643" t="e">
        <f>SUMIF(#REF!,Final!A2122,#REF!)</f>
        <v>#REF!</v>
      </c>
      <c r="F2122" s="1644" t="e">
        <f>SUMIF(#REF!,Final!A2122,#REF!)</f>
        <v>#REF!</v>
      </c>
      <c r="G2122" s="1597" t="e">
        <f t="shared" si="228"/>
        <v>#REF!</v>
      </c>
      <c r="H2122" s="1644" t="e">
        <f t="shared" si="229"/>
        <v>#REF!</v>
      </c>
      <c r="I2122" s="1597" t="e">
        <f t="shared" si="230"/>
        <v>#REF!</v>
      </c>
      <c r="J2122" s="1644" t="e">
        <f t="shared" si="231"/>
        <v>#REF!</v>
      </c>
      <c r="K2122" s="1539"/>
      <c r="L2122" s="1539"/>
      <c r="M2122" s="1545"/>
      <c r="N2122" s="1545"/>
      <c r="O2122" s="1539"/>
      <c r="P2122" s="1539"/>
      <c r="Q2122" s="1539"/>
      <c r="R2122" s="1539"/>
      <c r="S2122" s="1539"/>
      <c r="T2122" s="1539"/>
      <c r="U2122" s="1539"/>
      <c r="V2122" s="1539"/>
      <c r="W2122" s="1539"/>
      <c r="X2122" s="1539"/>
      <c r="Y2122" s="1539"/>
      <c r="Z2122" s="1539"/>
      <c r="AA2122" s="1539"/>
      <c r="AB2122" s="1539"/>
      <c r="AC2122" s="1539"/>
      <c r="AD2122" s="1539"/>
      <c r="AE2122" s="1539"/>
      <c r="AF2122" s="1539"/>
      <c r="AG2122" s="1539"/>
      <c r="AH2122" s="1539"/>
      <c r="AI2122" s="1539"/>
      <c r="AJ2122" s="1539"/>
      <c r="AK2122" s="1539"/>
      <c r="AL2122" s="1539"/>
      <c r="AM2122" s="1539"/>
      <c r="AN2122" s="1539"/>
      <c r="AO2122" s="1539"/>
      <c r="AP2122" s="1539"/>
      <c r="AQ2122" s="1539"/>
      <c r="AR2122" s="1539"/>
      <c r="AS2122" s="1539"/>
      <c r="AT2122" s="1539"/>
      <c r="AU2122" s="1539"/>
      <c r="AV2122" s="1539"/>
      <c r="AW2122" s="1539"/>
      <c r="AX2122" s="1539"/>
      <c r="AY2122" s="1539"/>
      <c r="AZ2122" s="1539"/>
      <c r="BA2122" s="1539"/>
      <c r="BB2122" s="1539"/>
      <c r="BC2122" s="1539"/>
      <c r="BD2122" s="1539"/>
      <c r="BE2122" s="1539"/>
      <c r="BF2122" s="1539"/>
      <c r="BG2122" s="1539"/>
      <c r="BH2122" s="1539"/>
      <c r="BI2122" s="1539"/>
      <c r="BJ2122" s="1539"/>
      <c r="BK2122" s="1539"/>
      <c r="BL2122" s="1539"/>
      <c r="BM2122" s="1539"/>
      <c r="BN2122" s="1539"/>
      <c r="BO2122" s="1539"/>
      <c r="BP2122" s="1539"/>
      <c r="BQ2122" s="1539"/>
      <c r="BR2122" s="1539"/>
      <c r="BS2122" s="1539"/>
      <c r="BT2122" s="1539"/>
      <c r="BU2122" s="1539"/>
      <c r="BV2122" s="1539"/>
      <c r="BW2122" s="1539"/>
      <c r="BX2122" s="1539"/>
      <c r="BY2122" s="1539"/>
      <c r="BZ2122" s="1539"/>
      <c r="CA2122" s="1539"/>
      <c r="CB2122" s="1539"/>
      <c r="CC2122" s="1539"/>
      <c r="CD2122" s="1539"/>
      <c r="CE2122" s="1539"/>
      <c r="CF2122" s="1539"/>
      <c r="CG2122" s="1539"/>
      <c r="CH2122" s="1539"/>
      <c r="CI2122" s="1539"/>
      <c r="CJ2122" s="1539"/>
      <c r="CK2122" s="1539"/>
      <c r="CL2122" s="1539"/>
      <c r="CM2122" s="1539"/>
      <c r="CN2122" s="1539"/>
      <c r="CO2122" s="1539"/>
    </row>
    <row r="2123" spans="1:93" s="1542" customFormat="1" ht="15.5">
      <c r="A2123" s="1598" t="s">
        <v>1768</v>
      </c>
      <c r="B2123" s="1599" t="s">
        <v>1984</v>
      </c>
      <c r="C2123" s="1643" t="e">
        <f>+SUMIF(#REF!,Final!A2123,#REF!)</f>
        <v>#REF!</v>
      </c>
      <c r="D2123" s="1597" t="e">
        <f>+SUMIF(#REF!,Final!A2123,#REF!)</f>
        <v>#REF!</v>
      </c>
      <c r="E2123" s="1643" t="e">
        <f>SUMIF(#REF!,Final!A2123,#REF!)</f>
        <v>#REF!</v>
      </c>
      <c r="F2123" s="1644" t="e">
        <f>SUMIF(#REF!,Final!A2123,#REF!)</f>
        <v>#REF!</v>
      </c>
      <c r="G2123" s="1597" t="e">
        <f t="shared" si="228"/>
        <v>#REF!</v>
      </c>
      <c r="H2123" s="1644" t="e">
        <f t="shared" si="229"/>
        <v>#REF!</v>
      </c>
      <c r="I2123" s="1597" t="e">
        <f t="shared" si="230"/>
        <v>#REF!</v>
      </c>
      <c r="J2123" s="1644" t="e">
        <f t="shared" si="231"/>
        <v>#REF!</v>
      </c>
      <c r="K2123" s="1539"/>
      <c r="L2123" s="1539"/>
      <c r="M2123" s="1545"/>
      <c r="N2123" s="1545"/>
      <c r="O2123" s="1539"/>
      <c r="P2123" s="1539"/>
      <c r="Q2123" s="1539"/>
      <c r="R2123" s="1539"/>
      <c r="S2123" s="1539"/>
      <c r="T2123" s="1539"/>
      <c r="U2123" s="1539"/>
      <c r="V2123" s="1539"/>
      <c r="W2123" s="1539"/>
      <c r="X2123" s="1539"/>
      <c r="Y2123" s="1539"/>
      <c r="Z2123" s="1539"/>
      <c r="AA2123" s="1539"/>
      <c r="AB2123" s="1539"/>
      <c r="AC2123" s="1539"/>
      <c r="AD2123" s="1539"/>
      <c r="AE2123" s="1539"/>
      <c r="AF2123" s="1539"/>
      <c r="AG2123" s="1539"/>
      <c r="AH2123" s="1539"/>
      <c r="AI2123" s="1539"/>
      <c r="AJ2123" s="1539"/>
      <c r="AK2123" s="1539"/>
      <c r="AL2123" s="1539"/>
      <c r="AM2123" s="1539"/>
      <c r="AN2123" s="1539"/>
      <c r="AO2123" s="1539"/>
      <c r="AP2123" s="1539"/>
      <c r="AQ2123" s="1539"/>
      <c r="AR2123" s="1539"/>
      <c r="AS2123" s="1539"/>
      <c r="AT2123" s="1539"/>
      <c r="AU2123" s="1539"/>
      <c r="AV2123" s="1539"/>
      <c r="AW2123" s="1539"/>
      <c r="AX2123" s="1539"/>
      <c r="AY2123" s="1539"/>
      <c r="AZ2123" s="1539"/>
      <c r="BA2123" s="1539"/>
      <c r="BB2123" s="1539"/>
      <c r="BC2123" s="1539"/>
      <c r="BD2123" s="1539"/>
      <c r="BE2123" s="1539"/>
      <c r="BF2123" s="1539"/>
      <c r="BG2123" s="1539"/>
      <c r="BH2123" s="1539"/>
      <c r="BI2123" s="1539"/>
      <c r="BJ2123" s="1539"/>
      <c r="BK2123" s="1539"/>
      <c r="BL2123" s="1539"/>
      <c r="BM2123" s="1539"/>
      <c r="BN2123" s="1539"/>
      <c r="BO2123" s="1539"/>
      <c r="BP2123" s="1539"/>
      <c r="BQ2123" s="1539"/>
      <c r="BR2123" s="1539"/>
      <c r="BS2123" s="1539"/>
      <c r="BT2123" s="1539"/>
      <c r="BU2123" s="1539"/>
      <c r="BV2123" s="1539"/>
      <c r="BW2123" s="1539"/>
      <c r="BX2123" s="1539"/>
      <c r="BY2123" s="1539"/>
      <c r="BZ2123" s="1539"/>
      <c r="CA2123" s="1539"/>
      <c r="CB2123" s="1539"/>
      <c r="CC2123" s="1539"/>
      <c r="CD2123" s="1539"/>
      <c r="CE2123" s="1539"/>
      <c r="CF2123" s="1539"/>
      <c r="CG2123" s="1539"/>
      <c r="CH2123" s="1539"/>
      <c r="CI2123" s="1539"/>
      <c r="CJ2123" s="1539"/>
      <c r="CK2123" s="1539"/>
      <c r="CL2123" s="1539"/>
      <c r="CM2123" s="1539"/>
      <c r="CN2123" s="1539"/>
      <c r="CO2123" s="1539"/>
    </row>
    <row r="2124" spans="1:93" ht="15.5">
      <c r="A2124" s="1598">
        <v>46.500999999999998</v>
      </c>
      <c r="B2124" s="1599" t="s">
        <v>1985</v>
      </c>
      <c r="C2124" s="1643" t="e">
        <f>+SUMIF(#REF!,Final!A2124,#REF!)</f>
        <v>#REF!</v>
      </c>
      <c r="D2124" s="1597" t="e">
        <f>+SUMIF(#REF!,Final!A2124,#REF!)</f>
        <v>#REF!</v>
      </c>
      <c r="E2124" s="1643" t="e">
        <f>SUMIF(#REF!,Final!A2124,#REF!)</f>
        <v>#REF!</v>
      </c>
      <c r="F2124" s="1644" t="e">
        <f>SUMIF(#REF!,Final!A2124,#REF!)</f>
        <v>#REF!</v>
      </c>
      <c r="G2124" s="1597" t="e">
        <f t="shared" si="228"/>
        <v>#REF!</v>
      </c>
      <c r="H2124" s="1644" t="e">
        <f t="shared" si="229"/>
        <v>#REF!</v>
      </c>
      <c r="I2124" s="1597" t="e">
        <f t="shared" si="230"/>
        <v>#REF!</v>
      </c>
      <c r="J2124" s="1644" t="e">
        <f t="shared" si="231"/>
        <v>#REF!</v>
      </c>
      <c r="M2124" s="1545"/>
      <c r="N2124" s="1545"/>
    </row>
    <row r="2125" spans="1:93" ht="15.5">
      <c r="A2125" s="1598">
        <v>46.548999999999999</v>
      </c>
      <c r="B2125" s="1599" t="s">
        <v>1985</v>
      </c>
      <c r="C2125" s="1643" t="e">
        <f>+SUMIF(#REF!,Final!A2125,#REF!)</f>
        <v>#REF!</v>
      </c>
      <c r="D2125" s="1597" t="e">
        <f>+SUMIF(#REF!,Final!A2125,#REF!)</f>
        <v>#REF!</v>
      </c>
      <c r="E2125" s="1643" t="e">
        <f>SUMIF(#REF!,Final!A2125,#REF!)</f>
        <v>#REF!</v>
      </c>
      <c r="F2125" s="1644" t="e">
        <f>SUMIF(#REF!,Final!A2125,#REF!)</f>
        <v>#REF!</v>
      </c>
      <c r="G2125" s="1597" t="e">
        <f t="shared" si="228"/>
        <v>#REF!</v>
      </c>
      <c r="H2125" s="1644" t="e">
        <f t="shared" si="229"/>
        <v>#REF!</v>
      </c>
      <c r="I2125" s="1597" t="e">
        <f t="shared" si="230"/>
        <v>#REF!</v>
      </c>
      <c r="J2125" s="1644" t="e">
        <f t="shared" si="231"/>
        <v>#REF!</v>
      </c>
      <c r="M2125" s="1545"/>
      <c r="N2125" s="1545"/>
    </row>
    <row r="2126" spans="1:93" ht="15.5">
      <c r="A2126" s="1598">
        <v>46.552</v>
      </c>
      <c r="B2126" s="1599" t="s">
        <v>3449</v>
      </c>
      <c r="C2126" s="1643" t="e">
        <f>+SUMIF(#REF!,Final!A2126,#REF!)</f>
        <v>#REF!</v>
      </c>
      <c r="D2126" s="1597" t="e">
        <f>+SUMIF(#REF!,Final!A2126,#REF!)</f>
        <v>#REF!</v>
      </c>
      <c r="E2126" s="1643" t="e">
        <f>SUMIF(#REF!,Final!A2126,#REF!)</f>
        <v>#REF!</v>
      </c>
      <c r="F2126" s="1644" t="e">
        <f>SUMIF(#REF!,Final!A2126,#REF!)</f>
        <v>#REF!</v>
      </c>
      <c r="G2126" s="1597" t="e">
        <f t="shared" si="228"/>
        <v>#REF!</v>
      </c>
      <c r="H2126" s="1644" t="e">
        <f t="shared" si="229"/>
        <v>#REF!</v>
      </c>
      <c r="I2126" s="1597" t="e">
        <f t="shared" si="230"/>
        <v>#REF!</v>
      </c>
      <c r="J2126" s="1644" t="e">
        <f t="shared" si="231"/>
        <v>#REF!</v>
      </c>
      <c r="M2126" s="1545"/>
      <c r="N2126" s="1545"/>
    </row>
    <row r="2127" spans="1:93" ht="15.5">
      <c r="A2127" s="1598">
        <v>46.552999999999997</v>
      </c>
      <c r="B2127" s="1599" t="s">
        <v>3450</v>
      </c>
      <c r="C2127" s="1643" t="e">
        <f>+SUMIF(#REF!,Final!A2127,#REF!)</f>
        <v>#REF!</v>
      </c>
      <c r="D2127" s="1597" t="e">
        <f>+SUMIF(#REF!,Final!A2127,#REF!)</f>
        <v>#REF!</v>
      </c>
      <c r="E2127" s="1643" t="e">
        <f>SUMIF(#REF!,Final!A2127,#REF!)</f>
        <v>#REF!</v>
      </c>
      <c r="F2127" s="1644" t="e">
        <f>SUMIF(#REF!,Final!A2127,#REF!)</f>
        <v>#REF!</v>
      </c>
      <c r="G2127" s="1597" t="e">
        <f t="shared" si="228"/>
        <v>#REF!</v>
      </c>
      <c r="H2127" s="1644" t="e">
        <f t="shared" si="229"/>
        <v>#REF!</v>
      </c>
      <c r="I2127" s="1597" t="e">
        <f t="shared" si="230"/>
        <v>#REF!</v>
      </c>
      <c r="J2127" s="1644" t="e">
        <f t="shared" si="231"/>
        <v>#REF!</v>
      </c>
      <c r="M2127" s="1545"/>
      <c r="N2127" s="1545"/>
    </row>
    <row r="2128" spans="1:93" ht="15.5">
      <c r="A2128" s="1598">
        <v>46.551000000000002</v>
      </c>
      <c r="B2128" s="1599" t="s">
        <v>1986</v>
      </c>
      <c r="C2128" s="1643" t="e">
        <f>+SUMIF(#REF!,Final!A2128,#REF!)</f>
        <v>#REF!</v>
      </c>
      <c r="D2128" s="1597" t="e">
        <f>+SUMIF(#REF!,Final!A2128,#REF!)</f>
        <v>#REF!</v>
      </c>
      <c r="E2128" s="1643" t="e">
        <f>SUMIF(#REF!,Final!A2128,#REF!)</f>
        <v>#REF!</v>
      </c>
      <c r="F2128" s="1644" t="e">
        <f>SUMIF(#REF!,Final!A2128,#REF!)</f>
        <v>#REF!</v>
      </c>
      <c r="G2128" s="1597" t="e">
        <f t="shared" si="228"/>
        <v>#REF!</v>
      </c>
      <c r="H2128" s="1644" t="e">
        <f t="shared" si="229"/>
        <v>#REF!</v>
      </c>
      <c r="I2128" s="1597" t="e">
        <f t="shared" si="230"/>
        <v>#REF!</v>
      </c>
      <c r="J2128" s="1644" t="e">
        <f t="shared" si="231"/>
        <v>#REF!</v>
      </c>
      <c r="M2128" s="1545"/>
      <c r="N2128" s="1545"/>
    </row>
    <row r="2129" spans="1:93" s="1552" customFormat="1" ht="15.5">
      <c r="A2129" s="1598"/>
      <c r="B2129" s="1599" t="s">
        <v>1747</v>
      </c>
      <c r="C2129" s="1643" t="e">
        <f>+SUMIF(#REF!,Final!A2129,#REF!)</f>
        <v>#REF!</v>
      </c>
      <c r="D2129" s="1597" t="e">
        <f>+SUMIF(#REF!,Final!A2129,#REF!)</f>
        <v>#REF!</v>
      </c>
      <c r="E2129" s="1643" t="e">
        <f>SUMIF(#REF!,Final!A2129,#REF!)</f>
        <v>#REF!</v>
      </c>
      <c r="F2129" s="1644" t="e">
        <f>SUMIF(#REF!,Final!A2129,#REF!)</f>
        <v>#REF!</v>
      </c>
      <c r="G2129" s="1597" t="e">
        <f t="shared" si="228"/>
        <v>#REF!</v>
      </c>
      <c r="H2129" s="1644" t="e">
        <f t="shared" si="229"/>
        <v>#REF!</v>
      </c>
      <c r="I2129" s="1597" t="e">
        <f t="shared" si="230"/>
        <v>#REF!</v>
      </c>
      <c r="J2129" s="1644" t="e">
        <f t="shared" si="231"/>
        <v>#REF!</v>
      </c>
      <c r="K2129" s="1539"/>
      <c r="L2129" s="1539"/>
      <c r="M2129" s="1545"/>
      <c r="N2129" s="1545"/>
      <c r="O2129" s="1539"/>
      <c r="P2129" s="1539"/>
      <c r="Q2129" s="1539"/>
      <c r="R2129" s="1539"/>
      <c r="S2129" s="1539"/>
      <c r="T2129" s="1539"/>
      <c r="U2129" s="1539"/>
      <c r="V2129" s="1539"/>
      <c r="W2129" s="1539"/>
      <c r="X2129" s="1539"/>
      <c r="Y2129" s="1539"/>
      <c r="Z2129" s="1539"/>
      <c r="AA2129" s="1539"/>
      <c r="AB2129" s="1539"/>
      <c r="AC2129" s="1539"/>
      <c r="AD2129" s="1539"/>
      <c r="AE2129" s="1539"/>
      <c r="AF2129" s="1539"/>
      <c r="AG2129" s="1539"/>
      <c r="AH2129" s="1539"/>
      <c r="AI2129" s="1539"/>
      <c r="AJ2129" s="1539"/>
      <c r="AK2129" s="1539"/>
      <c r="AL2129" s="1539"/>
      <c r="AM2129" s="1539"/>
      <c r="AN2129" s="1539"/>
      <c r="AO2129" s="1539"/>
      <c r="AP2129" s="1539"/>
      <c r="AQ2129" s="1539"/>
      <c r="AR2129" s="1539"/>
      <c r="AS2129" s="1539"/>
      <c r="AT2129" s="1539"/>
      <c r="AU2129" s="1539"/>
      <c r="AV2129" s="1539"/>
      <c r="AW2129" s="1539"/>
      <c r="AX2129" s="1539"/>
      <c r="AY2129" s="1539"/>
      <c r="AZ2129" s="1539"/>
      <c r="BA2129" s="1539"/>
      <c r="BB2129" s="1539"/>
      <c r="BC2129" s="1539"/>
      <c r="BD2129" s="1539"/>
      <c r="BE2129" s="1539"/>
      <c r="BF2129" s="1539"/>
      <c r="BG2129" s="1539"/>
      <c r="BH2129" s="1539"/>
      <c r="BI2129" s="1539"/>
      <c r="BJ2129" s="1539"/>
      <c r="BK2129" s="1539"/>
      <c r="BL2129" s="1539"/>
      <c r="BM2129" s="1539"/>
      <c r="BN2129" s="1539"/>
      <c r="BO2129" s="1539"/>
      <c r="BP2129" s="1539"/>
      <c r="BQ2129" s="1539"/>
      <c r="BR2129" s="1539"/>
      <c r="BS2129" s="1539"/>
      <c r="BT2129" s="1539"/>
      <c r="BU2129" s="1539"/>
      <c r="BV2129" s="1539"/>
      <c r="BW2129" s="1539"/>
      <c r="BX2129" s="1539"/>
      <c r="BY2129" s="1539"/>
      <c r="BZ2129" s="1539"/>
      <c r="CA2129" s="1539"/>
      <c r="CB2129" s="1539"/>
      <c r="CC2129" s="1539"/>
      <c r="CD2129" s="1539"/>
      <c r="CE2129" s="1539"/>
      <c r="CF2129" s="1539"/>
      <c r="CG2129" s="1539"/>
      <c r="CH2129" s="1539"/>
      <c r="CI2129" s="1539"/>
      <c r="CJ2129" s="1539"/>
      <c r="CK2129" s="1539"/>
      <c r="CL2129" s="1539"/>
      <c r="CM2129" s="1539"/>
      <c r="CN2129" s="1539"/>
      <c r="CO2129" s="1539"/>
    </row>
    <row r="2130" spans="1:93" s="1552" customFormat="1" ht="15.5">
      <c r="A2130" s="1598" t="s">
        <v>2916</v>
      </c>
      <c r="B2130" s="1599" t="s">
        <v>1760</v>
      </c>
      <c r="C2130" s="1643" t="e">
        <f>+SUMIF(#REF!,Final!A2130,#REF!)</f>
        <v>#REF!</v>
      </c>
      <c r="D2130" s="1597" t="e">
        <f>+SUMIF(#REF!,Final!A2130,#REF!)</f>
        <v>#REF!</v>
      </c>
      <c r="E2130" s="1643" t="e">
        <f>SUMIF(#REF!,Final!A2130,#REF!)</f>
        <v>#REF!</v>
      </c>
      <c r="F2130" s="1644" t="e">
        <f>SUMIF(#REF!,Final!A2130,#REF!)</f>
        <v>#REF!</v>
      </c>
      <c r="G2130" s="1597" t="e">
        <f t="shared" si="228"/>
        <v>#REF!</v>
      </c>
      <c r="H2130" s="1644" t="e">
        <f t="shared" si="229"/>
        <v>#REF!</v>
      </c>
      <c r="I2130" s="1597" t="e">
        <f t="shared" si="230"/>
        <v>#REF!</v>
      </c>
      <c r="J2130" s="1644" t="e">
        <f t="shared" si="231"/>
        <v>#REF!</v>
      </c>
      <c r="K2130" s="1539"/>
      <c r="L2130" s="1539"/>
      <c r="M2130" s="1545"/>
      <c r="N2130" s="1545"/>
      <c r="O2130" s="1539"/>
      <c r="P2130" s="1539"/>
      <c r="Q2130" s="1539"/>
      <c r="R2130" s="1539"/>
      <c r="S2130" s="1539"/>
      <c r="T2130" s="1539"/>
      <c r="U2130" s="1539"/>
      <c r="V2130" s="1539"/>
      <c r="W2130" s="1539"/>
      <c r="X2130" s="1539"/>
      <c r="Y2130" s="1539"/>
      <c r="Z2130" s="1539"/>
      <c r="AA2130" s="1539"/>
      <c r="AB2130" s="1539"/>
      <c r="AC2130" s="1539"/>
      <c r="AD2130" s="1539"/>
      <c r="AE2130" s="1539"/>
      <c r="AF2130" s="1539"/>
      <c r="AG2130" s="1539"/>
      <c r="AH2130" s="1539"/>
      <c r="AI2130" s="1539"/>
      <c r="AJ2130" s="1539"/>
      <c r="AK2130" s="1539"/>
      <c r="AL2130" s="1539"/>
      <c r="AM2130" s="1539"/>
      <c r="AN2130" s="1539"/>
      <c r="AO2130" s="1539"/>
      <c r="AP2130" s="1539"/>
      <c r="AQ2130" s="1539"/>
      <c r="AR2130" s="1539"/>
      <c r="AS2130" s="1539"/>
      <c r="AT2130" s="1539"/>
      <c r="AU2130" s="1539"/>
      <c r="AV2130" s="1539"/>
      <c r="AW2130" s="1539"/>
      <c r="AX2130" s="1539"/>
      <c r="AY2130" s="1539"/>
      <c r="AZ2130" s="1539"/>
      <c r="BA2130" s="1539"/>
      <c r="BB2130" s="1539"/>
      <c r="BC2130" s="1539"/>
      <c r="BD2130" s="1539"/>
      <c r="BE2130" s="1539"/>
      <c r="BF2130" s="1539"/>
      <c r="BG2130" s="1539"/>
      <c r="BH2130" s="1539"/>
      <c r="BI2130" s="1539"/>
      <c r="BJ2130" s="1539"/>
      <c r="BK2130" s="1539"/>
      <c r="BL2130" s="1539"/>
      <c r="BM2130" s="1539"/>
      <c r="BN2130" s="1539"/>
      <c r="BO2130" s="1539"/>
      <c r="BP2130" s="1539"/>
      <c r="BQ2130" s="1539"/>
      <c r="BR2130" s="1539"/>
      <c r="BS2130" s="1539"/>
      <c r="BT2130" s="1539"/>
      <c r="BU2130" s="1539"/>
      <c r="BV2130" s="1539"/>
      <c r="BW2130" s="1539"/>
      <c r="BX2130" s="1539"/>
      <c r="BY2130" s="1539"/>
      <c r="BZ2130" s="1539"/>
      <c r="CA2130" s="1539"/>
      <c r="CB2130" s="1539"/>
      <c r="CC2130" s="1539"/>
      <c r="CD2130" s="1539"/>
      <c r="CE2130" s="1539"/>
      <c r="CF2130" s="1539"/>
      <c r="CG2130" s="1539"/>
      <c r="CH2130" s="1539"/>
      <c r="CI2130" s="1539"/>
      <c r="CJ2130" s="1539"/>
      <c r="CK2130" s="1539"/>
      <c r="CL2130" s="1539"/>
      <c r="CM2130" s="1539"/>
      <c r="CN2130" s="1539"/>
      <c r="CO2130" s="1539"/>
    </row>
    <row r="2131" spans="1:93" s="1542" customFormat="1" ht="15.5">
      <c r="A2131" s="1598">
        <v>12</v>
      </c>
      <c r="B2131" s="1599" t="s">
        <v>1978</v>
      </c>
      <c r="C2131" s="1643" t="e">
        <f>+SUMIF(#REF!,Final!A2131,#REF!)</f>
        <v>#REF!</v>
      </c>
      <c r="D2131" s="1597" t="e">
        <f>+SUMIF(#REF!,Final!A2131,#REF!)</f>
        <v>#REF!</v>
      </c>
      <c r="E2131" s="1643" t="e">
        <f>SUMIF(#REF!,Final!A2131,#REF!)</f>
        <v>#REF!</v>
      </c>
      <c r="F2131" s="1644" t="e">
        <f>SUMIF(#REF!,Final!A2131,#REF!)</f>
        <v>#REF!</v>
      </c>
      <c r="G2131" s="1597" t="e">
        <f t="shared" si="228"/>
        <v>#REF!</v>
      </c>
      <c r="H2131" s="1644" t="e">
        <f t="shared" si="229"/>
        <v>#REF!</v>
      </c>
      <c r="I2131" s="1597" t="e">
        <f t="shared" si="230"/>
        <v>#REF!</v>
      </c>
      <c r="J2131" s="1644" t="e">
        <f t="shared" si="231"/>
        <v>#REF!</v>
      </c>
      <c r="K2131" s="1539"/>
      <c r="L2131" s="1539"/>
      <c r="M2131" s="1545"/>
      <c r="N2131" s="1545"/>
      <c r="O2131" s="1539"/>
      <c r="P2131" s="1539"/>
      <c r="Q2131" s="1539"/>
      <c r="R2131" s="1539"/>
      <c r="S2131" s="1539"/>
      <c r="T2131" s="1539"/>
      <c r="U2131" s="1539"/>
      <c r="V2131" s="1539"/>
      <c r="W2131" s="1539"/>
      <c r="X2131" s="1539"/>
      <c r="Y2131" s="1539"/>
      <c r="Z2131" s="1539"/>
      <c r="AA2131" s="1539"/>
      <c r="AB2131" s="1539"/>
      <c r="AC2131" s="1539"/>
      <c r="AD2131" s="1539"/>
      <c r="AE2131" s="1539"/>
      <c r="AF2131" s="1539"/>
      <c r="AG2131" s="1539"/>
      <c r="AH2131" s="1539"/>
      <c r="AI2131" s="1539"/>
      <c r="AJ2131" s="1539"/>
      <c r="AK2131" s="1539"/>
      <c r="AL2131" s="1539"/>
      <c r="AM2131" s="1539"/>
      <c r="AN2131" s="1539"/>
      <c r="AO2131" s="1539"/>
      <c r="AP2131" s="1539"/>
      <c r="AQ2131" s="1539"/>
      <c r="AR2131" s="1539"/>
      <c r="AS2131" s="1539"/>
      <c r="AT2131" s="1539"/>
      <c r="AU2131" s="1539"/>
      <c r="AV2131" s="1539"/>
      <c r="AW2131" s="1539"/>
      <c r="AX2131" s="1539"/>
      <c r="AY2131" s="1539"/>
      <c r="AZ2131" s="1539"/>
      <c r="BA2131" s="1539"/>
      <c r="BB2131" s="1539"/>
      <c r="BC2131" s="1539"/>
      <c r="BD2131" s="1539"/>
      <c r="BE2131" s="1539"/>
      <c r="BF2131" s="1539"/>
      <c r="BG2131" s="1539"/>
      <c r="BH2131" s="1539"/>
      <c r="BI2131" s="1539"/>
      <c r="BJ2131" s="1539"/>
      <c r="BK2131" s="1539"/>
      <c r="BL2131" s="1539"/>
      <c r="BM2131" s="1539"/>
      <c r="BN2131" s="1539"/>
      <c r="BO2131" s="1539"/>
      <c r="BP2131" s="1539"/>
      <c r="BQ2131" s="1539"/>
      <c r="BR2131" s="1539"/>
      <c r="BS2131" s="1539"/>
      <c r="BT2131" s="1539"/>
      <c r="BU2131" s="1539"/>
      <c r="BV2131" s="1539"/>
      <c r="BW2131" s="1539"/>
      <c r="BX2131" s="1539"/>
      <c r="BY2131" s="1539"/>
      <c r="BZ2131" s="1539"/>
      <c r="CA2131" s="1539"/>
      <c r="CB2131" s="1539"/>
      <c r="CC2131" s="1539"/>
      <c r="CD2131" s="1539"/>
      <c r="CE2131" s="1539"/>
      <c r="CF2131" s="1539"/>
      <c r="CG2131" s="1539"/>
      <c r="CH2131" s="1539"/>
      <c r="CI2131" s="1539"/>
      <c r="CJ2131" s="1539"/>
      <c r="CK2131" s="1539"/>
      <c r="CL2131" s="1539"/>
      <c r="CM2131" s="1539"/>
      <c r="CN2131" s="1539"/>
      <c r="CO2131" s="1539"/>
    </row>
    <row r="2132" spans="1:93" s="1542" customFormat="1" ht="15.5">
      <c r="A2132" s="1598" t="s">
        <v>544</v>
      </c>
      <c r="B2132" s="1599" t="s">
        <v>1979</v>
      </c>
      <c r="C2132" s="1643" t="e">
        <f>+SUMIF(#REF!,Final!A2132,#REF!)</f>
        <v>#REF!</v>
      </c>
      <c r="D2132" s="1597" t="e">
        <f>+SUMIF(#REF!,Final!A2132,#REF!)</f>
        <v>#REF!</v>
      </c>
      <c r="E2132" s="1643" t="e">
        <f>SUMIF(#REF!,Final!A2132,#REF!)</f>
        <v>#REF!</v>
      </c>
      <c r="F2132" s="1644" t="e">
        <f>SUMIF(#REF!,Final!A2132,#REF!)</f>
        <v>#REF!</v>
      </c>
      <c r="G2132" s="1597" t="e">
        <f t="shared" si="228"/>
        <v>#REF!</v>
      </c>
      <c r="H2132" s="1644" t="e">
        <f t="shared" si="229"/>
        <v>#REF!</v>
      </c>
      <c r="I2132" s="1597" t="e">
        <f t="shared" si="230"/>
        <v>#REF!</v>
      </c>
      <c r="J2132" s="1644" t="e">
        <f t="shared" si="231"/>
        <v>#REF!</v>
      </c>
      <c r="K2132" s="1539"/>
      <c r="L2132" s="1539"/>
      <c r="M2132" s="1545"/>
      <c r="N2132" s="1545"/>
      <c r="O2132" s="1539"/>
      <c r="P2132" s="1539"/>
      <c r="Q2132" s="1539"/>
      <c r="R2132" s="1539"/>
      <c r="S2132" s="1539"/>
      <c r="T2132" s="1539"/>
      <c r="U2132" s="1539"/>
      <c r="V2132" s="1539"/>
      <c r="W2132" s="1539"/>
      <c r="X2132" s="1539"/>
      <c r="Y2132" s="1539"/>
      <c r="Z2132" s="1539"/>
      <c r="AA2132" s="1539"/>
      <c r="AB2132" s="1539"/>
      <c r="AC2132" s="1539"/>
      <c r="AD2132" s="1539"/>
      <c r="AE2132" s="1539"/>
      <c r="AF2132" s="1539"/>
      <c r="AG2132" s="1539"/>
      <c r="AH2132" s="1539"/>
      <c r="AI2132" s="1539"/>
      <c r="AJ2132" s="1539"/>
      <c r="AK2132" s="1539"/>
      <c r="AL2132" s="1539"/>
      <c r="AM2132" s="1539"/>
      <c r="AN2132" s="1539"/>
      <c r="AO2132" s="1539"/>
      <c r="AP2132" s="1539"/>
      <c r="AQ2132" s="1539"/>
      <c r="AR2132" s="1539"/>
      <c r="AS2132" s="1539"/>
      <c r="AT2132" s="1539"/>
      <c r="AU2132" s="1539"/>
      <c r="AV2132" s="1539"/>
      <c r="AW2132" s="1539"/>
      <c r="AX2132" s="1539"/>
      <c r="AY2132" s="1539"/>
      <c r="AZ2132" s="1539"/>
      <c r="BA2132" s="1539"/>
      <c r="BB2132" s="1539"/>
      <c r="BC2132" s="1539"/>
      <c r="BD2132" s="1539"/>
      <c r="BE2132" s="1539"/>
      <c r="BF2132" s="1539"/>
      <c r="BG2132" s="1539"/>
      <c r="BH2132" s="1539"/>
      <c r="BI2132" s="1539"/>
      <c r="BJ2132" s="1539"/>
      <c r="BK2132" s="1539"/>
      <c r="BL2132" s="1539"/>
      <c r="BM2132" s="1539"/>
      <c r="BN2132" s="1539"/>
      <c r="BO2132" s="1539"/>
      <c r="BP2132" s="1539"/>
      <c r="BQ2132" s="1539"/>
      <c r="BR2132" s="1539"/>
      <c r="BS2132" s="1539"/>
      <c r="BT2132" s="1539"/>
      <c r="BU2132" s="1539"/>
      <c r="BV2132" s="1539"/>
      <c r="BW2132" s="1539"/>
      <c r="BX2132" s="1539"/>
      <c r="BY2132" s="1539"/>
      <c r="BZ2132" s="1539"/>
      <c r="CA2132" s="1539"/>
      <c r="CB2132" s="1539"/>
      <c r="CC2132" s="1539"/>
      <c r="CD2132" s="1539"/>
      <c r="CE2132" s="1539"/>
      <c r="CF2132" s="1539"/>
      <c r="CG2132" s="1539"/>
      <c r="CH2132" s="1539"/>
      <c r="CI2132" s="1539"/>
      <c r="CJ2132" s="1539"/>
      <c r="CK2132" s="1539"/>
      <c r="CL2132" s="1539"/>
      <c r="CM2132" s="1539"/>
      <c r="CN2132" s="1539"/>
      <c r="CO2132" s="1539"/>
    </row>
    <row r="2133" spans="1:93" s="1542" customFormat="1" ht="15.5">
      <c r="A2133" s="1598" t="s">
        <v>1815</v>
      </c>
      <c r="B2133" s="1599" t="s">
        <v>1987</v>
      </c>
      <c r="C2133" s="1643" t="e">
        <f>+SUMIF(#REF!,Final!A2133,#REF!)</f>
        <v>#REF!</v>
      </c>
      <c r="D2133" s="1597" t="e">
        <f>+SUMIF(#REF!,Final!A2133,#REF!)</f>
        <v>#REF!</v>
      </c>
      <c r="E2133" s="1643" t="e">
        <f>SUMIF(#REF!,Final!A2133,#REF!)</f>
        <v>#REF!</v>
      </c>
      <c r="F2133" s="1644" t="e">
        <f>SUMIF(#REF!,Final!A2133,#REF!)</f>
        <v>#REF!</v>
      </c>
      <c r="G2133" s="1597" t="e">
        <f t="shared" si="228"/>
        <v>#REF!</v>
      </c>
      <c r="H2133" s="1644" t="e">
        <f t="shared" si="229"/>
        <v>#REF!</v>
      </c>
      <c r="I2133" s="1597" t="e">
        <f t="shared" si="230"/>
        <v>#REF!</v>
      </c>
      <c r="J2133" s="1644" t="e">
        <f t="shared" si="231"/>
        <v>#REF!</v>
      </c>
      <c r="K2133" s="1539"/>
      <c r="L2133" s="1539"/>
      <c r="M2133" s="1545"/>
      <c r="N2133" s="1545"/>
      <c r="O2133" s="1539"/>
      <c r="P2133" s="1539"/>
      <c r="Q2133" s="1539"/>
      <c r="R2133" s="1539"/>
      <c r="S2133" s="1539"/>
      <c r="T2133" s="1539"/>
      <c r="U2133" s="1539"/>
      <c r="V2133" s="1539"/>
      <c r="W2133" s="1539"/>
      <c r="X2133" s="1539"/>
      <c r="Y2133" s="1539"/>
      <c r="Z2133" s="1539"/>
      <c r="AA2133" s="1539"/>
      <c r="AB2133" s="1539"/>
      <c r="AC2133" s="1539"/>
      <c r="AD2133" s="1539"/>
      <c r="AE2133" s="1539"/>
      <c r="AF2133" s="1539"/>
      <c r="AG2133" s="1539"/>
      <c r="AH2133" s="1539"/>
      <c r="AI2133" s="1539"/>
      <c r="AJ2133" s="1539"/>
      <c r="AK2133" s="1539"/>
      <c r="AL2133" s="1539"/>
      <c r="AM2133" s="1539"/>
      <c r="AN2133" s="1539"/>
      <c r="AO2133" s="1539"/>
      <c r="AP2133" s="1539"/>
      <c r="AQ2133" s="1539"/>
      <c r="AR2133" s="1539"/>
      <c r="AS2133" s="1539"/>
      <c r="AT2133" s="1539"/>
      <c r="AU2133" s="1539"/>
      <c r="AV2133" s="1539"/>
      <c r="AW2133" s="1539"/>
      <c r="AX2133" s="1539"/>
      <c r="AY2133" s="1539"/>
      <c r="AZ2133" s="1539"/>
      <c r="BA2133" s="1539"/>
      <c r="BB2133" s="1539"/>
      <c r="BC2133" s="1539"/>
      <c r="BD2133" s="1539"/>
      <c r="BE2133" s="1539"/>
      <c r="BF2133" s="1539"/>
      <c r="BG2133" s="1539"/>
      <c r="BH2133" s="1539"/>
      <c r="BI2133" s="1539"/>
      <c r="BJ2133" s="1539"/>
      <c r="BK2133" s="1539"/>
      <c r="BL2133" s="1539"/>
      <c r="BM2133" s="1539"/>
      <c r="BN2133" s="1539"/>
      <c r="BO2133" s="1539"/>
      <c r="BP2133" s="1539"/>
      <c r="BQ2133" s="1539"/>
      <c r="BR2133" s="1539"/>
      <c r="BS2133" s="1539"/>
      <c r="BT2133" s="1539"/>
      <c r="BU2133" s="1539"/>
      <c r="BV2133" s="1539"/>
      <c r="BW2133" s="1539"/>
      <c r="BX2133" s="1539"/>
      <c r="BY2133" s="1539"/>
      <c r="BZ2133" s="1539"/>
      <c r="CA2133" s="1539"/>
      <c r="CB2133" s="1539"/>
      <c r="CC2133" s="1539"/>
      <c r="CD2133" s="1539"/>
      <c r="CE2133" s="1539"/>
      <c r="CF2133" s="1539"/>
      <c r="CG2133" s="1539"/>
      <c r="CH2133" s="1539"/>
      <c r="CI2133" s="1539"/>
      <c r="CJ2133" s="1539"/>
      <c r="CK2133" s="1539"/>
      <c r="CL2133" s="1539"/>
      <c r="CM2133" s="1539"/>
      <c r="CN2133" s="1539"/>
      <c r="CO2133" s="1539"/>
    </row>
    <row r="2134" spans="1:93" s="1542" customFormat="1" ht="15.5">
      <c r="A2134" s="1598">
        <v>46.61</v>
      </c>
      <c r="B2134" s="1599" t="s">
        <v>1988</v>
      </c>
      <c r="C2134" s="1643" t="e">
        <f>+SUMIF(#REF!,Final!A2134,#REF!)</f>
        <v>#REF!</v>
      </c>
      <c r="D2134" s="1597" t="e">
        <f>+SUMIF(#REF!,Final!A2134,#REF!)</f>
        <v>#REF!</v>
      </c>
      <c r="E2134" s="1643" t="e">
        <f>SUMIF(#REF!,Final!A2134,#REF!)</f>
        <v>#REF!</v>
      </c>
      <c r="F2134" s="1644" t="e">
        <f>SUMIF(#REF!,Final!A2134,#REF!)</f>
        <v>#REF!</v>
      </c>
      <c r="G2134" s="1597" t="e">
        <f t="shared" si="228"/>
        <v>#REF!</v>
      </c>
      <c r="H2134" s="1644" t="e">
        <f t="shared" si="229"/>
        <v>#REF!</v>
      </c>
      <c r="I2134" s="1597" t="e">
        <f t="shared" si="230"/>
        <v>#REF!</v>
      </c>
      <c r="J2134" s="1644" t="e">
        <f t="shared" si="231"/>
        <v>#REF!</v>
      </c>
      <c r="K2134" s="1539"/>
      <c r="L2134" s="1539"/>
      <c r="M2134" s="1545"/>
      <c r="N2134" s="1545"/>
      <c r="O2134" s="1539"/>
      <c r="P2134" s="1539"/>
      <c r="Q2134" s="1539"/>
      <c r="R2134" s="1539"/>
      <c r="S2134" s="1539"/>
      <c r="T2134" s="1539"/>
      <c r="U2134" s="1539"/>
      <c r="V2134" s="1539"/>
      <c r="W2134" s="1539"/>
      <c r="X2134" s="1539"/>
      <c r="Y2134" s="1539"/>
      <c r="Z2134" s="1539"/>
      <c r="AA2134" s="1539"/>
      <c r="AB2134" s="1539"/>
      <c r="AC2134" s="1539"/>
      <c r="AD2134" s="1539"/>
      <c r="AE2134" s="1539"/>
      <c r="AF2134" s="1539"/>
      <c r="AG2134" s="1539"/>
      <c r="AH2134" s="1539"/>
      <c r="AI2134" s="1539"/>
      <c r="AJ2134" s="1539"/>
      <c r="AK2134" s="1539"/>
      <c r="AL2134" s="1539"/>
      <c r="AM2134" s="1539"/>
      <c r="AN2134" s="1539"/>
      <c r="AO2134" s="1539"/>
      <c r="AP2134" s="1539"/>
      <c r="AQ2134" s="1539"/>
      <c r="AR2134" s="1539"/>
      <c r="AS2134" s="1539"/>
      <c r="AT2134" s="1539"/>
      <c r="AU2134" s="1539"/>
      <c r="AV2134" s="1539"/>
      <c r="AW2134" s="1539"/>
      <c r="AX2134" s="1539"/>
      <c r="AY2134" s="1539"/>
      <c r="AZ2134" s="1539"/>
      <c r="BA2134" s="1539"/>
      <c r="BB2134" s="1539"/>
      <c r="BC2134" s="1539"/>
      <c r="BD2134" s="1539"/>
      <c r="BE2134" s="1539"/>
      <c r="BF2134" s="1539"/>
      <c r="BG2134" s="1539"/>
      <c r="BH2134" s="1539"/>
      <c r="BI2134" s="1539"/>
      <c r="BJ2134" s="1539"/>
      <c r="BK2134" s="1539"/>
      <c r="BL2134" s="1539"/>
      <c r="BM2134" s="1539"/>
      <c r="BN2134" s="1539"/>
      <c r="BO2134" s="1539"/>
      <c r="BP2134" s="1539"/>
      <c r="BQ2134" s="1539"/>
      <c r="BR2134" s="1539"/>
      <c r="BS2134" s="1539"/>
      <c r="BT2134" s="1539"/>
      <c r="BU2134" s="1539"/>
      <c r="BV2134" s="1539"/>
      <c r="BW2134" s="1539"/>
      <c r="BX2134" s="1539"/>
      <c r="BY2134" s="1539"/>
      <c r="BZ2134" s="1539"/>
      <c r="CA2134" s="1539"/>
      <c r="CB2134" s="1539"/>
      <c r="CC2134" s="1539"/>
      <c r="CD2134" s="1539"/>
      <c r="CE2134" s="1539"/>
      <c r="CF2134" s="1539"/>
      <c r="CG2134" s="1539"/>
      <c r="CH2134" s="1539"/>
      <c r="CI2134" s="1539"/>
      <c r="CJ2134" s="1539"/>
      <c r="CK2134" s="1539"/>
      <c r="CL2134" s="1539"/>
      <c r="CM2134" s="1539"/>
      <c r="CN2134" s="1539"/>
      <c r="CO2134" s="1539"/>
    </row>
    <row r="2135" spans="1:93" s="1552" customFormat="1" ht="15.5">
      <c r="A2135" s="1598"/>
      <c r="B2135" s="1599" t="s">
        <v>1747</v>
      </c>
      <c r="C2135" s="1643" t="e">
        <f>+SUMIF(#REF!,Final!A2135,#REF!)</f>
        <v>#REF!</v>
      </c>
      <c r="D2135" s="1597" t="e">
        <f>+SUMIF(#REF!,Final!A2135,#REF!)</f>
        <v>#REF!</v>
      </c>
      <c r="E2135" s="1643" t="e">
        <f>SUMIF(#REF!,Final!A2135,#REF!)</f>
        <v>#REF!</v>
      </c>
      <c r="F2135" s="1644" t="e">
        <f>SUMIF(#REF!,Final!A2135,#REF!)</f>
        <v>#REF!</v>
      </c>
      <c r="G2135" s="1597" t="e">
        <f t="shared" si="228"/>
        <v>#REF!</v>
      </c>
      <c r="H2135" s="1644" t="e">
        <f t="shared" si="229"/>
        <v>#REF!</v>
      </c>
      <c r="I2135" s="1597" t="e">
        <f t="shared" si="230"/>
        <v>#REF!</v>
      </c>
      <c r="J2135" s="1644" t="e">
        <f t="shared" si="231"/>
        <v>#REF!</v>
      </c>
      <c r="K2135" s="1539"/>
      <c r="L2135" s="1539"/>
      <c r="M2135" s="1545"/>
      <c r="N2135" s="1545"/>
      <c r="O2135" s="1539"/>
      <c r="P2135" s="1539"/>
      <c r="Q2135" s="1539"/>
      <c r="R2135" s="1539"/>
      <c r="S2135" s="1539"/>
      <c r="T2135" s="1539"/>
      <c r="U2135" s="1539"/>
      <c r="V2135" s="1539"/>
      <c r="W2135" s="1539"/>
      <c r="X2135" s="1539"/>
      <c r="Y2135" s="1539"/>
      <c r="Z2135" s="1539"/>
      <c r="AA2135" s="1539"/>
      <c r="AB2135" s="1539"/>
      <c r="AC2135" s="1539"/>
      <c r="AD2135" s="1539"/>
      <c r="AE2135" s="1539"/>
      <c r="AF2135" s="1539"/>
      <c r="AG2135" s="1539"/>
      <c r="AH2135" s="1539"/>
      <c r="AI2135" s="1539"/>
      <c r="AJ2135" s="1539"/>
      <c r="AK2135" s="1539"/>
      <c r="AL2135" s="1539"/>
      <c r="AM2135" s="1539"/>
      <c r="AN2135" s="1539"/>
      <c r="AO2135" s="1539"/>
      <c r="AP2135" s="1539"/>
      <c r="AQ2135" s="1539"/>
      <c r="AR2135" s="1539"/>
      <c r="AS2135" s="1539"/>
      <c r="AT2135" s="1539"/>
      <c r="AU2135" s="1539"/>
      <c r="AV2135" s="1539"/>
      <c r="AW2135" s="1539"/>
      <c r="AX2135" s="1539"/>
      <c r="AY2135" s="1539"/>
      <c r="AZ2135" s="1539"/>
      <c r="BA2135" s="1539"/>
      <c r="BB2135" s="1539"/>
      <c r="BC2135" s="1539"/>
      <c r="BD2135" s="1539"/>
      <c r="BE2135" s="1539"/>
      <c r="BF2135" s="1539"/>
      <c r="BG2135" s="1539"/>
      <c r="BH2135" s="1539"/>
      <c r="BI2135" s="1539"/>
      <c r="BJ2135" s="1539"/>
      <c r="BK2135" s="1539"/>
      <c r="BL2135" s="1539"/>
      <c r="BM2135" s="1539"/>
      <c r="BN2135" s="1539"/>
      <c r="BO2135" s="1539"/>
      <c r="BP2135" s="1539"/>
      <c r="BQ2135" s="1539"/>
      <c r="BR2135" s="1539"/>
      <c r="BS2135" s="1539"/>
      <c r="BT2135" s="1539"/>
      <c r="BU2135" s="1539"/>
      <c r="BV2135" s="1539"/>
      <c r="BW2135" s="1539"/>
      <c r="BX2135" s="1539"/>
      <c r="BY2135" s="1539"/>
      <c r="BZ2135" s="1539"/>
      <c r="CA2135" s="1539"/>
      <c r="CB2135" s="1539"/>
      <c r="CC2135" s="1539"/>
      <c r="CD2135" s="1539"/>
      <c r="CE2135" s="1539"/>
      <c r="CF2135" s="1539"/>
      <c r="CG2135" s="1539"/>
      <c r="CH2135" s="1539"/>
      <c r="CI2135" s="1539"/>
      <c r="CJ2135" s="1539"/>
      <c r="CK2135" s="1539"/>
      <c r="CL2135" s="1539"/>
      <c r="CM2135" s="1539"/>
      <c r="CN2135" s="1539"/>
      <c r="CO2135" s="1539"/>
    </row>
    <row r="2136" spans="1:93" s="1552" customFormat="1" ht="15.5">
      <c r="A2136" s="1598" t="s">
        <v>2916</v>
      </c>
      <c r="B2136" s="1599" t="s">
        <v>1760</v>
      </c>
      <c r="C2136" s="1643" t="e">
        <f>+SUMIF(#REF!,Final!A2136,#REF!)</f>
        <v>#REF!</v>
      </c>
      <c r="D2136" s="1597" t="e">
        <f>+SUMIF(#REF!,Final!A2136,#REF!)</f>
        <v>#REF!</v>
      </c>
      <c r="E2136" s="1643" t="e">
        <f>SUMIF(#REF!,Final!A2136,#REF!)</f>
        <v>#REF!</v>
      </c>
      <c r="F2136" s="1644" t="e">
        <f>SUMIF(#REF!,Final!A2136,#REF!)</f>
        <v>#REF!</v>
      </c>
      <c r="G2136" s="1597" t="e">
        <f t="shared" si="228"/>
        <v>#REF!</v>
      </c>
      <c r="H2136" s="1644" t="e">
        <f t="shared" si="229"/>
        <v>#REF!</v>
      </c>
      <c r="I2136" s="1597" t="e">
        <f t="shared" si="230"/>
        <v>#REF!</v>
      </c>
      <c r="J2136" s="1644" t="e">
        <f t="shared" si="231"/>
        <v>#REF!</v>
      </c>
      <c r="K2136" s="1539"/>
      <c r="L2136" s="1539"/>
      <c r="M2136" s="1545"/>
      <c r="N2136" s="1545"/>
      <c r="O2136" s="1539"/>
      <c r="P2136" s="1539"/>
      <c r="Q2136" s="1539"/>
      <c r="R2136" s="1539"/>
      <c r="S2136" s="1539"/>
      <c r="T2136" s="1539"/>
      <c r="U2136" s="1539"/>
      <c r="V2136" s="1539"/>
      <c r="W2136" s="1539"/>
      <c r="X2136" s="1539"/>
      <c r="Y2136" s="1539"/>
      <c r="Z2136" s="1539"/>
      <c r="AA2136" s="1539"/>
      <c r="AB2136" s="1539"/>
      <c r="AC2136" s="1539"/>
      <c r="AD2136" s="1539"/>
      <c r="AE2136" s="1539"/>
      <c r="AF2136" s="1539"/>
      <c r="AG2136" s="1539"/>
      <c r="AH2136" s="1539"/>
      <c r="AI2136" s="1539"/>
      <c r="AJ2136" s="1539"/>
      <c r="AK2136" s="1539"/>
      <c r="AL2136" s="1539"/>
      <c r="AM2136" s="1539"/>
      <c r="AN2136" s="1539"/>
      <c r="AO2136" s="1539"/>
      <c r="AP2136" s="1539"/>
      <c r="AQ2136" s="1539"/>
      <c r="AR2136" s="1539"/>
      <c r="AS2136" s="1539"/>
      <c r="AT2136" s="1539"/>
      <c r="AU2136" s="1539"/>
      <c r="AV2136" s="1539"/>
      <c r="AW2136" s="1539"/>
      <c r="AX2136" s="1539"/>
      <c r="AY2136" s="1539"/>
      <c r="AZ2136" s="1539"/>
      <c r="BA2136" s="1539"/>
      <c r="BB2136" s="1539"/>
      <c r="BC2136" s="1539"/>
      <c r="BD2136" s="1539"/>
      <c r="BE2136" s="1539"/>
      <c r="BF2136" s="1539"/>
      <c r="BG2136" s="1539"/>
      <c r="BH2136" s="1539"/>
      <c r="BI2136" s="1539"/>
      <c r="BJ2136" s="1539"/>
      <c r="BK2136" s="1539"/>
      <c r="BL2136" s="1539"/>
      <c r="BM2136" s="1539"/>
      <c r="BN2136" s="1539"/>
      <c r="BO2136" s="1539"/>
      <c r="BP2136" s="1539"/>
      <c r="BQ2136" s="1539"/>
      <c r="BR2136" s="1539"/>
      <c r="BS2136" s="1539"/>
      <c r="BT2136" s="1539"/>
      <c r="BU2136" s="1539"/>
      <c r="BV2136" s="1539"/>
      <c r="BW2136" s="1539"/>
      <c r="BX2136" s="1539"/>
      <c r="BY2136" s="1539"/>
      <c r="BZ2136" s="1539"/>
      <c r="CA2136" s="1539"/>
      <c r="CB2136" s="1539"/>
      <c r="CC2136" s="1539"/>
      <c r="CD2136" s="1539"/>
      <c r="CE2136" s="1539"/>
      <c r="CF2136" s="1539"/>
      <c r="CG2136" s="1539"/>
      <c r="CH2136" s="1539"/>
      <c r="CI2136" s="1539"/>
      <c r="CJ2136" s="1539"/>
      <c r="CK2136" s="1539"/>
      <c r="CL2136" s="1539"/>
      <c r="CM2136" s="1539"/>
      <c r="CN2136" s="1539"/>
      <c r="CO2136" s="1539"/>
    </row>
    <row r="2137" spans="1:93" s="1542" customFormat="1" ht="15.5">
      <c r="A2137" s="1598">
        <v>13</v>
      </c>
      <c r="B2137" s="1599" t="s">
        <v>1910</v>
      </c>
      <c r="C2137" s="1643" t="e">
        <f>+SUMIF(#REF!,Final!A2137,#REF!)</f>
        <v>#REF!</v>
      </c>
      <c r="D2137" s="1597" t="e">
        <f>+SUMIF(#REF!,Final!A2137,#REF!)</f>
        <v>#REF!</v>
      </c>
      <c r="E2137" s="1643" t="e">
        <f>SUMIF(#REF!,Final!A2137,#REF!)</f>
        <v>#REF!</v>
      </c>
      <c r="F2137" s="1644" t="e">
        <f>SUMIF(#REF!,Final!A2137,#REF!)</f>
        <v>#REF!</v>
      </c>
      <c r="G2137" s="1597" t="e">
        <f t="shared" si="228"/>
        <v>#REF!</v>
      </c>
      <c r="H2137" s="1644" t="e">
        <f t="shared" si="229"/>
        <v>#REF!</v>
      </c>
      <c r="I2137" s="1597" t="e">
        <f t="shared" si="230"/>
        <v>#REF!</v>
      </c>
      <c r="J2137" s="1644" t="e">
        <f t="shared" si="231"/>
        <v>#REF!</v>
      </c>
      <c r="K2137" s="1539"/>
      <c r="L2137" s="1539"/>
      <c r="M2137" s="1545"/>
      <c r="N2137" s="1545"/>
      <c r="O2137" s="1539"/>
      <c r="P2137" s="1539"/>
      <c r="Q2137" s="1539"/>
      <c r="R2137" s="1539"/>
      <c r="S2137" s="1539"/>
      <c r="T2137" s="1539"/>
      <c r="U2137" s="1539"/>
      <c r="V2137" s="1539"/>
      <c r="W2137" s="1539"/>
      <c r="X2137" s="1539"/>
      <c r="Y2137" s="1539"/>
      <c r="Z2137" s="1539"/>
      <c r="AA2137" s="1539"/>
      <c r="AB2137" s="1539"/>
      <c r="AC2137" s="1539"/>
      <c r="AD2137" s="1539"/>
      <c r="AE2137" s="1539"/>
      <c r="AF2137" s="1539"/>
      <c r="AG2137" s="1539"/>
      <c r="AH2137" s="1539"/>
      <c r="AI2137" s="1539"/>
      <c r="AJ2137" s="1539"/>
      <c r="AK2137" s="1539"/>
      <c r="AL2137" s="1539"/>
      <c r="AM2137" s="1539"/>
      <c r="AN2137" s="1539"/>
      <c r="AO2137" s="1539"/>
      <c r="AP2137" s="1539"/>
      <c r="AQ2137" s="1539"/>
      <c r="AR2137" s="1539"/>
      <c r="AS2137" s="1539"/>
      <c r="AT2137" s="1539"/>
      <c r="AU2137" s="1539"/>
      <c r="AV2137" s="1539"/>
      <c r="AW2137" s="1539"/>
      <c r="AX2137" s="1539"/>
      <c r="AY2137" s="1539"/>
      <c r="AZ2137" s="1539"/>
      <c r="BA2137" s="1539"/>
      <c r="BB2137" s="1539"/>
      <c r="BC2137" s="1539"/>
      <c r="BD2137" s="1539"/>
      <c r="BE2137" s="1539"/>
      <c r="BF2137" s="1539"/>
      <c r="BG2137" s="1539"/>
      <c r="BH2137" s="1539"/>
      <c r="BI2137" s="1539"/>
      <c r="BJ2137" s="1539"/>
      <c r="BK2137" s="1539"/>
      <c r="BL2137" s="1539"/>
      <c r="BM2137" s="1539"/>
      <c r="BN2137" s="1539"/>
      <c r="BO2137" s="1539"/>
      <c r="BP2137" s="1539"/>
      <c r="BQ2137" s="1539"/>
      <c r="BR2137" s="1539"/>
      <c r="BS2137" s="1539"/>
      <c r="BT2137" s="1539"/>
      <c r="BU2137" s="1539"/>
      <c r="BV2137" s="1539"/>
      <c r="BW2137" s="1539"/>
      <c r="BX2137" s="1539"/>
      <c r="BY2137" s="1539"/>
      <c r="BZ2137" s="1539"/>
      <c r="CA2137" s="1539"/>
      <c r="CB2137" s="1539"/>
      <c r="CC2137" s="1539"/>
      <c r="CD2137" s="1539"/>
      <c r="CE2137" s="1539"/>
      <c r="CF2137" s="1539"/>
      <c r="CG2137" s="1539"/>
      <c r="CH2137" s="1539"/>
      <c r="CI2137" s="1539"/>
      <c r="CJ2137" s="1539"/>
      <c r="CK2137" s="1539"/>
      <c r="CL2137" s="1539"/>
      <c r="CM2137" s="1539"/>
      <c r="CN2137" s="1539"/>
      <c r="CO2137" s="1539"/>
    </row>
    <row r="2138" spans="1:93" ht="15.5">
      <c r="A2138" s="1598">
        <v>46.704999999999998</v>
      </c>
      <c r="B2138" s="1599" t="s">
        <v>1989</v>
      </c>
      <c r="C2138" s="1643" t="e">
        <f>+SUMIF(#REF!,Final!A2138,#REF!)</f>
        <v>#REF!</v>
      </c>
      <c r="D2138" s="1597" t="e">
        <f>+SUMIF(#REF!,Final!A2138,#REF!)</f>
        <v>#REF!</v>
      </c>
      <c r="E2138" s="1643" t="e">
        <f>SUMIF(#REF!,Final!A2138,#REF!)</f>
        <v>#REF!</v>
      </c>
      <c r="F2138" s="1644" t="e">
        <f>SUMIF(#REF!,Final!A2138,#REF!)</f>
        <v>#REF!</v>
      </c>
      <c r="G2138" s="1597" t="e">
        <f t="shared" si="228"/>
        <v>#REF!</v>
      </c>
      <c r="H2138" s="1644" t="e">
        <f t="shared" si="229"/>
        <v>#REF!</v>
      </c>
      <c r="I2138" s="1597" t="e">
        <f t="shared" si="230"/>
        <v>#REF!</v>
      </c>
      <c r="J2138" s="1644" t="e">
        <f t="shared" si="231"/>
        <v>#REF!</v>
      </c>
      <c r="M2138" s="1545"/>
      <c r="N2138" s="1545"/>
    </row>
    <row r="2139" spans="1:93" s="1552" customFormat="1" ht="15.5">
      <c r="A2139" s="1598"/>
      <c r="B2139" s="1599" t="s">
        <v>1747</v>
      </c>
      <c r="C2139" s="1643" t="e">
        <f>+SUMIF(#REF!,Final!A2139,#REF!)</f>
        <v>#REF!</v>
      </c>
      <c r="D2139" s="1597" t="e">
        <f>+SUMIF(#REF!,Final!A2139,#REF!)</f>
        <v>#REF!</v>
      </c>
      <c r="E2139" s="1643" t="e">
        <f>SUMIF(#REF!,Final!A2139,#REF!)</f>
        <v>#REF!</v>
      </c>
      <c r="F2139" s="1644" t="e">
        <f>SUMIF(#REF!,Final!A2139,#REF!)</f>
        <v>#REF!</v>
      </c>
      <c r="G2139" s="1597" t="e">
        <f t="shared" si="228"/>
        <v>#REF!</v>
      </c>
      <c r="H2139" s="1644" t="e">
        <f t="shared" si="229"/>
        <v>#REF!</v>
      </c>
      <c r="I2139" s="1597" t="e">
        <f t="shared" si="230"/>
        <v>#REF!</v>
      </c>
      <c r="J2139" s="1644" t="e">
        <f t="shared" si="231"/>
        <v>#REF!</v>
      </c>
      <c r="K2139" s="1539"/>
      <c r="L2139" s="1539"/>
      <c r="M2139" s="1545"/>
      <c r="N2139" s="1545"/>
      <c r="O2139" s="1539"/>
      <c r="P2139" s="1539"/>
      <c r="Q2139" s="1539"/>
      <c r="R2139" s="1539"/>
      <c r="S2139" s="1539"/>
      <c r="T2139" s="1539"/>
      <c r="U2139" s="1539"/>
      <c r="V2139" s="1539"/>
      <c r="W2139" s="1539"/>
      <c r="X2139" s="1539"/>
      <c r="Y2139" s="1539"/>
      <c r="Z2139" s="1539"/>
      <c r="AA2139" s="1539"/>
      <c r="AB2139" s="1539"/>
      <c r="AC2139" s="1539"/>
      <c r="AD2139" s="1539"/>
      <c r="AE2139" s="1539"/>
      <c r="AF2139" s="1539"/>
      <c r="AG2139" s="1539"/>
      <c r="AH2139" s="1539"/>
      <c r="AI2139" s="1539"/>
      <c r="AJ2139" s="1539"/>
      <c r="AK2139" s="1539"/>
      <c r="AL2139" s="1539"/>
      <c r="AM2139" s="1539"/>
      <c r="AN2139" s="1539"/>
      <c r="AO2139" s="1539"/>
      <c r="AP2139" s="1539"/>
      <c r="AQ2139" s="1539"/>
      <c r="AR2139" s="1539"/>
      <c r="AS2139" s="1539"/>
      <c r="AT2139" s="1539"/>
      <c r="AU2139" s="1539"/>
      <c r="AV2139" s="1539"/>
      <c r="AW2139" s="1539"/>
      <c r="AX2139" s="1539"/>
      <c r="AY2139" s="1539"/>
      <c r="AZ2139" s="1539"/>
      <c r="BA2139" s="1539"/>
      <c r="BB2139" s="1539"/>
      <c r="BC2139" s="1539"/>
      <c r="BD2139" s="1539"/>
      <c r="BE2139" s="1539"/>
      <c r="BF2139" s="1539"/>
      <c r="BG2139" s="1539"/>
      <c r="BH2139" s="1539"/>
      <c r="BI2139" s="1539"/>
      <c r="BJ2139" s="1539"/>
      <c r="BK2139" s="1539"/>
      <c r="BL2139" s="1539"/>
      <c r="BM2139" s="1539"/>
      <c r="BN2139" s="1539"/>
      <c r="BO2139" s="1539"/>
      <c r="BP2139" s="1539"/>
      <c r="BQ2139" s="1539"/>
      <c r="BR2139" s="1539"/>
      <c r="BS2139" s="1539"/>
      <c r="BT2139" s="1539"/>
      <c r="BU2139" s="1539"/>
      <c r="BV2139" s="1539"/>
      <c r="BW2139" s="1539"/>
      <c r="BX2139" s="1539"/>
      <c r="BY2139" s="1539"/>
      <c r="BZ2139" s="1539"/>
      <c r="CA2139" s="1539"/>
      <c r="CB2139" s="1539"/>
      <c r="CC2139" s="1539"/>
      <c r="CD2139" s="1539"/>
      <c r="CE2139" s="1539"/>
      <c r="CF2139" s="1539"/>
      <c r="CG2139" s="1539"/>
      <c r="CH2139" s="1539"/>
      <c r="CI2139" s="1539"/>
      <c r="CJ2139" s="1539"/>
      <c r="CK2139" s="1539"/>
      <c r="CL2139" s="1539"/>
      <c r="CM2139" s="1539"/>
      <c r="CN2139" s="1539"/>
      <c r="CO2139" s="1539"/>
    </row>
    <row r="2140" spans="1:93" s="1552" customFormat="1" ht="15.5">
      <c r="A2140" s="1598" t="s">
        <v>2916</v>
      </c>
      <c r="B2140" s="1599" t="s">
        <v>1760</v>
      </c>
      <c r="C2140" s="1643" t="e">
        <f>+SUMIF(#REF!,Final!A2140,#REF!)</f>
        <v>#REF!</v>
      </c>
      <c r="D2140" s="1597" t="e">
        <f>+SUMIF(#REF!,Final!A2140,#REF!)</f>
        <v>#REF!</v>
      </c>
      <c r="E2140" s="1643" t="e">
        <f>SUMIF(#REF!,Final!A2140,#REF!)</f>
        <v>#REF!</v>
      </c>
      <c r="F2140" s="1644" t="e">
        <f>SUMIF(#REF!,Final!A2140,#REF!)</f>
        <v>#REF!</v>
      </c>
      <c r="G2140" s="1597" t="e">
        <f t="shared" si="228"/>
        <v>#REF!</v>
      </c>
      <c r="H2140" s="1644" t="e">
        <f t="shared" si="229"/>
        <v>#REF!</v>
      </c>
      <c r="I2140" s="1597" t="e">
        <f t="shared" si="230"/>
        <v>#REF!</v>
      </c>
      <c r="J2140" s="1644" t="e">
        <f t="shared" si="231"/>
        <v>#REF!</v>
      </c>
      <c r="K2140" s="1539"/>
      <c r="L2140" s="1539"/>
      <c r="M2140" s="1545"/>
      <c r="N2140" s="1545"/>
      <c r="O2140" s="1539"/>
      <c r="P2140" s="1539"/>
      <c r="Q2140" s="1539"/>
      <c r="R2140" s="1539"/>
      <c r="S2140" s="1539"/>
      <c r="T2140" s="1539"/>
      <c r="U2140" s="1539"/>
      <c r="V2140" s="1539"/>
      <c r="W2140" s="1539"/>
      <c r="X2140" s="1539"/>
      <c r="Y2140" s="1539"/>
      <c r="Z2140" s="1539"/>
      <c r="AA2140" s="1539"/>
      <c r="AB2140" s="1539"/>
      <c r="AC2140" s="1539"/>
      <c r="AD2140" s="1539"/>
      <c r="AE2140" s="1539"/>
      <c r="AF2140" s="1539"/>
      <c r="AG2140" s="1539"/>
      <c r="AH2140" s="1539"/>
      <c r="AI2140" s="1539"/>
      <c r="AJ2140" s="1539"/>
      <c r="AK2140" s="1539"/>
      <c r="AL2140" s="1539"/>
      <c r="AM2140" s="1539"/>
      <c r="AN2140" s="1539"/>
      <c r="AO2140" s="1539"/>
      <c r="AP2140" s="1539"/>
      <c r="AQ2140" s="1539"/>
      <c r="AR2140" s="1539"/>
      <c r="AS2140" s="1539"/>
      <c r="AT2140" s="1539"/>
      <c r="AU2140" s="1539"/>
      <c r="AV2140" s="1539"/>
      <c r="AW2140" s="1539"/>
      <c r="AX2140" s="1539"/>
      <c r="AY2140" s="1539"/>
      <c r="AZ2140" s="1539"/>
      <c r="BA2140" s="1539"/>
      <c r="BB2140" s="1539"/>
      <c r="BC2140" s="1539"/>
      <c r="BD2140" s="1539"/>
      <c r="BE2140" s="1539"/>
      <c r="BF2140" s="1539"/>
      <c r="BG2140" s="1539"/>
      <c r="BH2140" s="1539"/>
      <c r="BI2140" s="1539"/>
      <c r="BJ2140" s="1539"/>
      <c r="BK2140" s="1539"/>
      <c r="BL2140" s="1539"/>
      <c r="BM2140" s="1539"/>
      <c r="BN2140" s="1539"/>
      <c r="BO2140" s="1539"/>
      <c r="BP2140" s="1539"/>
      <c r="BQ2140" s="1539"/>
      <c r="BR2140" s="1539"/>
      <c r="BS2140" s="1539"/>
      <c r="BT2140" s="1539"/>
      <c r="BU2140" s="1539"/>
      <c r="BV2140" s="1539"/>
      <c r="BW2140" s="1539"/>
      <c r="BX2140" s="1539"/>
      <c r="BY2140" s="1539"/>
      <c r="BZ2140" s="1539"/>
      <c r="CA2140" s="1539"/>
      <c r="CB2140" s="1539"/>
      <c r="CC2140" s="1539"/>
      <c r="CD2140" s="1539"/>
      <c r="CE2140" s="1539"/>
      <c r="CF2140" s="1539"/>
      <c r="CG2140" s="1539"/>
      <c r="CH2140" s="1539"/>
      <c r="CI2140" s="1539"/>
      <c r="CJ2140" s="1539"/>
      <c r="CK2140" s="1539"/>
      <c r="CL2140" s="1539"/>
      <c r="CM2140" s="1539"/>
      <c r="CN2140" s="1539"/>
      <c r="CO2140" s="1539"/>
    </row>
    <row r="2141" spans="1:93" s="1542" customFormat="1" ht="15.5">
      <c r="A2141" s="1598" t="s">
        <v>2015</v>
      </c>
      <c r="B2141" s="1599" t="s">
        <v>2016</v>
      </c>
      <c r="C2141" s="1643" t="e">
        <f>+SUMIF(#REF!,Final!A2141,#REF!)</f>
        <v>#REF!</v>
      </c>
      <c r="D2141" s="1597" t="e">
        <f>+SUMIF(#REF!,Final!A2141,#REF!)</f>
        <v>#REF!</v>
      </c>
      <c r="E2141" s="1643" t="e">
        <f>SUMIF(#REF!,Final!A2141,#REF!)</f>
        <v>#REF!</v>
      </c>
      <c r="F2141" s="1644" t="e">
        <f>SUMIF(#REF!,Final!A2141,#REF!)</f>
        <v>#REF!</v>
      </c>
      <c r="G2141" s="1597" t="e">
        <f t="shared" si="228"/>
        <v>#REF!</v>
      </c>
      <c r="H2141" s="1644" t="e">
        <f t="shared" si="229"/>
        <v>#REF!</v>
      </c>
      <c r="I2141" s="1597" t="e">
        <f t="shared" si="230"/>
        <v>#REF!</v>
      </c>
      <c r="J2141" s="1644" t="e">
        <f t="shared" si="231"/>
        <v>#REF!</v>
      </c>
      <c r="K2141" s="1539"/>
      <c r="L2141" s="1539"/>
      <c r="M2141" s="1545"/>
      <c r="N2141" s="1545"/>
      <c r="O2141" s="1539"/>
      <c r="P2141" s="1539"/>
      <c r="Q2141" s="1539"/>
      <c r="R2141" s="1539"/>
      <c r="S2141" s="1539"/>
      <c r="T2141" s="1539"/>
      <c r="U2141" s="1539"/>
      <c r="V2141" s="1539"/>
      <c r="W2141" s="1539"/>
      <c r="X2141" s="1539"/>
      <c r="Y2141" s="1539"/>
      <c r="Z2141" s="1539"/>
      <c r="AA2141" s="1539"/>
      <c r="AB2141" s="1539"/>
      <c r="AC2141" s="1539"/>
      <c r="AD2141" s="1539"/>
      <c r="AE2141" s="1539"/>
      <c r="AF2141" s="1539"/>
      <c r="AG2141" s="1539"/>
      <c r="AH2141" s="1539"/>
      <c r="AI2141" s="1539"/>
      <c r="AJ2141" s="1539"/>
      <c r="AK2141" s="1539"/>
      <c r="AL2141" s="1539"/>
      <c r="AM2141" s="1539"/>
      <c r="AN2141" s="1539"/>
      <c r="AO2141" s="1539"/>
      <c r="AP2141" s="1539"/>
      <c r="AQ2141" s="1539"/>
      <c r="AR2141" s="1539"/>
      <c r="AS2141" s="1539"/>
      <c r="AT2141" s="1539"/>
      <c r="AU2141" s="1539"/>
      <c r="AV2141" s="1539"/>
      <c r="AW2141" s="1539"/>
      <c r="AX2141" s="1539"/>
      <c r="AY2141" s="1539"/>
      <c r="AZ2141" s="1539"/>
      <c r="BA2141" s="1539"/>
      <c r="BB2141" s="1539"/>
      <c r="BC2141" s="1539"/>
      <c r="BD2141" s="1539"/>
      <c r="BE2141" s="1539"/>
      <c r="BF2141" s="1539"/>
      <c r="BG2141" s="1539"/>
      <c r="BH2141" s="1539"/>
      <c r="BI2141" s="1539"/>
      <c r="BJ2141" s="1539"/>
      <c r="BK2141" s="1539"/>
      <c r="BL2141" s="1539"/>
      <c r="BM2141" s="1539"/>
      <c r="BN2141" s="1539"/>
      <c r="BO2141" s="1539"/>
      <c r="BP2141" s="1539"/>
      <c r="BQ2141" s="1539"/>
      <c r="BR2141" s="1539"/>
      <c r="BS2141" s="1539"/>
      <c r="BT2141" s="1539"/>
      <c r="BU2141" s="1539"/>
      <c r="BV2141" s="1539"/>
      <c r="BW2141" s="1539"/>
      <c r="BX2141" s="1539"/>
      <c r="BY2141" s="1539"/>
      <c r="BZ2141" s="1539"/>
      <c r="CA2141" s="1539"/>
      <c r="CB2141" s="1539"/>
      <c r="CC2141" s="1539"/>
      <c r="CD2141" s="1539"/>
      <c r="CE2141" s="1539"/>
      <c r="CF2141" s="1539"/>
      <c r="CG2141" s="1539"/>
      <c r="CH2141" s="1539"/>
      <c r="CI2141" s="1539"/>
      <c r="CJ2141" s="1539"/>
      <c r="CK2141" s="1539"/>
      <c r="CL2141" s="1539"/>
      <c r="CM2141" s="1539"/>
      <c r="CN2141" s="1539"/>
      <c r="CO2141" s="1539"/>
    </row>
    <row r="2142" spans="1:93" ht="15.5">
      <c r="A2142" s="1598">
        <v>46.71</v>
      </c>
      <c r="B2142" s="1599" t="s">
        <v>2016</v>
      </c>
      <c r="C2142" s="1643" t="e">
        <f>+SUMIF(#REF!,Final!A2142,#REF!)</f>
        <v>#REF!</v>
      </c>
      <c r="D2142" s="1597" t="e">
        <f>+SUMIF(#REF!,Final!A2142,#REF!)</f>
        <v>#REF!</v>
      </c>
      <c r="E2142" s="1643" t="e">
        <f>SUMIF(#REF!,Final!A2142,#REF!)</f>
        <v>#REF!</v>
      </c>
      <c r="F2142" s="1644" t="e">
        <f>SUMIF(#REF!,Final!A2142,#REF!)</f>
        <v>#REF!</v>
      </c>
      <c r="G2142" s="1597" t="e">
        <f t="shared" si="228"/>
        <v>#REF!</v>
      </c>
      <c r="H2142" s="1644" t="e">
        <f t="shared" si="229"/>
        <v>#REF!</v>
      </c>
      <c r="I2142" s="1597" t="e">
        <f t="shared" si="230"/>
        <v>#REF!</v>
      </c>
      <c r="J2142" s="1644" t="e">
        <f t="shared" si="231"/>
        <v>#REF!</v>
      </c>
      <c r="M2142" s="1545"/>
      <c r="N2142" s="1545"/>
    </row>
    <row r="2143" spans="1:93" s="1552" customFormat="1" ht="15.5">
      <c r="A2143" s="1598"/>
      <c r="B2143" s="1599" t="s">
        <v>1747</v>
      </c>
      <c r="C2143" s="1643" t="e">
        <f>+SUMIF(#REF!,Final!A2143,#REF!)</f>
        <v>#REF!</v>
      </c>
      <c r="D2143" s="1597" t="e">
        <f>+SUMIF(#REF!,Final!A2143,#REF!)</f>
        <v>#REF!</v>
      </c>
      <c r="E2143" s="1643" t="e">
        <f>SUMIF(#REF!,Final!A2143,#REF!)</f>
        <v>#REF!</v>
      </c>
      <c r="F2143" s="1644" t="e">
        <f>SUMIF(#REF!,Final!A2143,#REF!)</f>
        <v>#REF!</v>
      </c>
      <c r="G2143" s="1597" t="e">
        <f t="shared" si="228"/>
        <v>#REF!</v>
      </c>
      <c r="H2143" s="1644" t="e">
        <f t="shared" si="229"/>
        <v>#REF!</v>
      </c>
      <c r="I2143" s="1597" t="e">
        <f t="shared" si="230"/>
        <v>#REF!</v>
      </c>
      <c r="J2143" s="1644" t="e">
        <f t="shared" si="231"/>
        <v>#REF!</v>
      </c>
      <c r="K2143" s="1539"/>
      <c r="L2143" s="1539"/>
      <c r="M2143" s="1545"/>
      <c r="N2143" s="1545"/>
      <c r="O2143" s="1539"/>
      <c r="P2143" s="1539"/>
      <c r="Q2143" s="1539"/>
      <c r="R2143" s="1539"/>
      <c r="S2143" s="1539"/>
      <c r="T2143" s="1539"/>
      <c r="U2143" s="1539"/>
      <c r="V2143" s="1539"/>
      <c r="W2143" s="1539"/>
      <c r="X2143" s="1539"/>
      <c r="Y2143" s="1539"/>
      <c r="Z2143" s="1539"/>
      <c r="AA2143" s="1539"/>
      <c r="AB2143" s="1539"/>
      <c r="AC2143" s="1539"/>
      <c r="AD2143" s="1539"/>
      <c r="AE2143" s="1539"/>
      <c r="AF2143" s="1539"/>
      <c r="AG2143" s="1539"/>
      <c r="AH2143" s="1539"/>
      <c r="AI2143" s="1539"/>
      <c r="AJ2143" s="1539"/>
      <c r="AK2143" s="1539"/>
      <c r="AL2143" s="1539"/>
      <c r="AM2143" s="1539"/>
      <c r="AN2143" s="1539"/>
      <c r="AO2143" s="1539"/>
      <c r="AP2143" s="1539"/>
      <c r="AQ2143" s="1539"/>
      <c r="AR2143" s="1539"/>
      <c r="AS2143" s="1539"/>
      <c r="AT2143" s="1539"/>
      <c r="AU2143" s="1539"/>
      <c r="AV2143" s="1539"/>
      <c r="AW2143" s="1539"/>
      <c r="AX2143" s="1539"/>
      <c r="AY2143" s="1539"/>
      <c r="AZ2143" s="1539"/>
      <c r="BA2143" s="1539"/>
      <c r="BB2143" s="1539"/>
      <c r="BC2143" s="1539"/>
      <c r="BD2143" s="1539"/>
      <c r="BE2143" s="1539"/>
      <c r="BF2143" s="1539"/>
      <c r="BG2143" s="1539"/>
      <c r="BH2143" s="1539"/>
      <c r="BI2143" s="1539"/>
      <c r="BJ2143" s="1539"/>
      <c r="BK2143" s="1539"/>
      <c r="BL2143" s="1539"/>
      <c r="BM2143" s="1539"/>
      <c r="BN2143" s="1539"/>
      <c r="BO2143" s="1539"/>
      <c r="BP2143" s="1539"/>
      <c r="BQ2143" s="1539"/>
      <c r="BR2143" s="1539"/>
      <c r="BS2143" s="1539"/>
      <c r="BT2143" s="1539"/>
      <c r="BU2143" s="1539"/>
      <c r="BV2143" s="1539"/>
      <c r="BW2143" s="1539"/>
      <c r="BX2143" s="1539"/>
      <c r="BY2143" s="1539"/>
      <c r="BZ2143" s="1539"/>
      <c r="CA2143" s="1539"/>
      <c r="CB2143" s="1539"/>
      <c r="CC2143" s="1539"/>
      <c r="CD2143" s="1539"/>
      <c r="CE2143" s="1539"/>
      <c r="CF2143" s="1539"/>
      <c r="CG2143" s="1539"/>
      <c r="CH2143" s="1539"/>
      <c r="CI2143" s="1539"/>
      <c r="CJ2143" s="1539"/>
      <c r="CK2143" s="1539"/>
      <c r="CL2143" s="1539"/>
      <c r="CM2143" s="1539"/>
      <c r="CN2143" s="1539"/>
      <c r="CO2143" s="1539"/>
    </row>
    <row r="2144" spans="1:93" s="1552" customFormat="1" ht="15.5">
      <c r="A2144" s="1598" t="s">
        <v>3447</v>
      </c>
      <c r="B2144" s="1599" t="s">
        <v>2017</v>
      </c>
      <c r="C2144" s="1643" t="e">
        <f>+SUMIF(#REF!,Final!A2144,#REF!)</f>
        <v>#REF!</v>
      </c>
      <c r="D2144" s="1597" t="e">
        <f>+SUMIF(#REF!,Final!A2144,#REF!)</f>
        <v>#REF!</v>
      </c>
      <c r="E2144" s="1643" t="e">
        <f>SUMIF(#REF!,Final!A2144,#REF!)</f>
        <v>#REF!</v>
      </c>
      <c r="F2144" s="1644" t="e">
        <f>SUMIF(#REF!,Final!A2144,#REF!)</f>
        <v>#REF!</v>
      </c>
      <c r="G2144" s="1597" t="e">
        <f t="shared" si="228"/>
        <v>#REF!</v>
      </c>
      <c r="H2144" s="1644" t="e">
        <f t="shared" si="229"/>
        <v>#REF!</v>
      </c>
      <c r="I2144" s="1597" t="e">
        <f t="shared" si="230"/>
        <v>#REF!</v>
      </c>
      <c r="J2144" s="1644" t="e">
        <f t="shared" si="231"/>
        <v>#REF!</v>
      </c>
      <c r="K2144" s="1539"/>
      <c r="L2144" s="1539"/>
      <c r="M2144" s="1545"/>
      <c r="N2144" s="1545"/>
      <c r="O2144" s="1539"/>
      <c r="P2144" s="1539"/>
      <c r="Q2144" s="1539"/>
      <c r="R2144" s="1539"/>
      <c r="S2144" s="1539"/>
      <c r="T2144" s="1539"/>
      <c r="U2144" s="1539"/>
      <c r="V2144" s="1539"/>
      <c r="W2144" s="1539"/>
      <c r="X2144" s="1539"/>
      <c r="Y2144" s="1539"/>
      <c r="Z2144" s="1539"/>
      <c r="AA2144" s="1539"/>
      <c r="AB2144" s="1539"/>
      <c r="AC2144" s="1539"/>
      <c r="AD2144" s="1539"/>
      <c r="AE2144" s="1539"/>
      <c r="AF2144" s="1539"/>
      <c r="AG2144" s="1539"/>
      <c r="AH2144" s="1539"/>
      <c r="AI2144" s="1539"/>
      <c r="AJ2144" s="1539"/>
      <c r="AK2144" s="1539"/>
      <c r="AL2144" s="1539"/>
      <c r="AM2144" s="1539"/>
      <c r="AN2144" s="1539"/>
      <c r="AO2144" s="1539"/>
      <c r="AP2144" s="1539"/>
      <c r="AQ2144" s="1539"/>
      <c r="AR2144" s="1539"/>
      <c r="AS2144" s="1539"/>
      <c r="AT2144" s="1539"/>
      <c r="AU2144" s="1539"/>
      <c r="AV2144" s="1539"/>
      <c r="AW2144" s="1539"/>
      <c r="AX2144" s="1539"/>
      <c r="AY2144" s="1539"/>
      <c r="AZ2144" s="1539"/>
      <c r="BA2144" s="1539"/>
      <c r="BB2144" s="1539"/>
      <c r="BC2144" s="1539"/>
      <c r="BD2144" s="1539"/>
      <c r="BE2144" s="1539"/>
      <c r="BF2144" s="1539"/>
      <c r="BG2144" s="1539"/>
      <c r="BH2144" s="1539"/>
      <c r="BI2144" s="1539"/>
      <c r="BJ2144" s="1539"/>
      <c r="BK2144" s="1539"/>
      <c r="BL2144" s="1539"/>
      <c r="BM2144" s="1539"/>
      <c r="BN2144" s="1539"/>
      <c r="BO2144" s="1539"/>
      <c r="BP2144" s="1539"/>
      <c r="BQ2144" s="1539"/>
      <c r="BR2144" s="1539"/>
      <c r="BS2144" s="1539"/>
      <c r="BT2144" s="1539"/>
      <c r="BU2144" s="1539"/>
      <c r="BV2144" s="1539"/>
      <c r="BW2144" s="1539"/>
      <c r="BX2144" s="1539"/>
      <c r="BY2144" s="1539"/>
      <c r="BZ2144" s="1539"/>
      <c r="CA2144" s="1539"/>
      <c r="CB2144" s="1539"/>
      <c r="CC2144" s="1539"/>
      <c r="CD2144" s="1539"/>
      <c r="CE2144" s="1539"/>
      <c r="CF2144" s="1539"/>
      <c r="CG2144" s="1539"/>
      <c r="CH2144" s="1539"/>
      <c r="CI2144" s="1539"/>
      <c r="CJ2144" s="1539"/>
      <c r="CK2144" s="1539"/>
      <c r="CL2144" s="1539"/>
      <c r="CM2144" s="1539"/>
      <c r="CN2144" s="1539"/>
      <c r="CO2144" s="1539"/>
    </row>
    <row r="2145" spans="1:93" s="1542" customFormat="1" ht="15.5">
      <c r="A2145" s="1598">
        <v>13</v>
      </c>
      <c r="B2145" s="1599" t="s">
        <v>1910</v>
      </c>
      <c r="C2145" s="1643" t="e">
        <f>+SUMIF(#REF!,Final!A2145,#REF!)</f>
        <v>#REF!</v>
      </c>
      <c r="D2145" s="1597" t="e">
        <f>+SUMIF(#REF!,Final!A2145,#REF!)</f>
        <v>#REF!</v>
      </c>
      <c r="E2145" s="1643" t="e">
        <f>SUMIF(#REF!,Final!A2145,#REF!)</f>
        <v>#REF!</v>
      </c>
      <c r="F2145" s="1644" t="e">
        <f>SUMIF(#REF!,Final!A2145,#REF!)</f>
        <v>#REF!</v>
      </c>
      <c r="G2145" s="1597" t="e">
        <f t="shared" si="228"/>
        <v>#REF!</v>
      </c>
      <c r="H2145" s="1644" t="e">
        <f t="shared" si="229"/>
        <v>#REF!</v>
      </c>
      <c r="I2145" s="1597" t="e">
        <f t="shared" si="230"/>
        <v>#REF!</v>
      </c>
      <c r="J2145" s="1644" t="e">
        <f t="shared" si="231"/>
        <v>#REF!</v>
      </c>
      <c r="K2145" s="1539"/>
      <c r="L2145" s="1539"/>
      <c r="M2145" s="1545"/>
      <c r="N2145" s="1545"/>
      <c r="O2145" s="1539"/>
      <c r="P2145" s="1539"/>
      <c r="Q2145" s="1539"/>
      <c r="R2145" s="1539"/>
      <c r="S2145" s="1539"/>
      <c r="T2145" s="1539"/>
      <c r="U2145" s="1539"/>
      <c r="V2145" s="1539"/>
      <c r="W2145" s="1539"/>
      <c r="X2145" s="1539"/>
      <c r="Y2145" s="1539"/>
      <c r="Z2145" s="1539"/>
      <c r="AA2145" s="1539"/>
      <c r="AB2145" s="1539"/>
      <c r="AC2145" s="1539"/>
      <c r="AD2145" s="1539"/>
      <c r="AE2145" s="1539"/>
      <c r="AF2145" s="1539"/>
      <c r="AG2145" s="1539"/>
      <c r="AH2145" s="1539"/>
      <c r="AI2145" s="1539"/>
      <c r="AJ2145" s="1539"/>
      <c r="AK2145" s="1539"/>
      <c r="AL2145" s="1539"/>
      <c r="AM2145" s="1539"/>
      <c r="AN2145" s="1539"/>
      <c r="AO2145" s="1539"/>
      <c r="AP2145" s="1539"/>
      <c r="AQ2145" s="1539"/>
      <c r="AR2145" s="1539"/>
      <c r="AS2145" s="1539"/>
      <c r="AT2145" s="1539"/>
      <c r="AU2145" s="1539"/>
      <c r="AV2145" s="1539"/>
      <c r="AW2145" s="1539"/>
      <c r="AX2145" s="1539"/>
      <c r="AY2145" s="1539"/>
      <c r="AZ2145" s="1539"/>
      <c r="BA2145" s="1539"/>
      <c r="BB2145" s="1539"/>
      <c r="BC2145" s="1539"/>
      <c r="BD2145" s="1539"/>
      <c r="BE2145" s="1539"/>
      <c r="BF2145" s="1539"/>
      <c r="BG2145" s="1539"/>
      <c r="BH2145" s="1539"/>
      <c r="BI2145" s="1539"/>
      <c r="BJ2145" s="1539"/>
      <c r="BK2145" s="1539"/>
      <c r="BL2145" s="1539"/>
      <c r="BM2145" s="1539"/>
      <c r="BN2145" s="1539"/>
      <c r="BO2145" s="1539"/>
      <c r="BP2145" s="1539"/>
      <c r="BQ2145" s="1539"/>
      <c r="BR2145" s="1539"/>
      <c r="BS2145" s="1539"/>
      <c r="BT2145" s="1539"/>
      <c r="BU2145" s="1539"/>
      <c r="BV2145" s="1539"/>
      <c r="BW2145" s="1539"/>
      <c r="BX2145" s="1539"/>
      <c r="BY2145" s="1539"/>
      <c r="BZ2145" s="1539"/>
      <c r="CA2145" s="1539"/>
      <c r="CB2145" s="1539"/>
      <c r="CC2145" s="1539"/>
      <c r="CD2145" s="1539"/>
      <c r="CE2145" s="1539"/>
      <c r="CF2145" s="1539"/>
      <c r="CG2145" s="1539"/>
      <c r="CH2145" s="1539"/>
      <c r="CI2145" s="1539"/>
      <c r="CJ2145" s="1539"/>
      <c r="CK2145" s="1539"/>
      <c r="CL2145" s="1539"/>
      <c r="CM2145" s="1539"/>
      <c r="CN2145" s="1539"/>
      <c r="CO2145" s="1539"/>
    </row>
    <row r="2146" spans="1:93" ht="15.5">
      <c r="A2146" s="1598">
        <v>46.713000000000001</v>
      </c>
      <c r="B2146" s="1599" t="s">
        <v>1911</v>
      </c>
      <c r="C2146" s="1643" t="e">
        <f>+SUMIF(#REF!,Final!A2146,#REF!)</f>
        <v>#REF!</v>
      </c>
      <c r="D2146" s="1597" t="e">
        <f>+SUMIF(#REF!,Final!A2146,#REF!)</f>
        <v>#REF!</v>
      </c>
      <c r="E2146" s="1643" t="e">
        <f>SUMIF(#REF!,Final!A2146,#REF!)</f>
        <v>#REF!</v>
      </c>
      <c r="F2146" s="1644" t="e">
        <f>SUMIF(#REF!,Final!A2146,#REF!)</f>
        <v>#REF!</v>
      </c>
      <c r="G2146" s="1597" t="e">
        <f t="shared" si="228"/>
        <v>#REF!</v>
      </c>
      <c r="H2146" s="1644" t="e">
        <f t="shared" si="229"/>
        <v>#REF!</v>
      </c>
      <c r="I2146" s="1597" t="e">
        <f t="shared" si="230"/>
        <v>#REF!</v>
      </c>
      <c r="J2146" s="1644" t="e">
        <f t="shared" si="231"/>
        <v>#REF!</v>
      </c>
      <c r="M2146" s="1545"/>
      <c r="N2146" s="1545"/>
    </row>
    <row r="2147" spans="1:93" s="1542" customFormat="1" ht="15.5">
      <c r="A2147" s="1598">
        <v>46.713999999999999</v>
      </c>
      <c r="B2147" s="1599" t="s">
        <v>1912</v>
      </c>
      <c r="C2147" s="1643" t="e">
        <f>+SUMIF(#REF!,Final!A2147,#REF!)</f>
        <v>#REF!</v>
      </c>
      <c r="D2147" s="1597" t="e">
        <f>+SUMIF(#REF!,Final!A2147,#REF!)</f>
        <v>#REF!</v>
      </c>
      <c r="E2147" s="1643" t="e">
        <f>SUMIF(#REF!,Final!A2147,#REF!)</f>
        <v>#REF!</v>
      </c>
      <c r="F2147" s="1644" t="e">
        <f>SUMIF(#REF!,Final!A2147,#REF!)</f>
        <v>#REF!</v>
      </c>
      <c r="G2147" s="1597" t="e">
        <f t="shared" si="228"/>
        <v>#REF!</v>
      </c>
      <c r="H2147" s="1644" t="e">
        <f t="shared" si="229"/>
        <v>#REF!</v>
      </c>
      <c r="I2147" s="1597" t="e">
        <f t="shared" si="230"/>
        <v>#REF!</v>
      </c>
      <c r="J2147" s="1644" t="e">
        <f t="shared" si="231"/>
        <v>#REF!</v>
      </c>
      <c r="K2147" s="1539"/>
      <c r="L2147" s="1539"/>
      <c r="M2147" s="1545"/>
      <c r="N2147" s="1545"/>
      <c r="O2147" s="1539"/>
      <c r="P2147" s="1539"/>
      <c r="Q2147" s="1539"/>
      <c r="R2147" s="1539"/>
      <c r="S2147" s="1539"/>
      <c r="T2147" s="1539"/>
      <c r="U2147" s="1539"/>
      <c r="V2147" s="1539"/>
      <c r="W2147" s="1539"/>
      <c r="X2147" s="1539"/>
      <c r="Y2147" s="1539"/>
      <c r="Z2147" s="1539"/>
      <c r="AA2147" s="1539"/>
      <c r="AB2147" s="1539"/>
      <c r="AC2147" s="1539"/>
      <c r="AD2147" s="1539"/>
      <c r="AE2147" s="1539"/>
      <c r="AF2147" s="1539"/>
      <c r="AG2147" s="1539"/>
      <c r="AH2147" s="1539"/>
      <c r="AI2147" s="1539"/>
      <c r="AJ2147" s="1539"/>
      <c r="AK2147" s="1539"/>
      <c r="AL2147" s="1539"/>
      <c r="AM2147" s="1539"/>
      <c r="AN2147" s="1539"/>
      <c r="AO2147" s="1539"/>
      <c r="AP2147" s="1539"/>
      <c r="AQ2147" s="1539"/>
      <c r="AR2147" s="1539"/>
      <c r="AS2147" s="1539"/>
      <c r="AT2147" s="1539"/>
      <c r="AU2147" s="1539"/>
      <c r="AV2147" s="1539"/>
      <c r="AW2147" s="1539"/>
      <c r="AX2147" s="1539"/>
      <c r="AY2147" s="1539"/>
      <c r="AZ2147" s="1539"/>
      <c r="BA2147" s="1539"/>
      <c r="BB2147" s="1539"/>
      <c r="BC2147" s="1539"/>
      <c r="BD2147" s="1539"/>
      <c r="BE2147" s="1539"/>
      <c r="BF2147" s="1539"/>
      <c r="BG2147" s="1539"/>
      <c r="BH2147" s="1539"/>
      <c r="BI2147" s="1539"/>
      <c r="BJ2147" s="1539"/>
      <c r="BK2147" s="1539"/>
      <c r="BL2147" s="1539"/>
      <c r="BM2147" s="1539"/>
      <c r="BN2147" s="1539"/>
      <c r="BO2147" s="1539"/>
      <c r="BP2147" s="1539"/>
      <c r="BQ2147" s="1539"/>
      <c r="BR2147" s="1539"/>
      <c r="BS2147" s="1539"/>
      <c r="BT2147" s="1539"/>
      <c r="BU2147" s="1539"/>
      <c r="BV2147" s="1539"/>
      <c r="BW2147" s="1539"/>
      <c r="BX2147" s="1539"/>
      <c r="BY2147" s="1539"/>
      <c r="BZ2147" s="1539"/>
      <c r="CA2147" s="1539"/>
      <c r="CB2147" s="1539"/>
      <c r="CC2147" s="1539"/>
      <c r="CD2147" s="1539"/>
      <c r="CE2147" s="1539"/>
      <c r="CF2147" s="1539"/>
      <c r="CG2147" s="1539"/>
      <c r="CH2147" s="1539"/>
      <c r="CI2147" s="1539"/>
      <c r="CJ2147" s="1539"/>
      <c r="CK2147" s="1539"/>
      <c r="CL2147" s="1539"/>
      <c r="CM2147" s="1539"/>
      <c r="CN2147" s="1539"/>
      <c r="CO2147" s="1539"/>
    </row>
    <row r="2148" spans="1:93" s="1544" customFormat="1" ht="15.5">
      <c r="A2148" s="1598">
        <v>46.716999999999999</v>
      </c>
      <c r="B2148" s="1599" t="s">
        <v>1913</v>
      </c>
      <c r="C2148" s="1643" t="e">
        <f>+SUMIF(#REF!,Final!A2148,#REF!)</f>
        <v>#REF!</v>
      </c>
      <c r="D2148" s="1597" t="e">
        <f>+SUMIF(#REF!,Final!A2148,#REF!)</f>
        <v>#REF!</v>
      </c>
      <c r="E2148" s="1643" t="e">
        <f>SUMIF(#REF!,Final!A2148,#REF!)</f>
        <v>#REF!</v>
      </c>
      <c r="F2148" s="1644" t="e">
        <f>SUMIF(#REF!,Final!A2148,#REF!)</f>
        <v>#REF!</v>
      </c>
      <c r="G2148" s="1597" t="e">
        <f t="shared" si="228"/>
        <v>#REF!</v>
      </c>
      <c r="H2148" s="1644" t="e">
        <f t="shared" si="229"/>
        <v>#REF!</v>
      </c>
      <c r="I2148" s="1597" t="e">
        <f t="shared" si="230"/>
        <v>#REF!</v>
      </c>
      <c r="J2148" s="1644" t="e">
        <f t="shared" si="231"/>
        <v>#REF!</v>
      </c>
      <c r="K2148" s="1539"/>
      <c r="L2148" s="1539"/>
      <c r="M2148" s="1545"/>
      <c r="N2148" s="1545"/>
      <c r="O2148" s="1539"/>
      <c r="P2148" s="1539"/>
      <c r="Q2148" s="1539"/>
      <c r="R2148" s="1539"/>
      <c r="S2148" s="1539"/>
      <c r="T2148" s="1539"/>
      <c r="U2148" s="1539"/>
      <c r="V2148" s="1539"/>
      <c r="W2148" s="1539"/>
      <c r="X2148" s="1539"/>
      <c r="Y2148" s="1539"/>
      <c r="Z2148" s="1539"/>
      <c r="AA2148" s="1539"/>
      <c r="AB2148" s="1539"/>
      <c r="AC2148" s="1539"/>
      <c r="AD2148" s="1539"/>
      <c r="AE2148" s="1539"/>
      <c r="AF2148" s="1539"/>
      <c r="AG2148" s="1539"/>
      <c r="AH2148" s="1539"/>
      <c r="AI2148" s="1539"/>
      <c r="AJ2148" s="1539"/>
      <c r="AK2148" s="1539"/>
      <c r="AL2148" s="1539"/>
      <c r="AM2148" s="1539"/>
      <c r="AN2148" s="1539"/>
      <c r="AO2148" s="1539"/>
      <c r="AP2148" s="1539"/>
      <c r="AQ2148" s="1539"/>
      <c r="AR2148" s="1539"/>
      <c r="AS2148" s="1539"/>
      <c r="AT2148" s="1539"/>
      <c r="AU2148" s="1539"/>
      <c r="AV2148" s="1539"/>
      <c r="AW2148" s="1539"/>
      <c r="AX2148" s="1539"/>
      <c r="AY2148" s="1539"/>
      <c r="AZ2148" s="1539"/>
      <c r="BA2148" s="1539"/>
      <c r="BB2148" s="1539"/>
      <c r="BC2148" s="1539"/>
      <c r="BD2148" s="1539"/>
      <c r="BE2148" s="1539"/>
      <c r="BF2148" s="1539"/>
      <c r="BG2148" s="1539"/>
      <c r="BH2148" s="1539"/>
      <c r="BI2148" s="1539"/>
      <c r="BJ2148" s="1539"/>
      <c r="BK2148" s="1539"/>
      <c r="BL2148" s="1539"/>
      <c r="BM2148" s="1539"/>
      <c r="BN2148" s="1539"/>
      <c r="BO2148" s="1539"/>
      <c r="BP2148" s="1539"/>
      <c r="BQ2148" s="1539"/>
      <c r="BR2148" s="1539"/>
      <c r="BS2148" s="1539"/>
      <c r="BT2148" s="1539"/>
      <c r="BU2148" s="1539"/>
      <c r="BV2148" s="1539"/>
      <c r="BW2148" s="1539"/>
      <c r="BX2148" s="1539"/>
      <c r="BY2148" s="1539"/>
      <c r="BZ2148" s="1539"/>
      <c r="CA2148" s="1539"/>
      <c r="CB2148" s="1539"/>
      <c r="CC2148" s="1539"/>
      <c r="CD2148" s="1539"/>
      <c r="CE2148" s="1539"/>
      <c r="CF2148" s="1539"/>
      <c r="CG2148" s="1539"/>
      <c r="CH2148" s="1539"/>
      <c r="CI2148" s="1539"/>
      <c r="CJ2148" s="1539"/>
      <c r="CK2148" s="1539"/>
      <c r="CL2148" s="1539"/>
      <c r="CM2148" s="1539"/>
      <c r="CN2148" s="1539"/>
      <c r="CO2148" s="1539"/>
    </row>
    <row r="2149" spans="1:93" s="1544" customFormat="1" ht="15.5">
      <c r="A2149" s="1598">
        <v>46.718000000000004</v>
      </c>
      <c r="B2149" s="1599" t="s">
        <v>3451</v>
      </c>
      <c r="C2149" s="1643" t="e">
        <f>+SUMIF(#REF!,Final!A2149,#REF!)</f>
        <v>#REF!</v>
      </c>
      <c r="D2149" s="1597" t="e">
        <f>+SUMIF(#REF!,Final!A2149,#REF!)</f>
        <v>#REF!</v>
      </c>
      <c r="E2149" s="1643" t="e">
        <f>SUMIF(#REF!,Final!A2149,#REF!)</f>
        <v>#REF!</v>
      </c>
      <c r="F2149" s="1644" t="e">
        <f>SUMIF(#REF!,Final!A2149,#REF!)</f>
        <v>#REF!</v>
      </c>
      <c r="G2149" s="1597" t="e">
        <f t="shared" si="228"/>
        <v>#REF!</v>
      </c>
      <c r="H2149" s="1644" t="e">
        <f t="shared" si="229"/>
        <v>#REF!</v>
      </c>
      <c r="I2149" s="1597" t="e">
        <f t="shared" si="230"/>
        <v>#REF!</v>
      </c>
      <c r="J2149" s="1644" t="e">
        <f t="shared" si="231"/>
        <v>#REF!</v>
      </c>
      <c r="K2149" s="1539"/>
      <c r="L2149" s="1539"/>
      <c r="M2149" s="1545"/>
      <c r="N2149" s="1545"/>
      <c r="O2149" s="1539"/>
      <c r="P2149" s="1539"/>
      <c r="Q2149" s="1539"/>
      <c r="R2149" s="1539"/>
      <c r="S2149" s="1539"/>
      <c r="T2149" s="1539"/>
      <c r="U2149" s="1539"/>
      <c r="V2149" s="1539"/>
      <c r="W2149" s="1539"/>
      <c r="X2149" s="1539"/>
      <c r="Y2149" s="1539"/>
      <c r="Z2149" s="1539"/>
      <c r="AA2149" s="1539"/>
      <c r="AB2149" s="1539"/>
      <c r="AC2149" s="1539"/>
      <c r="AD2149" s="1539"/>
      <c r="AE2149" s="1539"/>
      <c r="AF2149" s="1539"/>
      <c r="AG2149" s="1539"/>
      <c r="AH2149" s="1539"/>
      <c r="AI2149" s="1539"/>
      <c r="AJ2149" s="1539"/>
      <c r="AK2149" s="1539"/>
      <c r="AL2149" s="1539"/>
      <c r="AM2149" s="1539"/>
      <c r="AN2149" s="1539"/>
      <c r="AO2149" s="1539"/>
      <c r="AP2149" s="1539"/>
      <c r="AQ2149" s="1539"/>
      <c r="AR2149" s="1539"/>
      <c r="AS2149" s="1539"/>
      <c r="AT2149" s="1539"/>
      <c r="AU2149" s="1539"/>
      <c r="AV2149" s="1539"/>
      <c r="AW2149" s="1539"/>
      <c r="AX2149" s="1539"/>
      <c r="AY2149" s="1539"/>
      <c r="AZ2149" s="1539"/>
      <c r="BA2149" s="1539"/>
      <c r="BB2149" s="1539"/>
      <c r="BC2149" s="1539"/>
      <c r="BD2149" s="1539"/>
      <c r="BE2149" s="1539"/>
      <c r="BF2149" s="1539"/>
      <c r="BG2149" s="1539"/>
      <c r="BH2149" s="1539"/>
      <c r="BI2149" s="1539"/>
      <c r="BJ2149" s="1539"/>
      <c r="BK2149" s="1539"/>
      <c r="BL2149" s="1539"/>
      <c r="BM2149" s="1539"/>
      <c r="BN2149" s="1539"/>
      <c r="BO2149" s="1539"/>
      <c r="BP2149" s="1539"/>
      <c r="BQ2149" s="1539"/>
      <c r="BR2149" s="1539"/>
      <c r="BS2149" s="1539"/>
      <c r="BT2149" s="1539"/>
      <c r="BU2149" s="1539"/>
      <c r="BV2149" s="1539"/>
      <c r="BW2149" s="1539"/>
      <c r="BX2149" s="1539"/>
      <c r="BY2149" s="1539"/>
      <c r="BZ2149" s="1539"/>
      <c r="CA2149" s="1539"/>
      <c r="CB2149" s="1539"/>
      <c r="CC2149" s="1539"/>
      <c r="CD2149" s="1539"/>
      <c r="CE2149" s="1539"/>
      <c r="CF2149" s="1539"/>
      <c r="CG2149" s="1539"/>
      <c r="CH2149" s="1539"/>
      <c r="CI2149" s="1539"/>
      <c r="CJ2149" s="1539"/>
      <c r="CK2149" s="1539"/>
      <c r="CL2149" s="1539"/>
      <c r="CM2149" s="1539"/>
      <c r="CN2149" s="1539"/>
      <c r="CO2149" s="1539"/>
    </row>
    <row r="2150" spans="1:93" ht="15.5">
      <c r="A2150" s="1598">
        <v>46.720999999999997</v>
      </c>
      <c r="B2150" s="1599" t="s">
        <v>1914</v>
      </c>
      <c r="C2150" s="1643" t="e">
        <f>+SUMIF(#REF!,Final!A2150,#REF!)</f>
        <v>#REF!</v>
      </c>
      <c r="D2150" s="1597" t="e">
        <f>+SUMIF(#REF!,Final!A2150,#REF!)</f>
        <v>#REF!</v>
      </c>
      <c r="E2150" s="1643" t="e">
        <f>SUMIF(#REF!,Final!A2150,#REF!)</f>
        <v>#REF!</v>
      </c>
      <c r="F2150" s="1644" t="e">
        <f>SUMIF(#REF!,Final!A2150,#REF!)</f>
        <v>#REF!</v>
      </c>
      <c r="G2150" s="1597" t="e">
        <f t="shared" si="228"/>
        <v>#REF!</v>
      </c>
      <c r="H2150" s="1644" t="e">
        <f t="shared" si="229"/>
        <v>#REF!</v>
      </c>
      <c r="I2150" s="1597" t="e">
        <f t="shared" si="230"/>
        <v>#REF!</v>
      </c>
      <c r="J2150" s="1644" t="e">
        <f t="shared" si="231"/>
        <v>#REF!</v>
      </c>
      <c r="M2150" s="1545"/>
      <c r="N2150" s="1545"/>
    </row>
    <row r="2151" spans="1:93" ht="15.5">
      <c r="A2151" s="1598">
        <v>46.722999999999999</v>
      </c>
      <c r="B2151" s="1599" t="s">
        <v>1915</v>
      </c>
      <c r="C2151" s="1643" t="e">
        <f>+SUMIF(#REF!,Final!A2151,#REF!)</f>
        <v>#REF!</v>
      </c>
      <c r="D2151" s="1597" t="e">
        <f>+SUMIF(#REF!,Final!A2151,#REF!)</f>
        <v>#REF!</v>
      </c>
      <c r="E2151" s="1643" t="e">
        <f>SUMIF(#REF!,Final!A2151,#REF!)</f>
        <v>#REF!</v>
      </c>
      <c r="F2151" s="1644" t="e">
        <f>SUMIF(#REF!,Final!A2151,#REF!)</f>
        <v>#REF!</v>
      </c>
      <c r="G2151" s="1597" t="e">
        <f t="shared" si="228"/>
        <v>#REF!</v>
      </c>
      <c r="H2151" s="1644" t="e">
        <f t="shared" si="229"/>
        <v>#REF!</v>
      </c>
      <c r="I2151" s="1597" t="e">
        <f t="shared" si="230"/>
        <v>#REF!</v>
      </c>
      <c r="J2151" s="1644" t="e">
        <f t="shared" si="231"/>
        <v>#REF!</v>
      </c>
      <c r="M2151" s="1545"/>
      <c r="N2151" s="1545"/>
    </row>
    <row r="2152" spans="1:93" s="1542" customFormat="1" ht="15.5">
      <c r="A2152" s="1598">
        <v>46.737000000000002</v>
      </c>
      <c r="B2152" s="1599" t="s">
        <v>1916</v>
      </c>
      <c r="C2152" s="1643" t="e">
        <f>+SUMIF(#REF!,Final!A2152,#REF!)</f>
        <v>#REF!</v>
      </c>
      <c r="D2152" s="1597" t="e">
        <f>+SUMIF(#REF!,Final!A2152,#REF!)</f>
        <v>#REF!</v>
      </c>
      <c r="E2152" s="1643" t="e">
        <f>SUMIF(#REF!,Final!A2152,#REF!)</f>
        <v>#REF!</v>
      </c>
      <c r="F2152" s="1644" t="e">
        <f>SUMIF(#REF!,Final!A2152,#REF!)</f>
        <v>#REF!</v>
      </c>
      <c r="G2152" s="1597" t="e">
        <f t="shared" si="228"/>
        <v>#REF!</v>
      </c>
      <c r="H2152" s="1644" t="e">
        <f t="shared" si="229"/>
        <v>#REF!</v>
      </c>
      <c r="I2152" s="1597" t="e">
        <f t="shared" si="230"/>
        <v>#REF!</v>
      </c>
      <c r="J2152" s="1644" t="e">
        <f t="shared" si="231"/>
        <v>#REF!</v>
      </c>
      <c r="K2152" s="1539"/>
      <c r="L2152" s="1539"/>
      <c r="M2152" s="1545"/>
      <c r="N2152" s="1545"/>
      <c r="O2152" s="1539"/>
      <c r="P2152" s="1539"/>
      <c r="Q2152" s="1539"/>
      <c r="R2152" s="1539"/>
      <c r="S2152" s="1539"/>
      <c r="T2152" s="1539"/>
      <c r="U2152" s="1539"/>
      <c r="V2152" s="1539"/>
      <c r="W2152" s="1539"/>
      <c r="X2152" s="1539"/>
      <c r="Y2152" s="1539"/>
      <c r="Z2152" s="1539"/>
      <c r="AA2152" s="1539"/>
      <c r="AB2152" s="1539"/>
      <c r="AC2152" s="1539"/>
      <c r="AD2152" s="1539"/>
      <c r="AE2152" s="1539"/>
      <c r="AF2152" s="1539"/>
      <c r="AG2152" s="1539"/>
      <c r="AH2152" s="1539"/>
      <c r="AI2152" s="1539"/>
      <c r="AJ2152" s="1539"/>
      <c r="AK2152" s="1539"/>
      <c r="AL2152" s="1539"/>
      <c r="AM2152" s="1539"/>
      <c r="AN2152" s="1539"/>
      <c r="AO2152" s="1539"/>
      <c r="AP2152" s="1539"/>
      <c r="AQ2152" s="1539"/>
      <c r="AR2152" s="1539"/>
      <c r="AS2152" s="1539"/>
      <c r="AT2152" s="1539"/>
      <c r="AU2152" s="1539"/>
      <c r="AV2152" s="1539"/>
      <c r="AW2152" s="1539"/>
      <c r="AX2152" s="1539"/>
      <c r="AY2152" s="1539"/>
      <c r="AZ2152" s="1539"/>
      <c r="BA2152" s="1539"/>
      <c r="BB2152" s="1539"/>
      <c r="BC2152" s="1539"/>
      <c r="BD2152" s="1539"/>
      <c r="BE2152" s="1539"/>
      <c r="BF2152" s="1539"/>
      <c r="BG2152" s="1539"/>
      <c r="BH2152" s="1539"/>
      <c r="BI2152" s="1539"/>
      <c r="BJ2152" s="1539"/>
      <c r="BK2152" s="1539"/>
      <c r="BL2152" s="1539"/>
      <c r="BM2152" s="1539"/>
      <c r="BN2152" s="1539"/>
      <c r="BO2152" s="1539"/>
      <c r="BP2152" s="1539"/>
      <c r="BQ2152" s="1539"/>
      <c r="BR2152" s="1539"/>
      <c r="BS2152" s="1539"/>
      <c r="BT2152" s="1539"/>
      <c r="BU2152" s="1539"/>
      <c r="BV2152" s="1539"/>
      <c r="BW2152" s="1539"/>
      <c r="BX2152" s="1539"/>
      <c r="BY2152" s="1539"/>
      <c r="BZ2152" s="1539"/>
      <c r="CA2152" s="1539"/>
      <c r="CB2152" s="1539"/>
      <c r="CC2152" s="1539"/>
      <c r="CD2152" s="1539"/>
      <c r="CE2152" s="1539"/>
      <c r="CF2152" s="1539"/>
      <c r="CG2152" s="1539"/>
      <c r="CH2152" s="1539"/>
      <c r="CI2152" s="1539"/>
      <c r="CJ2152" s="1539"/>
      <c r="CK2152" s="1539"/>
      <c r="CL2152" s="1539"/>
      <c r="CM2152" s="1539"/>
      <c r="CN2152" s="1539"/>
      <c r="CO2152" s="1539"/>
    </row>
    <row r="2153" spans="1:93" s="1542" customFormat="1" ht="15.5">
      <c r="A2153" s="1598">
        <v>46.738</v>
      </c>
      <c r="B2153" s="1599" t="s">
        <v>4663</v>
      </c>
      <c r="C2153" s="1643" t="e">
        <f>+SUMIF(#REF!,Final!A2153,#REF!)</f>
        <v>#REF!</v>
      </c>
      <c r="D2153" s="1597" t="e">
        <f>+SUMIF(#REF!,Final!A2153,#REF!)</f>
        <v>#REF!</v>
      </c>
      <c r="E2153" s="1643" t="e">
        <f>SUMIF(#REF!,Final!A2153,#REF!)</f>
        <v>#REF!</v>
      </c>
      <c r="F2153" s="1644" t="e">
        <f>SUMIF(#REF!,Final!A2153,#REF!)</f>
        <v>#REF!</v>
      </c>
      <c r="G2153" s="1597" t="e">
        <f t="shared" si="228"/>
        <v>#REF!</v>
      </c>
      <c r="H2153" s="1644" t="e">
        <f t="shared" si="229"/>
        <v>#REF!</v>
      </c>
      <c r="I2153" s="1597" t="e">
        <f t="shared" si="230"/>
        <v>#REF!</v>
      </c>
      <c r="J2153" s="1644" t="e">
        <f t="shared" si="231"/>
        <v>#REF!</v>
      </c>
      <c r="K2153" s="1539"/>
      <c r="L2153" s="1539"/>
      <c r="M2153" s="1545"/>
      <c r="N2153" s="1545"/>
      <c r="O2153" s="1539"/>
      <c r="P2153" s="1539"/>
      <c r="Q2153" s="1539"/>
      <c r="R2153" s="1539"/>
      <c r="S2153" s="1539"/>
      <c r="T2153" s="1539"/>
      <c r="U2153" s="1539"/>
      <c r="V2153" s="1539"/>
      <c r="W2153" s="1539"/>
      <c r="X2153" s="1539"/>
      <c r="Y2153" s="1539"/>
      <c r="Z2153" s="1539"/>
      <c r="AA2153" s="1539"/>
      <c r="AB2153" s="1539"/>
      <c r="AC2153" s="1539"/>
      <c r="AD2153" s="1539"/>
      <c r="AE2153" s="1539"/>
      <c r="AF2153" s="1539"/>
      <c r="AG2153" s="1539"/>
      <c r="AH2153" s="1539"/>
      <c r="AI2153" s="1539"/>
      <c r="AJ2153" s="1539"/>
      <c r="AK2153" s="1539"/>
      <c r="AL2153" s="1539"/>
      <c r="AM2153" s="1539"/>
      <c r="AN2153" s="1539"/>
      <c r="AO2153" s="1539"/>
      <c r="AP2153" s="1539"/>
      <c r="AQ2153" s="1539"/>
      <c r="AR2153" s="1539"/>
      <c r="AS2153" s="1539"/>
      <c r="AT2153" s="1539"/>
      <c r="AU2153" s="1539"/>
      <c r="AV2153" s="1539"/>
      <c r="AW2153" s="1539"/>
      <c r="AX2153" s="1539"/>
      <c r="AY2153" s="1539"/>
      <c r="AZ2153" s="1539"/>
      <c r="BA2153" s="1539"/>
      <c r="BB2153" s="1539"/>
      <c r="BC2153" s="1539"/>
      <c r="BD2153" s="1539"/>
      <c r="BE2153" s="1539"/>
      <c r="BF2153" s="1539"/>
      <c r="BG2153" s="1539"/>
      <c r="BH2153" s="1539"/>
      <c r="BI2153" s="1539"/>
      <c r="BJ2153" s="1539"/>
      <c r="BK2153" s="1539"/>
      <c r="BL2153" s="1539"/>
      <c r="BM2153" s="1539"/>
      <c r="BN2153" s="1539"/>
      <c r="BO2153" s="1539"/>
      <c r="BP2153" s="1539"/>
      <c r="BQ2153" s="1539"/>
      <c r="BR2153" s="1539"/>
      <c r="BS2153" s="1539"/>
      <c r="BT2153" s="1539"/>
      <c r="BU2153" s="1539"/>
      <c r="BV2153" s="1539"/>
      <c r="BW2153" s="1539"/>
      <c r="BX2153" s="1539"/>
      <c r="BY2153" s="1539"/>
      <c r="BZ2153" s="1539"/>
      <c r="CA2153" s="1539"/>
      <c r="CB2153" s="1539"/>
      <c r="CC2153" s="1539"/>
      <c r="CD2153" s="1539"/>
      <c r="CE2153" s="1539"/>
      <c r="CF2153" s="1539"/>
      <c r="CG2153" s="1539"/>
      <c r="CH2153" s="1539"/>
      <c r="CI2153" s="1539"/>
      <c r="CJ2153" s="1539"/>
      <c r="CK2153" s="1539"/>
      <c r="CL2153" s="1539"/>
      <c r="CM2153" s="1539"/>
      <c r="CN2153" s="1539"/>
      <c r="CO2153" s="1539"/>
    </row>
    <row r="2154" spans="1:93" ht="15.5">
      <c r="A2154" s="1598">
        <v>46.738999999999997</v>
      </c>
      <c r="B2154" s="1599" t="s">
        <v>1917</v>
      </c>
      <c r="C2154" s="1643" t="e">
        <f>+SUMIF(#REF!,Final!A2154,#REF!)</f>
        <v>#REF!</v>
      </c>
      <c r="D2154" s="1597" t="e">
        <f>+SUMIF(#REF!,Final!A2154,#REF!)</f>
        <v>#REF!</v>
      </c>
      <c r="E2154" s="1643" t="e">
        <f>SUMIF(#REF!,Final!A2154,#REF!)</f>
        <v>#REF!</v>
      </c>
      <c r="F2154" s="1644" t="e">
        <f>SUMIF(#REF!,Final!A2154,#REF!)</f>
        <v>#REF!</v>
      </c>
      <c r="G2154" s="1597" t="e">
        <f t="shared" si="228"/>
        <v>#REF!</v>
      </c>
      <c r="H2154" s="1644" t="e">
        <f t="shared" si="229"/>
        <v>#REF!</v>
      </c>
      <c r="I2154" s="1597" t="e">
        <f t="shared" si="230"/>
        <v>#REF!</v>
      </c>
      <c r="J2154" s="1644" t="e">
        <f t="shared" si="231"/>
        <v>#REF!</v>
      </c>
      <c r="M2154" s="1545"/>
      <c r="N2154" s="1545"/>
    </row>
    <row r="2155" spans="1:93" s="1552" customFormat="1" ht="15.5">
      <c r="A2155" s="1598"/>
      <c r="B2155" s="1599" t="s">
        <v>1747</v>
      </c>
      <c r="C2155" s="1643" t="e">
        <f>+SUMIF(#REF!,Final!A2155,#REF!)</f>
        <v>#REF!</v>
      </c>
      <c r="D2155" s="1597" t="e">
        <f>+SUMIF(#REF!,Final!A2155,#REF!)</f>
        <v>#REF!</v>
      </c>
      <c r="E2155" s="1643" t="e">
        <f>SUMIF(#REF!,Final!A2155,#REF!)</f>
        <v>#REF!</v>
      </c>
      <c r="F2155" s="1644" t="e">
        <f>SUMIF(#REF!,Final!A2155,#REF!)</f>
        <v>#REF!</v>
      </c>
      <c r="G2155" s="1597" t="e">
        <f t="shared" si="228"/>
        <v>#REF!</v>
      </c>
      <c r="H2155" s="1644" t="e">
        <f t="shared" si="229"/>
        <v>#REF!</v>
      </c>
      <c r="I2155" s="1597" t="e">
        <f t="shared" si="230"/>
        <v>#REF!</v>
      </c>
      <c r="J2155" s="1644" t="e">
        <f t="shared" si="231"/>
        <v>#REF!</v>
      </c>
      <c r="K2155" s="1539"/>
      <c r="L2155" s="1539"/>
      <c r="M2155" s="1545"/>
      <c r="N2155" s="1545"/>
      <c r="O2155" s="1539"/>
      <c r="P2155" s="1539"/>
      <c r="Q2155" s="1539"/>
      <c r="R2155" s="1539"/>
      <c r="S2155" s="1539"/>
      <c r="T2155" s="1539"/>
      <c r="U2155" s="1539"/>
      <c r="V2155" s="1539"/>
      <c r="W2155" s="1539"/>
      <c r="X2155" s="1539"/>
      <c r="Y2155" s="1539"/>
      <c r="Z2155" s="1539"/>
      <c r="AA2155" s="1539"/>
      <c r="AB2155" s="1539"/>
      <c r="AC2155" s="1539"/>
      <c r="AD2155" s="1539"/>
      <c r="AE2155" s="1539"/>
      <c r="AF2155" s="1539"/>
      <c r="AG2155" s="1539"/>
      <c r="AH2155" s="1539"/>
      <c r="AI2155" s="1539"/>
      <c r="AJ2155" s="1539"/>
      <c r="AK2155" s="1539"/>
      <c r="AL2155" s="1539"/>
      <c r="AM2155" s="1539"/>
      <c r="AN2155" s="1539"/>
      <c r="AO2155" s="1539"/>
      <c r="AP2155" s="1539"/>
      <c r="AQ2155" s="1539"/>
      <c r="AR2155" s="1539"/>
      <c r="AS2155" s="1539"/>
      <c r="AT2155" s="1539"/>
      <c r="AU2155" s="1539"/>
      <c r="AV2155" s="1539"/>
      <c r="AW2155" s="1539"/>
      <c r="AX2155" s="1539"/>
      <c r="AY2155" s="1539"/>
      <c r="AZ2155" s="1539"/>
      <c r="BA2155" s="1539"/>
      <c r="BB2155" s="1539"/>
      <c r="BC2155" s="1539"/>
      <c r="BD2155" s="1539"/>
      <c r="BE2155" s="1539"/>
      <c r="BF2155" s="1539"/>
      <c r="BG2155" s="1539"/>
      <c r="BH2155" s="1539"/>
      <c r="BI2155" s="1539"/>
      <c r="BJ2155" s="1539"/>
      <c r="BK2155" s="1539"/>
      <c r="BL2155" s="1539"/>
      <c r="BM2155" s="1539"/>
      <c r="BN2155" s="1539"/>
      <c r="BO2155" s="1539"/>
      <c r="BP2155" s="1539"/>
      <c r="BQ2155" s="1539"/>
      <c r="BR2155" s="1539"/>
      <c r="BS2155" s="1539"/>
      <c r="BT2155" s="1539"/>
      <c r="BU2155" s="1539"/>
      <c r="BV2155" s="1539"/>
      <c r="BW2155" s="1539"/>
      <c r="BX2155" s="1539"/>
      <c r="BY2155" s="1539"/>
      <c r="BZ2155" s="1539"/>
      <c r="CA2155" s="1539"/>
      <c r="CB2155" s="1539"/>
      <c r="CC2155" s="1539"/>
      <c r="CD2155" s="1539"/>
      <c r="CE2155" s="1539"/>
      <c r="CF2155" s="1539"/>
      <c r="CG2155" s="1539"/>
      <c r="CH2155" s="1539"/>
      <c r="CI2155" s="1539"/>
      <c r="CJ2155" s="1539"/>
      <c r="CK2155" s="1539"/>
      <c r="CL2155" s="1539"/>
      <c r="CM2155" s="1539"/>
      <c r="CN2155" s="1539"/>
      <c r="CO2155" s="1539"/>
    </row>
    <row r="2156" spans="1:93" s="1552" customFormat="1" ht="15.5">
      <c r="A2156" s="1598" t="s">
        <v>3443</v>
      </c>
      <c r="B2156" s="1599" t="s">
        <v>1918</v>
      </c>
      <c r="C2156" s="1643" t="e">
        <f>+SUMIF(#REF!,Final!A2156,#REF!)</f>
        <v>#REF!</v>
      </c>
      <c r="D2156" s="1597" t="e">
        <f>+SUMIF(#REF!,Final!A2156,#REF!)</f>
        <v>#REF!</v>
      </c>
      <c r="E2156" s="1643" t="e">
        <f>SUMIF(#REF!,Final!A2156,#REF!)</f>
        <v>#REF!</v>
      </c>
      <c r="F2156" s="1644" t="e">
        <f>SUMIF(#REF!,Final!A2156,#REF!)</f>
        <v>#REF!</v>
      </c>
      <c r="G2156" s="1597" t="e">
        <f t="shared" si="228"/>
        <v>#REF!</v>
      </c>
      <c r="H2156" s="1644" t="e">
        <f t="shared" si="229"/>
        <v>#REF!</v>
      </c>
      <c r="I2156" s="1597" t="e">
        <f t="shared" si="230"/>
        <v>#REF!</v>
      </c>
      <c r="J2156" s="1644" t="e">
        <f t="shared" si="231"/>
        <v>#REF!</v>
      </c>
      <c r="K2156" s="1539"/>
      <c r="L2156" s="1539"/>
      <c r="M2156" s="1545"/>
      <c r="N2156" s="1545"/>
      <c r="O2156" s="1539"/>
      <c r="P2156" s="1539"/>
      <c r="Q2156" s="1539"/>
      <c r="R2156" s="1539"/>
      <c r="S2156" s="1539"/>
      <c r="T2156" s="1539"/>
      <c r="U2156" s="1539"/>
      <c r="V2156" s="1539"/>
      <c r="W2156" s="1539"/>
      <c r="X2156" s="1539"/>
      <c r="Y2156" s="1539"/>
      <c r="Z2156" s="1539"/>
      <c r="AA2156" s="1539"/>
      <c r="AB2156" s="1539"/>
      <c r="AC2156" s="1539"/>
      <c r="AD2156" s="1539"/>
      <c r="AE2156" s="1539"/>
      <c r="AF2156" s="1539"/>
      <c r="AG2156" s="1539"/>
      <c r="AH2156" s="1539"/>
      <c r="AI2156" s="1539"/>
      <c r="AJ2156" s="1539"/>
      <c r="AK2156" s="1539"/>
      <c r="AL2156" s="1539"/>
      <c r="AM2156" s="1539"/>
      <c r="AN2156" s="1539"/>
      <c r="AO2156" s="1539"/>
      <c r="AP2156" s="1539"/>
      <c r="AQ2156" s="1539"/>
      <c r="AR2156" s="1539"/>
      <c r="AS2156" s="1539"/>
      <c r="AT2156" s="1539"/>
      <c r="AU2156" s="1539"/>
      <c r="AV2156" s="1539"/>
      <c r="AW2156" s="1539"/>
      <c r="AX2156" s="1539"/>
      <c r="AY2156" s="1539"/>
      <c r="AZ2156" s="1539"/>
      <c r="BA2156" s="1539"/>
      <c r="BB2156" s="1539"/>
      <c r="BC2156" s="1539"/>
      <c r="BD2156" s="1539"/>
      <c r="BE2156" s="1539"/>
      <c r="BF2156" s="1539"/>
      <c r="BG2156" s="1539"/>
      <c r="BH2156" s="1539"/>
      <c r="BI2156" s="1539"/>
      <c r="BJ2156" s="1539"/>
      <c r="BK2156" s="1539"/>
      <c r="BL2156" s="1539"/>
      <c r="BM2156" s="1539"/>
      <c r="BN2156" s="1539"/>
      <c r="BO2156" s="1539"/>
      <c r="BP2156" s="1539"/>
      <c r="BQ2156" s="1539"/>
      <c r="BR2156" s="1539"/>
      <c r="BS2156" s="1539"/>
      <c r="BT2156" s="1539"/>
      <c r="BU2156" s="1539"/>
      <c r="BV2156" s="1539"/>
      <c r="BW2156" s="1539"/>
      <c r="BX2156" s="1539"/>
      <c r="BY2156" s="1539"/>
      <c r="BZ2156" s="1539"/>
      <c r="CA2156" s="1539"/>
      <c r="CB2156" s="1539"/>
      <c r="CC2156" s="1539"/>
      <c r="CD2156" s="1539"/>
      <c r="CE2156" s="1539"/>
      <c r="CF2156" s="1539"/>
      <c r="CG2156" s="1539"/>
      <c r="CH2156" s="1539"/>
      <c r="CI2156" s="1539"/>
      <c r="CJ2156" s="1539"/>
      <c r="CK2156" s="1539"/>
      <c r="CL2156" s="1539"/>
      <c r="CM2156" s="1539"/>
      <c r="CN2156" s="1539"/>
      <c r="CO2156" s="1539"/>
    </row>
    <row r="2157" spans="1:93" s="1542" customFormat="1" ht="15.5">
      <c r="A2157" s="1598">
        <v>12</v>
      </c>
      <c r="B2157" s="1599" t="s">
        <v>1978</v>
      </c>
      <c r="C2157" s="1643" t="e">
        <f>+SUMIF(#REF!,Final!A2157,#REF!)</f>
        <v>#REF!</v>
      </c>
      <c r="D2157" s="1597" t="e">
        <f>+SUMIF(#REF!,Final!A2157,#REF!)</f>
        <v>#REF!</v>
      </c>
      <c r="E2157" s="1643" t="e">
        <f>SUMIF(#REF!,Final!A2157,#REF!)</f>
        <v>#REF!</v>
      </c>
      <c r="F2157" s="1644" t="e">
        <f>SUMIF(#REF!,Final!A2157,#REF!)</f>
        <v>#REF!</v>
      </c>
      <c r="G2157" s="1597" t="e">
        <f t="shared" si="228"/>
        <v>#REF!</v>
      </c>
      <c r="H2157" s="1644" t="e">
        <f t="shared" si="229"/>
        <v>#REF!</v>
      </c>
      <c r="I2157" s="1597" t="e">
        <f t="shared" si="230"/>
        <v>#REF!</v>
      </c>
      <c r="J2157" s="1644" t="e">
        <f t="shared" si="231"/>
        <v>#REF!</v>
      </c>
      <c r="K2157" s="1539"/>
      <c r="L2157" s="1539"/>
      <c r="M2157" s="1545"/>
      <c r="N2157" s="1545"/>
      <c r="O2157" s="1539"/>
      <c r="P2157" s="1539"/>
      <c r="Q2157" s="1539"/>
      <c r="R2157" s="1539"/>
      <c r="S2157" s="1539"/>
      <c r="T2157" s="1539"/>
      <c r="U2157" s="1539"/>
      <c r="V2157" s="1539"/>
      <c r="W2157" s="1539"/>
      <c r="X2157" s="1539"/>
      <c r="Y2157" s="1539"/>
      <c r="Z2157" s="1539"/>
      <c r="AA2157" s="1539"/>
      <c r="AB2157" s="1539"/>
      <c r="AC2157" s="1539"/>
      <c r="AD2157" s="1539"/>
      <c r="AE2157" s="1539"/>
      <c r="AF2157" s="1539"/>
      <c r="AG2157" s="1539"/>
      <c r="AH2157" s="1539"/>
      <c r="AI2157" s="1539"/>
      <c r="AJ2157" s="1539"/>
      <c r="AK2157" s="1539"/>
      <c r="AL2157" s="1539"/>
      <c r="AM2157" s="1539"/>
      <c r="AN2157" s="1539"/>
      <c r="AO2157" s="1539"/>
      <c r="AP2157" s="1539"/>
      <c r="AQ2157" s="1539"/>
      <c r="AR2157" s="1539"/>
      <c r="AS2157" s="1539"/>
      <c r="AT2157" s="1539"/>
      <c r="AU2157" s="1539"/>
      <c r="AV2157" s="1539"/>
      <c r="AW2157" s="1539"/>
      <c r="AX2157" s="1539"/>
      <c r="AY2157" s="1539"/>
      <c r="AZ2157" s="1539"/>
      <c r="BA2157" s="1539"/>
      <c r="BB2157" s="1539"/>
      <c r="BC2157" s="1539"/>
      <c r="BD2157" s="1539"/>
      <c r="BE2157" s="1539"/>
      <c r="BF2157" s="1539"/>
      <c r="BG2157" s="1539"/>
      <c r="BH2157" s="1539"/>
      <c r="BI2157" s="1539"/>
      <c r="BJ2157" s="1539"/>
      <c r="BK2157" s="1539"/>
      <c r="BL2157" s="1539"/>
      <c r="BM2157" s="1539"/>
      <c r="BN2157" s="1539"/>
      <c r="BO2157" s="1539"/>
      <c r="BP2157" s="1539"/>
      <c r="BQ2157" s="1539"/>
      <c r="BR2157" s="1539"/>
      <c r="BS2157" s="1539"/>
      <c r="BT2157" s="1539"/>
      <c r="BU2157" s="1539"/>
      <c r="BV2157" s="1539"/>
      <c r="BW2157" s="1539"/>
      <c r="BX2157" s="1539"/>
      <c r="BY2157" s="1539"/>
      <c r="BZ2157" s="1539"/>
      <c r="CA2157" s="1539"/>
      <c r="CB2157" s="1539"/>
      <c r="CC2157" s="1539"/>
      <c r="CD2157" s="1539"/>
      <c r="CE2157" s="1539"/>
      <c r="CF2157" s="1539"/>
      <c r="CG2157" s="1539"/>
      <c r="CH2157" s="1539"/>
      <c r="CI2157" s="1539"/>
      <c r="CJ2157" s="1539"/>
      <c r="CK2157" s="1539"/>
      <c r="CL2157" s="1539"/>
      <c r="CM2157" s="1539"/>
      <c r="CN2157" s="1539"/>
      <c r="CO2157" s="1539"/>
    </row>
    <row r="2158" spans="1:93" s="1542" customFormat="1" ht="15.5">
      <c r="A2158" s="1598" t="s">
        <v>544</v>
      </c>
      <c r="B2158" s="1599" t="s">
        <v>1979</v>
      </c>
      <c r="C2158" s="1643" t="e">
        <f>+SUMIF(#REF!,Final!A2158,#REF!)</f>
        <v>#REF!</v>
      </c>
      <c r="D2158" s="1597" t="e">
        <f>+SUMIF(#REF!,Final!A2158,#REF!)</f>
        <v>#REF!</v>
      </c>
      <c r="E2158" s="1643" t="e">
        <f>SUMIF(#REF!,Final!A2158,#REF!)</f>
        <v>#REF!</v>
      </c>
      <c r="F2158" s="1644" t="e">
        <f>SUMIF(#REF!,Final!A2158,#REF!)</f>
        <v>#REF!</v>
      </c>
      <c r="G2158" s="1597" t="e">
        <f t="shared" si="228"/>
        <v>#REF!</v>
      </c>
      <c r="H2158" s="1644" t="e">
        <f t="shared" si="229"/>
        <v>#REF!</v>
      </c>
      <c r="I2158" s="1597" t="e">
        <f t="shared" si="230"/>
        <v>#REF!</v>
      </c>
      <c r="J2158" s="1644" t="e">
        <f t="shared" si="231"/>
        <v>#REF!</v>
      </c>
      <c r="K2158" s="1539"/>
      <c r="L2158" s="1539"/>
      <c r="M2158" s="1545"/>
      <c r="N2158" s="1545"/>
      <c r="O2158" s="1539"/>
      <c r="P2158" s="1539"/>
      <c r="Q2158" s="1539"/>
      <c r="R2158" s="1539"/>
      <c r="S2158" s="1539"/>
      <c r="T2158" s="1539"/>
      <c r="U2158" s="1539"/>
      <c r="V2158" s="1539"/>
      <c r="W2158" s="1539"/>
      <c r="X2158" s="1539"/>
      <c r="Y2158" s="1539"/>
      <c r="Z2158" s="1539"/>
      <c r="AA2158" s="1539"/>
      <c r="AB2158" s="1539"/>
      <c r="AC2158" s="1539"/>
      <c r="AD2158" s="1539"/>
      <c r="AE2158" s="1539"/>
      <c r="AF2158" s="1539"/>
      <c r="AG2158" s="1539"/>
      <c r="AH2158" s="1539"/>
      <c r="AI2158" s="1539"/>
      <c r="AJ2158" s="1539"/>
      <c r="AK2158" s="1539"/>
      <c r="AL2158" s="1539"/>
      <c r="AM2158" s="1539"/>
      <c r="AN2158" s="1539"/>
      <c r="AO2158" s="1539"/>
      <c r="AP2158" s="1539"/>
      <c r="AQ2158" s="1539"/>
      <c r="AR2158" s="1539"/>
      <c r="AS2158" s="1539"/>
      <c r="AT2158" s="1539"/>
      <c r="AU2158" s="1539"/>
      <c r="AV2158" s="1539"/>
      <c r="AW2158" s="1539"/>
      <c r="AX2158" s="1539"/>
      <c r="AY2158" s="1539"/>
      <c r="AZ2158" s="1539"/>
      <c r="BA2158" s="1539"/>
      <c r="BB2158" s="1539"/>
      <c r="BC2158" s="1539"/>
      <c r="BD2158" s="1539"/>
      <c r="BE2158" s="1539"/>
      <c r="BF2158" s="1539"/>
      <c r="BG2158" s="1539"/>
      <c r="BH2158" s="1539"/>
      <c r="BI2158" s="1539"/>
      <c r="BJ2158" s="1539"/>
      <c r="BK2158" s="1539"/>
      <c r="BL2158" s="1539"/>
      <c r="BM2158" s="1539"/>
      <c r="BN2158" s="1539"/>
      <c r="BO2158" s="1539"/>
      <c r="BP2158" s="1539"/>
      <c r="BQ2158" s="1539"/>
      <c r="BR2158" s="1539"/>
      <c r="BS2158" s="1539"/>
      <c r="BT2158" s="1539"/>
      <c r="BU2158" s="1539"/>
      <c r="BV2158" s="1539"/>
      <c r="BW2158" s="1539"/>
      <c r="BX2158" s="1539"/>
      <c r="BY2158" s="1539"/>
      <c r="BZ2158" s="1539"/>
      <c r="CA2158" s="1539"/>
      <c r="CB2158" s="1539"/>
      <c r="CC2158" s="1539"/>
      <c r="CD2158" s="1539"/>
      <c r="CE2158" s="1539"/>
      <c r="CF2158" s="1539"/>
      <c r="CG2158" s="1539"/>
      <c r="CH2158" s="1539"/>
      <c r="CI2158" s="1539"/>
      <c r="CJ2158" s="1539"/>
      <c r="CK2158" s="1539"/>
      <c r="CL2158" s="1539"/>
      <c r="CM2158" s="1539"/>
      <c r="CN2158" s="1539"/>
      <c r="CO2158" s="1539"/>
    </row>
    <row r="2159" spans="1:93" s="1542" customFormat="1" ht="15.5">
      <c r="A2159" s="1598" t="s">
        <v>1815</v>
      </c>
      <c r="B2159" s="1599" t="s">
        <v>1987</v>
      </c>
      <c r="C2159" s="1643" t="e">
        <f>+SUMIF(#REF!,Final!A2159,#REF!)</f>
        <v>#REF!</v>
      </c>
      <c r="D2159" s="1597" t="e">
        <f>+SUMIF(#REF!,Final!A2159,#REF!)</f>
        <v>#REF!</v>
      </c>
      <c r="E2159" s="1643" t="e">
        <f>SUMIF(#REF!,Final!A2159,#REF!)</f>
        <v>#REF!</v>
      </c>
      <c r="F2159" s="1644" t="e">
        <f>SUMIF(#REF!,Final!A2159,#REF!)</f>
        <v>#REF!</v>
      </c>
      <c r="G2159" s="1597" t="e">
        <f t="shared" si="228"/>
        <v>#REF!</v>
      </c>
      <c r="H2159" s="1644" t="e">
        <f t="shared" si="229"/>
        <v>#REF!</v>
      </c>
      <c r="I2159" s="1597" t="e">
        <f t="shared" si="230"/>
        <v>#REF!</v>
      </c>
      <c r="J2159" s="1644" t="e">
        <f t="shared" si="231"/>
        <v>#REF!</v>
      </c>
      <c r="K2159" s="1539"/>
      <c r="L2159" s="1539"/>
      <c r="M2159" s="1545"/>
      <c r="N2159" s="1545"/>
      <c r="O2159" s="1539"/>
      <c r="P2159" s="1539"/>
      <c r="Q2159" s="1539"/>
      <c r="R2159" s="1539"/>
      <c r="S2159" s="1539"/>
      <c r="T2159" s="1539"/>
      <c r="U2159" s="1539"/>
      <c r="V2159" s="1539"/>
      <c r="W2159" s="1539"/>
      <c r="X2159" s="1539"/>
      <c r="Y2159" s="1539"/>
      <c r="Z2159" s="1539"/>
      <c r="AA2159" s="1539"/>
      <c r="AB2159" s="1539"/>
      <c r="AC2159" s="1539"/>
      <c r="AD2159" s="1539"/>
      <c r="AE2159" s="1539"/>
      <c r="AF2159" s="1539"/>
      <c r="AG2159" s="1539"/>
      <c r="AH2159" s="1539"/>
      <c r="AI2159" s="1539"/>
      <c r="AJ2159" s="1539"/>
      <c r="AK2159" s="1539"/>
      <c r="AL2159" s="1539"/>
      <c r="AM2159" s="1539"/>
      <c r="AN2159" s="1539"/>
      <c r="AO2159" s="1539"/>
      <c r="AP2159" s="1539"/>
      <c r="AQ2159" s="1539"/>
      <c r="AR2159" s="1539"/>
      <c r="AS2159" s="1539"/>
      <c r="AT2159" s="1539"/>
      <c r="AU2159" s="1539"/>
      <c r="AV2159" s="1539"/>
      <c r="AW2159" s="1539"/>
      <c r="AX2159" s="1539"/>
      <c r="AY2159" s="1539"/>
      <c r="AZ2159" s="1539"/>
      <c r="BA2159" s="1539"/>
      <c r="BB2159" s="1539"/>
      <c r="BC2159" s="1539"/>
      <c r="BD2159" s="1539"/>
      <c r="BE2159" s="1539"/>
      <c r="BF2159" s="1539"/>
      <c r="BG2159" s="1539"/>
      <c r="BH2159" s="1539"/>
      <c r="BI2159" s="1539"/>
      <c r="BJ2159" s="1539"/>
      <c r="BK2159" s="1539"/>
      <c r="BL2159" s="1539"/>
      <c r="BM2159" s="1539"/>
      <c r="BN2159" s="1539"/>
      <c r="BO2159" s="1539"/>
      <c r="BP2159" s="1539"/>
      <c r="BQ2159" s="1539"/>
      <c r="BR2159" s="1539"/>
      <c r="BS2159" s="1539"/>
      <c r="BT2159" s="1539"/>
      <c r="BU2159" s="1539"/>
      <c r="BV2159" s="1539"/>
      <c r="BW2159" s="1539"/>
      <c r="BX2159" s="1539"/>
      <c r="BY2159" s="1539"/>
      <c r="BZ2159" s="1539"/>
      <c r="CA2159" s="1539"/>
      <c r="CB2159" s="1539"/>
      <c r="CC2159" s="1539"/>
      <c r="CD2159" s="1539"/>
      <c r="CE2159" s="1539"/>
      <c r="CF2159" s="1539"/>
      <c r="CG2159" s="1539"/>
      <c r="CH2159" s="1539"/>
      <c r="CI2159" s="1539"/>
      <c r="CJ2159" s="1539"/>
      <c r="CK2159" s="1539"/>
      <c r="CL2159" s="1539"/>
      <c r="CM2159" s="1539"/>
      <c r="CN2159" s="1539"/>
      <c r="CO2159" s="1539"/>
    </row>
    <row r="2160" spans="1:93" s="1542" customFormat="1" ht="15.5">
      <c r="A2160" s="1598">
        <v>46.81</v>
      </c>
      <c r="B2160" s="1599" t="s">
        <v>1990</v>
      </c>
      <c r="C2160" s="1643" t="e">
        <f>+SUMIF(#REF!,Final!A2160,#REF!)</f>
        <v>#REF!</v>
      </c>
      <c r="D2160" s="1597" t="e">
        <f>+SUMIF(#REF!,Final!A2160,#REF!)</f>
        <v>#REF!</v>
      </c>
      <c r="E2160" s="1643" t="e">
        <f>SUMIF(#REF!,Final!A2160,#REF!)</f>
        <v>#REF!</v>
      </c>
      <c r="F2160" s="1644" t="e">
        <f>SUMIF(#REF!,Final!A2160,#REF!)</f>
        <v>#REF!</v>
      </c>
      <c r="G2160" s="1597" t="e">
        <f t="shared" si="228"/>
        <v>#REF!</v>
      </c>
      <c r="H2160" s="1644" t="e">
        <f t="shared" si="229"/>
        <v>#REF!</v>
      </c>
      <c r="I2160" s="1597" t="e">
        <f t="shared" si="230"/>
        <v>#REF!</v>
      </c>
      <c r="J2160" s="1644" t="e">
        <f t="shared" si="231"/>
        <v>#REF!</v>
      </c>
      <c r="K2160" s="1539"/>
      <c r="L2160" s="1539"/>
      <c r="M2160" s="1545"/>
      <c r="N2160" s="1545"/>
      <c r="O2160" s="1539"/>
      <c r="P2160" s="1539"/>
      <c r="Q2160" s="1539"/>
      <c r="R2160" s="1539"/>
      <c r="S2160" s="1539"/>
      <c r="T2160" s="1539"/>
      <c r="U2160" s="1539"/>
      <c r="V2160" s="1539"/>
      <c r="W2160" s="1539"/>
      <c r="X2160" s="1539"/>
      <c r="Y2160" s="1539"/>
      <c r="Z2160" s="1539"/>
      <c r="AA2160" s="1539"/>
      <c r="AB2160" s="1539"/>
      <c r="AC2160" s="1539"/>
      <c r="AD2160" s="1539"/>
      <c r="AE2160" s="1539"/>
      <c r="AF2160" s="1539"/>
      <c r="AG2160" s="1539"/>
      <c r="AH2160" s="1539"/>
      <c r="AI2160" s="1539"/>
      <c r="AJ2160" s="1539"/>
      <c r="AK2160" s="1539"/>
      <c r="AL2160" s="1539"/>
      <c r="AM2160" s="1539"/>
      <c r="AN2160" s="1539"/>
      <c r="AO2160" s="1539"/>
      <c r="AP2160" s="1539"/>
      <c r="AQ2160" s="1539"/>
      <c r="AR2160" s="1539"/>
      <c r="AS2160" s="1539"/>
      <c r="AT2160" s="1539"/>
      <c r="AU2160" s="1539"/>
      <c r="AV2160" s="1539"/>
      <c r="AW2160" s="1539"/>
      <c r="AX2160" s="1539"/>
      <c r="AY2160" s="1539"/>
      <c r="AZ2160" s="1539"/>
      <c r="BA2160" s="1539"/>
      <c r="BB2160" s="1539"/>
      <c r="BC2160" s="1539"/>
      <c r="BD2160" s="1539"/>
      <c r="BE2160" s="1539"/>
      <c r="BF2160" s="1539"/>
      <c r="BG2160" s="1539"/>
      <c r="BH2160" s="1539"/>
      <c r="BI2160" s="1539"/>
      <c r="BJ2160" s="1539"/>
      <c r="BK2160" s="1539"/>
      <c r="BL2160" s="1539"/>
      <c r="BM2160" s="1539"/>
      <c r="BN2160" s="1539"/>
      <c r="BO2160" s="1539"/>
      <c r="BP2160" s="1539"/>
      <c r="BQ2160" s="1539"/>
      <c r="BR2160" s="1539"/>
      <c r="BS2160" s="1539"/>
      <c r="BT2160" s="1539"/>
      <c r="BU2160" s="1539"/>
      <c r="BV2160" s="1539"/>
      <c r="BW2160" s="1539"/>
      <c r="BX2160" s="1539"/>
      <c r="BY2160" s="1539"/>
      <c r="BZ2160" s="1539"/>
      <c r="CA2160" s="1539"/>
      <c r="CB2160" s="1539"/>
      <c r="CC2160" s="1539"/>
      <c r="CD2160" s="1539"/>
      <c r="CE2160" s="1539"/>
      <c r="CF2160" s="1539"/>
      <c r="CG2160" s="1539"/>
      <c r="CH2160" s="1539"/>
      <c r="CI2160" s="1539"/>
      <c r="CJ2160" s="1539"/>
      <c r="CK2160" s="1539"/>
      <c r="CL2160" s="1539"/>
      <c r="CM2160" s="1539"/>
      <c r="CN2160" s="1539"/>
      <c r="CO2160" s="1539"/>
    </row>
    <row r="2161" spans="1:93" s="1552" customFormat="1" ht="15.5">
      <c r="A2161" s="1598"/>
      <c r="B2161" s="1599" t="s">
        <v>1747</v>
      </c>
      <c r="C2161" s="1643" t="e">
        <f>+SUMIF(#REF!,Final!A2161,#REF!)</f>
        <v>#REF!</v>
      </c>
      <c r="D2161" s="1597" t="e">
        <f>+SUMIF(#REF!,Final!A2161,#REF!)</f>
        <v>#REF!</v>
      </c>
      <c r="E2161" s="1643" t="e">
        <f>SUMIF(#REF!,Final!A2161,#REF!)</f>
        <v>#REF!</v>
      </c>
      <c r="F2161" s="1644" t="e">
        <f>SUMIF(#REF!,Final!A2161,#REF!)</f>
        <v>#REF!</v>
      </c>
      <c r="G2161" s="1597" t="e">
        <f t="shared" si="228"/>
        <v>#REF!</v>
      </c>
      <c r="H2161" s="1644" t="e">
        <f t="shared" si="229"/>
        <v>#REF!</v>
      </c>
      <c r="I2161" s="1597" t="e">
        <f t="shared" si="230"/>
        <v>#REF!</v>
      </c>
      <c r="J2161" s="1644" t="e">
        <f t="shared" si="231"/>
        <v>#REF!</v>
      </c>
      <c r="K2161" s="1539"/>
      <c r="L2161" s="1539"/>
      <c r="M2161" s="1545"/>
      <c r="N2161" s="1545"/>
      <c r="O2161" s="1539"/>
      <c r="P2161" s="1539"/>
      <c r="Q2161" s="1539"/>
      <c r="R2161" s="1539"/>
      <c r="S2161" s="1539"/>
      <c r="T2161" s="1539"/>
      <c r="U2161" s="1539"/>
      <c r="V2161" s="1539"/>
      <c r="W2161" s="1539"/>
      <c r="X2161" s="1539"/>
      <c r="Y2161" s="1539"/>
      <c r="Z2161" s="1539"/>
      <c r="AA2161" s="1539"/>
      <c r="AB2161" s="1539"/>
      <c r="AC2161" s="1539"/>
      <c r="AD2161" s="1539"/>
      <c r="AE2161" s="1539"/>
      <c r="AF2161" s="1539"/>
      <c r="AG2161" s="1539"/>
      <c r="AH2161" s="1539"/>
      <c r="AI2161" s="1539"/>
      <c r="AJ2161" s="1539"/>
      <c r="AK2161" s="1539"/>
      <c r="AL2161" s="1539"/>
      <c r="AM2161" s="1539"/>
      <c r="AN2161" s="1539"/>
      <c r="AO2161" s="1539"/>
      <c r="AP2161" s="1539"/>
      <c r="AQ2161" s="1539"/>
      <c r="AR2161" s="1539"/>
      <c r="AS2161" s="1539"/>
      <c r="AT2161" s="1539"/>
      <c r="AU2161" s="1539"/>
      <c r="AV2161" s="1539"/>
      <c r="AW2161" s="1539"/>
      <c r="AX2161" s="1539"/>
      <c r="AY2161" s="1539"/>
      <c r="AZ2161" s="1539"/>
      <c r="BA2161" s="1539"/>
      <c r="BB2161" s="1539"/>
      <c r="BC2161" s="1539"/>
      <c r="BD2161" s="1539"/>
      <c r="BE2161" s="1539"/>
      <c r="BF2161" s="1539"/>
      <c r="BG2161" s="1539"/>
      <c r="BH2161" s="1539"/>
      <c r="BI2161" s="1539"/>
      <c r="BJ2161" s="1539"/>
      <c r="BK2161" s="1539"/>
      <c r="BL2161" s="1539"/>
      <c r="BM2161" s="1539"/>
      <c r="BN2161" s="1539"/>
      <c r="BO2161" s="1539"/>
      <c r="BP2161" s="1539"/>
      <c r="BQ2161" s="1539"/>
      <c r="BR2161" s="1539"/>
      <c r="BS2161" s="1539"/>
      <c r="BT2161" s="1539"/>
      <c r="BU2161" s="1539"/>
      <c r="BV2161" s="1539"/>
      <c r="BW2161" s="1539"/>
      <c r="BX2161" s="1539"/>
      <c r="BY2161" s="1539"/>
      <c r="BZ2161" s="1539"/>
      <c r="CA2161" s="1539"/>
      <c r="CB2161" s="1539"/>
      <c r="CC2161" s="1539"/>
      <c r="CD2161" s="1539"/>
      <c r="CE2161" s="1539"/>
      <c r="CF2161" s="1539"/>
      <c r="CG2161" s="1539"/>
      <c r="CH2161" s="1539"/>
      <c r="CI2161" s="1539"/>
      <c r="CJ2161" s="1539"/>
      <c r="CK2161" s="1539"/>
      <c r="CL2161" s="1539"/>
      <c r="CM2161" s="1539"/>
      <c r="CN2161" s="1539"/>
      <c r="CO2161" s="1539"/>
    </row>
    <row r="2162" spans="1:93" s="1552" customFormat="1" ht="15.5">
      <c r="A2162" s="1598" t="s">
        <v>2916</v>
      </c>
      <c r="B2162" s="1599" t="s">
        <v>1760</v>
      </c>
      <c r="C2162" s="1643" t="e">
        <f>+SUMIF(#REF!,Final!A2162,#REF!)</f>
        <v>#REF!</v>
      </c>
      <c r="D2162" s="1597" t="e">
        <f>+SUMIF(#REF!,Final!A2162,#REF!)</f>
        <v>#REF!</v>
      </c>
      <c r="E2162" s="1643" t="e">
        <f>SUMIF(#REF!,Final!A2162,#REF!)</f>
        <v>#REF!</v>
      </c>
      <c r="F2162" s="1644" t="e">
        <f>SUMIF(#REF!,Final!A2162,#REF!)</f>
        <v>#REF!</v>
      </c>
      <c r="G2162" s="1597" t="e">
        <f t="shared" si="228"/>
        <v>#REF!</v>
      </c>
      <c r="H2162" s="1644" t="e">
        <f t="shared" si="229"/>
        <v>#REF!</v>
      </c>
      <c r="I2162" s="1597" t="e">
        <f t="shared" si="230"/>
        <v>#REF!</v>
      </c>
      <c r="J2162" s="1644" t="e">
        <f t="shared" si="231"/>
        <v>#REF!</v>
      </c>
      <c r="K2162" s="1539"/>
      <c r="L2162" s="1539"/>
      <c r="M2162" s="1545"/>
      <c r="N2162" s="1545"/>
      <c r="O2162" s="1539"/>
      <c r="P2162" s="1539"/>
      <c r="Q2162" s="1539"/>
      <c r="R2162" s="1539"/>
      <c r="S2162" s="1539"/>
      <c r="T2162" s="1539"/>
      <c r="U2162" s="1539"/>
      <c r="V2162" s="1539"/>
      <c r="W2162" s="1539"/>
      <c r="X2162" s="1539"/>
      <c r="Y2162" s="1539"/>
      <c r="Z2162" s="1539"/>
      <c r="AA2162" s="1539"/>
      <c r="AB2162" s="1539"/>
      <c r="AC2162" s="1539"/>
      <c r="AD2162" s="1539"/>
      <c r="AE2162" s="1539"/>
      <c r="AF2162" s="1539"/>
      <c r="AG2162" s="1539"/>
      <c r="AH2162" s="1539"/>
      <c r="AI2162" s="1539"/>
      <c r="AJ2162" s="1539"/>
      <c r="AK2162" s="1539"/>
      <c r="AL2162" s="1539"/>
      <c r="AM2162" s="1539"/>
      <c r="AN2162" s="1539"/>
      <c r="AO2162" s="1539"/>
      <c r="AP2162" s="1539"/>
      <c r="AQ2162" s="1539"/>
      <c r="AR2162" s="1539"/>
      <c r="AS2162" s="1539"/>
      <c r="AT2162" s="1539"/>
      <c r="AU2162" s="1539"/>
      <c r="AV2162" s="1539"/>
      <c r="AW2162" s="1539"/>
      <c r="AX2162" s="1539"/>
      <c r="AY2162" s="1539"/>
      <c r="AZ2162" s="1539"/>
      <c r="BA2162" s="1539"/>
      <c r="BB2162" s="1539"/>
      <c r="BC2162" s="1539"/>
      <c r="BD2162" s="1539"/>
      <c r="BE2162" s="1539"/>
      <c r="BF2162" s="1539"/>
      <c r="BG2162" s="1539"/>
      <c r="BH2162" s="1539"/>
      <c r="BI2162" s="1539"/>
      <c r="BJ2162" s="1539"/>
      <c r="BK2162" s="1539"/>
      <c r="BL2162" s="1539"/>
      <c r="BM2162" s="1539"/>
      <c r="BN2162" s="1539"/>
      <c r="BO2162" s="1539"/>
      <c r="BP2162" s="1539"/>
      <c r="BQ2162" s="1539"/>
      <c r="BR2162" s="1539"/>
      <c r="BS2162" s="1539"/>
      <c r="BT2162" s="1539"/>
      <c r="BU2162" s="1539"/>
      <c r="BV2162" s="1539"/>
      <c r="BW2162" s="1539"/>
      <c r="BX2162" s="1539"/>
      <c r="BY2162" s="1539"/>
      <c r="BZ2162" s="1539"/>
      <c r="CA2162" s="1539"/>
      <c r="CB2162" s="1539"/>
      <c r="CC2162" s="1539"/>
      <c r="CD2162" s="1539"/>
      <c r="CE2162" s="1539"/>
      <c r="CF2162" s="1539"/>
      <c r="CG2162" s="1539"/>
      <c r="CH2162" s="1539"/>
      <c r="CI2162" s="1539"/>
      <c r="CJ2162" s="1539"/>
      <c r="CK2162" s="1539"/>
      <c r="CL2162" s="1539"/>
      <c r="CM2162" s="1539"/>
      <c r="CN2162" s="1539"/>
      <c r="CO2162" s="1539"/>
    </row>
    <row r="2163" spans="1:93" s="1542" customFormat="1" ht="15.5">
      <c r="A2163" s="1598">
        <v>12</v>
      </c>
      <c r="B2163" s="1599" t="s">
        <v>1978</v>
      </c>
      <c r="C2163" s="1643" t="e">
        <f>+SUMIF(#REF!,Final!A2163,#REF!)</f>
        <v>#REF!</v>
      </c>
      <c r="D2163" s="1597" t="e">
        <f>+SUMIF(#REF!,Final!A2163,#REF!)</f>
        <v>#REF!</v>
      </c>
      <c r="E2163" s="1643" t="e">
        <f>SUMIF(#REF!,Final!A2163,#REF!)</f>
        <v>#REF!</v>
      </c>
      <c r="F2163" s="1644" t="e">
        <f>SUMIF(#REF!,Final!A2163,#REF!)</f>
        <v>#REF!</v>
      </c>
      <c r="G2163" s="1597" t="e">
        <f t="shared" si="228"/>
        <v>#REF!</v>
      </c>
      <c r="H2163" s="1644" t="e">
        <f t="shared" si="229"/>
        <v>#REF!</v>
      </c>
      <c r="I2163" s="1597" t="e">
        <f t="shared" si="230"/>
        <v>#REF!</v>
      </c>
      <c r="J2163" s="1644" t="e">
        <f t="shared" si="231"/>
        <v>#REF!</v>
      </c>
      <c r="K2163" s="1539"/>
      <c r="L2163" s="1539"/>
      <c r="M2163" s="1545"/>
      <c r="N2163" s="1545"/>
      <c r="O2163" s="1539"/>
      <c r="P2163" s="1539"/>
      <c r="Q2163" s="1539"/>
      <c r="R2163" s="1539"/>
      <c r="S2163" s="1539"/>
      <c r="T2163" s="1539"/>
      <c r="U2163" s="1539"/>
      <c r="V2163" s="1539"/>
      <c r="W2163" s="1539"/>
      <c r="X2163" s="1539"/>
      <c r="Y2163" s="1539"/>
      <c r="Z2163" s="1539"/>
      <c r="AA2163" s="1539"/>
      <c r="AB2163" s="1539"/>
      <c r="AC2163" s="1539"/>
      <c r="AD2163" s="1539"/>
      <c r="AE2163" s="1539"/>
      <c r="AF2163" s="1539"/>
      <c r="AG2163" s="1539"/>
      <c r="AH2163" s="1539"/>
      <c r="AI2163" s="1539"/>
      <c r="AJ2163" s="1539"/>
      <c r="AK2163" s="1539"/>
      <c r="AL2163" s="1539"/>
      <c r="AM2163" s="1539"/>
      <c r="AN2163" s="1539"/>
      <c r="AO2163" s="1539"/>
      <c r="AP2163" s="1539"/>
      <c r="AQ2163" s="1539"/>
      <c r="AR2163" s="1539"/>
      <c r="AS2163" s="1539"/>
      <c r="AT2163" s="1539"/>
      <c r="AU2163" s="1539"/>
      <c r="AV2163" s="1539"/>
      <c r="AW2163" s="1539"/>
      <c r="AX2163" s="1539"/>
      <c r="AY2163" s="1539"/>
      <c r="AZ2163" s="1539"/>
      <c r="BA2163" s="1539"/>
      <c r="BB2163" s="1539"/>
      <c r="BC2163" s="1539"/>
      <c r="BD2163" s="1539"/>
      <c r="BE2163" s="1539"/>
      <c r="BF2163" s="1539"/>
      <c r="BG2163" s="1539"/>
      <c r="BH2163" s="1539"/>
      <c r="BI2163" s="1539"/>
      <c r="BJ2163" s="1539"/>
      <c r="BK2163" s="1539"/>
      <c r="BL2163" s="1539"/>
      <c r="BM2163" s="1539"/>
      <c r="BN2163" s="1539"/>
      <c r="BO2163" s="1539"/>
      <c r="BP2163" s="1539"/>
      <c r="BQ2163" s="1539"/>
      <c r="BR2163" s="1539"/>
      <c r="BS2163" s="1539"/>
      <c r="BT2163" s="1539"/>
      <c r="BU2163" s="1539"/>
      <c r="BV2163" s="1539"/>
      <c r="BW2163" s="1539"/>
      <c r="BX2163" s="1539"/>
      <c r="BY2163" s="1539"/>
      <c r="BZ2163" s="1539"/>
      <c r="CA2163" s="1539"/>
      <c r="CB2163" s="1539"/>
      <c r="CC2163" s="1539"/>
      <c r="CD2163" s="1539"/>
      <c r="CE2163" s="1539"/>
      <c r="CF2163" s="1539"/>
      <c r="CG2163" s="1539"/>
      <c r="CH2163" s="1539"/>
      <c r="CI2163" s="1539"/>
      <c r="CJ2163" s="1539"/>
      <c r="CK2163" s="1539"/>
      <c r="CL2163" s="1539"/>
      <c r="CM2163" s="1539"/>
      <c r="CN2163" s="1539"/>
      <c r="CO2163" s="1539"/>
    </row>
    <row r="2164" spans="1:93" s="1542" customFormat="1" ht="15.5">
      <c r="A2164" s="1598" t="s">
        <v>544</v>
      </c>
      <c r="B2164" s="1599" t="s">
        <v>1979</v>
      </c>
      <c r="C2164" s="1643" t="e">
        <f>+SUMIF(#REF!,Final!A2164,#REF!)</f>
        <v>#REF!</v>
      </c>
      <c r="D2164" s="1597" t="e">
        <f>+SUMIF(#REF!,Final!A2164,#REF!)</f>
        <v>#REF!</v>
      </c>
      <c r="E2164" s="1643" t="e">
        <f>SUMIF(#REF!,Final!A2164,#REF!)</f>
        <v>#REF!</v>
      </c>
      <c r="F2164" s="1644" t="e">
        <f>SUMIF(#REF!,Final!A2164,#REF!)</f>
        <v>#REF!</v>
      </c>
      <c r="G2164" s="1597" t="e">
        <f t="shared" si="228"/>
        <v>#REF!</v>
      </c>
      <c r="H2164" s="1644" t="e">
        <f t="shared" si="229"/>
        <v>#REF!</v>
      </c>
      <c r="I2164" s="1597" t="e">
        <f t="shared" si="230"/>
        <v>#REF!</v>
      </c>
      <c r="J2164" s="1644" t="e">
        <f t="shared" si="231"/>
        <v>#REF!</v>
      </c>
      <c r="K2164" s="1539"/>
      <c r="L2164" s="1539"/>
      <c r="M2164" s="1545"/>
      <c r="N2164" s="1545"/>
      <c r="O2164" s="1539"/>
      <c r="P2164" s="1539"/>
      <c r="Q2164" s="1539"/>
      <c r="R2164" s="1539"/>
      <c r="S2164" s="1539"/>
      <c r="T2164" s="1539"/>
      <c r="U2164" s="1539"/>
      <c r="V2164" s="1539"/>
      <c r="W2164" s="1539"/>
      <c r="X2164" s="1539"/>
      <c r="Y2164" s="1539"/>
      <c r="Z2164" s="1539"/>
      <c r="AA2164" s="1539"/>
      <c r="AB2164" s="1539"/>
      <c r="AC2164" s="1539"/>
      <c r="AD2164" s="1539"/>
      <c r="AE2164" s="1539"/>
      <c r="AF2164" s="1539"/>
      <c r="AG2164" s="1539"/>
      <c r="AH2164" s="1539"/>
      <c r="AI2164" s="1539"/>
      <c r="AJ2164" s="1539"/>
      <c r="AK2164" s="1539"/>
      <c r="AL2164" s="1539"/>
      <c r="AM2164" s="1539"/>
      <c r="AN2164" s="1539"/>
      <c r="AO2164" s="1539"/>
      <c r="AP2164" s="1539"/>
      <c r="AQ2164" s="1539"/>
      <c r="AR2164" s="1539"/>
      <c r="AS2164" s="1539"/>
      <c r="AT2164" s="1539"/>
      <c r="AU2164" s="1539"/>
      <c r="AV2164" s="1539"/>
      <c r="AW2164" s="1539"/>
      <c r="AX2164" s="1539"/>
      <c r="AY2164" s="1539"/>
      <c r="AZ2164" s="1539"/>
      <c r="BA2164" s="1539"/>
      <c r="BB2164" s="1539"/>
      <c r="BC2164" s="1539"/>
      <c r="BD2164" s="1539"/>
      <c r="BE2164" s="1539"/>
      <c r="BF2164" s="1539"/>
      <c r="BG2164" s="1539"/>
      <c r="BH2164" s="1539"/>
      <c r="BI2164" s="1539"/>
      <c r="BJ2164" s="1539"/>
      <c r="BK2164" s="1539"/>
      <c r="BL2164" s="1539"/>
      <c r="BM2164" s="1539"/>
      <c r="BN2164" s="1539"/>
      <c r="BO2164" s="1539"/>
      <c r="BP2164" s="1539"/>
      <c r="BQ2164" s="1539"/>
      <c r="BR2164" s="1539"/>
      <c r="BS2164" s="1539"/>
      <c r="BT2164" s="1539"/>
      <c r="BU2164" s="1539"/>
      <c r="BV2164" s="1539"/>
      <c r="BW2164" s="1539"/>
      <c r="BX2164" s="1539"/>
      <c r="BY2164" s="1539"/>
      <c r="BZ2164" s="1539"/>
      <c r="CA2164" s="1539"/>
      <c r="CB2164" s="1539"/>
      <c r="CC2164" s="1539"/>
      <c r="CD2164" s="1539"/>
      <c r="CE2164" s="1539"/>
      <c r="CF2164" s="1539"/>
      <c r="CG2164" s="1539"/>
      <c r="CH2164" s="1539"/>
      <c r="CI2164" s="1539"/>
      <c r="CJ2164" s="1539"/>
      <c r="CK2164" s="1539"/>
      <c r="CL2164" s="1539"/>
      <c r="CM2164" s="1539"/>
      <c r="CN2164" s="1539"/>
      <c r="CO2164" s="1539"/>
    </row>
    <row r="2165" spans="1:93" s="1542" customFormat="1" ht="15.5">
      <c r="A2165" s="1598" t="s">
        <v>1818</v>
      </c>
      <c r="B2165" s="1599" t="s">
        <v>1991</v>
      </c>
      <c r="C2165" s="1643" t="e">
        <f>+SUMIF(#REF!,Final!A2165,#REF!)</f>
        <v>#REF!</v>
      </c>
      <c r="D2165" s="1597" t="e">
        <f>+SUMIF(#REF!,Final!A2165,#REF!)</f>
        <v>#REF!</v>
      </c>
      <c r="E2165" s="1643" t="e">
        <f>SUMIF(#REF!,Final!A2165,#REF!)</f>
        <v>#REF!</v>
      </c>
      <c r="F2165" s="1644" t="e">
        <f>SUMIF(#REF!,Final!A2165,#REF!)</f>
        <v>#REF!</v>
      </c>
      <c r="G2165" s="1597" t="e">
        <f t="shared" si="228"/>
        <v>#REF!</v>
      </c>
      <c r="H2165" s="1644" t="e">
        <f t="shared" si="229"/>
        <v>#REF!</v>
      </c>
      <c r="I2165" s="1597" t="e">
        <f t="shared" si="230"/>
        <v>#REF!</v>
      </c>
      <c r="J2165" s="1644" t="e">
        <f t="shared" si="231"/>
        <v>#REF!</v>
      </c>
      <c r="K2165" s="1539"/>
      <c r="L2165" s="1539"/>
      <c r="M2165" s="1545"/>
      <c r="N2165" s="1545"/>
      <c r="O2165" s="1539"/>
      <c r="P2165" s="1539"/>
      <c r="Q2165" s="1539"/>
      <c r="R2165" s="1539"/>
      <c r="S2165" s="1539"/>
      <c r="T2165" s="1539"/>
      <c r="U2165" s="1539"/>
      <c r="V2165" s="1539"/>
      <c r="W2165" s="1539"/>
      <c r="X2165" s="1539"/>
      <c r="Y2165" s="1539"/>
      <c r="Z2165" s="1539"/>
      <c r="AA2165" s="1539"/>
      <c r="AB2165" s="1539"/>
      <c r="AC2165" s="1539"/>
      <c r="AD2165" s="1539"/>
      <c r="AE2165" s="1539"/>
      <c r="AF2165" s="1539"/>
      <c r="AG2165" s="1539"/>
      <c r="AH2165" s="1539"/>
      <c r="AI2165" s="1539"/>
      <c r="AJ2165" s="1539"/>
      <c r="AK2165" s="1539"/>
      <c r="AL2165" s="1539"/>
      <c r="AM2165" s="1539"/>
      <c r="AN2165" s="1539"/>
      <c r="AO2165" s="1539"/>
      <c r="AP2165" s="1539"/>
      <c r="AQ2165" s="1539"/>
      <c r="AR2165" s="1539"/>
      <c r="AS2165" s="1539"/>
      <c r="AT2165" s="1539"/>
      <c r="AU2165" s="1539"/>
      <c r="AV2165" s="1539"/>
      <c r="AW2165" s="1539"/>
      <c r="AX2165" s="1539"/>
      <c r="AY2165" s="1539"/>
      <c r="AZ2165" s="1539"/>
      <c r="BA2165" s="1539"/>
      <c r="BB2165" s="1539"/>
      <c r="BC2165" s="1539"/>
      <c r="BD2165" s="1539"/>
      <c r="BE2165" s="1539"/>
      <c r="BF2165" s="1539"/>
      <c r="BG2165" s="1539"/>
      <c r="BH2165" s="1539"/>
      <c r="BI2165" s="1539"/>
      <c r="BJ2165" s="1539"/>
      <c r="BK2165" s="1539"/>
      <c r="BL2165" s="1539"/>
      <c r="BM2165" s="1539"/>
      <c r="BN2165" s="1539"/>
      <c r="BO2165" s="1539"/>
      <c r="BP2165" s="1539"/>
      <c r="BQ2165" s="1539"/>
      <c r="BR2165" s="1539"/>
      <c r="BS2165" s="1539"/>
      <c r="BT2165" s="1539"/>
      <c r="BU2165" s="1539"/>
      <c r="BV2165" s="1539"/>
      <c r="BW2165" s="1539"/>
      <c r="BX2165" s="1539"/>
      <c r="BY2165" s="1539"/>
      <c r="BZ2165" s="1539"/>
      <c r="CA2165" s="1539"/>
      <c r="CB2165" s="1539"/>
      <c r="CC2165" s="1539"/>
      <c r="CD2165" s="1539"/>
      <c r="CE2165" s="1539"/>
      <c r="CF2165" s="1539"/>
      <c r="CG2165" s="1539"/>
      <c r="CH2165" s="1539"/>
      <c r="CI2165" s="1539"/>
      <c r="CJ2165" s="1539"/>
      <c r="CK2165" s="1539"/>
      <c r="CL2165" s="1539"/>
      <c r="CM2165" s="1539"/>
      <c r="CN2165" s="1539"/>
      <c r="CO2165" s="1539"/>
    </row>
    <row r="2166" spans="1:93" ht="15.5">
      <c r="A2166" s="1598">
        <v>46.915999999999997</v>
      </c>
      <c r="B2166" s="1599" t="s">
        <v>1992</v>
      </c>
      <c r="C2166" s="1643" t="e">
        <f>+SUMIF(#REF!,Final!A2166,#REF!)</f>
        <v>#REF!</v>
      </c>
      <c r="D2166" s="1597" t="e">
        <f>+SUMIF(#REF!,Final!A2166,#REF!)</f>
        <v>#REF!</v>
      </c>
      <c r="E2166" s="1643" t="e">
        <f>SUMIF(#REF!,Final!A2166,#REF!)</f>
        <v>#REF!</v>
      </c>
      <c r="F2166" s="1644" t="e">
        <f>SUMIF(#REF!,Final!A2166,#REF!)</f>
        <v>#REF!</v>
      </c>
      <c r="G2166" s="1597" t="e">
        <f t="shared" si="228"/>
        <v>#REF!</v>
      </c>
      <c r="H2166" s="1644" t="e">
        <f t="shared" si="229"/>
        <v>#REF!</v>
      </c>
      <c r="I2166" s="1597" t="e">
        <f t="shared" si="230"/>
        <v>#REF!</v>
      </c>
      <c r="J2166" s="1644" t="e">
        <f t="shared" si="231"/>
        <v>#REF!</v>
      </c>
      <c r="M2166" s="1545"/>
      <c r="N2166" s="1545"/>
    </row>
    <row r="2167" spans="1:93" ht="15.5">
      <c r="A2167" s="1598">
        <v>46.917000000000002</v>
      </c>
      <c r="B2167" s="1599" t="s">
        <v>1993</v>
      </c>
      <c r="C2167" s="1643" t="e">
        <f>+SUMIF(#REF!,Final!A2167,#REF!)</f>
        <v>#REF!</v>
      </c>
      <c r="D2167" s="1597" t="e">
        <f>+SUMIF(#REF!,Final!A2167,#REF!)</f>
        <v>#REF!</v>
      </c>
      <c r="E2167" s="1643" t="e">
        <f>SUMIF(#REF!,Final!A2167,#REF!)</f>
        <v>#REF!</v>
      </c>
      <c r="F2167" s="1644" t="e">
        <f>SUMIF(#REF!,Final!A2167,#REF!)</f>
        <v>#REF!</v>
      </c>
      <c r="G2167" s="1597" t="e">
        <f t="shared" si="228"/>
        <v>#REF!</v>
      </c>
      <c r="H2167" s="1644" t="e">
        <f t="shared" si="229"/>
        <v>#REF!</v>
      </c>
      <c r="I2167" s="1597" t="e">
        <f t="shared" si="230"/>
        <v>#REF!</v>
      </c>
      <c r="J2167" s="1644" t="e">
        <f t="shared" si="231"/>
        <v>#REF!</v>
      </c>
      <c r="M2167" s="1545"/>
      <c r="N2167" s="1545"/>
    </row>
    <row r="2168" spans="1:93" s="1552" customFormat="1" ht="15.5">
      <c r="A2168" s="1598"/>
      <c r="B2168" s="1599" t="s">
        <v>1747</v>
      </c>
      <c r="C2168" s="1643" t="e">
        <f>+SUMIF(#REF!,Final!A2168,#REF!)</f>
        <v>#REF!</v>
      </c>
      <c r="D2168" s="1597" t="e">
        <f>+SUMIF(#REF!,Final!A2168,#REF!)</f>
        <v>#REF!</v>
      </c>
      <c r="E2168" s="1643" t="e">
        <f>SUMIF(#REF!,Final!A2168,#REF!)</f>
        <v>#REF!</v>
      </c>
      <c r="F2168" s="1644" t="e">
        <f>SUMIF(#REF!,Final!A2168,#REF!)</f>
        <v>#REF!</v>
      </c>
      <c r="G2168" s="1597" t="e">
        <f t="shared" si="228"/>
        <v>#REF!</v>
      </c>
      <c r="H2168" s="1644" t="e">
        <f t="shared" si="229"/>
        <v>#REF!</v>
      </c>
      <c r="I2168" s="1597" t="e">
        <f t="shared" si="230"/>
        <v>#REF!</v>
      </c>
      <c r="J2168" s="1644" t="e">
        <f t="shared" si="231"/>
        <v>#REF!</v>
      </c>
      <c r="K2168" s="1539"/>
      <c r="L2168" s="1539"/>
      <c r="M2168" s="1545"/>
      <c r="N2168" s="1545"/>
      <c r="O2168" s="1539"/>
      <c r="P2168" s="1539"/>
      <c r="Q2168" s="1539"/>
      <c r="R2168" s="1539"/>
      <c r="S2168" s="1539"/>
      <c r="T2168" s="1539"/>
      <c r="U2168" s="1539"/>
      <c r="V2168" s="1539"/>
      <c r="W2168" s="1539"/>
      <c r="X2168" s="1539"/>
      <c r="Y2168" s="1539"/>
      <c r="Z2168" s="1539"/>
      <c r="AA2168" s="1539"/>
      <c r="AB2168" s="1539"/>
      <c r="AC2168" s="1539"/>
      <c r="AD2168" s="1539"/>
      <c r="AE2168" s="1539"/>
      <c r="AF2168" s="1539"/>
      <c r="AG2168" s="1539"/>
      <c r="AH2168" s="1539"/>
      <c r="AI2168" s="1539"/>
      <c r="AJ2168" s="1539"/>
      <c r="AK2168" s="1539"/>
      <c r="AL2168" s="1539"/>
      <c r="AM2168" s="1539"/>
      <c r="AN2168" s="1539"/>
      <c r="AO2168" s="1539"/>
      <c r="AP2168" s="1539"/>
      <c r="AQ2168" s="1539"/>
      <c r="AR2168" s="1539"/>
      <c r="AS2168" s="1539"/>
      <c r="AT2168" s="1539"/>
      <c r="AU2168" s="1539"/>
      <c r="AV2168" s="1539"/>
      <c r="AW2168" s="1539"/>
      <c r="AX2168" s="1539"/>
      <c r="AY2168" s="1539"/>
      <c r="AZ2168" s="1539"/>
      <c r="BA2168" s="1539"/>
      <c r="BB2168" s="1539"/>
      <c r="BC2168" s="1539"/>
      <c r="BD2168" s="1539"/>
      <c r="BE2168" s="1539"/>
      <c r="BF2168" s="1539"/>
      <c r="BG2168" s="1539"/>
      <c r="BH2168" s="1539"/>
      <c r="BI2168" s="1539"/>
      <c r="BJ2168" s="1539"/>
      <c r="BK2168" s="1539"/>
      <c r="BL2168" s="1539"/>
      <c r="BM2168" s="1539"/>
      <c r="BN2168" s="1539"/>
      <c r="BO2168" s="1539"/>
      <c r="BP2168" s="1539"/>
      <c r="BQ2168" s="1539"/>
      <c r="BR2168" s="1539"/>
      <c r="BS2168" s="1539"/>
      <c r="BT2168" s="1539"/>
      <c r="BU2168" s="1539"/>
      <c r="BV2168" s="1539"/>
      <c r="BW2168" s="1539"/>
      <c r="BX2168" s="1539"/>
      <c r="BY2168" s="1539"/>
      <c r="BZ2168" s="1539"/>
      <c r="CA2168" s="1539"/>
      <c r="CB2168" s="1539"/>
      <c r="CC2168" s="1539"/>
      <c r="CD2168" s="1539"/>
      <c r="CE2168" s="1539"/>
      <c r="CF2168" s="1539"/>
      <c r="CG2168" s="1539"/>
      <c r="CH2168" s="1539"/>
      <c r="CI2168" s="1539"/>
      <c r="CJ2168" s="1539"/>
      <c r="CK2168" s="1539"/>
      <c r="CL2168" s="1539"/>
      <c r="CM2168" s="1539"/>
      <c r="CN2168" s="1539"/>
      <c r="CO2168" s="1539"/>
    </row>
    <row r="2169" spans="1:93" s="1552" customFormat="1" ht="15.5">
      <c r="A2169" s="1598" t="s">
        <v>2916</v>
      </c>
      <c r="B2169" s="1599" t="s">
        <v>1760</v>
      </c>
      <c r="C2169" s="1643" t="e">
        <f>+SUMIF(#REF!,Final!A2169,#REF!)</f>
        <v>#REF!</v>
      </c>
      <c r="D2169" s="1597" t="e">
        <f>+SUMIF(#REF!,Final!A2169,#REF!)</f>
        <v>#REF!</v>
      </c>
      <c r="E2169" s="1643" t="e">
        <f>SUMIF(#REF!,Final!A2169,#REF!)</f>
        <v>#REF!</v>
      </c>
      <c r="F2169" s="1644" t="e">
        <f>SUMIF(#REF!,Final!A2169,#REF!)</f>
        <v>#REF!</v>
      </c>
      <c r="G2169" s="1597" t="e">
        <f t="shared" si="228"/>
        <v>#REF!</v>
      </c>
      <c r="H2169" s="1644" t="e">
        <f t="shared" si="229"/>
        <v>#REF!</v>
      </c>
      <c r="I2169" s="1597" t="e">
        <f t="shared" si="230"/>
        <v>#REF!</v>
      </c>
      <c r="J2169" s="1644" t="e">
        <f t="shared" si="231"/>
        <v>#REF!</v>
      </c>
      <c r="K2169" s="1539"/>
      <c r="L2169" s="1539"/>
      <c r="M2169" s="1545"/>
      <c r="N2169" s="1545"/>
      <c r="O2169" s="1539"/>
      <c r="P2169" s="1539"/>
      <c r="Q2169" s="1539"/>
      <c r="R2169" s="1539"/>
      <c r="S2169" s="1539"/>
      <c r="T2169" s="1539"/>
      <c r="U2169" s="1539"/>
      <c r="V2169" s="1539"/>
      <c r="W2169" s="1539"/>
      <c r="X2169" s="1539"/>
      <c r="Y2169" s="1539"/>
      <c r="Z2169" s="1539"/>
      <c r="AA2169" s="1539"/>
      <c r="AB2169" s="1539"/>
      <c r="AC2169" s="1539"/>
      <c r="AD2169" s="1539"/>
      <c r="AE2169" s="1539"/>
      <c r="AF2169" s="1539"/>
      <c r="AG2169" s="1539"/>
      <c r="AH2169" s="1539"/>
      <c r="AI2169" s="1539"/>
      <c r="AJ2169" s="1539"/>
      <c r="AK2169" s="1539"/>
      <c r="AL2169" s="1539"/>
      <c r="AM2169" s="1539"/>
      <c r="AN2169" s="1539"/>
      <c r="AO2169" s="1539"/>
      <c r="AP2169" s="1539"/>
      <c r="AQ2169" s="1539"/>
      <c r="AR2169" s="1539"/>
      <c r="AS2169" s="1539"/>
      <c r="AT2169" s="1539"/>
      <c r="AU2169" s="1539"/>
      <c r="AV2169" s="1539"/>
      <c r="AW2169" s="1539"/>
      <c r="AX2169" s="1539"/>
      <c r="AY2169" s="1539"/>
      <c r="AZ2169" s="1539"/>
      <c r="BA2169" s="1539"/>
      <c r="BB2169" s="1539"/>
      <c r="BC2169" s="1539"/>
      <c r="BD2169" s="1539"/>
      <c r="BE2169" s="1539"/>
      <c r="BF2169" s="1539"/>
      <c r="BG2169" s="1539"/>
      <c r="BH2169" s="1539"/>
      <c r="BI2169" s="1539"/>
      <c r="BJ2169" s="1539"/>
      <c r="BK2169" s="1539"/>
      <c r="BL2169" s="1539"/>
      <c r="BM2169" s="1539"/>
      <c r="BN2169" s="1539"/>
      <c r="BO2169" s="1539"/>
      <c r="BP2169" s="1539"/>
      <c r="BQ2169" s="1539"/>
      <c r="BR2169" s="1539"/>
      <c r="BS2169" s="1539"/>
      <c r="BT2169" s="1539"/>
      <c r="BU2169" s="1539"/>
      <c r="BV2169" s="1539"/>
      <c r="BW2169" s="1539"/>
      <c r="BX2169" s="1539"/>
      <c r="BY2169" s="1539"/>
      <c r="BZ2169" s="1539"/>
      <c r="CA2169" s="1539"/>
      <c r="CB2169" s="1539"/>
      <c r="CC2169" s="1539"/>
      <c r="CD2169" s="1539"/>
      <c r="CE2169" s="1539"/>
      <c r="CF2169" s="1539"/>
      <c r="CG2169" s="1539"/>
      <c r="CH2169" s="1539"/>
      <c r="CI2169" s="1539"/>
      <c r="CJ2169" s="1539"/>
      <c r="CK2169" s="1539"/>
      <c r="CL2169" s="1539"/>
      <c r="CM2169" s="1539"/>
      <c r="CN2169" s="1539"/>
      <c r="CO2169" s="1539"/>
    </row>
    <row r="2170" spans="1:93" s="1542" customFormat="1" ht="15.5">
      <c r="A2170" s="1598">
        <v>12</v>
      </c>
      <c r="B2170" s="1599" t="s">
        <v>1978</v>
      </c>
      <c r="C2170" s="1643" t="e">
        <f>+SUMIF(#REF!,Final!A2170,#REF!)</f>
        <v>#REF!</v>
      </c>
      <c r="D2170" s="1597" t="e">
        <f>+SUMIF(#REF!,Final!A2170,#REF!)</f>
        <v>#REF!</v>
      </c>
      <c r="E2170" s="1643" t="e">
        <f>SUMIF(#REF!,Final!A2170,#REF!)</f>
        <v>#REF!</v>
      </c>
      <c r="F2170" s="1644" t="e">
        <f>SUMIF(#REF!,Final!A2170,#REF!)</f>
        <v>#REF!</v>
      </c>
      <c r="G2170" s="1597" t="e">
        <f t="shared" si="228"/>
        <v>#REF!</v>
      </c>
      <c r="H2170" s="1644" t="e">
        <f t="shared" si="229"/>
        <v>#REF!</v>
      </c>
      <c r="I2170" s="1597" t="e">
        <f t="shared" si="230"/>
        <v>#REF!</v>
      </c>
      <c r="J2170" s="1644" t="e">
        <f t="shared" si="231"/>
        <v>#REF!</v>
      </c>
      <c r="K2170" s="1539"/>
      <c r="L2170" s="1539"/>
      <c r="M2170" s="1545"/>
      <c r="N2170" s="1545"/>
      <c r="O2170" s="1539"/>
      <c r="P2170" s="1539"/>
      <c r="Q2170" s="1539"/>
      <c r="R2170" s="1539"/>
      <c r="S2170" s="1539"/>
      <c r="T2170" s="1539"/>
      <c r="U2170" s="1539"/>
      <c r="V2170" s="1539"/>
      <c r="W2170" s="1539"/>
      <c r="X2170" s="1539"/>
      <c r="Y2170" s="1539"/>
      <c r="Z2170" s="1539"/>
      <c r="AA2170" s="1539"/>
      <c r="AB2170" s="1539"/>
      <c r="AC2170" s="1539"/>
      <c r="AD2170" s="1539"/>
      <c r="AE2170" s="1539"/>
      <c r="AF2170" s="1539"/>
      <c r="AG2170" s="1539"/>
      <c r="AH2170" s="1539"/>
      <c r="AI2170" s="1539"/>
      <c r="AJ2170" s="1539"/>
      <c r="AK2170" s="1539"/>
      <c r="AL2170" s="1539"/>
      <c r="AM2170" s="1539"/>
      <c r="AN2170" s="1539"/>
      <c r="AO2170" s="1539"/>
      <c r="AP2170" s="1539"/>
      <c r="AQ2170" s="1539"/>
      <c r="AR2170" s="1539"/>
      <c r="AS2170" s="1539"/>
      <c r="AT2170" s="1539"/>
      <c r="AU2170" s="1539"/>
      <c r="AV2170" s="1539"/>
      <c r="AW2170" s="1539"/>
      <c r="AX2170" s="1539"/>
      <c r="AY2170" s="1539"/>
      <c r="AZ2170" s="1539"/>
      <c r="BA2170" s="1539"/>
      <c r="BB2170" s="1539"/>
      <c r="BC2170" s="1539"/>
      <c r="BD2170" s="1539"/>
      <c r="BE2170" s="1539"/>
      <c r="BF2170" s="1539"/>
      <c r="BG2170" s="1539"/>
      <c r="BH2170" s="1539"/>
      <c r="BI2170" s="1539"/>
      <c r="BJ2170" s="1539"/>
      <c r="BK2170" s="1539"/>
      <c r="BL2170" s="1539"/>
      <c r="BM2170" s="1539"/>
      <c r="BN2170" s="1539"/>
      <c r="BO2170" s="1539"/>
      <c r="BP2170" s="1539"/>
      <c r="BQ2170" s="1539"/>
      <c r="BR2170" s="1539"/>
      <c r="BS2170" s="1539"/>
      <c r="BT2170" s="1539"/>
      <c r="BU2170" s="1539"/>
      <c r="BV2170" s="1539"/>
      <c r="BW2170" s="1539"/>
      <c r="BX2170" s="1539"/>
      <c r="BY2170" s="1539"/>
      <c r="BZ2170" s="1539"/>
      <c r="CA2170" s="1539"/>
      <c r="CB2170" s="1539"/>
      <c r="CC2170" s="1539"/>
      <c r="CD2170" s="1539"/>
      <c r="CE2170" s="1539"/>
      <c r="CF2170" s="1539"/>
      <c r="CG2170" s="1539"/>
      <c r="CH2170" s="1539"/>
      <c r="CI2170" s="1539"/>
      <c r="CJ2170" s="1539"/>
      <c r="CK2170" s="1539"/>
      <c r="CL2170" s="1539"/>
      <c r="CM2170" s="1539"/>
      <c r="CN2170" s="1539"/>
      <c r="CO2170" s="1539"/>
    </row>
    <row r="2171" spans="1:93" s="1542" customFormat="1" ht="15.5">
      <c r="A2171" s="1598" t="s">
        <v>544</v>
      </c>
      <c r="B2171" s="1599" t="s">
        <v>1979</v>
      </c>
      <c r="C2171" s="1643" t="e">
        <f>+SUMIF(#REF!,Final!A2171,#REF!)</f>
        <v>#REF!</v>
      </c>
      <c r="D2171" s="1597" t="e">
        <f>+SUMIF(#REF!,Final!A2171,#REF!)</f>
        <v>#REF!</v>
      </c>
      <c r="E2171" s="1643" t="e">
        <f>SUMIF(#REF!,Final!A2171,#REF!)</f>
        <v>#REF!</v>
      </c>
      <c r="F2171" s="1644" t="e">
        <f>SUMIF(#REF!,Final!A2171,#REF!)</f>
        <v>#REF!</v>
      </c>
      <c r="G2171" s="1597" t="e">
        <f t="shared" si="228"/>
        <v>#REF!</v>
      </c>
      <c r="H2171" s="1644" t="e">
        <f t="shared" si="229"/>
        <v>#REF!</v>
      </c>
      <c r="I2171" s="1597" t="e">
        <f t="shared" si="230"/>
        <v>#REF!</v>
      </c>
      <c r="J2171" s="1644" t="e">
        <f t="shared" si="231"/>
        <v>#REF!</v>
      </c>
      <c r="K2171" s="1539"/>
      <c r="L2171" s="1539"/>
      <c r="M2171" s="1545"/>
      <c r="N2171" s="1545"/>
      <c r="O2171" s="1539"/>
      <c r="P2171" s="1539"/>
      <c r="Q2171" s="1539"/>
      <c r="R2171" s="1539"/>
      <c r="S2171" s="1539"/>
      <c r="T2171" s="1539"/>
      <c r="U2171" s="1539"/>
      <c r="V2171" s="1539"/>
      <c r="W2171" s="1539"/>
      <c r="X2171" s="1539"/>
      <c r="Y2171" s="1539"/>
      <c r="Z2171" s="1539"/>
      <c r="AA2171" s="1539"/>
      <c r="AB2171" s="1539"/>
      <c r="AC2171" s="1539"/>
      <c r="AD2171" s="1539"/>
      <c r="AE2171" s="1539"/>
      <c r="AF2171" s="1539"/>
      <c r="AG2171" s="1539"/>
      <c r="AH2171" s="1539"/>
      <c r="AI2171" s="1539"/>
      <c r="AJ2171" s="1539"/>
      <c r="AK2171" s="1539"/>
      <c r="AL2171" s="1539"/>
      <c r="AM2171" s="1539"/>
      <c r="AN2171" s="1539"/>
      <c r="AO2171" s="1539"/>
      <c r="AP2171" s="1539"/>
      <c r="AQ2171" s="1539"/>
      <c r="AR2171" s="1539"/>
      <c r="AS2171" s="1539"/>
      <c r="AT2171" s="1539"/>
      <c r="AU2171" s="1539"/>
      <c r="AV2171" s="1539"/>
      <c r="AW2171" s="1539"/>
      <c r="AX2171" s="1539"/>
      <c r="AY2171" s="1539"/>
      <c r="AZ2171" s="1539"/>
      <c r="BA2171" s="1539"/>
      <c r="BB2171" s="1539"/>
      <c r="BC2171" s="1539"/>
      <c r="BD2171" s="1539"/>
      <c r="BE2171" s="1539"/>
      <c r="BF2171" s="1539"/>
      <c r="BG2171" s="1539"/>
      <c r="BH2171" s="1539"/>
      <c r="BI2171" s="1539"/>
      <c r="BJ2171" s="1539"/>
      <c r="BK2171" s="1539"/>
      <c r="BL2171" s="1539"/>
      <c r="BM2171" s="1539"/>
      <c r="BN2171" s="1539"/>
      <c r="BO2171" s="1539"/>
      <c r="BP2171" s="1539"/>
      <c r="BQ2171" s="1539"/>
      <c r="BR2171" s="1539"/>
      <c r="BS2171" s="1539"/>
      <c r="BT2171" s="1539"/>
      <c r="BU2171" s="1539"/>
      <c r="BV2171" s="1539"/>
      <c r="BW2171" s="1539"/>
      <c r="BX2171" s="1539"/>
      <c r="BY2171" s="1539"/>
      <c r="BZ2171" s="1539"/>
      <c r="CA2171" s="1539"/>
      <c r="CB2171" s="1539"/>
      <c r="CC2171" s="1539"/>
      <c r="CD2171" s="1539"/>
      <c r="CE2171" s="1539"/>
      <c r="CF2171" s="1539"/>
      <c r="CG2171" s="1539"/>
      <c r="CH2171" s="1539"/>
      <c r="CI2171" s="1539"/>
      <c r="CJ2171" s="1539"/>
      <c r="CK2171" s="1539"/>
      <c r="CL2171" s="1539"/>
      <c r="CM2171" s="1539"/>
      <c r="CN2171" s="1539"/>
      <c r="CO2171" s="1539"/>
    </row>
    <row r="2172" spans="1:93" s="1542" customFormat="1" ht="15.5">
      <c r="A2172" s="1598" t="s">
        <v>1821</v>
      </c>
      <c r="B2172" s="1599" t="s">
        <v>1994</v>
      </c>
      <c r="C2172" s="1643" t="e">
        <f>+SUMIF(#REF!,Final!A2172,#REF!)</f>
        <v>#REF!</v>
      </c>
      <c r="D2172" s="1597" t="e">
        <f>+SUMIF(#REF!,Final!A2172,#REF!)</f>
        <v>#REF!</v>
      </c>
      <c r="E2172" s="1643" t="e">
        <f>SUMIF(#REF!,Final!A2172,#REF!)</f>
        <v>#REF!</v>
      </c>
      <c r="F2172" s="1644" t="e">
        <f>SUMIF(#REF!,Final!A2172,#REF!)</f>
        <v>#REF!</v>
      </c>
      <c r="G2172" s="1597" t="e">
        <f t="shared" ref="G2172:G2245" si="232">C2172+E2172</f>
        <v>#REF!</v>
      </c>
      <c r="H2172" s="1644" t="e">
        <f t="shared" ref="H2172:H2245" si="233">D2172+F2172</f>
        <v>#REF!</v>
      </c>
      <c r="I2172" s="1597" t="e">
        <f t="shared" ref="I2172:I2245" si="234">IF(G2172&gt;H2172,G2172-H2172,0)</f>
        <v>#REF!</v>
      </c>
      <c r="J2172" s="1644" t="e">
        <f t="shared" ref="J2172:J2245" si="235">IF(H2172&gt;G2172,H2172-G2172,0)</f>
        <v>#REF!</v>
      </c>
      <c r="K2172" s="1539"/>
      <c r="L2172" s="1539"/>
      <c r="M2172" s="1545"/>
      <c r="N2172" s="1545"/>
      <c r="O2172" s="1539"/>
      <c r="P2172" s="1539"/>
      <c r="Q2172" s="1539"/>
      <c r="R2172" s="1539"/>
      <c r="S2172" s="1539"/>
      <c r="T2172" s="1539"/>
      <c r="U2172" s="1539"/>
      <c r="V2172" s="1539"/>
      <c r="W2172" s="1539"/>
      <c r="X2172" s="1539"/>
      <c r="Y2172" s="1539"/>
      <c r="Z2172" s="1539"/>
      <c r="AA2172" s="1539"/>
      <c r="AB2172" s="1539"/>
      <c r="AC2172" s="1539"/>
      <c r="AD2172" s="1539"/>
      <c r="AE2172" s="1539"/>
      <c r="AF2172" s="1539"/>
      <c r="AG2172" s="1539"/>
      <c r="AH2172" s="1539"/>
      <c r="AI2172" s="1539"/>
      <c r="AJ2172" s="1539"/>
      <c r="AK2172" s="1539"/>
      <c r="AL2172" s="1539"/>
      <c r="AM2172" s="1539"/>
      <c r="AN2172" s="1539"/>
      <c r="AO2172" s="1539"/>
      <c r="AP2172" s="1539"/>
      <c r="AQ2172" s="1539"/>
      <c r="AR2172" s="1539"/>
      <c r="AS2172" s="1539"/>
      <c r="AT2172" s="1539"/>
      <c r="AU2172" s="1539"/>
      <c r="AV2172" s="1539"/>
      <c r="AW2172" s="1539"/>
      <c r="AX2172" s="1539"/>
      <c r="AY2172" s="1539"/>
      <c r="AZ2172" s="1539"/>
      <c r="BA2172" s="1539"/>
      <c r="BB2172" s="1539"/>
      <c r="BC2172" s="1539"/>
      <c r="BD2172" s="1539"/>
      <c r="BE2172" s="1539"/>
      <c r="BF2172" s="1539"/>
      <c r="BG2172" s="1539"/>
      <c r="BH2172" s="1539"/>
      <c r="BI2172" s="1539"/>
      <c r="BJ2172" s="1539"/>
      <c r="BK2172" s="1539"/>
      <c r="BL2172" s="1539"/>
      <c r="BM2172" s="1539"/>
      <c r="BN2172" s="1539"/>
      <c r="BO2172" s="1539"/>
      <c r="BP2172" s="1539"/>
      <c r="BQ2172" s="1539"/>
      <c r="BR2172" s="1539"/>
      <c r="BS2172" s="1539"/>
      <c r="BT2172" s="1539"/>
      <c r="BU2172" s="1539"/>
      <c r="BV2172" s="1539"/>
      <c r="BW2172" s="1539"/>
      <c r="BX2172" s="1539"/>
      <c r="BY2172" s="1539"/>
      <c r="BZ2172" s="1539"/>
      <c r="CA2172" s="1539"/>
      <c r="CB2172" s="1539"/>
      <c r="CC2172" s="1539"/>
      <c r="CD2172" s="1539"/>
      <c r="CE2172" s="1539"/>
      <c r="CF2172" s="1539"/>
      <c r="CG2172" s="1539"/>
      <c r="CH2172" s="1539"/>
      <c r="CI2172" s="1539"/>
      <c r="CJ2172" s="1539"/>
      <c r="CK2172" s="1539"/>
      <c r="CL2172" s="1539"/>
      <c r="CM2172" s="1539"/>
      <c r="CN2172" s="1539"/>
      <c r="CO2172" s="1539"/>
    </row>
    <row r="2173" spans="1:93" s="1542" customFormat="1" ht="15.5">
      <c r="A2173" s="1873">
        <v>46.401000000000003</v>
      </c>
      <c r="B2173" s="1872" t="s">
        <v>5425</v>
      </c>
      <c r="C2173" s="1643" t="e">
        <f>+SUMIF(#REF!,Final!A2173,#REF!)</f>
        <v>#REF!</v>
      </c>
      <c r="D2173" s="1597" t="e">
        <f>+SUMIF(#REF!,Final!A2173,#REF!)</f>
        <v>#REF!</v>
      </c>
      <c r="E2173" s="1643" t="e">
        <f>SUMIF(#REF!,Final!A2173,#REF!)</f>
        <v>#REF!</v>
      </c>
      <c r="F2173" s="1644" t="e">
        <f>SUMIF(#REF!,Final!A2173,#REF!)</f>
        <v>#REF!</v>
      </c>
      <c r="G2173" s="1597" t="e">
        <f t="shared" ref="G2173:G2175" si="236">C2173+E2173</f>
        <v>#REF!</v>
      </c>
      <c r="H2173" s="1644" t="e">
        <f t="shared" ref="H2173:H2175" si="237">D2173+F2173</f>
        <v>#REF!</v>
      </c>
      <c r="I2173" s="1597" t="e">
        <f t="shared" ref="I2173:I2175" si="238">IF(G2173&gt;H2173,G2173-H2173,0)</f>
        <v>#REF!</v>
      </c>
      <c r="J2173" s="1644" t="e">
        <f t="shared" ref="J2173:J2175" si="239">IF(H2173&gt;G2173,H2173-G2173,0)</f>
        <v>#REF!</v>
      </c>
      <c r="K2173" s="1539"/>
      <c r="L2173" s="1539"/>
      <c r="M2173" s="1545"/>
      <c r="N2173" s="1545"/>
      <c r="O2173" s="1539"/>
      <c r="P2173" s="1539"/>
      <c r="Q2173" s="1539"/>
      <c r="R2173" s="1539"/>
      <c r="S2173" s="1539"/>
      <c r="T2173" s="1539"/>
      <c r="U2173" s="1539"/>
      <c r="V2173" s="1539"/>
      <c r="W2173" s="1539"/>
      <c r="X2173" s="1539"/>
      <c r="Y2173" s="1539"/>
      <c r="Z2173" s="1539"/>
      <c r="AA2173" s="1539"/>
      <c r="AB2173" s="1539"/>
      <c r="AC2173" s="1539"/>
      <c r="AD2173" s="1539"/>
      <c r="AE2173" s="1539"/>
      <c r="AF2173" s="1539"/>
      <c r="AG2173" s="1539"/>
      <c r="AH2173" s="1539"/>
      <c r="AI2173" s="1539"/>
      <c r="AJ2173" s="1539"/>
      <c r="AK2173" s="1539"/>
      <c r="AL2173" s="1539"/>
      <c r="AM2173" s="1539"/>
      <c r="AN2173" s="1539"/>
      <c r="AO2173" s="1539"/>
      <c r="AP2173" s="1539"/>
      <c r="AQ2173" s="1539"/>
      <c r="AR2173" s="1539"/>
      <c r="AS2173" s="1539"/>
      <c r="AT2173" s="1539"/>
      <c r="AU2173" s="1539"/>
      <c r="AV2173" s="1539"/>
      <c r="AW2173" s="1539"/>
      <c r="AX2173" s="1539"/>
      <c r="AY2173" s="1539"/>
      <c r="AZ2173" s="1539"/>
      <c r="BA2173" s="1539"/>
      <c r="BB2173" s="1539"/>
      <c r="BC2173" s="1539"/>
      <c r="BD2173" s="1539"/>
      <c r="BE2173" s="1539"/>
      <c r="BF2173" s="1539"/>
      <c r="BG2173" s="1539"/>
      <c r="BH2173" s="1539"/>
      <c r="BI2173" s="1539"/>
      <c r="BJ2173" s="1539"/>
      <c r="BK2173" s="1539"/>
      <c r="BL2173" s="1539"/>
      <c r="BM2173" s="1539"/>
      <c r="BN2173" s="1539"/>
      <c r="BO2173" s="1539"/>
      <c r="BP2173" s="1539"/>
      <c r="BQ2173" s="1539"/>
      <c r="BR2173" s="1539"/>
      <c r="BS2173" s="1539"/>
      <c r="BT2173" s="1539"/>
      <c r="BU2173" s="1539"/>
      <c r="BV2173" s="1539"/>
      <c r="BW2173" s="1539"/>
      <c r="BX2173" s="1539"/>
      <c r="BY2173" s="1539"/>
      <c r="BZ2173" s="1539"/>
      <c r="CA2173" s="1539"/>
      <c r="CB2173" s="1539"/>
      <c r="CC2173" s="1539"/>
      <c r="CD2173" s="1539"/>
      <c r="CE2173" s="1539"/>
      <c r="CF2173" s="1539"/>
      <c r="CG2173" s="1539"/>
      <c r="CH2173" s="1539"/>
      <c r="CI2173" s="1539"/>
      <c r="CJ2173" s="1539"/>
      <c r="CK2173" s="1539"/>
      <c r="CL2173" s="1539"/>
      <c r="CM2173" s="1539"/>
      <c r="CN2173" s="1539"/>
      <c r="CO2173" s="1539"/>
    </row>
    <row r="2174" spans="1:93" s="1542" customFormat="1" ht="15.5">
      <c r="A2174" s="1873">
        <v>46.402000000000001</v>
      </c>
      <c r="B2174" s="1872" t="s">
        <v>5426</v>
      </c>
      <c r="C2174" s="1643" t="e">
        <f>+SUMIF(#REF!,Final!A2174,#REF!)</f>
        <v>#REF!</v>
      </c>
      <c r="D2174" s="1597" t="e">
        <f>+SUMIF(#REF!,Final!A2174,#REF!)</f>
        <v>#REF!</v>
      </c>
      <c r="E2174" s="1643" t="e">
        <f>SUMIF(#REF!,Final!A2174,#REF!)</f>
        <v>#REF!</v>
      </c>
      <c r="F2174" s="1644" t="e">
        <f>SUMIF(#REF!,Final!A2174,#REF!)</f>
        <v>#REF!</v>
      </c>
      <c r="G2174" s="1597" t="e">
        <f t="shared" si="236"/>
        <v>#REF!</v>
      </c>
      <c r="H2174" s="1644" t="e">
        <f t="shared" si="237"/>
        <v>#REF!</v>
      </c>
      <c r="I2174" s="1597" t="e">
        <f t="shared" si="238"/>
        <v>#REF!</v>
      </c>
      <c r="J2174" s="1644" t="e">
        <f t="shared" si="239"/>
        <v>#REF!</v>
      </c>
      <c r="K2174" s="1539"/>
      <c r="L2174" s="1539"/>
      <c r="M2174" s="1545"/>
      <c r="N2174" s="1545"/>
      <c r="O2174" s="1539"/>
      <c r="P2174" s="1539"/>
      <c r="Q2174" s="1539"/>
      <c r="R2174" s="1539"/>
      <c r="S2174" s="1539"/>
      <c r="T2174" s="1539"/>
      <c r="U2174" s="1539"/>
      <c r="V2174" s="1539"/>
      <c r="W2174" s="1539"/>
      <c r="X2174" s="1539"/>
      <c r="Y2174" s="1539"/>
      <c r="Z2174" s="1539"/>
      <c r="AA2174" s="1539"/>
      <c r="AB2174" s="1539"/>
      <c r="AC2174" s="1539"/>
      <c r="AD2174" s="1539"/>
      <c r="AE2174" s="1539"/>
      <c r="AF2174" s="1539"/>
      <c r="AG2174" s="1539"/>
      <c r="AH2174" s="1539"/>
      <c r="AI2174" s="1539"/>
      <c r="AJ2174" s="1539"/>
      <c r="AK2174" s="1539"/>
      <c r="AL2174" s="1539"/>
      <c r="AM2174" s="1539"/>
      <c r="AN2174" s="1539"/>
      <c r="AO2174" s="1539"/>
      <c r="AP2174" s="1539"/>
      <c r="AQ2174" s="1539"/>
      <c r="AR2174" s="1539"/>
      <c r="AS2174" s="1539"/>
      <c r="AT2174" s="1539"/>
      <c r="AU2174" s="1539"/>
      <c r="AV2174" s="1539"/>
      <c r="AW2174" s="1539"/>
      <c r="AX2174" s="1539"/>
      <c r="AY2174" s="1539"/>
      <c r="AZ2174" s="1539"/>
      <c r="BA2174" s="1539"/>
      <c r="BB2174" s="1539"/>
      <c r="BC2174" s="1539"/>
      <c r="BD2174" s="1539"/>
      <c r="BE2174" s="1539"/>
      <c r="BF2174" s="1539"/>
      <c r="BG2174" s="1539"/>
      <c r="BH2174" s="1539"/>
      <c r="BI2174" s="1539"/>
      <c r="BJ2174" s="1539"/>
      <c r="BK2174" s="1539"/>
      <c r="BL2174" s="1539"/>
      <c r="BM2174" s="1539"/>
      <c r="BN2174" s="1539"/>
      <c r="BO2174" s="1539"/>
      <c r="BP2174" s="1539"/>
      <c r="BQ2174" s="1539"/>
      <c r="BR2174" s="1539"/>
      <c r="BS2174" s="1539"/>
      <c r="BT2174" s="1539"/>
      <c r="BU2174" s="1539"/>
      <c r="BV2174" s="1539"/>
      <c r="BW2174" s="1539"/>
      <c r="BX2174" s="1539"/>
      <c r="BY2174" s="1539"/>
      <c r="BZ2174" s="1539"/>
      <c r="CA2174" s="1539"/>
      <c r="CB2174" s="1539"/>
      <c r="CC2174" s="1539"/>
      <c r="CD2174" s="1539"/>
      <c r="CE2174" s="1539"/>
      <c r="CF2174" s="1539"/>
      <c r="CG2174" s="1539"/>
      <c r="CH2174" s="1539"/>
      <c r="CI2174" s="1539"/>
      <c r="CJ2174" s="1539"/>
      <c r="CK2174" s="1539"/>
      <c r="CL2174" s="1539"/>
      <c r="CM2174" s="1539"/>
      <c r="CN2174" s="1539"/>
      <c r="CO2174" s="1539"/>
    </row>
    <row r="2175" spans="1:93" s="1542" customFormat="1" ht="15.5">
      <c r="A2175" s="1873">
        <v>46.402999999999999</v>
      </c>
      <c r="B2175" s="1872" t="s">
        <v>5427</v>
      </c>
      <c r="C2175" s="1643" t="e">
        <f>+SUMIF(#REF!,Final!A2175,#REF!)</f>
        <v>#REF!</v>
      </c>
      <c r="D2175" s="1597" t="e">
        <f>+SUMIF(#REF!,Final!A2175,#REF!)</f>
        <v>#REF!</v>
      </c>
      <c r="E2175" s="1643" t="e">
        <f>SUMIF(#REF!,Final!A2175,#REF!)</f>
        <v>#REF!</v>
      </c>
      <c r="F2175" s="1644" t="e">
        <f>SUMIF(#REF!,Final!A2175,#REF!)</f>
        <v>#REF!</v>
      </c>
      <c r="G2175" s="1597" t="e">
        <f t="shared" si="236"/>
        <v>#REF!</v>
      </c>
      <c r="H2175" s="1644" t="e">
        <f t="shared" si="237"/>
        <v>#REF!</v>
      </c>
      <c r="I2175" s="1597" t="e">
        <f t="shared" si="238"/>
        <v>#REF!</v>
      </c>
      <c r="J2175" s="1644" t="e">
        <f t="shared" si="239"/>
        <v>#REF!</v>
      </c>
      <c r="K2175" s="1539"/>
      <c r="L2175" s="1539"/>
      <c r="M2175" s="1545"/>
      <c r="N2175" s="1545"/>
      <c r="O2175" s="1539"/>
      <c r="P2175" s="1539"/>
      <c r="Q2175" s="1539"/>
      <c r="R2175" s="1539"/>
      <c r="S2175" s="1539"/>
      <c r="T2175" s="1539"/>
      <c r="U2175" s="1539"/>
      <c r="V2175" s="1539"/>
      <c r="W2175" s="1539"/>
      <c r="X2175" s="1539"/>
      <c r="Y2175" s="1539"/>
      <c r="Z2175" s="1539"/>
      <c r="AA2175" s="1539"/>
      <c r="AB2175" s="1539"/>
      <c r="AC2175" s="1539"/>
      <c r="AD2175" s="1539"/>
      <c r="AE2175" s="1539"/>
      <c r="AF2175" s="1539"/>
      <c r="AG2175" s="1539"/>
      <c r="AH2175" s="1539"/>
      <c r="AI2175" s="1539"/>
      <c r="AJ2175" s="1539"/>
      <c r="AK2175" s="1539"/>
      <c r="AL2175" s="1539"/>
      <c r="AM2175" s="1539"/>
      <c r="AN2175" s="1539"/>
      <c r="AO2175" s="1539"/>
      <c r="AP2175" s="1539"/>
      <c r="AQ2175" s="1539"/>
      <c r="AR2175" s="1539"/>
      <c r="AS2175" s="1539"/>
      <c r="AT2175" s="1539"/>
      <c r="AU2175" s="1539"/>
      <c r="AV2175" s="1539"/>
      <c r="AW2175" s="1539"/>
      <c r="AX2175" s="1539"/>
      <c r="AY2175" s="1539"/>
      <c r="AZ2175" s="1539"/>
      <c r="BA2175" s="1539"/>
      <c r="BB2175" s="1539"/>
      <c r="BC2175" s="1539"/>
      <c r="BD2175" s="1539"/>
      <c r="BE2175" s="1539"/>
      <c r="BF2175" s="1539"/>
      <c r="BG2175" s="1539"/>
      <c r="BH2175" s="1539"/>
      <c r="BI2175" s="1539"/>
      <c r="BJ2175" s="1539"/>
      <c r="BK2175" s="1539"/>
      <c r="BL2175" s="1539"/>
      <c r="BM2175" s="1539"/>
      <c r="BN2175" s="1539"/>
      <c r="BO2175" s="1539"/>
      <c r="BP2175" s="1539"/>
      <c r="BQ2175" s="1539"/>
      <c r="BR2175" s="1539"/>
      <c r="BS2175" s="1539"/>
      <c r="BT2175" s="1539"/>
      <c r="BU2175" s="1539"/>
      <c r="BV2175" s="1539"/>
      <c r="BW2175" s="1539"/>
      <c r="BX2175" s="1539"/>
      <c r="BY2175" s="1539"/>
      <c r="BZ2175" s="1539"/>
      <c r="CA2175" s="1539"/>
      <c r="CB2175" s="1539"/>
      <c r="CC2175" s="1539"/>
      <c r="CD2175" s="1539"/>
      <c r="CE2175" s="1539"/>
      <c r="CF2175" s="1539"/>
      <c r="CG2175" s="1539"/>
      <c r="CH2175" s="1539"/>
      <c r="CI2175" s="1539"/>
      <c r="CJ2175" s="1539"/>
      <c r="CK2175" s="1539"/>
      <c r="CL2175" s="1539"/>
      <c r="CM2175" s="1539"/>
      <c r="CN2175" s="1539"/>
      <c r="CO2175" s="1539"/>
    </row>
    <row r="2176" spans="1:93" ht="15.5">
      <c r="A2176" s="1598">
        <v>46.920999999999999</v>
      </c>
      <c r="B2176" s="1599" t="s">
        <v>1995</v>
      </c>
      <c r="C2176" s="1643" t="e">
        <f>+SUMIF(#REF!,Final!A2176,#REF!)</f>
        <v>#REF!</v>
      </c>
      <c r="D2176" s="1597" t="e">
        <f>+SUMIF(#REF!,Final!A2176,#REF!)</f>
        <v>#REF!</v>
      </c>
      <c r="E2176" s="1643" t="e">
        <f>SUMIF(#REF!,Final!A2176,#REF!)</f>
        <v>#REF!</v>
      </c>
      <c r="F2176" s="1644" t="e">
        <f>SUMIF(#REF!,Final!A2176,#REF!)</f>
        <v>#REF!</v>
      </c>
      <c r="G2176" s="1597" t="e">
        <f t="shared" si="232"/>
        <v>#REF!</v>
      </c>
      <c r="H2176" s="1644" t="e">
        <f t="shared" si="233"/>
        <v>#REF!</v>
      </c>
      <c r="I2176" s="1597" t="e">
        <f t="shared" si="234"/>
        <v>#REF!</v>
      </c>
      <c r="J2176" s="1644" t="e">
        <f t="shared" si="235"/>
        <v>#REF!</v>
      </c>
      <c r="M2176" s="1545"/>
      <c r="N2176" s="1545"/>
    </row>
    <row r="2177" spans="1:93" ht="15.5">
      <c r="A2177" s="1598">
        <v>46.923000000000002</v>
      </c>
      <c r="B2177" s="1599" t="s">
        <v>1996</v>
      </c>
      <c r="C2177" s="1643" t="e">
        <f>+SUMIF(#REF!,Final!A2177,#REF!)</f>
        <v>#REF!</v>
      </c>
      <c r="D2177" s="1597" t="e">
        <f>+SUMIF(#REF!,Final!A2177,#REF!)</f>
        <v>#REF!</v>
      </c>
      <c r="E2177" s="1643" t="e">
        <f>SUMIF(#REF!,Final!A2177,#REF!)</f>
        <v>#REF!</v>
      </c>
      <c r="F2177" s="1644" t="e">
        <f>SUMIF(#REF!,Final!A2177,#REF!)</f>
        <v>#REF!</v>
      </c>
      <c r="G2177" s="1597" t="e">
        <f t="shared" si="232"/>
        <v>#REF!</v>
      </c>
      <c r="H2177" s="1644" t="e">
        <f t="shared" si="233"/>
        <v>#REF!</v>
      </c>
      <c r="I2177" s="1597" t="e">
        <f t="shared" si="234"/>
        <v>#REF!</v>
      </c>
      <c r="J2177" s="1644" t="e">
        <f t="shared" si="235"/>
        <v>#REF!</v>
      </c>
      <c r="M2177" s="1545"/>
      <c r="N2177" s="1545"/>
    </row>
    <row r="2178" spans="1:93" s="1542" customFormat="1" ht="15.5">
      <c r="A2178" s="1598">
        <v>46.923999999999999</v>
      </c>
      <c r="B2178" s="1599" t="s">
        <v>1997</v>
      </c>
      <c r="C2178" s="1643" t="e">
        <f>+SUMIF(#REF!,Final!A2178,#REF!)</f>
        <v>#REF!</v>
      </c>
      <c r="D2178" s="1597" t="e">
        <f>+SUMIF(#REF!,Final!A2178,#REF!)</f>
        <v>#REF!</v>
      </c>
      <c r="E2178" s="1643" t="e">
        <f>SUMIF(#REF!,Final!A2178,#REF!)</f>
        <v>#REF!</v>
      </c>
      <c r="F2178" s="1644" t="e">
        <f>SUMIF(#REF!,Final!A2178,#REF!)</f>
        <v>#REF!</v>
      </c>
      <c r="G2178" s="1597" t="e">
        <f t="shared" si="232"/>
        <v>#REF!</v>
      </c>
      <c r="H2178" s="1644" t="e">
        <f t="shared" si="233"/>
        <v>#REF!</v>
      </c>
      <c r="I2178" s="1597" t="e">
        <f t="shared" si="234"/>
        <v>#REF!</v>
      </c>
      <c r="J2178" s="1644" t="e">
        <f t="shared" si="235"/>
        <v>#REF!</v>
      </c>
      <c r="K2178" s="1539"/>
      <c r="L2178" s="1539"/>
      <c r="M2178" s="1545"/>
      <c r="N2178" s="1545"/>
      <c r="O2178" s="1539"/>
      <c r="P2178" s="1539"/>
      <c r="Q2178" s="1539"/>
      <c r="R2178" s="1539"/>
      <c r="S2178" s="1539"/>
      <c r="T2178" s="1539"/>
      <c r="U2178" s="1539"/>
      <c r="V2178" s="1539"/>
      <c r="W2178" s="1539"/>
      <c r="X2178" s="1539"/>
      <c r="Y2178" s="1539"/>
      <c r="Z2178" s="1539"/>
      <c r="AA2178" s="1539"/>
      <c r="AB2178" s="1539"/>
      <c r="AC2178" s="1539"/>
      <c r="AD2178" s="1539"/>
      <c r="AE2178" s="1539"/>
      <c r="AF2178" s="1539"/>
      <c r="AG2178" s="1539"/>
      <c r="AH2178" s="1539"/>
      <c r="AI2178" s="1539"/>
      <c r="AJ2178" s="1539"/>
      <c r="AK2178" s="1539"/>
      <c r="AL2178" s="1539"/>
      <c r="AM2178" s="1539"/>
      <c r="AN2178" s="1539"/>
      <c r="AO2178" s="1539"/>
      <c r="AP2178" s="1539"/>
      <c r="AQ2178" s="1539"/>
      <c r="AR2178" s="1539"/>
      <c r="AS2178" s="1539"/>
      <c r="AT2178" s="1539"/>
      <c r="AU2178" s="1539"/>
      <c r="AV2178" s="1539"/>
      <c r="AW2178" s="1539"/>
      <c r="AX2178" s="1539"/>
      <c r="AY2178" s="1539"/>
      <c r="AZ2178" s="1539"/>
      <c r="BA2178" s="1539"/>
      <c r="BB2178" s="1539"/>
      <c r="BC2178" s="1539"/>
      <c r="BD2178" s="1539"/>
      <c r="BE2178" s="1539"/>
      <c r="BF2178" s="1539"/>
      <c r="BG2178" s="1539"/>
      <c r="BH2178" s="1539"/>
      <c r="BI2178" s="1539"/>
      <c r="BJ2178" s="1539"/>
      <c r="BK2178" s="1539"/>
      <c r="BL2178" s="1539"/>
      <c r="BM2178" s="1539"/>
      <c r="BN2178" s="1539"/>
      <c r="BO2178" s="1539"/>
      <c r="BP2178" s="1539"/>
      <c r="BQ2178" s="1539"/>
      <c r="BR2178" s="1539"/>
      <c r="BS2178" s="1539"/>
      <c r="BT2178" s="1539"/>
      <c r="BU2178" s="1539"/>
      <c r="BV2178" s="1539"/>
      <c r="BW2178" s="1539"/>
      <c r="BX2178" s="1539"/>
      <c r="BY2178" s="1539"/>
      <c r="BZ2178" s="1539"/>
      <c r="CA2178" s="1539"/>
      <c r="CB2178" s="1539"/>
      <c r="CC2178" s="1539"/>
      <c r="CD2178" s="1539"/>
      <c r="CE2178" s="1539"/>
      <c r="CF2178" s="1539"/>
      <c r="CG2178" s="1539"/>
      <c r="CH2178" s="1539"/>
      <c r="CI2178" s="1539"/>
      <c r="CJ2178" s="1539"/>
      <c r="CK2178" s="1539"/>
      <c r="CL2178" s="1539"/>
      <c r="CM2178" s="1539"/>
      <c r="CN2178" s="1539"/>
      <c r="CO2178" s="1539"/>
    </row>
    <row r="2179" spans="1:93" s="1542" customFormat="1" ht="15.5">
      <c r="A2179" s="1598">
        <v>46.924999999999997</v>
      </c>
      <c r="B2179" s="1599" t="s">
        <v>1998</v>
      </c>
      <c r="C2179" s="1643" t="e">
        <f>+SUMIF(#REF!,Final!A2179,#REF!)</f>
        <v>#REF!</v>
      </c>
      <c r="D2179" s="1597" t="e">
        <f>+SUMIF(#REF!,Final!A2179,#REF!)</f>
        <v>#REF!</v>
      </c>
      <c r="E2179" s="1643" t="e">
        <f>SUMIF(#REF!,Final!A2179,#REF!)</f>
        <v>#REF!</v>
      </c>
      <c r="F2179" s="1644" t="e">
        <f>SUMIF(#REF!,Final!A2179,#REF!)</f>
        <v>#REF!</v>
      </c>
      <c r="G2179" s="1597" t="e">
        <f t="shared" si="232"/>
        <v>#REF!</v>
      </c>
      <c r="H2179" s="1644" t="e">
        <f t="shared" si="233"/>
        <v>#REF!</v>
      </c>
      <c r="I2179" s="1597" t="e">
        <f t="shared" si="234"/>
        <v>#REF!</v>
      </c>
      <c r="J2179" s="1644" t="e">
        <f t="shared" si="235"/>
        <v>#REF!</v>
      </c>
      <c r="K2179" s="1539"/>
      <c r="L2179" s="1539"/>
      <c r="M2179" s="1545"/>
      <c r="N2179" s="1545"/>
      <c r="O2179" s="1539"/>
      <c r="P2179" s="1539"/>
      <c r="Q2179" s="1539"/>
      <c r="R2179" s="1539"/>
      <c r="S2179" s="1539"/>
      <c r="T2179" s="1539"/>
      <c r="U2179" s="1539"/>
      <c r="V2179" s="1539"/>
      <c r="W2179" s="1539"/>
      <c r="X2179" s="1539"/>
      <c r="Y2179" s="1539"/>
      <c r="Z2179" s="1539"/>
      <c r="AA2179" s="1539"/>
      <c r="AB2179" s="1539"/>
      <c r="AC2179" s="1539"/>
      <c r="AD2179" s="1539"/>
      <c r="AE2179" s="1539"/>
      <c r="AF2179" s="1539"/>
      <c r="AG2179" s="1539"/>
      <c r="AH2179" s="1539"/>
      <c r="AI2179" s="1539"/>
      <c r="AJ2179" s="1539"/>
      <c r="AK2179" s="1539"/>
      <c r="AL2179" s="1539"/>
      <c r="AM2179" s="1539"/>
      <c r="AN2179" s="1539"/>
      <c r="AO2179" s="1539"/>
      <c r="AP2179" s="1539"/>
      <c r="AQ2179" s="1539"/>
      <c r="AR2179" s="1539"/>
      <c r="AS2179" s="1539"/>
      <c r="AT2179" s="1539"/>
      <c r="AU2179" s="1539"/>
      <c r="AV2179" s="1539"/>
      <c r="AW2179" s="1539"/>
      <c r="AX2179" s="1539"/>
      <c r="AY2179" s="1539"/>
      <c r="AZ2179" s="1539"/>
      <c r="BA2179" s="1539"/>
      <c r="BB2179" s="1539"/>
      <c r="BC2179" s="1539"/>
      <c r="BD2179" s="1539"/>
      <c r="BE2179" s="1539"/>
      <c r="BF2179" s="1539"/>
      <c r="BG2179" s="1539"/>
      <c r="BH2179" s="1539"/>
      <c r="BI2179" s="1539"/>
      <c r="BJ2179" s="1539"/>
      <c r="BK2179" s="1539"/>
      <c r="BL2179" s="1539"/>
      <c r="BM2179" s="1539"/>
      <c r="BN2179" s="1539"/>
      <c r="BO2179" s="1539"/>
      <c r="BP2179" s="1539"/>
      <c r="BQ2179" s="1539"/>
      <c r="BR2179" s="1539"/>
      <c r="BS2179" s="1539"/>
      <c r="BT2179" s="1539"/>
      <c r="BU2179" s="1539"/>
      <c r="BV2179" s="1539"/>
      <c r="BW2179" s="1539"/>
      <c r="BX2179" s="1539"/>
      <c r="BY2179" s="1539"/>
      <c r="BZ2179" s="1539"/>
      <c r="CA2179" s="1539"/>
      <c r="CB2179" s="1539"/>
      <c r="CC2179" s="1539"/>
      <c r="CD2179" s="1539"/>
      <c r="CE2179" s="1539"/>
      <c r="CF2179" s="1539"/>
      <c r="CG2179" s="1539"/>
      <c r="CH2179" s="1539"/>
      <c r="CI2179" s="1539"/>
      <c r="CJ2179" s="1539"/>
      <c r="CK2179" s="1539"/>
      <c r="CL2179" s="1539"/>
      <c r="CM2179" s="1539"/>
      <c r="CN2179" s="1539"/>
      <c r="CO2179" s="1539"/>
    </row>
    <row r="2180" spans="1:93" ht="15.5">
      <c r="A2180" s="1598">
        <v>46.926000000000002</v>
      </c>
      <c r="B2180" s="1599" t="s">
        <v>1999</v>
      </c>
      <c r="C2180" s="1643" t="e">
        <f>+SUMIF(#REF!,Final!A2180,#REF!)</f>
        <v>#REF!</v>
      </c>
      <c r="D2180" s="1597" t="e">
        <f>+SUMIF(#REF!,Final!A2180,#REF!)</f>
        <v>#REF!</v>
      </c>
      <c r="E2180" s="1643" t="e">
        <f>SUMIF(#REF!,Final!A2180,#REF!)</f>
        <v>#REF!</v>
      </c>
      <c r="F2180" s="1644" t="e">
        <f>SUMIF(#REF!,Final!A2180,#REF!)</f>
        <v>#REF!</v>
      </c>
      <c r="G2180" s="1597" t="e">
        <f t="shared" si="232"/>
        <v>#REF!</v>
      </c>
      <c r="H2180" s="1644" t="e">
        <f t="shared" si="233"/>
        <v>#REF!</v>
      </c>
      <c r="I2180" s="1597" t="e">
        <f t="shared" si="234"/>
        <v>#REF!</v>
      </c>
      <c r="J2180" s="1644" t="e">
        <f t="shared" si="235"/>
        <v>#REF!</v>
      </c>
      <c r="M2180" s="1545"/>
      <c r="N2180" s="1545"/>
    </row>
    <row r="2181" spans="1:93" ht="15.5">
      <c r="A2181" s="1598">
        <v>46.927</v>
      </c>
      <c r="B2181" s="1599" t="s">
        <v>4781</v>
      </c>
      <c r="C2181" s="1643" t="e">
        <f>+SUMIF(#REF!,Final!A2181,#REF!)</f>
        <v>#REF!</v>
      </c>
      <c r="D2181" s="1597" t="e">
        <f>+SUMIF(#REF!,Final!A2181,#REF!)</f>
        <v>#REF!</v>
      </c>
      <c r="E2181" s="1643" t="e">
        <f>SUMIF(#REF!,Final!A2181,#REF!)</f>
        <v>#REF!</v>
      </c>
      <c r="F2181" s="1644" t="e">
        <f>SUMIF(#REF!,Final!A2181,#REF!)</f>
        <v>#REF!</v>
      </c>
      <c r="G2181" s="1597" t="e">
        <f t="shared" si="232"/>
        <v>#REF!</v>
      </c>
      <c r="H2181" s="1644" t="e">
        <f t="shared" si="233"/>
        <v>#REF!</v>
      </c>
      <c r="I2181" s="1597" t="e">
        <f t="shared" si="234"/>
        <v>#REF!</v>
      </c>
      <c r="J2181" s="1644" t="e">
        <f t="shared" si="235"/>
        <v>#REF!</v>
      </c>
      <c r="M2181" s="1545"/>
      <c r="N2181" s="1545"/>
    </row>
    <row r="2182" spans="1:93" ht="15.5">
      <c r="A2182" s="1598">
        <v>46.927999999999997</v>
      </c>
      <c r="B2182" s="1599" t="s">
        <v>4782</v>
      </c>
      <c r="C2182" s="1643" t="e">
        <f>+SUMIF(#REF!,Final!A2182,#REF!)</f>
        <v>#REF!</v>
      </c>
      <c r="D2182" s="1597" t="e">
        <f>+SUMIF(#REF!,Final!A2182,#REF!)</f>
        <v>#REF!</v>
      </c>
      <c r="E2182" s="1643" t="e">
        <f>SUMIF(#REF!,Final!A2182,#REF!)</f>
        <v>#REF!</v>
      </c>
      <c r="F2182" s="1644" t="e">
        <f>SUMIF(#REF!,Final!A2182,#REF!)</f>
        <v>#REF!</v>
      </c>
      <c r="G2182" s="1597" t="e">
        <f t="shared" si="232"/>
        <v>#REF!</v>
      </c>
      <c r="H2182" s="1644" t="e">
        <f t="shared" si="233"/>
        <v>#REF!</v>
      </c>
      <c r="I2182" s="1597" t="e">
        <f t="shared" si="234"/>
        <v>#REF!</v>
      </c>
      <c r="J2182" s="1644" t="e">
        <f t="shared" si="235"/>
        <v>#REF!</v>
      </c>
      <c r="M2182" s="1545"/>
      <c r="N2182" s="1545"/>
    </row>
    <row r="2183" spans="1:93" ht="15.5">
      <c r="A2183" s="1677">
        <v>46.929000000000002</v>
      </c>
      <c r="B2183" s="1712" t="s">
        <v>4994</v>
      </c>
      <c r="C2183" s="1643" t="e">
        <f>+SUMIF(#REF!,Final!A2183,#REF!)</f>
        <v>#REF!</v>
      </c>
      <c r="D2183" s="1597" t="e">
        <f>+SUMIF(#REF!,Final!A2183,#REF!)</f>
        <v>#REF!</v>
      </c>
      <c r="E2183" s="1643" t="e">
        <f>SUMIF(#REF!,Final!A2183,#REF!)</f>
        <v>#REF!</v>
      </c>
      <c r="F2183" s="1644" t="e">
        <f>SUMIF(#REF!,Final!A2183,#REF!)</f>
        <v>#REF!</v>
      </c>
      <c r="G2183" s="1597" t="e">
        <f t="shared" si="232"/>
        <v>#REF!</v>
      </c>
      <c r="H2183" s="1644" t="e">
        <f t="shared" si="233"/>
        <v>#REF!</v>
      </c>
      <c r="I2183" s="1597" t="e">
        <f t="shared" si="234"/>
        <v>#REF!</v>
      </c>
      <c r="J2183" s="1644" t="e">
        <f t="shared" si="235"/>
        <v>#REF!</v>
      </c>
      <c r="M2183" s="1545"/>
      <c r="N2183" s="1545"/>
    </row>
    <row r="2184" spans="1:93" ht="15.5">
      <c r="A2184" s="1598">
        <v>46.942</v>
      </c>
      <c r="B2184" s="1599" t="s">
        <v>4783</v>
      </c>
      <c r="C2184" s="1643" t="e">
        <f>+SUMIF(#REF!,Final!A2184,#REF!)</f>
        <v>#REF!</v>
      </c>
      <c r="D2184" s="1597" t="e">
        <f>+SUMIF(#REF!,Final!A2184,#REF!)</f>
        <v>#REF!</v>
      </c>
      <c r="E2184" s="1643" t="e">
        <f>SUMIF(#REF!,Final!A2184,#REF!)</f>
        <v>#REF!</v>
      </c>
      <c r="F2184" s="1644" t="e">
        <f>SUMIF(#REF!,Final!A2184,#REF!)</f>
        <v>#REF!</v>
      </c>
      <c r="G2184" s="1597" t="e">
        <f t="shared" si="232"/>
        <v>#REF!</v>
      </c>
      <c r="H2184" s="1644" t="e">
        <f t="shared" si="233"/>
        <v>#REF!</v>
      </c>
      <c r="I2184" s="1597" t="e">
        <f t="shared" si="234"/>
        <v>#REF!</v>
      </c>
      <c r="J2184" s="1644" t="e">
        <f t="shared" si="235"/>
        <v>#REF!</v>
      </c>
      <c r="M2184" s="1545"/>
      <c r="N2184" s="1545"/>
    </row>
    <row r="2185" spans="1:93" ht="15.5">
      <c r="A2185" s="1598">
        <v>46.942999999999998</v>
      </c>
      <c r="B2185" s="1599" t="s">
        <v>4784</v>
      </c>
      <c r="C2185" s="1643" t="e">
        <f>+SUMIF(#REF!,Final!A2185,#REF!)</f>
        <v>#REF!</v>
      </c>
      <c r="D2185" s="1597" t="e">
        <f>+SUMIF(#REF!,Final!A2185,#REF!)</f>
        <v>#REF!</v>
      </c>
      <c r="E2185" s="1643" t="e">
        <f>SUMIF(#REF!,Final!A2185,#REF!)</f>
        <v>#REF!</v>
      </c>
      <c r="F2185" s="1644" t="e">
        <f>SUMIF(#REF!,Final!A2185,#REF!)</f>
        <v>#REF!</v>
      </c>
      <c r="G2185" s="1597" t="e">
        <f t="shared" si="232"/>
        <v>#REF!</v>
      </c>
      <c r="H2185" s="1644" t="e">
        <f t="shared" si="233"/>
        <v>#REF!</v>
      </c>
      <c r="I2185" s="1597" t="e">
        <f t="shared" si="234"/>
        <v>#REF!</v>
      </c>
      <c r="J2185" s="1644" t="e">
        <f t="shared" si="235"/>
        <v>#REF!</v>
      </c>
      <c r="M2185" s="1545"/>
      <c r="N2185" s="1545"/>
    </row>
    <row r="2186" spans="1:93" ht="15.5">
      <c r="A2186" s="1678">
        <v>46.944000000000003</v>
      </c>
      <c r="B2186" s="1697" t="s">
        <v>4995</v>
      </c>
      <c r="C2186" s="1643" t="e">
        <f>+SUMIF(#REF!,Final!A2186,#REF!)</f>
        <v>#REF!</v>
      </c>
      <c r="D2186" s="1597" t="e">
        <f>+SUMIF(#REF!,Final!A2186,#REF!)</f>
        <v>#REF!</v>
      </c>
      <c r="E2186" s="1643" t="e">
        <f>SUMIF(#REF!,Final!A2186,#REF!)</f>
        <v>#REF!</v>
      </c>
      <c r="F2186" s="1644" t="e">
        <f>SUMIF(#REF!,Final!A2186,#REF!)</f>
        <v>#REF!</v>
      </c>
      <c r="G2186" s="1597" t="e">
        <f t="shared" si="232"/>
        <v>#REF!</v>
      </c>
      <c r="H2186" s="1644" t="e">
        <f t="shared" si="233"/>
        <v>#REF!</v>
      </c>
      <c r="I2186" s="1597" t="e">
        <f t="shared" si="234"/>
        <v>#REF!</v>
      </c>
      <c r="J2186" s="1644" t="e">
        <f t="shared" si="235"/>
        <v>#REF!</v>
      </c>
      <c r="M2186" s="1545"/>
      <c r="N2186" s="1545"/>
    </row>
    <row r="2187" spans="1:93" ht="15.5">
      <c r="A2187" s="1678">
        <v>46.945</v>
      </c>
      <c r="B2187" s="1697" t="s">
        <v>4996</v>
      </c>
      <c r="C2187" s="1643" t="e">
        <f>+SUMIF(#REF!,Final!A2187,#REF!)</f>
        <v>#REF!</v>
      </c>
      <c r="D2187" s="1597" t="e">
        <f>+SUMIF(#REF!,Final!A2187,#REF!)</f>
        <v>#REF!</v>
      </c>
      <c r="E2187" s="1643" t="e">
        <f>SUMIF(#REF!,Final!A2187,#REF!)</f>
        <v>#REF!</v>
      </c>
      <c r="F2187" s="1644" t="e">
        <f>SUMIF(#REF!,Final!A2187,#REF!)</f>
        <v>#REF!</v>
      </c>
      <c r="G2187" s="1597" t="e">
        <f t="shared" si="232"/>
        <v>#REF!</v>
      </c>
      <c r="H2187" s="1644" t="e">
        <f t="shared" si="233"/>
        <v>#REF!</v>
      </c>
      <c r="I2187" s="1597" t="e">
        <f t="shared" si="234"/>
        <v>#REF!</v>
      </c>
      <c r="J2187" s="1644" t="e">
        <f t="shared" si="235"/>
        <v>#REF!</v>
      </c>
      <c r="M2187" s="1545"/>
      <c r="N2187" s="1545"/>
    </row>
    <row r="2188" spans="1:93" ht="15.5">
      <c r="A2188" s="1678">
        <v>46.945999999999998</v>
      </c>
      <c r="B2188" s="1697" t="s">
        <v>4997</v>
      </c>
      <c r="C2188" s="1643" t="e">
        <f>+SUMIF(#REF!,Final!A2188,#REF!)</f>
        <v>#REF!</v>
      </c>
      <c r="D2188" s="1597" t="e">
        <f>+SUMIF(#REF!,Final!A2188,#REF!)</f>
        <v>#REF!</v>
      </c>
      <c r="E2188" s="1643" t="e">
        <f>SUMIF(#REF!,Final!A2188,#REF!)</f>
        <v>#REF!</v>
      </c>
      <c r="F2188" s="1644" t="e">
        <f>SUMIF(#REF!,Final!A2188,#REF!)</f>
        <v>#REF!</v>
      </c>
      <c r="G2188" s="1597" t="e">
        <f t="shared" si="232"/>
        <v>#REF!</v>
      </c>
      <c r="H2188" s="1644" t="e">
        <f t="shared" si="233"/>
        <v>#REF!</v>
      </c>
      <c r="I2188" s="1597" t="e">
        <f t="shared" si="234"/>
        <v>#REF!</v>
      </c>
      <c r="J2188" s="1644" t="e">
        <f t="shared" si="235"/>
        <v>#REF!</v>
      </c>
      <c r="M2188" s="1545"/>
      <c r="N2188" s="1545"/>
    </row>
    <row r="2189" spans="1:93" ht="15.5">
      <c r="A2189" s="1678">
        <v>46.947000000000003</v>
      </c>
      <c r="B2189" s="1697" t="s">
        <v>4998</v>
      </c>
      <c r="C2189" s="1643" t="e">
        <f>+SUMIF(#REF!,Final!A2189,#REF!)</f>
        <v>#REF!</v>
      </c>
      <c r="D2189" s="1597" t="e">
        <f>+SUMIF(#REF!,Final!A2189,#REF!)</f>
        <v>#REF!</v>
      </c>
      <c r="E2189" s="1643" t="e">
        <f>SUMIF(#REF!,Final!A2189,#REF!)</f>
        <v>#REF!</v>
      </c>
      <c r="F2189" s="1644" t="e">
        <f>SUMIF(#REF!,Final!A2189,#REF!)</f>
        <v>#REF!</v>
      </c>
      <c r="G2189" s="1597" t="e">
        <f t="shared" si="232"/>
        <v>#REF!</v>
      </c>
      <c r="H2189" s="1644" t="e">
        <f t="shared" si="233"/>
        <v>#REF!</v>
      </c>
      <c r="I2189" s="1597" t="e">
        <f t="shared" si="234"/>
        <v>#REF!</v>
      </c>
      <c r="J2189" s="1644" t="e">
        <f t="shared" si="235"/>
        <v>#REF!</v>
      </c>
      <c r="M2189" s="1545"/>
      <c r="N2189" s="1545"/>
    </row>
    <row r="2190" spans="1:93" ht="15.5">
      <c r="A2190" s="1600">
        <v>46.93</v>
      </c>
      <c r="B2190" s="1599" t="s">
        <v>2000</v>
      </c>
      <c r="C2190" s="1643" t="e">
        <f>+SUMIF(#REF!,Final!A2190,#REF!)</f>
        <v>#REF!</v>
      </c>
      <c r="D2190" s="1597" t="e">
        <f>+SUMIF(#REF!,Final!A2190,#REF!)</f>
        <v>#REF!</v>
      </c>
      <c r="E2190" s="1643" t="e">
        <f>SUMIF(#REF!,Final!A2190,#REF!)</f>
        <v>#REF!</v>
      </c>
      <c r="F2190" s="1644" t="e">
        <f>SUMIF(#REF!,Final!A2190,#REF!)</f>
        <v>#REF!</v>
      </c>
      <c r="G2190" s="1597" t="e">
        <f t="shared" si="232"/>
        <v>#REF!</v>
      </c>
      <c r="H2190" s="1644" t="e">
        <f t="shared" si="233"/>
        <v>#REF!</v>
      </c>
      <c r="I2190" s="1597" t="e">
        <f t="shared" si="234"/>
        <v>#REF!</v>
      </c>
      <c r="J2190" s="1644" t="e">
        <f t="shared" si="235"/>
        <v>#REF!</v>
      </c>
      <c r="M2190" s="1545"/>
      <c r="N2190" s="1545"/>
    </row>
    <row r="2191" spans="1:93" ht="15.5">
      <c r="A2191" s="1598">
        <v>46.936</v>
      </c>
      <c r="B2191" s="1599" t="s">
        <v>3452</v>
      </c>
      <c r="C2191" s="1643" t="e">
        <f>+SUMIF(#REF!,Final!A2191,#REF!)</f>
        <v>#REF!</v>
      </c>
      <c r="D2191" s="1597" t="e">
        <f>+SUMIF(#REF!,Final!A2191,#REF!)</f>
        <v>#REF!</v>
      </c>
      <c r="E2191" s="1643" t="e">
        <f>SUMIF(#REF!,Final!A2191,#REF!)</f>
        <v>#REF!</v>
      </c>
      <c r="F2191" s="1644" t="e">
        <f>SUMIF(#REF!,Final!A2191,#REF!)</f>
        <v>#REF!</v>
      </c>
      <c r="G2191" s="1597" t="e">
        <f t="shared" si="232"/>
        <v>#REF!</v>
      </c>
      <c r="H2191" s="1644" t="e">
        <f t="shared" si="233"/>
        <v>#REF!</v>
      </c>
      <c r="I2191" s="1597" t="e">
        <f t="shared" si="234"/>
        <v>#REF!</v>
      </c>
      <c r="J2191" s="1644" t="e">
        <f t="shared" si="235"/>
        <v>#REF!</v>
      </c>
      <c r="M2191" s="1545"/>
      <c r="N2191" s="1545"/>
    </row>
    <row r="2192" spans="1:93" ht="15.5">
      <c r="A2192" s="1598">
        <v>46.938000000000002</v>
      </c>
      <c r="B2192" s="1599" t="s">
        <v>2001</v>
      </c>
      <c r="C2192" s="1643" t="e">
        <f>+SUMIF(#REF!,Final!A2192,#REF!)</f>
        <v>#REF!</v>
      </c>
      <c r="D2192" s="1597" t="e">
        <f>+SUMIF(#REF!,Final!A2192,#REF!)</f>
        <v>#REF!</v>
      </c>
      <c r="E2192" s="1643" t="e">
        <f>SUMIF(#REF!,Final!A2192,#REF!)</f>
        <v>#REF!</v>
      </c>
      <c r="F2192" s="1644" t="e">
        <f>SUMIF(#REF!,Final!A2192,#REF!)</f>
        <v>#REF!</v>
      </c>
      <c r="G2192" s="1597" t="e">
        <f t="shared" si="232"/>
        <v>#REF!</v>
      </c>
      <c r="H2192" s="1644" t="e">
        <f t="shared" si="233"/>
        <v>#REF!</v>
      </c>
      <c r="I2192" s="1597" t="e">
        <f t="shared" si="234"/>
        <v>#REF!</v>
      </c>
      <c r="J2192" s="1644" t="e">
        <f t="shared" si="235"/>
        <v>#REF!</v>
      </c>
      <c r="M2192" s="1545"/>
      <c r="N2192" s="1545"/>
    </row>
    <row r="2193" spans="1:14" ht="15.5">
      <c r="A2193" s="1598">
        <v>46.939</v>
      </c>
      <c r="B2193" s="1599" t="s">
        <v>2002</v>
      </c>
      <c r="C2193" s="1643" t="e">
        <f>+SUMIF(#REF!,Final!A2193,#REF!)</f>
        <v>#REF!</v>
      </c>
      <c r="D2193" s="1597" t="e">
        <f>+SUMIF(#REF!,Final!A2193,#REF!)</f>
        <v>#REF!</v>
      </c>
      <c r="E2193" s="1643" t="e">
        <f>SUMIF(#REF!,Final!A2193,#REF!)</f>
        <v>#REF!</v>
      </c>
      <c r="F2193" s="1644" t="e">
        <f>SUMIF(#REF!,Final!A2193,#REF!)</f>
        <v>#REF!</v>
      </c>
      <c r="G2193" s="1597" t="e">
        <f t="shared" si="232"/>
        <v>#REF!</v>
      </c>
      <c r="H2193" s="1644" t="e">
        <f t="shared" si="233"/>
        <v>#REF!</v>
      </c>
      <c r="I2193" s="1597" t="e">
        <f t="shared" si="234"/>
        <v>#REF!</v>
      </c>
      <c r="J2193" s="1644" t="e">
        <f t="shared" si="235"/>
        <v>#REF!</v>
      </c>
      <c r="M2193" s="1545"/>
      <c r="N2193" s="1545"/>
    </row>
    <row r="2194" spans="1:14" ht="15.5">
      <c r="A2194" s="1600">
        <v>46.94</v>
      </c>
      <c r="B2194" s="1599" t="s">
        <v>2003</v>
      </c>
      <c r="C2194" s="1643" t="e">
        <f>+SUMIF(#REF!,Final!A2194,#REF!)</f>
        <v>#REF!</v>
      </c>
      <c r="D2194" s="1597" t="e">
        <f>+SUMIF(#REF!,Final!A2194,#REF!)</f>
        <v>#REF!</v>
      </c>
      <c r="E2194" s="1643" t="e">
        <f>SUMIF(#REF!,Final!A2194,#REF!)</f>
        <v>#REF!</v>
      </c>
      <c r="F2194" s="1644" t="e">
        <f>SUMIF(#REF!,Final!A2194,#REF!)</f>
        <v>#REF!</v>
      </c>
      <c r="G2194" s="1597" t="e">
        <f t="shared" si="232"/>
        <v>#REF!</v>
      </c>
      <c r="H2194" s="1644" t="e">
        <f t="shared" si="233"/>
        <v>#REF!</v>
      </c>
      <c r="I2194" s="1597" t="e">
        <f t="shared" si="234"/>
        <v>#REF!</v>
      </c>
      <c r="J2194" s="1644" t="e">
        <f t="shared" si="235"/>
        <v>#REF!</v>
      </c>
      <c r="M2194" s="1545"/>
      <c r="N2194" s="1545"/>
    </row>
    <row r="2195" spans="1:14" ht="15.5">
      <c r="A2195" s="1598">
        <v>46.941000000000003</v>
      </c>
      <c r="B2195" s="1599" t="s">
        <v>2004</v>
      </c>
      <c r="C2195" s="1643" t="e">
        <f>+SUMIF(#REF!,Final!A2195,#REF!)</f>
        <v>#REF!</v>
      </c>
      <c r="D2195" s="1597" t="e">
        <f>+SUMIF(#REF!,Final!A2195,#REF!)</f>
        <v>#REF!</v>
      </c>
      <c r="E2195" s="1643" t="e">
        <f>SUMIF(#REF!,Final!A2195,#REF!)</f>
        <v>#REF!</v>
      </c>
      <c r="F2195" s="1644" t="e">
        <f>SUMIF(#REF!,Final!A2195,#REF!)</f>
        <v>#REF!</v>
      </c>
      <c r="G2195" s="1597" t="e">
        <f t="shared" si="232"/>
        <v>#REF!</v>
      </c>
      <c r="H2195" s="1644" t="e">
        <f t="shared" si="233"/>
        <v>#REF!</v>
      </c>
      <c r="I2195" s="1597" t="e">
        <f t="shared" si="234"/>
        <v>#REF!</v>
      </c>
      <c r="J2195" s="1644" t="e">
        <f t="shared" si="235"/>
        <v>#REF!</v>
      </c>
      <c r="M2195" s="1545"/>
      <c r="N2195" s="1545"/>
    </row>
    <row r="2196" spans="1:14" ht="15.5">
      <c r="A2196" s="1598">
        <v>46.954000000000001</v>
      </c>
      <c r="B2196" s="1599" t="s">
        <v>4551</v>
      </c>
      <c r="C2196" s="1643" t="e">
        <f>+SUMIF(#REF!,Final!A2196,#REF!)</f>
        <v>#REF!</v>
      </c>
      <c r="D2196" s="1597" t="e">
        <f>+SUMIF(#REF!,Final!A2196,#REF!)</f>
        <v>#REF!</v>
      </c>
      <c r="E2196" s="1643" t="e">
        <f>SUMIF(#REF!,Final!A2196,#REF!)</f>
        <v>#REF!</v>
      </c>
      <c r="F2196" s="1644" t="e">
        <f>SUMIF(#REF!,Final!A2196,#REF!)</f>
        <v>#REF!</v>
      </c>
      <c r="G2196" s="1597" t="e">
        <f t="shared" si="232"/>
        <v>#REF!</v>
      </c>
      <c r="H2196" s="1644" t="e">
        <f t="shared" si="233"/>
        <v>#REF!</v>
      </c>
      <c r="I2196" s="1597" t="e">
        <f t="shared" si="234"/>
        <v>#REF!</v>
      </c>
      <c r="J2196" s="1644" t="e">
        <f t="shared" si="235"/>
        <v>#REF!</v>
      </c>
      <c r="M2196" s="1545"/>
      <c r="N2196" s="1545"/>
    </row>
    <row r="2197" spans="1:14" ht="15.5">
      <c r="A2197" s="1598">
        <v>46.954999999999998</v>
      </c>
      <c r="B2197" s="1599" t="s">
        <v>4552</v>
      </c>
      <c r="C2197" s="1643" t="e">
        <f>+SUMIF(#REF!,Final!A2197,#REF!)</f>
        <v>#REF!</v>
      </c>
      <c r="D2197" s="1597" t="e">
        <f>+SUMIF(#REF!,Final!A2197,#REF!)</f>
        <v>#REF!</v>
      </c>
      <c r="E2197" s="1643" t="e">
        <f>SUMIF(#REF!,Final!A2197,#REF!)</f>
        <v>#REF!</v>
      </c>
      <c r="F2197" s="1644" t="e">
        <f>SUMIF(#REF!,Final!A2197,#REF!)</f>
        <v>#REF!</v>
      </c>
      <c r="G2197" s="1597" t="e">
        <f t="shared" si="232"/>
        <v>#REF!</v>
      </c>
      <c r="H2197" s="1644" t="e">
        <f t="shared" si="233"/>
        <v>#REF!</v>
      </c>
      <c r="I2197" s="1597" t="e">
        <f t="shared" si="234"/>
        <v>#REF!</v>
      </c>
      <c r="J2197" s="1644" t="e">
        <f t="shared" si="235"/>
        <v>#REF!</v>
      </c>
      <c r="M2197" s="1545"/>
      <c r="N2197" s="1545"/>
    </row>
    <row r="2198" spans="1:14" ht="15.5">
      <c r="A2198" s="1598">
        <v>46.956000000000003</v>
      </c>
      <c r="B2198" s="1599" t="s">
        <v>4553</v>
      </c>
      <c r="C2198" s="1643" t="e">
        <f>+SUMIF(#REF!,Final!A2198,#REF!)</f>
        <v>#REF!</v>
      </c>
      <c r="D2198" s="1597" t="e">
        <f>+SUMIF(#REF!,Final!A2198,#REF!)</f>
        <v>#REF!</v>
      </c>
      <c r="E2198" s="1643" t="e">
        <f>SUMIF(#REF!,Final!A2198,#REF!)</f>
        <v>#REF!</v>
      </c>
      <c r="F2198" s="1644" t="e">
        <f>SUMIF(#REF!,Final!A2198,#REF!)</f>
        <v>#REF!</v>
      </c>
      <c r="G2198" s="1597" t="e">
        <f t="shared" si="232"/>
        <v>#REF!</v>
      </c>
      <c r="H2198" s="1644" t="e">
        <f t="shared" si="233"/>
        <v>#REF!</v>
      </c>
      <c r="I2198" s="1597" t="e">
        <f t="shared" si="234"/>
        <v>#REF!</v>
      </c>
      <c r="J2198" s="1644" t="e">
        <f t="shared" si="235"/>
        <v>#REF!</v>
      </c>
      <c r="M2198" s="1545"/>
      <c r="N2198" s="1545"/>
    </row>
    <row r="2199" spans="1:14" ht="15.5">
      <c r="A2199" s="1598">
        <v>46.957000000000001</v>
      </c>
      <c r="B2199" s="1599" t="s">
        <v>4554</v>
      </c>
      <c r="C2199" s="1643" t="e">
        <f>+SUMIF(#REF!,Final!A2199,#REF!)</f>
        <v>#REF!</v>
      </c>
      <c r="D2199" s="1597" t="e">
        <f>+SUMIF(#REF!,Final!A2199,#REF!)</f>
        <v>#REF!</v>
      </c>
      <c r="E2199" s="1643" t="e">
        <f>SUMIF(#REF!,Final!A2199,#REF!)</f>
        <v>#REF!</v>
      </c>
      <c r="F2199" s="1644" t="e">
        <f>SUMIF(#REF!,Final!A2199,#REF!)</f>
        <v>#REF!</v>
      </c>
      <c r="G2199" s="1597" t="e">
        <f t="shared" si="232"/>
        <v>#REF!</v>
      </c>
      <c r="H2199" s="1644" t="e">
        <f t="shared" si="233"/>
        <v>#REF!</v>
      </c>
      <c r="I2199" s="1597" t="e">
        <f t="shared" si="234"/>
        <v>#REF!</v>
      </c>
      <c r="J2199" s="1644" t="e">
        <f t="shared" si="235"/>
        <v>#REF!</v>
      </c>
      <c r="M2199" s="1545"/>
      <c r="N2199" s="1545"/>
    </row>
    <row r="2200" spans="1:14" ht="15.5">
      <c r="A2200" s="1598">
        <v>46.957999999999998</v>
      </c>
      <c r="B2200" s="1599" t="s">
        <v>4555</v>
      </c>
      <c r="C2200" s="1643" t="e">
        <f>+SUMIF(#REF!,Final!A2200,#REF!)</f>
        <v>#REF!</v>
      </c>
      <c r="D2200" s="1597" t="e">
        <f>+SUMIF(#REF!,Final!A2200,#REF!)</f>
        <v>#REF!</v>
      </c>
      <c r="E2200" s="1643" t="e">
        <f>SUMIF(#REF!,Final!A2200,#REF!)</f>
        <v>#REF!</v>
      </c>
      <c r="F2200" s="1644" t="e">
        <f>SUMIF(#REF!,Final!A2200,#REF!)</f>
        <v>#REF!</v>
      </c>
      <c r="G2200" s="1597" t="e">
        <f t="shared" si="232"/>
        <v>#REF!</v>
      </c>
      <c r="H2200" s="1644" t="e">
        <f t="shared" si="233"/>
        <v>#REF!</v>
      </c>
      <c r="I2200" s="1597" t="e">
        <f t="shared" si="234"/>
        <v>#REF!</v>
      </c>
      <c r="J2200" s="1644" t="e">
        <f t="shared" si="235"/>
        <v>#REF!</v>
      </c>
      <c r="M2200" s="1545"/>
      <c r="N2200" s="1545"/>
    </row>
    <row r="2201" spans="1:14" ht="15.5">
      <c r="A2201" s="1684" t="s">
        <v>4999</v>
      </c>
      <c r="B2201" s="1703" t="s">
        <v>5000</v>
      </c>
      <c r="C2201" s="1643" t="e">
        <f>+SUMIF(#REF!,Final!A2201,#REF!)</f>
        <v>#REF!</v>
      </c>
      <c r="D2201" s="1597" t="e">
        <f>+SUMIF(#REF!,Final!A2201,#REF!)</f>
        <v>#REF!</v>
      </c>
      <c r="E2201" s="1643" t="e">
        <f>SUMIF(#REF!,Final!A2201,#REF!)</f>
        <v>#REF!</v>
      </c>
      <c r="F2201" s="1644" t="e">
        <f>SUMIF(#REF!,Final!A2201,#REF!)</f>
        <v>#REF!</v>
      </c>
      <c r="G2201" s="1597" t="e">
        <f t="shared" si="232"/>
        <v>#REF!</v>
      </c>
      <c r="H2201" s="1644" t="e">
        <f t="shared" si="233"/>
        <v>#REF!</v>
      </c>
      <c r="I2201" s="1597" t="e">
        <f t="shared" si="234"/>
        <v>#REF!</v>
      </c>
      <c r="J2201" s="1644" t="e">
        <f t="shared" si="235"/>
        <v>#REF!</v>
      </c>
      <c r="M2201" s="1545"/>
      <c r="N2201" s="1545"/>
    </row>
    <row r="2202" spans="1:14" ht="15.5">
      <c r="A2202" s="1684" t="s">
        <v>5001</v>
      </c>
      <c r="B2202" s="1703" t="s">
        <v>5002</v>
      </c>
      <c r="C2202" s="1643" t="e">
        <f>+SUMIF(#REF!,Final!A2202,#REF!)</f>
        <v>#REF!</v>
      </c>
      <c r="D2202" s="1597" t="e">
        <f>+SUMIF(#REF!,Final!A2202,#REF!)</f>
        <v>#REF!</v>
      </c>
      <c r="E2202" s="1643" t="e">
        <f>SUMIF(#REF!,Final!A2202,#REF!)</f>
        <v>#REF!</v>
      </c>
      <c r="F2202" s="1644" t="e">
        <f>SUMIF(#REF!,Final!A2202,#REF!)</f>
        <v>#REF!</v>
      </c>
      <c r="G2202" s="1597" t="e">
        <f t="shared" si="232"/>
        <v>#REF!</v>
      </c>
      <c r="H2202" s="1644" t="e">
        <f t="shared" si="233"/>
        <v>#REF!</v>
      </c>
      <c r="I2202" s="1597" t="e">
        <f t="shared" si="234"/>
        <v>#REF!</v>
      </c>
      <c r="J2202" s="1644" t="e">
        <f t="shared" si="235"/>
        <v>#REF!</v>
      </c>
      <c r="M2202" s="1545"/>
      <c r="N2202" s="1545"/>
    </row>
    <row r="2203" spans="1:14" ht="15.5">
      <c r="A2203" s="1684" t="s">
        <v>5003</v>
      </c>
      <c r="B2203" s="1703" t="s">
        <v>5004</v>
      </c>
      <c r="C2203" s="1643" t="e">
        <f>+SUMIF(#REF!,Final!A2203,#REF!)</f>
        <v>#REF!</v>
      </c>
      <c r="D2203" s="1597" t="e">
        <f>+SUMIF(#REF!,Final!A2203,#REF!)</f>
        <v>#REF!</v>
      </c>
      <c r="E2203" s="1643" t="e">
        <f>SUMIF(#REF!,Final!A2203,#REF!)</f>
        <v>#REF!</v>
      </c>
      <c r="F2203" s="1644" t="e">
        <f>SUMIF(#REF!,Final!A2203,#REF!)</f>
        <v>#REF!</v>
      </c>
      <c r="G2203" s="1597" t="e">
        <f t="shared" si="232"/>
        <v>#REF!</v>
      </c>
      <c r="H2203" s="1644" t="e">
        <f t="shared" si="233"/>
        <v>#REF!</v>
      </c>
      <c r="I2203" s="1597" t="e">
        <f t="shared" si="234"/>
        <v>#REF!</v>
      </c>
      <c r="J2203" s="1644" t="e">
        <f t="shared" si="235"/>
        <v>#REF!</v>
      </c>
      <c r="M2203" s="1545"/>
      <c r="N2203" s="1545"/>
    </row>
    <row r="2204" spans="1:14" ht="15.5">
      <c r="A2204" s="1684" t="s">
        <v>5005</v>
      </c>
      <c r="B2204" s="1703" t="s">
        <v>5006</v>
      </c>
      <c r="C2204" s="1643" t="e">
        <f>+SUMIF(#REF!,Final!A2204,#REF!)</f>
        <v>#REF!</v>
      </c>
      <c r="D2204" s="1597" t="e">
        <f>+SUMIF(#REF!,Final!A2204,#REF!)</f>
        <v>#REF!</v>
      </c>
      <c r="E2204" s="1643" t="e">
        <f>SUMIF(#REF!,Final!A2204,#REF!)</f>
        <v>#REF!</v>
      </c>
      <c r="F2204" s="1644" t="e">
        <f>SUMIF(#REF!,Final!A2204,#REF!)</f>
        <v>#REF!</v>
      </c>
      <c r="G2204" s="1597" t="e">
        <f t="shared" si="232"/>
        <v>#REF!</v>
      </c>
      <c r="H2204" s="1644" t="e">
        <f t="shared" si="233"/>
        <v>#REF!</v>
      </c>
      <c r="I2204" s="1597" t="e">
        <f t="shared" si="234"/>
        <v>#REF!</v>
      </c>
      <c r="J2204" s="1644" t="e">
        <f t="shared" si="235"/>
        <v>#REF!</v>
      </c>
      <c r="M2204" s="1545"/>
      <c r="N2204" s="1545"/>
    </row>
    <row r="2205" spans="1:14" ht="15.5">
      <c r="A2205" s="1684" t="s">
        <v>5007</v>
      </c>
      <c r="B2205" s="1703" t="s">
        <v>5008</v>
      </c>
      <c r="C2205" s="1643" t="e">
        <f>+SUMIF(#REF!,Final!A2205,#REF!)</f>
        <v>#REF!</v>
      </c>
      <c r="D2205" s="1597" t="e">
        <f>+SUMIF(#REF!,Final!A2205,#REF!)</f>
        <v>#REF!</v>
      </c>
      <c r="E2205" s="1643" t="e">
        <f>SUMIF(#REF!,Final!A2205,#REF!)</f>
        <v>#REF!</v>
      </c>
      <c r="F2205" s="1644" t="e">
        <f>SUMIF(#REF!,Final!A2205,#REF!)</f>
        <v>#REF!</v>
      </c>
      <c r="G2205" s="1597" t="e">
        <f t="shared" si="232"/>
        <v>#REF!</v>
      </c>
      <c r="H2205" s="1644" t="e">
        <f t="shared" si="233"/>
        <v>#REF!</v>
      </c>
      <c r="I2205" s="1597" t="e">
        <f t="shared" si="234"/>
        <v>#REF!</v>
      </c>
      <c r="J2205" s="1644" t="e">
        <f t="shared" si="235"/>
        <v>#REF!</v>
      </c>
      <c r="M2205" s="1545"/>
      <c r="N2205" s="1545"/>
    </row>
    <row r="2206" spans="1:14" ht="15.5">
      <c r="A2206" s="1684" t="s">
        <v>5009</v>
      </c>
      <c r="B2206" s="1703" t="s">
        <v>5010</v>
      </c>
      <c r="C2206" s="1643" t="e">
        <f>+SUMIF(#REF!,Final!A2206,#REF!)</f>
        <v>#REF!</v>
      </c>
      <c r="D2206" s="1597" t="e">
        <f>+SUMIF(#REF!,Final!A2206,#REF!)</f>
        <v>#REF!</v>
      </c>
      <c r="E2206" s="1643" t="e">
        <f>SUMIF(#REF!,Final!A2206,#REF!)</f>
        <v>#REF!</v>
      </c>
      <c r="F2206" s="1644" t="e">
        <f>SUMIF(#REF!,Final!A2206,#REF!)</f>
        <v>#REF!</v>
      </c>
      <c r="G2206" s="1597" t="e">
        <f t="shared" si="232"/>
        <v>#REF!</v>
      </c>
      <c r="H2206" s="1644" t="e">
        <f t="shared" si="233"/>
        <v>#REF!</v>
      </c>
      <c r="I2206" s="1597" t="e">
        <f t="shared" si="234"/>
        <v>#REF!</v>
      </c>
      <c r="J2206" s="1644" t="e">
        <f t="shared" si="235"/>
        <v>#REF!</v>
      </c>
      <c r="M2206" s="1545"/>
      <c r="N2206" s="1545"/>
    </row>
    <row r="2207" spans="1:14" ht="15.5">
      <c r="A2207" s="1684" t="s">
        <v>5011</v>
      </c>
      <c r="B2207" s="1703" t="s">
        <v>5012</v>
      </c>
      <c r="C2207" s="1643" t="e">
        <f>+SUMIF(#REF!,Final!A2207,#REF!)</f>
        <v>#REF!</v>
      </c>
      <c r="D2207" s="1597" t="e">
        <f>+SUMIF(#REF!,Final!A2207,#REF!)</f>
        <v>#REF!</v>
      </c>
      <c r="E2207" s="1643" t="e">
        <f>SUMIF(#REF!,Final!A2207,#REF!)</f>
        <v>#REF!</v>
      </c>
      <c r="F2207" s="1644" t="e">
        <f>SUMIF(#REF!,Final!A2207,#REF!)</f>
        <v>#REF!</v>
      </c>
      <c r="G2207" s="1597" t="e">
        <f t="shared" si="232"/>
        <v>#REF!</v>
      </c>
      <c r="H2207" s="1644" t="e">
        <f t="shared" si="233"/>
        <v>#REF!</v>
      </c>
      <c r="I2207" s="1597" t="e">
        <f t="shared" si="234"/>
        <v>#REF!</v>
      </c>
      <c r="J2207" s="1644" t="e">
        <f t="shared" si="235"/>
        <v>#REF!</v>
      </c>
      <c r="M2207" s="1545"/>
      <c r="N2207" s="1545"/>
    </row>
    <row r="2208" spans="1:14" ht="15.5">
      <c r="A2208" s="1786" t="s">
        <v>5261</v>
      </c>
      <c r="B2208" s="1787" t="s">
        <v>5262</v>
      </c>
      <c r="C2208" s="1643" t="e">
        <f>+SUMIF(#REF!,Final!A2208,#REF!)</f>
        <v>#REF!</v>
      </c>
      <c r="D2208" s="1597" t="e">
        <f>+SUMIF(#REF!,Final!A2208,#REF!)</f>
        <v>#REF!</v>
      </c>
      <c r="E2208" s="1643" t="e">
        <f>SUMIF(#REF!,Final!A2208,#REF!)</f>
        <v>#REF!</v>
      </c>
      <c r="F2208" s="1644" t="e">
        <f>SUMIF(#REF!,Final!A2208,#REF!)</f>
        <v>#REF!</v>
      </c>
      <c r="G2208" s="1597" t="e">
        <f t="shared" ref="G2208:G2214" si="240">C2208+E2208</f>
        <v>#REF!</v>
      </c>
      <c r="H2208" s="1644" t="e">
        <f t="shared" ref="H2208:H2214" si="241">D2208+F2208</f>
        <v>#REF!</v>
      </c>
      <c r="I2208" s="1597" t="e">
        <f t="shared" ref="I2208:I2214" si="242">IF(G2208&gt;H2208,G2208-H2208,0)</f>
        <v>#REF!</v>
      </c>
      <c r="J2208" s="1644" t="e">
        <f t="shared" ref="J2208:J2214" si="243">IF(H2208&gt;G2208,H2208-G2208,0)</f>
        <v>#REF!</v>
      </c>
      <c r="M2208" s="1545"/>
      <c r="N2208" s="1545"/>
    </row>
    <row r="2209" spans="1:93" ht="15.5">
      <c r="A2209" s="1786" t="s">
        <v>5263</v>
      </c>
      <c r="B2209" s="1787" t="s">
        <v>5264</v>
      </c>
      <c r="C2209" s="1643" t="e">
        <f>+SUMIF(#REF!,Final!A2209,#REF!)</f>
        <v>#REF!</v>
      </c>
      <c r="D2209" s="1597" t="e">
        <f>+SUMIF(#REF!,Final!A2209,#REF!)</f>
        <v>#REF!</v>
      </c>
      <c r="E2209" s="1643" t="e">
        <f>SUMIF(#REF!,Final!A2209,#REF!)</f>
        <v>#REF!</v>
      </c>
      <c r="F2209" s="1644" t="e">
        <f>SUMIF(#REF!,Final!A2209,#REF!)</f>
        <v>#REF!</v>
      </c>
      <c r="G2209" s="1597" t="e">
        <f t="shared" si="240"/>
        <v>#REF!</v>
      </c>
      <c r="H2209" s="1644" t="e">
        <f t="shared" si="241"/>
        <v>#REF!</v>
      </c>
      <c r="I2209" s="1597" t="e">
        <f t="shared" si="242"/>
        <v>#REF!</v>
      </c>
      <c r="J2209" s="1644" t="e">
        <f t="shared" si="243"/>
        <v>#REF!</v>
      </c>
      <c r="M2209" s="1545"/>
      <c r="N2209" s="1545"/>
    </row>
    <row r="2210" spans="1:93" ht="15.5">
      <c r="A2210" s="1786" t="s">
        <v>5265</v>
      </c>
      <c r="B2210" s="1787" t="s">
        <v>5004</v>
      </c>
      <c r="C2210" s="1643" t="e">
        <f>+SUMIF(#REF!,Final!A2210,#REF!)</f>
        <v>#REF!</v>
      </c>
      <c r="D2210" s="1597" t="e">
        <f>+SUMIF(#REF!,Final!A2210,#REF!)</f>
        <v>#REF!</v>
      </c>
      <c r="E2210" s="1643" t="e">
        <f>SUMIF(#REF!,Final!A2210,#REF!)</f>
        <v>#REF!</v>
      </c>
      <c r="F2210" s="1644" t="e">
        <f>SUMIF(#REF!,Final!A2210,#REF!)</f>
        <v>#REF!</v>
      </c>
      <c r="G2210" s="1597" t="e">
        <f t="shared" si="240"/>
        <v>#REF!</v>
      </c>
      <c r="H2210" s="1644" t="e">
        <f t="shared" si="241"/>
        <v>#REF!</v>
      </c>
      <c r="I2210" s="1597" t="e">
        <f t="shared" si="242"/>
        <v>#REF!</v>
      </c>
      <c r="J2210" s="1644" t="e">
        <f t="shared" si="243"/>
        <v>#REF!</v>
      </c>
      <c r="M2210" s="1545"/>
      <c r="N2210" s="1545"/>
    </row>
    <row r="2211" spans="1:93" ht="15.5">
      <c r="A2211" s="1786" t="s">
        <v>5266</v>
      </c>
      <c r="B2211" s="1787" t="s">
        <v>5006</v>
      </c>
      <c r="C2211" s="1643" t="e">
        <f>+SUMIF(#REF!,Final!A2211,#REF!)</f>
        <v>#REF!</v>
      </c>
      <c r="D2211" s="1597" t="e">
        <f>+SUMIF(#REF!,Final!A2211,#REF!)</f>
        <v>#REF!</v>
      </c>
      <c r="E2211" s="1643" t="e">
        <f>SUMIF(#REF!,Final!A2211,#REF!)</f>
        <v>#REF!</v>
      </c>
      <c r="F2211" s="1644" t="e">
        <f>SUMIF(#REF!,Final!A2211,#REF!)</f>
        <v>#REF!</v>
      </c>
      <c r="G2211" s="1597" t="e">
        <f t="shared" si="240"/>
        <v>#REF!</v>
      </c>
      <c r="H2211" s="1644" t="e">
        <f t="shared" si="241"/>
        <v>#REF!</v>
      </c>
      <c r="I2211" s="1597" t="e">
        <f t="shared" si="242"/>
        <v>#REF!</v>
      </c>
      <c r="J2211" s="1644" t="e">
        <f t="shared" si="243"/>
        <v>#REF!</v>
      </c>
      <c r="M2211" s="1545"/>
      <c r="N2211" s="1545"/>
    </row>
    <row r="2212" spans="1:93" ht="15.5">
      <c r="A2212" s="1786" t="s">
        <v>5267</v>
      </c>
      <c r="B2212" s="1787" t="s">
        <v>5008</v>
      </c>
      <c r="C2212" s="1643" t="e">
        <f>+SUMIF(#REF!,Final!A2212,#REF!)</f>
        <v>#REF!</v>
      </c>
      <c r="D2212" s="1597" t="e">
        <f>+SUMIF(#REF!,Final!A2212,#REF!)</f>
        <v>#REF!</v>
      </c>
      <c r="E2212" s="1643" t="e">
        <f>SUMIF(#REF!,Final!A2212,#REF!)</f>
        <v>#REF!</v>
      </c>
      <c r="F2212" s="1644" t="e">
        <f>SUMIF(#REF!,Final!A2212,#REF!)</f>
        <v>#REF!</v>
      </c>
      <c r="G2212" s="1597" t="e">
        <f t="shared" si="240"/>
        <v>#REF!</v>
      </c>
      <c r="H2212" s="1644" t="e">
        <f t="shared" si="241"/>
        <v>#REF!</v>
      </c>
      <c r="I2212" s="1597" t="e">
        <f t="shared" si="242"/>
        <v>#REF!</v>
      </c>
      <c r="J2212" s="1644" t="e">
        <f t="shared" si="243"/>
        <v>#REF!</v>
      </c>
      <c r="M2212" s="1545"/>
      <c r="N2212" s="1545"/>
    </row>
    <row r="2213" spans="1:93" ht="15.5">
      <c r="A2213" s="1786" t="s">
        <v>5268</v>
      </c>
      <c r="B2213" s="1787" t="s">
        <v>5010</v>
      </c>
      <c r="C2213" s="1643" t="e">
        <f>+SUMIF(#REF!,Final!A2213,#REF!)</f>
        <v>#REF!</v>
      </c>
      <c r="D2213" s="1597" t="e">
        <f>+SUMIF(#REF!,Final!A2213,#REF!)</f>
        <v>#REF!</v>
      </c>
      <c r="E2213" s="1643" t="e">
        <f>SUMIF(#REF!,Final!A2213,#REF!)</f>
        <v>#REF!</v>
      </c>
      <c r="F2213" s="1644" t="e">
        <f>SUMIF(#REF!,Final!A2213,#REF!)</f>
        <v>#REF!</v>
      </c>
      <c r="G2213" s="1597" t="e">
        <f t="shared" si="240"/>
        <v>#REF!</v>
      </c>
      <c r="H2213" s="1644" t="e">
        <f t="shared" si="241"/>
        <v>#REF!</v>
      </c>
      <c r="I2213" s="1597" t="e">
        <f t="shared" si="242"/>
        <v>#REF!</v>
      </c>
      <c r="J2213" s="1644" t="e">
        <f t="shared" si="243"/>
        <v>#REF!</v>
      </c>
      <c r="M2213" s="1545"/>
      <c r="N2213" s="1545"/>
    </row>
    <row r="2214" spans="1:93" ht="15.5">
      <c r="A2214" s="1786" t="s">
        <v>5269</v>
      </c>
      <c r="B2214" s="1787" t="s">
        <v>5270</v>
      </c>
      <c r="C2214" s="1643" t="e">
        <f>+SUMIF(#REF!,Final!A2214,#REF!)</f>
        <v>#REF!</v>
      </c>
      <c r="D2214" s="1597" t="e">
        <f>+SUMIF(#REF!,Final!A2214,#REF!)</f>
        <v>#REF!</v>
      </c>
      <c r="E2214" s="1643" t="e">
        <f>SUMIF(#REF!,Final!A2214,#REF!)</f>
        <v>#REF!</v>
      </c>
      <c r="F2214" s="1644" t="e">
        <f>SUMIF(#REF!,Final!A2214,#REF!)</f>
        <v>#REF!</v>
      </c>
      <c r="G2214" s="1597" t="e">
        <f t="shared" si="240"/>
        <v>#REF!</v>
      </c>
      <c r="H2214" s="1644" t="e">
        <f t="shared" si="241"/>
        <v>#REF!</v>
      </c>
      <c r="I2214" s="1597" t="e">
        <f t="shared" si="242"/>
        <v>#REF!</v>
      </c>
      <c r="J2214" s="1644" t="e">
        <f t="shared" si="243"/>
        <v>#REF!</v>
      </c>
      <c r="M2214" s="1545"/>
      <c r="N2214" s="1545"/>
    </row>
    <row r="2215" spans="1:93" ht="15.5">
      <c r="A2215" s="1694">
        <v>46.948</v>
      </c>
      <c r="B2215" s="1704" t="s">
        <v>5013</v>
      </c>
      <c r="C2215" s="1643" t="e">
        <f>+SUMIF(#REF!,Final!A2215,#REF!)</f>
        <v>#REF!</v>
      </c>
      <c r="D2215" s="1597" t="e">
        <f>+SUMIF(#REF!,Final!A2215,#REF!)</f>
        <v>#REF!</v>
      </c>
      <c r="E2215" s="1643" t="e">
        <f>SUMIF(#REF!,Final!A2215,#REF!)</f>
        <v>#REF!</v>
      </c>
      <c r="F2215" s="1644" t="e">
        <f>SUMIF(#REF!,Final!A2215,#REF!)</f>
        <v>#REF!</v>
      </c>
      <c r="G2215" s="1597" t="e">
        <f t="shared" si="232"/>
        <v>#REF!</v>
      </c>
      <c r="H2215" s="1644" t="e">
        <f t="shared" si="233"/>
        <v>#REF!</v>
      </c>
      <c r="I2215" s="1597" t="e">
        <f t="shared" si="234"/>
        <v>#REF!</v>
      </c>
      <c r="J2215" s="1644" t="e">
        <f t="shared" si="235"/>
        <v>#REF!</v>
      </c>
      <c r="M2215" s="1545"/>
      <c r="N2215" s="1545"/>
    </row>
    <row r="2216" spans="1:93" ht="15.5">
      <c r="A2216" s="1598">
        <v>46.963999999999999</v>
      </c>
      <c r="B2216" s="1599" t="s">
        <v>2005</v>
      </c>
      <c r="C2216" s="1643" t="e">
        <f>+SUMIF(#REF!,Final!A2216,#REF!)</f>
        <v>#REF!</v>
      </c>
      <c r="D2216" s="1597" t="e">
        <f>+SUMIF(#REF!,Final!A2216,#REF!)</f>
        <v>#REF!</v>
      </c>
      <c r="E2216" s="1643" t="e">
        <f>SUMIF(#REF!,Final!A2216,#REF!)</f>
        <v>#REF!</v>
      </c>
      <c r="F2216" s="1644" t="e">
        <f>SUMIF(#REF!,Final!A2216,#REF!)</f>
        <v>#REF!</v>
      </c>
      <c r="G2216" s="1597" t="e">
        <f t="shared" si="232"/>
        <v>#REF!</v>
      </c>
      <c r="H2216" s="1644" t="e">
        <f t="shared" si="233"/>
        <v>#REF!</v>
      </c>
      <c r="I2216" s="1597" t="e">
        <f t="shared" si="234"/>
        <v>#REF!</v>
      </c>
      <c r="J2216" s="1644" t="e">
        <f t="shared" si="235"/>
        <v>#REF!</v>
      </c>
      <c r="M2216" s="1545"/>
      <c r="N2216" s="1545"/>
    </row>
    <row r="2217" spans="1:93" s="1552" customFormat="1" ht="15.5">
      <c r="A2217" s="1598"/>
      <c r="B2217" s="1599" t="s">
        <v>1747</v>
      </c>
      <c r="C2217" s="1643" t="e">
        <f>+SUMIF(#REF!,Final!A2217,#REF!)</f>
        <v>#REF!</v>
      </c>
      <c r="D2217" s="1597" t="e">
        <f>+SUMIF(#REF!,Final!A2217,#REF!)</f>
        <v>#REF!</v>
      </c>
      <c r="E2217" s="1643" t="e">
        <f>SUMIF(#REF!,Final!A2217,#REF!)</f>
        <v>#REF!</v>
      </c>
      <c r="F2217" s="1644" t="e">
        <f>SUMIF(#REF!,Final!A2217,#REF!)</f>
        <v>#REF!</v>
      </c>
      <c r="G2217" s="1597" t="e">
        <f t="shared" si="232"/>
        <v>#REF!</v>
      </c>
      <c r="H2217" s="1644" t="e">
        <f t="shared" si="233"/>
        <v>#REF!</v>
      </c>
      <c r="I2217" s="1597" t="e">
        <f t="shared" si="234"/>
        <v>#REF!</v>
      </c>
      <c r="J2217" s="1644" t="e">
        <f t="shared" si="235"/>
        <v>#REF!</v>
      </c>
      <c r="K2217" s="1539"/>
      <c r="L2217" s="1539"/>
      <c r="M2217" s="1545"/>
      <c r="N2217" s="1545"/>
      <c r="O2217" s="1539"/>
      <c r="P2217" s="1539"/>
      <c r="Q2217" s="1539"/>
      <c r="R2217" s="1539"/>
      <c r="S2217" s="1539"/>
      <c r="T2217" s="1539"/>
      <c r="U2217" s="1539"/>
      <c r="V2217" s="1539"/>
      <c r="W2217" s="1539"/>
      <c r="X2217" s="1539"/>
      <c r="Y2217" s="1539"/>
      <c r="Z2217" s="1539"/>
      <c r="AA2217" s="1539"/>
      <c r="AB2217" s="1539"/>
      <c r="AC2217" s="1539"/>
      <c r="AD2217" s="1539"/>
      <c r="AE2217" s="1539"/>
      <c r="AF2217" s="1539"/>
      <c r="AG2217" s="1539"/>
      <c r="AH2217" s="1539"/>
      <c r="AI2217" s="1539"/>
      <c r="AJ2217" s="1539"/>
      <c r="AK2217" s="1539"/>
      <c r="AL2217" s="1539"/>
      <c r="AM2217" s="1539"/>
      <c r="AN2217" s="1539"/>
      <c r="AO2217" s="1539"/>
      <c r="AP2217" s="1539"/>
      <c r="AQ2217" s="1539"/>
      <c r="AR2217" s="1539"/>
      <c r="AS2217" s="1539"/>
      <c r="AT2217" s="1539"/>
      <c r="AU2217" s="1539"/>
      <c r="AV2217" s="1539"/>
      <c r="AW2217" s="1539"/>
      <c r="AX2217" s="1539"/>
      <c r="AY2217" s="1539"/>
      <c r="AZ2217" s="1539"/>
      <c r="BA2217" s="1539"/>
      <c r="BB2217" s="1539"/>
      <c r="BC2217" s="1539"/>
      <c r="BD2217" s="1539"/>
      <c r="BE2217" s="1539"/>
      <c r="BF2217" s="1539"/>
      <c r="BG2217" s="1539"/>
      <c r="BH2217" s="1539"/>
      <c r="BI2217" s="1539"/>
      <c r="BJ2217" s="1539"/>
      <c r="BK2217" s="1539"/>
      <c r="BL2217" s="1539"/>
      <c r="BM2217" s="1539"/>
      <c r="BN2217" s="1539"/>
      <c r="BO2217" s="1539"/>
      <c r="BP2217" s="1539"/>
      <c r="BQ2217" s="1539"/>
      <c r="BR2217" s="1539"/>
      <c r="BS2217" s="1539"/>
      <c r="BT2217" s="1539"/>
      <c r="BU2217" s="1539"/>
      <c r="BV2217" s="1539"/>
      <c r="BW2217" s="1539"/>
      <c r="BX2217" s="1539"/>
      <c r="BY2217" s="1539"/>
      <c r="BZ2217" s="1539"/>
      <c r="CA2217" s="1539"/>
      <c r="CB2217" s="1539"/>
      <c r="CC2217" s="1539"/>
      <c r="CD2217" s="1539"/>
      <c r="CE2217" s="1539"/>
      <c r="CF2217" s="1539"/>
      <c r="CG2217" s="1539"/>
      <c r="CH2217" s="1539"/>
      <c r="CI2217" s="1539"/>
      <c r="CJ2217" s="1539"/>
      <c r="CK2217" s="1539"/>
      <c r="CL2217" s="1539"/>
      <c r="CM2217" s="1539"/>
      <c r="CN2217" s="1539"/>
      <c r="CO2217" s="1539"/>
    </row>
    <row r="2218" spans="1:93" s="1552" customFormat="1" ht="15.5">
      <c r="A2218" s="1598" t="s">
        <v>2916</v>
      </c>
      <c r="B2218" s="1599" t="s">
        <v>1760</v>
      </c>
      <c r="C2218" s="1643" t="e">
        <f>+SUMIF(#REF!,Final!A2218,#REF!)</f>
        <v>#REF!</v>
      </c>
      <c r="D2218" s="1597" t="e">
        <f>+SUMIF(#REF!,Final!A2218,#REF!)</f>
        <v>#REF!</v>
      </c>
      <c r="E2218" s="1643" t="e">
        <f>SUMIF(#REF!,Final!A2218,#REF!)</f>
        <v>#REF!</v>
      </c>
      <c r="F2218" s="1644" t="e">
        <f>SUMIF(#REF!,Final!A2218,#REF!)</f>
        <v>#REF!</v>
      </c>
      <c r="G2218" s="1597" t="e">
        <f t="shared" si="232"/>
        <v>#REF!</v>
      </c>
      <c r="H2218" s="1644" t="e">
        <f t="shared" si="233"/>
        <v>#REF!</v>
      </c>
      <c r="I2218" s="1597" t="e">
        <f t="shared" si="234"/>
        <v>#REF!</v>
      </c>
      <c r="J2218" s="1644" t="e">
        <f t="shared" si="235"/>
        <v>#REF!</v>
      </c>
      <c r="K2218" s="1539"/>
      <c r="L2218" s="1539"/>
      <c r="M2218" s="1545"/>
      <c r="N2218" s="1545"/>
      <c r="O2218" s="1539"/>
      <c r="P2218" s="1539"/>
      <c r="Q2218" s="1539"/>
      <c r="R2218" s="1539"/>
      <c r="S2218" s="1539"/>
      <c r="T2218" s="1539"/>
      <c r="U2218" s="1539"/>
      <c r="V2218" s="1539"/>
      <c r="W2218" s="1539"/>
      <c r="X2218" s="1539"/>
      <c r="Y2218" s="1539"/>
      <c r="Z2218" s="1539"/>
      <c r="AA2218" s="1539"/>
      <c r="AB2218" s="1539"/>
      <c r="AC2218" s="1539"/>
      <c r="AD2218" s="1539"/>
      <c r="AE2218" s="1539"/>
      <c r="AF2218" s="1539"/>
      <c r="AG2218" s="1539"/>
      <c r="AH2218" s="1539"/>
      <c r="AI2218" s="1539"/>
      <c r="AJ2218" s="1539"/>
      <c r="AK2218" s="1539"/>
      <c r="AL2218" s="1539"/>
      <c r="AM2218" s="1539"/>
      <c r="AN2218" s="1539"/>
      <c r="AO2218" s="1539"/>
      <c r="AP2218" s="1539"/>
      <c r="AQ2218" s="1539"/>
      <c r="AR2218" s="1539"/>
      <c r="AS2218" s="1539"/>
      <c r="AT2218" s="1539"/>
      <c r="AU2218" s="1539"/>
      <c r="AV2218" s="1539"/>
      <c r="AW2218" s="1539"/>
      <c r="AX2218" s="1539"/>
      <c r="AY2218" s="1539"/>
      <c r="AZ2218" s="1539"/>
      <c r="BA2218" s="1539"/>
      <c r="BB2218" s="1539"/>
      <c r="BC2218" s="1539"/>
      <c r="BD2218" s="1539"/>
      <c r="BE2218" s="1539"/>
      <c r="BF2218" s="1539"/>
      <c r="BG2218" s="1539"/>
      <c r="BH2218" s="1539"/>
      <c r="BI2218" s="1539"/>
      <c r="BJ2218" s="1539"/>
      <c r="BK2218" s="1539"/>
      <c r="BL2218" s="1539"/>
      <c r="BM2218" s="1539"/>
      <c r="BN2218" s="1539"/>
      <c r="BO2218" s="1539"/>
      <c r="BP2218" s="1539"/>
      <c r="BQ2218" s="1539"/>
      <c r="BR2218" s="1539"/>
      <c r="BS2218" s="1539"/>
      <c r="BT2218" s="1539"/>
      <c r="BU2218" s="1539"/>
      <c r="BV2218" s="1539"/>
      <c r="BW2218" s="1539"/>
      <c r="BX2218" s="1539"/>
      <c r="BY2218" s="1539"/>
      <c r="BZ2218" s="1539"/>
      <c r="CA2218" s="1539"/>
      <c r="CB2218" s="1539"/>
      <c r="CC2218" s="1539"/>
      <c r="CD2218" s="1539"/>
      <c r="CE2218" s="1539"/>
      <c r="CF2218" s="1539"/>
      <c r="CG2218" s="1539"/>
      <c r="CH2218" s="1539"/>
      <c r="CI2218" s="1539"/>
      <c r="CJ2218" s="1539"/>
      <c r="CK2218" s="1539"/>
      <c r="CL2218" s="1539"/>
      <c r="CM2218" s="1539"/>
      <c r="CN2218" s="1539"/>
      <c r="CO2218" s="1539"/>
    </row>
    <row r="2219" spans="1:93" s="1552" customFormat="1" ht="15.5">
      <c r="A2219" s="1598" t="s">
        <v>2916</v>
      </c>
      <c r="B2219" s="1599" t="s">
        <v>2006</v>
      </c>
      <c r="C2219" s="1643" t="e">
        <f>+SUMIF(#REF!,Final!A2219,#REF!)</f>
        <v>#REF!</v>
      </c>
      <c r="D2219" s="1597" t="e">
        <f>+SUMIF(#REF!,Final!A2219,#REF!)</f>
        <v>#REF!</v>
      </c>
      <c r="E2219" s="1643" t="e">
        <f>SUMIF(#REF!,Final!A2219,#REF!)</f>
        <v>#REF!</v>
      </c>
      <c r="F2219" s="1644" t="e">
        <f>SUMIF(#REF!,Final!A2219,#REF!)</f>
        <v>#REF!</v>
      </c>
      <c r="G2219" s="1597" t="e">
        <f t="shared" si="232"/>
        <v>#REF!</v>
      </c>
      <c r="H2219" s="1644" t="e">
        <f t="shared" si="233"/>
        <v>#REF!</v>
      </c>
      <c r="I2219" s="1597" t="e">
        <f t="shared" si="234"/>
        <v>#REF!</v>
      </c>
      <c r="J2219" s="1644" t="e">
        <f t="shared" si="235"/>
        <v>#REF!</v>
      </c>
      <c r="K2219" s="1539"/>
      <c r="L2219" s="1539"/>
      <c r="M2219" s="1545"/>
      <c r="N2219" s="1545"/>
      <c r="O2219" s="1539"/>
      <c r="P2219" s="1539"/>
      <c r="Q2219" s="1539"/>
      <c r="R2219" s="1539"/>
      <c r="S2219" s="1539"/>
      <c r="T2219" s="1539"/>
      <c r="U2219" s="1539"/>
      <c r="V2219" s="1539"/>
      <c r="W2219" s="1539"/>
      <c r="X2219" s="1539"/>
      <c r="Y2219" s="1539"/>
      <c r="Z2219" s="1539"/>
      <c r="AA2219" s="1539"/>
      <c r="AB2219" s="1539"/>
      <c r="AC2219" s="1539"/>
      <c r="AD2219" s="1539"/>
      <c r="AE2219" s="1539"/>
      <c r="AF2219" s="1539"/>
      <c r="AG2219" s="1539"/>
      <c r="AH2219" s="1539"/>
      <c r="AI2219" s="1539"/>
      <c r="AJ2219" s="1539"/>
      <c r="AK2219" s="1539"/>
      <c r="AL2219" s="1539"/>
      <c r="AM2219" s="1539"/>
      <c r="AN2219" s="1539"/>
      <c r="AO2219" s="1539"/>
      <c r="AP2219" s="1539"/>
      <c r="AQ2219" s="1539"/>
      <c r="AR2219" s="1539"/>
      <c r="AS2219" s="1539"/>
      <c r="AT2219" s="1539"/>
      <c r="AU2219" s="1539"/>
      <c r="AV2219" s="1539"/>
      <c r="AW2219" s="1539"/>
      <c r="AX2219" s="1539"/>
      <c r="AY2219" s="1539"/>
      <c r="AZ2219" s="1539"/>
      <c r="BA2219" s="1539"/>
      <c r="BB2219" s="1539"/>
      <c r="BC2219" s="1539"/>
      <c r="BD2219" s="1539"/>
      <c r="BE2219" s="1539"/>
      <c r="BF2219" s="1539"/>
      <c r="BG2219" s="1539"/>
      <c r="BH2219" s="1539"/>
      <c r="BI2219" s="1539"/>
      <c r="BJ2219" s="1539"/>
      <c r="BK2219" s="1539"/>
      <c r="BL2219" s="1539"/>
      <c r="BM2219" s="1539"/>
      <c r="BN2219" s="1539"/>
      <c r="BO2219" s="1539"/>
      <c r="BP2219" s="1539"/>
      <c r="BQ2219" s="1539"/>
      <c r="BR2219" s="1539"/>
      <c r="BS2219" s="1539"/>
      <c r="BT2219" s="1539"/>
      <c r="BU2219" s="1539"/>
      <c r="BV2219" s="1539"/>
      <c r="BW2219" s="1539"/>
      <c r="BX2219" s="1539"/>
      <c r="BY2219" s="1539"/>
      <c r="BZ2219" s="1539"/>
      <c r="CA2219" s="1539"/>
      <c r="CB2219" s="1539"/>
      <c r="CC2219" s="1539"/>
      <c r="CD2219" s="1539"/>
      <c r="CE2219" s="1539"/>
      <c r="CF2219" s="1539"/>
      <c r="CG2219" s="1539"/>
      <c r="CH2219" s="1539"/>
      <c r="CI2219" s="1539"/>
      <c r="CJ2219" s="1539"/>
      <c r="CK2219" s="1539"/>
      <c r="CL2219" s="1539"/>
      <c r="CM2219" s="1539"/>
      <c r="CN2219" s="1539"/>
      <c r="CO2219" s="1539"/>
    </row>
    <row r="2220" spans="1:93" s="1542" customFormat="1" ht="13.5" customHeight="1">
      <c r="A2220" s="1598">
        <v>14</v>
      </c>
      <c r="B2220" s="1599" t="s">
        <v>1868</v>
      </c>
      <c r="C2220" s="1643" t="e">
        <f>+SUMIF(#REF!,Final!A2220,#REF!)</f>
        <v>#REF!</v>
      </c>
      <c r="D2220" s="1597" t="e">
        <f>+SUMIF(#REF!,Final!A2220,#REF!)</f>
        <v>#REF!</v>
      </c>
      <c r="E2220" s="1643" t="e">
        <f>SUMIF(#REF!,Final!A2220,#REF!)</f>
        <v>#REF!</v>
      </c>
      <c r="F2220" s="1644" t="e">
        <f>SUMIF(#REF!,Final!A2220,#REF!)</f>
        <v>#REF!</v>
      </c>
      <c r="G2220" s="1597" t="e">
        <f t="shared" si="232"/>
        <v>#REF!</v>
      </c>
      <c r="H2220" s="1644" t="e">
        <f t="shared" si="233"/>
        <v>#REF!</v>
      </c>
      <c r="I2220" s="1597" t="e">
        <f t="shared" si="234"/>
        <v>#REF!</v>
      </c>
      <c r="J2220" s="1644" t="e">
        <f t="shared" si="235"/>
        <v>#REF!</v>
      </c>
      <c r="K2220" s="1539"/>
      <c r="L2220" s="1539"/>
      <c r="M2220" s="1545"/>
      <c r="N2220" s="1545"/>
      <c r="O2220" s="1539"/>
      <c r="P2220" s="1539"/>
      <c r="Q2220" s="1539"/>
      <c r="R2220" s="1539"/>
      <c r="S2220" s="1539"/>
      <c r="T2220" s="1539"/>
      <c r="U2220" s="1539"/>
      <c r="V2220" s="1539"/>
      <c r="W2220" s="1539"/>
      <c r="X2220" s="1539"/>
      <c r="Y2220" s="1539"/>
      <c r="Z2220" s="1539"/>
      <c r="AA2220" s="1539"/>
      <c r="AB2220" s="1539"/>
      <c r="AC2220" s="1539"/>
      <c r="AD2220" s="1539"/>
      <c r="AE2220" s="1539"/>
      <c r="AF2220" s="1539"/>
      <c r="AG2220" s="1539"/>
      <c r="AH2220" s="1539"/>
      <c r="AI2220" s="1539"/>
      <c r="AJ2220" s="1539"/>
      <c r="AK2220" s="1539"/>
      <c r="AL2220" s="1539"/>
      <c r="AM2220" s="1539"/>
      <c r="AN2220" s="1539"/>
      <c r="AO2220" s="1539"/>
      <c r="AP2220" s="1539"/>
      <c r="AQ2220" s="1539"/>
      <c r="AR2220" s="1539"/>
      <c r="AS2220" s="1539"/>
      <c r="AT2220" s="1539"/>
      <c r="AU2220" s="1539"/>
      <c r="AV2220" s="1539"/>
      <c r="AW2220" s="1539"/>
      <c r="AX2220" s="1539"/>
      <c r="AY2220" s="1539"/>
      <c r="AZ2220" s="1539"/>
      <c r="BA2220" s="1539"/>
      <c r="BB2220" s="1539"/>
      <c r="BC2220" s="1539"/>
      <c r="BD2220" s="1539"/>
      <c r="BE2220" s="1539"/>
      <c r="BF2220" s="1539"/>
      <c r="BG2220" s="1539"/>
      <c r="BH2220" s="1539"/>
      <c r="BI2220" s="1539"/>
      <c r="BJ2220" s="1539"/>
      <c r="BK2220" s="1539"/>
      <c r="BL2220" s="1539"/>
      <c r="BM2220" s="1539"/>
      <c r="BN2220" s="1539"/>
      <c r="BO2220" s="1539"/>
      <c r="BP2220" s="1539"/>
      <c r="BQ2220" s="1539"/>
      <c r="BR2220" s="1539"/>
      <c r="BS2220" s="1539"/>
      <c r="BT2220" s="1539"/>
      <c r="BU2220" s="1539"/>
      <c r="BV2220" s="1539"/>
      <c r="BW2220" s="1539"/>
      <c r="BX2220" s="1539"/>
      <c r="BY2220" s="1539"/>
      <c r="BZ2220" s="1539"/>
      <c r="CA2220" s="1539"/>
      <c r="CB2220" s="1539"/>
      <c r="CC2220" s="1539"/>
      <c r="CD2220" s="1539"/>
      <c r="CE2220" s="1539"/>
      <c r="CF2220" s="1539"/>
      <c r="CG2220" s="1539"/>
      <c r="CH2220" s="1539"/>
      <c r="CI2220" s="1539"/>
      <c r="CJ2220" s="1539"/>
      <c r="CK2220" s="1539"/>
      <c r="CL2220" s="1539"/>
      <c r="CM2220" s="1539"/>
      <c r="CN2220" s="1539"/>
      <c r="CO2220" s="1539"/>
    </row>
    <row r="2221" spans="1:93" s="1542" customFormat="1" ht="15.5">
      <c r="A2221" s="1598" t="s">
        <v>1762</v>
      </c>
      <c r="B2221" s="1599" t="s">
        <v>1869</v>
      </c>
      <c r="C2221" s="1643" t="e">
        <f>+SUMIF(#REF!,Final!A2221,#REF!)</f>
        <v>#REF!</v>
      </c>
      <c r="D2221" s="1597" t="e">
        <f>+SUMIF(#REF!,Final!A2221,#REF!)</f>
        <v>#REF!</v>
      </c>
      <c r="E2221" s="1643" t="e">
        <f>SUMIF(#REF!,Final!A2221,#REF!)</f>
        <v>#REF!</v>
      </c>
      <c r="F2221" s="1644" t="e">
        <f>SUMIF(#REF!,Final!A2221,#REF!)</f>
        <v>#REF!</v>
      </c>
      <c r="G2221" s="1597" t="e">
        <f t="shared" si="232"/>
        <v>#REF!</v>
      </c>
      <c r="H2221" s="1644" t="e">
        <f t="shared" si="233"/>
        <v>#REF!</v>
      </c>
      <c r="I2221" s="1597" t="e">
        <f t="shared" si="234"/>
        <v>#REF!</v>
      </c>
      <c r="J2221" s="1644" t="e">
        <f t="shared" si="235"/>
        <v>#REF!</v>
      </c>
      <c r="K2221" s="1539"/>
      <c r="L2221" s="1539"/>
      <c r="M2221" s="1545"/>
      <c r="N2221" s="1545"/>
      <c r="O2221" s="1539"/>
      <c r="P2221" s="1539"/>
      <c r="Q2221" s="1539"/>
      <c r="R2221" s="1539"/>
      <c r="S2221" s="1539"/>
      <c r="T2221" s="1539"/>
      <c r="U2221" s="1539"/>
      <c r="V2221" s="1539"/>
      <c r="W2221" s="1539"/>
      <c r="X2221" s="1539"/>
      <c r="Y2221" s="1539"/>
      <c r="Z2221" s="1539"/>
      <c r="AA2221" s="1539"/>
      <c r="AB2221" s="1539"/>
      <c r="AC2221" s="1539"/>
      <c r="AD2221" s="1539"/>
      <c r="AE2221" s="1539"/>
      <c r="AF2221" s="1539"/>
      <c r="AG2221" s="1539"/>
      <c r="AH2221" s="1539"/>
      <c r="AI2221" s="1539"/>
      <c r="AJ2221" s="1539"/>
      <c r="AK2221" s="1539"/>
      <c r="AL2221" s="1539"/>
      <c r="AM2221" s="1539"/>
      <c r="AN2221" s="1539"/>
      <c r="AO2221" s="1539"/>
      <c r="AP2221" s="1539"/>
      <c r="AQ2221" s="1539"/>
      <c r="AR2221" s="1539"/>
      <c r="AS2221" s="1539"/>
      <c r="AT2221" s="1539"/>
      <c r="AU2221" s="1539"/>
      <c r="AV2221" s="1539"/>
      <c r="AW2221" s="1539"/>
      <c r="AX2221" s="1539"/>
      <c r="AY2221" s="1539"/>
      <c r="AZ2221" s="1539"/>
      <c r="BA2221" s="1539"/>
      <c r="BB2221" s="1539"/>
      <c r="BC2221" s="1539"/>
      <c r="BD2221" s="1539"/>
      <c r="BE2221" s="1539"/>
      <c r="BF2221" s="1539"/>
      <c r="BG2221" s="1539"/>
      <c r="BH2221" s="1539"/>
      <c r="BI2221" s="1539"/>
      <c r="BJ2221" s="1539"/>
      <c r="BK2221" s="1539"/>
      <c r="BL2221" s="1539"/>
      <c r="BM2221" s="1539"/>
      <c r="BN2221" s="1539"/>
      <c r="BO2221" s="1539"/>
      <c r="BP2221" s="1539"/>
      <c r="BQ2221" s="1539"/>
      <c r="BR2221" s="1539"/>
      <c r="BS2221" s="1539"/>
      <c r="BT2221" s="1539"/>
      <c r="BU2221" s="1539"/>
      <c r="BV2221" s="1539"/>
      <c r="BW2221" s="1539"/>
      <c r="BX2221" s="1539"/>
      <c r="BY2221" s="1539"/>
      <c r="BZ2221" s="1539"/>
      <c r="CA2221" s="1539"/>
      <c r="CB2221" s="1539"/>
      <c r="CC2221" s="1539"/>
      <c r="CD2221" s="1539"/>
      <c r="CE2221" s="1539"/>
      <c r="CF2221" s="1539"/>
      <c r="CG2221" s="1539"/>
      <c r="CH2221" s="1539"/>
      <c r="CI2221" s="1539"/>
      <c r="CJ2221" s="1539"/>
      <c r="CK2221" s="1539"/>
      <c r="CL2221" s="1539"/>
      <c r="CM2221" s="1539"/>
      <c r="CN2221" s="1539"/>
      <c r="CO2221" s="1539"/>
    </row>
    <row r="2222" spans="1:93" ht="15.5">
      <c r="A2222" s="1600">
        <v>47.11</v>
      </c>
      <c r="B2222" s="1599" t="s">
        <v>1870</v>
      </c>
      <c r="C2222" s="1643" t="e">
        <f>+SUMIF(#REF!,Final!A2222,#REF!)</f>
        <v>#REF!</v>
      </c>
      <c r="D2222" s="1597" t="e">
        <f>+SUMIF(#REF!,Final!A2222,#REF!)</f>
        <v>#REF!</v>
      </c>
      <c r="E2222" s="1643" t="e">
        <f>SUMIF(#REF!,Final!A2222,#REF!)</f>
        <v>#REF!</v>
      </c>
      <c r="F2222" s="1644" t="e">
        <f>SUMIF(#REF!,Final!A2222,#REF!)</f>
        <v>#REF!</v>
      </c>
      <c r="G2222" s="1597" t="e">
        <f t="shared" si="232"/>
        <v>#REF!</v>
      </c>
      <c r="H2222" s="1644" t="e">
        <f t="shared" si="233"/>
        <v>#REF!</v>
      </c>
      <c r="I2222" s="1597" t="e">
        <f t="shared" si="234"/>
        <v>#REF!</v>
      </c>
      <c r="J2222" s="1644" t="e">
        <f t="shared" si="235"/>
        <v>#REF!</v>
      </c>
      <c r="M2222" s="1545"/>
      <c r="N2222" s="1545"/>
    </row>
    <row r="2223" spans="1:93" ht="15.5">
      <c r="A2223" s="1600">
        <v>47.110999999999997</v>
      </c>
      <c r="B2223" s="1599" t="s">
        <v>1871</v>
      </c>
      <c r="C2223" s="1643" t="e">
        <f>+SUMIF(#REF!,Final!A2223,#REF!)</f>
        <v>#REF!</v>
      </c>
      <c r="D2223" s="1597" t="e">
        <f>+SUMIF(#REF!,Final!A2223,#REF!)</f>
        <v>#REF!</v>
      </c>
      <c r="E2223" s="1643" t="e">
        <f>SUMIF(#REF!,Final!A2223,#REF!)</f>
        <v>#REF!</v>
      </c>
      <c r="F2223" s="1644" t="e">
        <f>SUMIF(#REF!,Final!A2223,#REF!)</f>
        <v>#REF!</v>
      </c>
      <c r="G2223" s="1597" t="e">
        <f t="shared" si="232"/>
        <v>#REF!</v>
      </c>
      <c r="H2223" s="1644" t="e">
        <f t="shared" si="233"/>
        <v>#REF!</v>
      </c>
      <c r="I2223" s="1597" t="e">
        <f t="shared" si="234"/>
        <v>#REF!</v>
      </c>
      <c r="J2223" s="1644" t="e">
        <f t="shared" si="235"/>
        <v>#REF!</v>
      </c>
      <c r="M2223" s="1545"/>
      <c r="N2223" s="1545"/>
    </row>
    <row r="2224" spans="1:93" ht="15.5">
      <c r="A2224" s="1600">
        <v>47.115000000000002</v>
      </c>
      <c r="B2224" s="1599" t="s">
        <v>1872</v>
      </c>
      <c r="C2224" s="1643" t="e">
        <f>+SUMIF(#REF!,Final!A2224,#REF!)</f>
        <v>#REF!</v>
      </c>
      <c r="D2224" s="1597" t="e">
        <f>+SUMIF(#REF!,Final!A2224,#REF!)</f>
        <v>#REF!</v>
      </c>
      <c r="E2224" s="1643" t="e">
        <f>SUMIF(#REF!,Final!A2224,#REF!)</f>
        <v>#REF!</v>
      </c>
      <c r="F2224" s="1644" t="e">
        <f>SUMIF(#REF!,Final!A2224,#REF!)</f>
        <v>#REF!</v>
      </c>
      <c r="G2224" s="1597" t="e">
        <f t="shared" si="232"/>
        <v>#REF!</v>
      </c>
      <c r="H2224" s="1644" t="e">
        <f t="shared" si="233"/>
        <v>#REF!</v>
      </c>
      <c r="I2224" s="1597" t="e">
        <f t="shared" si="234"/>
        <v>#REF!</v>
      </c>
      <c r="J2224" s="1644" t="e">
        <f t="shared" si="235"/>
        <v>#REF!</v>
      </c>
      <c r="M2224" s="1545"/>
      <c r="N2224" s="1545"/>
    </row>
    <row r="2225" spans="1:93" ht="15.5">
      <c r="A2225" s="1600">
        <v>47.116</v>
      </c>
      <c r="B2225" s="1599" t="s">
        <v>1873</v>
      </c>
      <c r="C2225" s="1643" t="e">
        <f>+SUMIF(#REF!,Final!A2225,#REF!)</f>
        <v>#REF!</v>
      </c>
      <c r="D2225" s="1597" t="e">
        <f>+SUMIF(#REF!,Final!A2225,#REF!)</f>
        <v>#REF!</v>
      </c>
      <c r="E2225" s="1643" t="e">
        <f>SUMIF(#REF!,Final!A2225,#REF!)</f>
        <v>#REF!</v>
      </c>
      <c r="F2225" s="1644" t="e">
        <f>SUMIF(#REF!,Final!A2225,#REF!)</f>
        <v>#REF!</v>
      </c>
      <c r="G2225" s="1597" t="e">
        <f t="shared" si="232"/>
        <v>#REF!</v>
      </c>
      <c r="H2225" s="1644" t="e">
        <f t="shared" si="233"/>
        <v>#REF!</v>
      </c>
      <c r="I2225" s="1597" t="e">
        <f t="shared" si="234"/>
        <v>#REF!</v>
      </c>
      <c r="J2225" s="1644" t="e">
        <f t="shared" si="235"/>
        <v>#REF!</v>
      </c>
      <c r="M2225" s="1545"/>
      <c r="N2225" s="1545"/>
    </row>
    <row r="2226" spans="1:93" ht="15.5">
      <c r="A2226" s="1600">
        <v>47.12</v>
      </c>
      <c r="B2226" s="1599" t="s">
        <v>1874</v>
      </c>
      <c r="C2226" s="1643" t="e">
        <f>+SUMIF(#REF!,Final!A2226,#REF!)</f>
        <v>#REF!</v>
      </c>
      <c r="D2226" s="1597" t="e">
        <f>+SUMIF(#REF!,Final!A2226,#REF!)</f>
        <v>#REF!</v>
      </c>
      <c r="E2226" s="1643" t="e">
        <f>SUMIF(#REF!,Final!A2226,#REF!)</f>
        <v>#REF!</v>
      </c>
      <c r="F2226" s="1644" t="e">
        <f>SUMIF(#REF!,Final!A2226,#REF!)</f>
        <v>#REF!</v>
      </c>
      <c r="G2226" s="1597" t="e">
        <f t="shared" si="232"/>
        <v>#REF!</v>
      </c>
      <c r="H2226" s="1644" t="e">
        <f t="shared" si="233"/>
        <v>#REF!</v>
      </c>
      <c r="I2226" s="1597" t="e">
        <f t="shared" si="234"/>
        <v>#REF!</v>
      </c>
      <c r="J2226" s="1644" t="e">
        <f t="shared" si="235"/>
        <v>#REF!</v>
      </c>
      <c r="M2226" s="1545"/>
      <c r="N2226" s="1545"/>
    </row>
    <row r="2227" spans="1:93" ht="15.5">
      <c r="A2227" s="1600">
        <v>47.121000000000002</v>
      </c>
      <c r="B2227" s="1599" t="s">
        <v>1875</v>
      </c>
      <c r="C2227" s="1643" t="e">
        <f>+SUMIF(#REF!,Final!A2227,#REF!)</f>
        <v>#REF!</v>
      </c>
      <c r="D2227" s="1597" t="e">
        <f>+SUMIF(#REF!,Final!A2227,#REF!)</f>
        <v>#REF!</v>
      </c>
      <c r="E2227" s="1643" t="e">
        <f>SUMIF(#REF!,Final!A2227,#REF!)</f>
        <v>#REF!</v>
      </c>
      <c r="F2227" s="1644" t="e">
        <f>SUMIF(#REF!,Final!A2227,#REF!)</f>
        <v>#REF!</v>
      </c>
      <c r="G2227" s="1597" t="e">
        <f t="shared" si="232"/>
        <v>#REF!</v>
      </c>
      <c r="H2227" s="1644" t="e">
        <f t="shared" si="233"/>
        <v>#REF!</v>
      </c>
      <c r="I2227" s="1597" t="e">
        <f t="shared" si="234"/>
        <v>#REF!</v>
      </c>
      <c r="J2227" s="1644" t="e">
        <f t="shared" si="235"/>
        <v>#REF!</v>
      </c>
      <c r="M2227" s="1545"/>
      <c r="N2227" s="1545"/>
    </row>
    <row r="2228" spans="1:93" ht="15.5">
      <c r="A2228" s="1600">
        <v>47.13</v>
      </c>
      <c r="B2228" s="1599" t="s">
        <v>1876</v>
      </c>
      <c r="C2228" s="1643" t="e">
        <f>+SUMIF(#REF!,Final!A2228,#REF!)</f>
        <v>#REF!</v>
      </c>
      <c r="D2228" s="1597" t="e">
        <f>+SUMIF(#REF!,Final!A2228,#REF!)</f>
        <v>#REF!</v>
      </c>
      <c r="E2228" s="1643" t="e">
        <f>SUMIF(#REF!,Final!A2228,#REF!)</f>
        <v>#REF!</v>
      </c>
      <c r="F2228" s="1644" t="e">
        <f>SUMIF(#REF!,Final!A2228,#REF!)</f>
        <v>#REF!</v>
      </c>
      <c r="G2228" s="1597" t="e">
        <f t="shared" si="232"/>
        <v>#REF!</v>
      </c>
      <c r="H2228" s="1644" t="e">
        <f t="shared" si="233"/>
        <v>#REF!</v>
      </c>
      <c r="I2228" s="1597" t="e">
        <f t="shared" si="234"/>
        <v>#REF!</v>
      </c>
      <c r="J2228" s="1644" t="e">
        <f t="shared" si="235"/>
        <v>#REF!</v>
      </c>
      <c r="M2228" s="1545"/>
      <c r="N2228" s="1545"/>
    </row>
    <row r="2229" spans="1:93" s="1542" customFormat="1" ht="15.5">
      <c r="A2229" s="1600">
        <v>47.131</v>
      </c>
      <c r="B2229" s="1599" t="s">
        <v>1877</v>
      </c>
      <c r="C2229" s="1643" t="e">
        <f>+SUMIF(#REF!,Final!A2229,#REF!)</f>
        <v>#REF!</v>
      </c>
      <c r="D2229" s="1597" t="e">
        <f>+SUMIF(#REF!,Final!A2229,#REF!)</f>
        <v>#REF!</v>
      </c>
      <c r="E2229" s="1643" t="e">
        <f>SUMIF(#REF!,Final!A2229,#REF!)</f>
        <v>#REF!</v>
      </c>
      <c r="F2229" s="1644" t="e">
        <f>SUMIF(#REF!,Final!A2229,#REF!)</f>
        <v>#REF!</v>
      </c>
      <c r="G2229" s="1597" t="e">
        <f t="shared" si="232"/>
        <v>#REF!</v>
      </c>
      <c r="H2229" s="1644" t="e">
        <f t="shared" si="233"/>
        <v>#REF!</v>
      </c>
      <c r="I2229" s="1597" t="e">
        <f t="shared" si="234"/>
        <v>#REF!</v>
      </c>
      <c r="J2229" s="1644" t="e">
        <f t="shared" si="235"/>
        <v>#REF!</v>
      </c>
      <c r="K2229" s="1539"/>
      <c r="L2229" s="1539"/>
      <c r="M2229" s="1545"/>
      <c r="N2229" s="1545"/>
      <c r="O2229" s="1539"/>
      <c r="P2229" s="1539"/>
      <c r="Q2229" s="1539"/>
      <c r="R2229" s="1539"/>
      <c r="S2229" s="1539"/>
      <c r="T2229" s="1539"/>
      <c r="U2229" s="1539"/>
      <c r="V2229" s="1539"/>
      <c r="W2229" s="1539"/>
      <c r="X2229" s="1539"/>
      <c r="Y2229" s="1539"/>
      <c r="Z2229" s="1539"/>
      <c r="AA2229" s="1539"/>
      <c r="AB2229" s="1539"/>
      <c r="AC2229" s="1539"/>
      <c r="AD2229" s="1539"/>
      <c r="AE2229" s="1539"/>
      <c r="AF2229" s="1539"/>
      <c r="AG2229" s="1539"/>
      <c r="AH2229" s="1539"/>
      <c r="AI2229" s="1539"/>
      <c r="AJ2229" s="1539"/>
      <c r="AK2229" s="1539"/>
      <c r="AL2229" s="1539"/>
      <c r="AM2229" s="1539"/>
      <c r="AN2229" s="1539"/>
      <c r="AO2229" s="1539"/>
      <c r="AP2229" s="1539"/>
      <c r="AQ2229" s="1539"/>
      <c r="AR2229" s="1539"/>
      <c r="AS2229" s="1539"/>
      <c r="AT2229" s="1539"/>
      <c r="AU2229" s="1539"/>
      <c r="AV2229" s="1539"/>
      <c r="AW2229" s="1539"/>
      <c r="AX2229" s="1539"/>
      <c r="AY2229" s="1539"/>
      <c r="AZ2229" s="1539"/>
      <c r="BA2229" s="1539"/>
      <c r="BB2229" s="1539"/>
      <c r="BC2229" s="1539"/>
      <c r="BD2229" s="1539"/>
      <c r="BE2229" s="1539"/>
      <c r="BF2229" s="1539"/>
      <c r="BG2229" s="1539"/>
      <c r="BH2229" s="1539"/>
      <c r="BI2229" s="1539"/>
      <c r="BJ2229" s="1539"/>
      <c r="BK2229" s="1539"/>
      <c r="BL2229" s="1539"/>
      <c r="BM2229" s="1539"/>
      <c r="BN2229" s="1539"/>
      <c r="BO2229" s="1539"/>
      <c r="BP2229" s="1539"/>
      <c r="BQ2229" s="1539"/>
      <c r="BR2229" s="1539"/>
      <c r="BS2229" s="1539"/>
      <c r="BT2229" s="1539"/>
      <c r="BU2229" s="1539"/>
      <c r="BV2229" s="1539"/>
      <c r="BW2229" s="1539"/>
      <c r="BX2229" s="1539"/>
      <c r="BY2229" s="1539"/>
      <c r="BZ2229" s="1539"/>
      <c r="CA2229" s="1539"/>
      <c r="CB2229" s="1539"/>
      <c r="CC2229" s="1539"/>
      <c r="CD2229" s="1539"/>
      <c r="CE2229" s="1539"/>
      <c r="CF2229" s="1539"/>
      <c r="CG2229" s="1539"/>
      <c r="CH2229" s="1539"/>
      <c r="CI2229" s="1539"/>
      <c r="CJ2229" s="1539"/>
      <c r="CK2229" s="1539"/>
      <c r="CL2229" s="1539"/>
      <c r="CM2229" s="1539"/>
      <c r="CN2229" s="1539"/>
      <c r="CO2229" s="1539"/>
    </row>
    <row r="2230" spans="1:93" ht="15.5">
      <c r="A2230" s="1600">
        <v>47.14</v>
      </c>
      <c r="B2230" s="1599" t="s">
        <v>1878</v>
      </c>
      <c r="C2230" s="1643" t="e">
        <f>+SUMIF(#REF!,Final!A2230,#REF!)</f>
        <v>#REF!</v>
      </c>
      <c r="D2230" s="1597" t="e">
        <f>+SUMIF(#REF!,Final!A2230,#REF!)</f>
        <v>#REF!</v>
      </c>
      <c r="E2230" s="1643" t="e">
        <f>SUMIF(#REF!,Final!A2230,#REF!)</f>
        <v>#REF!</v>
      </c>
      <c r="F2230" s="1644" t="e">
        <f>SUMIF(#REF!,Final!A2230,#REF!)</f>
        <v>#REF!</v>
      </c>
      <c r="G2230" s="1597" t="e">
        <f t="shared" si="232"/>
        <v>#REF!</v>
      </c>
      <c r="H2230" s="1644" t="e">
        <f t="shared" si="233"/>
        <v>#REF!</v>
      </c>
      <c r="I2230" s="1597" t="e">
        <f t="shared" si="234"/>
        <v>#REF!</v>
      </c>
      <c r="J2230" s="1644" t="e">
        <f t="shared" si="235"/>
        <v>#REF!</v>
      </c>
      <c r="M2230" s="1545"/>
      <c r="N2230" s="1545"/>
    </row>
    <row r="2231" spans="1:93" ht="15.5">
      <c r="A2231" s="1600">
        <v>47.140999999999998</v>
      </c>
      <c r="B2231" s="1599" t="s">
        <v>1879</v>
      </c>
      <c r="C2231" s="1643" t="e">
        <f>+SUMIF(#REF!,Final!A2231,#REF!)</f>
        <v>#REF!</v>
      </c>
      <c r="D2231" s="1597" t="e">
        <f>+SUMIF(#REF!,Final!A2231,#REF!)</f>
        <v>#REF!</v>
      </c>
      <c r="E2231" s="1643" t="e">
        <f>SUMIF(#REF!,Final!A2231,#REF!)</f>
        <v>#REF!</v>
      </c>
      <c r="F2231" s="1644" t="e">
        <f>SUMIF(#REF!,Final!A2231,#REF!)</f>
        <v>#REF!</v>
      </c>
      <c r="G2231" s="1597" t="e">
        <f t="shared" si="232"/>
        <v>#REF!</v>
      </c>
      <c r="H2231" s="1644" t="e">
        <f t="shared" si="233"/>
        <v>#REF!</v>
      </c>
      <c r="I2231" s="1597" t="e">
        <f t="shared" si="234"/>
        <v>#REF!</v>
      </c>
      <c r="J2231" s="1644" t="e">
        <f t="shared" si="235"/>
        <v>#REF!</v>
      </c>
      <c r="M2231" s="1545"/>
      <c r="N2231" s="1545"/>
    </row>
    <row r="2232" spans="1:93" ht="15.5">
      <c r="A2232" s="1600">
        <v>47.15</v>
      </c>
      <c r="B2232" s="1599" t="s">
        <v>1880</v>
      </c>
      <c r="C2232" s="1643" t="e">
        <f>+SUMIF(#REF!,Final!A2232,#REF!)</f>
        <v>#REF!</v>
      </c>
      <c r="D2232" s="1597" t="e">
        <f>+SUMIF(#REF!,Final!A2232,#REF!)</f>
        <v>#REF!</v>
      </c>
      <c r="E2232" s="1643" t="e">
        <f>SUMIF(#REF!,Final!A2232,#REF!)</f>
        <v>#REF!</v>
      </c>
      <c r="F2232" s="1644" t="e">
        <f>SUMIF(#REF!,Final!A2232,#REF!)</f>
        <v>#REF!</v>
      </c>
      <c r="G2232" s="1597" t="e">
        <f t="shared" si="232"/>
        <v>#REF!</v>
      </c>
      <c r="H2232" s="1644" t="e">
        <f t="shared" si="233"/>
        <v>#REF!</v>
      </c>
      <c r="I2232" s="1597" t="e">
        <f t="shared" si="234"/>
        <v>#REF!</v>
      </c>
      <c r="J2232" s="1644" t="e">
        <f t="shared" si="235"/>
        <v>#REF!</v>
      </c>
      <c r="M2232" s="1545"/>
      <c r="N2232" s="1545"/>
    </row>
    <row r="2233" spans="1:93" ht="15.5">
      <c r="A2233" s="1600">
        <v>47.151000000000003</v>
      </c>
      <c r="B2233" s="1599" t="s">
        <v>1881</v>
      </c>
      <c r="C2233" s="1643" t="e">
        <f>+SUMIF(#REF!,Final!A2233,#REF!)</f>
        <v>#REF!</v>
      </c>
      <c r="D2233" s="1597" t="e">
        <f>+SUMIF(#REF!,Final!A2233,#REF!)</f>
        <v>#REF!</v>
      </c>
      <c r="E2233" s="1643" t="e">
        <f>SUMIF(#REF!,Final!A2233,#REF!)</f>
        <v>#REF!</v>
      </c>
      <c r="F2233" s="1644" t="e">
        <f>SUMIF(#REF!,Final!A2233,#REF!)</f>
        <v>#REF!</v>
      </c>
      <c r="G2233" s="1597" t="e">
        <f t="shared" si="232"/>
        <v>#REF!</v>
      </c>
      <c r="H2233" s="1644" t="e">
        <f t="shared" si="233"/>
        <v>#REF!</v>
      </c>
      <c r="I2233" s="1597" t="e">
        <f t="shared" si="234"/>
        <v>#REF!</v>
      </c>
      <c r="J2233" s="1644" t="e">
        <f t="shared" si="235"/>
        <v>#REF!</v>
      </c>
      <c r="M2233" s="1545"/>
      <c r="N2233" s="1545"/>
    </row>
    <row r="2234" spans="1:93" ht="15.5">
      <c r="A2234" s="1600">
        <v>47.16</v>
      </c>
      <c r="B2234" s="1599" t="s">
        <v>3453</v>
      </c>
      <c r="C2234" s="1643" t="e">
        <f>+SUMIF(#REF!,Final!A2234,#REF!)</f>
        <v>#REF!</v>
      </c>
      <c r="D2234" s="1597" t="e">
        <f>+SUMIF(#REF!,Final!A2234,#REF!)</f>
        <v>#REF!</v>
      </c>
      <c r="E2234" s="1643" t="e">
        <f>SUMIF(#REF!,Final!A2234,#REF!)</f>
        <v>#REF!</v>
      </c>
      <c r="F2234" s="1644" t="e">
        <f>SUMIF(#REF!,Final!A2234,#REF!)</f>
        <v>#REF!</v>
      </c>
      <c r="G2234" s="1597" t="e">
        <f t="shared" si="232"/>
        <v>#REF!</v>
      </c>
      <c r="H2234" s="1644" t="e">
        <f t="shared" si="233"/>
        <v>#REF!</v>
      </c>
      <c r="I2234" s="1597" t="e">
        <f t="shared" si="234"/>
        <v>#REF!</v>
      </c>
      <c r="J2234" s="1644" t="e">
        <f t="shared" si="235"/>
        <v>#REF!</v>
      </c>
      <c r="M2234" s="1545"/>
      <c r="N2234" s="1545"/>
    </row>
    <row r="2235" spans="1:93" ht="15.5">
      <c r="A2235" s="1600">
        <v>47.161000000000001</v>
      </c>
      <c r="B2235" s="1599" t="s">
        <v>3454</v>
      </c>
      <c r="C2235" s="1643" t="e">
        <f>+SUMIF(#REF!,Final!A2235,#REF!)</f>
        <v>#REF!</v>
      </c>
      <c r="D2235" s="1597" t="e">
        <f>+SUMIF(#REF!,Final!A2235,#REF!)</f>
        <v>#REF!</v>
      </c>
      <c r="E2235" s="1643" t="e">
        <f>SUMIF(#REF!,Final!A2235,#REF!)</f>
        <v>#REF!</v>
      </c>
      <c r="F2235" s="1644" t="e">
        <f>SUMIF(#REF!,Final!A2235,#REF!)</f>
        <v>#REF!</v>
      </c>
      <c r="G2235" s="1597" t="e">
        <f t="shared" si="232"/>
        <v>#REF!</v>
      </c>
      <c r="H2235" s="1644" t="e">
        <f t="shared" si="233"/>
        <v>#REF!</v>
      </c>
      <c r="I2235" s="1597" t="e">
        <f t="shared" si="234"/>
        <v>#REF!</v>
      </c>
      <c r="J2235" s="1644" t="e">
        <f t="shared" si="235"/>
        <v>#REF!</v>
      </c>
      <c r="M2235" s="1545"/>
      <c r="N2235" s="1545"/>
    </row>
    <row r="2236" spans="1:93" ht="15.5">
      <c r="A2236" s="1600">
        <v>47.17</v>
      </c>
      <c r="B2236" s="1599" t="s">
        <v>3933</v>
      </c>
      <c r="C2236" s="1643" t="e">
        <f>+SUMIF(#REF!,Final!A2236,#REF!)</f>
        <v>#REF!</v>
      </c>
      <c r="D2236" s="1597" t="e">
        <f>+SUMIF(#REF!,Final!A2236,#REF!)</f>
        <v>#REF!</v>
      </c>
      <c r="E2236" s="1643" t="e">
        <f>SUMIF(#REF!,Final!A2236,#REF!)</f>
        <v>#REF!</v>
      </c>
      <c r="F2236" s="1644" t="e">
        <f>SUMIF(#REF!,Final!A2236,#REF!)</f>
        <v>#REF!</v>
      </c>
      <c r="G2236" s="1597" t="e">
        <f t="shared" si="232"/>
        <v>#REF!</v>
      </c>
      <c r="H2236" s="1644" t="e">
        <f t="shared" si="233"/>
        <v>#REF!</v>
      </c>
      <c r="I2236" s="1597" t="e">
        <f t="shared" si="234"/>
        <v>#REF!</v>
      </c>
      <c r="J2236" s="1644" t="e">
        <f t="shared" si="235"/>
        <v>#REF!</v>
      </c>
      <c r="M2236" s="1545"/>
      <c r="N2236" s="1545"/>
    </row>
    <row r="2237" spans="1:93" ht="15.5">
      <c r="A2237" s="1600">
        <v>47.170999999999999</v>
      </c>
      <c r="B2237" s="1599" t="s">
        <v>3934</v>
      </c>
      <c r="C2237" s="1643" t="e">
        <f>+SUMIF(#REF!,Final!A2237,#REF!)</f>
        <v>#REF!</v>
      </c>
      <c r="D2237" s="1597" t="e">
        <f>+SUMIF(#REF!,Final!A2237,#REF!)</f>
        <v>#REF!</v>
      </c>
      <c r="E2237" s="1643" t="e">
        <f>SUMIF(#REF!,Final!A2237,#REF!)</f>
        <v>#REF!</v>
      </c>
      <c r="F2237" s="1644" t="e">
        <f>SUMIF(#REF!,Final!A2237,#REF!)</f>
        <v>#REF!</v>
      </c>
      <c r="G2237" s="1597" t="e">
        <f t="shared" si="232"/>
        <v>#REF!</v>
      </c>
      <c r="H2237" s="1644" t="e">
        <f t="shared" si="233"/>
        <v>#REF!</v>
      </c>
      <c r="I2237" s="1597" t="e">
        <f t="shared" si="234"/>
        <v>#REF!</v>
      </c>
      <c r="J2237" s="1644" t="e">
        <f t="shared" si="235"/>
        <v>#REF!</v>
      </c>
      <c r="M2237" s="1545"/>
      <c r="N2237" s="1545"/>
    </row>
    <row r="2238" spans="1:93" ht="15.5">
      <c r="A2238" s="1600">
        <v>47.174999999999997</v>
      </c>
      <c r="B2238" s="1599" t="s">
        <v>3935</v>
      </c>
      <c r="C2238" s="1643" t="e">
        <f>+SUMIF(#REF!,Final!A2238,#REF!)</f>
        <v>#REF!</v>
      </c>
      <c r="D2238" s="1597" t="e">
        <f>+SUMIF(#REF!,Final!A2238,#REF!)</f>
        <v>#REF!</v>
      </c>
      <c r="E2238" s="1643" t="e">
        <f>SUMIF(#REF!,Final!A2238,#REF!)</f>
        <v>#REF!</v>
      </c>
      <c r="F2238" s="1644" t="e">
        <f>SUMIF(#REF!,Final!A2238,#REF!)</f>
        <v>#REF!</v>
      </c>
      <c r="G2238" s="1597" t="e">
        <f t="shared" si="232"/>
        <v>#REF!</v>
      </c>
      <c r="H2238" s="1644" t="e">
        <f t="shared" si="233"/>
        <v>#REF!</v>
      </c>
      <c r="I2238" s="1597" t="e">
        <f t="shared" si="234"/>
        <v>#REF!</v>
      </c>
      <c r="J2238" s="1644" t="e">
        <f t="shared" si="235"/>
        <v>#REF!</v>
      </c>
      <c r="M2238" s="1545"/>
      <c r="N2238" s="1545"/>
    </row>
    <row r="2239" spans="1:93" ht="15.5">
      <c r="A2239" s="1600">
        <v>47.176000000000002</v>
      </c>
      <c r="B2239" s="1599" t="s">
        <v>3936</v>
      </c>
      <c r="C2239" s="1643" t="e">
        <f>+SUMIF(#REF!,Final!A2239,#REF!)</f>
        <v>#REF!</v>
      </c>
      <c r="D2239" s="1597" t="e">
        <f>+SUMIF(#REF!,Final!A2239,#REF!)</f>
        <v>#REF!</v>
      </c>
      <c r="E2239" s="1643" t="e">
        <f>SUMIF(#REF!,Final!A2239,#REF!)</f>
        <v>#REF!</v>
      </c>
      <c r="F2239" s="1644" t="e">
        <f>SUMIF(#REF!,Final!A2239,#REF!)</f>
        <v>#REF!</v>
      </c>
      <c r="G2239" s="1597" t="e">
        <f t="shared" si="232"/>
        <v>#REF!</v>
      </c>
      <c r="H2239" s="1644" t="e">
        <f t="shared" si="233"/>
        <v>#REF!</v>
      </c>
      <c r="I2239" s="1597" t="e">
        <f t="shared" si="234"/>
        <v>#REF!</v>
      </c>
      <c r="J2239" s="1644" t="e">
        <f t="shared" si="235"/>
        <v>#REF!</v>
      </c>
      <c r="M2239" s="1545"/>
      <c r="N2239" s="1545"/>
    </row>
    <row r="2240" spans="1:93" ht="15.5">
      <c r="A2240" s="1600">
        <v>47.18</v>
      </c>
      <c r="B2240" s="1599" t="s">
        <v>3937</v>
      </c>
      <c r="C2240" s="1643" t="e">
        <f>+SUMIF(#REF!,Final!A2240,#REF!)</f>
        <v>#REF!</v>
      </c>
      <c r="D2240" s="1597" t="e">
        <f>+SUMIF(#REF!,Final!A2240,#REF!)</f>
        <v>#REF!</v>
      </c>
      <c r="E2240" s="1643" t="e">
        <f>SUMIF(#REF!,Final!A2240,#REF!)</f>
        <v>#REF!</v>
      </c>
      <c r="F2240" s="1644" t="e">
        <f>SUMIF(#REF!,Final!A2240,#REF!)</f>
        <v>#REF!</v>
      </c>
      <c r="G2240" s="1597" t="e">
        <f t="shared" si="232"/>
        <v>#REF!</v>
      </c>
      <c r="H2240" s="1644" t="e">
        <f t="shared" si="233"/>
        <v>#REF!</v>
      </c>
      <c r="I2240" s="1597" t="e">
        <f t="shared" si="234"/>
        <v>#REF!</v>
      </c>
      <c r="J2240" s="1644" t="e">
        <f t="shared" si="235"/>
        <v>#REF!</v>
      </c>
      <c r="M2240" s="1545"/>
      <c r="N2240" s="1545"/>
    </row>
    <row r="2241" spans="1:93" ht="15.5">
      <c r="A2241" s="1600">
        <v>47.180999999999997</v>
      </c>
      <c r="B2241" s="1599" t="s">
        <v>3938</v>
      </c>
      <c r="C2241" s="1643" t="e">
        <f>+SUMIF(#REF!,Final!A2241,#REF!)</f>
        <v>#REF!</v>
      </c>
      <c r="D2241" s="1597" t="e">
        <f>+SUMIF(#REF!,Final!A2241,#REF!)</f>
        <v>#REF!</v>
      </c>
      <c r="E2241" s="1643" t="e">
        <f>SUMIF(#REF!,Final!A2241,#REF!)</f>
        <v>#REF!</v>
      </c>
      <c r="F2241" s="1644" t="e">
        <f>SUMIF(#REF!,Final!A2241,#REF!)</f>
        <v>#REF!</v>
      </c>
      <c r="G2241" s="1597" t="e">
        <f t="shared" si="232"/>
        <v>#REF!</v>
      </c>
      <c r="H2241" s="1644" t="e">
        <f t="shared" si="233"/>
        <v>#REF!</v>
      </c>
      <c r="I2241" s="1597" t="e">
        <f t="shared" si="234"/>
        <v>#REF!</v>
      </c>
      <c r="J2241" s="1644" t="e">
        <f t="shared" si="235"/>
        <v>#REF!</v>
      </c>
      <c r="M2241" s="1545"/>
      <c r="N2241" s="1545"/>
    </row>
    <row r="2242" spans="1:93" ht="15.5">
      <c r="A2242" s="1600">
        <v>47.185000000000002</v>
      </c>
      <c r="B2242" s="1599" t="s">
        <v>3939</v>
      </c>
      <c r="C2242" s="1643" t="e">
        <f>+SUMIF(#REF!,Final!A2242,#REF!)</f>
        <v>#REF!</v>
      </c>
      <c r="D2242" s="1597" t="e">
        <f>+SUMIF(#REF!,Final!A2242,#REF!)</f>
        <v>#REF!</v>
      </c>
      <c r="E2242" s="1643" t="e">
        <f>SUMIF(#REF!,Final!A2242,#REF!)</f>
        <v>#REF!</v>
      </c>
      <c r="F2242" s="1644" t="e">
        <f>SUMIF(#REF!,Final!A2242,#REF!)</f>
        <v>#REF!</v>
      </c>
      <c r="G2242" s="1597" t="e">
        <f t="shared" si="232"/>
        <v>#REF!</v>
      </c>
      <c r="H2242" s="1644" t="e">
        <f t="shared" si="233"/>
        <v>#REF!</v>
      </c>
      <c r="I2242" s="1597" t="e">
        <f t="shared" si="234"/>
        <v>#REF!</v>
      </c>
      <c r="J2242" s="1644" t="e">
        <f t="shared" si="235"/>
        <v>#REF!</v>
      </c>
      <c r="M2242" s="1545"/>
      <c r="N2242" s="1545"/>
    </row>
    <row r="2243" spans="1:93" ht="15.5">
      <c r="A2243" s="1600">
        <v>47.186</v>
      </c>
      <c r="B2243" s="1599" t="s">
        <v>3940</v>
      </c>
      <c r="C2243" s="1643" t="e">
        <f>+SUMIF(#REF!,Final!A2243,#REF!)</f>
        <v>#REF!</v>
      </c>
      <c r="D2243" s="1597" t="e">
        <f>+SUMIF(#REF!,Final!A2243,#REF!)</f>
        <v>#REF!</v>
      </c>
      <c r="E2243" s="1643" t="e">
        <f>SUMIF(#REF!,Final!A2243,#REF!)</f>
        <v>#REF!</v>
      </c>
      <c r="F2243" s="1644" t="e">
        <f>SUMIF(#REF!,Final!A2243,#REF!)</f>
        <v>#REF!</v>
      </c>
      <c r="G2243" s="1597" t="e">
        <f t="shared" si="232"/>
        <v>#REF!</v>
      </c>
      <c r="H2243" s="1644" t="e">
        <f t="shared" si="233"/>
        <v>#REF!</v>
      </c>
      <c r="I2243" s="1597" t="e">
        <f t="shared" si="234"/>
        <v>#REF!</v>
      </c>
      <c r="J2243" s="1644" t="e">
        <f t="shared" si="235"/>
        <v>#REF!</v>
      </c>
      <c r="M2243" s="1545"/>
      <c r="N2243" s="1545"/>
    </row>
    <row r="2244" spans="1:93" ht="15.5">
      <c r="A2244" s="1600">
        <v>47.19</v>
      </c>
      <c r="B2244" s="1599" t="s">
        <v>3941</v>
      </c>
      <c r="C2244" s="1643" t="e">
        <f>+SUMIF(#REF!,Final!A2244,#REF!)</f>
        <v>#REF!</v>
      </c>
      <c r="D2244" s="1597" t="e">
        <f>+SUMIF(#REF!,Final!A2244,#REF!)</f>
        <v>#REF!</v>
      </c>
      <c r="E2244" s="1643" t="e">
        <f>SUMIF(#REF!,Final!A2244,#REF!)</f>
        <v>#REF!</v>
      </c>
      <c r="F2244" s="1644" t="e">
        <f>SUMIF(#REF!,Final!A2244,#REF!)</f>
        <v>#REF!</v>
      </c>
      <c r="G2244" s="1597" t="e">
        <f t="shared" si="232"/>
        <v>#REF!</v>
      </c>
      <c r="H2244" s="1644" t="e">
        <f t="shared" si="233"/>
        <v>#REF!</v>
      </c>
      <c r="I2244" s="1597" t="e">
        <f t="shared" si="234"/>
        <v>#REF!</v>
      </c>
      <c r="J2244" s="1644" t="e">
        <f t="shared" si="235"/>
        <v>#REF!</v>
      </c>
      <c r="M2244" s="1545"/>
      <c r="N2244" s="1545"/>
    </row>
    <row r="2245" spans="1:93" ht="15.5">
      <c r="A2245" s="1600">
        <v>47.191000000000003</v>
      </c>
      <c r="B2245" s="1599" t="s">
        <v>3942</v>
      </c>
      <c r="C2245" s="1643" t="e">
        <f>+SUMIF(#REF!,Final!A2245,#REF!)</f>
        <v>#REF!</v>
      </c>
      <c r="D2245" s="1597" t="e">
        <f>+SUMIF(#REF!,Final!A2245,#REF!)</f>
        <v>#REF!</v>
      </c>
      <c r="E2245" s="1643" t="e">
        <f>SUMIF(#REF!,Final!A2245,#REF!)</f>
        <v>#REF!</v>
      </c>
      <c r="F2245" s="1644" t="e">
        <f>SUMIF(#REF!,Final!A2245,#REF!)</f>
        <v>#REF!</v>
      </c>
      <c r="G2245" s="1597" t="e">
        <f t="shared" si="232"/>
        <v>#REF!</v>
      </c>
      <c r="H2245" s="1644" t="e">
        <f t="shared" si="233"/>
        <v>#REF!</v>
      </c>
      <c r="I2245" s="1597" t="e">
        <f t="shared" si="234"/>
        <v>#REF!</v>
      </c>
      <c r="J2245" s="1644" t="e">
        <f t="shared" si="235"/>
        <v>#REF!</v>
      </c>
      <c r="M2245" s="1545"/>
      <c r="N2245" s="1545"/>
    </row>
    <row r="2246" spans="1:93" ht="15.5">
      <c r="A2246" s="1600">
        <v>47.301000000000002</v>
      </c>
      <c r="B2246" s="1599" t="s">
        <v>1882</v>
      </c>
      <c r="C2246" s="1643" t="e">
        <f>+SUMIF(#REF!,Final!A2246,#REF!)</f>
        <v>#REF!</v>
      </c>
      <c r="D2246" s="1597" t="e">
        <f>+SUMIF(#REF!,Final!A2246,#REF!)</f>
        <v>#REF!</v>
      </c>
      <c r="E2246" s="1643" t="e">
        <f>SUMIF(#REF!,Final!A2246,#REF!)</f>
        <v>#REF!</v>
      </c>
      <c r="F2246" s="1644" t="e">
        <f>SUMIF(#REF!,Final!A2246,#REF!)</f>
        <v>#REF!</v>
      </c>
      <c r="G2246" s="1597" t="e">
        <f t="shared" ref="G2246:G2309" si="244">C2246+E2246</f>
        <v>#REF!</v>
      </c>
      <c r="H2246" s="1644" t="e">
        <f t="shared" ref="H2246:H2309" si="245">D2246+F2246</f>
        <v>#REF!</v>
      </c>
      <c r="I2246" s="1597" t="e">
        <f t="shared" ref="I2246:I2309" si="246">IF(G2246&gt;H2246,G2246-H2246,0)</f>
        <v>#REF!</v>
      </c>
      <c r="J2246" s="1644" t="e">
        <f t="shared" ref="J2246:J2309" si="247">IF(H2246&gt;G2246,H2246-G2246,0)</f>
        <v>#REF!</v>
      </c>
      <c r="M2246" s="1545"/>
      <c r="N2246" s="1545"/>
    </row>
    <row r="2247" spans="1:93" ht="15.5">
      <c r="A2247" s="1600">
        <v>47.302</v>
      </c>
      <c r="B2247" s="1599" t="s">
        <v>1883</v>
      </c>
      <c r="C2247" s="1643" t="e">
        <f>+SUMIF(#REF!,Final!A2247,#REF!)</f>
        <v>#REF!</v>
      </c>
      <c r="D2247" s="1597" t="e">
        <f>+SUMIF(#REF!,Final!A2247,#REF!)</f>
        <v>#REF!</v>
      </c>
      <c r="E2247" s="1643" t="e">
        <f>SUMIF(#REF!,Final!A2247,#REF!)</f>
        <v>#REF!</v>
      </c>
      <c r="F2247" s="1644" t="e">
        <f>SUMIF(#REF!,Final!A2247,#REF!)</f>
        <v>#REF!</v>
      </c>
      <c r="G2247" s="1597" t="e">
        <f t="shared" si="244"/>
        <v>#REF!</v>
      </c>
      <c r="H2247" s="1644" t="e">
        <f t="shared" si="245"/>
        <v>#REF!</v>
      </c>
      <c r="I2247" s="1597" t="e">
        <f t="shared" si="246"/>
        <v>#REF!</v>
      </c>
      <c r="J2247" s="1644" t="e">
        <f t="shared" si="247"/>
        <v>#REF!</v>
      </c>
      <c r="M2247" s="1545"/>
      <c r="N2247" s="1545"/>
    </row>
    <row r="2248" spans="1:93" ht="15.5">
      <c r="A2248" s="1600">
        <v>47.311</v>
      </c>
      <c r="B2248" s="1599" t="s">
        <v>1884</v>
      </c>
      <c r="C2248" s="1643" t="e">
        <f>+SUMIF(#REF!,Final!A2248,#REF!)</f>
        <v>#REF!</v>
      </c>
      <c r="D2248" s="1597" t="e">
        <f>+SUMIF(#REF!,Final!A2248,#REF!)</f>
        <v>#REF!</v>
      </c>
      <c r="E2248" s="1643" t="e">
        <f>SUMIF(#REF!,Final!A2248,#REF!)</f>
        <v>#REF!</v>
      </c>
      <c r="F2248" s="1644" t="e">
        <f>SUMIF(#REF!,Final!A2248,#REF!)</f>
        <v>#REF!</v>
      </c>
      <c r="G2248" s="1597" t="e">
        <f t="shared" si="244"/>
        <v>#REF!</v>
      </c>
      <c r="H2248" s="1644" t="e">
        <f t="shared" si="245"/>
        <v>#REF!</v>
      </c>
      <c r="I2248" s="1597" t="e">
        <f t="shared" si="246"/>
        <v>#REF!</v>
      </c>
      <c r="J2248" s="1644" t="e">
        <f t="shared" si="247"/>
        <v>#REF!</v>
      </c>
      <c r="M2248" s="1545"/>
      <c r="N2248" s="1545"/>
    </row>
    <row r="2249" spans="1:93" ht="15.5">
      <c r="A2249" s="1600">
        <v>47.311999999999998</v>
      </c>
      <c r="B2249" s="1599" t="s">
        <v>1885</v>
      </c>
      <c r="C2249" s="1643" t="e">
        <f>+SUMIF(#REF!,Final!A2249,#REF!)</f>
        <v>#REF!</v>
      </c>
      <c r="D2249" s="1597" t="e">
        <f>+SUMIF(#REF!,Final!A2249,#REF!)</f>
        <v>#REF!</v>
      </c>
      <c r="E2249" s="1643" t="e">
        <f>SUMIF(#REF!,Final!A2249,#REF!)</f>
        <v>#REF!</v>
      </c>
      <c r="F2249" s="1644" t="e">
        <f>SUMIF(#REF!,Final!A2249,#REF!)</f>
        <v>#REF!</v>
      </c>
      <c r="G2249" s="1597" t="e">
        <f t="shared" si="244"/>
        <v>#REF!</v>
      </c>
      <c r="H2249" s="1644" t="e">
        <f t="shared" si="245"/>
        <v>#REF!</v>
      </c>
      <c r="I2249" s="1597" t="e">
        <f t="shared" si="246"/>
        <v>#REF!</v>
      </c>
      <c r="J2249" s="1644" t="e">
        <f t="shared" si="247"/>
        <v>#REF!</v>
      </c>
      <c r="M2249" s="1545"/>
      <c r="N2249" s="1545"/>
    </row>
    <row r="2250" spans="1:93" ht="15.5">
      <c r="A2250" s="1600">
        <v>47.320999999999998</v>
      </c>
      <c r="B2250" s="1599" t="s">
        <v>1886</v>
      </c>
      <c r="C2250" s="1643" t="e">
        <f>+SUMIF(#REF!,Final!A2250,#REF!)</f>
        <v>#REF!</v>
      </c>
      <c r="D2250" s="1597" t="e">
        <f>+SUMIF(#REF!,Final!A2250,#REF!)</f>
        <v>#REF!</v>
      </c>
      <c r="E2250" s="1643" t="e">
        <f>SUMIF(#REF!,Final!A2250,#REF!)</f>
        <v>#REF!</v>
      </c>
      <c r="F2250" s="1644" t="e">
        <f>SUMIF(#REF!,Final!A2250,#REF!)</f>
        <v>#REF!</v>
      </c>
      <c r="G2250" s="1597" t="e">
        <f t="shared" si="244"/>
        <v>#REF!</v>
      </c>
      <c r="H2250" s="1644" t="e">
        <f t="shared" si="245"/>
        <v>#REF!</v>
      </c>
      <c r="I2250" s="1597" t="e">
        <f t="shared" si="246"/>
        <v>#REF!</v>
      </c>
      <c r="J2250" s="1644" t="e">
        <f t="shared" si="247"/>
        <v>#REF!</v>
      </c>
      <c r="M2250" s="1545"/>
      <c r="N2250" s="1545"/>
    </row>
    <row r="2251" spans="1:93" ht="15.5">
      <c r="A2251" s="1600">
        <v>47.331000000000003</v>
      </c>
      <c r="B2251" s="1599" t="s">
        <v>1887</v>
      </c>
      <c r="C2251" s="1643" t="e">
        <f>+SUMIF(#REF!,Final!A2251,#REF!)</f>
        <v>#REF!</v>
      </c>
      <c r="D2251" s="1597" t="e">
        <f>+SUMIF(#REF!,Final!A2251,#REF!)</f>
        <v>#REF!</v>
      </c>
      <c r="E2251" s="1643" t="e">
        <f>SUMIF(#REF!,Final!A2251,#REF!)</f>
        <v>#REF!</v>
      </c>
      <c r="F2251" s="1644" t="e">
        <f>SUMIF(#REF!,Final!A2251,#REF!)</f>
        <v>#REF!</v>
      </c>
      <c r="G2251" s="1597" t="e">
        <f t="shared" si="244"/>
        <v>#REF!</v>
      </c>
      <c r="H2251" s="1644" t="e">
        <f t="shared" si="245"/>
        <v>#REF!</v>
      </c>
      <c r="I2251" s="1597" t="e">
        <f t="shared" si="246"/>
        <v>#REF!</v>
      </c>
      <c r="J2251" s="1644" t="e">
        <f t="shared" si="247"/>
        <v>#REF!</v>
      </c>
      <c r="M2251" s="1545"/>
      <c r="N2251" s="1545"/>
    </row>
    <row r="2252" spans="1:93" ht="15.5">
      <c r="A2252" s="1600">
        <v>47.332000000000001</v>
      </c>
      <c r="B2252" s="1599" t="s">
        <v>1888</v>
      </c>
      <c r="C2252" s="1643" t="e">
        <f>+SUMIF(#REF!,Final!A2252,#REF!)</f>
        <v>#REF!</v>
      </c>
      <c r="D2252" s="1597" t="e">
        <f>+SUMIF(#REF!,Final!A2252,#REF!)</f>
        <v>#REF!</v>
      </c>
      <c r="E2252" s="1643" t="e">
        <f>SUMIF(#REF!,Final!A2252,#REF!)</f>
        <v>#REF!</v>
      </c>
      <c r="F2252" s="1644" t="e">
        <f>SUMIF(#REF!,Final!A2252,#REF!)</f>
        <v>#REF!</v>
      </c>
      <c r="G2252" s="1597" t="e">
        <f t="shared" si="244"/>
        <v>#REF!</v>
      </c>
      <c r="H2252" s="1644" t="e">
        <f t="shared" si="245"/>
        <v>#REF!</v>
      </c>
      <c r="I2252" s="1597" t="e">
        <f t="shared" si="246"/>
        <v>#REF!</v>
      </c>
      <c r="J2252" s="1644" t="e">
        <f t="shared" si="247"/>
        <v>#REF!</v>
      </c>
      <c r="M2252" s="1545"/>
      <c r="N2252" s="1545"/>
    </row>
    <row r="2253" spans="1:93" s="1552" customFormat="1" ht="15.5">
      <c r="A2253" s="1600"/>
      <c r="B2253" s="1599" t="s">
        <v>1747</v>
      </c>
      <c r="C2253" s="1643" t="e">
        <f>+SUMIF(#REF!,Final!A2253,#REF!)</f>
        <v>#REF!</v>
      </c>
      <c r="D2253" s="1597" t="e">
        <f>+SUMIF(#REF!,Final!A2253,#REF!)</f>
        <v>#REF!</v>
      </c>
      <c r="E2253" s="1643" t="e">
        <f>SUMIF(#REF!,Final!A2253,#REF!)</f>
        <v>#REF!</v>
      </c>
      <c r="F2253" s="1644" t="e">
        <f>SUMIF(#REF!,Final!A2253,#REF!)</f>
        <v>#REF!</v>
      </c>
      <c r="G2253" s="1597" t="e">
        <f t="shared" si="244"/>
        <v>#REF!</v>
      </c>
      <c r="H2253" s="1644" t="e">
        <f t="shared" si="245"/>
        <v>#REF!</v>
      </c>
      <c r="I2253" s="1597" t="e">
        <f t="shared" si="246"/>
        <v>#REF!</v>
      </c>
      <c r="J2253" s="1644" t="e">
        <f t="shared" si="247"/>
        <v>#REF!</v>
      </c>
      <c r="K2253" s="1539"/>
      <c r="L2253" s="1539"/>
      <c r="M2253" s="1545"/>
      <c r="N2253" s="1545"/>
      <c r="O2253" s="1539"/>
      <c r="P2253" s="1539"/>
      <c r="Q2253" s="1539"/>
      <c r="R2253" s="1539"/>
      <c r="S2253" s="1539"/>
      <c r="T2253" s="1539"/>
      <c r="U2253" s="1539"/>
      <c r="V2253" s="1539"/>
      <c r="W2253" s="1539"/>
      <c r="X2253" s="1539"/>
      <c r="Y2253" s="1539"/>
      <c r="Z2253" s="1539"/>
      <c r="AA2253" s="1539"/>
      <c r="AB2253" s="1539"/>
      <c r="AC2253" s="1539"/>
      <c r="AD2253" s="1539"/>
      <c r="AE2253" s="1539"/>
      <c r="AF2253" s="1539"/>
      <c r="AG2253" s="1539"/>
      <c r="AH2253" s="1539"/>
      <c r="AI2253" s="1539"/>
      <c r="AJ2253" s="1539"/>
      <c r="AK2253" s="1539"/>
      <c r="AL2253" s="1539"/>
      <c r="AM2253" s="1539"/>
      <c r="AN2253" s="1539"/>
      <c r="AO2253" s="1539"/>
      <c r="AP2253" s="1539"/>
      <c r="AQ2253" s="1539"/>
      <c r="AR2253" s="1539"/>
      <c r="AS2253" s="1539"/>
      <c r="AT2253" s="1539"/>
      <c r="AU2253" s="1539"/>
      <c r="AV2253" s="1539"/>
      <c r="AW2253" s="1539"/>
      <c r="AX2253" s="1539"/>
      <c r="AY2253" s="1539"/>
      <c r="AZ2253" s="1539"/>
      <c r="BA2253" s="1539"/>
      <c r="BB2253" s="1539"/>
      <c r="BC2253" s="1539"/>
      <c r="BD2253" s="1539"/>
      <c r="BE2253" s="1539"/>
      <c r="BF2253" s="1539"/>
      <c r="BG2253" s="1539"/>
      <c r="BH2253" s="1539"/>
      <c r="BI2253" s="1539"/>
      <c r="BJ2253" s="1539"/>
      <c r="BK2253" s="1539"/>
      <c r="BL2253" s="1539"/>
      <c r="BM2253" s="1539"/>
      <c r="BN2253" s="1539"/>
      <c r="BO2253" s="1539"/>
      <c r="BP2253" s="1539"/>
      <c r="BQ2253" s="1539"/>
      <c r="BR2253" s="1539"/>
      <c r="BS2253" s="1539"/>
      <c r="BT2253" s="1539"/>
      <c r="BU2253" s="1539"/>
      <c r="BV2253" s="1539"/>
      <c r="BW2253" s="1539"/>
      <c r="BX2253" s="1539"/>
      <c r="BY2253" s="1539"/>
      <c r="BZ2253" s="1539"/>
      <c r="CA2253" s="1539"/>
      <c r="CB2253" s="1539"/>
      <c r="CC2253" s="1539"/>
      <c r="CD2253" s="1539"/>
      <c r="CE2253" s="1539"/>
      <c r="CF2253" s="1539"/>
      <c r="CG2253" s="1539"/>
      <c r="CH2253" s="1539"/>
      <c r="CI2253" s="1539"/>
      <c r="CJ2253" s="1539"/>
      <c r="CK2253" s="1539"/>
      <c r="CL2253" s="1539"/>
      <c r="CM2253" s="1539"/>
      <c r="CN2253" s="1539"/>
      <c r="CO2253" s="1539"/>
    </row>
    <row r="2254" spans="1:93" s="1552" customFormat="1" ht="15.5">
      <c r="A2254" s="1600" t="s">
        <v>3443</v>
      </c>
      <c r="B2254" s="1599" t="s">
        <v>1760</v>
      </c>
      <c r="C2254" s="1643" t="e">
        <f>+SUMIF(#REF!,Final!A2254,#REF!)</f>
        <v>#REF!</v>
      </c>
      <c r="D2254" s="1597" t="e">
        <f>+SUMIF(#REF!,Final!A2254,#REF!)</f>
        <v>#REF!</v>
      </c>
      <c r="E2254" s="1643" t="e">
        <f>SUMIF(#REF!,Final!A2254,#REF!)</f>
        <v>#REF!</v>
      </c>
      <c r="F2254" s="1644" t="e">
        <f>SUMIF(#REF!,Final!A2254,#REF!)</f>
        <v>#REF!</v>
      </c>
      <c r="G2254" s="1597" t="e">
        <f t="shared" si="244"/>
        <v>#REF!</v>
      </c>
      <c r="H2254" s="1644" t="e">
        <f t="shared" si="245"/>
        <v>#REF!</v>
      </c>
      <c r="I2254" s="1597" t="e">
        <f t="shared" si="246"/>
        <v>#REF!</v>
      </c>
      <c r="J2254" s="1644" t="e">
        <f t="shared" si="247"/>
        <v>#REF!</v>
      </c>
      <c r="K2254" s="1539"/>
      <c r="L2254" s="1539"/>
      <c r="M2254" s="1545"/>
      <c r="N2254" s="1545"/>
      <c r="O2254" s="1539"/>
      <c r="P2254" s="1539"/>
      <c r="Q2254" s="1539"/>
      <c r="R2254" s="1539"/>
      <c r="S2254" s="1539"/>
      <c r="T2254" s="1539"/>
      <c r="U2254" s="1539"/>
      <c r="V2254" s="1539"/>
      <c r="W2254" s="1539"/>
      <c r="X2254" s="1539"/>
      <c r="Y2254" s="1539"/>
      <c r="Z2254" s="1539"/>
      <c r="AA2254" s="1539"/>
      <c r="AB2254" s="1539"/>
      <c r="AC2254" s="1539"/>
      <c r="AD2254" s="1539"/>
      <c r="AE2254" s="1539"/>
      <c r="AF2254" s="1539"/>
      <c r="AG2254" s="1539"/>
      <c r="AH2254" s="1539"/>
      <c r="AI2254" s="1539"/>
      <c r="AJ2254" s="1539"/>
      <c r="AK2254" s="1539"/>
      <c r="AL2254" s="1539"/>
      <c r="AM2254" s="1539"/>
      <c r="AN2254" s="1539"/>
      <c r="AO2254" s="1539"/>
      <c r="AP2254" s="1539"/>
      <c r="AQ2254" s="1539"/>
      <c r="AR2254" s="1539"/>
      <c r="AS2254" s="1539"/>
      <c r="AT2254" s="1539"/>
      <c r="AU2254" s="1539"/>
      <c r="AV2254" s="1539"/>
      <c r="AW2254" s="1539"/>
      <c r="AX2254" s="1539"/>
      <c r="AY2254" s="1539"/>
      <c r="AZ2254" s="1539"/>
      <c r="BA2254" s="1539"/>
      <c r="BB2254" s="1539"/>
      <c r="BC2254" s="1539"/>
      <c r="BD2254" s="1539"/>
      <c r="BE2254" s="1539"/>
      <c r="BF2254" s="1539"/>
      <c r="BG2254" s="1539"/>
      <c r="BH2254" s="1539"/>
      <c r="BI2254" s="1539"/>
      <c r="BJ2254" s="1539"/>
      <c r="BK2254" s="1539"/>
      <c r="BL2254" s="1539"/>
      <c r="BM2254" s="1539"/>
      <c r="BN2254" s="1539"/>
      <c r="BO2254" s="1539"/>
      <c r="BP2254" s="1539"/>
      <c r="BQ2254" s="1539"/>
      <c r="BR2254" s="1539"/>
      <c r="BS2254" s="1539"/>
      <c r="BT2254" s="1539"/>
      <c r="BU2254" s="1539"/>
      <c r="BV2254" s="1539"/>
      <c r="BW2254" s="1539"/>
      <c r="BX2254" s="1539"/>
      <c r="BY2254" s="1539"/>
      <c r="BZ2254" s="1539"/>
      <c r="CA2254" s="1539"/>
      <c r="CB2254" s="1539"/>
      <c r="CC2254" s="1539"/>
      <c r="CD2254" s="1539"/>
      <c r="CE2254" s="1539"/>
      <c r="CF2254" s="1539"/>
      <c r="CG2254" s="1539"/>
      <c r="CH2254" s="1539"/>
      <c r="CI2254" s="1539"/>
      <c r="CJ2254" s="1539"/>
      <c r="CK2254" s="1539"/>
      <c r="CL2254" s="1539"/>
      <c r="CM2254" s="1539"/>
      <c r="CN2254" s="1539"/>
      <c r="CO2254" s="1539"/>
    </row>
    <row r="2255" spans="1:93" s="1542" customFormat="1" ht="13.5" customHeight="1">
      <c r="A2255" s="1600">
        <v>14</v>
      </c>
      <c r="B2255" s="1599" t="s">
        <v>1868</v>
      </c>
      <c r="C2255" s="1643" t="e">
        <f>+SUMIF(#REF!,Final!A2255,#REF!)</f>
        <v>#REF!</v>
      </c>
      <c r="D2255" s="1597" t="e">
        <f>+SUMIF(#REF!,Final!A2255,#REF!)</f>
        <v>#REF!</v>
      </c>
      <c r="E2255" s="1643" t="e">
        <f>SUMIF(#REF!,Final!A2255,#REF!)</f>
        <v>#REF!</v>
      </c>
      <c r="F2255" s="1644" t="e">
        <f>SUMIF(#REF!,Final!A2255,#REF!)</f>
        <v>#REF!</v>
      </c>
      <c r="G2255" s="1597" t="e">
        <f t="shared" si="244"/>
        <v>#REF!</v>
      </c>
      <c r="H2255" s="1644" t="e">
        <f t="shared" si="245"/>
        <v>#REF!</v>
      </c>
      <c r="I2255" s="1597" t="e">
        <f t="shared" si="246"/>
        <v>#REF!</v>
      </c>
      <c r="J2255" s="1644" t="e">
        <f t="shared" si="247"/>
        <v>#REF!</v>
      </c>
      <c r="K2255" s="1539"/>
      <c r="L2255" s="1539"/>
      <c r="M2255" s="1545"/>
      <c r="N2255" s="1545"/>
      <c r="O2255" s="1539"/>
      <c r="P2255" s="1539"/>
      <c r="Q2255" s="1539"/>
      <c r="R2255" s="1539"/>
      <c r="S2255" s="1539"/>
      <c r="T2255" s="1539"/>
      <c r="U2255" s="1539"/>
      <c r="V2255" s="1539"/>
      <c r="W2255" s="1539"/>
      <c r="X2255" s="1539"/>
      <c r="Y2255" s="1539"/>
      <c r="Z2255" s="1539"/>
      <c r="AA2255" s="1539"/>
      <c r="AB2255" s="1539"/>
      <c r="AC2255" s="1539"/>
      <c r="AD2255" s="1539"/>
      <c r="AE2255" s="1539"/>
      <c r="AF2255" s="1539"/>
      <c r="AG2255" s="1539"/>
      <c r="AH2255" s="1539"/>
      <c r="AI2255" s="1539"/>
      <c r="AJ2255" s="1539"/>
      <c r="AK2255" s="1539"/>
      <c r="AL2255" s="1539"/>
      <c r="AM2255" s="1539"/>
      <c r="AN2255" s="1539"/>
      <c r="AO2255" s="1539"/>
      <c r="AP2255" s="1539"/>
      <c r="AQ2255" s="1539"/>
      <c r="AR2255" s="1539"/>
      <c r="AS2255" s="1539"/>
      <c r="AT2255" s="1539"/>
      <c r="AU2255" s="1539"/>
      <c r="AV2255" s="1539"/>
      <c r="AW2255" s="1539"/>
      <c r="AX2255" s="1539"/>
      <c r="AY2255" s="1539"/>
      <c r="AZ2255" s="1539"/>
      <c r="BA2255" s="1539"/>
      <c r="BB2255" s="1539"/>
      <c r="BC2255" s="1539"/>
      <c r="BD2255" s="1539"/>
      <c r="BE2255" s="1539"/>
      <c r="BF2255" s="1539"/>
      <c r="BG2255" s="1539"/>
      <c r="BH2255" s="1539"/>
      <c r="BI2255" s="1539"/>
      <c r="BJ2255" s="1539"/>
      <c r="BK2255" s="1539"/>
      <c r="BL2255" s="1539"/>
      <c r="BM2255" s="1539"/>
      <c r="BN2255" s="1539"/>
      <c r="BO2255" s="1539"/>
      <c r="BP2255" s="1539"/>
      <c r="BQ2255" s="1539"/>
      <c r="BR2255" s="1539"/>
      <c r="BS2255" s="1539"/>
      <c r="BT2255" s="1539"/>
      <c r="BU2255" s="1539"/>
      <c r="BV2255" s="1539"/>
      <c r="BW2255" s="1539"/>
      <c r="BX2255" s="1539"/>
      <c r="BY2255" s="1539"/>
      <c r="BZ2255" s="1539"/>
      <c r="CA2255" s="1539"/>
      <c r="CB2255" s="1539"/>
      <c r="CC2255" s="1539"/>
      <c r="CD2255" s="1539"/>
      <c r="CE2255" s="1539"/>
      <c r="CF2255" s="1539"/>
      <c r="CG2255" s="1539"/>
      <c r="CH2255" s="1539"/>
      <c r="CI2255" s="1539"/>
      <c r="CJ2255" s="1539"/>
      <c r="CK2255" s="1539"/>
      <c r="CL2255" s="1539"/>
      <c r="CM2255" s="1539"/>
      <c r="CN2255" s="1539"/>
      <c r="CO2255" s="1539"/>
    </row>
    <row r="2256" spans="1:93" s="1542" customFormat="1" ht="15.5">
      <c r="A2256" s="1600" t="s">
        <v>1768</v>
      </c>
      <c r="B2256" s="1599" t="s">
        <v>1889</v>
      </c>
      <c r="C2256" s="1643" t="e">
        <f>+SUMIF(#REF!,Final!A2256,#REF!)</f>
        <v>#REF!</v>
      </c>
      <c r="D2256" s="1597" t="e">
        <f>+SUMIF(#REF!,Final!A2256,#REF!)</f>
        <v>#REF!</v>
      </c>
      <c r="E2256" s="1643" t="e">
        <f>SUMIF(#REF!,Final!A2256,#REF!)</f>
        <v>#REF!</v>
      </c>
      <c r="F2256" s="1644" t="e">
        <f>SUMIF(#REF!,Final!A2256,#REF!)</f>
        <v>#REF!</v>
      </c>
      <c r="G2256" s="1597" t="e">
        <f t="shared" si="244"/>
        <v>#REF!</v>
      </c>
      <c r="H2256" s="1644" t="e">
        <f t="shared" si="245"/>
        <v>#REF!</v>
      </c>
      <c r="I2256" s="1597" t="e">
        <f t="shared" si="246"/>
        <v>#REF!</v>
      </c>
      <c r="J2256" s="1644" t="e">
        <f t="shared" si="247"/>
        <v>#REF!</v>
      </c>
      <c r="K2256" s="1539"/>
      <c r="L2256" s="1539"/>
      <c r="M2256" s="1545"/>
      <c r="N2256" s="1545"/>
      <c r="O2256" s="1539"/>
      <c r="P2256" s="1539"/>
      <c r="Q2256" s="1539"/>
      <c r="R2256" s="1539"/>
      <c r="S2256" s="1539"/>
      <c r="T2256" s="1539"/>
      <c r="U2256" s="1539"/>
      <c r="V2256" s="1539"/>
      <c r="W2256" s="1539"/>
      <c r="X2256" s="1539"/>
      <c r="Y2256" s="1539"/>
      <c r="Z2256" s="1539"/>
      <c r="AA2256" s="1539"/>
      <c r="AB2256" s="1539"/>
      <c r="AC2256" s="1539"/>
      <c r="AD2256" s="1539"/>
      <c r="AE2256" s="1539"/>
      <c r="AF2256" s="1539"/>
      <c r="AG2256" s="1539"/>
      <c r="AH2256" s="1539"/>
      <c r="AI2256" s="1539"/>
      <c r="AJ2256" s="1539"/>
      <c r="AK2256" s="1539"/>
      <c r="AL2256" s="1539"/>
      <c r="AM2256" s="1539"/>
      <c r="AN2256" s="1539"/>
      <c r="AO2256" s="1539"/>
      <c r="AP2256" s="1539"/>
      <c r="AQ2256" s="1539"/>
      <c r="AR2256" s="1539"/>
      <c r="AS2256" s="1539"/>
      <c r="AT2256" s="1539"/>
      <c r="AU2256" s="1539"/>
      <c r="AV2256" s="1539"/>
      <c r="AW2256" s="1539"/>
      <c r="AX2256" s="1539"/>
      <c r="AY2256" s="1539"/>
      <c r="AZ2256" s="1539"/>
      <c r="BA2256" s="1539"/>
      <c r="BB2256" s="1539"/>
      <c r="BC2256" s="1539"/>
      <c r="BD2256" s="1539"/>
      <c r="BE2256" s="1539"/>
      <c r="BF2256" s="1539"/>
      <c r="BG2256" s="1539"/>
      <c r="BH2256" s="1539"/>
      <c r="BI2256" s="1539"/>
      <c r="BJ2256" s="1539"/>
      <c r="BK2256" s="1539"/>
      <c r="BL2256" s="1539"/>
      <c r="BM2256" s="1539"/>
      <c r="BN2256" s="1539"/>
      <c r="BO2256" s="1539"/>
      <c r="BP2256" s="1539"/>
      <c r="BQ2256" s="1539"/>
      <c r="BR2256" s="1539"/>
      <c r="BS2256" s="1539"/>
      <c r="BT2256" s="1539"/>
      <c r="BU2256" s="1539"/>
      <c r="BV2256" s="1539"/>
      <c r="BW2256" s="1539"/>
      <c r="BX2256" s="1539"/>
      <c r="BY2256" s="1539"/>
      <c r="BZ2256" s="1539"/>
      <c r="CA2256" s="1539"/>
      <c r="CB2256" s="1539"/>
      <c r="CC2256" s="1539"/>
      <c r="CD2256" s="1539"/>
      <c r="CE2256" s="1539"/>
      <c r="CF2256" s="1539"/>
      <c r="CG2256" s="1539"/>
      <c r="CH2256" s="1539"/>
      <c r="CI2256" s="1539"/>
      <c r="CJ2256" s="1539"/>
      <c r="CK2256" s="1539"/>
      <c r="CL2256" s="1539"/>
      <c r="CM2256" s="1539"/>
      <c r="CN2256" s="1539"/>
      <c r="CO2256" s="1539"/>
    </row>
    <row r="2257" spans="1:93" ht="15.5">
      <c r="A2257" s="1600">
        <v>47.341000000000001</v>
      </c>
      <c r="B2257" s="1599"/>
      <c r="C2257" s="1643" t="e">
        <f>+SUMIF(#REF!,Final!A2257,#REF!)</f>
        <v>#REF!</v>
      </c>
      <c r="D2257" s="1597" t="e">
        <f>+SUMIF(#REF!,Final!A2257,#REF!)</f>
        <v>#REF!</v>
      </c>
      <c r="E2257" s="1643" t="e">
        <f>SUMIF(#REF!,Final!A2257,#REF!)</f>
        <v>#REF!</v>
      </c>
      <c r="F2257" s="1644" t="e">
        <f>SUMIF(#REF!,Final!A2257,#REF!)</f>
        <v>#REF!</v>
      </c>
      <c r="G2257" s="1597" t="e">
        <f t="shared" si="244"/>
        <v>#REF!</v>
      </c>
      <c r="H2257" s="1644" t="e">
        <f t="shared" si="245"/>
        <v>#REF!</v>
      </c>
      <c r="I2257" s="1597" t="e">
        <f t="shared" si="246"/>
        <v>#REF!</v>
      </c>
      <c r="J2257" s="1644" t="e">
        <f t="shared" si="247"/>
        <v>#REF!</v>
      </c>
      <c r="M2257" s="1545"/>
      <c r="N2257" s="1545"/>
    </row>
    <row r="2258" spans="1:93" ht="15.5">
      <c r="A2258" s="1600">
        <v>47.401000000000003</v>
      </c>
      <c r="B2258" s="1599">
        <v>0</v>
      </c>
      <c r="C2258" s="1643" t="e">
        <f>+SUMIF(#REF!,Final!A2258,#REF!)</f>
        <v>#REF!</v>
      </c>
      <c r="D2258" s="1597" t="e">
        <f>+SUMIF(#REF!,Final!A2258,#REF!)</f>
        <v>#REF!</v>
      </c>
      <c r="E2258" s="1643" t="e">
        <f>SUMIF(#REF!,Final!A2258,#REF!)</f>
        <v>#REF!</v>
      </c>
      <c r="F2258" s="1644" t="e">
        <f>SUMIF(#REF!,Final!A2258,#REF!)</f>
        <v>#REF!</v>
      </c>
      <c r="G2258" s="1597" t="e">
        <f t="shared" si="244"/>
        <v>#REF!</v>
      </c>
      <c r="H2258" s="1644" t="e">
        <f t="shared" si="245"/>
        <v>#REF!</v>
      </c>
      <c r="I2258" s="1597" t="e">
        <f t="shared" si="246"/>
        <v>#REF!</v>
      </c>
      <c r="J2258" s="1644" t="e">
        <f t="shared" si="247"/>
        <v>#REF!</v>
      </c>
      <c r="M2258" s="1545"/>
      <c r="N2258" s="1545"/>
    </row>
    <row r="2259" spans="1:93" ht="15.5">
      <c r="A2259" s="1600">
        <v>47.600999999999999</v>
      </c>
      <c r="B2259" s="1599" t="s">
        <v>1890</v>
      </c>
      <c r="C2259" s="1643" t="e">
        <f>+SUMIF(#REF!,Final!A2259,#REF!)</f>
        <v>#REF!</v>
      </c>
      <c r="D2259" s="1597" t="e">
        <f>+SUMIF(#REF!,Final!A2259,#REF!)</f>
        <v>#REF!</v>
      </c>
      <c r="E2259" s="1643" t="e">
        <f>SUMIF(#REF!,Final!A2259,#REF!)</f>
        <v>#REF!</v>
      </c>
      <c r="F2259" s="1644" t="e">
        <f>SUMIF(#REF!,Final!A2259,#REF!)</f>
        <v>#REF!</v>
      </c>
      <c r="G2259" s="1597" t="e">
        <f t="shared" si="244"/>
        <v>#REF!</v>
      </c>
      <c r="H2259" s="1644" t="e">
        <f t="shared" si="245"/>
        <v>#REF!</v>
      </c>
      <c r="I2259" s="1597" t="e">
        <f t="shared" si="246"/>
        <v>#REF!</v>
      </c>
      <c r="J2259" s="1644" t="e">
        <f t="shared" si="247"/>
        <v>#REF!</v>
      </c>
      <c r="M2259" s="1545"/>
      <c r="N2259" s="1545"/>
    </row>
    <row r="2260" spans="1:93" ht="15.5">
      <c r="A2260" s="1600">
        <v>47.601999999999997</v>
      </c>
      <c r="B2260" s="1599" t="s">
        <v>1891</v>
      </c>
      <c r="C2260" s="1643" t="e">
        <f>+SUMIF(#REF!,Final!A2260,#REF!)</f>
        <v>#REF!</v>
      </c>
      <c r="D2260" s="1597" t="e">
        <f>+SUMIF(#REF!,Final!A2260,#REF!)</f>
        <v>#REF!</v>
      </c>
      <c r="E2260" s="1643" t="e">
        <f>SUMIF(#REF!,Final!A2260,#REF!)</f>
        <v>#REF!</v>
      </c>
      <c r="F2260" s="1644" t="e">
        <f>SUMIF(#REF!,Final!A2260,#REF!)</f>
        <v>#REF!</v>
      </c>
      <c r="G2260" s="1597" t="e">
        <f t="shared" si="244"/>
        <v>#REF!</v>
      </c>
      <c r="H2260" s="1644" t="e">
        <f t="shared" si="245"/>
        <v>#REF!</v>
      </c>
      <c r="I2260" s="1597" t="e">
        <f t="shared" si="246"/>
        <v>#REF!</v>
      </c>
      <c r="J2260" s="1644" t="e">
        <f t="shared" si="247"/>
        <v>#REF!</v>
      </c>
      <c r="M2260" s="1545"/>
      <c r="N2260" s="1545"/>
    </row>
    <row r="2261" spans="1:93" ht="15.5">
      <c r="A2261" s="1600">
        <v>47.603999999999999</v>
      </c>
      <c r="B2261" s="1599" t="s">
        <v>1892</v>
      </c>
      <c r="C2261" s="1643" t="e">
        <f>+SUMIF(#REF!,Final!A2261,#REF!)</f>
        <v>#REF!</v>
      </c>
      <c r="D2261" s="1597" t="e">
        <f>+SUMIF(#REF!,Final!A2261,#REF!)</f>
        <v>#REF!</v>
      </c>
      <c r="E2261" s="1643" t="e">
        <f>SUMIF(#REF!,Final!A2261,#REF!)</f>
        <v>#REF!</v>
      </c>
      <c r="F2261" s="1644" t="e">
        <f>SUMIF(#REF!,Final!A2261,#REF!)</f>
        <v>#REF!</v>
      </c>
      <c r="G2261" s="1597" t="e">
        <f t="shared" si="244"/>
        <v>#REF!</v>
      </c>
      <c r="H2261" s="1644" t="e">
        <f t="shared" si="245"/>
        <v>#REF!</v>
      </c>
      <c r="I2261" s="1597" t="e">
        <f t="shared" si="246"/>
        <v>#REF!</v>
      </c>
      <c r="J2261" s="1644" t="e">
        <f t="shared" si="247"/>
        <v>#REF!</v>
      </c>
      <c r="M2261" s="1545"/>
      <c r="N2261" s="1545"/>
    </row>
    <row r="2262" spans="1:93" ht="15.5">
      <c r="A2262" s="1600">
        <v>47.69</v>
      </c>
      <c r="B2262" s="1599" t="s">
        <v>1893</v>
      </c>
      <c r="C2262" s="1643" t="e">
        <f>+SUMIF(#REF!,Final!A2262,#REF!)</f>
        <v>#REF!</v>
      </c>
      <c r="D2262" s="1597" t="e">
        <f>+SUMIF(#REF!,Final!A2262,#REF!)</f>
        <v>#REF!</v>
      </c>
      <c r="E2262" s="1643" t="e">
        <f>SUMIF(#REF!,Final!A2262,#REF!)</f>
        <v>#REF!</v>
      </c>
      <c r="F2262" s="1644" t="e">
        <f>SUMIF(#REF!,Final!A2262,#REF!)</f>
        <v>#REF!</v>
      </c>
      <c r="G2262" s="1597" t="e">
        <f t="shared" si="244"/>
        <v>#REF!</v>
      </c>
      <c r="H2262" s="1644" t="e">
        <f t="shared" si="245"/>
        <v>#REF!</v>
      </c>
      <c r="I2262" s="1597" t="e">
        <f t="shared" si="246"/>
        <v>#REF!</v>
      </c>
      <c r="J2262" s="1644" t="e">
        <f t="shared" si="247"/>
        <v>#REF!</v>
      </c>
      <c r="M2262" s="1545"/>
      <c r="N2262" s="1545"/>
    </row>
    <row r="2263" spans="1:93" s="1552" customFormat="1" ht="15.5">
      <c r="A2263" s="1598"/>
      <c r="B2263" s="1599" t="s">
        <v>1747</v>
      </c>
      <c r="C2263" s="1643" t="e">
        <f>+SUMIF(#REF!,Final!A2263,#REF!)</f>
        <v>#REF!</v>
      </c>
      <c r="D2263" s="1597" t="e">
        <f>+SUMIF(#REF!,Final!A2263,#REF!)</f>
        <v>#REF!</v>
      </c>
      <c r="E2263" s="1643" t="e">
        <f>SUMIF(#REF!,Final!A2263,#REF!)</f>
        <v>#REF!</v>
      </c>
      <c r="F2263" s="1644" t="e">
        <f>SUMIF(#REF!,Final!A2263,#REF!)</f>
        <v>#REF!</v>
      </c>
      <c r="G2263" s="1597" t="e">
        <f t="shared" si="244"/>
        <v>#REF!</v>
      </c>
      <c r="H2263" s="1644" t="e">
        <f t="shared" si="245"/>
        <v>#REF!</v>
      </c>
      <c r="I2263" s="1597" t="e">
        <f t="shared" si="246"/>
        <v>#REF!</v>
      </c>
      <c r="J2263" s="1644" t="e">
        <f t="shared" si="247"/>
        <v>#REF!</v>
      </c>
      <c r="K2263" s="1539"/>
      <c r="L2263" s="1539"/>
      <c r="M2263" s="1545"/>
      <c r="N2263" s="1545"/>
      <c r="O2263" s="1539"/>
      <c r="P2263" s="1539"/>
      <c r="Q2263" s="1539"/>
      <c r="R2263" s="1539"/>
      <c r="S2263" s="1539"/>
      <c r="T2263" s="1539"/>
      <c r="U2263" s="1539"/>
      <c r="V2263" s="1539"/>
      <c r="W2263" s="1539"/>
      <c r="X2263" s="1539"/>
      <c r="Y2263" s="1539"/>
      <c r="Z2263" s="1539"/>
      <c r="AA2263" s="1539"/>
      <c r="AB2263" s="1539"/>
      <c r="AC2263" s="1539"/>
      <c r="AD2263" s="1539"/>
      <c r="AE2263" s="1539"/>
      <c r="AF2263" s="1539"/>
      <c r="AG2263" s="1539"/>
      <c r="AH2263" s="1539"/>
      <c r="AI2263" s="1539"/>
      <c r="AJ2263" s="1539"/>
      <c r="AK2263" s="1539"/>
      <c r="AL2263" s="1539"/>
      <c r="AM2263" s="1539"/>
      <c r="AN2263" s="1539"/>
      <c r="AO2263" s="1539"/>
      <c r="AP2263" s="1539"/>
      <c r="AQ2263" s="1539"/>
      <c r="AR2263" s="1539"/>
      <c r="AS2263" s="1539"/>
      <c r="AT2263" s="1539"/>
      <c r="AU2263" s="1539"/>
      <c r="AV2263" s="1539"/>
      <c r="AW2263" s="1539"/>
      <c r="AX2263" s="1539"/>
      <c r="AY2263" s="1539"/>
      <c r="AZ2263" s="1539"/>
      <c r="BA2263" s="1539"/>
      <c r="BB2263" s="1539"/>
      <c r="BC2263" s="1539"/>
      <c r="BD2263" s="1539"/>
      <c r="BE2263" s="1539"/>
      <c r="BF2263" s="1539"/>
      <c r="BG2263" s="1539"/>
      <c r="BH2263" s="1539"/>
      <c r="BI2263" s="1539"/>
      <c r="BJ2263" s="1539"/>
      <c r="BK2263" s="1539"/>
      <c r="BL2263" s="1539"/>
      <c r="BM2263" s="1539"/>
      <c r="BN2263" s="1539"/>
      <c r="BO2263" s="1539"/>
      <c r="BP2263" s="1539"/>
      <c r="BQ2263" s="1539"/>
      <c r="BR2263" s="1539"/>
      <c r="BS2263" s="1539"/>
      <c r="BT2263" s="1539"/>
      <c r="BU2263" s="1539"/>
      <c r="BV2263" s="1539"/>
      <c r="BW2263" s="1539"/>
      <c r="BX2263" s="1539"/>
      <c r="BY2263" s="1539"/>
      <c r="BZ2263" s="1539"/>
      <c r="CA2263" s="1539"/>
      <c r="CB2263" s="1539"/>
      <c r="CC2263" s="1539"/>
      <c r="CD2263" s="1539"/>
      <c r="CE2263" s="1539"/>
      <c r="CF2263" s="1539"/>
      <c r="CG2263" s="1539"/>
      <c r="CH2263" s="1539"/>
      <c r="CI2263" s="1539"/>
      <c r="CJ2263" s="1539"/>
      <c r="CK2263" s="1539"/>
      <c r="CL2263" s="1539"/>
      <c r="CM2263" s="1539"/>
      <c r="CN2263" s="1539"/>
      <c r="CO2263" s="1539"/>
    </row>
    <row r="2264" spans="1:93" s="1552" customFormat="1" ht="15.5">
      <c r="A2264" s="1598" t="s">
        <v>3443</v>
      </c>
      <c r="B2264" s="1599" t="s">
        <v>1760</v>
      </c>
      <c r="C2264" s="1643" t="e">
        <f>+SUMIF(#REF!,Final!A2264,#REF!)</f>
        <v>#REF!</v>
      </c>
      <c r="D2264" s="1597" t="e">
        <f>+SUMIF(#REF!,Final!A2264,#REF!)</f>
        <v>#REF!</v>
      </c>
      <c r="E2264" s="1643" t="e">
        <f>SUMIF(#REF!,Final!A2264,#REF!)</f>
        <v>#REF!</v>
      </c>
      <c r="F2264" s="1644" t="e">
        <f>SUMIF(#REF!,Final!A2264,#REF!)</f>
        <v>#REF!</v>
      </c>
      <c r="G2264" s="1597" t="e">
        <f t="shared" si="244"/>
        <v>#REF!</v>
      </c>
      <c r="H2264" s="1644" t="e">
        <f t="shared" si="245"/>
        <v>#REF!</v>
      </c>
      <c r="I2264" s="1597" t="e">
        <f t="shared" si="246"/>
        <v>#REF!</v>
      </c>
      <c r="J2264" s="1644" t="e">
        <f t="shared" si="247"/>
        <v>#REF!</v>
      </c>
      <c r="K2264" s="1539"/>
      <c r="L2264" s="1539"/>
      <c r="M2264" s="1545"/>
      <c r="N2264" s="1545"/>
      <c r="O2264" s="1539"/>
      <c r="P2264" s="1539"/>
      <c r="Q2264" s="1539"/>
      <c r="R2264" s="1539"/>
      <c r="S2264" s="1539"/>
      <c r="T2264" s="1539"/>
      <c r="U2264" s="1539"/>
      <c r="V2264" s="1539"/>
      <c r="W2264" s="1539"/>
      <c r="X2264" s="1539"/>
      <c r="Y2264" s="1539"/>
      <c r="Z2264" s="1539"/>
      <c r="AA2264" s="1539"/>
      <c r="AB2264" s="1539"/>
      <c r="AC2264" s="1539"/>
      <c r="AD2264" s="1539"/>
      <c r="AE2264" s="1539"/>
      <c r="AF2264" s="1539"/>
      <c r="AG2264" s="1539"/>
      <c r="AH2264" s="1539"/>
      <c r="AI2264" s="1539"/>
      <c r="AJ2264" s="1539"/>
      <c r="AK2264" s="1539"/>
      <c r="AL2264" s="1539"/>
      <c r="AM2264" s="1539"/>
      <c r="AN2264" s="1539"/>
      <c r="AO2264" s="1539"/>
      <c r="AP2264" s="1539"/>
      <c r="AQ2264" s="1539"/>
      <c r="AR2264" s="1539"/>
      <c r="AS2264" s="1539"/>
      <c r="AT2264" s="1539"/>
      <c r="AU2264" s="1539"/>
      <c r="AV2264" s="1539"/>
      <c r="AW2264" s="1539"/>
      <c r="AX2264" s="1539"/>
      <c r="AY2264" s="1539"/>
      <c r="AZ2264" s="1539"/>
      <c r="BA2264" s="1539"/>
      <c r="BB2264" s="1539"/>
      <c r="BC2264" s="1539"/>
      <c r="BD2264" s="1539"/>
      <c r="BE2264" s="1539"/>
      <c r="BF2264" s="1539"/>
      <c r="BG2264" s="1539"/>
      <c r="BH2264" s="1539"/>
      <c r="BI2264" s="1539"/>
      <c r="BJ2264" s="1539"/>
      <c r="BK2264" s="1539"/>
      <c r="BL2264" s="1539"/>
      <c r="BM2264" s="1539"/>
      <c r="BN2264" s="1539"/>
      <c r="BO2264" s="1539"/>
      <c r="BP2264" s="1539"/>
      <c r="BQ2264" s="1539"/>
      <c r="BR2264" s="1539"/>
      <c r="BS2264" s="1539"/>
      <c r="BT2264" s="1539"/>
      <c r="BU2264" s="1539"/>
      <c r="BV2264" s="1539"/>
      <c r="BW2264" s="1539"/>
      <c r="BX2264" s="1539"/>
      <c r="BY2264" s="1539"/>
      <c r="BZ2264" s="1539"/>
      <c r="CA2264" s="1539"/>
      <c r="CB2264" s="1539"/>
      <c r="CC2264" s="1539"/>
      <c r="CD2264" s="1539"/>
      <c r="CE2264" s="1539"/>
      <c r="CF2264" s="1539"/>
      <c r="CG2264" s="1539"/>
      <c r="CH2264" s="1539"/>
      <c r="CI2264" s="1539"/>
      <c r="CJ2264" s="1539"/>
      <c r="CK2264" s="1539"/>
      <c r="CL2264" s="1539"/>
      <c r="CM2264" s="1539"/>
      <c r="CN2264" s="1539"/>
      <c r="CO2264" s="1539"/>
    </row>
    <row r="2265" spans="1:93" s="1542" customFormat="1" ht="13.5" customHeight="1">
      <c r="A2265" s="1598">
        <v>14</v>
      </c>
      <c r="B2265" s="1599" t="s">
        <v>1868</v>
      </c>
      <c r="C2265" s="1643" t="e">
        <f>+SUMIF(#REF!,Final!A2265,#REF!)</f>
        <v>#REF!</v>
      </c>
      <c r="D2265" s="1597" t="e">
        <f>+SUMIF(#REF!,Final!A2265,#REF!)</f>
        <v>#REF!</v>
      </c>
      <c r="E2265" s="1643" t="e">
        <f>SUMIF(#REF!,Final!A2265,#REF!)</f>
        <v>#REF!</v>
      </c>
      <c r="F2265" s="1644" t="e">
        <f>SUMIF(#REF!,Final!A2265,#REF!)</f>
        <v>#REF!</v>
      </c>
      <c r="G2265" s="1597" t="e">
        <f t="shared" si="244"/>
        <v>#REF!</v>
      </c>
      <c r="H2265" s="1644" t="e">
        <f t="shared" si="245"/>
        <v>#REF!</v>
      </c>
      <c r="I2265" s="1597" t="e">
        <f t="shared" si="246"/>
        <v>#REF!</v>
      </c>
      <c r="J2265" s="1644" t="e">
        <f t="shared" si="247"/>
        <v>#REF!</v>
      </c>
      <c r="K2265" s="1539"/>
      <c r="L2265" s="1539"/>
      <c r="M2265" s="1545"/>
      <c r="N2265" s="1545"/>
      <c r="O2265" s="1539"/>
      <c r="P2265" s="1539"/>
      <c r="Q2265" s="1539"/>
      <c r="R2265" s="1539"/>
      <c r="S2265" s="1539"/>
      <c r="T2265" s="1539"/>
      <c r="U2265" s="1539"/>
      <c r="V2265" s="1539"/>
      <c r="W2265" s="1539"/>
      <c r="X2265" s="1539"/>
      <c r="Y2265" s="1539"/>
      <c r="Z2265" s="1539"/>
      <c r="AA2265" s="1539"/>
      <c r="AB2265" s="1539"/>
      <c r="AC2265" s="1539"/>
      <c r="AD2265" s="1539"/>
      <c r="AE2265" s="1539"/>
      <c r="AF2265" s="1539"/>
      <c r="AG2265" s="1539"/>
      <c r="AH2265" s="1539"/>
      <c r="AI2265" s="1539"/>
      <c r="AJ2265" s="1539"/>
      <c r="AK2265" s="1539"/>
      <c r="AL2265" s="1539"/>
      <c r="AM2265" s="1539"/>
      <c r="AN2265" s="1539"/>
      <c r="AO2265" s="1539"/>
      <c r="AP2265" s="1539"/>
      <c r="AQ2265" s="1539"/>
      <c r="AR2265" s="1539"/>
      <c r="AS2265" s="1539"/>
      <c r="AT2265" s="1539"/>
      <c r="AU2265" s="1539"/>
      <c r="AV2265" s="1539"/>
      <c r="AW2265" s="1539"/>
      <c r="AX2265" s="1539"/>
      <c r="AY2265" s="1539"/>
      <c r="AZ2265" s="1539"/>
      <c r="BA2265" s="1539"/>
      <c r="BB2265" s="1539"/>
      <c r="BC2265" s="1539"/>
      <c r="BD2265" s="1539"/>
      <c r="BE2265" s="1539"/>
      <c r="BF2265" s="1539"/>
      <c r="BG2265" s="1539"/>
      <c r="BH2265" s="1539"/>
      <c r="BI2265" s="1539"/>
      <c r="BJ2265" s="1539"/>
      <c r="BK2265" s="1539"/>
      <c r="BL2265" s="1539"/>
      <c r="BM2265" s="1539"/>
      <c r="BN2265" s="1539"/>
      <c r="BO2265" s="1539"/>
      <c r="BP2265" s="1539"/>
      <c r="BQ2265" s="1539"/>
      <c r="BR2265" s="1539"/>
      <c r="BS2265" s="1539"/>
      <c r="BT2265" s="1539"/>
      <c r="BU2265" s="1539"/>
      <c r="BV2265" s="1539"/>
      <c r="BW2265" s="1539"/>
      <c r="BX2265" s="1539"/>
      <c r="BY2265" s="1539"/>
      <c r="BZ2265" s="1539"/>
      <c r="CA2265" s="1539"/>
      <c r="CB2265" s="1539"/>
      <c r="CC2265" s="1539"/>
      <c r="CD2265" s="1539"/>
      <c r="CE2265" s="1539"/>
      <c r="CF2265" s="1539"/>
      <c r="CG2265" s="1539"/>
      <c r="CH2265" s="1539"/>
      <c r="CI2265" s="1539"/>
      <c r="CJ2265" s="1539"/>
      <c r="CK2265" s="1539"/>
      <c r="CL2265" s="1539"/>
      <c r="CM2265" s="1539"/>
      <c r="CN2265" s="1539"/>
      <c r="CO2265" s="1539"/>
    </row>
    <row r="2266" spans="1:93" s="1542" customFormat="1" ht="15.5">
      <c r="A2266" s="1598" t="s">
        <v>1762</v>
      </c>
      <c r="B2266" s="1599" t="s">
        <v>1869</v>
      </c>
      <c r="C2266" s="1643" t="e">
        <f>+SUMIF(#REF!,Final!A2266,#REF!)</f>
        <v>#REF!</v>
      </c>
      <c r="D2266" s="1597" t="e">
        <f>+SUMIF(#REF!,Final!A2266,#REF!)</f>
        <v>#REF!</v>
      </c>
      <c r="E2266" s="1643" t="e">
        <f>SUMIF(#REF!,Final!A2266,#REF!)</f>
        <v>#REF!</v>
      </c>
      <c r="F2266" s="1644" t="e">
        <f>SUMIF(#REF!,Final!A2266,#REF!)</f>
        <v>#REF!</v>
      </c>
      <c r="G2266" s="1597" t="e">
        <f t="shared" si="244"/>
        <v>#REF!</v>
      </c>
      <c r="H2266" s="1644" t="e">
        <f t="shared" si="245"/>
        <v>#REF!</v>
      </c>
      <c r="I2266" s="1597" t="e">
        <f t="shared" si="246"/>
        <v>#REF!</v>
      </c>
      <c r="J2266" s="1644" t="e">
        <f t="shared" si="247"/>
        <v>#REF!</v>
      </c>
      <c r="K2266" s="1539"/>
      <c r="L2266" s="1539"/>
      <c r="M2266" s="1545"/>
      <c r="N2266" s="1545"/>
      <c r="O2266" s="1539"/>
      <c r="P2266" s="1539"/>
      <c r="Q2266" s="1539"/>
      <c r="R2266" s="1539"/>
      <c r="S2266" s="1539"/>
      <c r="T2266" s="1539"/>
      <c r="U2266" s="1539"/>
      <c r="V2266" s="1539"/>
      <c r="W2266" s="1539"/>
      <c r="X2266" s="1539"/>
      <c r="Y2266" s="1539"/>
      <c r="Z2266" s="1539"/>
      <c r="AA2266" s="1539"/>
      <c r="AB2266" s="1539"/>
      <c r="AC2266" s="1539"/>
      <c r="AD2266" s="1539"/>
      <c r="AE2266" s="1539"/>
      <c r="AF2266" s="1539"/>
      <c r="AG2266" s="1539"/>
      <c r="AH2266" s="1539"/>
      <c r="AI2266" s="1539"/>
      <c r="AJ2266" s="1539"/>
      <c r="AK2266" s="1539"/>
      <c r="AL2266" s="1539"/>
      <c r="AM2266" s="1539"/>
      <c r="AN2266" s="1539"/>
      <c r="AO2266" s="1539"/>
      <c r="AP2266" s="1539"/>
      <c r="AQ2266" s="1539"/>
      <c r="AR2266" s="1539"/>
      <c r="AS2266" s="1539"/>
      <c r="AT2266" s="1539"/>
      <c r="AU2266" s="1539"/>
      <c r="AV2266" s="1539"/>
      <c r="AW2266" s="1539"/>
      <c r="AX2266" s="1539"/>
      <c r="AY2266" s="1539"/>
      <c r="AZ2266" s="1539"/>
      <c r="BA2266" s="1539"/>
      <c r="BB2266" s="1539"/>
      <c r="BC2266" s="1539"/>
      <c r="BD2266" s="1539"/>
      <c r="BE2266" s="1539"/>
      <c r="BF2266" s="1539"/>
      <c r="BG2266" s="1539"/>
      <c r="BH2266" s="1539"/>
      <c r="BI2266" s="1539"/>
      <c r="BJ2266" s="1539"/>
      <c r="BK2266" s="1539"/>
      <c r="BL2266" s="1539"/>
      <c r="BM2266" s="1539"/>
      <c r="BN2266" s="1539"/>
      <c r="BO2266" s="1539"/>
      <c r="BP2266" s="1539"/>
      <c r="BQ2266" s="1539"/>
      <c r="BR2266" s="1539"/>
      <c r="BS2266" s="1539"/>
      <c r="BT2266" s="1539"/>
      <c r="BU2266" s="1539"/>
      <c r="BV2266" s="1539"/>
      <c r="BW2266" s="1539"/>
      <c r="BX2266" s="1539"/>
      <c r="BY2266" s="1539"/>
      <c r="BZ2266" s="1539"/>
      <c r="CA2266" s="1539"/>
      <c r="CB2266" s="1539"/>
      <c r="CC2266" s="1539"/>
      <c r="CD2266" s="1539"/>
      <c r="CE2266" s="1539"/>
      <c r="CF2266" s="1539"/>
      <c r="CG2266" s="1539"/>
      <c r="CH2266" s="1539"/>
      <c r="CI2266" s="1539"/>
      <c r="CJ2266" s="1539"/>
      <c r="CK2266" s="1539"/>
      <c r="CL2266" s="1539"/>
      <c r="CM2266" s="1539"/>
      <c r="CN2266" s="1539"/>
      <c r="CO2266" s="1539"/>
    </row>
    <row r="2267" spans="1:93" ht="15.5">
      <c r="A2267" s="1598">
        <v>47.75</v>
      </c>
      <c r="B2267" s="1599" t="s">
        <v>1894</v>
      </c>
      <c r="C2267" s="1643" t="e">
        <f>+SUMIF(#REF!,Final!A2267,#REF!)</f>
        <v>#REF!</v>
      </c>
      <c r="D2267" s="1597" t="e">
        <f>+SUMIF(#REF!,Final!A2267,#REF!)</f>
        <v>#REF!</v>
      </c>
      <c r="E2267" s="1643" t="e">
        <f>SUMIF(#REF!,Final!A2267,#REF!)</f>
        <v>#REF!</v>
      </c>
      <c r="F2267" s="1644" t="e">
        <f>SUMIF(#REF!,Final!A2267,#REF!)</f>
        <v>#REF!</v>
      </c>
      <c r="G2267" s="1597" t="e">
        <f t="shared" si="244"/>
        <v>#REF!</v>
      </c>
      <c r="H2267" s="1644" t="e">
        <f t="shared" si="245"/>
        <v>#REF!</v>
      </c>
      <c r="I2267" s="1597" t="e">
        <f t="shared" si="246"/>
        <v>#REF!</v>
      </c>
      <c r="J2267" s="1644" t="e">
        <f t="shared" si="247"/>
        <v>#REF!</v>
      </c>
      <c r="M2267" s="1545"/>
      <c r="N2267" s="1545"/>
    </row>
    <row r="2268" spans="1:93" s="1542" customFormat="1" ht="15.5">
      <c r="A2268" s="1598">
        <v>47.750999999999998</v>
      </c>
      <c r="B2268" s="1599" t="s">
        <v>1895</v>
      </c>
      <c r="C2268" s="1643" t="e">
        <f>+SUMIF(#REF!,Final!A2268,#REF!)</f>
        <v>#REF!</v>
      </c>
      <c r="D2268" s="1597" t="e">
        <f>+SUMIF(#REF!,Final!A2268,#REF!)</f>
        <v>#REF!</v>
      </c>
      <c r="E2268" s="1643" t="e">
        <f>SUMIF(#REF!,Final!A2268,#REF!)</f>
        <v>#REF!</v>
      </c>
      <c r="F2268" s="1644" t="e">
        <f>SUMIF(#REF!,Final!A2268,#REF!)</f>
        <v>#REF!</v>
      </c>
      <c r="G2268" s="1597" t="e">
        <f t="shared" si="244"/>
        <v>#REF!</v>
      </c>
      <c r="H2268" s="1644" t="e">
        <f t="shared" si="245"/>
        <v>#REF!</v>
      </c>
      <c r="I2268" s="1597" t="e">
        <f t="shared" si="246"/>
        <v>#REF!</v>
      </c>
      <c r="J2268" s="1644" t="e">
        <f t="shared" si="247"/>
        <v>#REF!</v>
      </c>
      <c r="K2268" s="1539"/>
      <c r="L2268" s="1539"/>
      <c r="M2268" s="1545"/>
      <c r="N2268" s="1545"/>
      <c r="O2268" s="1539"/>
      <c r="P2268" s="1539"/>
      <c r="Q2268" s="1539"/>
      <c r="R2268" s="1539"/>
      <c r="S2268" s="1539"/>
      <c r="T2268" s="1539"/>
      <c r="U2268" s="1539"/>
      <c r="V2268" s="1539"/>
      <c r="W2268" s="1539"/>
      <c r="X2268" s="1539"/>
      <c r="Y2268" s="1539"/>
      <c r="Z2268" s="1539"/>
      <c r="AA2268" s="1539"/>
      <c r="AB2268" s="1539"/>
      <c r="AC2268" s="1539"/>
      <c r="AD2268" s="1539"/>
      <c r="AE2268" s="1539"/>
      <c r="AF2268" s="1539"/>
      <c r="AG2268" s="1539"/>
      <c r="AH2268" s="1539"/>
      <c r="AI2268" s="1539"/>
      <c r="AJ2268" s="1539"/>
      <c r="AK2268" s="1539"/>
      <c r="AL2268" s="1539"/>
      <c r="AM2268" s="1539"/>
      <c r="AN2268" s="1539"/>
      <c r="AO2268" s="1539"/>
      <c r="AP2268" s="1539"/>
      <c r="AQ2268" s="1539"/>
      <c r="AR2268" s="1539"/>
      <c r="AS2268" s="1539"/>
      <c r="AT2268" s="1539"/>
      <c r="AU2268" s="1539"/>
      <c r="AV2268" s="1539"/>
      <c r="AW2268" s="1539"/>
      <c r="AX2268" s="1539"/>
      <c r="AY2268" s="1539"/>
      <c r="AZ2268" s="1539"/>
      <c r="BA2268" s="1539"/>
      <c r="BB2268" s="1539"/>
      <c r="BC2268" s="1539"/>
      <c r="BD2268" s="1539"/>
      <c r="BE2268" s="1539"/>
      <c r="BF2268" s="1539"/>
      <c r="BG2268" s="1539"/>
      <c r="BH2268" s="1539"/>
      <c r="BI2268" s="1539"/>
      <c r="BJ2268" s="1539"/>
      <c r="BK2268" s="1539"/>
      <c r="BL2268" s="1539"/>
      <c r="BM2268" s="1539"/>
      <c r="BN2268" s="1539"/>
      <c r="BO2268" s="1539"/>
      <c r="BP2268" s="1539"/>
      <c r="BQ2268" s="1539"/>
      <c r="BR2268" s="1539"/>
      <c r="BS2268" s="1539"/>
      <c r="BT2268" s="1539"/>
      <c r="BU2268" s="1539"/>
      <c r="BV2268" s="1539"/>
      <c r="BW2268" s="1539"/>
      <c r="BX2268" s="1539"/>
      <c r="BY2268" s="1539"/>
      <c r="BZ2268" s="1539"/>
      <c r="CA2268" s="1539"/>
      <c r="CB2268" s="1539"/>
      <c r="CC2268" s="1539"/>
      <c r="CD2268" s="1539"/>
      <c r="CE2268" s="1539"/>
      <c r="CF2268" s="1539"/>
      <c r="CG2268" s="1539"/>
      <c r="CH2268" s="1539"/>
      <c r="CI2268" s="1539"/>
      <c r="CJ2268" s="1539"/>
      <c r="CK2268" s="1539"/>
      <c r="CL2268" s="1539"/>
      <c r="CM2268" s="1539"/>
      <c r="CN2268" s="1539"/>
      <c r="CO2268" s="1539"/>
    </row>
    <row r="2269" spans="1:93" s="1552" customFormat="1" ht="15.5">
      <c r="A2269" s="1598"/>
      <c r="B2269" s="1599" t="s">
        <v>1747</v>
      </c>
      <c r="C2269" s="1643" t="e">
        <f>+SUMIF(#REF!,Final!A2269,#REF!)</f>
        <v>#REF!</v>
      </c>
      <c r="D2269" s="1597" t="e">
        <f>+SUMIF(#REF!,Final!A2269,#REF!)</f>
        <v>#REF!</v>
      </c>
      <c r="E2269" s="1643" t="e">
        <f>SUMIF(#REF!,Final!A2269,#REF!)</f>
        <v>#REF!</v>
      </c>
      <c r="F2269" s="1644" t="e">
        <f>SUMIF(#REF!,Final!A2269,#REF!)</f>
        <v>#REF!</v>
      </c>
      <c r="G2269" s="1597" t="e">
        <f t="shared" si="244"/>
        <v>#REF!</v>
      </c>
      <c r="H2269" s="1644" t="e">
        <f t="shared" si="245"/>
        <v>#REF!</v>
      </c>
      <c r="I2269" s="1597" t="e">
        <f t="shared" si="246"/>
        <v>#REF!</v>
      </c>
      <c r="J2269" s="1644" t="e">
        <f t="shared" si="247"/>
        <v>#REF!</v>
      </c>
      <c r="K2269" s="1539"/>
      <c r="L2269" s="1539"/>
      <c r="M2269" s="1545"/>
      <c r="N2269" s="1545"/>
      <c r="O2269" s="1539"/>
      <c r="P2269" s="1539"/>
      <c r="Q2269" s="1539"/>
      <c r="R2269" s="1539"/>
      <c r="S2269" s="1539"/>
      <c r="T2269" s="1539"/>
      <c r="U2269" s="1539"/>
      <c r="V2269" s="1539"/>
      <c r="W2269" s="1539"/>
      <c r="X2269" s="1539"/>
      <c r="Y2269" s="1539"/>
      <c r="Z2269" s="1539"/>
      <c r="AA2269" s="1539"/>
      <c r="AB2269" s="1539"/>
      <c r="AC2269" s="1539"/>
      <c r="AD2269" s="1539"/>
      <c r="AE2269" s="1539"/>
      <c r="AF2269" s="1539"/>
      <c r="AG2269" s="1539"/>
      <c r="AH2269" s="1539"/>
      <c r="AI2269" s="1539"/>
      <c r="AJ2269" s="1539"/>
      <c r="AK2269" s="1539"/>
      <c r="AL2269" s="1539"/>
      <c r="AM2269" s="1539"/>
      <c r="AN2269" s="1539"/>
      <c r="AO2269" s="1539"/>
      <c r="AP2269" s="1539"/>
      <c r="AQ2269" s="1539"/>
      <c r="AR2269" s="1539"/>
      <c r="AS2269" s="1539"/>
      <c r="AT2269" s="1539"/>
      <c r="AU2269" s="1539"/>
      <c r="AV2269" s="1539"/>
      <c r="AW2269" s="1539"/>
      <c r="AX2269" s="1539"/>
      <c r="AY2269" s="1539"/>
      <c r="AZ2269" s="1539"/>
      <c r="BA2269" s="1539"/>
      <c r="BB2269" s="1539"/>
      <c r="BC2269" s="1539"/>
      <c r="BD2269" s="1539"/>
      <c r="BE2269" s="1539"/>
      <c r="BF2269" s="1539"/>
      <c r="BG2269" s="1539"/>
      <c r="BH2269" s="1539"/>
      <c r="BI2269" s="1539"/>
      <c r="BJ2269" s="1539"/>
      <c r="BK2269" s="1539"/>
      <c r="BL2269" s="1539"/>
      <c r="BM2269" s="1539"/>
      <c r="BN2269" s="1539"/>
      <c r="BO2269" s="1539"/>
      <c r="BP2269" s="1539"/>
      <c r="BQ2269" s="1539"/>
      <c r="BR2269" s="1539"/>
      <c r="BS2269" s="1539"/>
      <c r="BT2269" s="1539"/>
      <c r="BU2269" s="1539"/>
      <c r="BV2269" s="1539"/>
      <c r="BW2269" s="1539"/>
      <c r="BX2269" s="1539"/>
      <c r="BY2269" s="1539"/>
      <c r="BZ2269" s="1539"/>
      <c r="CA2269" s="1539"/>
      <c r="CB2269" s="1539"/>
      <c r="CC2269" s="1539"/>
      <c r="CD2269" s="1539"/>
      <c r="CE2269" s="1539"/>
      <c r="CF2269" s="1539"/>
      <c r="CG2269" s="1539"/>
      <c r="CH2269" s="1539"/>
      <c r="CI2269" s="1539"/>
      <c r="CJ2269" s="1539"/>
      <c r="CK2269" s="1539"/>
      <c r="CL2269" s="1539"/>
      <c r="CM2269" s="1539"/>
      <c r="CN2269" s="1539"/>
      <c r="CO2269" s="1539"/>
    </row>
    <row r="2270" spans="1:93" s="1552" customFormat="1" ht="15.5">
      <c r="A2270" s="1598" t="s">
        <v>3443</v>
      </c>
      <c r="B2270" s="1599" t="s">
        <v>1760</v>
      </c>
      <c r="C2270" s="1643" t="e">
        <f>+SUMIF(#REF!,Final!A2270,#REF!)</f>
        <v>#REF!</v>
      </c>
      <c r="D2270" s="1597" t="e">
        <f>+SUMIF(#REF!,Final!A2270,#REF!)</f>
        <v>#REF!</v>
      </c>
      <c r="E2270" s="1643" t="e">
        <f>SUMIF(#REF!,Final!A2270,#REF!)</f>
        <v>#REF!</v>
      </c>
      <c r="F2270" s="1644" t="e">
        <f>SUMIF(#REF!,Final!A2270,#REF!)</f>
        <v>#REF!</v>
      </c>
      <c r="G2270" s="1597" t="e">
        <f t="shared" si="244"/>
        <v>#REF!</v>
      </c>
      <c r="H2270" s="1644" t="e">
        <f t="shared" si="245"/>
        <v>#REF!</v>
      </c>
      <c r="I2270" s="1597" t="e">
        <f t="shared" si="246"/>
        <v>#REF!</v>
      </c>
      <c r="J2270" s="1644" t="e">
        <f t="shared" si="247"/>
        <v>#REF!</v>
      </c>
      <c r="K2270" s="1539"/>
      <c r="L2270" s="1539"/>
      <c r="M2270" s="1545"/>
      <c r="N2270" s="1545"/>
      <c r="O2270" s="1539"/>
      <c r="P2270" s="1539"/>
      <c r="Q2270" s="1539"/>
      <c r="R2270" s="1539"/>
      <c r="S2270" s="1539"/>
      <c r="T2270" s="1539"/>
      <c r="U2270" s="1539"/>
      <c r="V2270" s="1539"/>
      <c r="W2270" s="1539"/>
      <c r="X2270" s="1539"/>
      <c r="Y2270" s="1539"/>
      <c r="Z2270" s="1539"/>
      <c r="AA2270" s="1539"/>
      <c r="AB2270" s="1539"/>
      <c r="AC2270" s="1539"/>
      <c r="AD2270" s="1539"/>
      <c r="AE2270" s="1539"/>
      <c r="AF2270" s="1539"/>
      <c r="AG2270" s="1539"/>
      <c r="AH2270" s="1539"/>
      <c r="AI2270" s="1539"/>
      <c r="AJ2270" s="1539"/>
      <c r="AK2270" s="1539"/>
      <c r="AL2270" s="1539"/>
      <c r="AM2270" s="1539"/>
      <c r="AN2270" s="1539"/>
      <c r="AO2270" s="1539"/>
      <c r="AP2270" s="1539"/>
      <c r="AQ2270" s="1539"/>
      <c r="AR2270" s="1539"/>
      <c r="AS2270" s="1539"/>
      <c r="AT2270" s="1539"/>
      <c r="AU2270" s="1539"/>
      <c r="AV2270" s="1539"/>
      <c r="AW2270" s="1539"/>
      <c r="AX2270" s="1539"/>
      <c r="AY2270" s="1539"/>
      <c r="AZ2270" s="1539"/>
      <c r="BA2270" s="1539"/>
      <c r="BB2270" s="1539"/>
      <c r="BC2270" s="1539"/>
      <c r="BD2270" s="1539"/>
      <c r="BE2270" s="1539"/>
      <c r="BF2270" s="1539"/>
      <c r="BG2270" s="1539"/>
      <c r="BH2270" s="1539"/>
      <c r="BI2270" s="1539"/>
      <c r="BJ2270" s="1539"/>
      <c r="BK2270" s="1539"/>
      <c r="BL2270" s="1539"/>
      <c r="BM2270" s="1539"/>
      <c r="BN2270" s="1539"/>
      <c r="BO2270" s="1539"/>
      <c r="BP2270" s="1539"/>
      <c r="BQ2270" s="1539"/>
      <c r="BR2270" s="1539"/>
      <c r="BS2270" s="1539"/>
      <c r="BT2270" s="1539"/>
      <c r="BU2270" s="1539"/>
      <c r="BV2270" s="1539"/>
      <c r="BW2270" s="1539"/>
      <c r="BX2270" s="1539"/>
      <c r="BY2270" s="1539"/>
      <c r="BZ2270" s="1539"/>
      <c r="CA2270" s="1539"/>
      <c r="CB2270" s="1539"/>
      <c r="CC2270" s="1539"/>
      <c r="CD2270" s="1539"/>
      <c r="CE2270" s="1539"/>
      <c r="CF2270" s="1539"/>
      <c r="CG2270" s="1539"/>
      <c r="CH2270" s="1539"/>
      <c r="CI2270" s="1539"/>
      <c r="CJ2270" s="1539"/>
      <c r="CK2270" s="1539"/>
      <c r="CL2270" s="1539"/>
      <c r="CM2270" s="1539"/>
      <c r="CN2270" s="1539"/>
      <c r="CO2270" s="1539"/>
    </row>
    <row r="2271" spans="1:93" s="1552" customFormat="1" ht="15.5">
      <c r="A2271" s="1598" t="s">
        <v>3443</v>
      </c>
      <c r="B2271" s="1599" t="s">
        <v>1896</v>
      </c>
      <c r="C2271" s="1643" t="e">
        <f>+SUMIF(#REF!,Final!A2271,#REF!)</f>
        <v>#REF!</v>
      </c>
      <c r="D2271" s="1597" t="e">
        <f>+SUMIF(#REF!,Final!A2271,#REF!)</f>
        <v>#REF!</v>
      </c>
      <c r="E2271" s="1643" t="e">
        <f>SUMIF(#REF!,Final!A2271,#REF!)</f>
        <v>#REF!</v>
      </c>
      <c r="F2271" s="1644" t="e">
        <f>SUMIF(#REF!,Final!A2271,#REF!)</f>
        <v>#REF!</v>
      </c>
      <c r="G2271" s="1597" t="e">
        <f t="shared" si="244"/>
        <v>#REF!</v>
      </c>
      <c r="H2271" s="1644" t="e">
        <f t="shared" si="245"/>
        <v>#REF!</v>
      </c>
      <c r="I2271" s="1597" t="e">
        <f t="shared" si="246"/>
        <v>#REF!</v>
      </c>
      <c r="J2271" s="1644" t="e">
        <f t="shared" si="247"/>
        <v>#REF!</v>
      </c>
      <c r="K2271" s="1539"/>
      <c r="L2271" s="1539"/>
      <c r="M2271" s="1545"/>
      <c r="N2271" s="1545"/>
      <c r="O2271" s="1539"/>
      <c r="P2271" s="1539"/>
      <c r="Q2271" s="1539"/>
      <c r="R2271" s="1539"/>
      <c r="S2271" s="1539"/>
      <c r="T2271" s="1539"/>
      <c r="U2271" s="1539"/>
      <c r="V2271" s="1539"/>
      <c r="W2271" s="1539"/>
      <c r="X2271" s="1539"/>
      <c r="Y2271" s="1539"/>
      <c r="Z2271" s="1539"/>
      <c r="AA2271" s="1539"/>
      <c r="AB2271" s="1539"/>
      <c r="AC2271" s="1539"/>
      <c r="AD2271" s="1539"/>
      <c r="AE2271" s="1539"/>
      <c r="AF2271" s="1539"/>
      <c r="AG2271" s="1539"/>
      <c r="AH2271" s="1539"/>
      <c r="AI2271" s="1539"/>
      <c r="AJ2271" s="1539"/>
      <c r="AK2271" s="1539"/>
      <c r="AL2271" s="1539"/>
      <c r="AM2271" s="1539"/>
      <c r="AN2271" s="1539"/>
      <c r="AO2271" s="1539"/>
      <c r="AP2271" s="1539"/>
      <c r="AQ2271" s="1539"/>
      <c r="AR2271" s="1539"/>
      <c r="AS2271" s="1539"/>
      <c r="AT2271" s="1539"/>
      <c r="AU2271" s="1539"/>
      <c r="AV2271" s="1539"/>
      <c r="AW2271" s="1539"/>
      <c r="AX2271" s="1539"/>
      <c r="AY2271" s="1539"/>
      <c r="AZ2271" s="1539"/>
      <c r="BA2271" s="1539"/>
      <c r="BB2271" s="1539"/>
      <c r="BC2271" s="1539"/>
      <c r="BD2271" s="1539"/>
      <c r="BE2271" s="1539"/>
      <c r="BF2271" s="1539"/>
      <c r="BG2271" s="1539"/>
      <c r="BH2271" s="1539"/>
      <c r="BI2271" s="1539"/>
      <c r="BJ2271" s="1539"/>
      <c r="BK2271" s="1539"/>
      <c r="BL2271" s="1539"/>
      <c r="BM2271" s="1539"/>
      <c r="BN2271" s="1539"/>
      <c r="BO2271" s="1539"/>
      <c r="BP2271" s="1539"/>
      <c r="BQ2271" s="1539"/>
      <c r="BR2271" s="1539"/>
      <c r="BS2271" s="1539"/>
      <c r="BT2271" s="1539"/>
      <c r="BU2271" s="1539"/>
      <c r="BV2271" s="1539"/>
      <c r="BW2271" s="1539"/>
      <c r="BX2271" s="1539"/>
      <c r="BY2271" s="1539"/>
      <c r="BZ2271" s="1539"/>
      <c r="CA2271" s="1539"/>
      <c r="CB2271" s="1539"/>
      <c r="CC2271" s="1539"/>
      <c r="CD2271" s="1539"/>
      <c r="CE2271" s="1539"/>
      <c r="CF2271" s="1539"/>
      <c r="CG2271" s="1539"/>
      <c r="CH2271" s="1539"/>
      <c r="CI2271" s="1539"/>
      <c r="CJ2271" s="1539"/>
      <c r="CK2271" s="1539"/>
      <c r="CL2271" s="1539"/>
      <c r="CM2271" s="1539"/>
      <c r="CN2271" s="1539"/>
      <c r="CO2271" s="1539"/>
    </row>
    <row r="2272" spans="1:93" s="1542" customFormat="1" ht="15.5">
      <c r="A2272" s="1598">
        <v>15</v>
      </c>
      <c r="B2272" s="1599" t="s">
        <v>1897</v>
      </c>
      <c r="C2272" s="1643" t="e">
        <f>+SUMIF(#REF!,Final!A2272,#REF!)</f>
        <v>#REF!</v>
      </c>
      <c r="D2272" s="1597" t="e">
        <f>+SUMIF(#REF!,Final!A2272,#REF!)</f>
        <v>#REF!</v>
      </c>
      <c r="E2272" s="1643" t="e">
        <f>SUMIF(#REF!,Final!A2272,#REF!)</f>
        <v>#REF!</v>
      </c>
      <c r="F2272" s="1644" t="e">
        <f>SUMIF(#REF!,Final!A2272,#REF!)</f>
        <v>#REF!</v>
      </c>
      <c r="G2272" s="1597" t="e">
        <f t="shared" si="244"/>
        <v>#REF!</v>
      </c>
      <c r="H2272" s="1644" t="e">
        <f t="shared" si="245"/>
        <v>#REF!</v>
      </c>
      <c r="I2272" s="1597" t="e">
        <f t="shared" si="246"/>
        <v>#REF!</v>
      </c>
      <c r="J2272" s="1644" t="e">
        <f t="shared" si="247"/>
        <v>#REF!</v>
      </c>
      <c r="K2272" s="1539"/>
      <c r="L2272" s="1539"/>
      <c r="M2272" s="1545"/>
      <c r="N2272" s="1545"/>
      <c r="O2272" s="1539"/>
      <c r="P2272" s="1539"/>
      <c r="Q2272" s="1539"/>
      <c r="R2272" s="1539"/>
      <c r="S2272" s="1539"/>
      <c r="T2272" s="1539"/>
      <c r="U2272" s="1539"/>
      <c r="V2272" s="1539"/>
      <c r="W2272" s="1539"/>
      <c r="X2272" s="1539"/>
      <c r="Y2272" s="1539"/>
      <c r="Z2272" s="1539"/>
      <c r="AA2272" s="1539"/>
      <c r="AB2272" s="1539"/>
      <c r="AC2272" s="1539"/>
      <c r="AD2272" s="1539"/>
      <c r="AE2272" s="1539"/>
      <c r="AF2272" s="1539"/>
      <c r="AG2272" s="1539"/>
      <c r="AH2272" s="1539"/>
      <c r="AI2272" s="1539"/>
      <c r="AJ2272" s="1539"/>
      <c r="AK2272" s="1539"/>
      <c r="AL2272" s="1539"/>
      <c r="AM2272" s="1539"/>
      <c r="AN2272" s="1539"/>
      <c r="AO2272" s="1539"/>
      <c r="AP2272" s="1539"/>
      <c r="AQ2272" s="1539"/>
      <c r="AR2272" s="1539"/>
      <c r="AS2272" s="1539"/>
      <c r="AT2272" s="1539"/>
      <c r="AU2272" s="1539"/>
      <c r="AV2272" s="1539"/>
      <c r="AW2272" s="1539"/>
      <c r="AX2272" s="1539"/>
      <c r="AY2272" s="1539"/>
      <c r="AZ2272" s="1539"/>
      <c r="BA2272" s="1539"/>
      <c r="BB2272" s="1539"/>
      <c r="BC2272" s="1539"/>
      <c r="BD2272" s="1539"/>
      <c r="BE2272" s="1539"/>
      <c r="BF2272" s="1539"/>
      <c r="BG2272" s="1539"/>
      <c r="BH2272" s="1539"/>
      <c r="BI2272" s="1539"/>
      <c r="BJ2272" s="1539"/>
      <c r="BK2272" s="1539"/>
      <c r="BL2272" s="1539"/>
      <c r="BM2272" s="1539"/>
      <c r="BN2272" s="1539"/>
      <c r="BO2272" s="1539"/>
      <c r="BP2272" s="1539"/>
      <c r="BQ2272" s="1539"/>
      <c r="BR2272" s="1539"/>
      <c r="BS2272" s="1539"/>
      <c r="BT2272" s="1539"/>
      <c r="BU2272" s="1539"/>
      <c r="BV2272" s="1539"/>
      <c r="BW2272" s="1539"/>
      <c r="BX2272" s="1539"/>
      <c r="BY2272" s="1539"/>
      <c r="BZ2272" s="1539"/>
      <c r="CA2272" s="1539"/>
      <c r="CB2272" s="1539"/>
      <c r="CC2272" s="1539"/>
      <c r="CD2272" s="1539"/>
      <c r="CE2272" s="1539"/>
      <c r="CF2272" s="1539"/>
      <c r="CG2272" s="1539"/>
      <c r="CH2272" s="1539"/>
      <c r="CI2272" s="1539"/>
      <c r="CJ2272" s="1539"/>
      <c r="CK2272" s="1539"/>
      <c r="CL2272" s="1539"/>
      <c r="CM2272" s="1539"/>
      <c r="CN2272" s="1539"/>
      <c r="CO2272" s="1539"/>
    </row>
    <row r="2273" spans="1:93" s="1542" customFormat="1" ht="15.5">
      <c r="A2273" s="1598" t="s">
        <v>1762</v>
      </c>
      <c r="B2273" s="1599" t="s">
        <v>1898</v>
      </c>
      <c r="C2273" s="1643" t="e">
        <f>+SUMIF(#REF!,Final!A2273,#REF!)</f>
        <v>#REF!</v>
      </c>
      <c r="D2273" s="1597" t="e">
        <f>+SUMIF(#REF!,Final!A2273,#REF!)</f>
        <v>#REF!</v>
      </c>
      <c r="E2273" s="1643" t="e">
        <f>SUMIF(#REF!,Final!A2273,#REF!)</f>
        <v>#REF!</v>
      </c>
      <c r="F2273" s="1644" t="e">
        <f>SUMIF(#REF!,Final!A2273,#REF!)</f>
        <v>#REF!</v>
      </c>
      <c r="G2273" s="1597" t="e">
        <f t="shared" si="244"/>
        <v>#REF!</v>
      </c>
      <c r="H2273" s="1644" t="e">
        <f t="shared" si="245"/>
        <v>#REF!</v>
      </c>
      <c r="I2273" s="1597" t="e">
        <f t="shared" si="246"/>
        <v>#REF!</v>
      </c>
      <c r="J2273" s="1644" t="e">
        <f t="shared" si="247"/>
        <v>#REF!</v>
      </c>
      <c r="K2273" s="1539"/>
      <c r="L2273" s="1539"/>
      <c r="M2273" s="1545"/>
      <c r="N2273" s="1545"/>
      <c r="O2273" s="1539"/>
      <c r="P2273" s="1539"/>
      <c r="Q2273" s="1539"/>
      <c r="R2273" s="1539"/>
      <c r="S2273" s="1539"/>
      <c r="T2273" s="1539"/>
      <c r="U2273" s="1539"/>
      <c r="V2273" s="1539"/>
      <c r="W2273" s="1539"/>
      <c r="X2273" s="1539"/>
      <c r="Y2273" s="1539"/>
      <c r="Z2273" s="1539"/>
      <c r="AA2273" s="1539"/>
      <c r="AB2273" s="1539"/>
      <c r="AC2273" s="1539"/>
      <c r="AD2273" s="1539"/>
      <c r="AE2273" s="1539"/>
      <c r="AF2273" s="1539"/>
      <c r="AG2273" s="1539"/>
      <c r="AH2273" s="1539"/>
      <c r="AI2273" s="1539"/>
      <c r="AJ2273" s="1539"/>
      <c r="AK2273" s="1539"/>
      <c r="AL2273" s="1539"/>
      <c r="AM2273" s="1539"/>
      <c r="AN2273" s="1539"/>
      <c r="AO2273" s="1539"/>
      <c r="AP2273" s="1539"/>
      <c r="AQ2273" s="1539"/>
      <c r="AR2273" s="1539"/>
      <c r="AS2273" s="1539"/>
      <c r="AT2273" s="1539"/>
      <c r="AU2273" s="1539"/>
      <c r="AV2273" s="1539"/>
      <c r="AW2273" s="1539"/>
      <c r="AX2273" s="1539"/>
      <c r="AY2273" s="1539"/>
      <c r="AZ2273" s="1539"/>
      <c r="BA2273" s="1539"/>
      <c r="BB2273" s="1539"/>
      <c r="BC2273" s="1539"/>
      <c r="BD2273" s="1539"/>
      <c r="BE2273" s="1539"/>
      <c r="BF2273" s="1539"/>
      <c r="BG2273" s="1539"/>
      <c r="BH2273" s="1539"/>
      <c r="BI2273" s="1539"/>
      <c r="BJ2273" s="1539"/>
      <c r="BK2273" s="1539"/>
      <c r="BL2273" s="1539"/>
      <c r="BM2273" s="1539"/>
      <c r="BN2273" s="1539"/>
      <c r="BO2273" s="1539"/>
      <c r="BP2273" s="1539"/>
      <c r="BQ2273" s="1539"/>
      <c r="BR2273" s="1539"/>
      <c r="BS2273" s="1539"/>
      <c r="BT2273" s="1539"/>
      <c r="BU2273" s="1539"/>
      <c r="BV2273" s="1539"/>
      <c r="BW2273" s="1539"/>
      <c r="BX2273" s="1539"/>
      <c r="BY2273" s="1539"/>
      <c r="BZ2273" s="1539"/>
      <c r="CA2273" s="1539"/>
      <c r="CB2273" s="1539"/>
      <c r="CC2273" s="1539"/>
      <c r="CD2273" s="1539"/>
      <c r="CE2273" s="1539"/>
      <c r="CF2273" s="1539"/>
      <c r="CG2273" s="1539"/>
      <c r="CH2273" s="1539"/>
      <c r="CI2273" s="1539"/>
      <c r="CJ2273" s="1539"/>
      <c r="CK2273" s="1539"/>
      <c r="CL2273" s="1539"/>
      <c r="CM2273" s="1539"/>
      <c r="CN2273" s="1539"/>
      <c r="CO2273" s="1539"/>
    </row>
    <row r="2274" spans="1:93" ht="15.5">
      <c r="A2274" s="1598">
        <v>48.100999999999999</v>
      </c>
      <c r="B2274" s="1599" t="s">
        <v>666</v>
      </c>
      <c r="C2274" s="1643" t="e">
        <f>+SUMIF(#REF!,Final!A2274,#REF!)</f>
        <v>#REF!</v>
      </c>
      <c r="D2274" s="1597" t="e">
        <f>+SUMIF(#REF!,Final!A2274,#REF!)</f>
        <v>#REF!</v>
      </c>
      <c r="E2274" s="1643" t="e">
        <f>SUMIF(#REF!,Final!A2274,#REF!)</f>
        <v>#REF!</v>
      </c>
      <c r="F2274" s="1644" t="e">
        <f>SUMIF(#REF!,Final!A2274,#REF!)</f>
        <v>#REF!</v>
      </c>
      <c r="G2274" s="1597" t="e">
        <f t="shared" si="244"/>
        <v>#REF!</v>
      </c>
      <c r="H2274" s="1644" t="e">
        <f t="shared" si="245"/>
        <v>#REF!</v>
      </c>
      <c r="I2274" s="1597" t="e">
        <f t="shared" si="246"/>
        <v>#REF!</v>
      </c>
      <c r="J2274" s="1644" t="e">
        <f t="shared" si="247"/>
        <v>#REF!</v>
      </c>
      <c r="M2274" s="1545"/>
      <c r="N2274" s="1545"/>
    </row>
    <row r="2275" spans="1:93" ht="15.5">
      <c r="A2275" s="1598">
        <v>48.101999999999997</v>
      </c>
      <c r="B2275" s="1599" t="s">
        <v>1335</v>
      </c>
      <c r="C2275" s="1643" t="e">
        <f>+SUMIF(#REF!,Final!A2275,#REF!)</f>
        <v>#REF!</v>
      </c>
      <c r="D2275" s="1597" t="e">
        <f>+SUMIF(#REF!,Final!A2275,#REF!)</f>
        <v>#REF!</v>
      </c>
      <c r="E2275" s="1643" t="e">
        <f>SUMIF(#REF!,Final!A2275,#REF!)</f>
        <v>#REF!</v>
      </c>
      <c r="F2275" s="1644" t="e">
        <f>SUMIF(#REF!,Final!A2275,#REF!)</f>
        <v>#REF!</v>
      </c>
      <c r="G2275" s="1597" t="e">
        <f t="shared" si="244"/>
        <v>#REF!</v>
      </c>
      <c r="H2275" s="1644" t="e">
        <f t="shared" si="245"/>
        <v>#REF!</v>
      </c>
      <c r="I2275" s="1597" t="e">
        <f t="shared" si="246"/>
        <v>#REF!</v>
      </c>
      <c r="J2275" s="1644" t="e">
        <f t="shared" si="247"/>
        <v>#REF!</v>
      </c>
      <c r="M2275" s="1545"/>
      <c r="N2275" s="1545"/>
    </row>
    <row r="2276" spans="1:93" ht="15.5">
      <c r="A2276" s="1598">
        <v>48.103000000000002</v>
      </c>
      <c r="B2276" s="1599" t="s">
        <v>1899</v>
      </c>
      <c r="C2276" s="1643" t="e">
        <f>+SUMIF(#REF!,Final!A2276,#REF!)</f>
        <v>#REF!</v>
      </c>
      <c r="D2276" s="1597" t="e">
        <f>+SUMIF(#REF!,Final!A2276,#REF!)</f>
        <v>#REF!</v>
      </c>
      <c r="E2276" s="1643" t="e">
        <f>SUMIF(#REF!,Final!A2276,#REF!)</f>
        <v>#REF!</v>
      </c>
      <c r="F2276" s="1644" t="e">
        <f>SUMIF(#REF!,Final!A2276,#REF!)</f>
        <v>#REF!</v>
      </c>
      <c r="G2276" s="1597" t="e">
        <f t="shared" si="244"/>
        <v>#REF!</v>
      </c>
      <c r="H2276" s="1644" t="e">
        <f t="shared" si="245"/>
        <v>#REF!</v>
      </c>
      <c r="I2276" s="1597" t="e">
        <f t="shared" si="246"/>
        <v>#REF!</v>
      </c>
      <c r="J2276" s="1644" t="e">
        <f t="shared" si="247"/>
        <v>#REF!</v>
      </c>
      <c r="M2276" s="1545"/>
      <c r="N2276" s="1545"/>
    </row>
    <row r="2277" spans="1:93" ht="15.5">
      <c r="A2277" s="1598">
        <v>48.103999999999999</v>
      </c>
      <c r="B2277" s="1599" t="s">
        <v>1900</v>
      </c>
      <c r="C2277" s="1643" t="e">
        <f>+SUMIF(#REF!,Final!A2277,#REF!)</f>
        <v>#REF!</v>
      </c>
      <c r="D2277" s="1597" t="e">
        <f>+SUMIF(#REF!,Final!A2277,#REF!)</f>
        <v>#REF!</v>
      </c>
      <c r="E2277" s="1643" t="e">
        <f>SUMIF(#REF!,Final!A2277,#REF!)</f>
        <v>#REF!</v>
      </c>
      <c r="F2277" s="1644" t="e">
        <f>SUMIF(#REF!,Final!A2277,#REF!)</f>
        <v>#REF!</v>
      </c>
      <c r="G2277" s="1597" t="e">
        <f t="shared" si="244"/>
        <v>#REF!</v>
      </c>
      <c r="H2277" s="1644" t="e">
        <f t="shared" si="245"/>
        <v>#REF!</v>
      </c>
      <c r="I2277" s="1597" t="e">
        <f t="shared" si="246"/>
        <v>#REF!</v>
      </c>
      <c r="J2277" s="1644" t="e">
        <f t="shared" si="247"/>
        <v>#REF!</v>
      </c>
      <c r="M2277" s="1545"/>
      <c r="N2277" s="1545"/>
    </row>
    <row r="2278" spans="1:93" ht="15.5">
      <c r="A2278" s="1598">
        <v>48.104999999999997</v>
      </c>
      <c r="B2278" s="1599" t="s">
        <v>890</v>
      </c>
      <c r="C2278" s="1643" t="e">
        <f>+SUMIF(#REF!,Final!A2278,#REF!)</f>
        <v>#REF!</v>
      </c>
      <c r="D2278" s="1597" t="e">
        <f>+SUMIF(#REF!,Final!A2278,#REF!)</f>
        <v>#REF!</v>
      </c>
      <c r="E2278" s="1643" t="e">
        <f>SUMIF(#REF!,Final!A2278,#REF!)</f>
        <v>#REF!</v>
      </c>
      <c r="F2278" s="1644" t="e">
        <f>SUMIF(#REF!,Final!A2278,#REF!)</f>
        <v>#REF!</v>
      </c>
      <c r="G2278" s="1597" t="e">
        <f t="shared" si="244"/>
        <v>#REF!</v>
      </c>
      <c r="H2278" s="1644" t="e">
        <f t="shared" si="245"/>
        <v>#REF!</v>
      </c>
      <c r="I2278" s="1597" t="e">
        <f t="shared" si="246"/>
        <v>#REF!</v>
      </c>
      <c r="J2278" s="1644" t="e">
        <f t="shared" si="247"/>
        <v>#REF!</v>
      </c>
      <c r="M2278" s="1545"/>
      <c r="N2278" s="1545"/>
    </row>
    <row r="2279" spans="1:93" ht="15.5">
      <c r="A2279" s="1598">
        <v>48.106999999999999</v>
      </c>
      <c r="B2279" s="1599" t="s">
        <v>893</v>
      </c>
      <c r="C2279" s="1643" t="e">
        <f>+SUMIF(#REF!,Final!A2279,#REF!)</f>
        <v>#REF!</v>
      </c>
      <c r="D2279" s="1597" t="e">
        <f>+SUMIF(#REF!,Final!A2279,#REF!)</f>
        <v>#REF!</v>
      </c>
      <c r="E2279" s="1643" t="e">
        <f>SUMIF(#REF!,Final!A2279,#REF!)</f>
        <v>#REF!</v>
      </c>
      <c r="F2279" s="1644" t="e">
        <f>SUMIF(#REF!,Final!A2279,#REF!)</f>
        <v>#REF!</v>
      </c>
      <c r="G2279" s="1597" t="e">
        <f t="shared" si="244"/>
        <v>#REF!</v>
      </c>
      <c r="H2279" s="1644" t="e">
        <f t="shared" si="245"/>
        <v>#REF!</v>
      </c>
      <c r="I2279" s="1597" t="e">
        <f t="shared" si="246"/>
        <v>#REF!</v>
      </c>
      <c r="J2279" s="1644" t="e">
        <f t="shared" si="247"/>
        <v>#REF!</v>
      </c>
      <c r="M2279" s="1545"/>
      <c r="N2279" s="1545"/>
    </row>
    <row r="2280" spans="1:93" ht="15.5">
      <c r="A2280" s="1598">
        <v>48.107999999999997</v>
      </c>
      <c r="B2280" s="1599" t="s">
        <v>539</v>
      </c>
      <c r="C2280" s="1643" t="e">
        <f>+SUMIF(#REF!,Final!A2280,#REF!)</f>
        <v>#REF!</v>
      </c>
      <c r="D2280" s="1597" t="e">
        <f>+SUMIF(#REF!,Final!A2280,#REF!)</f>
        <v>#REF!</v>
      </c>
      <c r="E2280" s="1643" t="e">
        <f>SUMIF(#REF!,Final!A2280,#REF!)</f>
        <v>#REF!</v>
      </c>
      <c r="F2280" s="1644" t="e">
        <f>SUMIF(#REF!,Final!A2280,#REF!)</f>
        <v>#REF!</v>
      </c>
      <c r="G2280" s="1597" t="e">
        <f t="shared" si="244"/>
        <v>#REF!</v>
      </c>
      <c r="H2280" s="1644" t="e">
        <f t="shared" si="245"/>
        <v>#REF!</v>
      </c>
      <c r="I2280" s="1597" t="e">
        <f t="shared" si="246"/>
        <v>#REF!</v>
      </c>
      <c r="J2280" s="1644" t="e">
        <f t="shared" si="247"/>
        <v>#REF!</v>
      </c>
      <c r="M2280" s="1545"/>
      <c r="N2280" s="1545"/>
    </row>
    <row r="2281" spans="1:93" ht="15.5">
      <c r="A2281" s="1598">
        <v>48.109000000000002</v>
      </c>
      <c r="B2281" s="1599" t="s">
        <v>540</v>
      </c>
      <c r="C2281" s="1643" t="e">
        <f>+SUMIF(#REF!,Final!A2281,#REF!)</f>
        <v>#REF!</v>
      </c>
      <c r="D2281" s="1597" t="e">
        <f>+SUMIF(#REF!,Final!A2281,#REF!)</f>
        <v>#REF!</v>
      </c>
      <c r="E2281" s="1643" t="e">
        <f>SUMIF(#REF!,Final!A2281,#REF!)</f>
        <v>#REF!</v>
      </c>
      <c r="F2281" s="1644" t="e">
        <f>SUMIF(#REF!,Final!A2281,#REF!)</f>
        <v>#REF!</v>
      </c>
      <c r="G2281" s="1597" t="e">
        <f t="shared" si="244"/>
        <v>#REF!</v>
      </c>
      <c r="H2281" s="1644" t="e">
        <f t="shared" si="245"/>
        <v>#REF!</v>
      </c>
      <c r="I2281" s="1597" t="e">
        <f t="shared" si="246"/>
        <v>#REF!</v>
      </c>
      <c r="J2281" s="1644" t="e">
        <f t="shared" si="247"/>
        <v>#REF!</v>
      </c>
      <c r="M2281" s="1545"/>
      <c r="N2281" s="1545"/>
    </row>
    <row r="2282" spans="1:93" ht="15.5">
      <c r="A2282" s="1598">
        <v>48.11</v>
      </c>
      <c r="B2282" s="1599" t="s">
        <v>1901</v>
      </c>
      <c r="C2282" s="1643" t="e">
        <f>+SUMIF(#REF!,Final!A2282,#REF!)</f>
        <v>#REF!</v>
      </c>
      <c r="D2282" s="1597" t="e">
        <f>+SUMIF(#REF!,Final!A2282,#REF!)</f>
        <v>#REF!</v>
      </c>
      <c r="E2282" s="1643" t="e">
        <f>SUMIF(#REF!,Final!A2282,#REF!)</f>
        <v>#REF!</v>
      </c>
      <c r="F2282" s="1644" t="e">
        <f>SUMIF(#REF!,Final!A2282,#REF!)</f>
        <v>#REF!</v>
      </c>
      <c r="G2282" s="1597" t="e">
        <f t="shared" si="244"/>
        <v>#REF!</v>
      </c>
      <c r="H2282" s="1644" t="e">
        <f t="shared" si="245"/>
        <v>#REF!</v>
      </c>
      <c r="I2282" s="1597" t="e">
        <f t="shared" si="246"/>
        <v>#REF!</v>
      </c>
      <c r="J2282" s="1644" t="e">
        <f t="shared" si="247"/>
        <v>#REF!</v>
      </c>
      <c r="M2282" s="1545"/>
      <c r="N2282" s="1545"/>
    </row>
    <row r="2283" spans="1:93" ht="15.5">
      <c r="A2283" s="1598">
        <v>48.110999999999997</v>
      </c>
      <c r="B2283" s="1599" t="s">
        <v>1902</v>
      </c>
      <c r="C2283" s="1643" t="e">
        <f>+SUMIF(#REF!,Final!A2283,#REF!)</f>
        <v>#REF!</v>
      </c>
      <c r="D2283" s="1597" t="e">
        <f>+SUMIF(#REF!,Final!A2283,#REF!)</f>
        <v>#REF!</v>
      </c>
      <c r="E2283" s="1643" t="e">
        <f>SUMIF(#REF!,Final!A2283,#REF!)</f>
        <v>#REF!</v>
      </c>
      <c r="F2283" s="1644" t="e">
        <f>SUMIF(#REF!,Final!A2283,#REF!)</f>
        <v>#REF!</v>
      </c>
      <c r="G2283" s="1597" t="e">
        <f t="shared" si="244"/>
        <v>#REF!</v>
      </c>
      <c r="H2283" s="1644" t="e">
        <f t="shared" si="245"/>
        <v>#REF!</v>
      </c>
      <c r="I2283" s="1597" t="e">
        <f t="shared" si="246"/>
        <v>#REF!</v>
      </c>
      <c r="J2283" s="1644" t="e">
        <f t="shared" si="247"/>
        <v>#REF!</v>
      </c>
      <c r="M2283" s="1545"/>
      <c r="N2283" s="1545"/>
    </row>
    <row r="2284" spans="1:93" ht="15.5">
      <c r="A2284" s="1598">
        <v>48.113</v>
      </c>
      <c r="B2284" s="1599" t="s">
        <v>1400</v>
      </c>
      <c r="C2284" s="1643" t="e">
        <f>+SUMIF(#REF!,Final!A2284,#REF!)</f>
        <v>#REF!</v>
      </c>
      <c r="D2284" s="1597" t="e">
        <f>+SUMIF(#REF!,Final!A2284,#REF!)</f>
        <v>#REF!</v>
      </c>
      <c r="E2284" s="1643" t="e">
        <f>SUMIF(#REF!,Final!A2284,#REF!)</f>
        <v>#REF!</v>
      </c>
      <c r="F2284" s="1644" t="e">
        <f>SUMIF(#REF!,Final!A2284,#REF!)</f>
        <v>#REF!</v>
      </c>
      <c r="G2284" s="1597" t="e">
        <f t="shared" si="244"/>
        <v>#REF!</v>
      </c>
      <c r="H2284" s="1644" t="e">
        <f t="shared" si="245"/>
        <v>#REF!</v>
      </c>
      <c r="I2284" s="1597" t="e">
        <f t="shared" si="246"/>
        <v>#REF!</v>
      </c>
      <c r="J2284" s="1644" t="e">
        <f t="shared" si="247"/>
        <v>#REF!</v>
      </c>
      <c r="M2284" s="1545"/>
      <c r="N2284" s="1545"/>
    </row>
    <row r="2285" spans="1:93" ht="15.5">
      <c r="A2285" s="1598">
        <v>48.113999999999997</v>
      </c>
      <c r="B2285" s="1599" t="s">
        <v>1903</v>
      </c>
      <c r="C2285" s="1643" t="e">
        <f>+SUMIF(#REF!,Final!A2285,#REF!)</f>
        <v>#REF!</v>
      </c>
      <c r="D2285" s="1597" t="e">
        <f>+SUMIF(#REF!,Final!A2285,#REF!)</f>
        <v>#REF!</v>
      </c>
      <c r="E2285" s="1643" t="e">
        <f>SUMIF(#REF!,Final!A2285,#REF!)</f>
        <v>#REF!</v>
      </c>
      <c r="F2285" s="1644" t="e">
        <f>SUMIF(#REF!,Final!A2285,#REF!)</f>
        <v>#REF!</v>
      </c>
      <c r="G2285" s="1597" t="e">
        <f t="shared" si="244"/>
        <v>#REF!</v>
      </c>
      <c r="H2285" s="1644" t="e">
        <f t="shared" si="245"/>
        <v>#REF!</v>
      </c>
      <c r="I2285" s="1597" t="e">
        <f t="shared" si="246"/>
        <v>#REF!</v>
      </c>
      <c r="J2285" s="1644" t="e">
        <f t="shared" si="247"/>
        <v>#REF!</v>
      </c>
      <c r="M2285" s="1545"/>
      <c r="N2285" s="1545"/>
    </row>
    <row r="2286" spans="1:93" ht="15.5">
      <c r="A2286" s="1598">
        <v>48.115000000000002</v>
      </c>
      <c r="B2286" s="1599" t="s">
        <v>1904</v>
      </c>
      <c r="C2286" s="1643" t="e">
        <f>+SUMIF(#REF!,Final!A2286,#REF!)</f>
        <v>#REF!</v>
      </c>
      <c r="D2286" s="1597" t="e">
        <f>+SUMIF(#REF!,Final!A2286,#REF!)</f>
        <v>#REF!</v>
      </c>
      <c r="E2286" s="1643" t="e">
        <f>SUMIF(#REF!,Final!A2286,#REF!)</f>
        <v>#REF!</v>
      </c>
      <c r="F2286" s="1644" t="e">
        <f>SUMIF(#REF!,Final!A2286,#REF!)</f>
        <v>#REF!</v>
      </c>
      <c r="G2286" s="1597" t="e">
        <f t="shared" si="244"/>
        <v>#REF!</v>
      </c>
      <c r="H2286" s="1644" t="e">
        <f t="shared" si="245"/>
        <v>#REF!</v>
      </c>
      <c r="I2286" s="1597" t="e">
        <f t="shared" si="246"/>
        <v>#REF!</v>
      </c>
      <c r="J2286" s="1644" t="e">
        <f t="shared" si="247"/>
        <v>#REF!</v>
      </c>
      <c r="M2286" s="1545"/>
      <c r="N2286" s="1545"/>
    </row>
    <row r="2287" spans="1:93" s="1543" customFormat="1" ht="15.5">
      <c r="A2287" s="1598">
        <v>48.116</v>
      </c>
      <c r="B2287" s="1599" t="s">
        <v>423</v>
      </c>
      <c r="C2287" s="1643" t="e">
        <f>+SUMIF(#REF!,Final!A2287,#REF!)</f>
        <v>#REF!</v>
      </c>
      <c r="D2287" s="1597" t="e">
        <f>+SUMIF(#REF!,Final!A2287,#REF!)</f>
        <v>#REF!</v>
      </c>
      <c r="E2287" s="1643" t="e">
        <f>SUMIF(#REF!,Final!A2287,#REF!)</f>
        <v>#REF!</v>
      </c>
      <c r="F2287" s="1644" t="e">
        <f>SUMIF(#REF!,Final!A2287,#REF!)</f>
        <v>#REF!</v>
      </c>
      <c r="G2287" s="1597" t="e">
        <f t="shared" si="244"/>
        <v>#REF!</v>
      </c>
      <c r="H2287" s="1644" t="e">
        <f t="shared" si="245"/>
        <v>#REF!</v>
      </c>
      <c r="I2287" s="1597" t="e">
        <f t="shared" si="246"/>
        <v>#REF!</v>
      </c>
      <c r="J2287" s="1644" t="e">
        <f t="shared" si="247"/>
        <v>#REF!</v>
      </c>
      <c r="K2287" s="1539"/>
      <c r="L2287" s="1539"/>
      <c r="M2287" s="1545"/>
      <c r="N2287" s="1545"/>
      <c r="O2287" s="1539"/>
      <c r="P2287" s="1539"/>
      <c r="Q2287" s="1539"/>
      <c r="R2287" s="1539"/>
      <c r="S2287" s="1539"/>
      <c r="T2287" s="1539"/>
      <c r="U2287" s="1539"/>
      <c r="V2287" s="1539"/>
      <c r="W2287" s="1539"/>
      <c r="X2287" s="1539"/>
      <c r="Y2287" s="1539"/>
      <c r="Z2287" s="1539"/>
      <c r="AA2287" s="1539"/>
      <c r="AB2287" s="1539"/>
      <c r="AC2287" s="1539"/>
      <c r="AD2287" s="1539"/>
      <c r="AE2287" s="1539"/>
      <c r="AF2287" s="1539"/>
      <c r="AG2287" s="1539"/>
      <c r="AH2287" s="1539"/>
      <c r="AI2287" s="1539"/>
      <c r="AJ2287" s="1539"/>
      <c r="AK2287" s="1539"/>
      <c r="AL2287" s="1539"/>
      <c r="AM2287" s="1539"/>
      <c r="AN2287" s="1539"/>
      <c r="AO2287" s="1539"/>
      <c r="AP2287" s="1539"/>
      <c r="AQ2287" s="1539"/>
      <c r="AR2287" s="1539"/>
      <c r="AS2287" s="1539"/>
      <c r="AT2287" s="1539"/>
      <c r="AU2287" s="1539"/>
      <c r="AV2287" s="1539"/>
      <c r="AW2287" s="1539"/>
      <c r="AX2287" s="1539"/>
      <c r="AY2287" s="1539"/>
      <c r="AZ2287" s="1539"/>
      <c r="BA2287" s="1539"/>
      <c r="BB2287" s="1539"/>
      <c r="BC2287" s="1539"/>
      <c r="BD2287" s="1539"/>
      <c r="BE2287" s="1539"/>
      <c r="BF2287" s="1539"/>
      <c r="BG2287" s="1539"/>
      <c r="BH2287" s="1539"/>
      <c r="BI2287" s="1539"/>
      <c r="BJ2287" s="1539"/>
      <c r="BK2287" s="1539"/>
      <c r="BL2287" s="1539"/>
      <c r="BM2287" s="1539"/>
      <c r="BN2287" s="1539"/>
      <c r="BO2287" s="1539"/>
      <c r="BP2287" s="1539"/>
      <c r="BQ2287" s="1539"/>
      <c r="BR2287" s="1539"/>
      <c r="BS2287" s="1539"/>
      <c r="BT2287" s="1539"/>
      <c r="BU2287" s="1539"/>
      <c r="BV2287" s="1539"/>
      <c r="BW2287" s="1539"/>
      <c r="BX2287" s="1539"/>
      <c r="BY2287" s="1539"/>
      <c r="BZ2287" s="1539"/>
      <c r="CA2287" s="1539"/>
      <c r="CB2287" s="1539"/>
      <c r="CC2287" s="1539"/>
      <c r="CD2287" s="1539"/>
      <c r="CE2287" s="1539"/>
      <c r="CF2287" s="1539"/>
      <c r="CG2287" s="1539"/>
      <c r="CH2287" s="1539"/>
      <c r="CI2287" s="1539"/>
      <c r="CJ2287" s="1539"/>
      <c r="CK2287" s="1539"/>
      <c r="CL2287" s="1539"/>
      <c r="CM2287" s="1539"/>
      <c r="CN2287" s="1539"/>
      <c r="CO2287" s="1539"/>
    </row>
    <row r="2288" spans="1:93" s="1543" customFormat="1" ht="15.5">
      <c r="A2288" s="1598">
        <v>48.116999999999997</v>
      </c>
      <c r="B2288" s="1599" t="s">
        <v>1905</v>
      </c>
      <c r="C2288" s="1643" t="e">
        <f>+SUMIF(#REF!,Final!A2288,#REF!)</f>
        <v>#REF!</v>
      </c>
      <c r="D2288" s="1597" t="e">
        <f>+SUMIF(#REF!,Final!A2288,#REF!)</f>
        <v>#REF!</v>
      </c>
      <c r="E2288" s="1643" t="e">
        <f>SUMIF(#REF!,Final!A2288,#REF!)</f>
        <v>#REF!</v>
      </c>
      <c r="F2288" s="1644" t="e">
        <f>SUMIF(#REF!,Final!A2288,#REF!)</f>
        <v>#REF!</v>
      </c>
      <c r="G2288" s="1597" t="e">
        <f t="shared" si="244"/>
        <v>#REF!</v>
      </c>
      <c r="H2288" s="1644" t="e">
        <f t="shared" si="245"/>
        <v>#REF!</v>
      </c>
      <c r="I2288" s="1597" t="e">
        <f t="shared" si="246"/>
        <v>#REF!</v>
      </c>
      <c r="J2288" s="1644" t="e">
        <f t="shared" si="247"/>
        <v>#REF!</v>
      </c>
      <c r="K2288" s="1539"/>
      <c r="L2288" s="1539"/>
      <c r="M2288" s="1545"/>
      <c r="N2288" s="1545"/>
      <c r="O2288" s="1539"/>
      <c r="P2288" s="1539"/>
      <c r="Q2288" s="1539"/>
      <c r="R2288" s="1539"/>
      <c r="S2288" s="1539"/>
      <c r="T2288" s="1539"/>
      <c r="U2288" s="1539"/>
      <c r="V2288" s="1539"/>
      <c r="W2288" s="1539"/>
      <c r="X2288" s="1539"/>
      <c r="Y2288" s="1539"/>
      <c r="Z2288" s="1539"/>
      <c r="AA2288" s="1539"/>
      <c r="AB2288" s="1539"/>
      <c r="AC2288" s="1539"/>
      <c r="AD2288" s="1539"/>
      <c r="AE2288" s="1539"/>
      <c r="AF2288" s="1539"/>
      <c r="AG2288" s="1539"/>
      <c r="AH2288" s="1539"/>
      <c r="AI2288" s="1539"/>
      <c r="AJ2288" s="1539"/>
      <c r="AK2288" s="1539"/>
      <c r="AL2288" s="1539"/>
      <c r="AM2288" s="1539"/>
      <c r="AN2288" s="1539"/>
      <c r="AO2288" s="1539"/>
      <c r="AP2288" s="1539"/>
      <c r="AQ2288" s="1539"/>
      <c r="AR2288" s="1539"/>
      <c r="AS2288" s="1539"/>
      <c r="AT2288" s="1539"/>
      <c r="AU2288" s="1539"/>
      <c r="AV2288" s="1539"/>
      <c r="AW2288" s="1539"/>
      <c r="AX2288" s="1539"/>
      <c r="AY2288" s="1539"/>
      <c r="AZ2288" s="1539"/>
      <c r="BA2288" s="1539"/>
      <c r="BB2288" s="1539"/>
      <c r="BC2288" s="1539"/>
      <c r="BD2288" s="1539"/>
      <c r="BE2288" s="1539"/>
      <c r="BF2288" s="1539"/>
      <c r="BG2288" s="1539"/>
      <c r="BH2288" s="1539"/>
      <c r="BI2288" s="1539"/>
      <c r="BJ2288" s="1539"/>
      <c r="BK2288" s="1539"/>
      <c r="BL2288" s="1539"/>
      <c r="BM2288" s="1539"/>
      <c r="BN2288" s="1539"/>
      <c r="BO2288" s="1539"/>
      <c r="BP2288" s="1539"/>
      <c r="BQ2288" s="1539"/>
      <c r="BR2288" s="1539"/>
      <c r="BS2288" s="1539"/>
      <c r="BT2288" s="1539"/>
      <c r="BU2288" s="1539"/>
      <c r="BV2288" s="1539"/>
      <c r="BW2288" s="1539"/>
      <c r="BX2288" s="1539"/>
      <c r="BY2288" s="1539"/>
      <c r="BZ2288" s="1539"/>
      <c r="CA2288" s="1539"/>
      <c r="CB2288" s="1539"/>
      <c r="CC2288" s="1539"/>
      <c r="CD2288" s="1539"/>
      <c r="CE2288" s="1539"/>
      <c r="CF2288" s="1539"/>
      <c r="CG2288" s="1539"/>
      <c r="CH2288" s="1539"/>
      <c r="CI2288" s="1539"/>
      <c r="CJ2288" s="1539"/>
      <c r="CK2288" s="1539"/>
      <c r="CL2288" s="1539"/>
      <c r="CM2288" s="1539"/>
      <c r="CN2288" s="1539"/>
      <c r="CO2288" s="1539"/>
    </row>
    <row r="2289" spans="1:93" ht="15.5">
      <c r="A2289" s="1598">
        <v>48.201000000000001</v>
      </c>
      <c r="B2289" s="1599" t="s">
        <v>1906</v>
      </c>
      <c r="C2289" s="1643" t="e">
        <f>+SUMIF(#REF!,Final!A2289,#REF!)</f>
        <v>#REF!</v>
      </c>
      <c r="D2289" s="1597" t="e">
        <f>+SUMIF(#REF!,Final!A2289,#REF!)</f>
        <v>#REF!</v>
      </c>
      <c r="E2289" s="1643" t="e">
        <f>SUMIF(#REF!,Final!A2289,#REF!)</f>
        <v>#REF!</v>
      </c>
      <c r="F2289" s="1644" t="e">
        <f>SUMIF(#REF!,Final!A2289,#REF!)</f>
        <v>#REF!</v>
      </c>
      <c r="G2289" s="1597" t="e">
        <f t="shared" si="244"/>
        <v>#REF!</v>
      </c>
      <c r="H2289" s="1644" t="e">
        <f t="shared" si="245"/>
        <v>#REF!</v>
      </c>
      <c r="I2289" s="1597" t="e">
        <f t="shared" si="246"/>
        <v>#REF!</v>
      </c>
      <c r="J2289" s="1644" t="e">
        <f t="shared" si="247"/>
        <v>#REF!</v>
      </c>
      <c r="M2289" s="1545"/>
      <c r="N2289" s="1545"/>
    </row>
    <row r="2290" spans="1:93" ht="15.5">
      <c r="A2290" s="1598">
        <v>48.201999999999998</v>
      </c>
      <c r="B2290" s="1599"/>
      <c r="C2290" s="1643" t="e">
        <f>+SUMIF(#REF!,Final!A2290,#REF!)</f>
        <v>#REF!</v>
      </c>
      <c r="D2290" s="1597" t="e">
        <f>+SUMIF(#REF!,Final!A2290,#REF!)</f>
        <v>#REF!</v>
      </c>
      <c r="E2290" s="1643" t="e">
        <f>SUMIF(#REF!,Final!A2290,#REF!)</f>
        <v>#REF!</v>
      </c>
      <c r="F2290" s="1644" t="e">
        <f>SUMIF(#REF!,Final!A2290,#REF!)</f>
        <v>#REF!</v>
      </c>
      <c r="G2290" s="1597" t="e">
        <f t="shared" si="244"/>
        <v>#REF!</v>
      </c>
      <c r="H2290" s="1644" t="e">
        <f t="shared" si="245"/>
        <v>#REF!</v>
      </c>
      <c r="I2290" s="1597" t="e">
        <f t="shared" si="246"/>
        <v>#REF!</v>
      </c>
      <c r="J2290" s="1644" t="e">
        <f t="shared" si="247"/>
        <v>#REF!</v>
      </c>
      <c r="M2290" s="1545"/>
      <c r="N2290" s="1545"/>
    </row>
    <row r="2291" spans="1:93" ht="15.5">
      <c r="A2291" s="1598">
        <v>48.203000000000003</v>
      </c>
      <c r="B2291" s="1599"/>
      <c r="C2291" s="1643" t="e">
        <f>+SUMIF(#REF!,Final!A2291,#REF!)</f>
        <v>#REF!</v>
      </c>
      <c r="D2291" s="1597" t="e">
        <f>+SUMIF(#REF!,Final!A2291,#REF!)</f>
        <v>#REF!</v>
      </c>
      <c r="E2291" s="1643" t="e">
        <f>SUMIF(#REF!,Final!A2291,#REF!)</f>
        <v>#REF!</v>
      </c>
      <c r="F2291" s="1644" t="e">
        <f>SUMIF(#REF!,Final!A2291,#REF!)</f>
        <v>#REF!</v>
      </c>
      <c r="G2291" s="1597" t="e">
        <f t="shared" si="244"/>
        <v>#REF!</v>
      </c>
      <c r="H2291" s="1644" t="e">
        <f t="shared" si="245"/>
        <v>#REF!</v>
      </c>
      <c r="I2291" s="1597" t="e">
        <f t="shared" si="246"/>
        <v>#REF!</v>
      </c>
      <c r="J2291" s="1644" t="e">
        <f t="shared" si="247"/>
        <v>#REF!</v>
      </c>
      <c r="M2291" s="1545"/>
      <c r="N2291" s="1545"/>
    </row>
    <row r="2292" spans="1:93" ht="15.5">
      <c r="A2292" s="1598">
        <v>48.204000000000001</v>
      </c>
      <c r="B2292" s="1599"/>
      <c r="C2292" s="1643" t="e">
        <f>+SUMIF(#REF!,Final!A2292,#REF!)</f>
        <v>#REF!</v>
      </c>
      <c r="D2292" s="1597" t="e">
        <f>+SUMIF(#REF!,Final!A2292,#REF!)</f>
        <v>#REF!</v>
      </c>
      <c r="E2292" s="1643" t="e">
        <f>SUMIF(#REF!,Final!A2292,#REF!)</f>
        <v>#REF!</v>
      </c>
      <c r="F2292" s="1644" t="e">
        <f>SUMIF(#REF!,Final!A2292,#REF!)</f>
        <v>#REF!</v>
      </c>
      <c r="G2292" s="1597" t="e">
        <f t="shared" si="244"/>
        <v>#REF!</v>
      </c>
      <c r="H2292" s="1644" t="e">
        <f t="shared" si="245"/>
        <v>#REF!</v>
      </c>
      <c r="I2292" s="1597" t="e">
        <f t="shared" si="246"/>
        <v>#REF!</v>
      </c>
      <c r="J2292" s="1644" t="e">
        <f t="shared" si="247"/>
        <v>#REF!</v>
      </c>
      <c r="M2292" s="1545"/>
      <c r="N2292" s="1545"/>
    </row>
    <row r="2293" spans="1:93" ht="15.5">
      <c r="A2293" s="1598">
        <v>48.204999999999998</v>
      </c>
      <c r="B2293" s="1599"/>
      <c r="C2293" s="1643" t="e">
        <f>+SUMIF(#REF!,Final!A2293,#REF!)</f>
        <v>#REF!</v>
      </c>
      <c r="D2293" s="1597" t="e">
        <f>+SUMIF(#REF!,Final!A2293,#REF!)</f>
        <v>#REF!</v>
      </c>
      <c r="E2293" s="1643" t="e">
        <f>SUMIF(#REF!,Final!A2293,#REF!)</f>
        <v>#REF!</v>
      </c>
      <c r="F2293" s="1644" t="e">
        <f>SUMIF(#REF!,Final!A2293,#REF!)</f>
        <v>#REF!</v>
      </c>
      <c r="G2293" s="1597" t="e">
        <f t="shared" si="244"/>
        <v>#REF!</v>
      </c>
      <c r="H2293" s="1644" t="e">
        <f t="shared" si="245"/>
        <v>#REF!</v>
      </c>
      <c r="I2293" s="1597" t="e">
        <f t="shared" si="246"/>
        <v>#REF!</v>
      </c>
      <c r="J2293" s="1644" t="e">
        <f t="shared" si="247"/>
        <v>#REF!</v>
      </c>
      <c r="M2293" s="1545"/>
      <c r="N2293" s="1545"/>
    </row>
    <row r="2294" spans="1:93" ht="15.5">
      <c r="A2294" s="1598">
        <v>48.207000000000001</v>
      </c>
      <c r="B2294" s="1599"/>
      <c r="C2294" s="1643" t="e">
        <f>+SUMIF(#REF!,Final!A2294,#REF!)</f>
        <v>#REF!</v>
      </c>
      <c r="D2294" s="1597" t="e">
        <f>+SUMIF(#REF!,Final!A2294,#REF!)</f>
        <v>#REF!</v>
      </c>
      <c r="E2294" s="1643" t="e">
        <f>SUMIF(#REF!,Final!A2294,#REF!)</f>
        <v>#REF!</v>
      </c>
      <c r="F2294" s="1644" t="e">
        <f>SUMIF(#REF!,Final!A2294,#REF!)</f>
        <v>#REF!</v>
      </c>
      <c r="G2294" s="1597" t="e">
        <f t="shared" si="244"/>
        <v>#REF!</v>
      </c>
      <c r="H2294" s="1644" t="e">
        <f t="shared" si="245"/>
        <v>#REF!</v>
      </c>
      <c r="I2294" s="1597" t="e">
        <f t="shared" si="246"/>
        <v>#REF!</v>
      </c>
      <c r="J2294" s="1644" t="e">
        <f t="shared" si="247"/>
        <v>#REF!</v>
      </c>
      <c r="M2294" s="1545"/>
      <c r="N2294" s="1545"/>
    </row>
    <row r="2295" spans="1:93" ht="15.5">
      <c r="A2295" s="1598">
        <v>48.207999999999998</v>
      </c>
      <c r="B2295" s="1599"/>
      <c r="C2295" s="1643" t="e">
        <f>+SUMIF(#REF!,Final!A2295,#REF!)</f>
        <v>#REF!</v>
      </c>
      <c r="D2295" s="1597" t="e">
        <f>+SUMIF(#REF!,Final!A2295,#REF!)</f>
        <v>#REF!</v>
      </c>
      <c r="E2295" s="1643" t="e">
        <f>SUMIF(#REF!,Final!A2295,#REF!)</f>
        <v>#REF!</v>
      </c>
      <c r="F2295" s="1644" t="e">
        <f>SUMIF(#REF!,Final!A2295,#REF!)</f>
        <v>#REF!</v>
      </c>
      <c r="G2295" s="1597" t="e">
        <f t="shared" si="244"/>
        <v>#REF!</v>
      </c>
      <c r="H2295" s="1644" t="e">
        <f t="shared" si="245"/>
        <v>#REF!</v>
      </c>
      <c r="I2295" s="1597" t="e">
        <f t="shared" si="246"/>
        <v>#REF!</v>
      </c>
      <c r="J2295" s="1644" t="e">
        <f t="shared" si="247"/>
        <v>#REF!</v>
      </c>
      <c r="M2295" s="1545"/>
      <c r="N2295" s="1545"/>
    </row>
    <row r="2296" spans="1:93" ht="15.5">
      <c r="A2296" s="1598">
        <v>48.21</v>
      </c>
      <c r="B2296" s="1599"/>
      <c r="C2296" s="1643" t="e">
        <f>+SUMIF(#REF!,Final!A2296,#REF!)</f>
        <v>#REF!</v>
      </c>
      <c r="D2296" s="1597" t="e">
        <f>+SUMIF(#REF!,Final!A2296,#REF!)</f>
        <v>#REF!</v>
      </c>
      <c r="E2296" s="1643" t="e">
        <f>SUMIF(#REF!,Final!A2296,#REF!)</f>
        <v>#REF!</v>
      </c>
      <c r="F2296" s="1644" t="e">
        <f>SUMIF(#REF!,Final!A2296,#REF!)</f>
        <v>#REF!</v>
      </c>
      <c r="G2296" s="1597" t="e">
        <f t="shared" si="244"/>
        <v>#REF!</v>
      </c>
      <c r="H2296" s="1644" t="e">
        <f t="shared" si="245"/>
        <v>#REF!</v>
      </c>
      <c r="I2296" s="1597" t="e">
        <f t="shared" si="246"/>
        <v>#REF!</v>
      </c>
      <c r="J2296" s="1644" t="e">
        <f t="shared" si="247"/>
        <v>#REF!</v>
      </c>
      <c r="M2296" s="1545"/>
      <c r="N2296" s="1545"/>
    </row>
    <row r="2297" spans="1:93" ht="15.5">
      <c r="A2297" s="1598">
        <v>48.210999999999999</v>
      </c>
      <c r="B2297" s="1599"/>
      <c r="C2297" s="1643" t="e">
        <f>+SUMIF(#REF!,Final!A2297,#REF!)</f>
        <v>#REF!</v>
      </c>
      <c r="D2297" s="1597" t="e">
        <f>+SUMIF(#REF!,Final!A2297,#REF!)</f>
        <v>#REF!</v>
      </c>
      <c r="E2297" s="1643" t="e">
        <f>SUMIF(#REF!,Final!A2297,#REF!)</f>
        <v>#REF!</v>
      </c>
      <c r="F2297" s="1644" t="e">
        <f>SUMIF(#REF!,Final!A2297,#REF!)</f>
        <v>#REF!</v>
      </c>
      <c r="G2297" s="1597" t="e">
        <f t="shared" si="244"/>
        <v>#REF!</v>
      </c>
      <c r="H2297" s="1644" t="e">
        <f t="shared" si="245"/>
        <v>#REF!</v>
      </c>
      <c r="I2297" s="1597" t="e">
        <f t="shared" si="246"/>
        <v>#REF!</v>
      </c>
      <c r="J2297" s="1644" t="e">
        <f t="shared" si="247"/>
        <v>#REF!</v>
      </c>
      <c r="M2297" s="1545"/>
      <c r="N2297" s="1545"/>
    </row>
    <row r="2298" spans="1:93" ht="15.5">
      <c r="A2298" s="1598">
        <v>48.213000000000001</v>
      </c>
      <c r="B2298" s="1599"/>
      <c r="C2298" s="1643" t="e">
        <f>+SUMIF(#REF!,Final!A2298,#REF!)</f>
        <v>#REF!</v>
      </c>
      <c r="D2298" s="1597" t="e">
        <f>+SUMIF(#REF!,Final!A2298,#REF!)</f>
        <v>#REF!</v>
      </c>
      <c r="E2298" s="1643" t="e">
        <f>SUMIF(#REF!,Final!A2298,#REF!)</f>
        <v>#REF!</v>
      </c>
      <c r="F2298" s="1644" t="e">
        <f>SUMIF(#REF!,Final!A2298,#REF!)</f>
        <v>#REF!</v>
      </c>
      <c r="G2298" s="1597" t="e">
        <f t="shared" si="244"/>
        <v>#REF!</v>
      </c>
      <c r="H2298" s="1644" t="e">
        <f t="shared" si="245"/>
        <v>#REF!</v>
      </c>
      <c r="I2298" s="1597" t="e">
        <f t="shared" si="246"/>
        <v>#REF!</v>
      </c>
      <c r="J2298" s="1644" t="e">
        <f t="shared" si="247"/>
        <v>#REF!</v>
      </c>
      <c r="M2298" s="1545"/>
      <c r="N2298" s="1545"/>
    </row>
    <row r="2299" spans="1:93" ht="15.5">
      <c r="A2299" s="1598">
        <v>48.215000000000003</v>
      </c>
      <c r="B2299" s="1599"/>
      <c r="C2299" s="1643" t="e">
        <f>+SUMIF(#REF!,Final!A2299,#REF!)</f>
        <v>#REF!</v>
      </c>
      <c r="D2299" s="1597" t="e">
        <f>+SUMIF(#REF!,Final!A2299,#REF!)</f>
        <v>#REF!</v>
      </c>
      <c r="E2299" s="1643" t="e">
        <f>SUMIF(#REF!,Final!A2299,#REF!)</f>
        <v>#REF!</v>
      </c>
      <c r="F2299" s="1644" t="e">
        <f>SUMIF(#REF!,Final!A2299,#REF!)</f>
        <v>#REF!</v>
      </c>
      <c r="G2299" s="1597" t="e">
        <f t="shared" si="244"/>
        <v>#REF!</v>
      </c>
      <c r="H2299" s="1644" t="e">
        <f t="shared" si="245"/>
        <v>#REF!</v>
      </c>
      <c r="I2299" s="1597" t="e">
        <f t="shared" si="246"/>
        <v>#REF!</v>
      </c>
      <c r="J2299" s="1644" t="e">
        <f t="shared" si="247"/>
        <v>#REF!</v>
      </c>
      <c r="M2299" s="1545"/>
      <c r="N2299" s="1545"/>
    </row>
    <row r="2300" spans="1:93" ht="15.5">
      <c r="A2300" s="1598">
        <v>48.216000000000001</v>
      </c>
      <c r="B2300" s="1599"/>
      <c r="C2300" s="1643" t="e">
        <f>+SUMIF(#REF!,Final!A2300,#REF!)</f>
        <v>#REF!</v>
      </c>
      <c r="D2300" s="1597" t="e">
        <f>+SUMIF(#REF!,Final!A2300,#REF!)</f>
        <v>#REF!</v>
      </c>
      <c r="E2300" s="1643" t="e">
        <f>SUMIF(#REF!,Final!A2300,#REF!)</f>
        <v>#REF!</v>
      </c>
      <c r="F2300" s="1644" t="e">
        <f>SUMIF(#REF!,Final!A2300,#REF!)</f>
        <v>#REF!</v>
      </c>
      <c r="G2300" s="1597" t="e">
        <f t="shared" si="244"/>
        <v>#REF!</v>
      </c>
      <c r="H2300" s="1644" t="e">
        <f t="shared" si="245"/>
        <v>#REF!</v>
      </c>
      <c r="I2300" s="1597" t="e">
        <f t="shared" si="246"/>
        <v>#REF!</v>
      </c>
      <c r="J2300" s="1644" t="e">
        <f t="shared" si="247"/>
        <v>#REF!</v>
      </c>
      <c r="M2300" s="1545"/>
      <c r="N2300" s="1545"/>
    </row>
    <row r="2301" spans="1:93" ht="15.5">
      <c r="A2301" s="1598">
        <v>48.216999999999999</v>
      </c>
      <c r="B2301" s="1599"/>
      <c r="C2301" s="1643" t="e">
        <f>+SUMIF(#REF!,Final!A2301,#REF!)</f>
        <v>#REF!</v>
      </c>
      <c r="D2301" s="1597" t="e">
        <f>+SUMIF(#REF!,Final!A2301,#REF!)</f>
        <v>#REF!</v>
      </c>
      <c r="E2301" s="1643" t="e">
        <f>SUMIF(#REF!,Final!A2301,#REF!)</f>
        <v>#REF!</v>
      </c>
      <c r="F2301" s="1644" t="e">
        <f>SUMIF(#REF!,Final!A2301,#REF!)</f>
        <v>#REF!</v>
      </c>
      <c r="G2301" s="1597" t="e">
        <f t="shared" si="244"/>
        <v>#REF!</v>
      </c>
      <c r="H2301" s="1644" t="e">
        <f t="shared" si="245"/>
        <v>#REF!</v>
      </c>
      <c r="I2301" s="1597" t="e">
        <f t="shared" si="246"/>
        <v>#REF!</v>
      </c>
      <c r="J2301" s="1644" t="e">
        <f t="shared" si="247"/>
        <v>#REF!</v>
      </c>
      <c r="M2301" s="1545"/>
      <c r="N2301" s="1545"/>
    </row>
    <row r="2302" spans="1:93" s="1552" customFormat="1" ht="15.5">
      <c r="A2302" s="1598"/>
      <c r="B2302" s="1599" t="s">
        <v>1747</v>
      </c>
      <c r="C2302" s="1643" t="e">
        <f>+SUMIF(#REF!,Final!A2302,#REF!)</f>
        <v>#REF!</v>
      </c>
      <c r="D2302" s="1597" t="e">
        <f>+SUMIF(#REF!,Final!A2302,#REF!)</f>
        <v>#REF!</v>
      </c>
      <c r="E2302" s="1643" t="e">
        <f>SUMIF(#REF!,Final!A2302,#REF!)</f>
        <v>#REF!</v>
      </c>
      <c r="F2302" s="1644" t="e">
        <f>SUMIF(#REF!,Final!A2302,#REF!)</f>
        <v>#REF!</v>
      </c>
      <c r="G2302" s="1597" t="e">
        <f t="shared" si="244"/>
        <v>#REF!</v>
      </c>
      <c r="H2302" s="1644" t="e">
        <f t="shared" si="245"/>
        <v>#REF!</v>
      </c>
      <c r="I2302" s="1597" t="e">
        <f t="shared" si="246"/>
        <v>#REF!</v>
      </c>
      <c r="J2302" s="1644" t="e">
        <f t="shared" si="247"/>
        <v>#REF!</v>
      </c>
      <c r="K2302" s="1539"/>
      <c r="L2302" s="1539"/>
      <c r="M2302" s="1545"/>
      <c r="N2302" s="1545"/>
      <c r="O2302" s="1539"/>
      <c r="P2302" s="1539"/>
      <c r="Q2302" s="1539"/>
      <c r="R2302" s="1539"/>
      <c r="S2302" s="1539"/>
      <c r="T2302" s="1539"/>
      <c r="U2302" s="1539"/>
      <c r="V2302" s="1539"/>
      <c r="W2302" s="1539"/>
      <c r="X2302" s="1539"/>
      <c r="Y2302" s="1539"/>
      <c r="Z2302" s="1539"/>
      <c r="AA2302" s="1539"/>
      <c r="AB2302" s="1539"/>
      <c r="AC2302" s="1539"/>
      <c r="AD2302" s="1539"/>
      <c r="AE2302" s="1539"/>
      <c r="AF2302" s="1539"/>
      <c r="AG2302" s="1539"/>
      <c r="AH2302" s="1539"/>
      <c r="AI2302" s="1539"/>
      <c r="AJ2302" s="1539"/>
      <c r="AK2302" s="1539"/>
      <c r="AL2302" s="1539"/>
      <c r="AM2302" s="1539"/>
      <c r="AN2302" s="1539"/>
      <c r="AO2302" s="1539"/>
      <c r="AP2302" s="1539"/>
      <c r="AQ2302" s="1539"/>
      <c r="AR2302" s="1539"/>
      <c r="AS2302" s="1539"/>
      <c r="AT2302" s="1539"/>
      <c r="AU2302" s="1539"/>
      <c r="AV2302" s="1539"/>
      <c r="AW2302" s="1539"/>
      <c r="AX2302" s="1539"/>
      <c r="AY2302" s="1539"/>
      <c r="AZ2302" s="1539"/>
      <c r="BA2302" s="1539"/>
      <c r="BB2302" s="1539"/>
      <c r="BC2302" s="1539"/>
      <c r="BD2302" s="1539"/>
      <c r="BE2302" s="1539"/>
      <c r="BF2302" s="1539"/>
      <c r="BG2302" s="1539"/>
      <c r="BH2302" s="1539"/>
      <c r="BI2302" s="1539"/>
      <c r="BJ2302" s="1539"/>
      <c r="BK2302" s="1539"/>
      <c r="BL2302" s="1539"/>
      <c r="BM2302" s="1539"/>
      <c r="BN2302" s="1539"/>
      <c r="BO2302" s="1539"/>
      <c r="BP2302" s="1539"/>
      <c r="BQ2302" s="1539"/>
      <c r="BR2302" s="1539"/>
      <c r="BS2302" s="1539"/>
      <c r="BT2302" s="1539"/>
      <c r="BU2302" s="1539"/>
      <c r="BV2302" s="1539"/>
      <c r="BW2302" s="1539"/>
      <c r="BX2302" s="1539"/>
      <c r="BY2302" s="1539"/>
      <c r="BZ2302" s="1539"/>
      <c r="CA2302" s="1539"/>
      <c r="CB2302" s="1539"/>
      <c r="CC2302" s="1539"/>
      <c r="CD2302" s="1539"/>
      <c r="CE2302" s="1539"/>
      <c r="CF2302" s="1539"/>
      <c r="CG2302" s="1539"/>
      <c r="CH2302" s="1539"/>
      <c r="CI2302" s="1539"/>
      <c r="CJ2302" s="1539"/>
      <c r="CK2302" s="1539"/>
      <c r="CL2302" s="1539"/>
      <c r="CM2302" s="1539"/>
      <c r="CN2302" s="1539"/>
      <c r="CO2302" s="1539"/>
    </row>
    <row r="2303" spans="1:93" s="1552" customFormat="1" ht="15.5">
      <c r="A2303" s="1598" t="s">
        <v>3443</v>
      </c>
      <c r="B2303" s="1599" t="s">
        <v>1907</v>
      </c>
      <c r="C2303" s="1643" t="e">
        <f>+SUMIF(#REF!,Final!A2303,#REF!)</f>
        <v>#REF!</v>
      </c>
      <c r="D2303" s="1597" t="e">
        <f>+SUMIF(#REF!,Final!A2303,#REF!)</f>
        <v>#REF!</v>
      </c>
      <c r="E2303" s="1643" t="e">
        <f>SUMIF(#REF!,Final!A2303,#REF!)</f>
        <v>#REF!</v>
      </c>
      <c r="F2303" s="1644" t="e">
        <f>SUMIF(#REF!,Final!A2303,#REF!)</f>
        <v>#REF!</v>
      </c>
      <c r="G2303" s="1597" t="e">
        <f t="shared" si="244"/>
        <v>#REF!</v>
      </c>
      <c r="H2303" s="1644" t="e">
        <f t="shared" si="245"/>
        <v>#REF!</v>
      </c>
      <c r="I2303" s="1597" t="e">
        <f t="shared" si="246"/>
        <v>#REF!</v>
      </c>
      <c r="J2303" s="1644" t="e">
        <f t="shared" si="247"/>
        <v>#REF!</v>
      </c>
      <c r="K2303" s="1539"/>
      <c r="L2303" s="1539"/>
      <c r="M2303" s="1545"/>
      <c r="N2303" s="1545"/>
      <c r="O2303" s="1539"/>
      <c r="P2303" s="1539"/>
      <c r="Q2303" s="1539"/>
      <c r="R2303" s="1539"/>
      <c r="S2303" s="1539"/>
      <c r="T2303" s="1539"/>
      <c r="U2303" s="1539"/>
      <c r="V2303" s="1539"/>
      <c r="W2303" s="1539"/>
      <c r="X2303" s="1539"/>
      <c r="Y2303" s="1539"/>
      <c r="Z2303" s="1539"/>
      <c r="AA2303" s="1539"/>
      <c r="AB2303" s="1539"/>
      <c r="AC2303" s="1539"/>
      <c r="AD2303" s="1539"/>
      <c r="AE2303" s="1539"/>
      <c r="AF2303" s="1539"/>
      <c r="AG2303" s="1539"/>
      <c r="AH2303" s="1539"/>
      <c r="AI2303" s="1539"/>
      <c r="AJ2303" s="1539"/>
      <c r="AK2303" s="1539"/>
      <c r="AL2303" s="1539"/>
      <c r="AM2303" s="1539"/>
      <c r="AN2303" s="1539"/>
      <c r="AO2303" s="1539"/>
      <c r="AP2303" s="1539"/>
      <c r="AQ2303" s="1539"/>
      <c r="AR2303" s="1539"/>
      <c r="AS2303" s="1539"/>
      <c r="AT2303" s="1539"/>
      <c r="AU2303" s="1539"/>
      <c r="AV2303" s="1539"/>
      <c r="AW2303" s="1539"/>
      <c r="AX2303" s="1539"/>
      <c r="AY2303" s="1539"/>
      <c r="AZ2303" s="1539"/>
      <c r="BA2303" s="1539"/>
      <c r="BB2303" s="1539"/>
      <c r="BC2303" s="1539"/>
      <c r="BD2303" s="1539"/>
      <c r="BE2303" s="1539"/>
      <c r="BF2303" s="1539"/>
      <c r="BG2303" s="1539"/>
      <c r="BH2303" s="1539"/>
      <c r="BI2303" s="1539"/>
      <c r="BJ2303" s="1539"/>
      <c r="BK2303" s="1539"/>
      <c r="BL2303" s="1539"/>
      <c r="BM2303" s="1539"/>
      <c r="BN2303" s="1539"/>
      <c r="BO2303" s="1539"/>
      <c r="BP2303" s="1539"/>
      <c r="BQ2303" s="1539"/>
      <c r="BR2303" s="1539"/>
      <c r="BS2303" s="1539"/>
      <c r="BT2303" s="1539"/>
      <c r="BU2303" s="1539"/>
      <c r="BV2303" s="1539"/>
      <c r="BW2303" s="1539"/>
      <c r="BX2303" s="1539"/>
      <c r="BY2303" s="1539"/>
      <c r="BZ2303" s="1539"/>
      <c r="CA2303" s="1539"/>
      <c r="CB2303" s="1539"/>
      <c r="CC2303" s="1539"/>
      <c r="CD2303" s="1539"/>
      <c r="CE2303" s="1539"/>
      <c r="CF2303" s="1539"/>
      <c r="CG2303" s="1539"/>
      <c r="CH2303" s="1539"/>
      <c r="CI2303" s="1539"/>
      <c r="CJ2303" s="1539"/>
      <c r="CK2303" s="1539"/>
      <c r="CL2303" s="1539"/>
      <c r="CM2303" s="1539"/>
      <c r="CN2303" s="1539"/>
      <c r="CO2303" s="1539"/>
    </row>
    <row r="2304" spans="1:93" s="1552" customFormat="1" ht="15.5">
      <c r="A2304" s="1598" t="s">
        <v>1694</v>
      </c>
      <c r="B2304" s="1599" t="s">
        <v>3455</v>
      </c>
      <c r="C2304" s="1643" t="e">
        <f>+SUMIF(#REF!,Final!A2304,#REF!)</f>
        <v>#REF!</v>
      </c>
      <c r="D2304" s="1597" t="e">
        <f>+SUMIF(#REF!,Final!A2304,#REF!)</f>
        <v>#REF!</v>
      </c>
      <c r="E2304" s="1643" t="e">
        <f>SUMIF(#REF!,Final!A2304,#REF!)</f>
        <v>#REF!</v>
      </c>
      <c r="F2304" s="1644" t="e">
        <f>SUMIF(#REF!,Final!A2304,#REF!)</f>
        <v>#REF!</v>
      </c>
      <c r="G2304" s="1597" t="e">
        <f t="shared" si="244"/>
        <v>#REF!</v>
      </c>
      <c r="H2304" s="1644" t="e">
        <f t="shared" si="245"/>
        <v>#REF!</v>
      </c>
      <c r="I2304" s="1597" t="e">
        <f t="shared" si="246"/>
        <v>#REF!</v>
      </c>
      <c r="J2304" s="1644" t="e">
        <f t="shared" si="247"/>
        <v>#REF!</v>
      </c>
      <c r="K2304" s="1539"/>
      <c r="L2304" s="1539"/>
      <c r="M2304" s="1545"/>
      <c r="N2304" s="1545"/>
      <c r="O2304" s="1539"/>
      <c r="P2304" s="1539"/>
      <c r="Q2304" s="1539"/>
      <c r="R2304" s="1539"/>
      <c r="S2304" s="1539"/>
      <c r="T2304" s="1539"/>
      <c r="U2304" s="1539"/>
      <c r="V2304" s="1539"/>
      <c r="W2304" s="1539"/>
      <c r="X2304" s="1539"/>
      <c r="Y2304" s="1539"/>
      <c r="Z2304" s="1539"/>
      <c r="AA2304" s="1539"/>
      <c r="AB2304" s="1539"/>
      <c r="AC2304" s="1539"/>
      <c r="AD2304" s="1539"/>
      <c r="AE2304" s="1539"/>
      <c r="AF2304" s="1539"/>
      <c r="AG2304" s="1539"/>
      <c r="AH2304" s="1539"/>
      <c r="AI2304" s="1539"/>
      <c r="AJ2304" s="1539"/>
      <c r="AK2304" s="1539"/>
      <c r="AL2304" s="1539"/>
      <c r="AM2304" s="1539"/>
      <c r="AN2304" s="1539"/>
      <c r="AO2304" s="1539"/>
      <c r="AP2304" s="1539"/>
      <c r="AQ2304" s="1539"/>
      <c r="AR2304" s="1539"/>
      <c r="AS2304" s="1539"/>
      <c r="AT2304" s="1539"/>
      <c r="AU2304" s="1539"/>
      <c r="AV2304" s="1539"/>
      <c r="AW2304" s="1539"/>
      <c r="AX2304" s="1539"/>
      <c r="AY2304" s="1539"/>
      <c r="AZ2304" s="1539"/>
      <c r="BA2304" s="1539"/>
      <c r="BB2304" s="1539"/>
      <c r="BC2304" s="1539"/>
      <c r="BD2304" s="1539"/>
      <c r="BE2304" s="1539"/>
      <c r="BF2304" s="1539"/>
      <c r="BG2304" s="1539"/>
      <c r="BH2304" s="1539"/>
      <c r="BI2304" s="1539"/>
      <c r="BJ2304" s="1539"/>
      <c r="BK2304" s="1539"/>
      <c r="BL2304" s="1539"/>
      <c r="BM2304" s="1539"/>
      <c r="BN2304" s="1539"/>
      <c r="BO2304" s="1539"/>
      <c r="BP2304" s="1539"/>
      <c r="BQ2304" s="1539"/>
      <c r="BR2304" s="1539"/>
      <c r="BS2304" s="1539"/>
      <c r="BT2304" s="1539"/>
      <c r="BU2304" s="1539"/>
      <c r="BV2304" s="1539"/>
      <c r="BW2304" s="1539"/>
      <c r="BX2304" s="1539"/>
      <c r="BY2304" s="1539"/>
      <c r="BZ2304" s="1539"/>
      <c r="CA2304" s="1539"/>
      <c r="CB2304" s="1539"/>
      <c r="CC2304" s="1539"/>
      <c r="CD2304" s="1539"/>
      <c r="CE2304" s="1539"/>
      <c r="CF2304" s="1539"/>
      <c r="CG2304" s="1539"/>
      <c r="CH2304" s="1539"/>
      <c r="CI2304" s="1539"/>
      <c r="CJ2304" s="1539"/>
      <c r="CK2304" s="1539"/>
      <c r="CL2304" s="1539"/>
      <c r="CM2304" s="1539"/>
      <c r="CN2304" s="1539"/>
      <c r="CO2304" s="1539"/>
    </row>
    <row r="2305" spans="1:93" s="1542" customFormat="1" ht="15.5">
      <c r="A2305" s="1598" t="s">
        <v>1768</v>
      </c>
      <c r="B2305" s="1599" t="s">
        <v>3456</v>
      </c>
      <c r="C2305" s="1643" t="e">
        <f>+SUMIF(#REF!,Final!A2305,#REF!)</f>
        <v>#REF!</v>
      </c>
      <c r="D2305" s="1597" t="e">
        <f>+SUMIF(#REF!,Final!A2305,#REF!)</f>
        <v>#REF!</v>
      </c>
      <c r="E2305" s="1643" t="e">
        <f>SUMIF(#REF!,Final!A2305,#REF!)</f>
        <v>#REF!</v>
      </c>
      <c r="F2305" s="1644" t="e">
        <f>SUMIF(#REF!,Final!A2305,#REF!)</f>
        <v>#REF!</v>
      </c>
      <c r="G2305" s="1597" t="e">
        <f t="shared" si="244"/>
        <v>#REF!</v>
      </c>
      <c r="H2305" s="1644" t="e">
        <f t="shared" si="245"/>
        <v>#REF!</v>
      </c>
      <c r="I2305" s="1597" t="e">
        <f t="shared" si="246"/>
        <v>#REF!</v>
      </c>
      <c r="J2305" s="1644" t="e">
        <f t="shared" si="247"/>
        <v>#REF!</v>
      </c>
      <c r="K2305" s="1539"/>
      <c r="L2305" s="1539"/>
      <c r="M2305" s="1545"/>
      <c r="N2305" s="1545"/>
      <c r="O2305" s="1539"/>
      <c r="P2305" s="1539"/>
      <c r="Q2305" s="1539"/>
      <c r="R2305" s="1539"/>
      <c r="S2305" s="1539"/>
      <c r="T2305" s="1539"/>
      <c r="U2305" s="1539"/>
      <c r="V2305" s="1539"/>
      <c r="W2305" s="1539"/>
      <c r="X2305" s="1539"/>
      <c r="Y2305" s="1539"/>
      <c r="Z2305" s="1539"/>
      <c r="AA2305" s="1539"/>
      <c r="AB2305" s="1539"/>
      <c r="AC2305" s="1539"/>
      <c r="AD2305" s="1539"/>
      <c r="AE2305" s="1539"/>
      <c r="AF2305" s="1539"/>
      <c r="AG2305" s="1539"/>
      <c r="AH2305" s="1539"/>
      <c r="AI2305" s="1539"/>
      <c r="AJ2305" s="1539"/>
      <c r="AK2305" s="1539"/>
      <c r="AL2305" s="1539"/>
      <c r="AM2305" s="1539"/>
      <c r="AN2305" s="1539"/>
      <c r="AO2305" s="1539"/>
      <c r="AP2305" s="1539"/>
      <c r="AQ2305" s="1539"/>
      <c r="AR2305" s="1539"/>
      <c r="AS2305" s="1539"/>
      <c r="AT2305" s="1539"/>
      <c r="AU2305" s="1539"/>
      <c r="AV2305" s="1539"/>
      <c r="AW2305" s="1539"/>
      <c r="AX2305" s="1539"/>
      <c r="AY2305" s="1539"/>
      <c r="AZ2305" s="1539"/>
      <c r="BA2305" s="1539"/>
      <c r="BB2305" s="1539"/>
      <c r="BC2305" s="1539"/>
      <c r="BD2305" s="1539"/>
      <c r="BE2305" s="1539"/>
      <c r="BF2305" s="1539"/>
      <c r="BG2305" s="1539"/>
      <c r="BH2305" s="1539"/>
      <c r="BI2305" s="1539"/>
      <c r="BJ2305" s="1539"/>
      <c r="BK2305" s="1539"/>
      <c r="BL2305" s="1539"/>
      <c r="BM2305" s="1539"/>
      <c r="BN2305" s="1539"/>
      <c r="BO2305" s="1539"/>
      <c r="BP2305" s="1539"/>
      <c r="BQ2305" s="1539"/>
      <c r="BR2305" s="1539"/>
      <c r="BS2305" s="1539"/>
      <c r="BT2305" s="1539"/>
      <c r="BU2305" s="1539"/>
      <c r="BV2305" s="1539"/>
      <c r="BW2305" s="1539"/>
      <c r="BX2305" s="1539"/>
      <c r="BY2305" s="1539"/>
      <c r="BZ2305" s="1539"/>
      <c r="CA2305" s="1539"/>
      <c r="CB2305" s="1539"/>
      <c r="CC2305" s="1539"/>
      <c r="CD2305" s="1539"/>
      <c r="CE2305" s="1539"/>
      <c r="CF2305" s="1539"/>
      <c r="CG2305" s="1539"/>
      <c r="CH2305" s="1539"/>
      <c r="CI2305" s="1539"/>
      <c r="CJ2305" s="1539"/>
      <c r="CK2305" s="1539"/>
      <c r="CL2305" s="1539"/>
      <c r="CM2305" s="1539"/>
      <c r="CN2305" s="1539"/>
      <c r="CO2305" s="1539"/>
    </row>
    <row r="2306" spans="1:93" ht="15.5">
      <c r="A2306" s="1598">
        <v>48.301000000000002</v>
      </c>
      <c r="B2306" s="1599" t="s">
        <v>666</v>
      </c>
      <c r="C2306" s="1643" t="e">
        <f>+SUMIF(#REF!,Final!A2306,#REF!)</f>
        <v>#REF!</v>
      </c>
      <c r="D2306" s="1597" t="e">
        <f>+SUMIF(#REF!,Final!A2306,#REF!)</f>
        <v>#REF!</v>
      </c>
      <c r="E2306" s="1643" t="e">
        <f>SUMIF(#REF!,Final!A2306,#REF!)</f>
        <v>#REF!</v>
      </c>
      <c r="F2306" s="1644" t="e">
        <f>SUMIF(#REF!,Final!A2306,#REF!)</f>
        <v>#REF!</v>
      </c>
      <c r="G2306" s="1597" t="e">
        <f t="shared" si="244"/>
        <v>#REF!</v>
      </c>
      <c r="H2306" s="1644" t="e">
        <f t="shared" si="245"/>
        <v>#REF!</v>
      </c>
      <c r="I2306" s="1597" t="e">
        <f t="shared" si="246"/>
        <v>#REF!</v>
      </c>
      <c r="J2306" s="1644" t="e">
        <f t="shared" si="247"/>
        <v>#REF!</v>
      </c>
      <c r="M2306" s="1545"/>
      <c r="N2306" s="1545"/>
    </row>
    <row r="2307" spans="1:93" s="1542" customFormat="1" ht="15.5">
      <c r="A2307" s="1598">
        <v>48.302</v>
      </c>
      <c r="B2307" s="1599" t="s">
        <v>1335</v>
      </c>
      <c r="C2307" s="1643" t="e">
        <f>+SUMIF(#REF!,Final!A2307,#REF!)</f>
        <v>#REF!</v>
      </c>
      <c r="D2307" s="1597" t="e">
        <f>+SUMIF(#REF!,Final!A2307,#REF!)</f>
        <v>#REF!</v>
      </c>
      <c r="E2307" s="1643" t="e">
        <f>SUMIF(#REF!,Final!A2307,#REF!)</f>
        <v>#REF!</v>
      </c>
      <c r="F2307" s="1644" t="e">
        <f>SUMIF(#REF!,Final!A2307,#REF!)</f>
        <v>#REF!</v>
      </c>
      <c r="G2307" s="1597" t="e">
        <f t="shared" si="244"/>
        <v>#REF!</v>
      </c>
      <c r="H2307" s="1644" t="e">
        <f t="shared" si="245"/>
        <v>#REF!</v>
      </c>
      <c r="I2307" s="1597" t="e">
        <f t="shared" si="246"/>
        <v>#REF!</v>
      </c>
      <c r="J2307" s="1644" t="e">
        <f t="shared" si="247"/>
        <v>#REF!</v>
      </c>
      <c r="K2307" s="1539"/>
      <c r="L2307" s="1539"/>
      <c r="M2307" s="1545"/>
      <c r="N2307" s="1545"/>
      <c r="O2307" s="1539"/>
      <c r="P2307" s="1539"/>
      <c r="Q2307" s="1539"/>
      <c r="R2307" s="1539"/>
      <c r="S2307" s="1539"/>
      <c r="T2307" s="1539"/>
      <c r="U2307" s="1539"/>
      <c r="V2307" s="1539"/>
      <c r="W2307" s="1539"/>
      <c r="X2307" s="1539"/>
      <c r="Y2307" s="1539"/>
      <c r="Z2307" s="1539"/>
      <c r="AA2307" s="1539"/>
      <c r="AB2307" s="1539"/>
      <c r="AC2307" s="1539"/>
      <c r="AD2307" s="1539"/>
      <c r="AE2307" s="1539"/>
      <c r="AF2307" s="1539"/>
      <c r="AG2307" s="1539"/>
      <c r="AH2307" s="1539"/>
      <c r="AI2307" s="1539"/>
      <c r="AJ2307" s="1539"/>
      <c r="AK2307" s="1539"/>
      <c r="AL2307" s="1539"/>
      <c r="AM2307" s="1539"/>
      <c r="AN2307" s="1539"/>
      <c r="AO2307" s="1539"/>
      <c r="AP2307" s="1539"/>
      <c r="AQ2307" s="1539"/>
      <c r="AR2307" s="1539"/>
      <c r="AS2307" s="1539"/>
      <c r="AT2307" s="1539"/>
      <c r="AU2307" s="1539"/>
      <c r="AV2307" s="1539"/>
      <c r="AW2307" s="1539"/>
      <c r="AX2307" s="1539"/>
      <c r="AY2307" s="1539"/>
      <c r="AZ2307" s="1539"/>
      <c r="BA2307" s="1539"/>
      <c r="BB2307" s="1539"/>
      <c r="BC2307" s="1539"/>
      <c r="BD2307" s="1539"/>
      <c r="BE2307" s="1539"/>
      <c r="BF2307" s="1539"/>
      <c r="BG2307" s="1539"/>
      <c r="BH2307" s="1539"/>
      <c r="BI2307" s="1539"/>
      <c r="BJ2307" s="1539"/>
      <c r="BK2307" s="1539"/>
      <c r="BL2307" s="1539"/>
      <c r="BM2307" s="1539"/>
      <c r="BN2307" s="1539"/>
      <c r="BO2307" s="1539"/>
      <c r="BP2307" s="1539"/>
      <c r="BQ2307" s="1539"/>
      <c r="BR2307" s="1539"/>
      <c r="BS2307" s="1539"/>
      <c r="BT2307" s="1539"/>
      <c r="BU2307" s="1539"/>
      <c r="BV2307" s="1539"/>
      <c r="BW2307" s="1539"/>
      <c r="BX2307" s="1539"/>
      <c r="BY2307" s="1539"/>
      <c r="BZ2307" s="1539"/>
      <c r="CA2307" s="1539"/>
      <c r="CB2307" s="1539"/>
      <c r="CC2307" s="1539"/>
      <c r="CD2307" s="1539"/>
      <c r="CE2307" s="1539"/>
      <c r="CF2307" s="1539"/>
      <c r="CG2307" s="1539"/>
      <c r="CH2307" s="1539"/>
      <c r="CI2307" s="1539"/>
      <c r="CJ2307" s="1539"/>
      <c r="CK2307" s="1539"/>
      <c r="CL2307" s="1539"/>
      <c r="CM2307" s="1539"/>
      <c r="CN2307" s="1539"/>
      <c r="CO2307" s="1539"/>
    </row>
    <row r="2308" spans="1:93" s="1542" customFormat="1" ht="15.5">
      <c r="A2308" s="1598">
        <v>48.302999999999997</v>
      </c>
      <c r="B2308" s="1599" t="s">
        <v>1899</v>
      </c>
      <c r="C2308" s="1643" t="e">
        <f>+SUMIF(#REF!,Final!A2308,#REF!)</f>
        <v>#REF!</v>
      </c>
      <c r="D2308" s="1597" t="e">
        <f>+SUMIF(#REF!,Final!A2308,#REF!)</f>
        <v>#REF!</v>
      </c>
      <c r="E2308" s="1643" t="e">
        <f>SUMIF(#REF!,Final!A2308,#REF!)</f>
        <v>#REF!</v>
      </c>
      <c r="F2308" s="1644" t="e">
        <f>SUMIF(#REF!,Final!A2308,#REF!)</f>
        <v>#REF!</v>
      </c>
      <c r="G2308" s="1597" t="e">
        <f t="shared" si="244"/>
        <v>#REF!</v>
      </c>
      <c r="H2308" s="1644" t="e">
        <f t="shared" si="245"/>
        <v>#REF!</v>
      </c>
      <c r="I2308" s="1597" t="e">
        <f t="shared" si="246"/>
        <v>#REF!</v>
      </c>
      <c r="J2308" s="1644" t="e">
        <f t="shared" si="247"/>
        <v>#REF!</v>
      </c>
      <c r="K2308" s="1539"/>
      <c r="L2308" s="1539"/>
      <c r="M2308" s="1545"/>
      <c r="N2308" s="1545"/>
      <c r="O2308" s="1539"/>
      <c r="P2308" s="1539"/>
      <c r="Q2308" s="1539"/>
      <c r="R2308" s="1539"/>
      <c r="S2308" s="1539"/>
      <c r="T2308" s="1539"/>
      <c r="U2308" s="1539"/>
      <c r="V2308" s="1539"/>
      <c r="W2308" s="1539"/>
      <c r="X2308" s="1539"/>
      <c r="Y2308" s="1539"/>
      <c r="Z2308" s="1539"/>
      <c r="AA2308" s="1539"/>
      <c r="AB2308" s="1539"/>
      <c r="AC2308" s="1539"/>
      <c r="AD2308" s="1539"/>
      <c r="AE2308" s="1539"/>
      <c r="AF2308" s="1539"/>
      <c r="AG2308" s="1539"/>
      <c r="AH2308" s="1539"/>
      <c r="AI2308" s="1539"/>
      <c r="AJ2308" s="1539"/>
      <c r="AK2308" s="1539"/>
      <c r="AL2308" s="1539"/>
      <c r="AM2308" s="1539"/>
      <c r="AN2308" s="1539"/>
      <c r="AO2308" s="1539"/>
      <c r="AP2308" s="1539"/>
      <c r="AQ2308" s="1539"/>
      <c r="AR2308" s="1539"/>
      <c r="AS2308" s="1539"/>
      <c r="AT2308" s="1539"/>
      <c r="AU2308" s="1539"/>
      <c r="AV2308" s="1539"/>
      <c r="AW2308" s="1539"/>
      <c r="AX2308" s="1539"/>
      <c r="AY2308" s="1539"/>
      <c r="AZ2308" s="1539"/>
      <c r="BA2308" s="1539"/>
      <c r="BB2308" s="1539"/>
      <c r="BC2308" s="1539"/>
      <c r="BD2308" s="1539"/>
      <c r="BE2308" s="1539"/>
      <c r="BF2308" s="1539"/>
      <c r="BG2308" s="1539"/>
      <c r="BH2308" s="1539"/>
      <c r="BI2308" s="1539"/>
      <c r="BJ2308" s="1539"/>
      <c r="BK2308" s="1539"/>
      <c r="BL2308" s="1539"/>
      <c r="BM2308" s="1539"/>
      <c r="BN2308" s="1539"/>
      <c r="BO2308" s="1539"/>
      <c r="BP2308" s="1539"/>
      <c r="BQ2308" s="1539"/>
      <c r="BR2308" s="1539"/>
      <c r="BS2308" s="1539"/>
      <c r="BT2308" s="1539"/>
      <c r="BU2308" s="1539"/>
      <c r="BV2308" s="1539"/>
      <c r="BW2308" s="1539"/>
      <c r="BX2308" s="1539"/>
      <c r="BY2308" s="1539"/>
      <c r="BZ2308" s="1539"/>
      <c r="CA2308" s="1539"/>
      <c r="CB2308" s="1539"/>
      <c r="CC2308" s="1539"/>
      <c r="CD2308" s="1539"/>
      <c r="CE2308" s="1539"/>
      <c r="CF2308" s="1539"/>
      <c r="CG2308" s="1539"/>
      <c r="CH2308" s="1539"/>
      <c r="CI2308" s="1539"/>
      <c r="CJ2308" s="1539"/>
      <c r="CK2308" s="1539"/>
      <c r="CL2308" s="1539"/>
      <c r="CM2308" s="1539"/>
      <c r="CN2308" s="1539"/>
      <c r="CO2308" s="1539"/>
    </row>
    <row r="2309" spans="1:93" ht="15.5">
      <c r="A2309" s="1598">
        <v>48.304000000000002</v>
      </c>
      <c r="B2309" s="1599" t="s">
        <v>1900</v>
      </c>
      <c r="C2309" s="1643" t="e">
        <f>+SUMIF(#REF!,Final!A2309,#REF!)</f>
        <v>#REF!</v>
      </c>
      <c r="D2309" s="1597" t="e">
        <f>+SUMIF(#REF!,Final!A2309,#REF!)</f>
        <v>#REF!</v>
      </c>
      <c r="E2309" s="1643" t="e">
        <f>SUMIF(#REF!,Final!A2309,#REF!)</f>
        <v>#REF!</v>
      </c>
      <c r="F2309" s="1644" t="e">
        <f>SUMIF(#REF!,Final!A2309,#REF!)</f>
        <v>#REF!</v>
      </c>
      <c r="G2309" s="1597" t="e">
        <f t="shared" si="244"/>
        <v>#REF!</v>
      </c>
      <c r="H2309" s="1644" t="e">
        <f t="shared" si="245"/>
        <v>#REF!</v>
      </c>
      <c r="I2309" s="1597" t="e">
        <f t="shared" si="246"/>
        <v>#REF!</v>
      </c>
      <c r="J2309" s="1644" t="e">
        <f t="shared" si="247"/>
        <v>#REF!</v>
      </c>
      <c r="M2309" s="1545"/>
      <c r="N2309" s="1545"/>
    </row>
    <row r="2310" spans="1:93" s="1542" customFormat="1" ht="15.5">
      <c r="A2310" s="1598">
        <v>48.305</v>
      </c>
      <c r="B2310" s="1599" t="s">
        <v>890</v>
      </c>
      <c r="C2310" s="1643" t="e">
        <f>+SUMIF(#REF!,Final!A2310,#REF!)</f>
        <v>#REF!</v>
      </c>
      <c r="D2310" s="1597" t="e">
        <f>+SUMIF(#REF!,Final!A2310,#REF!)</f>
        <v>#REF!</v>
      </c>
      <c r="E2310" s="1643" t="e">
        <f>SUMIF(#REF!,Final!A2310,#REF!)</f>
        <v>#REF!</v>
      </c>
      <c r="F2310" s="1644" t="e">
        <f>SUMIF(#REF!,Final!A2310,#REF!)</f>
        <v>#REF!</v>
      </c>
      <c r="G2310" s="1597" t="e">
        <f t="shared" ref="G2310:G2373" si="248">C2310+E2310</f>
        <v>#REF!</v>
      </c>
      <c r="H2310" s="1644" t="e">
        <f t="shared" ref="H2310:H2373" si="249">D2310+F2310</f>
        <v>#REF!</v>
      </c>
      <c r="I2310" s="1597" t="e">
        <f t="shared" ref="I2310:I2373" si="250">IF(G2310&gt;H2310,G2310-H2310,0)</f>
        <v>#REF!</v>
      </c>
      <c r="J2310" s="1644" t="e">
        <f t="shared" ref="J2310:J2373" si="251">IF(H2310&gt;G2310,H2310-G2310,0)</f>
        <v>#REF!</v>
      </c>
      <c r="K2310" s="1539"/>
      <c r="L2310" s="1539"/>
      <c r="M2310" s="1545"/>
      <c r="N2310" s="1545"/>
      <c r="O2310" s="1539"/>
      <c r="P2310" s="1539"/>
      <c r="Q2310" s="1539"/>
      <c r="R2310" s="1539"/>
      <c r="S2310" s="1539"/>
      <c r="T2310" s="1539"/>
      <c r="U2310" s="1539"/>
      <c r="V2310" s="1539"/>
      <c r="W2310" s="1539"/>
      <c r="X2310" s="1539"/>
      <c r="Y2310" s="1539"/>
      <c r="Z2310" s="1539"/>
      <c r="AA2310" s="1539"/>
      <c r="AB2310" s="1539"/>
      <c r="AC2310" s="1539"/>
      <c r="AD2310" s="1539"/>
      <c r="AE2310" s="1539"/>
      <c r="AF2310" s="1539"/>
      <c r="AG2310" s="1539"/>
      <c r="AH2310" s="1539"/>
      <c r="AI2310" s="1539"/>
      <c r="AJ2310" s="1539"/>
      <c r="AK2310" s="1539"/>
      <c r="AL2310" s="1539"/>
      <c r="AM2310" s="1539"/>
      <c r="AN2310" s="1539"/>
      <c r="AO2310" s="1539"/>
      <c r="AP2310" s="1539"/>
      <c r="AQ2310" s="1539"/>
      <c r="AR2310" s="1539"/>
      <c r="AS2310" s="1539"/>
      <c r="AT2310" s="1539"/>
      <c r="AU2310" s="1539"/>
      <c r="AV2310" s="1539"/>
      <c r="AW2310" s="1539"/>
      <c r="AX2310" s="1539"/>
      <c r="AY2310" s="1539"/>
      <c r="AZ2310" s="1539"/>
      <c r="BA2310" s="1539"/>
      <c r="BB2310" s="1539"/>
      <c r="BC2310" s="1539"/>
      <c r="BD2310" s="1539"/>
      <c r="BE2310" s="1539"/>
      <c r="BF2310" s="1539"/>
      <c r="BG2310" s="1539"/>
      <c r="BH2310" s="1539"/>
      <c r="BI2310" s="1539"/>
      <c r="BJ2310" s="1539"/>
      <c r="BK2310" s="1539"/>
      <c r="BL2310" s="1539"/>
      <c r="BM2310" s="1539"/>
      <c r="BN2310" s="1539"/>
      <c r="BO2310" s="1539"/>
      <c r="BP2310" s="1539"/>
      <c r="BQ2310" s="1539"/>
      <c r="BR2310" s="1539"/>
      <c r="BS2310" s="1539"/>
      <c r="BT2310" s="1539"/>
      <c r="BU2310" s="1539"/>
      <c r="BV2310" s="1539"/>
      <c r="BW2310" s="1539"/>
      <c r="BX2310" s="1539"/>
      <c r="BY2310" s="1539"/>
      <c r="BZ2310" s="1539"/>
      <c r="CA2310" s="1539"/>
      <c r="CB2310" s="1539"/>
      <c r="CC2310" s="1539"/>
      <c r="CD2310" s="1539"/>
      <c r="CE2310" s="1539"/>
      <c r="CF2310" s="1539"/>
      <c r="CG2310" s="1539"/>
      <c r="CH2310" s="1539"/>
      <c r="CI2310" s="1539"/>
      <c r="CJ2310" s="1539"/>
      <c r="CK2310" s="1539"/>
      <c r="CL2310" s="1539"/>
      <c r="CM2310" s="1539"/>
      <c r="CN2310" s="1539"/>
      <c r="CO2310" s="1539"/>
    </row>
    <row r="2311" spans="1:93" ht="15.5">
      <c r="A2311" s="1598">
        <v>48.307000000000002</v>
      </c>
      <c r="B2311" s="1599" t="s">
        <v>893</v>
      </c>
      <c r="C2311" s="1643" t="e">
        <f>+SUMIF(#REF!,Final!A2311,#REF!)</f>
        <v>#REF!</v>
      </c>
      <c r="D2311" s="1597" t="e">
        <f>+SUMIF(#REF!,Final!A2311,#REF!)</f>
        <v>#REF!</v>
      </c>
      <c r="E2311" s="1643" t="e">
        <f>SUMIF(#REF!,Final!A2311,#REF!)</f>
        <v>#REF!</v>
      </c>
      <c r="F2311" s="1644" t="e">
        <f>SUMIF(#REF!,Final!A2311,#REF!)</f>
        <v>#REF!</v>
      </c>
      <c r="G2311" s="1597" t="e">
        <f t="shared" si="248"/>
        <v>#REF!</v>
      </c>
      <c r="H2311" s="1644" t="e">
        <f t="shared" si="249"/>
        <v>#REF!</v>
      </c>
      <c r="I2311" s="1597" t="e">
        <f t="shared" si="250"/>
        <v>#REF!</v>
      </c>
      <c r="J2311" s="1644" t="e">
        <f t="shared" si="251"/>
        <v>#REF!</v>
      </c>
      <c r="M2311" s="1545"/>
      <c r="N2311" s="1545"/>
    </row>
    <row r="2312" spans="1:93" s="1542" customFormat="1" ht="15.5">
      <c r="A2312" s="1598">
        <v>48.308</v>
      </c>
      <c r="B2312" s="1599" t="s">
        <v>539</v>
      </c>
      <c r="C2312" s="1643" t="e">
        <f>+SUMIF(#REF!,Final!A2312,#REF!)</f>
        <v>#REF!</v>
      </c>
      <c r="D2312" s="1597" t="e">
        <f>+SUMIF(#REF!,Final!A2312,#REF!)</f>
        <v>#REF!</v>
      </c>
      <c r="E2312" s="1643" t="e">
        <f>SUMIF(#REF!,Final!A2312,#REF!)</f>
        <v>#REF!</v>
      </c>
      <c r="F2312" s="1644" t="e">
        <f>SUMIF(#REF!,Final!A2312,#REF!)</f>
        <v>#REF!</v>
      </c>
      <c r="G2312" s="1597" t="e">
        <f t="shared" si="248"/>
        <v>#REF!</v>
      </c>
      <c r="H2312" s="1644" t="e">
        <f t="shared" si="249"/>
        <v>#REF!</v>
      </c>
      <c r="I2312" s="1597" t="e">
        <f t="shared" si="250"/>
        <v>#REF!</v>
      </c>
      <c r="J2312" s="1644" t="e">
        <f t="shared" si="251"/>
        <v>#REF!</v>
      </c>
      <c r="K2312" s="1539"/>
      <c r="L2312" s="1539"/>
      <c r="M2312" s="1545"/>
      <c r="N2312" s="1545"/>
      <c r="O2312" s="1539"/>
      <c r="P2312" s="1539"/>
      <c r="Q2312" s="1539"/>
      <c r="R2312" s="1539"/>
      <c r="S2312" s="1539"/>
      <c r="T2312" s="1539"/>
      <c r="U2312" s="1539"/>
      <c r="V2312" s="1539"/>
      <c r="W2312" s="1539"/>
      <c r="X2312" s="1539"/>
      <c r="Y2312" s="1539"/>
      <c r="Z2312" s="1539"/>
      <c r="AA2312" s="1539"/>
      <c r="AB2312" s="1539"/>
      <c r="AC2312" s="1539"/>
      <c r="AD2312" s="1539"/>
      <c r="AE2312" s="1539"/>
      <c r="AF2312" s="1539"/>
      <c r="AG2312" s="1539"/>
      <c r="AH2312" s="1539"/>
      <c r="AI2312" s="1539"/>
      <c r="AJ2312" s="1539"/>
      <c r="AK2312" s="1539"/>
      <c r="AL2312" s="1539"/>
      <c r="AM2312" s="1539"/>
      <c r="AN2312" s="1539"/>
      <c r="AO2312" s="1539"/>
      <c r="AP2312" s="1539"/>
      <c r="AQ2312" s="1539"/>
      <c r="AR2312" s="1539"/>
      <c r="AS2312" s="1539"/>
      <c r="AT2312" s="1539"/>
      <c r="AU2312" s="1539"/>
      <c r="AV2312" s="1539"/>
      <c r="AW2312" s="1539"/>
      <c r="AX2312" s="1539"/>
      <c r="AY2312" s="1539"/>
      <c r="AZ2312" s="1539"/>
      <c r="BA2312" s="1539"/>
      <c r="BB2312" s="1539"/>
      <c r="BC2312" s="1539"/>
      <c r="BD2312" s="1539"/>
      <c r="BE2312" s="1539"/>
      <c r="BF2312" s="1539"/>
      <c r="BG2312" s="1539"/>
      <c r="BH2312" s="1539"/>
      <c r="BI2312" s="1539"/>
      <c r="BJ2312" s="1539"/>
      <c r="BK2312" s="1539"/>
      <c r="BL2312" s="1539"/>
      <c r="BM2312" s="1539"/>
      <c r="BN2312" s="1539"/>
      <c r="BO2312" s="1539"/>
      <c r="BP2312" s="1539"/>
      <c r="BQ2312" s="1539"/>
      <c r="BR2312" s="1539"/>
      <c r="BS2312" s="1539"/>
      <c r="BT2312" s="1539"/>
      <c r="BU2312" s="1539"/>
      <c r="BV2312" s="1539"/>
      <c r="BW2312" s="1539"/>
      <c r="BX2312" s="1539"/>
      <c r="BY2312" s="1539"/>
      <c r="BZ2312" s="1539"/>
      <c r="CA2312" s="1539"/>
      <c r="CB2312" s="1539"/>
      <c r="CC2312" s="1539"/>
      <c r="CD2312" s="1539"/>
      <c r="CE2312" s="1539"/>
      <c r="CF2312" s="1539"/>
      <c r="CG2312" s="1539"/>
      <c r="CH2312" s="1539"/>
      <c r="CI2312" s="1539"/>
      <c r="CJ2312" s="1539"/>
      <c r="CK2312" s="1539"/>
      <c r="CL2312" s="1539"/>
      <c r="CM2312" s="1539"/>
      <c r="CN2312" s="1539"/>
      <c r="CO2312" s="1539"/>
    </row>
    <row r="2313" spans="1:93" ht="15.5">
      <c r="A2313" s="1598">
        <v>48.308999999999997</v>
      </c>
      <c r="B2313" s="1599" t="s">
        <v>540</v>
      </c>
      <c r="C2313" s="1643" t="e">
        <f>+SUMIF(#REF!,Final!A2313,#REF!)</f>
        <v>#REF!</v>
      </c>
      <c r="D2313" s="1597" t="e">
        <f>+SUMIF(#REF!,Final!A2313,#REF!)</f>
        <v>#REF!</v>
      </c>
      <c r="E2313" s="1643" t="e">
        <f>SUMIF(#REF!,Final!A2313,#REF!)</f>
        <v>#REF!</v>
      </c>
      <c r="F2313" s="1644" t="e">
        <f>SUMIF(#REF!,Final!A2313,#REF!)</f>
        <v>#REF!</v>
      </c>
      <c r="G2313" s="1597" t="e">
        <f t="shared" si="248"/>
        <v>#REF!</v>
      </c>
      <c r="H2313" s="1644" t="e">
        <f t="shared" si="249"/>
        <v>#REF!</v>
      </c>
      <c r="I2313" s="1597" t="e">
        <f t="shared" si="250"/>
        <v>#REF!</v>
      </c>
      <c r="J2313" s="1644" t="e">
        <f t="shared" si="251"/>
        <v>#REF!</v>
      </c>
      <c r="M2313" s="1545"/>
      <c r="N2313" s="1545"/>
    </row>
    <row r="2314" spans="1:93" ht="15.5">
      <c r="A2314" s="1598">
        <v>48.31</v>
      </c>
      <c r="B2314" s="1599" t="s">
        <v>1901</v>
      </c>
      <c r="C2314" s="1643" t="e">
        <f>+SUMIF(#REF!,Final!A2314,#REF!)</f>
        <v>#REF!</v>
      </c>
      <c r="D2314" s="1597" t="e">
        <f>+SUMIF(#REF!,Final!A2314,#REF!)</f>
        <v>#REF!</v>
      </c>
      <c r="E2314" s="1643" t="e">
        <f>SUMIF(#REF!,Final!A2314,#REF!)</f>
        <v>#REF!</v>
      </c>
      <c r="F2314" s="1644" t="e">
        <f>SUMIF(#REF!,Final!A2314,#REF!)</f>
        <v>#REF!</v>
      </c>
      <c r="G2314" s="1597" t="e">
        <f t="shared" si="248"/>
        <v>#REF!</v>
      </c>
      <c r="H2314" s="1644" t="e">
        <f t="shared" si="249"/>
        <v>#REF!</v>
      </c>
      <c r="I2314" s="1597" t="e">
        <f t="shared" si="250"/>
        <v>#REF!</v>
      </c>
      <c r="J2314" s="1644" t="e">
        <f t="shared" si="251"/>
        <v>#REF!</v>
      </c>
      <c r="M2314" s="1545"/>
      <c r="N2314" s="1545"/>
    </row>
    <row r="2315" spans="1:93" ht="15.5">
      <c r="A2315" s="1598">
        <v>48.311</v>
      </c>
      <c r="B2315" s="1599" t="s">
        <v>1902</v>
      </c>
      <c r="C2315" s="1643" t="e">
        <f>+SUMIF(#REF!,Final!A2315,#REF!)</f>
        <v>#REF!</v>
      </c>
      <c r="D2315" s="1597" t="e">
        <f>+SUMIF(#REF!,Final!A2315,#REF!)</f>
        <v>#REF!</v>
      </c>
      <c r="E2315" s="1643" t="e">
        <f>SUMIF(#REF!,Final!A2315,#REF!)</f>
        <v>#REF!</v>
      </c>
      <c r="F2315" s="1644" t="e">
        <f>SUMIF(#REF!,Final!A2315,#REF!)</f>
        <v>#REF!</v>
      </c>
      <c r="G2315" s="1597" t="e">
        <f t="shared" si="248"/>
        <v>#REF!</v>
      </c>
      <c r="H2315" s="1644" t="e">
        <f t="shared" si="249"/>
        <v>#REF!</v>
      </c>
      <c r="I2315" s="1597" t="e">
        <f t="shared" si="250"/>
        <v>#REF!</v>
      </c>
      <c r="J2315" s="1644" t="e">
        <f t="shared" si="251"/>
        <v>#REF!</v>
      </c>
      <c r="M2315" s="1545"/>
      <c r="N2315" s="1545"/>
    </row>
    <row r="2316" spans="1:93" ht="15.5">
      <c r="A2316" s="1598">
        <v>48.313000000000002</v>
      </c>
      <c r="B2316" s="1599" t="s">
        <v>1400</v>
      </c>
      <c r="C2316" s="1643" t="e">
        <f>+SUMIF(#REF!,Final!A2316,#REF!)</f>
        <v>#REF!</v>
      </c>
      <c r="D2316" s="1597" t="e">
        <f>+SUMIF(#REF!,Final!A2316,#REF!)</f>
        <v>#REF!</v>
      </c>
      <c r="E2316" s="1643" t="e">
        <f>SUMIF(#REF!,Final!A2316,#REF!)</f>
        <v>#REF!</v>
      </c>
      <c r="F2316" s="1644" t="e">
        <f>SUMIF(#REF!,Final!A2316,#REF!)</f>
        <v>#REF!</v>
      </c>
      <c r="G2316" s="1597" t="e">
        <f t="shared" si="248"/>
        <v>#REF!</v>
      </c>
      <c r="H2316" s="1644" t="e">
        <f t="shared" si="249"/>
        <v>#REF!</v>
      </c>
      <c r="I2316" s="1597" t="e">
        <f t="shared" si="250"/>
        <v>#REF!</v>
      </c>
      <c r="J2316" s="1644" t="e">
        <f t="shared" si="251"/>
        <v>#REF!</v>
      </c>
      <c r="M2316" s="1545"/>
      <c r="N2316" s="1545"/>
    </row>
    <row r="2317" spans="1:93" ht="15.5">
      <c r="A2317" s="1598">
        <v>48.314</v>
      </c>
      <c r="B2317" s="1599" t="s">
        <v>1903</v>
      </c>
      <c r="C2317" s="1643" t="e">
        <f>+SUMIF(#REF!,Final!A2317,#REF!)</f>
        <v>#REF!</v>
      </c>
      <c r="D2317" s="1597" t="e">
        <f>+SUMIF(#REF!,Final!A2317,#REF!)</f>
        <v>#REF!</v>
      </c>
      <c r="E2317" s="1643" t="e">
        <f>SUMIF(#REF!,Final!A2317,#REF!)</f>
        <v>#REF!</v>
      </c>
      <c r="F2317" s="1644" t="e">
        <f>SUMIF(#REF!,Final!A2317,#REF!)</f>
        <v>#REF!</v>
      </c>
      <c r="G2317" s="1597" t="e">
        <f t="shared" si="248"/>
        <v>#REF!</v>
      </c>
      <c r="H2317" s="1644" t="e">
        <f t="shared" si="249"/>
        <v>#REF!</v>
      </c>
      <c r="I2317" s="1597" t="e">
        <f t="shared" si="250"/>
        <v>#REF!</v>
      </c>
      <c r="J2317" s="1644" t="e">
        <f t="shared" si="251"/>
        <v>#REF!</v>
      </c>
      <c r="M2317" s="1545"/>
      <c r="N2317" s="1545"/>
    </row>
    <row r="2318" spans="1:93" ht="15.5">
      <c r="A2318" s="1598">
        <v>48.314999999999998</v>
      </c>
      <c r="B2318" s="1599" t="s">
        <v>1904</v>
      </c>
      <c r="C2318" s="1643" t="e">
        <f>+SUMIF(#REF!,Final!A2318,#REF!)</f>
        <v>#REF!</v>
      </c>
      <c r="D2318" s="1597" t="e">
        <f>+SUMIF(#REF!,Final!A2318,#REF!)</f>
        <v>#REF!</v>
      </c>
      <c r="E2318" s="1643" t="e">
        <f>SUMIF(#REF!,Final!A2318,#REF!)</f>
        <v>#REF!</v>
      </c>
      <c r="F2318" s="1644" t="e">
        <f>SUMIF(#REF!,Final!A2318,#REF!)</f>
        <v>#REF!</v>
      </c>
      <c r="G2318" s="1597" t="e">
        <f t="shared" si="248"/>
        <v>#REF!</v>
      </c>
      <c r="H2318" s="1644" t="e">
        <f t="shared" si="249"/>
        <v>#REF!</v>
      </c>
      <c r="I2318" s="1597" t="e">
        <f t="shared" si="250"/>
        <v>#REF!</v>
      </c>
      <c r="J2318" s="1644" t="e">
        <f t="shared" si="251"/>
        <v>#REF!</v>
      </c>
      <c r="M2318" s="1545"/>
      <c r="N2318" s="1545"/>
    </row>
    <row r="2319" spans="1:93" s="1552" customFormat="1" ht="15.5">
      <c r="A2319" s="1598"/>
      <c r="B2319" s="1599" t="s">
        <v>1747</v>
      </c>
      <c r="C2319" s="1643" t="e">
        <f>+SUMIF(#REF!,Final!A2319,#REF!)</f>
        <v>#REF!</v>
      </c>
      <c r="D2319" s="1597" t="e">
        <f>+SUMIF(#REF!,Final!A2319,#REF!)</f>
        <v>#REF!</v>
      </c>
      <c r="E2319" s="1643" t="e">
        <f>SUMIF(#REF!,Final!A2319,#REF!)</f>
        <v>#REF!</v>
      </c>
      <c r="F2319" s="1644" t="e">
        <f>SUMIF(#REF!,Final!A2319,#REF!)</f>
        <v>#REF!</v>
      </c>
      <c r="G2319" s="1597" t="e">
        <f t="shared" si="248"/>
        <v>#REF!</v>
      </c>
      <c r="H2319" s="1644" t="e">
        <f t="shared" si="249"/>
        <v>#REF!</v>
      </c>
      <c r="I2319" s="1597" t="e">
        <f t="shared" si="250"/>
        <v>#REF!</v>
      </c>
      <c r="J2319" s="1644" t="e">
        <f t="shared" si="251"/>
        <v>#REF!</v>
      </c>
      <c r="K2319" s="1539"/>
      <c r="L2319" s="1539"/>
      <c r="M2319" s="1545"/>
      <c r="N2319" s="1545"/>
      <c r="O2319" s="1539"/>
      <c r="P2319" s="1539"/>
      <c r="Q2319" s="1539"/>
      <c r="R2319" s="1539"/>
      <c r="S2319" s="1539"/>
      <c r="T2319" s="1539"/>
      <c r="U2319" s="1539"/>
      <c r="V2319" s="1539"/>
      <c r="W2319" s="1539"/>
      <c r="X2319" s="1539"/>
      <c r="Y2319" s="1539"/>
      <c r="Z2319" s="1539"/>
      <c r="AA2319" s="1539"/>
      <c r="AB2319" s="1539"/>
      <c r="AC2319" s="1539"/>
      <c r="AD2319" s="1539"/>
      <c r="AE2319" s="1539"/>
      <c r="AF2319" s="1539"/>
      <c r="AG2319" s="1539"/>
      <c r="AH2319" s="1539"/>
      <c r="AI2319" s="1539"/>
      <c r="AJ2319" s="1539"/>
      <c r="AK2319" s="1539"/>
      <c r="AL2319" s="1539"/>
      <c r="AM2319" s="1539"/>
      <c r="AN2319" s="1539"/>
      <c r="AO2319" s="1539"/>
      <c r="AP2319" s="1539"/>
      <c r="AQ2319" s="1539"/>
      <c r="AR2319" s="1539"/>
      <c r="AS2319" s="1539"/>
      <c r="AT2319" s="1539"/>
      <c r="AU2319" s="1539"/>
      <c r="AV2319" s="1539"/>
      <c r="AW2319" s="1539"/>
      <c r="AX2319" s="1539"/>
      <c r="AY2319" s="1539"/>
      <c r="AZ2319" s="1539"/>
      <c r="BA2319" s="1539"/>
      <c r="BB2319" s="1539"/>
      <c r="BC2319" s="1539"/>
      <c r="BD2319" s="1539"/>
      <c r="BE2319" s="1539"/>
      <c r="BF2319" s="1539"/>
      <c r="BG2319" s="1539"/>
      <c r="BH2319" s="1539"/>
      <c r="BI2319" s="1539"/>
      <c r="BJ2319" s="1539"/>
      <c r="BK2319" s="1539"/>
      <c r="BL2319" s="1539"/>
      <c r="BM2319" s="1539"/>
      <c r="BN2319" s="1539"/>
      <c r="BO2319" s="1539"/>
      <c r="BP2319" s="1539"/>
      <c r="BQ2319" s="1539"/>
      <c r="BR2319" s="1539"/>
      <c r="BS2319" s="1539"/>
      <c r="BT2319" s="1539"/>
      <c r="BU2319" s="1539"/>
      <c r="BV2319" s="1539"/>
      <c r="BW2319" s="1539"/>
      <c r="BX2319" s="1539"/>
      <c r="BY2319" s="1539"/>
      <c r="BZ2319" s="1539"/>
      <c r="CA2319" s="1539"/>
      <c r="CB2319" s="1539"/>
      <c r="CC2319" s="1539"/>
      <c r="CD2319" s="1539"/>
      <c r="CE2319" s="1539"/>
      <c r="CF2319" s="1539"/>
      <c r="CG2319" s="1539"/>
      <c r="CH2319" s="1539"/>
      <c r="CI2319" s="1539"/>
      <c r="CJ2319" s="1539"/>
      <c r="CK2319" s="1539"/>
      <c r="CL2319" s="1539"/>
      <c r="CM2319" s="1539"/>
      <c r="CN2319" s="1539"/>
      <c r="CO2319" s="1539"/>
    </row>
    <row r="2320" spans="1:93" s="1552" customFormat="1" ht="15.5">
      <c r="A2320" s="1598"/>
      <c r="B2320" s="1599" t="s">
        <v>1760</v>
      </c>
      <c r="C2320" s="1643" t="e">
        <f>+SUMIF(#REF!,Final!A2320,#REF!)</f>
        <v>#REF!</v>
      </c>
      <c r="D2320" s="1597" t="e">
        <f>+SUMIF(#REF!,Final!A2320,#REF!)</f>
        <v>#REF!</v>
      </c>
      <c r="E2320" s="1643" t="e">
        <f>SUMIF(#REF!,Final!A2320,#REF!)</f>
        <v>#REF!</v>
      </c>
      <c r="F2320" s="1644" t="e">
        <f>SUMIF(#REF!,Final!A2320,#REF!)</f>
        <v>#REF!</v>
      </c>
      <c r="G2320" s="1597" t="e">
        <f t="shared" si="248"/>
        <v>#REF!</v>
      </c>
      <c r="H2320" s="1644" t="e">
        <f t="shared" si="249"/>
        <v>#REF!</v>
      </c>
      <c r="I2320" s="1597" t="e">
        <f t="shared" si="250"/>
        <v>#REF!</v>
      </c>
      <c r="J2320" s="1644" t="e">
        <f t="shared" si="251"/>
        <v>#REF!</v>
      </c>
      <c r="K2320" s="1539"/>
      <c r="L2320" s="1539"/>
      <c r="M2320" s="1545"/>
      <c r="N2320" s="1545"/>
      <c r="O2320" s="1539"/>
      <c r="P2320" s="1539"/>
      <c r="Q2320" s="1539"/>
      <c r="R2320" s="1539"/>
      <c r="S2320" s="1539"/>
      <c r="T2320" s="1539"/>
      <c r="U2320" s="1539"/>
      <c r="V2320" s="1539"/>
      <c r="W2320" s="1539"/>
      <c r="X2320" s="1539"/>
      <c r="Y2320" s="1539"/>
      <c r="Z2320" s="1539"/>
      <c r="AA2320" s="1539"/>
      <c r="AB2320" s="1539"/>
      <c r="AC2320" s="1539"/>
      <c r="AD2320" s="1539"/>
      <c r="AE2320" s="1539"/>
      <c r="AF2320" s="1539"/>
      <c r="AG2320" s="1539"/>
      <c r="AH2320" s="1539"/>
      <c r="AI2320" s="1539"/>
      <c r="AJ2320" s="1539"/>
      <c r="AK2320" s="1539"/>
      <c r="AL2320" s="1539"/>
      <c r="AM2320" s="1539"/>
      <c r="AN2320" s="1539"/>
      <c r="AO2320" s="1539"/>
      <c r="AP2320" s="1539"/>
      <c r="AQ2320" s="1539"/>
      <c r="AR2320" s="1539"/>
      <c r="AS2320" s="1539"/>
      <c r="AT2320" s="1539"/>
      <c r="AU2320" s="1539"/>
      <c r="AV2320" s="1539"/>
      <c r="AW2320" s="1539"/>
      <c r="AX2320" s="1539"/>
      <c r="AY2320" s="1539"/>
      <c r="AZ2320" s="1539"/>
      <c r="BA2320" s="1539"/>
      <c r="BB2320" s="1539"/>
      <c r="BC2320" s="1539"/>
      <c r="BD2320" s="1539"/>
      <c r="BE2320" s="1539"/>
      <c r="BF2320" s="1539"/>
      <c r="BG2320" s="1539"/>
      <c r="BH2320" s="1539"/>
      <c r="BI2320" s="1539"/>
      <c r="BJ2320" s="1539"/>
      <c r="BK2320" s="1539"/>
      <c r="BL2320" s="1539"/>
      <c r="BM2320" s="1539"/>
      <c r="BN2320" s="1539"/>
      <c r="BO2320" s="1539"/>
      <c r="BP2320" s="1539"/>
      <c r="BQ2320" s="1539"/>
      <c r="BR2320" s="1539"/>
      <c r="BS2320" s="1539"/>
      <c r="BT2320" s="1539"/>
      <c r="BU2320" s="1539"/>
      <c r="BV2320" s="1539"/>
      <c r="BW2320" s="1539"/>
      <c r="BX2320" s="1539"/>
      <c r="BY2320" s="1539"/>
      <c r="BZ2320" s="1539"/>
      <c r="CA2320" s="1539"/>
      <c r="CB2320" s="1539"/>
      <c r="CC2320" s="1539"/>
      <c r="CD2320" s="1539"/>
      <c r="CE2320" s="1539"/>
      <c r="CF2320" s="1539"/>
      <c r="CG2320" s="1539"/>
      <c r="CH2320" s="1539"/>
      <c r="CI2320" s="1539"/>
      <c r="CJ2320" s="1539"/>
      <c r="CK2320" s="1539"/>
      <c r="CL2320" s="1539"/>
      <c r="CM2320" s="1539"/>
      <c r="CN2320" s="1539"/>
      <c r="CO2320" s="1539"/>
    </row>
    <row r="2321" spans="1:93" s="1552" customFormat="1" ht="15.5">
      <c r="A2321" s="1598"/>
      <c r="B2321" s="1599" t="s">
        <v>3457</v>
      </c>
      <c r="C2321" s="1643" t="e">
        <f>+SUMIF(#REF!,Final!A2321,#REF!)</f>
        <v>#REF!</v>
      </c>
      <c r="D2321" s="1597" t="e">
        <f>+SUMIF(#REF!,Final!A2321,#REF!)</f>
        <v>#REF!</v>
      </c>
      <c r="E2321" s="1643" t="e">
        <f>SUMIF(#REF!,Final!A2321,#REF!)</f>
        <v>#REF!</v>
      </c>
      <c r="F2321" s="1644" t="e">
        <f>SUMIF(#REF!,Final!A2321,#REF!)</f>
        <v>#REF!</v>
      </c>
      <c r="G2321" s="1597" t="e">
        <f t="shared" si="248"/>
        <v>#REF!</v>
      </c>
      <c r="H2321" s="1644" t="e">
        <f t="shared" si="249"/>
        <v>#REF!</v>
      </c>
      <c r="I2321" s="1597" t="e">
        <f t="shared" si="250"/>
        <v>#REF!</v>
      </c>
      <c r="J2321" s="1644" t="e">
        <f t="shared" si="251"/>
        <v>#REF!</v>
      </c>
      <c r="K2321" s="1539"/>
      <c r="L2321" s="1539"/>
      <c r="M2321" s="1545"/>
      <c r="N2321" s="1545"/>
      <c r="O2321" s="1539"/>
      <c r="P2321" s="1539"/>
      <c r="Q2321" s="1539"/>
      <c r="R2321" s="1539"/>
      <c r="S2321" s="1539"/>
      <c r="T2321" s="1539"/>
      <c r="U2321" s="1539"/>
      <c r="V2321" s="1539"/>
      <c r="W2321" s="1539"/>
      <c r="X2321" s="1539"/>
      <c r="Y2321" s="1539"/>
      <c r="Z2321" s="1539"/>
      <c r="AA2321" s="1539"/>
      <c r="AB2321" s="1539"/>
      <c r="AC2321" s="1539"/>
      <c r="AD2321" s="1539"/>
      <c r="AE2321" s="1539"/>
      <c r="AF2321" s="1539"/>
      <c r="AG2321" s="1539"/>
      <c r="AH2321" s="1539"/>
      <c r="AI2321" s="1539"/>
      <c r="AJ2321" s="1539"/>
      <c r="AK2321" s="1539"/>
      <c r="AL2321" s="1539"/>
      <c r="AM2321" s="1539"/>
      <c r="AN2321" s="1539"/>
      <c r="AO2321" s="1539"/>
      <c r="AP2321" s="1539"/>
      <c r="AQ2321" s="1539"/>
      <c r="AR2321" s="1539"/>
      <c r="AS2321" s="1539"/>
      <c r="AT2321" s="1539"/>
      <c r="AU2321" s="1539"/>
      <c r="AV2321" s="1539"/>
      <c r="AW2321" s="1539"/>
      <c r="AX2321" s="1539"/>
      <c r="AY2321" s="1539"/>
      <c r="AZ2321" s="1539"/>
      <c r="BA2321" s="1539"/>
      <c r="BB2321" s="1539"/>
      <c r="BC2321" s="1539"/>
      <c r="BD2321" s="1539"/>
      <c r="BE2321" s="1539"/>
      <c r="BF2321" s="1539"/>
      <c r="BG2321" s="1539"/>
      <c r="BH2321" s="1539"/>
      <c r="BI2321" s="1539"/>
      <c r="BJ2321" s="1539"/>
      <c r="BK2321" s="1539"/>
      <c r="BL2321" s="1539"/>
      <c r="BM2321" s="1539"/>
      <c r="BN2321" s="1539"/>
      <c r="BO2321" s="1539"/>
      <c r="BP2321" s="1539"/>
      <c r="BQ2321" s="1539"/>
      <c r="BR2321" s="1539"/>
      <c r="BS2321" s="1539"/>
      <c r="BT2321" s="1539"/>
      <c r="BU2321" s="1539"/>
      <c r="BV2321" s="1539"/>
      <c r="BW2321" s="1539"/>
      <c r="BX2321" s="1539"/>
      <c r="BY2321" s="1539"/>
      <c r="BZ2321" s="1539"/>
      <c r="CA2321" s="1539"/>
      <c r="CB2321" s="1539"/>
      <c r="CC2321" s="1539"/>
      <c r="CD2321" s="1539"/>
      <c r="CE2321" s="1539"/>
      <c r="CF2321" s="1539"/>
      <c r="CG2321" s="1539"/>
      <c r="CH2321" s="1539"/>
      <c r="CI2321" s="1539"/>
      <c r="CJ2321" s="1539"/>
      <c r="CK2321" s="1539"/>
      <c r="CL2321" s="1539"/>
      <c r="CM2321" s="1539"/>
      <c r="CN2321" s="1539"/>
      <c r="CO2321" s="1539"/>
    </row>
    <row r="2322" spans="1:93" s="1542" customFormat="1" ht="15.5">
      <c r="A2322" s="1598">
        <v>6</v>
      </c>
      <c r="B2322" s="1599" t="s">
        <v>2778</v>
      </c>
      <c r="C2322" s="1643" t="e">
        <f>+SUMIF(#REF!,Final!A2322,#REF!)</f>
        <v>#REF!</v>
      </c>
      <c r="D2322" s="1597" t="e">
        <f>+SUMIF(#REF!,Final!A2322,#REF!)</f>
        <v>#REF!</v>
      </c>
      <c r="E2322" s="1643" t="e">
        <f>SUMIF(#REF!,Final!A2322,#REF!)</f>
        <v>#REF!</v>
      </c>
      <c r="F2322" s="1644" t="e">
        <f>SUMIF(#REF!,Final!A2322,#REF!)</f>
        <v>#REF!</v>
      </c>
      <c r="G2322" s="1597" t="e">
        <f t="shared" si="248"/>
        <v>#REF!</v>
      </c>
      <c r="H2322" s="1644" t="e">
        <f t="shared" si="249"/>
        <v>#REF!</v>
      </c>
      <c r="I2322" s="1597" t="e">
        <f t="shared" si="250"/>
        <v>#REF!</v>
      </c>
      <c r="J2322" s="1644" t="e">
        <f t="shared" si="251"/>
        <v>#REF!</v>
      </c>
      <c r="K2322" s="1539"/>
      <c r="L2322" s="1539"/>
      <c r="M2322" s="1545"/>
      <c r="N2322" s="1545"/>
      <c r="O2322" s="1539"/>
      <c r="P2322" s="1539"/>
      <c r="Q2322" s="1539"/>
      <c r="R2322" s="1539"/>
      <c r="S2322" s="1539"/>
      <c r="T2322" s="1539"/>
      <c r="U2322" s="1539"/>
      <c r="V2322" s="1539"/>
      <c r="W2322" s="1539"/>
      <c r="X2322" s="1539"/>
      <c r="Y2322" s="1539"/>
      <c r="Z2322" s="1539"/>
      <c r="AA2322" s="1539"/>
      <c r="AB2322" s="1539"/>
      <c r="AC2322" s="1539"/>
      <c r="AD2322" s="1539"/>
      <c r="AE2322" s="1539"/>
      <c r="AF2322" s="1539"/>
      <c r="AG2322" s="1539"/>
      <c r="AH2322" s="1539"/>
      <c r="AI2322" s="1539"/>
      <c r="AJ2322" s="1539"/>
      <c r="AK2322" s="1539"/>
      <c r="AL2322" s="1539"/>
      <c r="AM2322" s="1539"/>
      <c r="AN2322" s="1539"/>
      <c r="AO2322" s="1539"/>
      <c r="AP2322" s="1539"/>
      <c r="AQ2322" s="1539"/>
      <c r="AR2322" s="1539"/>
      <c r="AS2322" s="1539"/>
      <c r="AT2322" s="1539"/>
      <c r="AU2322" s="1539"/>
      <c r="AV2322" s="1539"/>
      <c r="AW2322" s="1539"/>
      <c r="AX2322" s="1539"/>
      <c r="AY2322" s="1539"/>
      <c r="AZ2322" s="1539"/>
      <c r="BA2322" s="1539"/>
      <c r="BB2322" s="1539"/>
      <c r="BC2322" s="1539"/>
      <c r="BD2322" s="1539"/>
      <c r="BE2322" s="1539"/>
      <c r="BF2322" s="1539"/>
      <c r="BG2322" s="1539"/>
      <c r="BH2322" s="1539"/>
      <c r="BI2322" s="1539"/>
      <c r="BJ2322" s="1539"/>
      <c r="BK2322" s="1539"/>
      <c r="BL2322" s="1539"/>
      <c r="BM2322" s="1539"/>
      <c r="BN2322" s="1539"/>
      <c r="BO2322" s="1539"/>
      <c r="BP2322" s="1539"/>
      <c r="BQ2322" s="1539"/>
      <c r="BR2322" s="1539"/>
      <c r="BS2322" s="1539"/>
      <c r="BT2322" s="1539"/>
      <c r="BU2322" s="1539"/>
      <c r="BV2322" s="1539"/>
      <c r="BW2322" s="1539"/>
      <c r="BX2322" s="1539"/>
      <c r="BY2322" s="1539"/>
      <c r="BZ2322" s="1539"/>
      <c r="CA2322" s="1539"/>
      <c r="CB2322" s="1539"/>
      <c r="CC2322" s="1539"/>
      <c r="CD2322" s="1539"/>
      <c r="CE2322" s="1539"/>
      <c r="CF2322" s="1539"/>
      <c r="CG2322" s="1539"/>
      <c r="CH2322" s="1539"/>
      <c r="CI2322" s="1539"/>
      <c r="CJ2322" s="1539"/>
      <c r="CK2322" s="1539"/>
      <c r="CL2322" s="1539"/>
      <c r="CM2322" s="1539"/>
      <c r="CN2322" s="1539"/>
      <c r="CO2322" s="1539"/>
    </row>
    <row r="2323" spans="1:93" s="1542" customFormat="1" ht="15.5">
      <c r="A2323" s="1598" t="s">
        <v>544</v>
      </c>
      <c r="B2323" s="1599" t="s">
        <v>2822</v>
      </c>
      <c r="C2323" s="1643" t="e">
        <f>+SUMIF(#REF!,Final!A2323,#REF!)</f>
        <v>#REF!</v>
      </c>
      <c r="D2323" s="1597" t="e">
        <f>+SUMIF(#REF!,Final!A2323,#REF!)</f>
        <v>#REF!</v>
      </c>
      <c r="E2323" s="1643" t="e">
        <f>SUMIF(#REF!,Final!A2323,#REF!)</f>
        <v>#REF!</v>
      </c>
      <c r="F2323" s="1644" t="e">
        <f>SUMIF(#REF!,Final!A2323,#REF!)</f>
        <v>#REF!</v>
      </c>
      <c r="G2323" s="1597" t="e">
        <f t="shared" si="248"/>
        <v>#REF!</v>
      </c>
      <c r="H2323" s="1644" t="e">
        <f t="shared" si="249"/>
        <v>#REF!</v>
      </c>
      <c r="I2323" s="1597" t="e">
        <f t="shared" si="250"/>
        <v>#REF!</v>
      </c>
      <c r="J2323" s="1644" t="e">
        <f t="shared" si="251"/>
        <v>#REF!</v>
      </c>
      <c r="K2323" s="1539"/>
      <c r="L2323" s="1539"/>
      <c r="M2323" s="1545"/>
      <c r="N2323" s="1545"/>
      <c r="O2323" s="1539"/>
      <c r="P2323" s="1539"/>
      <c r="Q2323" s="1539"/>
      <c r="R2323" s="1539"/>
      <c r="S2323" s="1539"/>
      <c r="T2323" s="1539"/>
      <c r="U2323" s="1539"/>
      <c r="V2323" s="1539"/>
      <c r="W2323" s="1539"/>
      <c r="X2323" s="1539"/>
      <c r="Y2323" s="1539"/>
      <c r="Z2323" s="1539"/>
      <c r="AA2323" s="1539"/>
      <c r="AB2323" s="1539"/>
      <c r="AC2323" s="1539"/>
      <c r="AD2323" s="1539"/>
      <c r="AE2323" s="1539"/>
      <c r="AF2323" s="1539"/>
      <c r="AG2323" s="1539"/>
      <c r="AH2323" s="1539"/>
      <c r="AI2323" s="1539"/>
      <c r="AJ2323" s="1539"/>
      <c r="AK2323" s="1539"/>
      <c r="AL2323" s="1539"/>
      <c r="AM2323" s="1539"/>
      <c r="AN2323" s="1539"/>
      <c r="AO2323" s="1539"/>
      <c r="AP2323" s="1539"/>
      <c r="AQ2323" s="1539"/>
      <c r="AR2323" s="1539"/>
      <c r="AS2323" s="1539"/>
      <c r="AT2323" s="1539"/>
      <c r="AU2323" s="1539"/>
      <c r="AV2323" s="1539"/>
      <c r="AW2323" s="1539"/>
      <c r="AX2323" s="1539"/>
      <c r="AY2323" s="1539"/>
      <c r="AZ2323" s="1539"/>
      <c r="BA2323" s="1539"/>
      <c r="BB2323" s="1539"/>
      <c r="BC2323" s="1539"/>
      <c r="BD2323" s="1539"/>
      <c r="BE2323" s="1539"/>
      <c r="BF2323" s="1539"/>
      <c r="BG2323" s="1539"/>
      <c r="BH2323" s="1539"/>
      <c r="BI2323" s="1539"/>
      <c r="BJ2323" s="1539"/>
      <c r="BK2323" s="1539"/>
      <c r="BL2323" s="1539"/>
      <c r="BM2323" s="1539"/>
      <c r="BN2323" s="1539"/>
      <c r="BO2323" s="1539"/>
      <c r="BP2323" s="1539"/>
      <c r="BQ2323" s="1539"/>
      <c r="BR2323" s="1539"/>
      <c r="BS2323" s="1539"/>
      <c r="BT2323" s="1539"/>
      <c r="BU2323" s="1539"/>
      <c r="BV2323" s="1539"/>
      <c r="BW2323" s="1539"/>
      <c r="BX2323" s="1539"/>
      <c r="BY2323" s="1539"/>
      <c r="BZ2323" s="1539"/>
      <c r="CA2323" s="1539"/>
      <c r="CB2323" s="1539"/>
      <c r="CC2323" s="1539"/>
      <c r="CD2323" s="1539"/>
      <c r="CE2323" s="1539"/>
      <c r="CF2323" s="1539"/>
      <c r="CG2323" s="1539"/>
      <c r="CH2323" s="1539"/>
      <c r="CI2323" s="1539"/>
      <c r="CJ2323" s="1539"/>
      <c r="CK2323" s="1539"/>
      <c r="CL2323" s="1539"/>
      <c r="CM2323" s="1539"/>
      <c r="CN2323" s="1539"/>
      <c r="CO2323" s="1539"/>
    </row>
    <row r="2324" spans="1:93" s="1542" customFormat="1" ht="15.5">
      <c r="A2324" s="1598" t="s">
        <v>1815</v>
      </c>
      <c r="B2324" s="1599" t="s">
        <v>1908</v>
      </c>
      <c r="C2324" s="1643" t="e">
        <f>+SUMIF(#REF!,Final!A2324,#REF!)</f>
        <v>#REF!</v>
      </c>
      <c r="D2324" s="1597" t="e">
        <f>+SUMIF(#REF!,Final!A2324,#REF!)</f>
        <v>#REF!</v>
      </c>
      <c r="E2324" s="1643" t="e">
        <f>SUMIF(#REF!,Final!A2324,#REF!)</f>
        <v>#REF!</v>
      </c>
      <c r="F2324" s="1644" t="e">
        <f>SUMIF(#REF!,Final!A2324,#REF!)</f>
        <v>#REF!</v>
      </c>
      <c r="G2324" s="1597" t="e">
        <f t="shared" si="248"/>
        <v>#REF!</v>
      </c>
      <c r="H2324" s="1644" t="e">
        <f t="shared" si="249"/>
        <v>#REF!</v>
      </c>
      <c r="I2324" s="1597" t="e">
        <f t="shared" si="250"/>
        <v>#REF!</v>
      </c>
      <c r="J2324" s="1644" t="e">
        <f t="shared" si="251"/>
        <v>#REF!</v>
      </c>
      <c r="K2324" s="1539"/>
      <c r="L2324" s="1539"/>
      <c r="M2324" s="1545"/>
      <c r="N2324" s="1545"/>
      <c r="O2324" s="1539"/>
      <c r="P2324" s="1539"/>
      <c r="Q2324" s="1539"/>
      <c r="R2324" s="1539"/>
      <c r="S2324" s="1539"/>
      <c r="T2324" s="1539"/>
      <c r="U2324" s="1539"/>
      <c r="V2324" s="1539"/>
      <c r="W2324" s="1539"/>
      <c r="X2324" s="1539"/>
      <c r="Y2324" s="1539"/>
      <c r="Z2324" s="1539"/>
      <c r="AA2324" s="1539"/>
      <c r="AB2324" s="1539"/>
      <c r="AC2324" s="1539"/>
      <c r="AD2324" s="1539"/>
      <c r="AE2324" s="1539"/>
      <c r="AF2324" s="1539"/>
      <c r="AG2324" s="1539"/>
      <c r="AH2324" s="1539"/>
      <c r="AI2324" s="1539"/>
      <c r="AJ2324" s="1539"/>
      <c r="AK2324" s="1539"/>
      <c r="AL2324" s="1539"/>
      <c r="AM2324" s="1539"/>
      <c r="AN2324" s="1539"/>
      <c r="AO2324" s="1539"/>
      <c r="AP2324" s="1539"/>
      <c r="AQ2324" s="1539"/>
      <c r="AR2324" s="1539"/>
      <c r="AS2324" s="1539"/>
      <c r="AT2324" s="1539"/>
      <c r="AU2324" s="1539"/>
      <c r="AV2324" s="1539"/>
      <c r="AW2324" s="1539"/>
      <c r="AX2324" s="1539"/>
      <c r="AY2324" s="1539"/>
      <c r="AZ2324" s="1539"/>
      <c r="BA2324" s="1539"/>
      <c r="BB2324" s="1539"/>
      <c r="BC2324" s="1539"/>
      <c r="BD2324" s="1539"/>
      <c r="BE2324" s="1539"/>
      <c r="BF2324" s="1539"/>
      <c r="BG2324" s="1539"/>
      <c r="BH2324" s="1539"/>
      <c r="BI2324" s="1539"/>
      <c r="BJ2324" s="1539"/>
      <c r="BK2324" s="1539"/>
      <c r="BL2324" s="1539"/>
      <c r="BM2324" s="1539"/>
      <c r="BN2324" s="1539"/>
      <c r="BO2324" s="1539"/>
      <c r="BP2324" s="1539"/>
      <c r="BQ2324" s="1539"/>
      <c r="BR2324" s="1539"/>
      <c r="BS2324" s="1539"/>
      <c r="BT2324" s="1539"/>
      <c r="BU2324" s="1539"/>
      <c r="BV2324" s="1539"/>
      <c r="BW2324" s="1539"/>
      <c r="BX2324" s="1539"/>
      <c r="BY2324" s="1539"/>
      <c r="BZ2324" s="1539"/>
      <c r="CA2324" s="1539"/>
      <c r="CB2324" s="1539"/>
      <c r="CC2324" s="1539"/>
      <c r="CD2324" s="1539"/>
      <c r="CE2324" s="1539"/>
      <c r="CF2324" s="1539"/>
      <c r="CG2324" s="1539"/>
      <c r="CH2324" s="1539"/>
      <c r="CI2324" s="1539"/>
      <c r="CJ2324" s="1539"/>
      <c r="CK2324" s="1539"/>
      <c r="CL2324" s="1539"/>
      <c r="CM2324" s="1539"/>
      <c r="CN2324" s="1539"/>
      <c r="CO2324" s="1539"/>
    </row>
    <row r="2325" spans="1:93" ht="15.5">
      <c r="A2325" s="1598">
        <v>50.106999999999999</v>
      </c>
      <c r="B2325" s="1599" t="s">
        <v>1908</v>
      </c>
      <c r="C2325" s="1643" t="e">
        <f>+SUMIF(#REF!,Final!A2325,#REF!)</f>
        <v>#REF!</v>
      </c>
      <c r="D2325" s="1597" t="e">
        <f>+SUMIF(#REF!,Final!A2325,#REF!)</f>
        <v>#REF!</v>
      </c>
      <c r="E2325" s="1643" t="e">
        <f>SUMIF(#REF!,Final!A2325,#REF!)</f>
        <v>#REF!</v>
      </c>
      <c r="F2325" s="1644" t="e">
        <f>SUMIF(#REF!,Final!A2325,#REF!)</f>
        <v>#REF!</v>
      </c>
      <c r="G2325" s="1597" t="e">
        <f t="shared" si="248"/>
        <v>#REF!</v>
      </c>
      <c r="H2325" s="1644" t="e">
        <f t="shared" si="249"/>
        <v>#REF!</v>
      </c>
      <c r="I2325" s="1597" t="e">
        <f t="shared" si="250"/>
        <v>#REF!</v>
      </c>
      <c r="J2325" s="1644" t="e">
        <f t="shared" si="251"/>
        <v>#REF!</v>
      </c>
      <c r="M2325" s="1545"/>
      <c r="N2325" s="1545"/>
    </row>
    <row r="2326" spans="1:93" s="1552" customFormat="1" ht="15.5">
      <c r="A2326" s="1598" t="s">
        <v>3458</v>
      </c>
      <c r="B2326" s="1599" t="s">
        <v>3459</v>
      </c>
      <c r="C2326" s="1643" t="e">
        <f>+SUMIF(#REF!,Final!A2326,#REF!)</f>
        <v>#REF!</v>
      </c>
      <c r="D2326" s="1597" t="e">
        <f>+SUMIF(#REF!,Final!A2326,#REF!)</f>
        <v>#REF!</v>
      </c>
      <c r="E2326" s="1643" t="e">
        <f>SUMIF(#REF!,Final!A2326,#REF!)</f>
        <v>#REF!</v>
      </c>
      <c r="F2326" s="1644" t="e">
        <f>SUMIF(#REF!,Final!A2326,#REF!)</f>
        <v>#REF!</v>
      </c>
      <c r="G2326" s="1597" t="e">
        <f t="shared" si="248"/>
        <v>#REF!</v>
      </c>
      <c r="H2326" s="1644" t="e">
        <f t="shared" si="249"/>
        <v>#REF!</v>
      </c>
      <c r="I2326" s="1597" t="e">
        <f t="shared" si="250"/>
        <v>#REF!</v>
      </c>
      <c r="J2326" s="1644" t="e">
        <f t="shared" si="251"/>
        <v>#REF!</v>
      </c>
      <c r="K2326" s="1539"/>
      <c r="L2326" s="1539"/>
      <c r="M2326" s="1545"/>
      <c r="N2326" s="1545"/>
      <c r="O2326" s="1539"/>
      <c r="P2326" s="1539"/>
      <c r="Q2326" s="1539"/>
      <c r="R2326" s="1539"/>
      <c r="S2326" s="1539"/>
      <c r="T2326" s="1539"/>
      <c r="U2326" s="1539"/>
      <c r="V2326" s="1539"/>
      <c r="W2326" s="1539"/>
      <c r="X2326" s="1539"/>
      <c r="Y2326" s="1539"/>
      <c r="Z2326" s="1539"/>
      <c r="AA2326" s="1539"/>
      <c r="AB2326" s="1539"/>
      <c r="AC2326" s="1539"/>
      <c r="AD2326" s="1539"/>
      <c r="AE2326" s="1539"/>
      <c r="AF2326" s="1539"/>
      <c r="AG2326" s="1539"/>
      <c r="AH2326" s="1539"/>
      <c r="AI2326" s="1539"/>
      <c r="AJ2326" s="1539"/>
      <c r="AK2326" s="1539"/>
      <c r="AL2326" s="1539"/>
      <c r="AM2326" s="1539"/>
      <c r="AN2326" s="1539"/>
      <c r="AO2326" s="1539"/>
      <c r="AP2326" s="1539"/>
      <c r="AQ2326" s="1539"/>
      <c r="AR2326" s="1539"/>
      <c r="AS2326" s="1539"/>
      <c r="AT2326" s="1539"/>
      <c r="AU2326" s="1539"/>
      <c r="AV2326" s="1539"/>
      <c r="AW2326" s="1539"/>
      <c r="AX2326" s="1539"/>
      <c r="AY2326" s="1539"/>
      <c r="AZ2326" s="1539"/>
      <c r="BA2326" s="1539"/>
      <c r="BB2326" s="1539"/>
      <c r="BC2326" s="1539"/>
      <c r="BD2326" s="1539"/>
      <c r="BE2326" s="1539"/>
      <c r="BF2326" s="1539"/>
      <c r="BG2326" s="1539"/>
      <c r="BH2326" s="1539"/>
      <c r="BI2326" s="1539"/>
      <c r="BJ2326" s="1539"/>
      <c r="BK2326" s="1539"/>
      <c r="BL2326" s="1539"/>
      <c r="BM2326" s="1539"/>
      <c r="BN2326" s="1539"/>
      <c r="BO2326" s="1539"/>
      <c r="BP2326" s="1539"/>
      <c r="BQ2326" s="1539"/>
      <c r="BR2326" s="1539"/>
      <c r="BS2326" s="1539"/>
      <c r="BT2326" s="1539"/>
      <c r="BU2326" s="1539"/>
      <c r="BV2326" s="1539"/>
      <c r="BW2326" s="1539"/>
      <c r="BX2326" s="1539"/>
      <c r="BY2326" s="1539"/>
      <c r="BZ2326" s="1539"/>
      <c r="CA2326" s="1539"/>
      <c r="CB2326" s="1539"/>
      <c r="CC2326" s="1539"/>
      <c r="CD2326" s="1539"/>
      <c r="CE2326" s="1539"/>
      <c r="CF2326" s="1539"/>
      <c r="CG2326" s="1539"/>
      <c r="CH2326" s="1539"/>
      <c r="CI2326" s="1539"/>
      <c r="CJ2326" s="1539"/>
      <c r="CK2326" s="1539"/>
      <c r="CL2326" s="1539"/>
      <c r="CM2326" s="1539"/>
      <c r="CN2326" s="1539"/>
      <c r="CO2326" s="1539"/>
    </row>
    <row r="2327" spans="1:93" s="1542" customFormat="1" ht="15.5">
      <c r="A2327" s="1598">
        <v>18</v>
      </c>
      <c r="B2327" s="1599" t="s">
        <v>3460</v>
      </c>
      <c r="C2327" s="1643" t="e">
        <f>+SUMIF(#REF!,Final!A2327,#REF!)</f>
        <v>#REF!</v>
      </c>
      <c r="D2327" s="1597" t="e">
        <f>+SUMIF(#REF!,Final!A2327,#REF!)</f>
        <v>#REF!</v>
      </c>
      <c r="E2327" s="1643" t="e">
        <f>SUMIF(#REF!,Final!A2327,#REF!)</f>
        <v>#REF!</v>
      </c>
      <c r="F2327" s="1644" t="e">
        <f>SUMIF(#REF!,Final!A2327,#REF!)</f>
        <v>#REF!</v>
      </c>
      <c r="G2327" s="1597" t="e">
        <f t="shared" si="248"/>
        <v>#REF!</v>
      </c>
      <c r="H2327" s="1644" t="e">
        <f t="shared" si="249"/>
        <v>#REF!</v>
      </c>
      <c r="I2327" s="1597" t="e">
        <f t="shared" si="250"/>
        <v>#REF!</v>
      </c>
      <c r="J2327" s="1644" t="e">
        <f t="shared" si="251"/>
        <v>#REF!</v>
      </c>
      <c r="K2327" s="1539"/>
      <c r="L2327" s="1539"/>
      <c r="M2327" s="1545"/>
      <c r="N2327" s="1545"/>
      <c r="O2327" s="1539"/>
      <c r="P2327" s="1539"/>
      <c r="Q2327" s="1539"/>
      <c r="R2327" s="1539"/>
      <c r="S2327" s="1539"/>
      <c r="T2327" s="1539"/>
      <c r="U2327" s="1539"/>
      <c r="V2327" s="1539"/>
      <c r="W2327" s="1539"/>
      <c r="X2327" s="1539"/>
      <c r="Y2327" s="1539"/>
      <c r="Z2327" s="1539"/>
      <c r="AA2327" s="1539"/>
      <c r="AB2327" s="1539"/>
      <c r="AC2327" s="1539"/>
      <c r="AD2327" s="1539"/>
      <c r="AE2327" s="1539"/>
      <c r="AF2327" s="1539"/>
      <c r="AG2327" s="1539"/>
      <c r="AH2327" s="1539"/>
      <c r="AI2327" s="1539"/>
      <c r="AJ2327" s="1539"/>
      <c r="AK2327" s="1539"/>
      <c r="AL2327" s="1539"/>
      <c r="AM2327" s="1539"/>
      <c r="AN2327" s="1539"/>
      <c r="AO2327" s="1539"/>
      <c r="AP2327" s="1539"/>
      <c r="AQ2327" s="1539"/>
      <c r="AR2327" s="1539"/>
      <c r="AS2327" s="1539"/>
      <c r="AT2327" s="1539"/>
      <c r="AU2327" s="1539"/>
      <c r="AV2327" s="1539"/>
      <c r="AW2327" s="1539"/>
      <c r="AX2327" s="1539"/>
      <c r="AY2327" s="1539"/>
      <c r="AZ2327" s="1539"/>
      <c r="BA2327" s="1539"/>
      <c r="BB2327" s="1539"/>
      <c r="BC2327" s="1539"/>
      <c r="BD2327" s="1539"/>
      <c r="BE2327" s="1539"/>
      <c r="BF2327" s="1539"/>
      <c r="BG2327" s="1539"/>
      <c r="BH2327" s="1539"/>
      <c r="BI2327" s="1539"/>
      <c r="BJ2327" s="1539"/>
      <c r="BK2327" s="1539"/>
      <c r="BL2327" s="1539"/>
      <c r="BM2327" s="1539"/>
      <c r="BN2327" s="1539"/>
      <c r="BO2327" s="1539"/>
      <c r="BP2327" s="1539"/>
      <c r="BQ2327" s="1539"/>
      <c r="BR2327" s="1539"/>
      <c r="BS2327" s="1539"/>
      <c r="BT2327" s="1539"/>
      <c r="BU2327" s="1539"/>
      <c r="BV2327" s="1539"/>
      <c r="BW2327" s="1539"/>
      <c r="BX2327" s="1539"/>
      <c r="BY2327" s="1539"/>
      <c r="BZ2327" s="1539"/>
      <c r="CA2327" s="1539"/>
      <c r="CB2327" s="1539"/>
      <c r="CC2327" s="1539"/>
      <c r="CD2327" s="1539"/>
      <c r="CE2327" s="1539"/>
      <c r="CF2327" s="1539"/>
      <c r="CG2327" s="1539"/>
      <c r="CH2327" s="1539"/>
      <c r="CI2327" s="1539"/>
      <c r="CJ2327" s="1539"/>
      <c r="CK2327" s="1539"/>
      <c r="CL2327" s="1539"/>
      <c r="CM2327" s="1539"/>
      <c r="CN2327" s="1539"/>
      <c r="CO2327" s="1539"/>
    </row>
    <row r="2328" spans="1:93" s="1542" customFormat="1" ht="15.5">
      <c r="A2328" s="1598" t="s">
        <v>1824</v>
      </c>
      <c r="B2328" s="1599" t="s">
        <v>3461</v>
      </c>
      <c r="C2328" s="1643" t="e">
        <f>+SUMIF(#REF!,Final!A2328,#REF!)</f>
        <v>#REF!</v>
      </c>
      <c r="D2328" s="1597" t="e">
        <f>+SUMIF(#REF!,Final!A2328,#REF!)</f>
        <v>#REF!</v>
      </c>
      <c r="E2328" s="1643" t="e">
        <f>SUMIF(#REF!,Final!A2328,#REF!)</f>
        <v>#REF!</v>
      </c>
      <c r="F2328" s="1644" t="e">
        <f>SUMIF(#REF!,Final!A2328,#REF!)</f>
        <v>#REF!</v>
      </c>
      <c r="G2328" s="1597" t="e">
        <f t="shared" si="248"/>
        <v>#REF!</v>
      </c>
      <c r="H2328" s="1644" t="e">
        <f t="shared" si="249"/>
        <v>#REF!</v>
      </c>
      <c r="I2328" s="1597" t="e">
        <f t="shared" si="250"/>
        <v>#REF!</v>
      </c>
      <c r="J2328" s="1644" t="e">
        <f t="shared" si="251"/>
        <v>#REF!</v>
      </c>
      <c r="K2328" s="1539"/>
      <c r="L2328" s="1539"/>
      <c r="M2328" s="1545"/>
      <c r="N2328" s="1545"/>
      <c r="O2328" s="1539"/>
      <c r="P2328" s="1539"/>
      <c r="Q2328" s="1539"/>
      <c r="R2328" s="1539"/>
      <c r="S2328" s="1539"/>
      <c r="T2328" s="1539"/>
      <c r="U2328" s="1539"/>
      <c r="V2328" s="1539"/>
      <c r="W2328" s="1539"/>
      <c r="X2328" s="1539"/>
      <c r="Y2328" s="1539"/>
      <c r="Z2328" s="1539"/>
      <c r="AA2328" s="1539"/>
      <c r="AB2328" s="1539"/>
      <c r="AC2328" s="1539"/>
      <c r="AD2328" s="1539"/>
      <c r="AE2328" s="1539"/>
      <c r="AF2328" s="1539"/>
      <c r="AG2328" s="1539"/>
      <c r="AH2328" s="1539"/>
      <c r="AI2328" s="1539"/>
      <c r="AJ2328" s="1539"/>
      <c r="AK2328" s="1539"/>
      <c r="AL2328" s="1539"/>
      <c r="AM2328" s="1539"/>
      <c r="AN2328" s="1539"/>
      <c r="AO2328" s="1539"/>
      <c r="AP2328" s="1539"/>
      <c r="AQ2328" s="1539"/>
      <c r="AR2328" s="1539"/>
      <c r="AS2328" s="1539"/>
      <c r="AT2328" s="1539"/>
      <c r="AU2328" s="1539"/>
      <c r="AV2328" s="1539"/>
      <c r="AW2328" s="1539"/>
      <c r="AX2328" s="1539"/>
      <c r="AY2328" s="1539"/>
      <c r="AZ2328" s="1539"/>
      <c r="BA2328" s="1539"/>
      <c r="BB2328" s="1539"/>
      <c r="BC2328" s="1539"/>
      <c r="BD2328" s="1539"/>
      <c r="BE2328" s="1539"/>
      <c r="BF2328" s="1539"/>
      <c r="BG2328" s="1539"/>
      <c r="BH2328" s="1539"/>
      <c r="BI2328" s="1539"/>
      <c r="BJ2328" s="1539"/>
      <c r="BK2328" s="1539"/>
      <c r="BL2328" s="1539"/>
      <c r="BM2328" s="1539"/>
      <c r="BN2328" s="1539"/>
      <c r="BO2328" s="1539"/>
      <c r="BP2328" s="1539"/>
      <c r="BQ2328" s="1539"/>
      <c r="BR2328" s="1539"/>
      <c r="BS2328" s="1539"/>
      <c r="BT2328" s="1539"/>
      <c r="BU2328" s="1539"/>
      <c r="BV2328" s="1539"/>
      <c r="BW2328" s="1539"/>
      <c r="BX2328" s="1539"/>
      <c r="BY2328" s="1539"/>
      <c r="BZ2328" s="1539"/>
      <c r="CA2328" s="1539"/>
      <c r="CB2328" s="1539"/>
      <c r="CC2328" s="1539"/>
      <c r="CD2328" s="1539"/>
      <c r="CE2328" s="1539"/>
      <c r="CF2328" s="1539"/>
      <c r="CG2328" s="1539"/>
      <c r="CH2328" s="1539"/>
      <c r="CI2328" s="1539"/>
      <c r="CJ2328" s="1539"/>
      <c r="CK2328" s="1539"/>
      <c r="CL2328" s="1539"/>
      <c r="CM2328" s="1539"/>
      <c r="CN2328" s="1539"/>
      <c r="CO2328" s="1539"/>
    </row>
    <row r="2329" spans="1:93" ht="15.5">
      <c r="A2329" s="1598">
        <v>51.204999999999998</v>
      </c>
      <c r="B2329" s="1599" t="s">
        <v>3462</v>
      </c>
      <c r="C2329" s="1643" t="e">
        <f>+SUMIF(#REF!,Final!A2329,#REF!)</f>
        <v>#REF!</v>
      </c>
      <c r="D2329" s="1597" t="e">
        <f>+SUMIF(#REF!,Final!A2329,#REF!)</f>
        <v>#REF!</v>
      </c>
      <c r="E2329" s="1643" t="e">
        <f>SUMIF(#REF!,Final!A2329,#REF!)</f>
        <v>#REF!</v>
      </c>
      <c r="F2329" s="1644" t="e">
        <f>SUMIF(#REF!,Final!A2329,#REF!)</f>
        <v>#REF!</v>
      </c>
      <c r="G2329" s="1597" t="e">
        <f t="shared" si="248"/>
        <v>#REF!</v>
      </c>
      <c r="H2329" s="1644" t="e">
        <f t="shared" si="249"/>
        <v>#REF!</v>
      </c>
      <c r="I2329" s="1597" t="e">
        <f t="shared" si="250"/>
        <v>#REF!</v>
      </c>
      <c r="J2329" s="1644" t="e">
        <f t="shared" si="251"/>
        <v>#REF!</v>
      </c>
      <c r="M2329" s="1545"/>
      <c r="N2329" s="1545"/>
    </row>
    <row r="2330" spans="1:93" s="1552" customFormat="1" ht="15.5">
      <c r="A2330" s="1598"/>
      <c r="B2330" s="1599" t="s">
        <v>1747</v>
      </c>
      <c r="C2330" s="1643" t="e">
        <f>+SUMIF(#REF!,Final!A2330,#REF!)</f>
        <v>#REF!</v>
      </c>
      <c r="D2330" s="1597" t="e">
        <f>+SUMIF(#REF!,Final!A2330,#REF!)</f>
        <v>#REF!</v>
      </c>
      <c r="E2330" s="1643" t="e">
        <f>SUMIF(#REF!,Final!A2330,#REF!)</f>
        <v>#REF!</v>
      </c>
      <c r="F2330" s="1644" t="e">
        <f>SUMIF(#REF!,Final!A2330,#REF!)</f>
        <v>#REF!</v>
      </c>
      <c r="G2330" s="1597" t="e">
        <f t="shared" si="248"/>
        <v>#REF!</v>
      </c>
      <c r="H2330" s="1644" t="e">
        <f t="shared" si="249"/>
        <v>#REF!</v>
      </c>
      <c r="I2330" s="1597" t="e">
        <f t="shared" si="250"/>
        <v>#REF!</v>
      </c>
      <c r="J2330" s="1644" t="e">
        <f t="shared" si="251"/>
        <v>#REF!</v>
      </c>
      <c r="K2330" s="1539"/>
      <c r="L2330" s="1539"/>
      <c r="M2330" s="1545"/>
      <c r="N2330" s="1545"/>
      <c r="O2330" s="1539"/>
      <c r="P2330" s="1539"/>
      <c r="Q2330" s="1539"/>
      <c r="R2330" s="1539"/>
      <c r="S2330" s="1539"/>
      <c r="T2330" s="1539"/>
      <c r="U2330" s="1539"/>
      <c r="V2330" s="1539"/>
      <c r="W2330" s="1539"/>
      <c r="X2330" s="1539"/>
      <c r="Y2330" s="1539"/>
      <c r="Z2330" s="1539"/>
      <c r="AA2330" s="1539"/>
      <c r="AB2330" s="1539"/>
      <c r="AC2330" s="1539"/>
      <c r="AD2330" s="1539"/>
      <c r="AE2330" s="1539"/>
      <c r="AF2330" s="1539"/>
      <c r="AG2330" s="1539"/>
      <c r="AH2330" s="1539"/>
      <c r="AI2330" s="1539"/>
      <c r="AJ2330" s="1539"/>
      <c r="AK2330" s="1539"/>
      <c r="AL2330" s="1539"/>
      <c r="AM2330" s="1539"/>
      <c r="AN2330" s="1539"/>
      <c r="AO2330" s="1539"/>
      <c r="AP2330" s="1539"/>
      <c r="AQ2330" s="1539"/>
      <c r="AR2330" s="1539"/>
      <c r="AS2330" s="1539"/>
      <c r="AT2330" s="1539"/>
      <c r="AU2330" s="1539"/>
      <c r="AV2330" s="1539"/>
      <c r="AW2330" s="1539"/>
      <c r="AX2330" s="1539"/>
      <c r="AY2330" s="1539"/>
      <c r="AZ2330" s="1539"/>
      <c r="BA2330" s="1539"/>
      <c r="BB2330" s="1539"/>
      <c r="BC2330" s="1539"/>
      <c r="BD2330" s="1539"/>
      <c r="BE2330" s="1539"/>
      <c r="BF2330" s="1539"/>
      <c r="BG2330" s="1539"/>
      <c r="BH2330" s="1539"/>
      <c r="BI2330" s="1539"/>
      <c r="BJ2330" s="1539"/>
      <c r="BK2330" s="1539"/>
      <c r="BL2330" s="1539"/>
      <c r="BM2330" s="1539"/>
      <c r="BN2330" s="1539"/>
      <c r="BO2330" s="1539"/>
      <c r="BP2330" s="1539"/>
      <c r="BQ2330" s="1539"/>
      <c r="BR2330" s="1539"/>
      <c r="BS2330" s="1539"/>
      <c r="BT2330" s="1539"/>
      <c r="BU2330" s="1539"/>
      <c r="BV2330" s="1539"/>
      <c r="BW2330" s="1539"/>
      <c r="BX2330" s="1539"/>
      <c r="BY2330" s="1539"/>
      <c r="BZ2330" s="1539"/>
      <c r="CA2330" s="1539"/>
      <c r="CB2330" s="1539"/>
      <c r="CC2330" s="1539"/>
      <c r="CD2330" s="1539"/>
      <c r="CE2330" s="1539"/>
      <c r="CF2330" s="1539"/>
      <c r="CG2330" s="1539"/>
      <c r="CH2330" s="1539"/>
      <c r="CI2330" s="1539"/>
      <c r="CJ2330" s="1539"/>
      <c r="CK2330" s="1539"/>
      <c r="CL2330" s="1539"/>
      <c r="CM2330" s="1539"/>
      <c r="CN2330" s="1539"/>
      <c r="CO2330" s="1539"/>
    </row>
    <row r="2331" spans="1:93" s="1552" customFormat="1" ht="15.5">
      <c r="A2331" s="1598"/>
      <c r="B2331" s="1599" t="s">
        <v>1760</v>
      </c>
      <c r="C2331" s="1643" t="e">
        <f>+SUMIF(#REF!,Final!A2331,#REF!)</f>
        <v>#REF!</v>
      </c>
      <c r="D2331" s="1597" t="e">
        <f>+SUMIF(#REF!,Final!A2331,#REF!)</f>
        <v>#REF!</v>
      </c>
      <c r="E2331" s="1643" t="e">
        <f>SUMIF(#REF!,Final!A2331,#REF!)</f>
        <v>#REF!</v>
      </c>
      <c r="F2331" s="1644" t="e">
        <f>SUMIF(#REF!,Final!A2331,#REF!)</f>
        <v>#REF!</v>
      </c>
      <c r="G2331" s="1597" t="e">
        <f t="shared" si="248"/>
        <v>#REF!</v>
      </c>
      <c r="H2331" s="1644" t="e">
        <f t="shared" si="249"/>
        <v>#REF!</v>
      </c>
      <c r="I2331" s="1597" t="e">
        <f t="shared" si="250"/>
        <v>#REF!</v>
      </c>
      <c r="J2331" s="1644" t="e">
        <f t="shared" si="251"/>
        <v>#REF!</v>
      </c>
      <c r="K2331" s="1539"/>
      <c r="L2331" s="1539"/>
      <c r="M2331" s="1545"/>
      <c r="N2331" s="1545"/>
      <c r="O2331" s="1539"/>
      <c r="P2331" s="1539"/>
      <c r="Q2331" s="1539"/>
      <c r="R2331" s="1539"/>
      <c r="S2331" s="1539"/>
      <c r="T2331" s="1539"/>
      <c r="U2331" s="1539"/>
      <c r="V2331" s="1539"/>
      <c r="W2331" s="1539"/>
      <c r="X2331" s="1539"/>
      <c r="Y2331" s="1539"/>
      <c r="Z2331" s="1539"/>
      <c r="AA2331" s="1539"/>
      <c r="AB2331" s="1539"/>
      <c r="AC2331" s="1539"/>
      <c r="AD2331" s="1539"/>
      <c r="AE2331" s="1539"/>
      <c r="AF2331" s="1539"/>
      <c r="AG2331" s="1539"/>
      <c r="AH2331" s="1539"/>
      <c r="AI2331" s="1539"/>
      <c r="AJ2331" s="1539"/>
      <c r="AK2331" s="1539"/>
      <c r="AL2331" s="1539"/>
      <c r="AM2331" s="1539"/>
      <c r="AN2331" s="1539"/>
      <c r="AO2331" s="1539"/>
      <c r="AP2331" s="1539"/>
      <c r="AQ2331" s="1539"/>
      <c r="AR2331" s="1539"/>
      <c r="AS2331" s="1539"/>
      <c r="AT2331" s="1539"/>
      <c r="AU2331" s="1539"/>
      <c r="AV2331" s="1539"/>
      <c r="AW2331" s="1539"/>
      <c r="AX2331" s="1539"/>
      <c r="AY2331" s="1539"/>
      <c r="AZ2331" s="1539"/>
      <c r="BA2331" s="1539"/>
      <c r="BB2331" s="1539"/>
      <c r="BC2331" s="1539"/>
      <c r="BD2331" s="1539"/>
      <c r="BE2331" s="1539"/>
      <c r="BF2331" s="1539"/>
      <c r="BG2331" s="1539"/>
      <c r="BH2331" s="1539"/>
      <c r="BI2331" s="1539"/>
      <c r="BJ2331" s="1539"/>
      <c r="BK2331" s="1539"/>
      <c r="BL2331" s="1539"/>
      <c r="BM2331" s="1539"/>
      <c r="BN2331" s="1539"/>
      <c r="BO2331" s="1539"/>
      <c r="BP2331" s="1539"/>
      <c r="BQ2331" s="1539"/>
      <c r="BR2331" s="1539"/>
      <c r="BS2331" s="1539"/>
      <c r="BT2331" s="1539"/>
      <c r="BU2331" s="1539"/>
      <c r="BV2331" s="1539"/>
      <c r="BW2331" s="1539"/>
      <c r="BX2331" s="1539"/>
      <c r="BY2331" s="1539"/>
      <c r="BZ2331" s="1539"/>
      <c r="CA2331" s="1539"/>
      <c r="CB2331" s="1539"/>
      <c r="CC2331" s="1539"/>
      <c r="CD2331" s="1539"/>
      <c r="CE2331" s="1539"/>
      <c r="CF2331" s="1539"/>
      <c r="CG2331" s="1539"/>
      <c r="CH2331" s="1539"/>
      <c r="CI2331" s="1539"/>
      <c r="CJ2331" s="1539"/>
      <c r="CK2331" s="1539"/>
      <c r="CL2331" s="1539"/>
      <c r="CM2331" s="1539"/>
      <c r="CN2331" s="1539"/>
      <c r="CO2331" s="1539"/>
    </row>
    <row r="2332" spans="1:93" s="1542" customFormat="1" ht="15.5">
      <c r="A2332" s="1598">
        <v>18</v>
      </c>
      <c r="B2332" s="1599" t="s">
        <v>3460</v>
      </c>
      <c r="C2332" s="1643" t="e">
        <f>+SUMIF(#REF!,Final!A2332,#REF!)</f>
        <v>#REF!</v>
      </c>
      <c r="D2332" s="1597" t="e">
        <f>+SUMIF(#REF!,Final!A2332,#REF!)</f>
        <v>#REF!</v>
      </c>
      <c r="E2332" s="1643" t="e">
        <f>SUMIF(#REF!,Final!A2332,#REF!)</f>
        <v>#REF!</v>
      </c>
      <c r="F2332" s="1644" t="e">
        <f>SUMIF(#REF!,Final!A2332,#REF!)</f>
        <v>#REF!</v>
      </c>
      <c r="G2332" s="1597" t="e">
        <f t="shared" si="248"/>
        <v>#REF!</v>
      </c>
      <c r="H2332" s="1644" t="e">
        <f t="shared" si="249"/>
        <v>#REF!</v>
      </c>
      <c r="I2332" s="1597" t="e">
        <f t="shared" si="250"/>
        <v>#REF!</v>
      </c>
      <c r="J2332" s="1644" t="e">
        <f t="shared" si="251"/>
        <v>#REF!</v>
      </c>
      <c r="K2332" s="1539"/>
      <c r="L2332" s="1539"/>
      <c r="M2332" s="1545"/>
      <c r="N2332" s="1545"/>
      <c r="O2332" s="1539"/>
      <c r="P2332" s="1539"/>
      <c r="Q2332" s="1539"/>
      <c r="R2332" s="1539"/>
      <c r="S2332" s="1539"/>
      <c r="T2332" s="1539"/>
      <c r="U2332" s="1539"/>
      <c r="V2332" s="1539"/>
      <c r="W2332" s="1539"/>
      <c r="X2332" s="1539"/>
      <c r="Y2332" s="1539"/>
      <c r="Z2332" s="1539"/>
      <c r="AA2332" s="1539"/>
      <c r="AB2332" s="1539"/>
      <c r="AC2332" s="1539"/>
      <c r="AD2332" s="1539"/>
      <c r="AE2332" s="1539"/>
      <c r="AF2332" s="1539"/>
      <c r="AG2332" s="1539"/>
      <c r="AH2332" s="1539"/>
      <c r="AI2332" s="1539"/>
      <c r="AJ2332" s="1539"/>
      <c r="AK2332" s="1539"/>
      <c r="AL2332" s="1539"/>
      <c r="AM2332" s="1539"/>
      <c r="AN2332" s="1539"/>
      <c r="AO2332" s="1539"/>
      <c r="AP2332" s="1539"/>
      <c r="AQ2332" s="1539"/>
      <c r="AR2332" s="1539"/>
      <c r="AS2332" s="1539"/>
      <c r="AT2332" s="1539"/>
      <c r="AU2332" s="1539"/>
      <c r="AV2332" s="1539"/>
      <c r="AW2332" s="1539"/>
      <c r="AX2332" s="1539"/>
      <c r="AY2332" s="1539"/>
      <c r="AZ2332" s="1539"/>
      <c r="BA2332" s="1539"/>
      <c r="BB2332" s="1539"/>
      <c r="BC2332" s="1539"/>
      <c r="BD2332" s="1539"/>
      <c r="BE2332" s="1539"/>
      <c r="BF2332" s="1539"/>
      <c r="BG2332" s="1539"/>
      <c r="BH2332" s="1539"/>
      <c r="BI2332" s="1539"/>
      <c r="BJ2332" s="1539"/>
      <c r="BK2332" s="1539"/>
      <c r="BL2332" s="1539"/>
      <c r="BM2332" s="1539"/>
      <c r="BN2332" s="1539"/>
      <c r="BO2332" s="1539"/>
      <c r="BP2332" s="1539"/>
      <c r="BQ2332" s="1539"/>
      <c r="BR2332" s="1539"/>
      <c r="BS2332" s="1539"/>
      <c r="BT2332" s="1539"/>
      <c r="BU2332" s="1539"/>
      <c r="BV2332" s="1539"/>
      <c r="BW2332" s="1539"/>
      <c r="BX2332" s="1539"/>
      <c r="BY2332" s="1539"/>
      <c r="BZ2332" s="1539"/>
      <c r="CA2332" s="1539"/>
      <c r="CB2332" s="1539"/>
      <c r="CC2332" s="1539"/>
      <c r="CD2332" s="1539"/>
      <c r="CE2332" s="1539"/>
      <c r="CF2332" s="1539"/>
      <c r="CG2332" s="1539"/>
      <c r="CH2332" s="1539"/>
      <c r="CI2332" s="1539"/>
      <c r="CJ2332" s="1539"/>
      <c r="CK2332" s="1539"/>
      <c r="CL2332" s="1539"/>
      <c r="CM2332" s="1539"/>
      <c r="CN2332" s="1539"/>
      <c r="CO2332" s="1539"/>
    </row>
    <row r="2333" spans="1:93" s="1542" customFormat="1" ht="15.5">
      <c r="A2333" s="1598" t="s">
        <v>1768</v>
      </c>
      <c r="B2333" s="1599" t="s">
        <v>3463</v>
      </c>
      <c r="C2333" s="1643" t="e">
        <f>+SUMIF(#REF!,Final!A2333,#REF!)</f>
        <v>#REF!</v>
      </c>
      <c r="D2333" s="1597" t="e">
        <f>+SUMIF(#REF!,Final!A2333,#REF!)</f>
        <v>#REF!</v>
      </c>
      <c r="E2333" s="1643" t="e">
        <f>SUMIF(#REF!,Final!A2333,#REF!)</f>
        <v>#REF!</v>
      </c>
      <c r="F2333" s="1644" t="e">
        <f>SUMIF(#REF!,Final!A2333,#REF!)</f>
        <v>#REF!</v>
      </c>
      <c r="G2333" s="1597" t="e">
        <f t="shared" si="248"/>
        <v>#REF!</v>
      </c>
      <c r="H2333" s="1644" t="e">
        <f t="shared" si="249"/>
        <v>#REF!</v>
      </c>
      <c r="I2333" s="1597" t="e">
        <f t="shared" si="250"/>
        <v>#REF!</v>
      </c>
      <c r="J2333" s="1644" t="e">
        <f t="shared" si="251"/>
        <v>#REF!</v>
      </c>
      <c r="K2333" s="1539"/>
      <c r="L2333" s="1539"/>
      <c r="M2333" s="1545"/>
      <c r="N2333" s="1545"/>
      <c r="O2333" s="1539"/>
      <c r="P2333" s="1539"/>
      <c r="Q2333" s="1539"/>
      <c r="R2333" s="1539"/>
      <c r="S2333" s="1539"/>
      <c r="T2333" s="1539"/>
      <c r="U2333" s="1539"/>
      <c r="V2333" s="1539"/>
      <c r="W2333" s="1539"/>
      <c r="X2333" s="1539"/>
      <c r="Y2333" s="1539"/>
      <c r="Z2333" s="1539"/>
      <c r="AA2333" s="1539"/>
      <c r="AB2333" s="1539"/>
      <c r="AC2333" s="1539"/>
      <c r="AD2333" s="1539"/>
      <c r="AE2333" s="1539"/>
      <c r="AF2333" s="1539"/>
      <c r="AG2333" s="1539"/>
      <c r="AH2333" s="1539"/>
      <c r="AI2333" s="1539"/>
      <c r="AJ2333" s="1539"/>
      <c r="AK2333" s="1539"/>
      <c r="AL2333" s="1539"/>
      <c r="AM2333" s="1539"/>
      <c r="AN2333" s="1539"/>
      <c r="AO2333" s="1539"/>
      <c r="AP2333" s="1539"/>
      <c r="AQ2333" s="1539"/>
      <c r="AR2333" s="1539"/>
      <c r="AS2333" s="1539"/>
      <c r="AT2333" s="1539"/>
      <c r="AU2333" s="1539"/>
      <c r="AV2333" s="1539"/>
      <c r="AW2333" s="1539"/>
      <c r="AX2333" s="1539"/>
      <c r="AY2333" s="1539"/>
      <c r="AZ2333" s="1539"/>
      <c r="BA2333" s="1539"/>
      <c r="BB2333" s="1539"/>
      <c r="BC2333" s="1539"/>
      <c r="BD2333" s="1539"/>
      <c r="BE2333" s="1539"/>
      <c r="BF2333" s="1539"/>
      <c r="BG2333" s="1539"/>
      <c r="BH2333" s="1539"/>
      <c r="BI2333" s="1539"/>
      <c r="BJ2333" s="1539"/>
      <c r="BK2333" s="1539"/>
      <c r="BL2333" s="1539"/>
      <c r="BM2333" s="1539"/>
      <c r="BN2333" s="1539"/>
      <c r="BO2333" s="1539"/>
      <c r="BP2333" s="1539"/>
      <c r="BQ2333" s="1539"/>
      <c r="BR2333" s="1539"/>
      <c r="BS2333" s="1539"/>
      <c r="BT2333" s="1539"/>
      <c r="BU2333" s="1539"/>
      <c r="BV2333" s="1539"/>
      <c r="BW2333" s="1539"/>
      <c r="BX2333" s="1539"/>
      <c r="BY2333" s="1539"/>
      <c r="BZ2333" s="1539"/>
      <c r="CA2333" s="1539"/>
      <c r="CB2333" s="1539"/>
      <c r="CC2333" s="1539"/>
      <c r="CD2333" s="1539"/>
      <c r="CE2333" s="1539"/>
      <c r="CF2333" s="1539"/>
      <c r="CG2333" s="1539"/>
      <c r="CH2333" s="1539"/>
      <c r="CI2333" s="1539"/>
      <c r="CJ2333" s="1539"/>
      <c r="CK2333" s="1539"/>
      <c r="CL2333" s="1539"/>
      <c r="CM2333" s="1539"/>
      <c r="CN2333" s="1539"/>
      <c r="CO2333" s="1539"/>
    </row>
    <row r="2334" spans="1:93" ht="15.5">
      <c r="A2334" s="1598">
        <v>51.210999999999999</v>
      </c>
      <c r="B2334" s="1599" t="s">
        <v>3463</v>
      </c>
      <c r="C2334" s="1643" t="e">
        <f>+SUMIF(#REF!,Final!A2334,#REF!)</f>
        <v>#REF!</v>
      </c>
      <c r="D2334" s="1597" t="e">
        <f>+SUMIF(#REF!,Final!A2334,#REF!)</f>
        <v>#REF!</v>
      </c>
      <c r="E2334" s="1643" t="e">
        <f>SUMIF(#REF!,Final!A2334,#REF!)</f>
        <v>#REF!</v>
      </c>
      <c r="F2334" s="1644" t="e">
        <f>SUMIF(#REF!,Final!A2334,#REF!)</f>
        <v>#REF!</v>
      </c>
      <c r="G2334" s="1597" t="e">
        <f t="shared" si="248"/>
        <v>#REF!</v>
      </c>
      <c r="H2334" s="1644" t="e">
        <f t="shared" si="249"/>
        <v>#REF!</v>
      </c>
      <c r="I2334" s="1597" t="e">
        <f t="shared" si="250"/>
        <v>#REF!</v>
      </c>
      <c r="J2334" s="1644" t="e">
        <f t="shared" si="251"/>
        <v>#REF!</v>
      </c>
      <c r="M2334" s="1545"/>
      <c r="N2334" s="1545"/>
    </row>
    <row r="2335" spans="1:93" s="1552" customFormat="1" ht="15.5">
      <c r="A2335" s="1598"/>
      <c r="B2335" s="1599" t="s">
        <v>1747</v>
      </c>
      <c r="C2335" s="1643" t="e">
        <f>+SUMIF(#REF!,Final!A2335,#REF!)</f>
        <v>#REF!</v>
      </c>
      <c r="D2335" s="1597" t="e">
        <f>+SUMIF(#REF!,Final!A2335,#REF!)</f>
        <v>#REF!</v>
      </c>
      <c r="E2335" s="1643" t="e">
        <f>SUMIF(#REF!,Final!A2335,#REF!)</f>
        <v>#REF!</v>
      </c>
      <c r="F2335" s="1644" t="e">
        <f>SUMIF(#REF!,Final!A2335,#REF!)</f>
        <v>#REF!</v>
      </c>
      <c r="G2335" s="1597" t="e">
        <f t="shared" si="248"/>
        <v>#REF!</v>
      </c>
      <c r="H2335" s="1644" t="e">
        <f t="shared" si="249"/>
        <v>#REF!</v>
      </c>
      <c r="I2335" s="1597" t="e">
        <f t="shared" si="250"/>
        <v>#REF!</v>
      </c>
      <c r="J2335" s="1644" t="e">
        <f t="shared" si="251"/>
        <v>#REF!</v>
      </c>
      <c r="K2335" s="1539"/>
      <c r="L2335" s="1539"/>
      <c r="M2335" s="1545"/>
      <c r="N2335" s="1545"/>
      <c r="O2335" s="1539"/>
      <c r="P2335" s="1539"/>
      <c r="Q2335" s="1539"/>
      <c r="R2335" s="1539"/>
      <c r="S2335" s="1539"/>
      <c r="T2335" s="1539"/>
      <c r="U2335" s="1539"/>
      <c r="V2335" s="1539"/>
      <c r="W2335" s="1539"/>
      <c r="X2335" s="1539"/>
      <c r="Y2335" s="1539"/>
      <c r="Z2335" s="1539"/>
      <c r="AA2335" s="1539"/>
      <c r="AB2335" s="1539"/>
      <c r="AC2335" s="1539"/>
      <c r="AD2335" s="1539"/>
      <c r="AE2335" s="1539"/>
      <c r="AF2335" s="1539"/>
      <c r="AG2335" s="1539"/>
      <c r="AH2335" s="1539"/>
      <c r="AI2335" s="1539"/>
      <c r="AJ2335" s="1539"/>
      <c r="AK2335" s="1539"/>
      <c r="AL2335" s="1539"/>
      <c r="AM2335" s="1539"/>
      <c r="AN2335" s="1539"/>
      <c r="AO2335" s="1539"/>
      <c r="AP2335" s="1539"/>
      <c r="AQ2335" s="1539"/>
      <c r="AR2335" s="1539"/>
      <c r="AS2335" s="1539"/>
      <c r="AT2335" s="1539"/>
      <c r="AU2335" s="1539"/>
      <c r="AV2335" s="1539"/>
      <c r="AW2335" s="1539"/>
      <c r="AX2335" s="1539"/>
      <c r="AY2335" s="1539"/>
      <c r="AZ2335" s="1539"/>
      <c r="BA2335" s="1539"/>
      <c r="BB2335" s="1539"/>
      <c r="BC2335" s="1539"/>
      <c r="BD2335" s="1539"/>
      <c r="BE2335" s="1539"/>
      <c r="BF2335" s="1539"/>
      <c r="BG2335" s="1539"/>
      <c r="BH2335" s="1539"/>
      <c r="BI2335" s="1539"/>
      <c r="BJ2335" s="1539"/>
      <c r="BK2335" s="1539"/>
      <c r="BL2335" s="1539"/>
      <c r="BM2335" s="1539"/>
      <c r="BN2335" s="1539"/>
      <c r="BO2335" s="1539"/>
      <c r="BP2335" s="1539"/>
      <c r="BQ2335" s="1539"/>
      <c r="BR2335" s="1539"/>
      <c r="BS2335" s="1539"/>
      <c r="BT2335" s="1539"/>
      <c r="BU2335" s="1539"/>
      <c r="BV2335" s="1539"/>
      <c r="BW2335" s="1539"/>
      <c r="BX2335" s="1539"/>
      <c r="BY2335" s="1539"/>
      <c r="BZ2335" s="1539"/>
      <c r="CA2335" s="1539"/>
      <c r="CB2335" s="1539"/>
      <c r="CC2335" s="1539"/>
      <c r="CD2335" s="1539"/>
      <c r="CE2335" s="1539"/>
      <c r="CF2335" s="1539"/>
      <c r="CG2335" s="1539"/>
      <c r="CH2335" s="1539"/>
      <c r="CI2335" s="1539"/>
      <c r="CJ2335" s="1539"/>
      <c r="CK2335" s="1539"/>
      <c r="CL2335" s="1539"/>
      <c r="CM2335" s="1539"/>
      <c r="CN2335" s="1539"/>
      <c r="CO2335" s="1539"/>
    </row>
    <row r="2336" spans="1:93" s="1552" customFormat="1" ht="15.5">
      <c r="A2336" s="1598"/>
      <c r="B2336" s="1599" t="s">
        <v>1760</v>
      </c>
      <c r="C2336" s="1643" t="e">
        <f>+SUMIF(#REF!,Final!A2336,#REF!)</f>
        <v>#REF!</v>
      </c>
      <c r="D2336" s="1597" t="e">
        <f>+SUMIF(#REF!,Final!A2336,#REF!)</f>
        <v>#REF!</v>
      </c>
      <c r="E2336" s="1643" t="e">
        <f>SUMIF(#REF!,Final!A2336,#REF!)</f>
        <v>#REF!</v>
      </c>
      <c r="F2336" s="1644" t="e">
        <f>SUMIF(#REF!,Final!A2336,#REF!)</f>
        <v>#REF!</v>
      </c>
      <c r="G2336" s="1597" t="e">
        <f t="shared" si="248"/>
        <v>#REF!</v>
      </c>
      <c r="H2336" s="1644" t="e">
        <f t="shared" si="249"/>
        <v>#REF!</v>
      </c>
      <c r="I2336" s="1597" t="e">
        <f t="shared" si="250"/>
        <v>#REF!</v>
      </c>
      <c r="J2336" s="1644" t="e">
        <f t="shared" si="251"/>
        <v>#REF!</v>
      </c>
      <c r="K2336" s="1539"/>
      <c r="L2336" s="1539"/>
      <c r="M2336" s="1545"/>
      <c r="N2336" s="1545"/>
      <c r="O2336" s="1539"/>
      <c r="P2336" s="1539"/>
      <c r="Q2336" s="1539"/>
      <c r="R2336" s="1539"/>
      <c r="S2336" s="1539"/>
      <c r="T2336" s="1539"/>
      <c r="U2336" s="1539"/>
      <c r="V2336" s="1539"/>
      <c r="W2336" s="1539"/>
      <c r="X2336" s="1539"/>
      <c r="Y2336" s="1539"/>
      <c r="Z2336" s="1539"/>
      <c r="AA2336" s="1539"/>
      <c r="AB2336" s="1539"/>
      <c r="AC2336" s="1539"/>
      <c r="AD2336" s="1539"/>
      <c r="AE2336" s="1539"/>
      <c r="AF2336" s="1539"/>
      <c r="AG2336" s="1539"/>
      <c r="AH2336" s="1539"/>
      <c r="AI2336" s="1539"/>
      <c r="AJ2336" s="1539"/>
      <c r="AK2336" s="1539"/>
      <c r="AL2336" s="1539"/>
      <c r="AM2336" s="1539"/>
      <c r="AN2336" s="1539"/>
      <c r="AO2336" s="1539"/>
      <c r="AP2336" s="1539"/>
      <c r="AQ2336" s="1539"/>
      <c r="AR2336" s="1539"/>
      <c r="AS2336" s="1539"/>
      <c r="AT2336" s="1539"/>
      <c r="AU2336" s="1539"/>
      <c r="AV2336" s="1539"/>
      <c r="AW2336" s="1539"/>
      <c r="AX2336" s="1539"/>
      <c r="AY2336" s="1539"/>
      <c r="AZ2336" s="1539"/>
      <c r="BA2336" s="1539"/>
      <c r="BB2336" s="1539"/>
      <c r="BC2336" s="1539"/>
      <c r="BD2336" s="1539"/>
      <c r="BE2336" s="1539"/>
      <c r="BF2336" s="1539"/>
      <c r="BG2336" s="1539"/>
      <c r="BH2336" s="1539"/>
      <c r="BI2336" s="1539"/>
      <c r="BJ2336" s="1539"/>
      <c r="BK2336" s="1539"/>
      <c r="BL2336" s="1539"/>
      <c r="BM2336" s="1539"/>
      <c r="BN2336" s="1539"/>
      <c r="BO2336" s="1539"/>
      <c r="BP2336" s="1539"/>
      <c r="BQ2336" s="1539"/>
      <c r="BR2336" s="1539"/>
      <c r="BS2336" s="1539"/>
      <c r="BT2336" s="1539"/>
      <c r="BU2336" s="1539"/>
      <c r="BV2336" s="1539"/>
      <c r="BW2336" s="1539"/>
      <c r="BX2336" s="1539"/>
      <c r="BY2336" s="1539"/>
      <c r="BZ2336" s="1539"/>
      <c r="CA2336" s="1539"/>
      <c r="CB2336" s="1539"/>
      <c r="CC2336" s="1539"/>
      <c r="CD2336" s="1539"/>
      <c r="CE2336" s="1539"/>
      <c r="CF2336" s="1539"/>
      <c r="CG2336" s="1539"/>
      <c r="CH2336" s="1539"/>
      <c r="CI2336" s="1539"/>
      <c r="CJ2336" s="1539"/>
      <c r="CK2336" s="1539"/>
      <c r="CL2336" s="1539"/>
      <c r="CM2336" s="1539"/>
      <c r="CN2336" s="1539"/>
      <c r="CO2336" s="1539"/>
    </row>
    <row r="2337" spans="1:93" s="1542" customFormat="1" ht="15.5">
      <c r="A2337" s="1598">
        <v>18</v>
      </c>
      <c r="B2337" s="1599" t="s">
        <v>3460</v>
      </c>
      <c r="C2337" s="1643" t="e">
        <f>+SUMIF(#REF!,Final!A2337,#REF!)</f>
        <v>#REF!</v>
      </c>
      <c r="D2337" s="1597" t="e">
        <f>+SUMIF(#REF!,Final!A2337,#REF!)</f>
        <v>#REF!</v>
      </c>
      <c r="E2337" s="1643" t="e">
        <f>SUMIF(#REF!,Final!A2337,#REF!)</f>
        <v>#REF!</v>
      </c>
      <c r="F2337" s="1644" t="e">
        <f>SUMIF(#REF!,Final!A2337,#REF!)</f>
        <v>#REF!</v>
      </c>
      <c r="G2337" s="1597" t="e">
        <f t="shared" si="248"/>
        <v>#REF!</v>
      </c>
      <c r="H2337" s="1644" t="e">
        <f t="shared" si="249"/>
        <v>#REF!</v>
      </c>
      <c r="I2337" s="1597" t="e">
        <f t="shared" si="250"/>
        <v>#REF!</v>
      </c>
      <c r="J2337" s="1644" t="e">
        <f t="shared" si="251"/>
        <v>#REF!</v>
      </c>
      <c r="K2337" s="1539"/>
      <c r="L2337" s="1539"/>
      <c r="M2337" s="1545"/>
      <c r="N2337" s="1545"/>
      <c r="O2337" s="1539"/>
      <c r="P2337" s="1539"/>
      <c r="Q2337" s="1539"/>
      <c r="R2337" s="1539"/>
      <c r="S2337" s="1539"/>
      <c r="T2337" s="1539"/>
      <c r="U2337" s="1539"/>
      <c r="V2337" s="1539"/>
      <c r="W2337" s="1539"/>
      <c r="X2337" s="1539"/>
      <c r="Y2337" s="1539"/>
      <c r="Z2337" s="1539"/>
      <c r="AA2337" s="1539"/>
      <c r="AB2337" s="1539"/>
      <c r="AC2337" s="1539"/>
      <c r="AD2337" s="1539"/>
      <c r="AE2337" s="1539"/>
      <c r="AF2337" s="1539"/>
      <c r="AG2337" s="1539"/>
      <c r="AH2337" s="1539"/>
      <c r="AI2337" s="1539"/>
      <c r="AJ2337" s="1539"/>
      <c r="AK2337" s="1539"/>
      <c r="AL2337" s="1539"/>
      <c r="AM2337" s="1539"/>
      <c r="AN2337" s="1539"/>
      <c r="AO2337" s="1539"/>
      <c r="AP2337" s="1539"/>
      <c r="AQ2337" s="1539"/>
      <c r="AR2337" s="1539"/>
      <c r="AS2337" s="1539"/>
      <c r="AT2337" s="1539"/>
      <c r="AU2337" s="1539"/>
      <c r="AV2337" s="1539"/>
      <c r="AW2337" s="1539"/>
      <c r="AX2337" s="1539"/>
      <c r="AY2337" s="1539"/>
      <c r="AZ2337" s="1539"/>
      <c r="BA2337" s="1539"/>
      <c r="BB2337" s="1539"/>
      <c r="BC2337" s="1539"/>
      <c r="BD2337" s="1539"/>
      <c r="BE2337" s="1539"/>
      <c r="BF2337" s="1539"/>
      <c r="BG2337" s="1539"/>
      <c r="BH2337" s="1539"/>
      <c r="BI2337" s="1539"/>
      <c r="BJ2337" s="1539"/>
      <c r="BK2337" s="1539"/>
      <c r="BL2337" s="1539"/>
      <c r="BM2337" s="1539"/>
      <c r="BN2337" s="1539"/>
      <c r="BO2337" s="1539"/>
      <c r="BP2337" s="1539"/>
      <c r="BQ2337" s="1539"/>
      <c r="BR2337" s="1539"/>
      <c r="BS2337" s="1539"/>
      <c r="BT2337" s="1539"/>
      <c r="BU2337" s="1539"/>
      <c r="BV2337" s="1539"/>
      <c r="BW2337" s="1539"/>
      <c r="BX2337" s="1539"/>
      <c r="BY2337" s="1539"/>
      <c r="BZ2337" s="1539"/>
      <c r="CA2337" s="1539"/>
      <c r="CB2337" s="1539"/>
      <c r="CC2337" s="1539"/>
      <c r="CD2337" s="1539"/>
      <c r="CE2337" s="1539"/>
      <c r="CF2337" s="1539"/>
      <c r="CG2337" s="1539"/>
      <c r="CH2337" s="1539"/>
      <c r="CI2337" s="1539"/>
      <c r="CJ2337" s="1539"/>
      <c r="CK2337" s="1539"/>
      <c r="CL2337" s="1539"/>
      <c r="CM2337" s="1539"/>
      <c r="CN2337" s="1539"/>
      <c r="CO2337" s="1539"/>
    </row>
    <row r="2338" spans="1:93" s="1542" customFormat="1" ht="15.5">
      <c r="A2338" s="1598" t="s">
        <v>1818</v>
      </c>
      <c r="B2338" s="1599" t="s">
        <v>1767</v>
      </c>
      <c r="C2338" s="1643" t="e">
        <f>+SUMIF(#REF!,Final!A2338,#REF!)</f>
        <v>#REF!</v>
      </c>
      <c r="D2338" s="1597" t="e">
        <f>+SUMIF(#REF!,Final!A2338,#REF!)</f>
        <v>#REF!</v>
      </c>
      <c r="E2338" s="1643" t="e">
        <f>SUMIF(#REF!,Final!A2338,#REF!)</f>
        <v>#REF!</v>
      </c>
      <c r="F2338" s="1644" t="e">
        <f>SUMIF(#REF!,Final!A2338,#REF!)</f>
        <v>#REF!</v>
      </c>
      <c r="G2338" s="1597" t="e">
        <f t="shared" si="248"/>
        <v>#REF!</v>
      </c>
      <c r="H2338" s="1644" t="e">
        <f t="shared" si="249"/>
        <v>#REF!</v>
      </c>
      <c r="I2338" s="1597" t="e">
        <f t="shared" si="250"/>
        <v>#REF!</v>
      </c>
      <c r="J2338" s="1644" t="e">
        <f t="shared" si="251"/>
        <v>#REF!</v>
      </c>
      <c r="K2338" s="1539"/>
      <c r="L2338" s="1539"/>
      <c r="M2338" s="1545"/>
      <c r="N2338" s="1545"/>
      <c r="O2338" s="1539"/>
      <c r="P2338" s="1539"/>
      <c r="Q2338" s="1539"/>
      <c r="R2338" s="1539"/>
      <c r="S2338" s="1539"/>
      <c r="T2338" s="1539"/>
      <c r="U2338" s="1539"/>
      <c r="V2338" s="1539"/>
      <c r="W2338" s="1539"/>
      <c r="X2338" s="1539"/>
      <c r="Y2338" s="1539"/>
      <c r="Z2338" s="1539"/>
      <c r="AA2338" s="1539"/>
      <c r="AB2338" s="1539"/>
      <c r="AC2338" s="1539"/>
      <c r="AD2338" s="1539"/>
      <c r="AE2338" s="1539"/>
      <c r="AF2338" s="1539"/>
      <c r="AG2338" s="1539"/>
      <c r="AH2338" s="1539"/>
      <c r="AI2338" s="1539"/>
      <c r="AJ2338" s="1539"/>
      <c r="AK2338" s="1539"/>
      <c r="AL2338" s="1539"/>
      <c r="AM2338" s="1539"/>
      <c r="AN2338" s="1539"/>
      <c r="AO2338" s="1539"/>
      <c r="AP2338" s="1539"/>
      <c r="AQ2338" s="1539"/>
      <c r="AR2338" s="1539"/>
      <c r="AS2338" s="1539"/>
      <c r="AT2338" s="1539"/>
      <c r="AU2338" s="1539"/>
      <c r="AV2338" s="1539"/>
      <c r="AW2338" s="1539"/>
      <c r="AX2338" s="1539"/>
      <c r="AY2338" s="1539"/>
      <c r="AZ2338" s="1539"/>
      <c r="BA2338" s="1539"/>
      <c r="BB2338" s="1539"/>
      <c r="BC2338" s="1539"/>
      <c r="BD2338" s="1539"/>
      <c r="BE2338" s="1539"/>
      <c r="BF2338" s="1539"/>
      <c r="BG2338" s="1539"/>
      <c r="BH2338" s="1539"/>
      <c r="BI2338" s="1539"/>
      <c r="BJ2338" s="1539"/>
      <c r="BK2338" s="1539"/>
      <c r="BL2338" s="1539"/>
      <c r="BM2338" s="1539"/>
      <c r="BN2338" s="1539"/>
      <c r="BO2338" s="1539"/>
      <c r="BP2338" s="1539"/>
      <c r="BQ2338" s="1539"/>
      <c r="BR2338" s="1539"/>
      <c r="BS2338" s="1539"/>
      <c r="BT2338" s="1539"/>
      <c r="BU2338" s="1539"/>
      <c r="BV2338" s="1539"/>
      <c r="BW2338" s="1539"/>
      <c r="BX2338" s="1539"/>
      <c r="BY2338" s="1539"/>
      <c r="BZ2338" s="1539"/>
      <c r="CA2338" s="1539"/>
      <c r="CB2338" s="1539"/>
      <c r="CC2338" s="1539"/>
      <c r="CD2338" s="1539"/>
      <c r="CE2338" s="1539"/>
      <c r="CF2338" s="1539"/>
      <c r="CG2338" s="1539"/>
      <c r="CH2338" s="1539"/>
      <c r="CI2338" s="1539"/>
      <c r="CJ2338" s="1539"/>
      <c r="CK2338" s="1539"/>
      <c r="CL2338" s="1539"/>
      <c r="CM2338" s="1539"/>
      <c r="CN2338" s="1539"/>
      <c r="CO2338" s="1539"/>
    </row>
    <row r="2339" spans="1:93" ht="15.5">
      <c r="A2339" s="1598">
        <v>51.215000000000003</v>
      </c>
      <c r="B2339" s="1599" t="s">
        <v>1766</v>
      </c>
      <c r="C2339" s="1643" t="e">
        <f>+SUMIF(#REF!,Final!A2339,#REF!)</f>
        <v>#REF!</v>
      </c>
      <c r="D2339" s="1597" t="e">
        <f>+SUMIF(#REF!,Final!A2339,#REF!)</f>
        <v>#REF!</v>
      </c>
      <c r="E2339" s="1643" t="e">
        <f>SUMIF(#REF!,Final!A2339,#REF!)</f>
        <v>#REF!</v>
      </c>
      <c r="F2339" s="1644" t="e">
        <f>SUMIF(#REF!,Final!A2339,#REF!)</f>
        <v>#REF!</v>
      </c>
      <c r="G2339" s="1597" t="e">
        <f t="shared" si="248"/>
        <v>#REF!</v>
      </c>
      <c r="H2339" s="1644" t="e">
        <f t="shared" si="249"/>
        <v>#REF!</v>
      </c>
      <c r="I2339" s="1597" t="e">
        <f t="shared" si="250"/>
        <v>#REF!</v>
      </c>
      <c r="J2339" s="1644" t="e">
        <f t="shared" si="251"/>
        <v>#REF!</v>
      </c>
      <c r="M2339" s="1545"/>
      <c r="N2339" s="1545"/>
    </row>
    <row r="2340" spans="1:93" s="1552" customFormat="1" ht="15.5">
      <c r="A2340" s="1598"/>
      <c r="B2340" s="1599" t="s">
        <v>1747</v>
      </c>
      <c r="C2340" s="1643" t="e">
        <f>+SUMIF(#REF!,Final!A2340,#REF!)</f>
        <v>#REF!</v>
      </c>
      <c r="D2340" s="1597" t="e">
        <f>+SUMIF(#REF!,Final!A2340,#REF!)</f>
        <v>#REF!</v>
      </c>
      <c r="E2340" s="1643" t="e">
        <f>SUMIF(#REF!,Final!A2340,#REF!)</f>
        <v>#REF!</v>
      </c>
      <c r="F2340" s="1644" t="e">
        <f>SUMIF(#REF!,Final!A2340,#REF!)</f>
        <v>#REF!</v>
      </c>
      <c r="G2340" s="1597" t="e">
        <f t="shared" si="248"/>
        <v>#REF!</v>
      </c>
      <c r="H2340" s="1644" t="e">
        <f t="shared" si="249"/>
        <v>#REF!</v>
      </c>
      <c r="I2340" s="1597" t="e">
        <f t="shared" si="250"/>
        <v>#REF!</v>
      </c>
      <c r="J2340" s="1644" t="e">
        <f t="shared" si="251"/>
        <v>#REF!</v>
      </c>
      <c r="K2340" s="1539"/>
      <c r="L2340" s="1539"/>
      <c r="M2340" s="1545"/>
      <c r="N2340" s="1545"/>
      <c r="O2340" s="1539"/>
      <c r="P2340" s="1539"/>
      <c r="Q2340" s="1539"/>
      <c r="R2340" s="1539"/>
      <c r="S2340" s="1539"/>
      <c r="T2340" s="1539"/>
      <c r="U2340" s="1539"/>
      <c r="V2340" s="1539"/>
      <c r="W2340" s="1539"/>
      <c r="X2340" s="1539"/>
      <c r="Y2340" s="1539"/>
      <c r="Z2340" s="1539"/>
      <c r="AA2340" s="1539"/>
      <c r="AB2340" s="1539"/>
      <c r="AC2340" s="1539"/>
      <c r="AD2340" s="1539"/>
      <c r="AE2340" s="1539"/>
      <c r="AF2340" s="1539"/>
      <c r="AG2340" s="1539"/>
      <c r="AH2340" s="1539"/>
      <c r="AI2340" s="1539"/>
      <c r="AJ2340" s="1539"/>
      <c r="AK2340" s="1539"/>
      <c r="AL2340" s="1539"/>
      <c r="AM2340" s="1539"/>
      <c r="AN2340" s="1539"/>
      <c r="AO2340" s="1539"/>
      <c r="AP2340" s="1539"/>
      <c r="AQ2340" s="1539"/>
      <c r="AR2340" s="1539"/>
      <c r="AS2340" s="1539"/>
      <c r="AT2340" s="1539"/>
      <c r="AU2340" s="1539"/>
      <c r="AV2340" s="1539"/>
      <c r="AW2340" s="1539"/>
      <c r="AX2340" s="1539"/>
      <c r="AY2340" s="1539"/>
      <c r="AZ2340" s="1539"/>
      <c r="BA2340" s="1539"/>
      <c r="BB2340" s="1539"/>
      <c r="BC2340" s="1539"/>
      <c r="BD2340" s="1539"/>
      <c r="BE2340" s="1539"/>
      <c r="BF2340" s="1539"/>
      <c r="BG2340" s="1539"/>
      <c r="BH2340" s="1539"/>
      <c r="BI2340" s="1539"/>
      <c r="BJ2340" s="1539"/>
      <c r="BK2340" s="1539"/>
      <c r="BL2340" s="1539"/>
      <c r="BM2340" s="1539"/>
      <c r="BN2340" s="1539"/>
      <c r="BO2340" s="1539"/>
      <c r="BP2340" s="1539"/>
      <c r="BQ2340" s="1539"/>
      <c r="BR2340" s="1539"/>
      <c r="BS2340" s="1539"/>
      <c r="BT2340" s="1539"/>
      <c r="BU2340" s="1539"/>
      <c r="BV2340" s="1539"/>
      <c r="BW2340" s="1539"/>
      <c r="BX2340" s="1539"/>
      <c r="BY2340" s="1539"/>
      <c r="BZ2340" s="1539"/>
      <c r="CA2340" s="1539"/>
      <c r="CB2340" s="1539"/>
      <c r="CC2340" s="1539"/>
      <c r="CD2340" s="1539"/>
      <c r="CE2340" s="1539"/>
      <c r="CF2340" s="1539"/>
      <c r="CG2340" s="1539"/>
      <c r="CH2340" s="1539"/>
      <c r="CI2340" s="1539"/>
      <c r="CJ2340" s="1539"/>
      <c r="CK2340" s="1539"/>
      <c r="CL2340" s="1539"/>
      <c r="CM2340" s="1539"/>
      <c r="CN2340" s="1539"/>
      <c r="CO2340" s="1539"/>
    </row>
    <row r="2341" spans="1:93" s="1552" customFormat="1" ht="15.5">
      <c r="A2341" s="1598" t="s">
        <v>3464</v>
      </c>
      <c r="B2341" s="1599" t="s">
        <v>1760</v>
      </c>
      <c r="C2341" s="1643" t="e">
        <f>+SUMIF(#REF!,Final!A2341,#REF!)</f>
        <v>#REF!</v>
      </c>
      <c r="D2341" s="1597" t="e">
        <f>+SUMIF(#REF!,Final!A2341,#REF!)</f>
        <v>#REF!</v>
      </c>
      <c r="E2341" s="1643" t="e">
        <f>SUMIF(#REF!,Final!A2341,#REF!)</f>
        <v>#REF!</v>
      </c>
      <c r="F2341" s="1644" t="e">
        <f>SUMIF(#REF!,Final!A2341,#REF!)</f>
        <v>#REF!</v>
      </c>
      <c r="G2341" s="1597" t="e">
        <f t="shared" si="248"/>
        <v>#REF!</v>
      </c>
      <c r="H2341" s="1644" t="e">
        <f t="shared" si="249"/>
        <v>#REF!</v>
      </c>
      <c r="I2341" s="1597" t="e">
        <f t="shared" si="250"/>
        <v>#REF!</v>
      </c>
      <c r="J2341" s="1644" t="e">
        <f t="shared" si="251"/>
        <v>#REF!</v>
      </c>
      <c r="K2341" s="1539"/>
      <c r="L2341" s="1539"/>
      <c r="M2341" s="1545"/>
      <c r="N2341" s="1545"/>
      <c r="O2341" s="1539"/>
      <c r="P2341" s="1539"/>
      <c r="Q2341" s="1539"/>
      <c r="R2341" s="1539"/>
      <c r="S2341" s="1539"/>
      <c r="T2341" s="1539"/>
      <c r="U2341" s="1539"/>
      <c r="V2341" s="1539"/>
      <c r="W2341" s="1539"/>
      <c r="X2341" s="1539"/>
      <c r="Y2341" s="1539"/>
      <c r="Z2341" s="1539"/>
      <c r="AA2341" s="1539"/>
      <c r="AB2341" s="1539"/>
      <c r="AC2341" s="1539"/>
      <c r="AD2341" s="1539"/>
      <c r="AE2341" s="1539"/>
      <c r="AF2341" s="1539"/>
      <c r="AG2341" s="1539"/>
      <c r="AH2341" s="1539"/>
      <c r="AI2341" s="1539"/>
      <c r="AJ2341" s="1539"/>
      <c r="AK2341" s="1539"/>
      <c r="AL2341" s="1539"/>
      <c r="AM2341" s="1539"/>
      <c r="AN2341" s="1539"/>
      <c r="AO2341" s="1539"/>
      <c r="AP2341" s="1539"/>
      <c r="AQ2341" s="1539"/>
      <c r="AR2341" s="1539"/>
      <c r="AS2341" s="1539"/>
      <c r="AT2341" s="1539"/>
      <c r="AU2341" s="1539"/>
      <c r="AV2341" s="1539"/>
      <c r="AW2341" s="1539"/>
      <c r="AX2341" s="1539"/>
      <c r="AY2341" s="1539"/>
      <c r="AZ2341" s="1539"/>
      <c r="BA2341" s="1539"/>
      <c r="BB2341" s="1539"/>
      <c r="BC2341" s="1539"/>
      <c r="BD2341" s="1539"/>
      <c r="BE2341" s="1539"/>
      <c r="BF2341" s="1539"/>
      <c r="BG2341" s="1539"/>
      <c r="BH2341" s="1539"/>
      <c r="BI2341" s="1539"/>
      <c r="BJ2341" s="1539"/>
      <c r="BK2341" s="1539"/>
      <c r="BL2341" s="1539"/>
      <c r="BM2341" s="1539"/>
      <c r="BN2341" s="1539"/>
      <c r="BO2341" s="1539"/>
      <c r="BP2341" s="1539"/>
      <c r="BQ2341" s="1539"/>
      <c r="BR2341" s="1539"/>
      <c r="BS2341" s="1539"/>
      <c r="BT2341" s="1539"/>
      <c r="BU2341" s="1539"/>
      <c r="BV2341" s="1539"/>
      <c r="BW2341" s="1539"/>
      <c r="BX2341" s="1539"/>
      <c r="BY2341" s="1539"/>
      <c r="BZ2341" s="1539"/>
      <c r="CA2341" s="1539"/>
      <c r="CB2341" s="1539"/>
      <c r="CC2341" s="1539"/>
      <c r="CD2341" s="1539"/>
      <c r="CE2341" s="1539"/>
      <c r="CF2341" s="1539"/>
      <c r="CG2341" s="1539"/>
      <c r="CH2341" s="1539"/>
      <c r="CI2341" s="1539"/>
      <c r="CJ2341" s="1539"/>
      <c r="CK2341" s="1539"/>
      <c r="CL2341" s="1539"/>
      <c r="CM2341" s="1539"/>
      <c r="CN2341" s="1539"/>
      <c r="CO2341" s="1539"/>
    </row>
    <row r="2342" spans="1:93" s="1542" customFormat="1" ht="15.5">
      <c r="A2342" s="1598">
        <v>18</v>
      </c>
      <c r="B2342" s="1599" t="s">
        <v>3460</v>
      </c>
      <c r="C2342" s="1643" t="e">
        <f>+SUMIF(#REF!,Final!A2342,#REF!)</f>
        <v>#REF!</v>
      </c>
      <c r="D2342" s="1597" t="e">
        <f>+SUMIF(#REF!,Final!A2342,#REF!)</f>
        <v>#REF!</v>
      </c>
      <c r="E2342" s="1643" t="e">
        <f>SUMIF(#REF!,Final!A2342,#REF!)</f>
        <v>#REF!</v>
      </c>
      <c r="F2342" s="1644" t="e">
        <f>SUMIF(#REF!,Final!A2342,#REF!)</f>
        <v>#REF!</v>
      </c>
      <c r="G2342" s="1597" t="e">
        <f t="shared" si="248"/>
        <v>#REF!</v>
      </c>
      <c r="H2342" s="1644" t="e">
        <f t="shared" si="249"/>
        <v>#REF!</v>
      </c>
      <c r="I2342" s="1597" t="e">
        <f t="shared" si="250"/>
        <v>#REF!</v>
      </c>
      <c r="J2342" s="1644" t="e">
        <f t="shared" si="251"/>
        <v>#REF!</v>
      </c>
      <c r="K2342" s="1539"/>
      <c r="L2342" s="1539"/>
      <c r="M2342" s="1545"/>
      <c r="N2342" s="1545"/>
      <c r="O2342" s="1539"/>
      <c r="P2342" s="1539"/>
      <c r="Q2342" s="1539"/>
      <c r="R2342" s="1539"/>
      <c r="S2342" s="1539"/>
      <c r="T2342" s="1539"/>
      <c r="U2342" s="1539"/>
      <c r="V2342" s="1539"/>
      <c r="W2342" s="1539"/>
      <c r="X2342" s="1539"/>
      <c r="Y2342" s="1539"/>
      <c r="Z2342" s="1539"/>
      <c r="AA2342" s="1539"/>
      <c r="AB2342" s="1539"/>
      <c r="AC2342" s="1539"/>
      <c r="AD2342" s="1539"/>
      <c r="AE2342" s="1539"/>
      <c r="AF2342" s="1539"/>
      <c r="AG2342" s="1539"/>
      <c r="AH2342" s="1539"/>
      <c r="AI2342" s="1539"/>
      <c r="AJ2342" s="1539"/>
      <c r="AK2342" s="1539"/>
      <c r="AL2342" s="1539"/>
      <c r="AM2342" s="1539"/>
      <c r="AN2342" s="1539"/>
      <c r="AO2342" s="1539"/>
      <c r="AP2342" s="1539"/>
      <c r="AQ2342" s="1539"/>
      <c r="AR2342" s="1539"/>
      <c r="AS2342" s="1539"/>
      <c r="AT2342" s="1539"/>
      <c r="AU2342" s="1539"/>
      <c r="AV2342" s="1539"/>
      <c r="AW2342" s="1539"/>
      <c r="AX2342" s="1539"/>
      <c r="AY2342" s="1539"/>
      <c r="AZ2342" s="1539"/>
      <c r="BA2342" s="1539"/>
      <c r="BB2342" s="1539"/>
      <c r="BC2342" s="1539"/>
      <c r="BD2342" s="1539"/>
      <c r="BE2342" s="1539"/>
      <c r="BF2342" s="1539"/>
      <c r="BG2342" s="1539"/>
      <c r="BH2342" s="1539"/>
      <c r="BI2342" s="1539"/>
      <c r="BJ2342" s="1539"/>
      <c r="BK2342" s="1539"/>
      <c r="BL2342" s="1539"/>
      <c r="BM2342" s="1539"/>
      <c r="BN2342" s="1539"/>
      <c r="BO2342" s="1539"/>
      <c r="BP2342" s="1539"/>
      <c r="BQ2342" s="1539"/>
      <c r="BR2342" s="1539"/>
      <c r="BS2342" s="1539"/>
      <c r="BT2342" s="1539"/>
      <c r="BU2342" s="1539"/>
      <c r="BV2342" s="1539"/>
      <c r="BW2342" s="1539"/>
      <c r="BX2342" s="1539"/>
      <c r="BY2342" s="1539"/>
      <c r="BZ2342" s="1539"/>
      <c r="CA2342" s="1539"/>
      <c r="CB2342" s="1539"/>
      <c r="CC2342" s="1539"/>
      <c r="CD2342" s="1539"/>
      <c r="CE2342" s="1539"/>
      <c r="CF2342" s="1539"/>
      <c r="CG2342" s="1539"/>
      <c r="CH2342" s="1539"/>
      <c r="CI2342" s="1539"/>
      <c r="CJ2342" s="1539"/>
      <c r="CK2342" s="1539"/>
      <c r="CL2342" s="1539"/>
      <c r="CM2342" s="1539"/>
      <c r="CN2342" s="1539"/>
      <c r="CO2342" s="1539"/>
    </row>
    <row r="2343" spans="1:93" s="1542" customFormat="1" ht="15.5">
      <c r="A2343" s="1598" t="s">
        <v>1830</v>
      </c>
      <c r="B2343" s="1599" t="s">
        <v>1772</v>
      </c>
      <c r="C2343" s="1643" t="e">
        <f>+SUMIF(#REF!,Final!A2343,#REF!)</f>
        <v>#REF!</v>
      </c>
      <c r="D2343" s="1597" t="e">
        <f>+SUMIF(#REF!,Final!A2343,#REF!)</f>
        <v>#REF!</v>
      </c>
      <c r="E2343" s="1643" t="e">
        <f>SUMIF(#REF!,Final!A2343,#REF!)</f>
        <v>#REF!</v>
      </c>
      <c r="F2343" s="1644" t="e">
        <f>SUMIF(#REF!,Final!A2343,#REF!)</f>
        <v>#REF!</v>
      </c>
      <c r="G2343" s="1597" t="e">
        <f t="shared" si="248"/>
        <v>#REF!</v>
      </c>
      <c r="H2343" s="1644" t="e">
        <f t="shared" si="249"/>
        <v>#REF!</v>
      </c>
      <c r="I2343" s="1597" t="e">
        <f t="shared" si="250"/>
        <v>#REF!</v>
      </c>
      <c r="J2343" s="1644" t="e">
        <f t="shared" si="251"/>
        <v>#REF!</v>
      </c>
      <c r="K2343" s="1539"/>
      <c r="L2343" s="1539"/>
      <c r="M2343" s="1545"/>
      <c r="N2343" s="1545"/>
      <c r="O2343" s="1539"/>
      <c r="P2343" s="1539"/>
      <c r="Q2343" s="1539"/>
      <c r="R2343" s="1539"/>
      <c r="S2343" s="1539"/>
      <c r="T2343" s="1539"/>
      <c r="U2343" s="1539"/>
      <c r="V2343" s="1539"/>
      <c r="W2343" s="1539"/>
      <c r="X2343" s="1539"/>
      <c r="Y2343" s="1539"/>
      <c r="Z2343" s="1539"/>
      <c r="AA2343" s="1539"/>
      <c r="AB2343" s="1539"/>
      <c r="AC2343" s="1539"/>
      <c r="AD2343" s="1539"/>
      <c r="AE2343" s="1539"/>
      <c r="AF2343" s="1539"/>
      <c r="AG2343" s="1539"/>
      <c r="AH2343" s="1539"/>
      <c r="AI2343" s="1539"/>
      <c r="AJ2343" s="1539"/>
      <c r="AK2343" s="1539"/>
      <c r="AL2343" s="1539"/>
      <c r="AM2343" s="1539"/>
      <c r="AN2343" s="1539"/>
      <c r="AO2343" s="1539"/>
      <c r="AP2343" s="1539"/>
      <c r="AQ2343" s="1539"/>
      <c r="AR2343" s="1539"/>
      <c r="AS2343" s="1539"/>
      <c r="AT2343" s="1539"/>
      <c r="AU2343" s="1539"/>
      <c r="AV2343" s="1539"/>
      <c r="AW2343" s="1539"/>
      <c r="AX2343" s="1539"/>
      <c r="AY2343" s="1539"/>
      <c r="AZ2343" s="1539"/>
      <c r="BA2343" s="1539"/>
      <c r="BB2343" s="1539"/>
      <c r="BC2343" s="1539"/>
      <c r="BD2343" s="1539"/>
      <c r="BE2343" s="1539"/>
      <c r="BF2343" s="1539"/>
      <c r="BG2343" s="1539"/>
      <c r="BH2343" s="1539"/>
      <c r="BI2343" s="1539"/>
      <c r="BJ2343" s="1539"/>
      <c r="BK2343" s="1539"/>
      <c r="BL2343" s="1539"/>
      <c r="BM2343" s="1539"/>
      <c r="BN2343" s="1539"/>
      <c r="BO2343" s="1539"/>
      <c r="BP2343" s="1539"/>
      <c r="BQ2343" s="1539"/>
      <c r="BR2343" s="1539"/>
      <c r="BS2343" s="1539"/>
      <c r="BT2343" s="1539"/>
      <c r="BU2343" s="1539"/>
      <c r="BV2343" s="1539"/>
      <c r="BW2343" s="1539"/>
      <c r="BX2343" s="1539"/>
      <c r="BY2343" s="1539"/>
      <c r="BZ2343" s="1539"/>
      <c r="CA2343" s="1539"/>
      <c r="CB2343" s="1539"/>
      <c r="CC2343" s="1539"/>
      <c r="CD2343" s="1539"/>
      <c r="CE2343" s="1539"/>
      <c r="CF2343" s="1539"/>
      <c r="CG2343" s="1539"/>
      <c r="CH2343" s="1539"/>
      <c r="CI2343" s="1539"/>
      <c r="CJ2343" s="1539"/>
      <c r="CK2343" s="1539"/>
      <c r="CL2343" s="1539"/>
      <c r="CM2343" s="1539"/>
      <c r="CN2343" s="1539"/>
      <c r="CO2343" s="1539"/>
    </row>
    <row r="2344" spans="1:93" ht="15.5">
      <c r="A2344" s="1598">
        <v>51.220999999999997</v>
      </c>
      <c r="B2344" s="1599" t="s">
        <v>1772</v>
      </c>
      <c r="C2344" s="1643" t="e">
        <f>+SUMIF(#REF!,Final!A2344,#REF!)</f>
        <v>#REF!</v>
      </c>
      <c r="D2344" s="1597" t="e">
        <f>+SUMIF(#REF!,Final!A2344,#REF!)</f>
        <v>#REF!</v>
      </c>
      <c r="E2344" s="1643" t="e">
        <f>SUMIF(#REF!,Final!A2344,#REF!)</f>
        <v>#REF!</v>
      </c>
      <c r="F2344" s="1644" t="e">
        <f>SUMIF(#REF!,Final!A2344,#REF!)</f>
        <v>#REF!</v>
      </c>
      <c r="G2344" s="1597" t="e">
        <f t="shared" si="248"/>
        <v>#REF!</v>
      </c>
      <c r="H2344" s="1644" t="e">
        <f t="shared" si="249"/>
        <v>#REF!</v>
      </c>
      <c r="I2344" s="1597" t="e">
        <f t="shared" si="250"/>
        <v>#REF!</v>
      </c>
      <c r="J2344" s="1644" t="e">
        <f t="shared" si="251"/>
        <v>#REF!</v>
      </c>
      <c r="M2344" s="1545"/>
      <c r="N2344" s="1545"/>
    </row>
    <row r="2345" spans="1:93" s="1552" customFormat="1" ht="15.5">
      <c r="A2345" s="1598"/>
      <c r="B2345" s="1599" t="s">
        <v>1747</v>
      </c>
      <c r="C2345" s="1643" t="e">
        <f>+SUMIF(#REF!,Final!A2345,#REF!)</f>
        <v>#REF!</v>
      </c>
      <c r="D2345" s="1597" t="e">
        <f>+SUMIF(#REF!,Final!A2345,#REF!)</f>
        <v>#REF!</v>
      </c>
      <c r="E2345" s="1643" t="e">
        <f>SUMIF(#REF!,Final!A2345,#REF!)</f>
        <v>#REF!</v>
      </c>
      <c r="F2345" s="1644" t="e">
        <f>SUMIF(#REF!,Final!A2345,#REF!)</f>
        <v>#REF!</v>
      </c>
      <c r="G2345" s="1597" t="e">
        <f t="shared" si="248"/>
        <v>#REF!</v>
      </c>
      <c r="H2345" s="1644" t="e">
        <f t="shared" si="249"/>
        <v>#REF!</v>
      </c>
      <c r="I2345" s="1597" t="e">
        <f t="shared" si="250"/>
        <v>#REF!</v>
      </c>
      <c r="J2345" s="1644" t="e">
        <f t="shared" si="251"/>
        <v>#REF!</v>
      </c>
      <c r="K2345" s="1539"/>
      <c r="L2345" s="1539"/>
      <c r="M2345" s="1545"/>
      <c r="N2345" s="1545"/>
      <c r="O2345" s="1539"/>
      <c r="P2345" s="1539"/>
      <c r="Q2345" s="1539"/>
      <c r="R2345" s="1539"/>
      <c r="S2345" s="1539"/>
      <c r="T2345" s="1539"/>
      <c r="U2345" s="1539"/>
      <c r="V2345" s="1539"/>
      <c r="W2345" s="1539"/>
      <c r="X2345" s="1539"/>
      <c r="Y2345" s="1539"/>
      <c r="Z2345" s="1539"/>
      <c r="AA2345" s="1539"/>
      <c r="AB2345" s="1539"/>
      <c r="AC2345" s="1539"/>
      <c r="AD2345" s="1539"/>
      <c r="AE2345" s="1539"/>
      <c r="AF2345" s="1539"/>
      <c r="AG2345" s="1539"/>
      <c r="AH2345" s="1539"/>
      <c r="AI2345" s="1539"/>
      <c r="AJ2345" s="1539"/>
      <c r="AK2345" s="1539"/>
      <c r="AL2345" s="1539"/>
      <c r="AM2345" s="1539"/>
      <c r="AN2345" s="1539"/>
      <c r="AO2345" s="1539"/>
      <c r="AP2345" s="1539"/>
      <c r="AQ2345" s="1539"/>
      <c r="AR2345" s="1539"/>
      <c r="AS2345" s="1539"/>
      <c r="AT2345" s="1539"/>
      <c r="AU2345" s="1539"/>
      <c r="AV2345" s="1539"/>
      <c r="AW2345" s="1539"/>
      <c r="AX2345" s="1539"/>
      <c r="AY2345" s="1539"/>
      <c r="AZ2345" s="1539"/>
      <c r="BA2345" s="1539"/>
      <c r="BB2345" s="1539"/>
      <c r="BC2345" s="1539"/>
      <c r="BD2345" s="1539"/>
      <c r="BE2345" s="1539"/>
      <c r="BF2345" s="1539"/>
      <c r="BG2345" s="1539"/>
      <c r="BH2345" s="1539"/>
      <c r="BI2345" s="1539"/>
      <c r="BJ2345" s="1539"/>
      <c r="BK2345" s="1539"/>
      <c r="BL2345" s="1539"/>
      <c r="BM2345" s="1539"/>
      <c r="BN2345" s="1539"/>
      <c r="BO2345" s="1539"/>
      <c r="BP2345" s="1539"/>
      <c r="BQ2345" s="1539"/>
      <c r="BR2345" s="1539"/>
      <c r="BS2345" s="1539"/>
      <c r="BT2345" s="1539"/>
      <c r="BU2345" s="1539"/>
      <c r="BV2345" s="1539"/>
      <c r="BW2345" s="1539"/>
      <c r="BX2345" s="1539"/>
      <c r="BY2345" s="1539"/>
      <c r="BZ2345" s="1539"/>
      <c r="CA2345" s="1539"/>
      <c r="CB2345" s="1539"/>
      <c r="CC2345" s="1539"/>
      <c r="CD2345" s="1539"/>
      <c r="CE2345" s="1539"/>
      <c r="CF2345" s="1539"/>
      <c r="CG2345" s="1539"/>
      <c r="CH2345" s="1539"/>
      <c r="CI2345" s="1539"/>
      <c r="CJ2345" s="1539"/>
      <c r="CK2345" s="1539"/>
      <c r="CL2345" s="1539"/>
      <c r="CM2345" s="1539"/>
      <c r="CN2345" s="1539"/>
      <c r="CO2345" s="1539"/>
    </row>
    <row r="2346" spans="1:93" s="1552" customFormat="1" ht="15.5">
      <c r="A2346" s="1598"/>
      <c r="B2346" s="1599" t="s">
        <v>1760</v>
      </c>
      <c r="C2346" s="1643" t="e">
        <f>+SUMIF(#REF!,Final!A2346,#REF!)</f>
        <v>#REF!</v>
      </c>
      <c r="D2346" s="1597" t="e">
        <f>+SUMIF(#REF!,Final!A2346,#REF!)</f>
        <v>#REF!</v>
      </c>
      <c r="E2346" s="1643" t="e">
        <f>SUMIF(#REF!,Final!A2346,#REF!)</f>
        <v>#REF!</v>
      </c>
      <c r="F2346" s="1644" t="e">
        <f>SUMIF(#REF!,Final!A2346,#REF!)</f>
        <v>#REF!</v>
      </c>
      <c r="G2346" s="1597" t="e">
        <f t="shared" si="248"/>
        <v>#REF!</v>
      </c>
      <c r="H2346" s="1644" t="e">
        <f t="shared" si="249"/>
        <v>#REF!</v>
      </c>
      <c r="I2346" s="1597" t="e">
        <f t="shared" si="250"/>
        <v>#REF!</v>
      </c>
      <c r="J2346" s="1644" t="e">
        <f t="shared" si="251"/>
        <v>#REF!</v>
      </c>
      <c r="K2346" s="1539"/>
      <c r="L2346" s="1539"/>
      <c r="M2346" s="1545"/>
      <c r="N2346" s="1545"/>
      <c r="O2346" s="1539"/>
      <c r="P2346" s="1539"/>
      <c r="Q2346" s="1539"/>
      <c r="R2346" s="1539"/>
      <c r="S2346" s="1539"/>
      <c r="T2346" s="1539"/>
      <c r="U2346" s="1539"/>
      <c r="V2346" s="1539"/>
      <c r="W2346" s="1539"/>
      <c r="X2346" s="1539"/>
      <c r="Y2346" s="1539"/>
      <c r="Z2346" s="1539"/>
      <c r="AA2346" s="1539"/>
      <c r="AB2346" s="1539"/>
      <c r="AC2346" s="1539"/>
      <c r="AD2346" s="1539"/>
      <c r="AE2346" s="1539"/>
      <c r="AF2346" s="1539"/>
      <c r="AG2346" s="1539"/>
      <c r="AH2346" s="1539"/>
      <c r="AI2346" s="1539"/>
      <c r="AJ2346" s="1539"/>
      <c r="AK2346" s="1539"/>
      <c r="AL2346" s="1539"/>
      <c r="AM2346" s="1539"/>
      <c r="AN2346" s="1539"/>
      <c r="AO2346" s="1539"/>
      <c r="AP2346" s="1539"/>
      <c r="AQ2346" s="1539"/>
      <c r="AR2346" s="1539"/>
      <c r="AS2346" s="1539"/>
      <c r="AT2346" s="1539"/>
      <c r="AU2346" s="1539"/>
      <c r="AV2346" s="1539"/>
      <c r="AW2346" s="1539"/>
      <c r="AX2346" s="1539"/>
      <c r="AY2346" s="1539"/>
      <c r="AZ2346" s="1539"/>
      <c r="BA2346" s="1539"/>
      <c r="BB2346" s="1539"/>
      <c r="BC2346" s="1539"/>
      <c r="BD2346" s="1539"/>
      <c r="BE2346" s="1539"/>
      <c r="BF2346" s="1539"/>
      <c r="BG2346" s="1539"/>
      <c r="BH2346" s="1539"/>
      <c r="BI2346" s="1539"/>
      <c r="BJ2346" s="1539"/>
      <c r="BK2346" s="1539"/>
      <c r="BL2346" s="1539"/>
      <c r="BM2346" s="1539"/>
      <c r="BN2346" s="1539"/>
      <c r="BO2346" s="1539"/>
      <c r="BP2346" s="1539"/>
      <c r="BQ2346" s="1539"/>
      <c r="BR2346" s="1539"/>
      <c r="BS2346" s="1539"/>
      <c r="BT2346" s="1539"/>
      <c r="BU2346" s="1539"/>
      <c r="BV2346" s="1539"/>
      <c r="BW2346" s="1539"/>
      <c r="BX2346" s="1539"/>
      <c r="BY2346" s="1539"/>
      <c r="BZ2346" s="1539"/>
      <c r="CA2346" s="1539"/>
      <c r="CB2346" s="1539"/>
      <c r="CC2346" s="1539"/>
      <c r="CD2346" s="1539"/>
      <c r="CE2346" s="1539"/>
      <c r="CF2346" s="1539"/>
      <c r="CG2346" s="1539"/>
      <c r="CH2346" s="1539"/>
      <c r="CI2346" s="1539"/>
      <c r="CJ2346" s="1539"/>
      <c r="CK2346" s="1539"/>
      <c r="CL2346" s="1539"/>
      <c r="CM2346" s="1539"/>
      <c r="CN2346" s="1539"/>
      <c r="CO2346" s="1539"/>
    </row>
    <row r="2347" spans="1:93" s="1542" customFormat="1" ht="15.5">
      <c r="A2347" s="1598">
        <v>18</v>
      </c>
      <c r="B2347" s="1599" t="s">
        <v>3460</v>
      </c>
      <c r="C2347" s="1643" t="e">
        <f>+SUMIF(#REF!,Final!A2347,#REF!)</f>
        <v>#REF!</v>
      </c>
      <c r="D2347" s="1597" t="e">
        <f>+SUMIF(#REF!,Final!A2347,#REF!)</f>
        <v>#REF!</v>
      </c>
      <c r="E2347" s="1643" t="e">
        <f>SUMIF(#REF!,Final!A2347,#REF!)</f>
        <v>#REF!</v>
      </c>
      <c r="F2347" s="1644" t="e">
        <f>SUMIF(#REF!,Final!A2347,#REF!)</f>
        <v>#REF!</v>
      </c>
      <c r="G2347" s="1597" t="e">
        <f t="shared" si="248"/>
        <v>#REF!</v>
      </c>
      <c r="H2347" s="1644" t="e">
        <f t="shared" si="249"/>
        <v>#REF!</v>
      </c>
      <c r="I2347" s="1597" t="e">
        <f t="shared" si="250"/>
        <v>#REF!</v>
      </c>
      <c r="J2347" s="1644" t="e">
        <f t="shared" si="251"/>
        <v>#REF!</v>
      </c>
      <c r="K2347" s="1539"/>
      <c r="L2347" s="1539"/>
      <c r="M2347" s="1545"/>
      <c r="N2347" s="1545"/>
      <c r="O2347" s="1539"/>
      <c r="P2347" s="1539"/>
      <c r="Q2347" s="1539"/>
      <c r="R2347" s="1539"/>
      <c r="S2347" s="1539"/>
      <c r="T2347" s="1539"/>
      <c r="U2347" s="1539"/>
      <c r="V2347" s="1539"/>
      <c r="W2347" s="1539"/>
      <c r="X2347" s="1539"/>
      <c r="Y2347" s="1539"/>
      <c r="Z2347" s="1539"/>
      <c r="AA2347" s="1539"/>
      <c r="AB2347" s="1539"/>
      <c r="AC2347" s="1539"/>
      <c r="AD2347" s="1539"/>
      <c r="AE2347" s="1539"/>
      <c r="AF2347" s="1539"/>
      <c r="AG2347" s="1539"/>
      <c r="AH2347" s="1539"/>
      <c r="AI2347" s="1539"/>
      <c r="AJ2347" s="1539"/>
      <c r="AK2347" s="1539"/>
      <c r="AL2347" s="1539"/>
      <c r="AM2347" s="1539"/>
      <c r="AN2347" s="1539"/>
      <c r="AO2347" s="1539"/>
      <c r="AP2347" s="1539"/>
      <c r="AQ2347" s="1539"/>
      <c r="AR2347" s="1539"/>
      <c r="AS2347" s="1539"/>
      <c r="AT2347" s="1539"/>
      <c r="AU2347" s="1539"/>
      <c r="AV2347" s="1539"/>
      <c r="AW2347" s="1539"/>
      <c r="AX2347" s="1539"/>
      <c r="AY2347" s="1539"/>
      <c r="AZ2347" s="1539"/>
      <c r="BA2347" s="1539"/>
      <c r="BB2347" s="1539"/>
      <c r="BC2347" s="1539"/>
      <c r="BD2347" s="1539"/>
      <c r="BE2347" s="1539"/>
      <c r="BF2347" s="1539"/>
      <c r="BG2347" s="1539"/>
      <c r="BH2347" s="1539"/>
      <c r="BI2347" s="1539"/>
      <c r="BJ2347" s="1539"/>
      <c r="BK2347" s="1539"/>
      <c r="BL2347" s="1539"/>
      <c r="BM2347" s="1539"/>
      <c r="BN2347" s="1539"/>
      <c r="BO2347" s="1539"/>
      <c r="BP2347" s="1539"/>
      <c r="BQ2347" s="1539"/>
      <c r="BR2347" s="1539"/>
      <c r="BS2347" s="1539"/>
      <c r="BT2347" s="1539"/>
      <c r="BU2347" s="1539"/>
      <c r="BV2347" s="1539"/>
      <c r="BW2347" s="1539"/>
      <c r="BX2347" s="1539"/>
      <c r="BY2347" s="1539"/>
      <c r="BZ2347" s="1539"/>
      <c r="CA2347" s="1539"/>
      <c r="CB2347" s="1539"/>
      <c r="CC2347" s="1539"/>
      <c r="CD2347" s="1539"/>
      <c r="CE2347" s="1539"/>
      <c r="CF2347" s="1539"/>
      <c r="CG2347" s="1539"/>
      <c r="CH2347" s="1539"/>
      <c r="CI2347" s="1539"/>
      <c r="CJ2347" s="1539"/>
      <c r="CK2347" s="1539"/>
      <c r="CL2347" s="1539"/>
      <c r="CM2347" s="1539"/>
      <c r="CN2347" s="1539"/>
      <c r="CO2347" s="1539"/>
    </row>
    <row r="2348" spans="1:93" s="1542" customFormat="1" ht="15.5">
      <c r="A2348" s="1598" t="s">
        <v>1837</v>
      </c>
      <c r="B2348" s="1599" t="s">
        <v>3465</v>
      </c>
      <c r="C2348" s="1643" t="e">
        <f>+SUMIF(#REF!,Final!A2348,#REF!)</f>
        <v>#REF!</v>
      </c>
      <c r="D2348" s="1597" t="e">
        <f>+SUMIF(#REF!,Final!A2348,#REF!)</f>
        <v>#REF!</v>
      </c>
      <c r="E2348" s="1643" t="e">
        <f>SUMIF(#REF!,Final!A2348,#REF!)</f>
        <v>#REF!</v>
      </c>
      <c r="F2348" s="1644" t="e">
        <f>SUMIF(#REF!,Final!A2348,#REF!)</f>
        <v>#REF!</v>
      </c>
      <c r="G2348" s="1597" t="e">
        <f t="shared" si="248"/>
        <v>#REF!</v>
      </c>
      <c r="H2348" s="1644" t="e">
        <f t="shared" si="249"/>
        <v>#REF!</v>
      </c>
      <c r="I2348" s="1597" t="e">
        <f t="shared" si="250"/>
        <v>#REF!</v>
      </c>
      <c r="J2348" s="1644" t="e">
        <f t="shared" si="251"/>
        <v>#REF!</v>
      </c>
      <c r="K2348" s="1539"/>
      <c r="L2348" s="1539"/>
      <c r="M2348" s="1545"/>
      <c r="N2348" s="1545"/>
      <c r="O2348" s="1539"/>
      <c r="P2348" s="1539"/>
      <c r="Q2348" s="1539"/>
      <c r="R2348" s="1539"/>
      <c r="S2348" s="1539"/>
      <c r="T2348" s="1539"/>
      <c r="U2348" s="1539"/>
      <c r="V2348" s="1539"/>
      <c r="W2348" s="1539"/>
      <c r="X2348" s="1539"/>
      <c r="Y2348" s="1539"/>
      <c r="Z2348" s="1539"/>
      <c r="AA2348" s="1539"/>
      <c r="AB2348" s="1539"/>
      <c r="AC2348" s="1539"/>
      <c r="AD2348" s="1539"/>
      <c r="AE2348" s="1539"/>
      <c r="AF2348" s="1539"/>
      <c r="AG2348" s="1539"/>
      <c r="AH2348" s="1539"/>
      <c r="AI2348" s="1539"/>
      <c r="AJ2348" s="1539"/>
      <c r="AK2348" s="1539"/>
      <c r="AL2348" s="1539"/>
      <c r="AM2348" s="1539"/>
      <c r="AN2348" s="1539"/>
      <c r="AO2348" s="1539"/>
      <c r="AP2348" s="1539"/>
      <c r="AQ2348" s="1539"/>
      <c r="AR2348" s="1539"/>
      <c r="AS2348" s="1539"/>
      <c r="AT2348" s="1539"/>
      <c r="AU2348" s="1539"/>
      <c r="AV2348" s="1539"/>
      <c r="AW2348" s="1539"/>
      <c r="AX2348" s="1539"/>
      <c r="AY2348" s="1539"/>
      <c r="AZ2348" s="1539"/>
      <c r="BA2348" s="1539"/>
      <c r="BB2348" s="1539"/>
      <c r="BC2348" s="1539"/>
      <c r="BD2348" s="1539"/>
      <c r="BE2348" s="1539"/>
      <c r="BF2348" s="1539"/>
      <c r="BG2348" s="1539"/>
      <c r="BH2348" s="1539"/>
      <c r="BI2348" s="1539"/>
      <c r="BJ2348" s="1539"/>
      <c r="BK2348" s="1539"/>
      <c r="BL2348" s="1539"/>
      <c r="BM2348" s="1539"/>
      <c r="BN2348" s="1539"/>
      <c r="BO2348" s="1539"/>
      <c r="BP2348" s="1539"/>
      <c r="BQ2348" s="1539"/>
      <c r="BR2348" s="1539"/>
      <c r="BS2348" s="1539"/>
      <c r="BT2348" s="1539"/>
      <c r="BU2348" s="1539"/>
      <c r="BV2348" s="1539"/>
      <c r="BW2348" s="1539"/>
      <c r="BX2348" s="1539"/>
      <c r="BY2348" s="1539"/>
      <c r="BZ2348" s="1539"/>
      <c r="CA2348" s="1539"/>
      <c r="CB2348" s="1539"/>
      <c r="CC2348" s="1539"/>
      <c r="CD2348" s="1539"/>
      <c r="CE2348" s="1539"/>
      <c r="CF2348" s="1539"/>
      <c r="CG2348" s="1539"/>
      <c r="CH2348" s="1539"/>
      <c r="CI2348" s="1539"/>
      <c r="CJ2348" s="1539"/>
      <c r="CK2348" s="1539"/>
      <c r="CL2348" s="1539"/>
      <c r="CM2348" s="1539"/>
      <c r="CN2348" s="1539"/>
      <c r="CO2348" s="1539"/>
    </row>
    <row r="2349" spans="1:93" ht="15.5">
      <c r="A2349" s="1598">
        <v>51.222999999999999</v>
      </c>
      <c r="B2349" s="1599" t="s">
        <v>3465</v>
      </c>
      <c r="C2349" s="1643" t="e">
        <f>+SUMIF(#REF!,Final!A2349,#REF!)</f>
        <v>#REF!</v>
      </c>
      <c r="D2349" s="1597" t="e">
        <f>+SUMIF(#REF!,Final!A2349,#REF!)</f>
        <v>#REF!</v>
      </c>
      <c r="E2349" s="1643" t="e">
        <f>SUMIF(#REF!,Final!A2349,#REF!)</f>
        <v>#REF!</v>
      </c>
      <c r="F2349" s="1644" t="e">
        <f>SUMIF(#REF!,Final!A2349,#REF!)</f>
        <v>#REF!</v>
      </c>
      <c r="G2349" s="1597" t="e">
        <f t="shared" si="248"/>
        <v>#REF!</v>
      </c>
      <c r="H2349" s="1644" t="e">
        <f t="shared" si="249"/>
        <v>#REF!</v>
      </c>
      <c r="I2349" s="1597" t="e">
        <f t="shared" si="250"/>
        <v>#REF!</v>
      </c>
      <c r="J2349" s="1644" t="e">
        <f t="shared" si="251"/>
        <v>#REF!</v>
      </c>
      <c r="M2349" s="1545"/>
      <c r="N2349" s="1545"/>
    </row>
    <row r="2350" spans="1:93" s="1552" customFormat="1" ht="15.5">
      <c r="A2350" s="1598"/>
      <c r="B2350" s="1599" t="s">
        <v>1747</v>
      </c>
      <c r="C2350" s="1643" t="e">
        <f>+SUMIF(#REF!,Final!A2350,#REF!)</f>
        <v>#REF!</v>
      </c>
      <c r="D2350" s="1597" t="e">
        <f>+SUMIF(#REF!,Final!A2350,#REF!)</f>
        <v>#REF!</v>
      </c>
      <c r="E2350" s="1643" t="e">
        <f>SUMIF(#REF!,Final!A2350,#REF!)</f>
        <v>#REF!</v>
      </c>
      <c r="F2350" s="1644" t="e">
        <f>SUMIF(#REF!,Final!A2350,#REF!)</f>
        <v>#REF!</v>
      </c>
      <c r="G2350" s="1597" t="e">
        <f t="shared" si="248"/>
        <v>#REF!</v>
      </c>
      <c r="H2350" s="1644" t="e">
        <f t="shared" si="249"/>
        <v>#REF!</v>
      </c>
      <c r="I2350" s="1597" t="e">
        <f t="shared" si="250"/>
        <v>#REF!</v>
      </c>
      <c r="J2350" s="1644" t="e">
        <f t="shared" si="251"/>
        <v>#REF!</v>
      </c>
      <c r="K2350" s="1539"/>
      <c r="L2350" s="1539"/>
      <c r="M2350" s="1545"/>
      <c r="N2350" s="1545"/>
      <c r="O2350" s="1539"/>
      <c r="P2350" s="1539"/>
      <c r="Q2350" s="1539"/>
      <c r="R2350" s="1539"/>
      <c r="S2350" s="1539"/>
      <c r="T2350" s="1539"/>
      <c r="U2350" s="1539"/>
      <c r="V2350" s="1539"/>
      <c r="W2350" s="1539"/>
      <c r="X2350" s="1539"/>
      <c r="Y2350" s="1539"/>
      <c r="Z2350" s="1539"/>
      <c r="AA2350" s="1539"/>
      <c r="AB2350" s="1539"/>
      <c r="AC2350" s="1539"/>
      <c r="AD2350" s="1539"/>
      <c r="AE2350" s="1539"/>
      <c r="AF2350" s="1539"/>
      <c r="AG2350" s="1539"/>
      <c r="AH2350" s="1539"/>
      <c r="AI2350" s="1539"/>
      <c r="AJ2350" s="1539"/>
      <c r="AK2350" s="1539"/>
      <c r="AL2350" s="1539"/>
      <c r="AM2350" s="1539"/>
      <c r="AN2350" s="1539"/>
      <c r="AO2350" s="1539"/>
      <c r="AP2350" s="1539"/>
      <c r="AQ2350" s="1539"/>
      <c r="AR2350" s="1539"/>
      <c r="AS2350" s="1539"/>
      <c r="AT2350" s="1539"/>
      <c r="AU2350" s="1539"/>
      <c r="AV2350" s="1539"/>
      <c r="AW2350" s="1539"/>
      <c r="AX2350" s="1539"/>
      <c r="AY2350" s="1539"/>
      <c r="AZ2350" s="1539"/>
      <c r="BA2350" s="1539"/>
      <c r="BB2350" s="1539"/>
      <c r="BC2350" s="1539"/>
      <c r="BD2350" s="1539"/>
      <c r="BE2350" s="1539"/>
      <c r="BF2350" s="1539"/>
      <c r="BG2350" s="1539"/>
      <c r="BH2350" s="1539"/>
      <c r="BI2350" s="1539"/>
      <c r="BJ2350" s="1539"/>
      <c r="BK2350" s="1539"/>
      <c r="BL2350" s="1539"/>
      <c r="BM2350" s="1539"/>
      <c r="BN2350" s="1539"/>
      <c r="BO2350" s="1539"/>
      <c r="BP2350" s="1539"/>
      <c r="BQ2350" s="1539"/>
      <c r="BR2350" s="1539"/>
      <c r="BS2350" s="1539"/>
      <c r="BT2350" s="1539"/>
      <c r="BU2350" s="1539"/>
      <c r="BV2350" s="1539"/>
      <c r="BW2350" s="1539"/>
      <c r="BX2350" s="1539"/>
      <c r="BY2350" s="1539"/>
      <c r="BZ2350" s="1539"/>
      <c r="CA2350" s="1539"/>
      <c r="CB2350" s="1539"/>
      <c r="CC2350" s="1539"/>
      <c r="CD2350" s="1539"/>
      <c r="CE2350" s="1539"/>
      <c r="CF2350" s="1539"/>
      <c r="CG2350" s="1539"/>
      <c r="CH2350" s="1539"/>
      <c r="CI2350" s="1539"/>
      <c r="CJ2350" s="1539"/>
      <c r="CK2350" s="1539"/>
      <c r="CL2350" s="1539"/>
      <c r="CM2350" s="1539"/>
      <c r="CN2350" s="1539"/>
      <c r="CO2350" s="1539"/>
    </row>
    <row r="2351" spans="1:93" s="1552" customFormat="1" ht="24.75" customHeight="1">
      <c r="A2351" s="1598"/>
      <c r="B2351" s="1599" t="s">
        <v>1760</v>
      </c>
      <c r="C2351" s="1643" t="e">
        <f>+SUMIF(#REF!,Final!A2351,#REF!)</f>
        <v>#REF!</v>
      </c>
      <c r="D2351" s="1597" t="e">
        <f>+SUMIF(#REF!,Final!A2351,#REF!)</f>
        <v>#REF!</v>
      </c>
      <c r="E2351" s="1643" t="e">
        <f>SUMIF(#REF!,Final!A2351,#REF!)</f>
        <v>#REF!</v>
      </c>
      <c r="F2351" s="1644" t="e">
        <f>SUMIF(#REF!,Final!A2351,#REF!)</f>
        <v>#REF!</v>
      </c>
      <c r="G2351" s="1597" t="e">
        <f t="shared" si="248"/>
        <v>#REF!</v>
      </c>
      <c r="H2351" s="1644" t="e">
        <f t="shared" si="249"/>
        <v>#REF!</v>
      </c>
      <c r="I2351" s="1597" t="e">
        <f t="shared" si="250"/>
        <v>#REF!</v>
      </c>
      <c r="J2351" s="1644" t="e">
        <f t="shared" si="251"/>
        <v>#REF!</v>
      </c>
      <c r="K2351" s="1539"/>
      <c r="L2351" s="1539"/>
      <c r="M2351" s="1545"/>
      <c r="N2351" s="1545"/>
      <c r="O2351" s="1539"/>
      <c r="P2351" s="1539"/>
      <c r="Q2351" s="1539"/>
      <c r="R2351" s="1539"/>
      <c r="S2351" s="1539"/>
      <c r="T2351" s="1539"/>
      <c r="U2351" s="1539"/>
      <c r="V2351" s="1539"/>
      <c r="W2351" s="1539"/>
      <c r="X2351" s="1539"/>
      <c r="Y2351" s="1539"/>
      <c r="Z2351" s="1539"/>
      <c r="AA2351" s="1539"/>
      <c r="AB2351" s="1539"/>
      <c r="AC2351" s="1539"/>
      <c r="AD2351" s="1539"/>
      <c r="AE2351" s="1539"/>
      <c r="AF2351" s="1539"/>
      <c r="AG2351" s="1539"/>
      <c r="AH2351" s="1539"/>
      <c r="AI2351" s="1539"/>
      <c r="AJ2351" s="1539"/>
      <c r="AK2351" s="1539"/>
      <c r="AL2351" s="1539"/>
      <c r="AM2351" s="1539"/>
      <c r="AN2351" s="1539"/>
      <c r="AO2351" s="1539"/>
      <c r="AP2351" s="1539"/>
      <c r="AQ2351" s="1539"/>
      <c r="AR2351" s="1539"/>
      <c r="AS2351" s="1539"/>
      <c r="AT2351" s="1539"/>
      <c r="AU2351" s="1539"/>
      <c r="AV2351" s="1539"/>
      <c r="AW2351" s="1539"/>
      <c r="AX2351" s="1539"/>
      <c r="AY2351" s="1539"/>
      <c r="AZ2351" s="1539"/>
      <c r="BA2351" s="1539"/>
      <c r="BB2351" s="1539"/>
      <c r="BC2351" s="1539"/>
      <c r="BD2351" s="1539"/>
      <c r="BE2351" s="1539"/>
      <c r="BF2351" s="1539"/>
      <c r="BG2351" s="1539"/>
      <c r="BH2351" s="1539"/>
      <c r="BI2351" s="1539"/>
      <c r="BJ2351" s="1539"/>
      <c r="BK2351" s="1539"/>
      <c r="BL2351" s="1539"/>
      <c r="BM2351" s="1539"/>
      <c r="BN2351" s="1539"/>
      <c r="BO2351" s="1539"/>
      <c r="BP2351" s="1539"/>
      <c r="BQ2351" s="1539"/>
      <c r="BR2351" s="1539"/>
      <c r="BS2351" s="1539"/>
      <c r="BT2351" s="1539"/>
      <c r="BU2351" s="1539"/>
      <c r="BV2351" s="1539"/>
      <c r="BW2351" s="1539"/>
      <c r="BX2351" s="1539"/>
      <c r="BY2351" s="1539"/>
      <c r="BZ2351" s="1539"/>
      <c r="CA2351" s="1539"/>
      <c r="CB2351" s="1539"/>
      <c r="CC2351" s="1539"/>
      <c r="CD2351" s="1539"/>
      <c r="CE2351" s="1539"/>
      <c r="CF2351" s="1539"/>
      <c r="CG2351" s="1539"/>
      <c r="CH2351" s="1539"/>
      <c r="CI2351" s="1539"/>
      <c r="CJ2351" s="1539"/>
      <c r="CK2351" s="1539"/>
      <c r="CL2351" s="1539"/>
      <c r="CM2351" s="1539"/>
      <c r="CN2351" s="1539"/>
      <c r="CO2351" s="1539"/>
    </row>
    <row r="2352" spans="1:93" s="1542" customFormat="1" ht="15.5">
      <c r="A2352" s="1598">
        <v>18</v>
      </c>
      <c r="B2352" s="1599" t="s">
        <v>3460</v>
      </c>
      <c r="C2352" s="1643" t="e">
        <f>+SUMIF(#REF!,Final!A2352,#REF!)</f>
        <v>#REF!</v>
      </c>
      <c r="D2352" s="1597" t="e">
        <f>+SUMIF(#REF!,Final!A2352,#REF!)</f>
        <v>#REF!</v>
      </c>
      <c r="E2352" s="1643" t="e">
        <f>SUMIF(#REF!,Final!A2352,#REF!)</f>
        <v>#REF!</v>
      </c>
      <c r="F2352" s="1644" t="e">
        <f>SUMIF(#REF!,Final!A2352,#REF!)</f>
        <v>#REF!</v>
      </c>
      <c r="G2352" s="1597" t="e">
        <f t="shared" si="248"/>
        <v>#REF!</v>
      </c>
      <c r="H2352" s="1644" t="e">
        <f t="shared" si="249"/>
        <v>#REF!</v>
      </c>
      <c r="I2352" s="1597" t="e">
        <f t="shared" si="250"/>
        <v>#REF!</v>
      </c>
      <c r="J2352" s="1644" t="e">
        <f t="shared" si="251"/>
        <v>#REF!</v>
      </c>
      <c r="K2352" s="1539"/>
      <c r="L2352" s="1539"/>
      <c r="M2352" s="1545"/>
      <c r="N2352" s="1545"/>
      <c r="O2352" s="1539"/>
      <c r="P2352" s="1539"/>
      <c r="Q2352" s="1539"/>
      <c r="R2352" s="1539"/>
      <c r="S2352" s="1539"/>
      <c r="T2352" s="1539"/>
      <c r="U2352" s="1539"/>
      <c r="V2352" s="1539"/>
      <c r="W2352" s="1539"/>
      <c r="X2352" s="1539"/>
      <c r="Y2352" s="1539"/>
      <c r="Z2352" s="1539"/>
      <c r="AA2352" s="1539"/>
      <c r="AB2352" s="1539"/>
      <c r="AC2352" s="1539"/>
      <c r="AD2352" s="1539"/>
      <c r="AE2352" s="1539"/>
      <c r="AF2352" s="1539"/>
      <c r="AG2352" s="1539"/>
      <c r="AH2352" s="1539"/>
      <c r="AI2352" s="1539"/>
      <c r="AJ2352" s="1539"/>
      <c r="AK2352" s="1539"/>
      <c r="AL2352" s="1539"/>
      <c r="AM2352" s="1539"/>
      <c r="AN2352" s="1539"/>
      <c r="AO2352" s="1539"/>
      <c r="AP2352" s="1539"/>
      <c r="AQ2352" s="1539"/>
      <c r="AR2352" s="1539"/>
      <c r="AS2352" s="1539"/>
      <c r="AT2352" s="1539"/>
      <c r="AU2352" s="1539"/>
      <c r="AV2352" s="1539"/>
      <c r="AW2352" s="1539"/>
      <c r="AX2352" s="1539"/>
      <c r="AY2352" s="1539"/>
      <c r="AZ2352" s="1539"/>
      <c r="BA2352" s="1539"/>
      <c r="BB2352" s="1539"/>
      <c r="BC2352" s="1539"/>
      <c r="BD2352" s="1539"/>
      <c r="BE2352" s="1539"/>
      <c r="BF2352" s="1539"/>
      <c r="BG2352" s="1539"/>
      <c r="BH2352" s="1539"/>
      <c r="BI2352" s="1539"/>
      <c r="BJ2352" s="1539"/>
      <c r="BK2352" s="1539"/>
      <c r="BL2352" s="1539"/>
      <c r="BM2352" s="1539"/>
      <c r="BN2352" s="1539"/>
      <c r="BO2352" s="1539"/>
      <c r="BP2352" s="1539"/>
      <c r="BQ2352" s="1539"/>
      <c r="BR2352" s="1539"/>
      <c r="BS2352" s="1539"/>
      <c r="BT2352" s="1539"/>
      <c r="BU2352" s="1539"/>
      <c r="BV2352" s="1539"/>
      <c r="BW2352" s="1539"/>
      <c r="BX2352" s="1539"/>
      <c r="BY2352" s="1539"/>
      <c r="BZ2352" s="1539"/>
      <c r="CA2352" s="1539"/>
      <c r="CB2352" s="1539"/>
      <c r="CC2352" s="1539"/>
      <c r="CD2352" s="1539"/>
      <c r="CE2352" s="1539"/>
      <c r="CF2352" s="1539"/>
      <c r="CG2352" s="1539"/>
      <c r="CH2352" s="1539"/>
      <c r="CI2352" s="1539"/>
      <c r="CJ2352" s="1539"/>
      <c r="CK2352" s="1539"/>
      <c r="CL2352" s="1539"/>
      <c r="CM2352" s="1539"/>
      <c r="CN2352" s="1539"/>
      <c r="CO2352" s="1539"/>
    </row>
    <row r="2353" spans="1:93" ht="15.5">
      <c r="A2353" s="1598" t="s">
        <v>3268</v>
      </c>
      <c r="B2353" s="1599" t="s">
        <v>3466</v>
      </c>
      <c r="C2353" s="1643" t="e">
        <f>+SUMIF(#REF!,Final!A2353,#REF!)</f>
        <v>#REF!</v>
      </c>
      <c r="D2353" s="1597" t="e">
        <f>+SUMIF(#REF!,Final!A2353,#REF!)</f>
        <v>#REF!</v>
      </c>
      <c r="E2353" s="1643" t="e">
        <f>SUMIF(#REF!,Final!A2353,#REF!)</f>
        <v>#REF!</v>
      </c>
      <c r="F2353" s="1644" t="e">
        <f>SUMIF(#REF!,Final!A2353,#REF!)</f>
        <v>#REF!</v>
      </c>
      <c r="G2353" s="1597" t="e">
        <f t="shared" si="248"/>
        <v>#REF!</v>
      </c>
      <c r="H2353" s="1644" t="e">
        <f t="shared" si="249"/>
        <v>#REF!</v>
      </c>
      <c r="I2353" s="1597" t="e">
        <f t="shared" si="250"/>
        <v>#REF!</v>
      </c>
      <c r="J2353" s="1644" t="e">
        <f t="shared" si="251"/>
        <v>#REF!</v>
      </c>
      <c r="M2353" s="1545"/>
      <c r="N2353" s="1545"/>
    </row>
    <row r="2354" spans="1:93" ht="15.5">
      <c r="A2354" s="1598">
        <v>51.223999999999997</v>
      </c>
      <c r="B2354" s="1599" t="s">
        <v>1775</v>
      </c>
      <c r="C2354" s="1643" t="e">
        <f>+SUMIF(#REF!,Final!A2354,#REF!)</f>
        <v>#REF!</v>
      </c>
      <c r="D2354" s="1597" t="e">
        <f>+SUMIF(#REF!,Final!A2354,#REF!)</f>
        <v>#REF!</v>
      </c>
      <c r="E2354" s="1643" t="e">
        <f>SUMIF(#REF!,Final!A2354,#REF!)</f>
        <v>#REF!</v>
      </c>
      <c r="F2354" s="1644" t="e">
        <f>SUMIF(#REF!,Final!A2354,#REF!)</f>
        <v>#REF!</v>
      </c>
      <c r="G2354" s="1597" t="e">
        <f t="shared" si="248"/>
        <v>#REF!</v>
      </c>
      <c r="H2354" s="1644" t="e">
        <f t="shared" si="249"/>
        <v>#REF!</v>
      </c>
      <c r="I2354" s="1597" t="e">
        <f t="shared" si="250"/>
        <v>#REF!</v>
      </c>
      <c r="J2354" s="1644" t="e">
        <f t="shared" si="251"/>
        <v>#REF!</v>
      </c>
      <c r="M2354" s="1545"/>
      <c r="N2354" s="1545"/>
    </row>
    <row r="2355" spans="1:93" s="1552" customFormat="1" ht="15.5">
      <c r="A2355" s="1598"/>
      <c r="B2355" s="1599" t="s">
        <v>1747</v>
      </c>
      <c r="C2355" s="1643" t="e">
        <f>+SUMIF(#REF!,Final!A2355,#REF!)</f>
        <v>#REF!</v>
      </c>
      <c r="D2355" s="1597" t="e">
        <f>+SUMIF(#REF!,Final!A2355,#REF!)</f>
        <v>#REF!</v>
      </c>
      <c r="E2355" s="1643" t="e">
        <f>SUMIF(#REF!,Final!A2355,#REF!)</f>
        <v>#REF!</v>
      </c>
      <c r="F2355" s="1644" t="e">
        <f>SUMIF(#REF!,Final!A2355,#REF!)</f>
        <v>#REF!</v>
      </c>
      <c r="G2355" s="1597" t="e">
        <f t="shared" si="248"/>
        <v>#REF!</v>
      </c>
      <c r="H2355" s="1644" t="e">
        <f t="shared" si="249"/>
        <v>#REF!</v>
      </c>
      <c r="I2355" s="1597" t="e">
        <f t="shared" si="250"/>
        <v>#REF!</v>
      </c>
      <c r="J2355" s="1644" t="e">
        <f t="shared" si="251"/>
        <v>#REF!</v>
      </c>
      <c r="K2355" s="1539"/>
      <c r="L2355" s="1539"/>
      <c r="M2355" s="1545"/>
      <c r="N2355" s="1545"/>
      <c r="O2355" s="1539"/>
      <c r="P2355" s="1539"/>
      <c r="Q2355" s="1539"/>
      <c r="R2355" s="1539"/>
      <c r="S2355" s="1539"/>
      <c r="T2355" s="1539"/>
      <c r="U2355" s="1539"/>
      <c r="V2355" s="1539"/>
      <c r="W2355" s="1539"/>
      <c r="X2355" s="1539"/>
      <c r="Y2355" s="1539"/>
      <c r="Z2355" s="1539"/>
      <c r="AA2355" s="1539"/>
      <c r="AB2355" s="1539"/>
      <c r="AC2355" s="1539"/>
      <c r="AD2355" s="1539"/>
      <c r="AE2355" s="1539"/>
      <c r="AF2355" s="1539"/>
      <c r="AG2355" s="1539"/>
      <c r="AH2355" s="1539"/>
      <c r="AI2355" s="1539"/>
      <c r="AJ2355" s="1539"/>
      <c r="AK2355" s="1539"/>
      <c r="AL2355" s="1539"/>
      <c r="AM2355" s="1539"/>
      <c r="AN2355" s="1539"/>
      <c r="AO2355" s="1539"/>
      <c r="AP2355" s="1539"/>
      <c r="AQ2355" s="1539"/>
      <c r="AR2355" s="1539"/>
      <c r="AS2355" s="1539"/>
      <c r="AT2355" s="1539"/>
      <c r="AU2355" s="1539"/>
      <c r="AV2355" s="1539"/>
      <c r="AW2355" s="1539"/>
      <c r="AX2355" s="1539"/>
      <c r="AY2355" s="1539"/>
      <c r="AZ2355" s="1539"/>
      <c r="BA2355" s="1539"/>
      <c r="BB2355" s="1539"/>
      <c r="BC2355" s="1539"/>
      <c r="BD2355" s="1539"/>
      <c r="BE2355" s="1539"/>
      <c r="BF2355" s="1539"/>
      <c r="BG2355" s="1539"/>
      <c r="BH2355" s="1539"/>
      <c r="BI2355" s="1539"/>
      <c r="BJ2355" s="1539"/>
      <c r="BK2355" s="1539"/>
      <c r="BL2355" s="1539"/>
      <c r="BM2355" s="1539"/>
      <c r="BN2355" s="1539"/>
      <c r="BO2355" s="1539"/>
      <c r="BP2355" s="1539"/>
      <c r="BQ2355" s="1539"/>
      <c r="BR2355" s="1539"/>
      <c r="BS2355" s="1539"/>
      <c r="BT2355" s="1539"/>
      <c r="BU2355" s="1539"/>
      <c r="BV2355" s="1539"/>
      <c r="BW2355" s="1539"/>
      <c r="BX2355" s="1539"/>
      <c r="BY2355" s="1539"/>
      <c r="BZ2355" s="1539"/>
      <c r="CA2355" s="1539"/>
      <c r="CB2355" s="1539"/>
      <c r="CC2355" s="1539"/>
      <c r="CD2355" s="1539"/>
      <c r="CE2355" s="1539"/>
      <c r="CF2355" s="1539"/>
      <c r="CG2355" s="1539"/>
      <c r="CH2355" s="1539"/>
      <c r="CI2355" s="1539"/>
      <c r="CJ2355" s="1539"/>
      <c r="CK2355" s="1539"/>
      <c r="CL2355" s="1539"/>
      <c r="CM2355" s="1539"/>
      <c r="CN2355" s="1539"/>
      <c r="CO2355" s="1539"/>
    </row>
    <row r="2356" spans="1:93" s="1552" customFormat="1" ht="15.5">
      <c r="A2356" s="1598" t="s">
        <v>3467</v>
      </c>
      <c r="B2356" s="1599" t="s">
        <v>1760</v>
      </c>
      <c r="C2356" s="1643" t="e">
        <f>+SUMIF(#REF!,Final!A2356,#REF!)</f>
        <v>#REF!</v>
      </c>
      <c r="D2356" s="1597" t="e">
        <f>+SUMIF(#REF!,Final!A2356,#REF!)</f>
        <v>#REF!</v>
      </c>
      <c r="E2356" s="1643" t="e">
        <f>SUMIF(#REF!,Final!A2356,#REF!)</f>
        <v>#REF!</v>
      </c>
      <c r="F2356" s="1644" t="e">
        <f>SUMIF(#REF!,Final!A2356,#REF!)</f>
        <v>#REF!</v>
      </c>
      <c r="G2356" s="1597" t="e">
        <f t="shared" si="248"/>
        <v>#REF!</v>
      </c>
      <c r="H2356" s="1644" t="e">
        <f t="shared" si="249"/>
        <v>#REF!</v>
      </c>
      <c r="I2356" s="1597" t="e">
        <f t="shared" si="250"/>
        <v>#REF!</v>
      </c>
      <c r="J2356" s="1644" t="e">
        <f t="shared" si="251"/>
        <v>#REF!</v>
      </c>
      <c r="K2356" s="1539"/>
      <c r="L2356" s="1539"/>
      <c r="M2356" s="1545"/>
      <c r="N2356" s="1545"/>
      <c r="O2356" s="1539"/>
      <c r="P2356" s="1539"/>
      <c r="Q2356" s="1539"/>
      <c r="R2356" s="1539"/>
      <c r="S2356" s="1539"/>
      <c r="T2356" s="1539"/>
      <c r="U2356" s="1539"/>
      <c r="V2356" s="1539"/>
      <c r="W2356" s="1539"/>
      <c r="X2356" s="1539"/>
      <c r="Y2356" s="1539"/>
      <c r="Z2356" s="1539"/>
      <c r="AA2356" s="1539"/>
      <c r="AB2356" s="1539"/>
      <c r="AC2356" s="1539"/>
      <c r="AD2356" s="1539"/>
      <c r="AE2356" s="1539"/>
      <c r="AF2356" s="1539"/>
      <c r="AG2356" s="1539"/>
      <c r="AH2356" s="1539"/>
      <c r="AI2356" s="1539"/>
      <c r="AJ2356" s="1539"/>
      <c r="AK2356" s="1539"/>
      <c r="AL2356" s="1539"/>
      <c r="AM2356" s="1539"/>
      <c r="AN2356" s="1539"/>
      <c r="AO2356" s="1539"/>
      <c r="AP2356" s="1539"/>
      <c r="AQ2356" s="1539"/>
      <c r="AR2356" s="1539"/>
      <c r="AS2356" s="1539"/>
      <c r="AT2356" s="1539"/>
      <c r="AU2356" s="1539"/>
      <c r="AV2356" s="1539"/>
      <c r="AW2356" s="1539"/>
      <c r="AX2356" s="1539"/>
      <c r="AY2356" s="1539"/>
      <c r="AZ2356" s="1539"/>
      <c r="BA2356" s="1539"/>
      <c r="BB2356" s="1539"/>
      <c r="BC2356" s="1539"/>
      <c r="BD2356" s="1539"/>
      <c r="BE2356" s="1539"/>
      <c r="BF2356" s="1539"/>
      <c r="BG2356" s="1539"/>
      <c r="BH2356" s="1539"/>
      <c r="BI2356" s="1539"/>
      <c r="BJ2356" s="1539"/>
      <c r="BK2356" s="1539"/>
      <c r="BL2356" s="1539"/>
      <c r="BM2356" s="1539"/>
      <c r="BN2356" s="1539"/>
      <c r="BO2356" s="1539"/>
      <c r="BP2356" s="1539"/>
      <c r="BQ2356" s="1539"/>
      <c r="BR2356" s="1539"/>
      <c r="BS2356" s="1539"/>
      <c r="BT2356" s="1539"/>
      <c r="BU2356" s="1539"/>
      <c r="BV2356" s="1539"/>
      <c r="BW2356" s="1539"/>
      <c r="BX2356" s="1539"/>
      <c r="BY2356" s="1539"/>
      <c r="BZ2356" s="1539"/>
      <c r="CA2356" s="1539"/>
      <c r="CB2356" s="1539"/>
      <c r="CC2356" s="1539"/>
      <c r="CD2356" s="1539"/>
      <c r="CE2356" s="1539"/>
      <c r="CF2356" s="1539"/>
      <c r="CG2356" s="1539"/>
      <c r="CH2356" s="1539"/>
      <c r="CI2356" s="1539"/>
      <c r="CJ2356" s="1539"/>
      <c r="CK2356" s="1539"/>
      <c r="CL2356" s="1539"/>
      <c r="CM2356" s="1539"/>
      <c r="CN2356" s="1539"/>
      <c r="CO2356" s="1539"/>
    </row>
    <row r="2357" spans="1:93" s="1542" customFormat="1" ht="15.5">
      <c r="A2357" s="1598">
        <v>18</v>
      </c>
      <c r="B2357" s="1599" t="s">
        <v>3460</v>
      </c>
      <c r="C2357" s="1643" t="e">
        <f>+SUMIF(#REF!,Final!A2357,#REF!)</f>
        <v>#REF!</v>
      </c>
      <c r="D2357" s="1597" t="e">
        <f>+SUMIF(#REF!,Final!A2357,#REF!)</f>
        <v>#REF!</v>
      </c>
      <c r="E2357" s="1643" t="e">
        <f>SUMIF(#REF!,Final!A2357,#REF!)</f>
        <v>#REF!</v>
      </c>
      <c r="F2357" s="1644" t="e">
        <f>SUMIF(#REF!,Final!A2357,#REF!)</f>
        <v>#REF!</v>
      </c>
      <c r="G2357" s="1597" t="e">
        <f t="shared" si="248"/>
        <v>#REF!</v>
      </c>
      <c r="H2357" s="1644" t="e">
        <f t="shared" si="249"/>
        <v>#REF!</v>
      </c>
      <c r="I2357" s="1597" t="e">
        <f t="shared" si="250"/>
        <v>#REF!</v>
      </c>
      <c r="J2357" s="1644" t="e">
        <f t="shared" si="251"/>
        <v>#REF!</v>
      </c>
      <c r="K2357" s="1539"/>
      <c r="L2357" s="1539"/>
      <c r="M2357" s="1545"/>
      <c r="N2357" s="1545"/>
      <c r="O2357" s="1539"/>
      <c r="P2357" s="1539"/>
      <c r="Q2357" s="1539"/>
      <c r="R2357" s="1539"/>
      <c r="S2357" s="1539"/>
      <c r="T2357" s="1539"/>
      <c r="U2357" s="1539"/>
      <c r="V2357" s="1539"/>
      <c r="W2357" s="1539"/>
      <c r="X2357" s="1539"/>
      <c r="Y2357" s="1539"/>
      <c r="Z2357" s="1539"/>
      <c r="AA2357" s="1539"/>
      <c r="AB2357" s="1539"/>
      <c r="AC2357" s="1539"/>
      <c r="AD2357" s="1539"/>
      <c r="AE2357" s="1539"/>
      <c r="AF2357" s="1539"/>
      <c r="AG2357" s="1539"/>
      <c r="AH2357" s="1539"/>
      <c r="AI2357" s="1539"/>
      <c r="AJ2357" s="1539"/>
      <c r="AK2357" s="1539"/>
      <c r="AL2357" s="1539"/>
      <c r="AM2357" s="1539"/>
      <c r="AN2357" s="1539"/>
      <c r="AO2357" s="1539"/>
      <c r="AP2357" s="1539"/>
      <c r="AQ2357" s="1539"/>
      <c r="AR2357" s="1539"/>
      <c r="AS2357" s="1539"/>
      <c r="AT2357" s="1539"/>
      <c r="AU2357" s="1539"/>
      <c r="AV2357" s="1539"/>
      <c r="AW2357" s="1539"/>
      <c r="AX2357" s="1539"/>
      <c r="AY2357" s="1539"/>
      <c r="AZ2357" s="1539"/>
      <c r="BA2357" s="1539"/>
      <c r="BB2357" s="1539"/>
      <c r="BC2357" s="1539"/>
      <c r="BD2357" s="1539"/>
      <c r="BE2357" s="1539"/>
      <c r="BF2357" s="1539"/>
      <c r="BG2357" s="1539"/>
      <c r="BH2357" s="1539"/>
      <c r="BI2357" s="1539"/>
      <c r="BJ2357" s="1539"/>
      <c r="BK2357" s="1539"/>
      <c r="BL2357" s="1539"/>
      <c r="BM2357" s="1539"/>
      <c r="BN2357" s="1539"/>
      <c r="BO2357" s="1539"/>
      <c r="BP2357" s="1539"/>
      <c r="BQ2357" s="1539"/>
      <c r="BR2357" s="1539"/>
      <c r="BS2357" s="1539"/>
      <c r="BT2357" s="1539"/>
      <c r="BU2357" s="1539"/>
      <c r="BV2357" s="1539"/>
      <c r="BW2357" s="1539"/>
      <c r="BX2357" s="1539"/>
      <c r="BY2357" s="1539"/>
      <c r="BZ2357" s="1539"/>
      <c r="CA2357" s="1539"/>
      <c r="CB2357" s="1539"/>
      <c r="CC2357" s="1539"/>
      <c r="CD2357" s="1539"/>
      <c r="CE2357" s="1539"/>
      <c r="CF2357" s="1539"/>
      <c r="CG2357" s="1539"/>
      <c r="CH2357" s="1539"/>
      <c r="CI2357" s="1539"/>
      <c r="CJ2357" s="1539"/>
      <c r="CK2357" s="1539"/>
      <c r="CL2357" s="1539"/>
      <c r="CM2357" s="1539"/>
      <c r="CN2357" s="1539"/>
      <c r="CO2357" s="1539"/>
    </row>
    <row r="2358" spans="1:93" ht="15.5">
      <c r="A2358" s="1598" t="s">
        <v>3468</v>
      </c>
      <c r="B2358" s="1599" t="s">
        <v>3469</v>
      </c>
      <c r="C2358" s="1643" t="e">
        <f>+SUMIF(#REF!,Final!A2358,#REF!)</f>
        <v>#REF!</v>
      </c>
      <c r="D2358" s="1597" t="e">
        <f>+SUMIF(#REF!,Final!A2358,#REF!)</f>
        <v>#REF!</v>
      </c>
      <c r="E2358" s="1643" t="e">
        <f>SUMIF(#REF!,Final!A2358,#REF!)</f>
        <v>#REF!</v>
      </c>
      <c r="F2358" s="1644" t="e">
        <f>SUMIF(#REF!,Final!A2358,#REF!)</f>
        <v>#REF!</v>
      </c>
      <c r="G2358" s="1597" t="e">
        <f t="shared" si="248"/>
        <v>#REF!</v>
      </c>
      <c r="H2358" s="1644" t="e">
        <f t="shared" si="249"/>
        <v>#REF!</v>
      </c>
      <c r="I2358" s="1597" t="e">
        <f t="shared" si="250"/>
        <v>#REF!</v>
      </c>
      <c r="J2358" s="1644" t="e">
        <f t="shared" si="251"/>
        <v>#REF!</v>
      </c>
      <c r="M2358" s="1545"/>
      <c r="N2358" s="1545"/>
    </row>
    <row r="2359" spans="1:93" ht="15.5">
      <c r="A2359" s="1598">
        <v>51.225999999999999</v>
      </c>
      <c r="B2359" s="1599" t="s">
        <v>4714</v>
      </c>
      <c r="C2359" s="1643" t="e">
        <f>+SUMIF(#REF!,Final!A2359,#REF!)</f>
        <v>#REF!</v>
      </c>
      <c r="D2359" s="1597" t="e">
        <f>+SUMIF(#REF!,Final!A2359,#REF!)</f>
        <v>#REF!</v>
      </c>
      <c r="E2359" s="1643" t="e">
        <f>SUMIF(#REF!,Final!A2359,#REF!)</f>
        <v>#REF!</v>
      </c>
      <c r="F2359" s="1644" t="e">
        <f>SUMIF(#REF!,Final!A2359,#REF!)</f>
        <v>#REF!</v>
      </c>
      <c r="G2359" s="1597" t="e">
        <f t="shared" si="248"/>
        <v>#REF!</v>
      </c>
      <c r="H2359" s="1644" t="e">
        <f t="shared" si="249"/>
        <v>#REF!</v>
      </c>
      <c r="I2359" s="1597" t="e">
        <f t="shared" si="250"/>
        <v>#REF!</v>
      </c>
      <c r="J2359" s="1644" t="e">
        <f t="shared" si="251"/>
        <v>#REF!</v>
      </c>
      <c r="M2359" s="1545"/>
      <c r="N2359" s="1545"/>
    </row>
    <row r="2360" spans="1:93" ht="15.5">
      <c r="A2360" s="1598">
        <v>51.226999999999997</v>
      </c>
      <c r="B2360" s="1599" t="s">
        <v>1777</v>
      </c>
      <c r="C2360" s="1643" t="e">
        <f>+SUMIF(#REF!,Final!A2360,#REF!)</f>
        <v>#REF!</v>
      </c>
      <c r="D2360" s="1597" t="e">
        <f>+SUMIF(#REF!,Final!A2360,#REF!)</f>
        <v>#REF!</v>
      </c>
      <c r="E2360" s="1643" t="e">
        <f>SUMIF(#REF!,Final!A2360,#REF!)</f>
        <v>#REF!</v>
      </c>
      <c r="F2360" s="1644" t="e">
        <f>SUMIF(#REF!,Final!A2360,#REF!)</f>
        <v>#REF!</v>
      </c>
      <c r="G2360" s="1597" t="e">
        <f t="shared" si="248"/>
        <v>#REF!</v>
      </c>
      <c r="H2360" s="1644" t="e">
        <f t="shared" si="249"/>
        <v>#REF!</v>
      </c>
      <c r="I2360" s="1597" t="e">
        <f t="shared" si="250"/>
        <v>#REF!</v>
      </c>
      <c r="J2360" s="1644" t="e">
        <f t="shared" si="251"/>
        <v>#REF!</v>
      </c>
      <c r="M2360" s="1545"/>
      <c r="N2360" s="1545"/>
    </row>
    <row r="2361" spans="1:93" s="1552" customFormat="1" ht="15.5">
      <c r="A2361" s="1598"/>
      <c r="B2361" s="1599" t="s">
        <v>1747</v>
      </c>
      <c r="C2361" s="1643" t="e">
        <f>+SUMIF(#REF!,Final!A2361,#REF!)</f>
        <v>#REF!</v>
      </c>
      <c r="D2361" s="1597" t="e">
        <f>+SUMIF(#REF!,Final!A2361,#REF!)</f>
        <v>#REF!</v>
      </c>
      <c r="E2361" s="1643" t="e">
        <f>SUMIF(#REF!,Final!A2361,#REF!)</f>
        <v>#REF!</v>
      </c>
      <c r="F2361" s="1644" t="e">
        <f>SUMIF(#REF!,Final!A2361,#REF!)</f>
        <v>#REF!</v>
      </c>
      <c r="G2361" s="1597" t="e">
        <f t="shared" si="248"/>
        <v>#REF!</v>
      </c>
      <c r="H2361" s="1644" t="e">
        <f t="shared" si="249"/>
        <v>#REF!</v>
      </c>
      <c r="I2361" s="1597" t="e">
        <f t="shared" si="250"/>
        <v>#REF!</v>
      </c>
      <c r="J2361" s="1644" t="e">
        <f t="shared" si="251"/>
        <v>#REF!</v>
      </c>
      <c r="K2361" s="1539"/>
      <c r="L2361" s="1539"/>
      <c r="M2361" s="1545"/>
      <c r="N2361" s="1545"/>
      <c r="O2361" s="1539"/>
      <c r="P2361" s="1539"/>
      <c r="Q2361" s="1539"/>
      <c r="R2361" s="1539"/>
      <c r="S2361" s="1539"/>
      <c r="T2361" s="1539"/>
      <c r="U2361" s="1539"/>
      <c r="V2361" s="1539"/>
      <c r="W2361" s="1539"/>
      <c r="X2361" s="1539"/>
      <c r="Y2361" s="1539"/>
      <c r="Z2361" s="1539"/>
      <c r="AA2361" s="1539"/>
      <c r="AB2361" s="1539"/>
      <c r="AC2361" s="1539"/>
      <c r="AD2361" s="1539"/>
      <c r="AE2361" s="1539"/>
      <c r="AF2361" s="1539"/>
      <c r="AG2361" s="1539"/>
      <c r="AH2361" s="1539"/>
      <c r="AI2361" s="1539"/>
      <c r="AJ2361" s="1539"/>
      <c r="AK2361" s="1539"/>
      <c r="AL2361" s="1539"/>
      <c r="AM2361" s="1539"/>
      <c r="AN2361" s="1539"/>
      <c r="AO2361" s="1539"/>
      <c r="AP2361" s="1539"/>
      <c r="AQ2361" s="1539"/>
      <c r="AR2361" s="1539"/>
      <c r="AS2361" s="1539"/>
      <c r="AT2361" s="1539"/>
      <c r="AU2361" s="1539"/>
      <c r="AV2361" s="1539"/>
      <c r="AW2361" s="1539"/>
      <c r="AX2361" s="1539"/>
      <c r="AY2361" s="1539"/>
      <c r="AZ2361" s="1539"/>
      <c r="BA2361" s="1539"/>
      <c r="BB2361" s="1539"/>
      <c r="BC2361" s="1539"/>
      <c r="BD2361" s="1539"/>
      <c r="BE2361" s="1539"/>
      <c r="BF2361" s="1539"/>
      <c r="BG2361" s="1539"/>
      <c r="BH2361" s="1539"/>
      <c r="BI2361" s="1539"/>
      <c r="BJ2361" s="1539"/>
      <c r="BK2361" s="1539"/>
      <c r="BL2361" s="1539"/>
      <c r="BM2361" s="1539"/>
      <c r="BN2361" s="1539"/>
      <c r="BO2361" s="1539"/>
      <c r="BP2361" s="1539"/>
      <c r="BQ2361" s="1539"/>
      <c r="BR2361" s="1539"/>
      <c r="BS2361" s="1539"/>
      <c r="BT2361" s="1539"/>
      <c r="BU2361" s="1539"/>
      <c r="BV2361" s="1539"/>
      <c r="BW2361" s="1539"/>
      <c r="BX2361" s="1539"/>
      <c r="BY2361" s="1539"/>
      <c r="BZ2361" s="1539"/>
      <c r="CA2361" s="1539"/>
      <c r="CB2361" s="1539"/>
      <c r="CC2361" s="1539"/>
      <c r="CD2361" s="1539"/>
      <c r="CE2361" s="1539"/>
      <c r="CF2361" s="1539"/>
      <c r="CG2361" s="1539"/>
      <c r="CH2361" s="1539"/>
      <c r="CI2361" s="1539"/>
      <c r="CJ2361" s="1539"/>
      <c r="CK2361" s="1539"/>
      <c r="CL2361" s="1539"/>
      <c r="CM2361" s="1539"/>
      <c r="CN2361" s="1539"/>
      <c r="CO2361" s="1539"/>
    </row>
    <row r="2362" spans="1:93" s="1552" customFormat="1" ht="15.5">
      <c r="A2362" s="1598" t="s">
        <v>3470</v>
      </c>
      <c r="B2362" s="1599" t="s">
        <v>1760</v>
      </c>
      <c r="C2362" s="1643" t="e">
        <f>+SUMIF(#REF!,Final!A2362,#REF!)</f>
        <v>#REF!</v>
      </c>
      <c r="D2362" s="1597" t="e">
        <f>+SUMIF(#REF!,Final!A2362,#REF!)</f>
        <v>#REF!</v>
      </c>
      <c r="E2362" s="1643" t="e">
        <f>SUMIF(#REF!,Final!A2362,#REF!)</f>
        <v>#REF!</v>
      </c>
      <c r="F2362" s="1644" t="e">
        <f>SUMIF(#REF!,Final!A2362,#REF!)</f>
        <v>#REF!</v>
      </c>
      <c r="G2362" s="1597" t="e">
        <f t="shared" si="248"/>
        <v>#REF!</v>
      </c>
      <c r="H2362" s="1644" t="e">
        <f t="shared" si="249"/>
        <v>#REF!</v>
      </c>
      <c r="I2362" s="1597" t="e">
        <f t="shared" si="250"/>
        <v>#REF!</v>
      </c>
      <c r="J2362" s="1644" t="e">
        <f t="shared" si="251"/>
        <v>#REF!</v>
      </c>
      <c r="K2362" s="1539"/>
      <c r="L2362" s="1539"/>
      <c r="M2362" s="1545"/>
      <c r="N2362" s="1545"/>
      <c r="O2362" s="1539"/>
      <c r="P2362" s="1539"/>
      <c r="Q2362" s="1539"/>
      <c r="R2362" s="1539"/>
      <c r="S2362" s="1539"/>
      <c r="T2362" s="1539"/>
      <c r="U2362" s="1539"/>
      <c r="V2362" s="1539"/>
      <c r="W2362" s="1539"/>
      <c r="X2362" s="1539"/>
      <c r="Y2362" s="1539"/>
      <c r="Z2362" s="1539"/>
      <c r="AA2362" s="1539"/>
      <c r="AB2362" s="1539"/>
      <c r="AC2362" s="1539"/>
      <c r="AD2362" s="1539"/>
      <c r="AE2362" s="1539"/>
      <c r="AF2362" s="1539"/>
      <c r="AG2362" s="1539"/>
      <c r="AH2362" s="1539"/>
      <c r="AI2362" s="1539"/>
      <c r="AJ2362" s="1539"/>
      <c r="AK2362" s="1539"/>
      <c r="AL2362" s="1539"/>
      <c r="AM2362" s="1539"/>
      <c r="AN2362" s="1539"/>
      <c r="AO2362" s="1539"/>
      <c r="AP2362" s="1539"/>
      <c r="AQ2362" s="1539"/>
      <c r="AR2362" s="1539"/>
      <c r="AS2362" s="1539"/>
      <c r="AT2362" s="1539"/>
      <c r="AU2362" s="1539"/>
      <c r="AV2362" s="1539"/>
      <c r="AW2362" s="1539"/>
      <c r="AX2362" s="1539"/>
      <c r="AY2362" s="1539"/>
      <c r="AZ2362" s="1539"/>
      <c r="BA2362" s="1539"/>
      <c r="BB2362" s="1539"/>
      <c r="BC2362" s="1539"/>
      <c r="BD2362" s="1539"/>
      <c r="BE2362" s="1539"/>
      <c r="BF2362" s="1539"/>
      <c r="BG2362" s="1539"/>
      <c r="BH2362" s="1539"/>
      <c r="BI2362" s="1539"/>
      <c r="BJ2362" s="1539"/>
      <c r="BK2362" s="1539"/>
      <c r="BL2362" s="1539"/>
      <c r="BM2362" s="1539"/>
      <c r="BN2362" s="1539"/>
      <c r="BO2362" s="1539"/>
      <c r="BP2362" s="1539"/>
      <c r="BQ2362" s="1539"/>
      <c r="BR2362" s="1539"/>
      <c r="BS2362" s="1539"/>
      <c r="BT2362" s="1539"/>
      <c r="BU2362" s="1539"/>
      <c r="BV2362" s="1539"/>
      <c r="BW2362" s="1539"/>
      <c r="BX2362" s="1539"/>
      <c r="BY2362" s="1539"/>
      <c r="BZ2362" s="1539"/>
      <c r="CA2362" s="1539"/>
      <c r="CB2362" s="1539"/>
      <c r="CC2362" s="1539"/>
      <c r="CD2362" s="1539"/>
      <c r="CE2362" s="1539"/>
      <c r="CF2362" s="1539"/>
      <c r="CG2362" s="1539"/>
      <c r="CH2362" s="1539"/>
      <c r="CI2362" s="1539"/>
      <c r="CJ2362" s="1539"/>
      <c r="CK2362" s="1539"/>
      <c r="CL2362" s="1539"/>
      <c r="CM2362" s="1539"/>
      <c r="CN2362" s="1539"/>
      <c r="CO2362" s="1539"/>
    </row>
    <row r="2363" spans="1:93" s="1542" customFormat="1" ht="15.5">
      <c r="A2363" s="1598">
        <v>19</v>
      </c>
      <c r="B2363" s="1599" t="s">
        <v>1863</v>
      </c>
      <c r="C2363" s="1643" t="e">
        <f>+SUMIF(#REF!,Final!A2363,#REF!)</f>
        <v>#REF!</v>
      </c>
      <c r="D2363" s="1597" t="e">
        <f>+SUMIF(#REF!,Final!A2363,#REF!)</f>
        <v>#REF!</v>
      </c>
      <c r="E2363" s="1643" t="e">
        <f>SUMIF(#REF!,Final!A2363,#REF!)</f>
        <v>#REF!</v>
      </c>
      <c r="F2363" s="1644" t="e">
        <f>SUMIF(#REF!,Final!A2363,#REF!)</f>
        <v>#REF!</v>
      </c>
      <c r="G2363" s="1597" t="e">
        <f t="shared" si="248"/>
        <v>#REF!</v>
      </c>
      <c r="H2363" s="1644" t="e">
        <f t="shared" si="249"/>
        <v>#REF!</v>
      </c>
      <c r="I2363" s="1597" t="e">
        <f t="shared" si="250"/>
        <v>#REF!</v>
      </c>
      <c r="J2363" s="1644" t="e">
        <f t="shared" si="251"/>
        <v>#REF!</v>
      </c>
      <c r="K2363" s="1539"/>
      <c r="L2363" s="1539"/>
      <c r="M2363" s="1545"/>
      <c r="N2363" s="1545"/>
      <c r="O2363" s="1539"/>
      <c r="P2363" s="1539"/>
      <c r="Q2363" s="1539"/>
      <c r="R2363" s="1539"/>
      <c r="S2363" s="1539"/>
      <c r="T2363" s="1539"/>
      <c r="U2363" s="1539"/>
      <c r="V2363" s="1539"/>
      <c r="W2363" s="1539"/>
      <c r="X2363" s="1539"/>
      <c r="Y2363" s="1539"/>
      <c r="Z2363" s="1539"/>
      <c r="AA2363" s="1539"/>
      <c r="AB2363" s="1539"/>
      <c r="AC2363" s="1539"/>
      <c r="AD2363" s="1539"/>
      <c r="AE2363" s="1539"/>
      <c r="AF2363" s="1539"/>
      <c r="AG2363" s="1539"/>
      <c r="AH2363" s="1539"/>
      <c r="AI2363" s="1539"/>
      <c r="AJ2363" s="1539"/>
      <c r="AK2363" s="1539"/>
      <c r="AL2363" s="1539"/>
      <c r="AM2363" s="1539"/>
      <c r="AN2363" s="1539"/>
      <c r="AO2363" s="1539"/>
      <c r="AP2363" s="1539"/>
      <c r="AQ2363" s="1539"/>
      <c r="AR2363" s="1539"/>
      <c r="AS2363" s="1539"/>
      <c r="AT2363" s="1539"/>
      <c r="AU2363" s="1539"/>
      <c r="AV2363" s="1539"/>
      <c r="AW2363" s="1539"/>
      <c r="AX2363" s="1539"/>
      <c r="AY2363" s="1539"/>
      <c r="AZ2363" s="1539"/>
      <c r="BA2363" s="1539"/>
      <c r="BB2363" s="1539"/>
      <c r="BC2363" s="1539"/>
      <c r="BD2363" s="1539"/>
      <c r="BE2363" s="1539"/>
      <c r="BF2363" s="1539"/>
      <c r="BG2363" s="1539"/>
      <c r="BH2363" s="1539"/>
      <c r="BI2363" s="1539"/>
      <c r="BJ2363" s="1539"/>
      <c r="BK2363" s="1539"/>
      <c r="BL2363" s="1539"/>
      <c r="BM2363" s="1539"/>
      <c r="BN2363" s="1539"/>
      <c r="BO2363" s="1539"/>
      <c r="BP2363" s="1539"/>
      <c r="BQ2363" s="1539"/>
      <c r="BR2363" s="1539"/>
      <c r="BS2363" s="1539"/>
      <c r="BT2363" s="1539"/>
      <c r="BU2363" s="1539"/>
      <c r="BV2363" s="1539"/>
      <c r="BW2363" s="1539"/>
      <c r="BX2363" s="1539"/>
      <c r="BY2363" s="1539"/>
      <c r="BZ2363" s="1539"/>
      <c r="CA2363" s="1539"/>
      <c r="CB2363" s="1539"/>
      <c r="CC2363" s="1539"/>
      <c r="CD2363" s="1539"/>
      <c r="CE2363" s="1539"/>
      <c r="CF2363" s="1539"/>
      <c r="CG2363" s="1539"/>
      <c r="CH2363" s="1539"/>
      <c r="CI2363" s="1539"/>
      <c r="CJ2363" s="1539"/>
      <c r="CK2363" s="1539"/>
      <c r="CL2363" s="1539"/>
      <c r="CM2363" s="1539"/>
      <c r="CN2363" s="1539"/>
      <c r="CO2363" s="1539"/>
    </row>
    <row r="2364" spans="1:93" s="1542" customFormat="1" ht="15.5">
      <c r="A2364" s="1598" t="s">
        <v>1818</v>
      </c>
      <c r="B2364" s="1599" t="s">
        <v>3471</v>
      </c>
      <c r="C2364" s="1643" t="e">
        <f>+SUMIF(#REF!,Final!A2364,#REF!)</f>
        <v>#REF!</v>
      </c>
      <c r="D2364" s="1597" t="e">
        <f>+SUMIF(#REF!,Final!A2364,#REF!)</f>
        <v>#REF!</v>
      </c>
      <c r="E2364" s="1643" t="e">
        <f>SUMIF(#REF!,Final!A2364,#REF!)</f>
        <v>#REF!</v>
      </c>
      <c r="F2364" s="1644" t="e">
        <f>SUMIF(#REF!,Final!A2364,#REF!)</f>
        <v>#REF!</v>
      </c>
      <c r="G2364" s="1597" t="e">
        <f t="shared" si="248"/>
        <v>#REF!</v>
      </c>
      <c r="H2364" s="1644" t="e">
        <f t="shared" si="249"/>
        <v>#REF!</v>
      </c>
      <c r="I2364" s="1597" t="e">
        <f t="shared" si="250"/>
        <v>#REF!</v>
      </c>
      <c r="J2364" s="1644" t="e">
        <f t="shared" si="251"/>
        <v>#REF!</v>
      </c>
      <c r="K2364" s="1539"/>
      <c r="L2364" s="1539"/>
      <c r="M2364" s="1545"/>
      <c r="N2364" s="1545"/>
      <c r="O2364" s="1539"/>
      <c r="P2364" s="1539"/>
      <c r="Q2364" s="1539"/>
      <c r="R2364" s="1539"/>
      <c r="S2364" s="1539"/>
      <c r="T2364" s="1539"/>
      <c r="U2364" s="1539"/>
      <c r="V2364" s="1539"/>
      <c r="W2364" s="1539"/>
      <c r="X2364" s="1539"/>
      <c r="Y2364" s="1539"/>
      <c r="Z2364" s="1539"/>
      <c r="AA2364" s="1539"/>
      <c r="AB2364" s="1539"/>
      <c r="AC2364" s="1539"/>
      <c r="AD2364" s="1539"/>
      <c r="AE2364" s="1539"/>
      <c r="AF2364" s="1539"/>
      <c r="AG2364" s="1539"/>
      <c r="AH2364" s="1539"/>
      <c r="AI2364" s="1539"/>
      <c r="AJ2364" s="1539"/>
      <c r="AK2364" s="1539"/>
      <c r="AL2364" s="1539"/>
      <c r="AM2364" s="1539"/>
      <c r="AN2364" s="1539"/>
      <c r="AO2364" s="1539"/>
      <c r="AP2364" s="1539"/>
      <c r="AQ2364" s="1539"/>
      <c r="AR2364" s="1539"/>
      <c r="AS2364" s="1539"/>
      <c r="AT2364" s="1539"/>
      <c r="AU2364" s="1539"/>
      <c r="AV2364" s="1539"/>
      <c r="AW2364" s="1539"/>
      <c r="AX2364" s="1539"/>
      <c r="AY2364" s="1539"/>
      <c r="AZ2364" s="1539"/>
      <c r="BA2364" s="1539"/>
      <c r="BB2364" s="1539"/>
      <c r="BC2364" s="1539"/>
      <c r="BD2364" s="1539"/>
      <c r="BE2364" s="1539"/>
      <c r="BF2364" s="1539"/>
      <c r="BG2364" s="1539"/>
      <c r="BH2364" s="1539"/>
      <c r="BI2364" s="1539"/>
      <c r="BJ2364" s="1539"/>
      <c r="BK2364" s="1539"/>
      <c r="BL2364" s="1539"/>
      <c r="BM2364" s="1539"/>
      <c r="BN2364" s="1539"/>
      <c r="BO2364" s="1539"/>
      <c r="BP2364" s="1539"/>
      <c r="BQ2364" s="1539"/>
      <c r="BR2364" s="1539"/>
      <c r="BS2364" s="1539"/>
      <c r="BT2364" s="1539"/>
      <c r="BU2364" s="1539"/>
      <c r="BV2364" s="1539"/>
      <c r="BW2364" s="1539"/>
      <c r="BX2364" s="1539"/>
      <c r="BY2364" s="1539"/>
      <c r="BZ2364" s="1539"/>
      <c r="CA2364" s="1539"/>
      <c r="CB2364" s="1539"/>
      <c r="CC2364" s="1539"/>
      <c r="CD2364" s="1539"/>
      <c r="CE2364" s="1539"/>
      <c r="CF2364" s="1539"/>
      <c r="CG2364" s="1539"/>
      <c r="CH2364" s="1539"/>
      <c r="CI2364" s="1539"/>
      <c r="CJ2364" s="1539"/>
      <c r="CK2364" s="1539"/>
      <c r="CL2364" s="1539"/>
      <c r="CM2364" s="1539"/>
      <c r="CN2364" s="1539"/>
      <c r="CO2364" s="1539"/>
    </row>
    <row r="2365" spans="1:93" ht="15.5">
      <c r="A2365" s="1598">
        <v>51.228000000000002</v>
      </c>
      <c r="B2365" s="1599" t="s">
        <v>3472</v>
      </c>
      <c r="C2365" s="1643" t="e">
        <f>+SUMIF(#REF!,Final!A2365,#REF!)</f>
        <v>#REF!</v>
      </c>
      <c r="D2365" s="1597" t="e">
        <f>+SUMIF(#REF!,Final!A2365,#REF!)</f>
        <v>#REF!</v>
      </c>
      <c r="E2365" s="1643" t="e">
        <f>SUMIF(#REF!,Final!A2365,#REF!)</f>
        <v>#REF!</v>
      </c>
      <c r="F2365" s="1644" t="e">
        <f>SUMIF(#REF!,Final!A2365,#REF!)</f>
        <v>#REF!</v>
      </c>
      <c r="G2365" s="1597" t="e">
        <f t="shared" si="248"/>
        <v>#REF!</v>
      </c>
      <c r="H2365" s="1644" t="e">
        <f t="shared" si="249"/>
        <v>#REF!</v>
      </c>
      <c r="I2365" s="1597" t="e">
        <f t="shared" si="250"/>
        <v>#REF!</v>
      </c>
      <c r="J2365" s="1644" t="e">
        <f t="shared" si="251"/>
        <v>#REF!</v>
      </c>
      <c r="M2365" s="1545"/>
      <c r="N2365" s="1545"/>
    </row>
    <row r="2366" spans="1:93" ht="15.5">
      <c r="A2366" s="1598">
        <v>51.228999999999999</v>
      </c>
      <c r="B2366" s="1599" t="s">
        <v>3473</v>
      </c>
      <c r="C2366" s="1643" t="e">
        <f>+SUMIF(#REF!,Final!A2366,#REF!)</f>
        <v>#REF!</v>
      </c>
      <c r="D2366" s="1597" t="e">
        <f>+SUMIF(#REF!,Final!A2366,#REF!)</f>
        <v>#REF!</v>
      </c>
      <c r="E2366" s="1643" t="e">
        <f>SUMIF(#REF!,Final!A2366,#REF!)</f>
        <v>#REF!</v>
      </c>
      <c r="F2366" s="1644" t="e">
        <f>SUMIF(#REF!,Final!A2366,#REF!)</f>
        <v>#REF!</v>
      </c>
      <c r="G2366" s="1597" t="e">
        <f t="shared" si="248"/>
        <v>#REF!</v>
      </c>
      <c r="H2366" s="1644" t="e">
        <f t="shared" si="249"/>
        <v>#REF!</v>
      </c>
      <c r="I2366" s="1597" t="e">
        <f t="shared" si="250"/>
        <v>#REF!</v>
      </c>
      <c r="J2366" s="1644" t="e">
        <f t="shared" si="251"/>
        <v>#REF!</v>
      </c>
      <c r="M2366" s="1545"/>
      <c r="N2366" s="1545"/>
    </row>
    <row r="2367" spans="1:93" s="1552" customFormat="1" ht="15.5">
      <c r="A2367" s="1598"/>
      <c r="B2367" s="1599" t="s">
        <v>1747</v>
      </c>
      <c r="C2367" s="1643" t="e">
        <f>+SUMIF(#REF!,Final!A2367,#REF!)</f>
        <v>#REF!</v>
      </c>
      <c r="D2367" s="1597" t="e">
        <f>+SUMIF(#REF!,Final!A2367,#REF!)</f>
        <v>#REF!</v>
      </c>
      <c r="E2367" s="1643" t="e">
        <f>SUMIF(#REF!,Final!A2367,#REF!)</f>
        <v>#REF!</v>
      </c>
      <c r="F2367" s="1644" t="e">
        <f>SUMIF(#REF!,Final!A2367,#REF!)</f>
        <v>#REF!</v>
      </c>
      <c r="G2367" s="1597" t="e">
        <f t="shared" si="248"/>
        <v>#REF!</v>
      </c>
      <c r="H2367" s="1644" t="e">
        <f t="shared" si="249"/>
        <v>#REF!</v>
      </c>
      <c r="I2367" s="1597" t="e">
        <f t="shared" si="250"/>
        <v>#REF!</v>
      </c>
      <c r="J2367" s="1644" t="e">
        <f t="shared" si="251"/>
        <v>#REF!</v>
      </c>
      <c r="K2367" s="1539"/>
      <c r="L2367" s="1539"/>
      <c r="M2367" s="1545"/>
      <c r="N2367" s="1545"/>
      <c r="O2367" s="1539"/>
      <c r="P2367" s="1539"/>
      <c r="Q2367" s="1539"/>
      <c r="R2367" s="1539"/>
      <c r="S2367" s="1539"/>
      <c r="T2367" s="1539"/>
      <c r="U2367" s="1539"/>
      <c r="V2367" s="1539"/>
      <c r="W2367" s="1539"/>
      <c r="X2367" s="1539"/>
      <c r="Y2367" s="1539"/>
      <c r="Z2367" s="1539"/>
      <c r="AA2367" s="1539"/>
      <c r="AB2367" s="1539"/>
      <c r="AC2367" s="1539"/>
      <c r="AD2367" s="1539"/>
      <c r="AE2367" s="1539"/>
      <c r="AF2367" s="1539"/>
      <c r="AG2367" s="1539"/>
      <c r="AH2367" s="1539"/>
      <c r="AI2367" s="1539"/>
      <c r="AJ2367" s="1539"/>
      <c r="AK2367" s="1539"/>
      <c r="AL2367" s="1539"/>
      <c r="AM2367" s="1539"/>
      <c r="AN2367" s="1539"/>
      <c r="AO2367" s="1539"/>
      <c r="AP2367" s="1539"/>
      <c r="AQ2367" s="1539"/>
      <c r="AR2367" s="1539"/>
      <c r="AS2367" s="1539"/>
      <c r="AT2367" s="1539"/>
      <c r="AU2367" s="1539"/>
      <c r="AV2367" s="1539"/>
      <c r="AW2367" s="1539"/>
      <c r="AX2367" s="1539"/>
      <c r="AY2367" s="1539"/>
      <c r="AZ2367" s="1539"/>
      <c r="BA2367" s="1539"/>
      <c r="BB2367" s="1539"/>
      <c r="BC2367" s="1539"/>
      <c r="BD2367" s="1539"/>
      <c r="BE2367" s="1539"/>
      <c r="BF2367" s="1539"/>
      <c r="BG2367" s="1539"/>
      <c r="BH2367" s="1539"/>
      <c r="BI2367" s="1539"/>
      <c r="BJ2367" s="1539"/>
      <c r="BK2367" s="1539"/>
      <c r="BL2367" s="1539"/>
      <c r="BM2367" s="1539"/>
      <c r="BN2367" s="1539"/>
      <c r="BO2367" s="1539"/>
      <c r="BP2367" s="1539"/>
      <c r="BQ2367" s="1539"/>
      <c r="BR2367" s="1539"/>
      <c r="BS2367" s="1539"/>
      <c r="BT2367" s="1539"/>
      <c r="BU2367" s="1539"/>
      <c r="BV2367" s="1539"/>
      <c r="BW2367" s="1539"/>
      <c r="BX2367" s="1539"/>
      <c r="BY2367" s="1539"/>
      <c r="BZ2367" s="1539"/>
      <c r="CA2367" s="1539"/>
      <c r="CB2367" s="1539"/>
      <c r="CC2367" s="1539"/>
      <c r="CD2367" s="1539"/>
      <c r="CE2367" s="1539"/>
      <c r="CF2367" s="1539"/>
      <c r="CG2367" s="1539"/>
      <c r="CH2367" s="1539"/>
      <c r="CI2367" s="1539"/>
      <c r="CJ2367" s="1539"/>
      <c r="CK2367" s="1539"/>
      <c r="CL2367" s="1539"/>
      <c r="CM2367" s="1539"/>
      <c r="CN2367" s="1539"/>
      <c r="CO2367" s="1539"/>
    </row>
    <row r="2368" spans="1:93" s="1552" customFormat="1" ht="15.5">
      <c r="A2368" s="1598"/>
      <c r="B2368" s="1599" t="s">
        <v>1760</v>
      </c>
      <c r="C2368" s="1643" t="e">
        <f>+SUMIF(#REF!,Final!A2368,#REF!)</f>
        <v>#REF!</v>
      </c>
      <c r="D2368" s="1597" t="e">
        <f>+SUMIF(#REF!,Final!A2368,#REF!)</f>
        <v>#REF!</v>
      </c>
      <c r="E2368" s="1643" t="e">
        <f>SUMIF(#REF!,Final!A2368,#REF!)</f>
        <v>#REF!</v>
      </c>
      <c r="F2368" s="1644" t="e">
        <f>SUMIF(#REF!,Final!A2368,#REF!)</f>
        <v>#REF!</v>
      </c>
      <c r="G2368" s="1597" t="e">
        <f t="shared" si="248"/>
        <v>#REF!</v>
      </c>
      <c r="H2368" s="1644" t="e">
        <f t="shared" si="249"/>
        <v>#REF!</v>
      </c>
      <c r="I2368" s="1597" t="e">
        <f t="shared" si="250"/>
        <v>#REF!</v>
      </c>
      <c r="J2368" s="1644" t="e">
        <f t="shared" si="251"/>
        <v>#REF!</v>
      </c>
      <c r="K2368" s="1539"/>
      <c r="L2368" s="1539"/>
      <c r="M2368" s="1545"/>
      <c r="N2368" s="1545"/>
      <c r="O2368" s="1539"/>
      <c r="P2368" s="1539"/>
      <c r="Q2368" s="1539"/>
      <c r="R2368" s="1539"/>
      <c r="S2368" s="1539"/>
      <c r="T2368" s="1539"/>
      <c r="U2368" s="1539"/>
      <c r="V2368" s="1539"/>
      <c r="W2368" s="1539"/>
      <c r="X2368" s="1539"/>
      <c r="Y2368" s="1539"/>
      <c r="Z2368" s="1539"/>
      <c r="AA2368" s="1539"/>
      <c r="AB2368" s="1539"/>
      <c r="AC2368" s="1539"/>
      <c r="AD2368" s="1539"/>
      <c r="AE2368" s="1539"/>
      <c r="AF2368" s="1539"/>
      <c r="AG2368" s="1539"/>
      <c r="AH2368" s="1539"/>
      <c r="AI2368" s="1539"/>
      <c r="AJ2368" s="1539"/>
      <c r="AK2368" s="1539"/>
      <c r="AL2368" s="1539"/>
      <c r="AM2368" s="1539"/>
      <c r="AN2368" s="1539"/>
      <c r="AO2368" s="1539"/>
      <c r="AP2368" s="1539"/>
      <c r="AQ2368" s="1539"/>
      <c r="AR2368" s="1539"/>
      <c r="AS2368" s="1539"/>
      <c r="AT2368" s="1539"/>
      <c r="AU2368" s="1539"/>
      <c r="AV2368" s="1539"/>
      <c r="AW2368" s="1539"/>
      <c r="AX2368" s="1539"/>
      <c r="AY2368" s="1539"/>
      <c r="AZ2368" s="1539"/>
      <c r="BA2368" s="1539"/>
      <c r="BB2368" s="1539"/>
      <c r="BC2368" s="1539"/>
      <c r="BD2368" s="1539"/>
      <c r="BE2368" s="1539"/>
      <c r="BF2368" s="1539"/>
      <c r="BG2368" s="1539"/>
      <c r="BH2368" s="1539"/>
      <c r="BI2368" s="1539"/>
      <c r="BJ2368" s="1539"/>
      <c r="BK2368" s="1539"/>
      <c r="BL2368" s="1539"/>
      <c r="BM2368" s="1539"/>
      <c r="BN2368" s="1539"/>
      <c r="BO2368" s="1539"/>
      <c r="BP2368" s="1539"/>
      <c r="BQ2368" s="1539"/>
      <c r="BR2368" s="1539"/>
      <c r="BS2368" s="1539"/>
      <c r="BT2368" s="1539"/>
      <c r="BU2368" s="1539"/>
      <c r="BV2368" s="1539"/>
      <c r="BW2368" s="1539"/>
      <c r="BX2368" s="1539"/>
      <c r="BY2368" s="1539"/>
      <c r="BZ2368" s="1539"/>
      <c r="CA2368" s="1539"/>
      <c r="CB2368" s="1539"/>
      <c r="CC2368" s="1539"/>
      <c r="CD2368" s="1539"/>
      <c r="CE2368" s="1539"/>
      <c r="CF2368" s="1539"/>
      <c r="CG2368" s="1539"/>
      <c r="CH2368" s="1539"/>
      <c r="CI2368" s="1539"/>
      <c r="CJ2368" s="1539"/>
      <c r="CK2368" s="1539"/>
      <c r="CL2368" s="1539"/>
      <c r="CM2368" s="1539"/>
      <c r="CN2368" s="1539"/>
      <c r="CO2368" s="1539"/>
    </row>
    <row r="2369" spans="1:93" s="1542" customFormat="1" ht="15.5">
      <c r="A2369" s="1598">
        <v>19</v>
      </c>
      <c r="B2369" s="1599" t="s">
        <v>1863</v>
      </c>
      <c r="C2369" s="1643" t="e">
        <f>+SUMIF(#REF!,Final!A2369,#REF!)</f>
        <v>#REF!</v>
      </c>
      <c r="D2369" s="1597" t="e">
        <f>+SUMIF(#REF!,Final!A2369,#REF!)</f>
        <v>#REF!</v>
      </c>
      <c r="E2369" s="1643" t="e">
        <f>SUMIF(#REF!,Final!A2369,#REF!)</f>
        <v>#REF!</v>
      </c>
      <c r="F2369" s="1644" t="e">
        <f>SUMIF(#REF!,Final!A2369,#REF!)</f>
        <v>#REF!</v>
      </c>
      <c r="G2369" s="1597" t="e">
        <f t="shared" si="248"/>
        <v>#REF!</v>
      </c>
      <c r="H2369" s="1644" t="e">
        <f t="shared" si="249"/>
        <v>#REF!</v>
      </c>
      <c r="I2369" s="1597" t="e">
        <f t="shared" si="250"/>
        <v>#REF!</v>
      </c>
      <c r="J2369" s="1644" t="e">
        <f t="shared" si="251"/>
        <v>#REF!</v>
      </c>
      <c r="K2369" s="1539"/>
      <c r="L2369" s="1539"/>
      <c r="M2369" s="1545"/>
      <c r="N2369" s="1545"/>
      <c r="O2369" s="1539"/>
      <c r="P2369" s="1539"/>
      <c r="Q2369" s="1539"/>
      <c r="R2369" s="1539"/>
      <c r="S2369" s="1539"/>
      <c r="T2369" s="1539"/>
      <c r="U2369" s="1539"/>
      <c r="V2369" s="1539"/>
      <c r="W2369" s="1539"/>
      <c r="X2369" s="1539"/>
      <c r="Y2369" s="1539"/>
      <c r="Z2369" s="1539"/>
      <c r="AA2369" s="1539"/>
      <c r="AB2369" s="1539"/>
      <c r="AC2369" s="1539"/>
      <c r="AD2369" s="1539"/>
      <c r="AE2369" s="1539"/>
      <c r="AF2369" s="1539"/>
      <c r="AG2369" s="1539"/>
      <c r="AH2369" s="1539"/>
      <c r="AI2369" s="1539"/>
      <c r="AJ2369" s="1539"/>
      <c r="AK2369" s="1539"/>
      <c r="AL2369" s="1539"/>
      <c r="AM2369" s="1539"/>
      <c r="AN2369" s="1539"/>
      <c r="AO2369" s="1539"/>
      <c r="AP2369" s="1539"/>
      <c r="AQ2369" s="1539"/>
      <c r="AR2369" s="1539"/>
      <c r="AS2369" s="1539"/>
      <c r="AT2369" s="1539"/>
      <c r="AU2369" s="1539"/>
      <c r="AV2369" s="1539"/>
      <c r="AW2369" s="1539"/>
      <c r="AX2369" s="1539"/>
      <c r="AY2369" s="1539"/>
      <c r="AZ2369" s="1539"/>
      <c r="BA2369" s="1539"/>
      <c r="BB2369" s="1539"/>
      <c r="BC2369" s="1539"/>
      <c r="BD2369" s="1539"/>
      <c r="BE2369" s="1539"/>
      <c r="BF2369" s="1539"/>
      <c r="BG2369" s="1539"/>
      <c r="BH2369" s="1539"/>
      <c r="BI2369" s="1539"/>
      <c r="BJ2369" s="1539"/>
      <c r="BK2369" s="1539"/>
      <c r="BL2369" s="1539"/>
      <c r="BM2369" s="1539"/>
      <c r="BN2369" s="1539"/>
      <c r="BO2369" s="1539"/>
      <c r="BP2369" s="1539"/>
      <c r="BQ2369" s="1539"/>
      <c r="BR2369" s="1539"/>
      <c r="BS2369" s="1539"/>
      <c r="BT2369" s="1539"/>
      <c r="BU2369" s="1539"/>
      <c r="BV2369" s="1539"/>
      <c r="BW2369" s="1539"/>
      <c r="BX2369" s="1539"/>
      <c r="BY2369" s="1539"/>
      <c r="BZ2369" s="1539"/>
      <c r="CA2369" s="1539"/>
      <c r="CB2369" s="1539"/>
      <c r="CC2369" s="1539"/>
      <c r="CD2369" s="1539"/>
      <c r="CE2369" s="1539"/>
      <c r="CF2369" s="1539"/>
      <c r="CG2369" s="1539"/>
      <c r="CH2369" s="1539"/>
      <c r="CI2369" s="1539"/>
      <c r="CJ2369" s="1539"/>
      <c r="CK2369" s="1539"/>
      <c r="CL2369" s="1539"/>
      <c r="CM2369" s="1539"/>
      <c r="CN2369" s="1539"/>
      <c r="CO2369" s="1539"/>
    </row>
    <row r="2370" spans="1:93" s="1542" customFormat="1" ht="15.5">
      <c r="A2370" s="1598" t="s">
        <v>1768</v>
      </c>
      <c r="B2370" s="1599" t="s">
        <v>3474</v>
      </c>
      <c r="C2370" s="1643" t="e">
        <f>+SUMIF(#REF!,Final!A2370,#REF!)</f>
        <v>#REF!</v>
      </c>
      <c r="D2370" s="1597" t="e">
        <f>+SUMIF(#REF!,Final!A2370,#REF!)</f>
        <v>#REF!</v>
      </c>
      <c r="E2370" s="1643" t="e">
        <f>SUMIF(#REF!,Final!A2370,#REF!)</f>
        <v>#REF!</v>
      </c>
      <c r="F2370" s="1644" t="e">
        <f>SUMIF(#REF!,Final!A2370,#REF!)</f>
        <v>#REF!</v>
      </c>
      <c r="G2370" s="1597" t="e">
        <f t="shared" si="248"/>
        <v>#REF!</v>
      </c>
      <c r="H2370" s="1644" t="e">
        <f t="shared" si="249"/>
        <v>#REF!</v>
      </c>
      <c r="I2370" s="1597" t="e">
        <f t="shared" si="250"/>
        <v>#REF!</v>
      </c>
      <c r="J2370" s="1644" t="e">
        <f t="shared" si="251"/>
        <v>#REF!</v>
      </c>
      <c r="K2370" s="1539"/>
      <c r="L2370" s="1539"/>
      <c r="M2370" s="1545"/>
      <c r="N2370" s="1545"/>
      <c r="O2370" s="1539"/>
      <c r="P2370" s="1539"/>
      <c r="Q2370" s="1539"/>
      <c r="R2370" s="1539"/>
      <c r="S2370" s="1539"/>
      <c r="T2370" s="1539"/>
      <c r="U2370" s="1539"/>
      <c r="V2370" s="1539"/>
      <c r="W2370" s="1539"/>
      <c r="X2370" s="1539"/>
      <c r="Y2370" s="1539"/>
      <c r="Z2370" s="1539"/>
      <c r="AA2370" s="1539"/>
      <c r="AB2370" s="1539"/>
      <c r="AC2370" s="1539"/>
      <c r="AD2370" s="1539"/>
      <c r="AE2370" s="1539"/>
      <c r="AF2370" s="1539"/>
      <c r="AG2370" s="1539"/>
      <c r="AH2370" s="1539"/>
      <c r="AI2370" s="1539"/>
      <c r="AJ2370" s="1539"/>
      <c r="AK2370" s="1539"/>
      <c r="AL2370" s="1539"/>
      <c r="AM2370" s="1539"/>
      <c r="AN2370" s="1539"/>
      <c r="AO2370" s="1539"/>
      <c r="AP2370" s="1539"/>
      <c r="AQ2370" s="1539"/>
      <c r="AR2370" s="1539"/>
      <c r="AS2370" s="1539"/>
      <c r="AT2370" s="1539"/>
      <c r="AU2370" s="1539"/>
      <c r="AV2370" s="1539"/>
      <c r="AW2370" s="1539"/>
      <c r="AX2370" s="1539"/>
      <c r="AY2370" s="1539"/>
      <c r="AZ2370" s="1539"/>
      <c r="BA2370" s="1539"/>
      <c r="BB2370" s="1539"/>
      <c r="BC2370" s="1539"/>
      <c r="BD2370" s="1539"/>
      <c r="BE2370" s="1539"/>
      <c r="BF2370" s="1539"/>
      <c r="BG2370" s="1539"/>
      <c r="BH2370" s="1539"/>
      <c r="BI2370" s="1539"/>
      <c r="BJ2370" s="1539"/>
      <c r="BK2370" s="1539"/>
      <c r="BL2370" s="1539"/>
      <c r="BM2370" s="1539"/>
      <c r="BN2370" s="1539"/>
      <c r="BO2370" s="1539"/>
      <c r="BP2370" s="1539"/>
      <c r="BQ2370" s="1539"/>
      <c r="BR2370" s="1539"/>
      <c r="BS2370" s="1539"/>
      <c r="BT2370" s="1539"/>
      <c r="BU2370" s="1539"/>
      <c r="BV2370" s="1539"/>
      <c r="BW2370" s="1539"/>
      <c r="BX2370" s="1539"/>
      <c r="BY2370" s="1539"/>
      <c r="BZ2370" s="1539"/>
      <c r="CA2370" s="1539"/>
      <c r="CB2370" s="1539"/>
      <c r="CC2370" s="1539"/>
      <c r="CD2370" s="1539"/>
      <c r="CE2370" s="1539"/>
      <c r="CF2370" s="1539"/>
      <c r="CG2370" s="1539"/>
      <c r="CH2370" s="1539"/>
      <c r="CI2370" s="1539"/>
      <c r="CJ2370" s="1539"/>
      <c r="CK2370" s="1539"/>
      <c r="CL2370" s="1539"/>
      <c r="CM2370" s="1539"/>
      <c r="CN2370" s="1539"/>
      <c r="CO2370" s="1539"/>
    </row>
    <row r="2371" spans="1:93" ht="15.5">
      <c r="A2371" s="1598">
        <v>51.235999999999997</v>
      </c>
      <c r="B2371" s="1599" t="s">
        <v>3474</v>
      </c>
      <c r="C2371" s="1643" t="e">
        <f>+SUMIF(#REF!,Final!A2371,#REF!)</f>
        <v>#REF!</v>
      </c>
      <c r="D2371" s="1597" t="e">
        <f>+SUMIF(#REF!,Final!A2371,#REF!)</f>
        <v>#REF!</v>
      </c>
      <c r="E2371" s="1643" t="e">
        <f>SUMIF(#REF!,Final!A2371,#REF!)</f>
        <v>#REF!</v>
      </c>
      <c r="F2371" s="1644" t="e">
        <f>SUMIF(#REF!,Final!A2371,#REF!)</f>
        <v>#REF!</v>
      </c>
      <c r="G2371" s="1597" t="e">
        <f t="shared" si="248"/>
        <v>#REF!</v>
      </c>
      <c r="H2371" s="1644" t="e">
        <f t="shared" si="249"/>
        <v>#REF!</v>
      </c>
      <c r="I2371" s="1597" t="e">
        <f t="shared" si="250"/>
        <v>#REF!</v>
      </c>
      <c r="J2371" s="1644" t="e">
        <f t="shared" si="251"/>
        <v>#REF!</v>
      </c>
      <c r="M2371" s="1545"/>
      <c r="N2371" s="1545"/>
    </row>
    <row r="2372" spans="1:93" s="1552" customFormat="1" ht="15.5">
      <c r="A2372" s="1598"/>
      <c r="B2372" s="1599" t="s">
        <v>1747</v>
      </c>
      <c r="C2372" s="1643" t="e">
        <f>+SUMIF(#REF!,Final!A2372,#REF!)</f>
        <v>#REF!</v>
      </c>
      <c r="D2372" s="1597" t="e">
        <f>+SUMIF(#REF!,Final!A2372,#REF!)</f>
        <v>#REF!</v>
      </c>
      <c r="E2372" s="1643" t="e">
        <f>SUMIF(#REF!,Final!A2372,#REF!)</f>
        <v>#REF!</v>
      </c>
      <c r="F2372" s="1644" t="e">
        <f>SUMIF(#REF!,Final!A2372,#REF!)</f>
        <v>#REF!</v>
      </c>
      <c r="G2372" s="1597" t="e">
        <f t="shared" si="248"/>
        <v>#REF!</v>
      </c>
      <c r="H2372" s="1644" t="e">
        <f t="shared" si="249"/>
        <v>#REF!</v>
      </c>
      <c r="I2372" s="1597" t="e">
        <f t="shared" si="250"/>
        <v>#REF!</v>
      </c>
      <c r="J2372" s="1644" t="e">
        <f t="shared" si="251"/>
        <v>#REF!</v>
      </c>
      <c r="K2372" s="1539"/>
      <c r="L2372" s="1539"/>
      <c r="M2372" s="1545"/>
      <c r="N2372" s="1545"/>
      <c r="O2372" s="1539"/>
      <c r="P2372" s="1539"/>
      <c r="Q2372" s="1539"/>
      <c r="R2372" s="1539"/>
      <c r="S2372" s="1539"/>
      <c r="T2372" s="1539"/>
      <c r="U2372" s="1539"/>
      <c r="V2372" s="1539"/>
      <c r="W2372" s="1539"/>
      <c r="X2372" s="1539"/>
      <c r="Y2372" s="1539"/>
      <c r="Z2372" s="1539"/>
      <c r="AA2372" s="1539"/>
      <c r="AB2372" s="1539"/>
      <c r="AC2372" s="1539"/>
      <c r="AD2372" s="1539"/>
      <c r="AE2372" s="1539"/>
      <c r="AF2372" s="1539"/>
      <c r="AG2372" s="1539"/>
      <c r="AH2372" s="1539"/>
      <c r="AI2372" s="1539"/>
      <c r="AJ2372" s="1539"/>
      <c r="AK2372" s="1539"/>
      <c r="AL2372" s="1539"/>
      <c r="AM2372" s="1539"/>
      <c r="AN2372" s="1539"/>
      <c r="AO2372" s="1539"/>
      <c r="AP2372" s="1539"/>
      <c r="AQ2372" s="1539"/>
      <c r="AR2372" s="1539"/>
      <c r="AS2372" s="1539"/>
      <c r="AT2372" s="1539"/>
      <c r="AU2372" s="1539"/>
      <c r="AV2372" s="1539"/>
      <c r="AW2372" s="1539"/>
      <c r="AX2372" s="1539"/>
      <c r="AY2372" s="1539"/>
      <c r="AZ2372" s="1539"/>
      <c r="BA2372" s="1539"/>
      <c r="BB2372" s="1539"/>
      <c r="BC2372" s="1539"/>
      <c r="BD2372" s="1539"/>
      <c r="BE2372" s="1539"/>
      <c r="BF2372" s="1539"/>
      <c r="BG2372" s="1539"/>
      <c r="BH2372" s="1539"/>
      <c r="BI2372" s="1539"/>
      <c r="BJ2372" s="1539"/>
      <c r="BK2372" s="1539"/>
      <c r="BL2372" s="1539"/>
      <c r="BM2372" s="1539"/>
      <c r="BN2372" s="1539"/>
      <c r="BO2372" s="1539"/>
      <c r="BP2372" s="1539"/>
      <c r="BQ2372" s="1539"/>
      <c r="BR2372" s="1539"/>
      <c r="BS2372" s="1539"/>
      <c r="BT2372" s="1539"/>
      <c r="BU2372" s="1539"/>
      <c r="BV2372" s="1539"/>
      <c r="BW2372" s="1539"/>
      <c r="BX2372" s="1539"/>
      <c r="BY2372" s="1539"/>
      <c r="BZ2372" s="1539"/>
      <c r="CA2372" s="1539"/>
      <c r="CB2372" s="1539"/>
      <c r="CC2372" s="1539"/>
      <c r="CD2372" s="1539"/>
      <c r="CE2372" s="1539"/>
      <c r="CF2372" s="1539"/>
      <c r="CG2372" s="1539"/>
      <c r="CH2372" s="1539"/>
      <c r="CI2372" s="1539"/>
      <c r="CJ2372" s="1539"/>
      <c r="CK2372" s="1539"/>
      <c r="CL2372" s="1539"/>
      <c r="CM2372" s="1539"/>
      <c r="CN2372" s="1539"/>
      <c r="CO2372" s="1539"/>
    </row>
    <row r="2373" spans="1:93" s="1552" customFormat="1" ht="15.5">
      <c r="A2373" s="1598"/>
      <c r="B2373" s="1599" t="s">
        <v>1760</v>
      </c>
      <c r="C2373" s="1643" t="e">
        <f>+SUMIF(#REF!,Final!A2373,#REF!)</f>
        <v>#REF!</v>
      </c>
      <c r="D2373" s="1597" t="e">
        <f>+SUMIF(#REF!,Final!A2373,#REF!)</f>
        <v>#REF!</v>
      </c>
      <c r="E2373" s="1643" t="e">
        <f>SUMIF(#REF!,Final!A2373,#REF!)</f>
        <v>#REF!</v>
      </c>
      <c r="F2373" s="1644" t="e">
        <f>SUMIF(#REF!,Final!A2373,#REF!)</f>
        <v>#REF!</v>
      </c>
      <c r="G2373" s="1597" t="e">
        <f t="shared" si="248"/>
        <v>#REF!</v>
      </c>
      <c r="H2373" s="1644" t="e">
        <f t="shared" si="249"/>
        <v>#REF!</v>
      </c>
      <c r="I2373" s="1597" t="e">
        <f t="shared" si="250"/>
        <v>#REF!</v>
      </c>
      <c r="J2373" s="1644" t="e">
        <f t="shared" si="251"/>
        <v>#REF!</v>
      </c>
      <c r="K2373" s="1539"/>
      <c r="L2373" s="1539"/>
      <c r="M2373" s="1545"/>
      <c r="N2373" s="1545"/>
      <c r="O2373" s="1539"/>
      <c r="P2373" s="1539"/>
      <c r="Q2373" s="1539"/>
      <c r="R2373" s="1539"/>
      <c r="S2373" s="1539"/>
      <c r="T2373" s="1539"/>
      <c r="U2373" s="1539"/>
      <c r="V2373" s="1539"/>
      <c r="W2373" s="1539"/>
      <c r="X2373" s="1539"/>
      <c r="Y2373" s="1539"/>
      <c r="Z2373" s="1539"/>
      <c r="AA2373" s="1539"/>
      <c r="AB2373" s="1539"/>
      <c r="AC2373" s="1539"/>
      <c r="AD2373" s="1539"/>
      <c r="AE2373" s="1539"/>
      <c r="AF2373" s="1539"/>
      <c r="AG2373" s="1539"/>
      <c r="AH2373" s="1539"/>
      <c r="AI2373" s="1539"/>
      <c r="AJ2373" s="1539"/>
      <c r="AK2373" s="1539"/>
      <c r="AL2373" s="1539"/>
      <c r="AM2373" s="1539"/>
      <c r="AN2373" s="1539"/>
      <c r="AO2373" s="1539"/>
      <c r="AP2373" s="1539"/>
      <c r="AQ2373" s="1539"/>
      <c r="AR2373" s="1539"/>
      <c r="AS2373" s="1539"/>
      <c r="AT2373" s="1539"/>
      <c r="AU2373" s="1539"/>
      <c r="AV2373" s="1539"/>
      <c r="AW2373" s="1539"/>
      <c r="AX2373" s="1539"/>
      <c r="AY2373" s="1539"/>
      <c r="AZ2373" s="1539"/>
      <c r="BA2373" s="1539"/>
      <c r="BB2373" s="1539"/>
      <c r="BC2373" s="1539"/>
      <c r="BD2373" s="1539"/>
      <c r="BE2373" s="1539"/>
      <c r="BF2373" s="1539"/>
      <c r="BG2373" s="1539"/>
      <c r="BH2373" s="1539"/>
      <c r="BI2373" s="1539"/>
      <c r="BJ2373" s="1539"/>
      <c r="BK2373" s="1539"/>
      <c r="BL2373" s="1539"/>
      <c r="BM2373" s="1539"/>
      <c r="BN2373" s="1539"/>
      <c r="BO2373" s="1539"/>
      <c r="BP2373" s="1539"/>
      <c r="BQ2373" s="1539"/>
      <c r="BR2373" s="1539"/>
      <c r="BS2373" s="1539"/>
      <c r="BT2373" s="1539"/>
      <c r="BU2373" s="1539"/>
      <c r="BV2373" s="1539"/>
      <c r="BW2373" s="1539"/>
      <c r="BX2373" s="1539"/>
      <c r="BY2373" s="1539"/>
      <c r="BZ2373" s="1539"/>
      <c r="CA2373" s="1539"/>
      <c r="CB2373" s="1539"/>
      <c r="CC2373" s="1539"/>
      <c r="CD2373" s="1539"/>
      <c r="CE2373" s="1539"/>
      <c r="CF2373" s="1539"/>
      <c r="CG2373" s="1539"/>
      <c r="CH2373" s="1539"/>
      <c r="CI2373" s="1539"/>
      <c r="CJ2373" s="1539"/>
      <c r="CK2373" s="1539"/>
      <c r="CL2373" s="1539"/>
      <c r="CM2373" s="1539"/>
      <c r="CN2373" s="1539"/>
      <c r="CO2373" s="1539"/>
    </row>
    <row r="2374" spans="1:93" s="1542" customFormat="1" ht="15.5">
      <c r="A2374" s="1598">
        <v>18</v>
      </c>
      <c r="B2374" s="1599" t="s">
        <v>3460</v>
      </c>
      <c r="C2374" s="1643" t="e">
        <f>+SUMIF(#REF!,Final!A2374,#REF!)</f>
        <v>#REF!</v>
      </c>
      <c r="D2374" s="1597" t="e">
        <f>+SUMIF(#REF!,Final!A2374,#REF!)</f>
        <v>#REF!</v>
      </c>
      <c r="E2374" s="1643" t="e">
        <f>SUMIF(#REF!,Final!A2374,#REF!)</f>
        <v>#REF!</v>
      </c>
      <c r="F2374" s="1644" t="e">
        <f>SUMIF(#REF!,Final!A2374,#REF!)</f>
        <v>#REF!</v>
      </c>
      <c r="G2374" s="1597" t="e">
        <f t="shared" ref="G2374:G2437" si="252">C2374+E2374</f>
        <v>#REF!</v>
      </c>
      <c r="H2374" s="1644" t="e">
        <f t="shared" ref="H2374:H2437" si="253">D2374+F2374</f>
        <v>#REF!</v>
      </c>
      <c r="I2374" s="1597" t="e">
        <f t="shared" ref="I2374:I2437" si="254">IF(G2374&gt;H2374,G2374-H2374,0)</f>
        <v>#REF!</v>
      </c>
      <c r="J2374" s="1644" t="e">
        <f t="shared" ref="J2374:J2437" si="255">IF(H2374&gt;G2374,H2374-G2374,0)</f>
        <v>#REF!</v>
      </c>
      <c r="K2374" s="1539"/>
      <c r="L2374" s="1539"/>
      <c r="M2374" s="1545"/>
      <c r="N2374" s="1545"/>
      <c r="O2374" s="1539"/>
      <c r="P2374" s="1539"/>
      <c r="Q2374" s="1539"/>
      <c r="R2374" s="1539"/>
      <c r="S2374" s="1539"/>
      <c r="T2374" s="1539"/>
      <c r="U2374" s="1539"/>
      <c r="V2374" s="1539"/>
      <c r="W2374" s="1539"/>
      <c r="X2374" s="1539"/>
      <c r="Y2374" s="1539"/>
      <c r="Z2374" s="1539"/>
      <c r="AA2374" s="1539"/>
      <c r="AB2374" s="1539"/>
      <c r="AC2374" s="1539"/>
      <c r="AD2374" s="1539"/>
      <c r="AE2374" s="1539"/>
      <c r="AF2374" s="1539"/>
      <c r="AG2374" s="1539"/>
      <c r="AH2374" s="1539"/>
      <c r="AI2374" s="1539"/>
      <c r="AJ2374" s="1539"/>
      <c r="AK2374" s="1539"/>
      <c r="AL2374" s="1539"/>
      <c r="AM2374" s="1539"/>
      <c r="AN2374" s="1539"/>
      <c r="AO2374" s="1539"/>
      <c r="AP2374" s="1539"/>
      <c r="AQ2374" s="1539"/>
      <c r="AR2374" s="1539"/>
      <c r="AS2374" s="1539"/>
      <c r="AT2374" s="1539"/>
      <c r="AU2374" s="1539"/>
      <c r="AV2374" s="1539"/>
      <c r="AW2374" s="1539"/>
      <c r="AX2374" s="1539"/>
      <c r="AY2374" s="1539"/>
      <c r="AZ2374" s="1539"/>
      <c r="BA2374" s="1539"/>
      <c r="BB2374" s="1539"/>
      <c r="BC2374" s="1539"/>
      <c r="BD2374" s="1539"/>
      <c r="BE2374" s="1539"/>
      <c r="BF2374" s="1539"/>
      <c r="BG2374" s="1539"/>
      <c r="BH2374" s="1539"/>
      <c r="BI2374" s="1539"/>
      <c r="BJ2374" s="1539"/>
      <c r="BK2374" s="1539"/>
      <c r="BL2374" s="1539"/>
      <c r="BM2374" s="1539"/>
      <c r="BN2374" s="1539"/>
      <c r="BO2374" s="1539"/>
      <c r="BP2374" s="1539"/>
      <c r="BQ2374" s="1539"/>
      <c r="BR2374" s="1539"/>
      <c r="BS2374" s="1539"/>
      <c r="BT2374" s="1539"/>
      <c r="BU2374" s="1539"/>
      <c r="BV2374" s="1539"/>
      <c r="BW2374" s="1539"/>
      <c r="BX2374" s="1539"/>
      <c r="BY2374" s="1539"/>
      <c r="BZ2374" s="1539"/>
      <c r="CA2374" s="1539"/>
      <c r="CB2374" s="1539"/>
      <c r="CC2374" s="1539"/>
      <c r="CD2374" s="1539"/>
      <c r="CE2374" s="1539"/>
      <c r="CF2374" s="1539"/>
      <c r="CG2374" s="1539"/>
      <c r="CH2374" s="1539"/>
      <c r="CI2374" s="1539"/>
      <c r="CJ2374" s="1539"/>
      <c r="CK2374" s="1539"/>
      <c r="CL2374" s="1539"/>
      <c r="CM2374" s="1539"/>
      <c r="CN2374" s="1539"/>
      <c r="CO2374" s="1539"/>
    </row>
    <row r="2375" spans="1:93" s="1542" customFormat="1" ht="15.5">
      <c r="A2375" s="1598" t="s">
        <v>1818</v>
      </c>
      <c r="B2375" s="1599" t="s">
        <v>1767</v>
      </c>
      <c r="C2375" s="1643" t="e">
        <f>+SUMIF(#REF!,Final!A2375,#REF!)</f>
        <v>#REF!</v>
      </c>
      <c r="D2375" s="1597" t="e">
        <f>+SUMIF(#REF!,Final!A2375,#REF!)</f>
        <v>#REF!</v>
      </c>
      <c r="E2375" s="1643" t="e">
        <f>SUMIF(#REF!,Final!A2375,#REF!)</f>
        <v>#REF!</v>
      </c>
      <c r="F2375" s="1644" t="e">
        <f>SUMIF(#REF!,Final!A2375,#REF!)</f>
        <v>#REF!</v>
      </c>
      <c r="G2375" s="1597" t="e">
        <f t="shared" si="252"/>
        <v>#REF!</v>
      </c>
      <c r="H2375" s="1644" t="e">
        <f t="shared" si="253"/>
        <v>#REF!</v>
      </c>
      <c r="I2375" s="1597" t="e">
        <f t="shared" si="254"/>
        <v>#REF!</v>
      </c>
      <c r="J2375" s="1644" t="e">
        <f t="shared" si="255"/>
        <v>#REF!</v>
      </c>
      <c r="K2375" s="1539"/>
      <c r="L2375" s="1539"/>
      <c r="M2375" s="1545"/>
      <c r="N2375" s="1545"/>
      <c r="O2375" s="1539"/>
      <c r="P2375" s="1539"/>
      <c r="Q2375" s="1539"/>
      <c r="R2375" s="1539"/>
      <c r="S2375" s="1539"/>
      <c r="T2375" s="1539"/>
      <c r="U2375" s="1539"/>
      <c r="V2375" s="1539"/>
      <c r="W2375" s="1539"/>
      <c r="X2375" s="1539"/>
      <c r="Y2375" s="1539"/>
      <c r="Z2375" s="1539"/>
      <c r="AA2375" s="1539"/>
      <c r="AB2375" s="1539"/>
      <c r="AC2375" s="1539"/>
      <c r="AD2375" s="1539"/>
      <c r="AE2375" s="1539"/>
      <c r="AF2375" s="1539"/>
      <c r="AG2375" s="1539"/>
      <c r="AH2375" s="1539"/>
      <c r="AI2375" s="1539"/>
      <c r="AJ2375" s="1539"/>
      <c r="AK2375" s="1539"/>
      <c r="AL2375" s="1539"/>
      <c r="AM2375" s="1539"/>
      <c r="AN2375" s="1539"/>
      <c r="AO2375" s="1539"/>
      <c r="AP2375" s="1539"/>
      <c r="AQ2375" s="1539"/>
      <c r="AR2375" s="1539"/>
      <c r="AS2375" s="1539"/>
      <c r="AT2375" s="1539"/>
      <c r="AU2375" s="1539"/>
      <c r="AV2375" s="1539"/>
      <c r="AW2375" s="1539"/>
      <c r="AX2375" s="1539"/>
      <c r="AY2375" s="1539"/>
      <c r="AZ2375" s="1539"/>
      <c r="BA2375" s="1539"/>
      <c r="BB2375" s="1539"/>
      <c r="BC2375" s="1539"/>
      <c r="BD2375" s="1539"/>
      <c r="BE2375" s="1539"/>
      <c r="BF2375" s="1539"/>
      <c r="BG2375" s="1539"/>
      <c r="BH2375" s="1539"/>
      <c r="BI2375" s="1539"/>
      <c r="BJ2375" s="1539"/>
      <c r="BK2375" s="1539"/>
      <c r="BL2375" s="1539"/>
      <c r="BM2375" s="1539"/>
      <c r="BN2375" s="1539"/>
      <c r="BO2375" s="1539"/>
      <c r="BP2375" s="1539"/>
      <c r="BQ2375" s="1539"/>
      <c r="BR2375" s="1539"/>
      <c r="BS2375" s="1539"/>
      <c r="BT2375" s="1539"/>
      <c r="BU2375" s="1539"/>
      <c r="BV2375" s="1539"/>
      <c r="BW2375" s="1539"/>
      <c r="BX2375" s="1539"/>
      <c r="BY2375" s="1539"/>
      <c r="BZ2375" s="1539"/>
      <c r="CA2375" s="1539"/>
      <c r="CB2375" s="1539"/>
      <c r="CC2375" s="1539"/>
      <c r="CD2375" s="1539"/>
      <c r="CE2375" s="1539"/>
      <c r="CF2375" s="1539"/>
      <c r="CG2375" s="1539"/>
      <c r="CH2375" s="1539"/>
      <c r="CI2375" s="1539"/>
      <c r="CJ2375" s="1539"/>
      <c r="CK2375" s="1539"/>
      <c r="CL2375" s="1539"/>
      <c r="CM2375" s="1539"/>
      <c r="CN2375" s="1539"/>
      <c r="CO2375" s="1539"/>
    </row>
    <row r="2376" spans="1:93" ht="15.5">
      <c r="A2376" s="1598">
        <v>51.238</v>
      </c>
      <c r="B2376" s="1599" t="s">
        <v>1767</v>
      </c>
      <c r="C2376" s="1643" t="e">
        <f>+SUMIF(#REF!,Final!A2376,#REF!)</f>
        <v>#REF!</v>
      </c>
      <c r="D2376" s="1597" t="e">
        <f>+SUMIF(#REF!,Final!A2376,#REF!)</f>
        <v>#REF!</v>
      </c>
      <c r="E2376" s="1643" t="e">
        <f>SUMIF(#REF!,Final!A2376,#REF!)</f>
        <v>#REF!</v>
      </c>
      <c r="F2376" s="1644" t="e">
        <f>SUMIF(#REF!,Final!A2376,#REF!)</f>
        <v>#REF!</v>
      </c>
      <c r="G2376" s="1597" t="e">
        <f t="shared" si="252"/>
        <v>#REF!</v>
      </c>
      <c r="H2376" s="1644" t="e">
        <f t="shared" si="253"/>
        <v>#REF!</v>
      </c>
      <c r="I2376" s="1597" t="e">
        <f t="shared" si="254"/>
        <v>#REF!</v>
      </c>
      <c r="J2376" s="1644" t="e">
        <f t="shared" si="255"/>
        <v>#REF!</v>
      </c>
      <c r="M2376" s="1545"/>
      <c r="N2376" s="1545"/>
    </row>
    <row r="2377" spans="1:93" s="1552" customFormat="1" ht="15.5">
      <c r="A2377" s="1598"/>
      <c r="B2377" s="1599" t="s">
        <v>1747</v>
      </c>
      <c r="C2377" s="1643" t="e">
        <f>+SUMIF(#REF!,Final!A2377,#REF!)</f>
        <v>#REF!</v>
      </c>
      <c r="D2377" s="1597" t="e">
        <f>+SUMIF(#REF!,Final!A2377,#REF!)</f>
        <v>#REF!</v>
      </c>
      <c r="E2377" s="1643" t="e">
        <f>SUMIF(#REF!,Final!A2377,#REF!)</f>
        <v>#REF!</v>
      </c>
      <c r="F2377" s="1644" t="e">
        <f>SUMIF(#REF!,Final!A2377,#REF!)</f>
        <v>#REF!</v>
      </c>
      <c r="G2377" s="1597" t="e">
        <f t="shared" si="252"/>
        <v>#REF!</v>
      </c>
      <c r="H2377" s="1644" t="e">
        <f t="shared" si="253"/>
        <v>#REF!</v>
      </c>
      <c r="I2377" s="1597" t="e">
        <f t="shared" si="254"/>
        <v>#REF!</v>
      </c>
      <c r="J2377" s="1644" t="e">
        <f t="shared" si="255"/>
        <v>#REF!</v>
      </c>
      <c r="K2377" s="1539"/>
      <c r="L2377" s="1539"/>
      <c r="M2377" s="1545"/>
      <c r="N2377" s="1545"/>
      <c r="O2377" s="1539"/>
      <c r="P2377" s="1539"/>
      <c r="Q2377" s="1539"/>
      <c r="R2377" s="1539"/>
      <c r="S2377" s="1539"/>
      <c r="T2377" s="1539"/>
      <c r="U2377" s="1539"/>
      <c r="V2377" s="1539"/>
      <c r="W2377" s="1539"/>
      <c r="X2377" s="1539"/>
      <c r="Y2377" s="1539"/>
      <c r="Z2377" s="1539"/>
      <c r="AA2377" s="1539"/>
      <c r="AB2377" s="1539"/>
      <c r="AC2377" s="1539"/>
      <c r="AD2377" s="1539"/>
      <c r="AE2377" s="1539"/>
      <c r="AF2377" s="1539"/>
      <c r="AG2377" s="1539"/>
      <c r="AH2377" s="1539"/>
      <c r="AI2377" s="1539"/>
      <c r="AJ2377" s="1539"/>
      <c r="AK2377" s="1539"/>
      <c r="AL2377" s="1539"/>
      <c r="AM2377" s="1539"/>
      <c r="AN2377" s="1539"/>
      <c r="AO2377" s="1539"/>
      <c r="AP2377" s="1539"/>
      <c r="AQ2377" s="1539"/>
      <c r="AR2377" s="1539"/>
      <c r="AS2377" s="1539"/>
      <c r="AT2377" s="1539"/>
      <c r="AU2377" s="1539"/>
      <c r="AV2377" s="1539"/>
      <c r="AW2377" s="1539"/>
      <c r="AX2377" s="1539"/>
      <c r="AY2377" s="1539"/>
      <c r="AZ2377" s="1539"/>
      <c r="BA2377" s="1539"/>
      <c r="BB2377" s="1539"/>
      <c r="BC2377" s="1539"/>
      <c r="BD2377" s="1539"/>
      <c r="BE2377" s="1539"/>
      <c r="BF2377" s="1539"/>
      <c r="BG2377" s="1539"/>
      <c r="BH2377" s="1539"/>
      <c r="BI2377" s="1539"/>
      <c r="BJ2377" s="1539"/>
      <c r="BK2377" s="1539"/>
      <c r="BL2377" s="1539"/>
      <c r="BM2377" s="1539"/>
      <c r="BN2377" s="1539"/>
      <c r="BO2377" s="1539"/>
      <c r="BP2377" s="1539"/>
      <c r="BQ2377" s="1539"/>
      <c r="BR2377" s="1539"/>
      <c r="BS2377" s="1539"/>
      <c r="BT2377" s="1539"/>
      <c r="BU2377" s="1539"/>
      <c r="BV2377" s="1539"/>
      <c r="BW2377" s="1539"/>
      <c r="BX2377" s="1539"/>
      <c r="BY2377" s="1539"/>
      <c r="BZ2377" s="1539"/>
      <c r="CA2377" s="1539"/>
      <c r="CB2377" s="1539"/>
      <c r="CC2377" s="1539"/>
      <c r="CD2377" s="1539"/>
      <c r="CE2377" s="1539"/>
      <c r="CF2377" s="1539"/>
      <c r="CG2377" s="1539"/>
      <c r="CH2377" s="1539"/>
      <c r="CI2377" s="1539"/>
      <c r="CJ2377" s="1539"/>
      <c r="CK2377" s="1539"/>
      <c r="CL2377" s="1539"/>
      <c r="CM2377" s="1539"/>
      <c r="CN2377" s="1539"/>
      <c r="CO2377" s="1539"/>
    </row>
    <row r="2378" spans="1:93" s="1552" customFormat="1" ht="15.5">
      <c r="A2378" s="1598" t="s">
        <v>3464</v>
      </c>
      <c r="B2378" s="1599" t="s">
        <v>1760</v>
      </c>
      <c r="C2378" s="1643" t="e">
        <f>+SUMIF(#REF!,Final!A2378,#REF!)</f>
        <v>#REF!</v>
      </c>
      <c r="D2378" s="1597" t="e">
        <f>+SUMIF(#REF!,Final!A2378,#REF!)</f>
        <v>#REF!</v>
      </c>
      <c r="E2378" s="1643" t="e">
        <f>SUMIF(#REF!,Final!A2378,#REF!)</f>
        <v>#REF!</v>
      </c>
      <c r="F2378" s="1644" t="e">
        <f>SUMIF(#REF!,Final!A2378,#REF!)</f>
        <v>#REF!</v>
      </c>
      <c r="G2378" s="1597" t="e">
        <f t="shared" si="252"/>
        <v>#REF!</v>
      </c>
      <c r="H2378" s="1644" t="e">
        <f t="shared" si="253"/>
        <v>#REF!</v>
      </c>
      <c r="I2378" s="1597" t="e">
        <f t="shared" si="254"/>
        <v>#REF!</v>
      </c>
      <c r="J2378" s="1644" t="e">
        <f t="shared" si="255"/>
        <v>#REF!</v>
      </c>
      <c r="K2378" s="1539"/>
      <c r="L2378" s="1539"/>
      <c r="M2378" s="1545"/>
      <c r="N2378" s="1545"/>
      <c r="O2378" s="1539"/>
      <c r="P2378" s="1539"/>
      <c r="Q2378" s="1539"/>
      <c r="R2378" s="1539"/>
      <c r="S2378" s="1539"/>
      <c r="T2378" s="1539"/>
      <c r="U2378" s="1539"/>
      <c r="V2378" s="1539"/>
      <c r="W2378" s="1539"/>
      <c r="X2378" s="1539"/>
      <c r="Y2378" s="1539"/>
      <c r="Z2378" s="1539"/>
      <c r="AA2378" s="1539"/>
      <c r="AB2378" s="1539"/>
      <c r="AC2378" s="1539"/>
      <c r="AD2378" s="1539"/>
      <c r="AE2378" s="1539"/>
      <c r="AF2378" s="1539"/>
      <c r="AG2378" s="1539"/>
      <c r="AH2378" s="1539"/>
      <c r="AI2378" s="1539"/>
      <c r="AJ2378" s="1539"/>
      <c r="AK2378" s="1539"/>
      <c r="AL2378" s="1539"/>
      <c r="AM2378" s="1539"/>
      <c r="AN2378" s="1539"/>
      <c r="AO2378" s="1539"/>
      <c r="AP2378" s="1539"/>
      <c r="AQ2378" s="1539"/>
      <c r="AR2378" s="1539"/>
      <c r="AS2378" s="1539"/>
      <c r="AT2378" s="1539"/>
      <c r="AU2378" s="1539"/>
      <c r="AV2378" s="1539"/>
      <c r="AW2378" s="1539"/>
      <c r="AX2378" s="1539"/>
      <c r="AY2378" s="1539"/>
      <c r="AZ2378" s="1539"/>
      <c r="BA2378" s="1539"/>
      <c r="BB2378" s="1539"/>
      <c r="BC2378" s="1539"/>
      <c r="BD2378" s="1539"/>
      <c r="BE2378" s="1539"/>
      <c r="BF2378" s="1539"/>
      <c r="BG2378" s="1539"/>
      <c r="BH2378" s="1539"/>
      <c r="BI2378" s="1539"/>
      <c r="BJ2378" s="1539"/>
      <c r="BK2378" s="1539"/>
      <c r="BL2378" s="1539"/>
      <c r="BM2378" s="1539"/>
      <c r="BN2378" s="1539"/>
      <c r="BO2378" s="1539"/>
      <c r="BP2378" s="1539"/>
      <c r="BQ2378" s="1539"/>
      <c r="BR2378" s="1539"/>
      <c r="BS2378" s="1539"/>
      <c r="BT2378" s="1539"/>
      <c r="BU2378" s="1539"/>
      <c r="BV2378" s="1539"/>
      <c r="BW2378" s="1539"/>
      <c r="BX2378" s="1539"/>
      <c r="BY2378" s="1539"/>
      <c r="BZ2378" s="1539"/>
      <c r="CA2378" s="1539"/>
      <c r="CB2378" s="1539"/>
      <c r="CC2378" s="1539"/>
      <c r="CD2378" s="1539"/>
      <c r="CE2378" s="1539"/>
      <c r="CF2378" s="1539"/>
      <c r="CG2378" s="1539"/>
      <c r="CH2378" s="1539"/>
      <c r="CI2378" s="1539"/>
      <c r="CJ2378" s="1539"/>
      <c r="CK2378" s="1539"/>
      <c r="CL2378" s="1539"/>
      <c r="CM2378" s="1539"/>
      <c r="CN2378" s="1539"/>
      <c r="CO2378" s="1539"/>
    </row>
    <row r="2379" spans="1:93" s="1542" customFormat="1" ht="15.5">
      <c r="A2379" s="1598">
        <v>16</v>
      </c>
      <c r="B2379" s="1599" t="s">
        <v>1746</v>
      </c>
      <c r="C2379" s="1643" t="e">
        <f>+SUMIF(#REF!,Final!A2379,#REF!)</f>
        <v>#REF!</v>
      </c>
      <c r="D2379" s="1597" t="e">
        <f>+SUMIF(#REF!,Final!A2379,#REF!)</f>
        <v>#REF!</v>
      </c>
      <c r="E2379" s="1643" t="e">
        <f>SUMIF(#REF!,Final!A2379,#REF!)</f>
        <v>#REF!</v>
      </c>
      <c r="F2379" s="1644" t="e">
        <f>SUMIF(#REF!,Final!A2379,#REF!)</f>
        <v>#REF!</v>
      </c>
      <c r="G2379" s="1597" t="e">
        <f t="shared" si="252"/>
        <v>#REF!</v>
      </c>
      <c r="H2379" s="1644" t="e">
        <f t="shared" si="253"/>
        <v>#REF!</v>
      </c>
      <c r="I2379" s="1597" t="e">
        <f t="shared" si="254"/>
        <v>#REF!</v>
      </c>
      <c r="J2379" s="1644" t="e">
        <f t="shared" si="255"/>
        <v>#REF!</v>
      </c>
      <c r="K2379" s="1539"/>
      <c r="L2379" s="1539"/>
      <c r="M2379" s="1545"/>
      <c r="N2379" s="1545"/>
      <c r="O2379" s="1539"/>
      <c r="P2379" s="1539"/>
      <c r="Q2379" s="1539"/>
      <c r="R2379" s="1539"/>
      <c r="S2379" s="1539"/>
      <c r="T2379" s="1539"/>
      <c r="U2379" s="1539"/>
      <c r="V2379" s="1539"/>
      <c r="W2379" s="1539"/>
      <c r="X2379" s="1539"/>
      <c r="Y2379" s="1539"/>
      <c r="Z2379" s="1539"/>
      <c r="AA2379" s="1539"/>
      <c r="AB2379" s="1539"/>
      <c r="AC2379" s="1539"/>
      <c r="AD2379" s="1539"/>
      <c r="AE2379" s="1539"/>
      <c r="AF2379" s="1539"/>
      <c r="AG2379" s="1539"/>
      <c r="AH2379" s="1539"/>
      <c r="AI2379" s="1539"/>
      <c r="AJ2379" s="1539"/>
      <c r="AK2379" s="1539"/>
      <c r="AL2379" s="1539"/>
      <c r="AM2379" s="1539"/>
      <c r="AN2379" s="1539"/>
      <c r="AO2379" s="1539"/>
      <c r="AP2379" s="1539"/>
      <c r="AQ2379" s="1539"/>
      <c r="AR2379" s="1539"/>
      <c r="AS2379" s="1539"/>
      <c r="AT2379" s="1539"/>
      <c r="AU2379" s="1539"/>
      <c r="AV2379" s="1539"/>
      <c r="AW2379" s="1539"/>
      <c r="AX2379" s="1539"/>
      <c r="AY2379" s="1539"/>
      <c r="AZ2379" s="1539"/>
      <c r="BA2379" s="1539"/>
      <c r="BB2379" s="1539"/>
      <c r="BC2379" s="1539"/>
      <c r="BD2379" s="1539"/>
      <c r="BE2379" s="1539"/>
      <c r="BF2379" s="1539"/>
      <c r="BG2379" s="1539"/>
      <c r="BH2379" s="1539"/>
      <c r="BI2379" s="1539"/>
      <c r="BJ2379" s="1539"/>
      <c r="BK2379" s="1539"/>
      <c r="BL2379" s="1539"/>
      <c r="BM2379" s="1539"/>
      <c r="BN2379" s="1539"/>
      <c r="BO2379" s="1539"/>
      <c r="BP2379" s="1539"/>
      <c r="BQ2379" s="1539"/>
      <c r="BR2379" s="1539"/>
      <c r="BS2379" s="1539"/>
      <c r="BT2379" s="1539"/>
      <c r="BU2379" s="1539"/>
      <c r="BV2379" s="1539"/>
      <c r="BW2379" s="1539"/>
      <c r="BX2379" s="1539"/>
      <c r="BY2379" s="1539"/>
      <c r="BZ2379" s="1539"/>
      <c r="CA2379" s="1539"/>
      <c r="CB2379" s="1539"/>
      <c r="CC2379" s="1539"/>
      <c r="CD2379" s="1539"/>
      <c r="CE2379" s="1539"/>
      <c r="CF2379" s="1539"/>
      <c r="CG2379" s="1539"/>
      <c r="CH2379" s="1539"/>
      <c r="CI2379" s="1539"/>
      <c r="CJ2379" s="1539"/>
      <c r="CK2379" s="1539"/>
      <c r="CL2379" s="1539"/>
      <c r="CM2379" s="1539"/>
      <c r="CN2379" s="1539"/>
      <c r="CO2379" s="1539"/>
    </row>
    <row r="2380" spans="1:93" s="1542" customFormat="1" ht="15.5">
      <c r="A2380" s="1598">
        <v>52.101999999999997</v>
      </c>
      <c r="B2380" s="1599" t="s">
        <v>49</v>
      </c>
      <c r="C2380" s="1643" t="e">
        <f>+SUMIF(#REF!,Final!A2380,#REF!)</f>
        <v>#REF!</v>
      </c>
      <c r="D2380" s="1597" t="e">
        <f>+SUMIF(#REF!,Final!A2380,#REF!)</f>
        <v>#REF!</v>
      </c>
      <c r="E2380" s="1643" t="e">
        <f>SUMIF(#REF!,Final!A2380,#REF!)</f>
        <v>#REF!</v>
      </c>
      <c r="F2380" s="1644" t="e">
        <f>SUMIF(#REF!,Final!A2380,#REF!)</f>
        <v>#REF!</v>
      </c>
      <c r="G2380" s="1597" t="e">
        <f t="shared" si="252"/>
        <v>#REF!</v>
      </c>
      <c r="H2380" s="1644" t="e">
        <f t="shared" si="253"/>
        <v>#REF!</v>
      </c>
      <c r="I2380" s="1597" t="e">
        <f t="shared" si="254"/>
        <v>#REF!</v>
      </c>
      <c r="J2380" s="1644" t="e">
        <f t="shared" si="255"/>
        <v>#REF!</v>
      </c>
      <c r="K2380" s="1539"/>
      <c r="L2380" s="1539"/>
      <c r="M2380" s="1545"/>
      <c r="N2380" s="1545"/>
      <c r="O2380" s="1539"/>
      <c r="P2380" s="1539"/>
      <c r="Q2380" s="1539"/>
      <c r="R2380" s="1539"/>
      <c r="S2380" s="1539"/>
      <c r="T2380" s="1539"/>
      <c r="U2380" s="1539"/>
      <c r="V2380" s="1539"/>
      <c r="W2380" s="1539"/>
      <c r="X2380" s="1539"/>
      <c r="Y2380" s="1539"/>
      <c r="Z2380" s="1539"/>
      <c r="AA2380" s="1539"/>
      <c r="AB2380" s="1539"/>
      <c r="AC2380" s="1539"/>
      <c r="AD2380" s="1539"/>
      <c r="AE2380" s="1539"/>
      <c r="AF2380" s="1539"/>
      <c r="AG2380" s="1539"/>
      <c r="AH2380" s="1539"/>
      <c r="AI2380" s="1539"/>
      <c r="AJ2380" s="1539"/>
      <c r="AK2380" s="1539"/>
      <c r="AL2380" s="1539"/>
      <c r="AM2380" s="1539"/>
      <c r="AN2380" s="1539"/>
      <c r="AO2380" s="1539"/>
      <c r="AP2380" s="1539"/>
      <c r="AQ2380" s="1539"/>
      <c r="AR2380" s="1539"/>
      <c r="AS2380" s="1539"/>
      <c r="AT2380" s="1539"/>
      <c r="AU2380" s="1539"/>
      <c r="AV2380" s="1539"/>
      <c r="AW2380" s="1539"/>
      <c r="AX2380" s="1539"/>
      <c r="AY2380" s="1539"/>
      <c r="AZ2380" s="1539"/>
      <c r="BA2380" s="1539"/>
      <c r="BB2380" s="1539"/>
      <c r="BC2380" s="1539"/>
      <c r="BD2380" s="1539"/>
      <c r="BE2380" s="1539"/>
      <c r="BF2380" s="1539"/>
      <c r="BG2380" s="1539"/>
      <c r="BH2380" s="1539"/>
      <c r="BI2380" s="1539"/>
      <c r="BJ2380" s="1539"/>
      <c r="BK2380" s="1539"/>
      <c r="BL2380" s="1539"/>
      <c r="BM2380" s="1539"/>
      <c r="BN2380" s="1539"/>
      <c r="BO2380" s="1539"/>
      <c r="BP2380" s="1539"/>
      <c r="BQ2380" s="1539"/>
      <c r="BR2380" s="1539"/>
      <c r="BS2380" s="1539"/>
      <c r="BT2380" s="1539"/>
      <c r="BU2380" s="1539"/>
      <c r="BV2380" s="1539"/>
      <c r="BW2380" s="1539"/>
      <c r="BX2380" s="1539"/>
      <c r="BY2380" s="1539"/>
      <c r="BZ2380" s="1539"/>
      <c r="CA2380" s="1539"/>
      <c r="CB2380" s="1539"/>
      <c r="CC2380" s="1539"/>
      <c r="CD2380" s="1539"/>
      <c r="CE2380" s="1539"/>
      <c r="CF2380" s="1539"/>
      <c r="CG2380" s="1539"/>
      <c r="CH2380" s="1539"/>
      <c r="CI2380" s="1539"/>
      <c r="CJ2380" s="1539"/>
      <c r="CK2380" s="1539"/>
      <c r="CL2380" s="1539"/>
      <c r="CM2380" s="1539"/>
      <c r="CN2380" s="1539"/>
      <c r="CO2380" s="1539"/>
    </row>
    <row r="2381" spans="1:93" s="1552" customFormat="1" ht="15.5">
      <c r="A2381" s="1598"/>
      <c r="B2381" s="1599" t="s">
        <v>1747</v>
      </c>
      <c r="C2381" s="1643" t="e">
        <f>+SUMIF(#REF!,Final!A2381,#REF!)</f>
        <v>#REF!</v>
      </c>
      <c r="D2381" s="1597" t="e">
        <f>+SUMIF(#REF!,Final!A2381,#REF!)</f>
        <v>#REF!</v>
      </c>
      <c r="E2381" s="1643" t="e">
        <f>SUMIF(#REF!,Final!A2381,#REF!)</f>
        <v>#REF!</v>
      </c>
      <c r="F2381" s="1644" t="e">
        <f>SUMIF(#REF!,Final!A2381,#REF!)</f>
        <v>#REF!</v>
      </c>
      <c r="G2381" s="1597" t="e">
        <f t="shared" si="252"/>
        <v>#REF!</v>
      </c>
      <c r="H2381" s="1644" t="e">
        <f t="shared" si="253"/>
        <v>#REF!</v>
      </c>
      <c r="I2381" s="1597" t="e">
        <f t="shared" si="254"/>
        <v>#REF!</v>
      </c>
      <c r="J2381" s="1644" t="e">
        <f t="shared" si="255"/>
        <v>#REF!</v>
      </c>
      <c r="K2381" s="1539"/>
      <c r="L2381" s="1539"/>
      <c r="M2381" s="1545"/>
      <c r="N2381" s="1545"/>
      <c r="O2381" s="1539"/>
      <c r="P2381" s="1539"/>
      <c r="Q2381" s="1539"/>
      <c r="R2381" s="1539"/>
      <c r="S2381" s="1539"/>
      <c r="T2381" s="1539"/>
      <c r="U2381" s="1539"/>
      <c r="V2381" s="1539"/>
      <c r="W2381" s="1539"/>
      <c r="X2381" s="1539"/>
      <c r="Y2381" s="1539"/>
      <c r="Z2381" s="1539"/>
      <c r="AA2381" s="1539"/>
      <c r="AB2381" s="1539"/>
      <c r="AC2381" s="1539"/>
      <c r="AD2381" s="1539"/>
      <c r="AE2381" s="1539"/>
      <c r="AF2381" s="1539"/>
      <c r="AG2381" s="1539"/>
      <c r="AH2381" s="1539"/>
      <c r="AI2381" s="1539"/>
      <c r="AJ2381" s="1539"/>
      <c r="AK2381" s="1539"/>
      <c r="AL2381" s="1539"/>
      <c r="AM2381" s="1539"/>
      <c r="AN2381" s="1539"/>
      <c r="AO2381" s="1539"/>
      <c r="AP2381" s="1539"/>
      <c r="AQ2381" s="1539"/>
      <c r="AR2381" s="1539"/>
      <c r="AS2381" s="1539"/>
      <c r="AT2381" s="1539"/>
      <c r="AU2381" s="1539"/>
      <c r="AV2381" s="1539"/>
      <c r="AW2381" s="1539"/>
      <c r="AX2381" s="1539"/>
      <c r="AY2381" s="1539"/>
      <c r="AZ2381" s="1539"/>
      <c r="BA2381" s="1539"/>
      <c r="BB2381" s="1539"/>
      <c r="BC2381" s="1539"/>
      <c r="BD2381" s="1539"/>
      <c r="BE2381" s="1539"/>
      <c r="BF2381" s="1539"/>
      <c r="BG2381" s="1539"/>
      <c r="BH2381" s="1539"/>
      <c r="BI2381" s="1539"/>
      <c r="BJ2381" s="1539"/>
      <c r="BK2381" s="1539"/>
      <c r="BL2381" s="1539"/>
      <c r="BM2381" s="1539"/>
      <c r="BN2381" s="1539"/>
      <c r="BO2381" s="1539"/>
      <c r="BP2381" s="1539"/>
      <c r="BQ2381" s="1539"/>
      <c r="BR2381" s="1539"/>
      <c r="BS2381" s="1539"/>
      <c r="BT2381" s="1539"/>
      <c r="BU2381" s="1539"/>
      <c r="BV2381" s="1539"/>
      <c r="BW2381" s="1539"/>
      <c r="BX2381" s="1539"/>
      <c r="BY2381" s="1539"/>
      <c r="BZ2381" s="1539"/>
      <c r="CA2381" s="1539"/>
      <c r="CB2381" s="1539"/>
      <c r="CC2381" s="1539"/>
      <c r="CD2381" s="1539"/>
      <c r="CE2381" s="1539"/>
      <c r="CF2381" s="1539"/>
      <c r="CG2381" s="1539"/>
      <c r="CH2381" s="1539"/>
      <c r="CI2381" s="1539"/>
      <c r="CJ2381" s="1539"/>
      <c r="CK2381" s="1539"/>
      <c r="CL2381" s="1539"/>
      <c r="CM2381" s="1539"/>
      <c r="CN2381" s="1539"/>
      <c r="CO2381" s="1539"/>
    </row>
    <row r="2382" spans="1:93" s="1552" customFormat="1" ht="15.5">
      <c r="A2382" s="1598" t="s">
        <v>3475</v>
      </c>
      <c r="B2382" s="1599" t="s">
        <v>1748</v>
      </c>
      <c r="C2382" s="1643" t="e">
        <f>+SUMIF(#REF!,Final!A2382,#REF!)</f>
        <v>#REF!</v>
      </c>
      <c r="D2382" s="1597" t="e">
        <f>+SUMIF(#REF!,Final!A2382,#REF!)</f>
        <v>#REF!</v>
      </c>
      <c r="E2382" s="1643" t="e">
        <f>SUMIF(#REF!,Final!A2382,#REF!)</f>
        <v>#REF!</v>
      </c>
      <c r="F2382" s="1644" t="e">
        <f>SUMIF(#REF!,Final!A2382,#REF!)</f>
        <v>#REF!</v>
      </c>
      <c r="G2382" s="1597" t="e">
        <f t="shared" si="252"/>
        <v>#REF!</v>
      </c>
      <c r="H2382" s="1644" t="e">
        <f t="shared" si="253"/>
        <v>#REF!</v>
      </c>
      <c r="I2382" s="1597" t="e">
        <f t="shared" si="254"/>
        <v>#REF!</v>
      </c>
      <c r="J2382" s="1644" t="e">
        <f t="shared" si="255"/>
        <v>#REF!</v>
      </c>
      <c r="K2382" s="1539"/>
      <c r="L2382" s="1539"/>
      <c r="M2382" s="1545"/>
      <c r="N2382" s="1545"/>
      <c r="O2382" s="1539"/>
      <c r="P2382" s="1539"/>
      <c r="Q2382" s="1539"/>
      <c r="R2382" s="1539"/>
      <c r="S2382" s="1539"/>
      <c r="T2382" s="1539"/>
      <c r="U2382" s="1539"/>
      <c r="V2382" s="1539"/>
      <c r="W2382" s="1539"/>
      <c r="X2382" s="1539"/>
      <c r="Y2382" s="1539"/>
      <c r="Z2382" s="1539"/>
      <c r="AA2382" s="1539"/>
      <c r="AB2382" s="1539"/>
      <c r="AC2382" s="1539"/>
      <c r="AD2382" s="1539"/>
      <c r="AE2382" s="1539"/>
      <c r="AF2382" s="1539"/>
      <c r="AG2382" s="1539"/>
      <c r="AH2382" s="1539"/>
      <c r="AI2382" s="1539"/>
      <c r="AJ2382" s="1539"/>
      <c r="AK2382" s="1539"/>
      <c r="AL2382" s="1539"/>
      <c r="AM2382" s="1539"/>
      <c r="AN2382" s="1539"/>
      <c r="AO2382" s="1539"/>
      <c r="AP2382" s="1539"/>
      <c r="AQ2382" s="1539"/>
      <c r="AR2382" s="1539"/>
      <c r="AS2382" s="1539"/>
      <c r="AT2382" s="1539"/>
      <c r="AU2382" s="1539"/>
      <c r="AV2382" s="1539"/>
      <c r="AW2382" s="1539"/>
      <c r="AX2382" s="1539"/>
      <c r="AY2382" s="1539"/>
      <c r="AZ2382" s="1539"/>
      <c r="BA2382" s="1539"/>
      <c r="BB2382" s="1539"/>
      <c r="BC2382" s="1539"/>
      <c r="BD2382" s="1539"/>
      <c r="BE2382" s="1539"/>
      <c r="BF2382" s="1539"/>
      <c r="BG2382" s="1539"/>
      <c r="BH2382" s="1539"/>
      <c r="BI2382" s="1539"/>
      <c r="BJ2382" s="1539"/>
      <c r="BK2382" s="1539"/>
      <c r="BL2382" s="1539"/>
      <c r="BM2382" s="1539"/>
      <c r="BN2382" s="1539"/>
      <c r="BO2382" s="1539"/>
      <c r="BP2382" s="1539"/>
      <c r="BQ2382" s="1539"/>
      <c r="BR2382" s="1539"/>
      <c r="BS2382" s="1539"/>
      <c r="BT2382" s="1539"/>
      <c r="BU2382" s="1539"/>
      <c r="BV2382" s="1539"/>
      <c r="BW2382" s="1539"/>
      <c r="BX2382" s="1539"/>
      <c r="BY2382" s="1539"/>
      <c r="BZ2382" s="1539"/>
      <c r="CA2382" s="1539"/>
      <c r="CB2382" s="1539"/>
      <c r="CC2382" s="1539"/>
      <c r="CD2382" s="1539"/>
      <c r="CE2382" s="1539"/>
      <c r="CF2382" s="1539"/>
      <c r="CG2382" s="1539"/>
      <c r="CH2382" s="1539"/>
      <c r="CI2382" s="1539"/>
      <c r="CJ2382" s="1539"/>
      <c r="CK2382" s="1539"/>
      <c r="CL2382" s="1539"/>
      <c r="CM2382" s="1539"/>
      <c r="CN2382" s="1539"/>
      <c r="CO2382" s="1539"/>
    </row>
    <row r="2383" spans="1:93" s="1542" customFormat="1" ht="15.5">
      <c r="A2383" s="1598">
        <v>18</v>
      </c>
      <c r="B2383" s="1599" t="s">
        <v>3460</v>
      </c>
      <c r="C2383" s="1643" t="e">
        <f>+SUMIF(#REF!,Final!A2383,#REF!)</f>
        <v>#REF!</v>
      </c>
      <c r="D2383" s="1597" t="e">
        <f>+SUMIF(#REF!,Final!A2383,#REF!)</f>
        <v>#REF!</v>
      </c>
      <c r="E2383" s="1643" t="e">
        <f>SUMIF(#REF!,Final!A2383,#REF!)</f>
        <v>#REF!</v>
      </c>
      <c r="F2383" s="1644" t="e">
        <f>SUMIF(#REF!,Final!A2383,#REF!)</f>
        <v>#REF!</v>
      </c>
      <c r="G2383" s="1597" t="e">
        <f t="shared" si="252"/>
        <v>#REF!</v>
      </c>
      <c r="H2383" s="1644" t="e">
        <f t="shared" si="253"/>
        <v>#REF!</v>
      </c>
      <c r="I2383" s="1597" t="e">
        <f t="shared" si="254"/>
        <v>#REF!</v>
      </c>
      <c r="J2383" s="1644" t="e">
        <f t="shared" si="255"/>
        <v>#REF!</v>
      </c>
      <c r="K2383" s="1539"/>
      <c r="L2383" s="1539"/>
      <c r="M2383" s="1545"/>
      <c r="N2383" s="1545"/>
      <c r="O2383" s="1539"/>
      <c r="P2383" s="1539"/>
      <c r="Q2383" s="1539"/>
      <c r="R2383" s="1539"/>
      <c r="S2383" s="1539"/>
      <c r="T2383" s="1539"/>
      <c r="U2383" s="1539"/>
      <c r="V2383" s="1539"/>
      <c r="W2383" s="1539"/>
      <c r="X2383" s="1539"/>
      <c r="Y2383" s="1539"/>
      <c r="Z2383" s="1539"/>
      <c r="AA2383" s="1539"/>
      <c r="AB2383" s="1539"/>
      <c r="AC2383" s="1539"/>
      <c r="AD2383" s="1539"/>
      <c r="AE2383" s="1539"/>
      <c r="AF2383" s="1539"/>
      <c r="AG2383" s="1539"/>
      <c r="AH2383" s="1539"/>
      <c r="AI2383" s="1539"/>
      <c r="AJ2383" s="1539"/>
      <c r="AK2383" s="1539"/>
      <c r="AL2383" s="1539"/>
      <c r="AM2383" s="1539"/>
      <c r="AN2383" s="1539"/>
      <c r="AO2383" s="1539"/>
      <c r="AP2383" s="1539"/>
      <c r="AQ2383" s="1539"/>
      <c r="AR2383" s="1539"/>
      <c r="AS2383" s="1539"/>
      <c r="AT2383" s="1539"/>
      <c r="AU2383" s="1539"/>
      <c r="AV2383" s="1539"/>
      <c r="AW2383" s="1539"/>
      <c r="AX2383" s="1539"/>
      <c r="AY2383" s="1539"/>
      <c r="AZ2383" s="1539"/>
      <c r="BA2383" s="1539"/>
      <c r="BB2383" s="1539"/>
      <c r="BC2383" s="1539"/>
      <c r="BD2383" s="1539"/>
      <c r="BE2383" s="1539"/>
      <c r="BF2383" s="1539"/>
      <c r="BG2383" s="1539"/>
      <c r="BH2383" s="1539"/>
      <c r="BI2383" s="1539"/>
      <c r="BJ2383" s="1539"/>
      <c r="BK2383" s="1539"/>
      <c r="BL2383" s="1539"/>
      <c r="BM2383" s="1539"/>
      <c r="BN2383" s="1539"/>
      <c r="BO2383" s="1539"/>
      <c r="BP2383" s="1539"/>
      <c r="BQ2383" s="1539"/>
      <c r="BR2383" s="1539"/>
      <c r="BS2383" s="1539"/>
      <c r="BT2383" s="1539"/>
      <c r="BU2383" s="1539"/>
      <c r="BV2383" s="1539"/>
      <c r="BW2383" s="1539"/>
      <c r="BX2383" s="1539"/>
      <c r="BY2383" s="1539"/>
      <c r="BZ2383" s="1539"/>
      <c r="CA2383" s="1539"/>
      <c r="CB2383" s="1539"/>
      <c r="CC2383" s="1539"/>
      <c r="CD2383" s="1539"/>
      <c r="CE2383" s="1539"/>
      <c r="CF2383" s="1539"/>
      <c r="CG2383" s="1539"/>
      <c r="CH2383" s="1539"/>
      <c r="CI2383" s="1539"/>
      <c r="CJ2383" s="1539"/>
      <c r="CK2383" s="1539"/>
      <c r="CL2383" s="1539"/>
      <c r="CM2383" s="1539"/>
      <c r="CN2383" s="1539"/>
      <c r="CO2383" s="1539"/>
    </row>
    <row r="2384" spans="1:93" s="1542" customFormat="1" ht="15.5">
      <c r="A2384" s="1598" t="s">
        <v>1821</v>
      </c>
      <c r="B2384" s="1599" t="s">
        <v>3476</v>
      </c>
      <c r="C2384" s="1643" t="e">
        <f>+SUMIF(#REF!,Final!A2384,#REF!)</f>
        <v>#REF!</v>
      </c>
      <c r="D2384" s="1597" t="e">
        <f>+SUMIF(#REF!,Final!A2384,#REF!)</f>
        <v>#REF!</v>
      </c>
      <c r="E2384" s="1643" t="e">
        <f>SUMIF(#REF!,Final!A2384,#REF!)</f>
        <v>#REF!</v>
      </c>
      <c r="F2384" s="1644" t="e">
        <f>SUMIF(#REF!,Final!A2384,#REF!)</f>
        <v>#REF!</v>
      </c>
      <c r="G2384" s="1597" t="e">
        <f t="shared" si="252"/>
        <v>#REF!</v>
      </c>
      <c r="H2384" s="1644" t="e">
        <f t="shared" si="253"/>
        <v>#REF!</v>
      </c>
      <c r="I2384" s="1597" t="e">
        <f t="shared" si="254"/>
        <v>#REF!</v>
      </c>
      <c r="J2384" s="1644" t="e">
        <f t="shared" si="255"/>
        <v>#REF!</v>
      </c>
      <c r="K2384" s="1539"/>
      <c r="L2384" s="1539"/>
      <c r="M2384" s="1545"/>
      <c r="N2384" s="1545"/>
      <c r="O2384" s="1539"/>
      <c r="P2384" s="1539"/>
      <c r="Q2384" s="1539"/>
      <c r="R2384" s="1539"/>
      <c r="S2384" s="1539"/>
      <c r="T2384" s="1539"/>
      <c r="U2384" s="1539"/>
      <c r="V2384" s="1539"/>
      <c r="W2384" s="1539"/>
      <c r="X2384" s="1539"/>
      <c r="Y2384" s="1539"/>
      <c r="Z2384" s="1539"/>
      <c r="AA2384" s="1539"/>
      <c r="AB2384" s="1539"/>
      <c r="AC2384" s="1539"/>
      <c r="AD2384" s="1539"/>
      <c r="AE2384" s="1539"/>
      <c r="AF2384" s="1539"/>
      <c r="AG2384" s="1539"/>
      <c r="AH2384" s="1539"/>
      <c r="AI2384" s="1539"/>
      <c r="AJ2384" s="1539"/>
      <c r="AK2384" s="1539"/>
      <c r="AL2384" s="1539"/>
      <c r="AM2384" s="1539"/>
      <c r="AN2384" s="1539"/>
      <c r="AO2384" s="1539"/>
      <c r="AP2384" s="1539"/>
      <c r="AQ2384" s="1539"/>
      <c r="AR2384" s="1539"/>
      <c r="AS2384" s="1539"/>
      <c r="AT2384" s="1539"/>
      <c r="AU2384" s="1539"/>
      <c r="AV2384" s="1539"/>
      <c r="AW2384" s="1539"/>
      <c r="AX2384" s="1539"/>
      <c r="AY2384" s="1539"/>
      <c r="AZ2384" s="1539"/>
      <c r="BA2384" s="1539"/>
      <c r="BB2384" s="1539"/>
      <c r="BC2384" s="1539"/>
      <c r="BD2384" s="1539"/>
      <c r="BE2384" s="1539"/>
      <c r="BF2384" s="1539"/>
      <c r="BG2384" s="1539"/>
      <c r="BH2384" s="1539"/>
      <c r="BI2384" s="1539"/>
      <c r="BJ2384" s="1539"/>
      <c r="BK2384" s="1539"/>
      <c r="BL2384" s="1539"/>
      <c r="BM2384" s="1539"/>
      <c r="BN2384" s="1539"/>
      <c r="BO2384" s="1539"/>
      <c r="BP2384" s="1539"/>
      <c r="BQ2384" s="1539"/>
      <c r="BR2384" s="1539"/>
      <c r="BS2384" s="1539"/>
      <c r="BT2384" s="1539"/>
      <c r="BU2384" s="1539"/>
      <c r="BV2384" s="1539"/>
      <c r="BW2384" s="1539"/>
      <c r="BX2384" s="1539"/>
      <c r="BY2384" s="1539"/>
      <c r="BZ2384" s="1539"/>
      <c r="CA2384" s="1539"/>
      <c r="CB2384" s="1539"/>
      <c r="CC2384" s="1539"/>
      <c r="CD2384" s="1539"/>
      <c r="CE2384" s="1539"/>
      <c r="CF2384" s="1539"/>
      <c r="CG2384" s="1539"/>
      <c r="CH2384" s="1539"/>
      <c r="CI2384" s="1539"/>
      <c r="CJ2384" s="1539"/>
      <c r="CK2384" s="1539"/>
      <c r="CL2384" s="1539"/>
      <c r="CM2384" s="1539"/>
      <c r="CN2384" s="1539"/>
      <c r="CO2384" s="1539"/>
    </row>
    <row r="2385" spans="1:93" ht="15.5">
      <c r="A2385" s="1598">
        <v>52.13</v>
      </c>
      <c r="B2385" s="1599" t="s">
        <v>3476</v>
      </c>
      <c r="C2385" s="1643" t="e">
        <f>+SUMIF(#REF!,Final!A2385,#REF!)</f>
        <v>#REF!</v>
      </c>
      <c r="D2385" s="1597" t="e">
        <f>+SUMIF(#REF!,Final!A2385,#REF!)</f>
        <v>#REF!</v>
      </c>
      <c r="E2385" s="1643" t="e">
        <f>SUMIF(#REF!,Final!A2385,#REF!)</f>
        <v>#REF!</v>
      </c>
      <c r="F2385" s="1644" t="e">
        <f>SUMIF(#REF!,Final!A2385,#REF!)</f>
        <v>#REF!</v>
      </c>
      <c r="G2385" s="1597" t="e">
        <f t="shared" si="252"/>
        <v>#REF!</v>
      </c>
      <c r="H2385" s="1644" t="e">
        <f t="shared" si="253"/>
        <v>#REF!</v>
      </c>
      <c r="I2385" s="1597" t="e">
        <f t="shared" si="254"/>
        <v>#REF!</v>
      </c>
      <c r="J2385" s="1644" t="e">
        <f t="shared" si="255"/>
        <v>#REF!</v>
      </c>
      <c r="M2385" s="1545"/>
      <c r="N2385" s="1545"/>
    </row>
    <row r="2386" spans="1:93" s="1552" customFormat="1" ht="15.5">
      <c r="A2386" s="1598"/>
      <c r="B2386" s="1599" t="s">
        <v>1747</v>
      </c>
      <c r="C2386" s="1643" t="e">
        <f>+SUMIF(#REF!,Final!A2386,#REF!)</f>
        <v>#REF!</v>
      </c>
      <c r="D2386" s="1597" t="e">
        <f>+SUMIF(#REF!,Final!A2386,#REF!)</f>
        <v>#REF!</v>
      </c>
      <c r="E2386" s="1643" t="e">
        <f>SUMIF(#REF!,Final!A2386,#REF!)</f>
        <v>#REF!</v>
      </c>
      <c r="F2386" s="1644" t="e">
        <f>SUMIF(#REF!,Final!A2386,#REF!)</f>
        <v>#REF!</v>
      </c>
      <c r="G2386" s="1597" t="e">
        <f t="shared" si="252"/>
        <v>#REF!</v>
      </c>
      <c r="H2386" s="1644" t="e">
        <f t="shared" si="253"/>
        <v>#REF!</v>
      </c>
      <c r="I2386" s="1597" t="e">
        <f t="shared" si="254"/>
        <v>#REF!</v>
      </c>
      <c r="J2386" s="1644" t="e">
        <f t="shared" si="255"/>
        <v>#REF!</v>
      </c>
      <c r="K2386" s="1539"/>
      <c r="L2386" s="1539"/>
      <c r="M2386" s="1545"/>
      <c r="N2386" s="1545"/>
      <c r="O2386" s="1539"/>
      <c r="P2386" s="1539"/>
      <c r="Q2386" s="1539"/>
      <c r="R2386" s="1539"/>
      <c r="S2386" s="1539"/>
      <c r="T2386" s="1539"/>
      <c r="U2386" s="1539"/>
      <c r="V2386" s="1539"/>
      <c r="W2386" s="1539"/>
      <c r="X2386" s="1539"/>
      <c r="Y2386" s="1539"/>
      <c r="Z2386" s="1539"/>
      <c r="AA2386" s="1539"/>
      <c r="AB2386" s="1539"/>
      <c r="AC2386" s="1539"/>
      <c r="AD2386" s="1539"/>
      <c r="AE2386" s="1539"/>
      <c r="AF2386" s="1539"/>
      <c r="AG2386" s="1539"/>
      <c r="AH2386" s="1539"/>
      <c r="AI2386" s="1539"/>
      <c r="AJ2386" s="1539"/>
      <c r="AK2386" s="1539"/>
      <c r="AL2386" s="1539"/>
      <c r="AM2386" s="1539"/>
      <c r="AN2386" s="1539"/>
      <c r="AO2386" s="1539"/>
      <c r="AP2386" s="1539"/>
      <c r="AQ2386" s="1539"/>
      <c r="AR2386" s="1539"/>
      <c r="AS2386" s="1539"/>
      <c r="AT2386" s="1539"/>
      <c r="AU2386" s="1539"/>
      <c r="AV2386" s="1539"/>
      <c r="AW2386" s="1539"/>
      <c r="AX2386" s="1539"/>
      <c r="AY2386" s="1539"/>
      <c r="AZ2386" s="1539"/>
      <c r="BA2386" s="1539"/>
      <c r="BB2386" s="1539"/>
      <c r="BC2386" s="1539"/>
      <c r="BD2386" s="1539"/>
      <c r="BE2386" s="1539"/>
      <c r="BF2386" s="1539"/>
      <c r="BG2386" s="1539"/>
      <c r="BH2386" s="1539"/>
      <c r="BI2386" s="1539"/>
      <c r="BJ2386" s="1539"/>
      <c r="BK2386" s="1539"/>
      <c r="BL2386" s="1539"/>
      <c r="BM2386" s="1539"/>
      <c r="BN2386" s="1539"/>
      <c r="BO2386" s="1539"/>
      <c r="BP2386" s="1539"/>
      <c r="BQ2386" s="1539"/>
      <c r="BR2386" s="1539"/>
      <c r="BS2386" s="1539"/>
      <c r="BT2386" s="1539"/>
      <c r="BU2386" s="1539"/>
      <c r="BV2386" s="1539"/>
      <c r="BW2386" s="1539"/>
      <c r="BX2386" s="1539"/>
      <c r="BY2386" s="1539"/>
      <c r="BZ2386" s="1539"/>
      <c r="CA2386" s="1539"/>
      <c r="CB2386" s="1539"/>
      <c r="CC2386" s="1539"/>
      <c r="CD2386" s="1539"/>
      <c r="CE2386" s="1539"/>
      <c r="CF2386" s="1539"/>
      <c r="CG2386" s="1539"/>
      <c r="CH2386" s="1539"/>
      <c r="CI2386" s="1539"/>
      <c r="CJ2386" s="1539"/>
      <c r="CK2386" s="1539"/>
      <c r="CL2386" s="1539"/>
      <c r="CM2386" s="1539"/>
      <c r="CN2386" s="1539"/>
      <c r="CO2386" s="1539"/>
    </row>
    <row r="2387" spans="1:93" s="1552" customFormat="1" ht="15.5">
      <c r="A2387" s="1598"/>
      <c r="B2387" s="1599" t="s">
        <v>1760</v>
      </c>
      <c r="C2387" s="1643" t="e">
        <f>+SUMIF(#REF!,Final!A2387,#REF!)</f>
        <v>#REF!</v>
      </c>
      <c r="D2387" s="1597" t="e">
        <f>+SUMIF(#REF!,Final!A2387,#REF!)</f>
        <v>#REF!</v>
      </c>
      <c r="E2387" s="1643" t="e">
        <f>SUMIF(#REF!,Final!A2387,#REF!)</f>
        <v>#REF!</v>
      </c>
      <c r="F2387" s="1644" t="e">
        <f>SUMIF(#REF!,Final!A2387,#REF!)</f>
        <v>#REF!</v>
      </c>
      <c r="G2387" s="1597" t="e">
        <f t="shared" si="252"/>
        <v>#REF!</v>
      </c>
      <c r="H2387" s="1644" t="e">
        <f t="shared" si="253"/>
        <v>#REF!</v>
      </c>
      <c r="I2387" s="1597" t="e">
        <f t="shared" si="254"/>
        <v>#REF!</v>
      </c>
      <c r="J2387" s="1644" t="e">
        <f t="shared" si="255"/>
        <v>#REF!</v>
      </c>
      <c r="K2387" s="1539"/>
      <c r="L2387" s="1539"/>
      <c r="M2387" s="1545"/>
      <c r="N2387" s="1545"/>
      <c r="O2387" s="1539"/>
      <c r="P2387" s="1539"/>
      <c r="Q2387" s="1539"/>
      <c r="R2387" s="1539"/>
      <c r="S2387" s="1539"/>
      <c r="T2387" s="1539"/>
      <c r="U2387" s="1539"/>
      <c r="V2387" s="1539"/>
      <c r="W2387" s="1539"/>
      <c r="X2387" s="1539"/>
      <c r="Y2387" s="1539"/>
      <c r="Z2387" s="1539"/>
      <c r="AA2387" s="1539"/>
      <c r="AB2387" s="1539"/>
      <c r="AC2387" s="1539"/>
      <c r="AD2387" s="1539"/>
      <c r="AE2387" s="1539"/>
      <c r="AF2387" s="1539"/>
      <c r="AG2387" s="1539"/>
      <c r="AH2387" s="1539"/>
      <c r="AI2387" s="1539"/>
      <c r="AJ2387" s="1539"/>
      <c r="AK2387" s="1539"/>
      <c r="AL2387" s="1539"/>
      <c r="AM2387" s="1539"/>
      <c r="AN2387" s="1539"/>
      <c r="AO2387" s="1539"/>
      <c r="AP2387" s="1539"/>
      <c r="AQ2387" s="1539"/>
      <c r="AR2387" s="1539"/>
      <c r="AS2387" s="1539"/>
      <c r="AT2387" s="1539"/>
      <c r="AU2387" s="1539"/>
      <c r="AV2387" s="1539"/>
      <c r="AW2387" s="1539"/>
      <c r="AX2387" s="1539"/>
      <c r="AY2387" s="1539"/>
      <c r="AZ2387" s="1539"/>
      <c r="BA2387" s="1539"/>
      <c r="BB2387" s="1539"/>
      <c r="BC2387" s="1539"/>
      <c r="BD2387" s="1539"/>
      <c r="BE2387" s="1539"/>
      <c r="BF2387" s="1539"/>
      <c r="BG2387" s="1539"/>
      <c r="BH2387" s="1539"/>
      <c r="BI2387" s="1539"/>
      <c r="BJ2387" s="1539"/>
      <c r="BK2387" s="1539"/>
      <c r="BL2387" s="1539"/>
      <c r="BM2387" s="1539"/>
      <c r="BN2387" s="1539"/>
      <c r="BO2387" s="1539"/>
      <c r="BP2387" s="1539"/>
      <c r="BQ2387" s="1539"/>
      <c r="BR2387" s="1539"/>
      <c r="BS2387" s="1539"/>
      <c r="BT2387" s="1539"/>
      <c r="BU2387" s="1539"/>
      <c r="BV2387" s="1539"/>
      <c r="BW2387" s="1539"/>
      <c r="BX2387" s="1539"/>
      <c r="BY2387" s="1539"/>
      <c r="BZ2387" s="1539"/>
      <c r="CA2387" s="1539"/>
      <c r="CB2387" s="1539"/>
      <c r="CC2387" s="1539"/>
      <c r="CD2387" s="1539"/>
      <c r="CE2387" s="1539"/>
      <c r="CF2387" s="1539"/>
      <c r="CG2387" s="1539"/>
      <c r="CH2387" s="1539"/>
      <c r="CI2387" s="1539"/>
      <c r="CJ2387" s="1539"/>
      <c r="CK2387" s="1539"/>
      <c r="CL2387" s="1539"/>
      <c r="CM2387" s="1539"/>
      <c r="CN2387" s="1539"/>
      <c r="CO2387" s="1539"/>
    </row>
    <row r="2388" spans="1:93" s="1542" customFormat="1" ht="15.5">
      <c r="A2388" s="1598">
        <v>18</v>
      </c>
      <c r="B2388" s="1599" t="s">
        <v>3460</v>
      </c>
      <c r="C2388" s="1643" t="e">
        <f>+SUMIF(#REF!,Final!A2388,#REF!)</f>
        <v>#REF!</v>
      </c>
      <c r="D2388" s="1597" t="e">
        <f>+SUMIF(#REF!,Final!A2388,#REF!)</f>
        <v>#REF!</v>
      </c>
      <c r="E2388" s="1643" t="e">
        <f>SUMIF(#REF!,Final!A2388,#REF!)</f>
        <v>#REF!</v>
      </c>
      <c r="F2388" s="1644" t="e">
        <f>SUMIF(#REF!,Final!A2388,#REF!)</f>
        <v>#REF!</v>
      </c>
      <c r="G2388" s="1597" t="e">
        <f t="shared" si="252"/>
        <v>#REF!</v>
      </c>
      <c r="H2388" s="1644" t="e">
        <f t="shared" si="253"/>
        <v>#REF!</v>
      </c>
      <c r="I2388" s="1597" t="e">
        <f t="shared" si="254"/>
        <v>#REF!</v>
      </c>
      <c r="J2388" s="1644" t="e">
        <f t="shared" si="255"/>
        <v>#REF!</v>
      </c>
      <c r="K2388" s="1539"/>
      <c r="L2388" s="1539"/>
      <c r="M2388" s="1545"/>
      <c r="N2388" s="1545"/>
      <c r="O2388" s="1539"/>
      <c r="P2388" s="1539"/>
      <c r="Q2388" s="1539"/>
      <c r="R2388" s="1539"/>
      <c r="S2388" s="1539"/>
      <c r="T2388" s="1539"/>
      <c r="U2388" s="1539"/>
      <c r="V2388" s="1539"/>
      <c r="W2388" s="1539"/>
      <c r="X2388" s="1539"/>
      <c r="Y2388" s="1539"/>
      <c r="Z2388" s="1539"/>
      <c r="AA2388" s="1539"/>
      <c r="AB2388" s="1539"/>
      <c r="AC2388" s="1539"/>
      <c r="AD2388" s="1539"/>
      <c r="AE2388" s="1539"/>
      <c r="AF2388" s="1539"/>
      <c r="AG2388" s="1539"/>
      <c r="AH2388" s="1539"/>
      <c r="AI2388" s="1539"/>
      <c r="AJ2388" s="1539"/>
      <c r="AK2388" s="1539"/>
      <c r="AL2388" s="1539"/>
      <c r="AM2388" s="1539"/>
      <c r="AN2388" s="1539"/>
      <c r="AO2388" s="1539"/>
      <c r="AP2388" s="1539"/>
      <c r="AQ2388" s="1539"/>
      <c r="AR2388" s="1539"/>
      <c r="AS2388" s="1539"/>
      <c r="AT2388" s="1539"/>
      <c r="AU2388" s="1539"/>
      <c r="AV2388" s="1539"/>
      <c r="AW2388" s="1539"/>
      <c r="AX2388" s="1539"/>
      <c r="AY2388" s="1539"/>
      <c r="AZ2388" s="1539"/>
      <c r="BA2388" s="1539"/>
      <c r="BB2388" s="1539"/>
      <c r="BC2388" s="1539"/>
      <c r="BD2388" s="1539"/>
      <c r="BE2388" s="1539"/>
      <c r="BF2388" s="1539"/>
      <c r="BG2388" s="1539"/>
      <c r="BH2388" s="1539"/>
      <c r="BI2388" s="1539"/>
      <c r="BJ2388" s="1539"/>
      <c r="BK2388" s="1539"/>
      <c r="BL2388" s="1539"/>
      <c r="BM2388" s="1539"/>
      <c r="BN2388" s="1539"/>
      <c r="BO2388" s="1539"/>
      <c r="BP2388" s="1539"/>
      <c r="BQ2388" s="1539"/>
      <c r="BR2388" s="1539"/>
      <c r="BS2388" s="1539"/>
      <c r="BT2388" s="1539"/>
      <c r="BU2388" s="1539"/>
      <c r="BV2388" s="1539"/>
      <c r="BW2388" s="1539"/>
      <c r="BX2388" s="1539"/>
      <c r="BY2388" s="1539"/>
      <c r="BZ2388" s="1539"/>
      <c r="CA2388" s="1539"/>
      <c r="CB2388" s="1539"/>
      <c r="CC2388" s="1539"/>
      <c r="CD2388" s="1539"/>
      <c r="CE2388" s="1539"/>
      <c r="CF2388" s="1539"/>
      <c r="CG2388" s="1539"/>
      <c r="CH2388" s="1539"/>
      <c r="CI2388" s="1539"/>
      <c r="CJ2388" s="1539"/>
      <c r="CK2388" s="1539"/>
      <c r="CL2388" s="1539"/>
      <c r="CM2388" s="1539"/>
      <c r="CN2388" s="1539"/>
      <c r="CO2388" s="1539"/>
    </row>
    <row r="2389" spans="1:93" s="1542" customFormat="1" ht="15.5">
      <c r="A2389" s="1598" t="s">
        <v>1762</v>
      </c>
      <c r="B2389" s="1599" t="s">
        <v>3477</v>
      </c>
      <c r="C2389" s="1643" t="e">
        <f>+SUMIF(#REF!,Final!A2389,#REF!)</f>
        <v>#REF!</v>
      </c>
      <c r="D2389" s="1597" t="e">
        <f>+SUMIF(#REF!,Final!A2389,#REF!)</f>
        <v>#REF!</v>
      </c>
      <c r="E2389" s="1643" t="e">
        <f>SUMIF(#REF!,Final!A2389,#REF!)</f>
        <v>#REF!</v>
      </c>
      <c r="F2389" s="1644" t="e">
        <f>SUMIF(#REF!,Final!A2389,#REF!)</f>
        <v>#REF!</v>
      </c>
      <c r="G2389" s="1597" t="e">
        <f t="shared" si="252"/>
        <v>#REF!</v>
      </c>
      <c r="H2389" s="1644" t="e">
        <f t="shared" si="253"/>
        <v>#REF!</v>
      </c>
      <c r="I2389" s="1597" t="e">
        <f t="shared" si="254"/>
        <v>#REF!</v>
      </c>
      <c r="J2389" s="1644" t="e">
        <f t="shared" si="255"/>
        <v>#REF!</v>
      </c>
      <c r="K2389" s="1539"/>
      <c r="L2389" s="1539"/>
      <c r="M2389" s="1545"/>
      <c r="N2389" s="1545"/>
      <c r="O2389" s="1539"/>
      <c r="P2389" s="1539"/>
      <c r="Q2389" s="1539"/>
      <c r="R2389" s="1539"/>
      <c r="S2389" s="1539"/>
      <c r="T2389" s="1539"/>
      <c r="U2389" s="1539"/>
      <c r="V2389" s="1539"/>
      <c r="W2389" s="1539"/>
      <c r="X2389" s="1539"/>
      <c r="Y2389" s="1539"/>
      <c r="Z2389" s="1539"/>
      <c r="AA2389" s="1539"/>
      <c r="AB2389" s="1539"/>
      <c r="AC2389" s="1539"/>
      <c r="AD2389" s="1539"/>
      <c r="AE2389" s="1539"/>
      <c r="AF2389" s="1539"/>
      <c r="AG2389" s="1539"/>
      <c r="AH2389" s="1539"/>
      <c r="AI2389" s="1539"/>
      <c r="AJ2389" s="1539"/>
      <c r="AK2389" s="1539"/>
      <c r="AL2389" s="1539"/>
      <c r="AM2389" s="1539"/>
      <c r="AN2389" s="1539"/>
      <c r="AO2389" s="1539"/>
      <c r="AP2389" s="1539"/>
      <c r="AQ2389" s="1539"/>
      <c r="AR2389" s="1539"/>
      <c r="AS2389" s="1539"/>
      <c r="AT2389" s="1539"/>
      <c r="AU2389" s="1539"/>
      <c r="AV2389" s="1539"/>
      <c r="AW2389" s="1539"/>
      <c r="AX2389" s="1539"/>
      <c r="AY2389" s="1539"/>
      <c r="AZ2389" s="1539"/>
      <c r="BA2389" s="1539"/>
      <c r="BB2389" s="1539"/>
      <c r="BC2389" s="1539"/>
      <c r="BD2389" s="1539"/>
      <c r="BE2389" s="1539"/>
      <c r="BF2389" s="1539"/>
      <c r="BG2389" s="1539"/>
      <c r="BH2389" s="1539"/>
      <c r="BI2389" s="1539"/>
      <c r="BJ2389" s="1539"/>
      <c r="BK2389" s="1539"/>
      <c r="BL2389" s="1539"/>
      <c r="BM2389" s="1539"/>
      <c r="BN2389" s="1539"/>
      <c r="BO2389" s="1539"/>
      <c r="BP2389" s="1539"/>
      <c r="BQ2389" s="1539"/>
      <c r="BR2389" s="1539"/>
      <c r="BS2389" s="1539"/>
      <c r="BT2389" s="1539"/>
      <c r="BU2389" s="1539"/>
      <c r="BV2389" s="1539"/>
      <c r="BW2389" s="1539"/>
      <c r="BX2389" s="1539"/>
      <c r="BY2389" s="1539"/>
      <c r="BZ2389" s="1539"/>
      <c r="CA2389" s="1539"/>
      <c r="CB2389" s="1539"/>
      <c r="CC2389" s="1539"/>
      <c r="CD2389" s="1539"/>
      <c r="CE2389" s="1539"/>
      <c r="CF2389" s="1539"/>
      <c r="CG2389" s="1539"/>
      <c r="CH2389" s="1539"/>
      <c r="CI2389" s="1539"/>
      <c r="CJ2389" s="1539"/>
      <c r="CK2389" s="1539"/>
      <c r="CL2389" s="1539"/>
      <c r="CM2389" s="1539"/>
      <c r="CN2389" s="1539"/>
      <c r="CO2389" s="1539"/>
    </row>
    <row r="2390" spans="1:93" s="1542" customFormat="1" ht="15.5">
      <c r="A2390" s="1598">
        <v>52.311</v>
      </c>
      <c r="B2390" s="1599" t="s">
        <v>1761</v>
      </c>
      <c r="C2390" s="1643" t="e">
        <f>+SUMIF(#REF!,Final!A2390,#REF!)</f>
        <v>#REF!</v>
      </c>
      <c r="D2390" s="1597" t="e">
        <f>+SUMIF(#REF!,Final!A2390,#REF!)</f>
        <v>#REF!</v>
      </c>
      <c r="E2390" s="1643" t="e">
        <f>SUMIF(#REF!,Final!A2390,#REF!)</f>
        <v>#REF!</v>
      </c>
      <c r="F2390" s="1644" t="e">
        <f>SUMIF(#REF!,Final!A2390,#REF!)</f>
        <v>#REF!</v>
      </c>
      <c r="G2390" s="1597" t="e">
        <f t="shared" si="252"/>
        <v>#REF!</v>
      </c>
      <c r="H2390" s="1644" t="e">
        <f t="shared" si="253"/>
        <v>#REF!</v>
      </c>
      <c r="I2390" s="1597" t="e">
        <f t="shared" si="254"/>
        <v>#REF!</v>
      </c>
      <c r="J2390" s="1644" t="e">
        <f t="shared" si="255"/>
        <v>#REF!</v>
      </c>
      <c r="K2390" s="1539"/>
      <c r="L2390" s="1539"/>
      <c r="M2390" s="1545"/>
      <c r="N2390" s="1545"/>
      <c r="O2390" s="1539"/>
      <c r="P2390" s="1539"/>
      <c r="Q2390" s="1539"/>
      <c r="R2390" s="1539"/>
      <c r="S2390" s="1539"/>
      <c r="T2390" s="1539"/>
      <c r="U2390" s="1539"/>
      <c r="V2390" s="1539"/>
      <c r="W2390" s="1539"/>
      <c r="X2390" s="1539"/>
      <c r="Y2390" s="1539"/>
      <c r="Z2390" s="1539"/>
      <c r="AA2390" s="1539"/>
      <c r="AB2390" s="1539"/>
      <c r="AC2390" s="1539"/>
      <c r="AD2390" s="1539"/>
      <c r="AE2390" s="1539"/>
      <c r="AF2390" s="1539"/>
      <c r="AG2390" s="1539"/>
      <c r="AH2390" s="1539"/>
      <c r="AI2390" s="1539"/>
      <c r="AJ2390" s="1539"/>
      <c r="AK2390" s="1539"/>
      <c r="AL2390" s="1539"/>
      <c r="AM2390" s="1539"/>
      <c r="AN2390" s="1539"/>
      <c r="AO2390" s="1539"/>
      <c r="AP2390" s="1539"/>
      <c r="AQ2390" s="1539"/>
      <c r="AR2390" s="1539"/>
      <c r="AS2390" s="1539"/>
      <c r="AT2390" s="1539"/>
      <c r="AU2390" s="1539"/>
      <c r="AV2390" s="1539"/>
      <c r="AW2390" s="1539"/>
      <c r="AX2390" s="1539"/>
      <c r="AY2390" s="1539"/>
      <c r="AZ2390" s="1539"/>
      <c r="BA2390" s="1539"/>
      <c r="BB2390" s="1539"/>
      <c r="BC2390" s="1539"/>
      <c r="BD2390" s="1539"/>
      <c r="BE2390" s="1539"/>
      <c r="BF2390" s="1539"/>
      <c r="BG2390" s="1539"/>
      <c r="BH2390" s="1539"/>
      <c r="BI2390" s="1539"/>
      <c r="BJ2390" s="1539"/>
      <c r="BK2390" s="1539"/>
      <c r="BL2390" s="1539"/>
      <c r="BM2390" s="1539"/>
      <c r="BN2390" s="1539"/>
      <c r="BO2390" s="1539"/>
      <c r="BP2390" s="1539"/>
      <c r="BQ2390" s="1539"/>
      <c r="BR2390" s="1539"/>
      <c r="BS2390" s="1539"/>
      <c r="BT2390" s="1539"/>
      <c r="BU2390" s="1539"/>
      <c r="BV2390" s="1539"/>
      <c r="BW2390" s="1539"/>
      <c r="BX2390" s="1539"/>
      <c r="BY2390" s="1539"/>
      <c r="BZ2390" s="1539"/>
      <c r="CA2390" s="1539"/>
      <c r="CB2390" s="1539"/>
      <c r="CC2390" s="1539"/>
      <c r="CD2390" s="1539"/>
      <c r="CE2390" s="1539"/>
      <c r="CF2390" s="1539"/>
      <c r="CG2390" s="1539"/>
      <c r="CH2390" s="1539"/>
      <c r="CI2390" s="1539"/>
      <c r="CJ2390" s="1539"/>
      <c r="CK2390" s="1539"/>
      <c r="CL2390" s="1539"/>
      <c r="CM2390" s="1539"/>
      <c r="CN2390" s="1539"/>
      <c r="CO2390" s="1539"/>
    </row>
    <row r="2391" spans="1:93" s="1552" customFormat="1" ht="15.5">
      <c r="A2391" s="1598"/>
      <c r="B2391" s="1599" t="s">
        <v>1747</v>
      </c>
      <c r="C2391" s="1643" t="e">
        <f>+SUMIF(#REF!,Final!A2391,#REF!)</f>
        <v>#REF!</v>
      </c>
      <c r="D2391" s="1597" t="e">
        <f>+SUMIF(#REF!,Final!A2391,#REF!)</f>
        <v>#REF!</v>
      </c>
      <c r="E2391" s="1643" t="e">
        <f>SUMIF(#REF!,Final!A2391,#REF!)</f>
        <v>#REF!</v>
      </c>
      <c r="F2391" s="1644" t="e">
        <f>SUMIF(#REF!,Final!A2391,#REF!)</f>
        <v>#REF!</v>
      </c>
      <c r="G2391" s="1597" t="e">
        <f t="shared" si="252"/>
        <v>#REF!</v>
      </c>
      <c r="H2391" s="1644" t="e">
        <f t="shared" si="253"/>
        <v>#REF!</v>
      </c>
      <c r="I2391" s="1597" t="e">
        <f t="shared" si="254"/>
        <v>#REF!</v>
      </c>
      <c r="J2391" s="1644" t="e">
        <f t="shared" si="255"/>
        <v>#REF!</v>
      </c>
      <c r="K2391" s="1539"/>
      <c r="L2391" s="1539"/>
      <c r="M2391" s="1545"/>
      <c r="N2391" s="1545"/>
      <c r="O2391" s="1539"/>
      <c r="P2391" s="1539"/>
      <c r="Q2391" s="1539"/>
      <c r="R2391" s="1539"/>
      <c r="S2391" s="1539"/>
      <c r="T2391" s="1539"/>
      <c r="U2391" s="1539"/>
      <c r="V2391" s="1539"/>
      <c r="W2391" s="1539"/>
      <c r="X2391" s="1539"/>
      <c r="Y2391" s="1539"/>
      <c r="Z2391" s="1539"/>
      <c r="AA2391" s="1539"/>
      <c r="AB2391" s="1539"/>
      <c r="AC2391" s="1539"/>
      <c r="AD2391" s="1539"/>
      <c r="AE2391" s="1539"/>
      <c r="AF2391" s="1539"/>
      <c r="AG2391" s="1539"/>
      <c r="AH2391" s="1539"/>
      <c r="AI2391" s="1539"/>
      <c r="AJ2391" s="1539"/>
      <c r="AK2391" s="1539"/>
      <c r="AL2391" s="1539"/>
      <c r="AM2391" s="1539"/>
      <c r="AN2391" s="1539"/>
      <c r="AO2391" s="1539"/>
      <c r="AP2391" s="1539"/>
      <c r="AQ2391" s="1539"/>
      <c r="AR2391" s="1539"/>
      <c r="AS2391" s="1539"/>
      <c r="AT2391" s="1539"/>
      <c r="AU2391" s="1539"/>
      <c r="AV2391" s="1539"/>
      <c r="AW2391" s="1539"/>
      <c r="AX2391" s="1539"/>
      <c r="AY2391" s="1539"/>
      <c r="AZ2391" s="1539"/>
      <c r="BA2391" s="1539"/>
      <c r="BB2391" s="1539"/>
      <c r="BC2391" s="1539"/>
      <c r="BD2391" s="1539"/>
      <c r="BE2391" s="1539"/>
      <c r="BF2391" s="1539"/>
      <c r="BG2391" s="1539"/>
      <c r="BH2391" s="1539"/>
      <c r="BI2391" s="1539"/>
      <c r="BJ2391" s="1539"/>
      <c r="BK2391" s="1539"/>
      <c r="BL2391" s="1539"/>
      <c r="BM2391" s="1539"/>
      <c r="BN2391" s="1539"/>
      <c r="BO2391" s="1539"/>
      <c r="BP2391" s="1539"/>
      <c r="BQ2391" s="1539"/>
      <c r="BR2391" s="1539"/>
      <c r="BS2391" s="1539"/>
      <c r="BT2391" s="1539"/>
      <c r="BU2391" s="1539"/>
      <c r="BV2391" s="1539"/>
      <c r="BW2391" s="1539"/>
      <c r="BX2391" s="1539"/>
      <c r="BY2391" s="1539"/>
      <c r="BZ2391" s="1539"/>
      <c r="CA2391" s="1539"/>
      <c r="CB2391" s="1539"/>
      <c r="CC2391" s="1539"/>
      <c r="CD2391" s="1539"/>
      <c r="CE2391" s="1539"/>
      <c r="CF2391" s="1539"/>
      <c r="CG2391" s="1539"/>
      <c r="CH2391" s="1539"/>
      <c r="CI2391" s="1539"/>
      <c r="CJ2391" s="1539"/>
      <c r="CK2391" s="1539"/>
      <c r="CL2391" s="1539"/>
      <c r="CM2391" s="1539"/>
      <c r="CN2391" s="1539"/>
      <c r="CO2391" s="1539"/>
    </row>
    <row r="2392" spans="1:93" s="1552" customFormat="1" ht="15.5">
      <c r="A2392" s="1598" t="s">
        <v>3478</v>
      </c>
      <c r="B2392" s="1599" t="s">
        <v>3479</v>
      </c>
      <c r="C2392" s="1643" t="e">
        <f>+SUMIF(#REF!,Final!A2392,#REF!)</f>
        <v>#REF!</v>
      </c>
      <c r="D2392" s="1597" t="e">
        <f>+SUMIF(#REF!,Final!A2392,#REF!)</f>
        <v>#REF!</v>
      </c>
      <c r="E2392" s="1643" t="e">
        <f>SUMIF(#REF!,Final!A2392,#REF!)</f>
        <v>#REF!</v>
      </c>
      <c r="F2392" s="1644" t="e">
        <f>SUMIF(#REF!,Final!A2392,#REF!)</f>
        <v>#REF!</v>
      </c>
      <c r="G2392" s="1597" t="e">
        <f t="shared" si="252"/>
        <v>#REF!</v>
      </c>
      <c r="H2392" s="1644" t="e">
        <f t="shared" si="253"/>
        <v>#REF!</v>
      </c>
      <c r="I2392" s="1597" t="e">
        <f t="shared" si="254"/>
        <v>#REF!</v>
      </c>
      <c r="J2392" s="1644" t="e">
        <f t="shared" si="255"/>
        <v>#REF!</v>
      </c>
      <c r="K2392" s="1539"/>
      <c r="L2392" s="1539"/>
      <c r="M2392" s="1545"/>
      <c r="N2392" s="1545"/>
      <c r="O2392" s="1539"/>
      <c r="P2392" s="1539"/>
      <c r="Q2392" s="1539"/>
      <c r="R2392" s="1539"/>
      <c r="S2392" s="1539"/>
      <c r="T2392" s="1539"/>
      <c r="U2392" s="1539"/>
      <c r="V2392" s="1539"/>
      <c r="W2392" s="1539"/>
      <c r="X2392" s="1539"/>
      <c r="Y2392" s="1539"/>
      <c r="Z2392" s="1539"/>
      <c r="AA2392" s="1539"/>
      <c r="AB2392" s="1539"/>
      <c r="AC2392" s="1539"/>
      <c r="AD2392" s="1539"/>
      <c r="AE2392" s="1539"/>
      <c r="AF2392" s="1539"/>
      <c r="AG2392" s="1539"/>
      <c r="AH2392" s="1539"/>
      <c r="AI2392" s="1539"/>
      <c r="AJ2392" s="1539"/>
      <c r="AK2392" s="1539"/>
      <c r="AL2392" s="1539"/>
      <c r="AM2392" s="1539"/>
      <c r="AN2392" s="1539"/>
      <c r="AO2392" s="1539"/>
      <c r="AP2392" s="1539"/>
      <c r="AQ2392" s="1539"/>
      <c r="AR2392" s="1539"/>
      <c r="AS2392" s="1539"/>
      <c r="AT2392" s="1539"/>
      <c r="AU2392" s="1539"/>
      <c r="AV2392" s="1539"/>
      <c r="AW2392" s="1539"/>
      <c r="AX2392" s="1539"/>
      <c r="AY2392" s="1539"/>
      <c r="AZ2392" s="1539"/>
      <c r="BA2392" s="1539"/>
      <c r="BB2392" s="1539"/>
      <c r="BC2392" s="1539"/>
      <c r="BD2392" s="1539"/>
      <c r="BE2392" s="1539"/>
      <c r="BF2392" s="1539"/>
      <c r="BG2392" s="1539"/>
      <c r="BH2392" s="1539"/>
      <c r="BI2392" s="1539"/>
      <c r="BJ2392" s="1539"/>
      <c r="BK2392" s="1539"/>
      <c r="BL2392" s="1539"/>
      <c r="BM2392" s="1539"/>
      <c r="BN2392" s="1539"/>
      <c r="BO2392" s="1539"/>
      <c r="BP2392" s="1539"/>
      <c r="BQ2392" s="1539"/>
      <c r="BR2392" s="1539"/>
      <c r="BS2392" s="1539"/>
      <c r="BT2392" s="1539"/>
      <c r="BU2392" s="1539"/>
      <c r="BV2392" s="1539"/>
      <c r="BW2392" s="1539"/>
      <c r="BX2392" s="1539"/>
      <c r="BY2392" s="1539"/>
      <c r="BZ2392" s="1539"/>
      <c r="CA2392" s="1539"/>
      <c r="CB2392" s="1539"/>
      <c r="CC2392" s="1539"/>
      <c r="CD2392" s="1539"/>
      <c r="CE2392" s="1539"/>
      <c r="CF2392" s="1539"/>
      <c r="CG2392" s="1539"/>
      <c r="CH2392" s="1539"/>
      <c r="CI2392" s="1539"/>
      <c r="CJ2392" s="1539"/>
      <c r="CK2392" s="1539"/>
      <c r="CL2392" s="1539"/>
      <c r="CM2392" s="1539"/>
      <c r="CN2392" s="1539"/>
      <c r="CO2392" s="1539"/>
    </row>
    <row r="2393" spans="1:93" s="1542" customFormat="1" ht="15.5">
      <c r="A2393" s="1598">
        <v>18</v>
      </c>
      <c r="B2393" s="1599" t="s">
        <v>3460</v>
      </c>
      <c r="C2393" s="1643" t="e">
        <f>+SUMIF(#REF!,Final!A2393,#REF!)</f>
        <v>#REF!</v>
      </c>
      <c r="D2393" s="1597" t="e">
        <f>+SUMIF(#REF!,Final!A2393,#REF!)</f>
        <v>#REF!</v>
      </c>
      <c r="E2393" s="1643" t="e">
        <f>SUMIF(#REF!,Final!A2393,#REF!)</f>
        <v>#REF!</v>
      </c>
      <c r="F2393" s="1644" t="e">
        <f>SUMIF(#REF!,Final!A2393,#REF!)</f>
        <v>#REF!</v>
      </c>
      <c r="G2393" s="1597" t="e">
        <f t="shared" si="252"/>
        <v>#REF!</v>
      </c>
      <c r="H2393" s="1644" t="e">
        <f t="shared" si="253"/>
        <v>#REF!</v>
      </c>
      <c r="I2393" s="1597" t="e">
        <f t="shared" si="254"/>
        <v>#REF!</v>
      </c>
      <c r="J2393" s="1644" t="e">
        <f t="shared" si="255"/>
        <v>#REF!</v>
      </c>
      <c r="K2393" s="1539"/>
      <c r="L2393" s="1539"/>
      <c r="M2393" s="1545"/>
      <c r="N2393" s="1545"/>
      <c r="O2393" s="1539"/>
      <c r="P2393" s="1539"/>
      <c r="Q2393" s="1539"/>
      <c r="R2393" s="1539"/>
      <c r="S2393" s="1539"/>
      <c r="T2393" s="1539"/>
      <c r="U2393" s="1539"/>
      <c r="V2393" s="1539"/>
      <c r="W2393" s="1539"/>
      <c r="X2393" s="1539"/>
      <c r="Y2393" s="1539"/>
      <c r="Z2393" s="1539"/>
      <c r="AA2393" s="1539"/>
      <c r="AB2393" s="1539"/>
      <c r="AC2393" s="1539"/>
      <c r="AD2393" s="1539"/>
      <c r="AE2393" s="1539"/>
      <c r="AF2393" s="1539"/>
      <c r="AG2393" s="1539"/>
      <c r="AH2393" s="1539"/>
      <c r="AI2393" s="1539"/>
      <c r="AJ2393" s="1539"/>
      <c r="AK2393" s="1539"/>
      <c r="AL2393" s="1539"/>
      <c r="AM2393" s="1539"/>
      <c r="AN2393" s="1539"/>
      <c r="AO2393" s="1539"/>
      <c r="AP2393" s="1539"/>
      <c r="AQ2393" s="1539"/>
      <c r="AR2393" s="1539"/>
      <c r="AS2393" s="1539"/>
      <c r="AT2393" s="1539"/>
      <c r="AU2393" s="1539"/>
      <c r="AV2393" s="1539"/>
      <c r="AW2393" s="1539"/>
      <c r="AX2393" s="1539"/>
      <c r="AY2393" s="1539"/>
      <c r="AZ2393" s="1539"/>
      <c r="BA2393" s="1539"/>
      <c r="BB2393" s="1539"/>
      <c r="BC2393" s="1539"/>
      <c r="BD2393" s="1539"/>
      <c r="BE2393" s="1539"/>
      <c r="BF2393" s="1539"/>
      <c r="BG2393" s="1539"/>
      <c r="BH2393" s="1539"/>
      <c r="BI2393" s="1539"/>
      <c r="BJ2393" s="1539"/>
      <c r="BK2393" s="1539"/>
      <c r="BL2393" s="1539"/>
      <c r="BM2393" s="1539"/>
      <c r="BN2393" s="1539"/>
      <c r="BO2393" s="1539"/>
      <c r="BP2393" s="1539"/>
      <c r="BQ2393" s="1539"/>
      <c r="BR2393" s="1539"/>
      <c r="BS2393" s="1539"/>
      <c r="BT2393" s="1539"/>
      <c r="BU2393" s="1539"/>
      <c r="BV2393" s="1539"/>
      <c r="BW2393" s="1539"/>
      <c r="BX2393" s="1539"/>
      <c r="BY2393" s="1539"/>
      <c r="BZ2393" s="1539"/>
      <c r="CA2393" s="1539"/>
      <c r="CB2393" s="1539"/>
      <c r="CC2393" s="1539"/>
      <c r="CD2393" s="1539"/>
      <c r="CE2393" s="1539"/>
      <c r="CF2393" s="1539"/>
      <c r="CG2393" s="1539"/>
      <c r="CH2393" s="1539"/>
      <c r="CI2393" s="1539"/>
      <c r="CJ2393" s="1539"/>
      <c r="CK2393" s="1539"/>
      <c r="CL2393" s="1539"/>
      <c r="CM2393" s="1539"/>
      <c r="CN2393" s="1539"/>
      <c r="CO2393" s="1539"/>
    </row>
    <row r="2394" spans="1:93" s="1542" customFormat="1" ht="15.5">
      <c r="A2394" s="1598" t="s">
        <v>1815</v>
      </c>
      <c r="B2394" s="1599" t="s">
        <v>3480</v>
      </c>
      <c r="C2394" s="1643" t="e">
        <f>+SUMIF(#REF!,Final!A2394,#REF!)</f>
        <v>#REF!</v>
      </c>
      <c r="D2394" s="1597" t="e">
        <f>+SUMIF(#REF!,Final!A2394,#REF!)</f>
        <v>#REF!</v>
      </c>
      <c r="E2394" s="1643" t="e">
        <f>SUMIF(#REF!,Final!A2394,#REF!)</f>
        <v>#REF!</v>
      </c>
      <c r="F2394" s="1644" t="e">
        <f>SUMIF(#REF!,Final!A2394,#REF!)</f>
        <v>#REF!</v>
      </c>
      <c r="G2394" s="1597" t="e">
        <f t="shared" si="252"/>
        <v>#REF!</v>
      </c>
      <c r="H2394" s="1644" t="e">
        <f t="shared" si="253"/>
        <v>#REF!</v>
      </c>
      <c r="I2394" s="1597" t="e">
        <f t="shared" si="254"/>
        <v>#REF!</v>
      </c>
      <c r="J2394" s="1644" t="e">
        <f t="shared" si="255"/>
        <v>#REF!</v>
      </c>
      <c r="K2394" s="1539"/>
      <c r="L2394" s="1539"/>
      <c r="M2394" s="1545"/>
      <c r="N2394" s="1545"/>
      <c r="O2394" s="1539"/>
      <c r="P2394" s="1539"/>
      <c r="Q2394" s="1539"/>
      <c r="R2394" s="1539"/>
      <c r="S2394" s="1539"/>
      <c r="T2394" s="1539"/>
      <c r="U2394" s="1539"/>
      <c r="V2394" s="1539"/>
      <c r="W2394" s="1539"/>
      <c r="X2394" s="1539"/>
      <c r="Y2394" s="1539"/>
      <c r="Z2394" s="1539"/>
      <c r="AA2394" s="1539"/>
      <c r="AB2394" s="1539"/>
      <c r="AC2394" s="1539"/>
      <c r="AD2394" s="1539"/>
      <c r="AE2394" s="1539"/>
      <c r="AF2394" s="1539"/>
      <c r="AG2394" s="1539"/>
      <c r="AH2394" s="1539"/>
      <c r="AI2394" s="1539"/>
      <c r="AJ2394" s="1539"/>
      <c r="AK2394" s="1539"/>
      <c r="AL2394" s="1539"/>
      <c r="AM2394" s="1539"/>
      <c r="AN2394" s="1539"/>
      <c r="AO2394" s="1539"/>
      <c r="AP2394" s="1539"/>
      <c r="AQ2394" s="1539"/>
      <c r="AR2394" s="1539"/>
      <c r="AS2394" s="1539"/>
      <c r="AT2394" s="1539"/>
      <c r="AU2394" s="1539"/>
      <c r="AV2394" s="1539"/>
      <c r="AW2394" s="1539"/>
      <c r="AX2394" s="1539"/>
      <c r="AY2394" s="1539"/>
      <c r="AZ2394" s="1539"/>
      <c r="BA2394" s="1539"/>
      <c r="BB2394" s="1539"/>
      <c r="BC2394" s="1539"/>
      <c r="BD2394" s="1539"/>
      <c r="BE2394" s="1539"/>
      <c r="BF2394" s="1539"/>
      <c r="BG2394" s="1539"/>
      <c r="BH2394" s="1539"/>
      <c r="BI2394" s="1539"/>
      <c r="BJ2394" s="1539"/>
      <c r="BK2394" s="1539"/>
      <c r="BL2394" s="1539"/>
      <c r="BM2394" s="1539"/>
      <c r="BN2394" s="1539"/>
      <c r="BO2394" s="1539"/>
      <c r="BP2394" s="1539"/>
      <c r="BQ2394" s="1539"/>
      <c r="BR2394" s="1539"/>
      <c r="BS2394" s="1539"/>
      <c r="BT2394" s="1539"/>
      <c r="BU2394" s="1539"/>
      <c r="BV2394" s="1539"/>
      <c r="BW2394" s="1539"/>
      <c r="BX2394" s="1539"/>
      <c r="BY2394" s="1539"/>
      <c r="BZ2394" s="1539"/>
      <c r="CA2394" s="1539"/>
      <c r="CB2394" s="1539"/>
      <c r="CC2394" s="1539"/>
      <c r="CD2394" s="1539"/>
      <c r="CE2394" s="1539"/>
      <c r="CF2394" s="1539"/>
      <c r="CG2394" s="1539"/>
      <c r="CH2394" s="1539"/>
      <c r="CI2394" s="1539"/>
      <c r="CJ2394" s="1539"/>
      <c r="CK2394" s="1539"/>
      <c r="CL2394" s="1539"/>
      <c r="CM2394" s="1539"/>
      <c r="CN2394" s="1539"/>
      <c r="CO2394" s="1539"/>
    </row>
    <row r="2395" spans="1:93" s="1542" customFormat="1" ht="15.5">
      <c r="A2395" s="1598">
        <v>52.311999999999998</v>
      </c>
      <c r="B2395" s="1599" t="s">
        <v>1763</v>
      </c>
      <c r="C2395" s="1643" t="e">
        <f>+SUMIF(#REF!,Final!A2395,#REF!)</f>
        <v>#REF!</v>
      </c>
      <c r="D2395" s="1597" t="e">
        <f>+SUMIF(#REF!,Final!A2395,#REF!)</f>
        <v>#REF!</v>
      </c>
      <c r="E2395" s="1643" t="e">
        <f>SUMIF(#REF!,Final!A2395,#REF!)</f>
        <v>#REF!</v>
      </c>
      <c r="F2395" s="1644" t="e">
        <f>SUMIF(#REF!,Final!A2395,#REF!)</f>
        <v>#REF!</v>
      </c>
      <c r="G2395" s="1597" t="e">
        <f t="shared" si="252"/>
        <v>#REF!</v>
      </c>
      <c r="H2395" s="1644" t="e">
        <f t="shared" si="253"/>
        <v>#REF!</v>
      </c>
      <c r="I2395" s="1597" t="e">
        <f t="shared" si="254"/>
        <v>#REF!</v>
      </c>
      <c r="J2395" s="1644" t="e">
        <f t="shared" si="255"/>
        <v>#REF!</v>
      </c>
      <c r="K2395" s="1539"/>
      <c r="L2395" s="1539"/>
      <c r="M2395" s="1545"/>
      <c r="N2395" s="1545"/>
      <c r="O2395" s="1539"/>
      <c r="P2395" s="1539"/>
      <c r="Q2395" s="1539"/>
      <c r="R2395" s="1539"/>
      <c r="S2395" s="1539"/>
      <c r="T2395" s="1539"/>
      <c r="U2395" s="1539"/>
      <c r="V2395" s="1539"/>
      <c r="W2395" s="1539"/>
      <c r="X2395" s="1539"/>
      <c r="Y2395" s="1539"/>
      <c r="Z2395" s="1539"/>
      <c r="AA2395" s="1539"/>
      <c r="AB2395" s="1539"/>
      <c r="AC2395" s="1539"/>
      <c r="AD2395" s="1539"/>
      <c r="AE2395" s="1539"/>
      <c r="AF2395" s="1539"/>
      <c r="AG2395" s="1539"/>
      <c r="AH2395" s="1539"/>
      <c r="AI2395" s="1539"/>
      <c r="AJ2395" s="1539"/>
      <c r="AK2395" s="1539"/>
      <c r="AL2395" s="1539"/>
      <c r="AM2395" s="1539"/>
      <c r="AN2395" s="1539"/>
      <c r="AO2395" s="1539"/>
      <c r="AP2395" s="1539"/>
      <c r="AQ2395" s="1539"/>
      <c r="AR2395" s="1539"/>
      <c r="AS2395" s="1539"/>
      <c r="AT2395" s="1539"/>
      <c r="AU2395" s="1539"/>
      <c r="AV2395" s="1539"/>
      <c r="AW2395" s="1539"/>
      <c r="AX2395" s="1539"/>
      <c r="AY2395" s="1539"/>
      <c r="AZ2395" s="1539"/>
      <c r="BA2395" s="1539"/>
      <c r="BB2395" s="1539"/>
      <c r="BC2395" s="1539"/>
      <c r="BD2395" s="1539"/>
      <c r="BE2395" s="1539"/>
      <c r="BF2395" s="1539"/>
      <c r="BG2395" s="1539"/>
      <c r="BH2395" s="1539"/>
      <c r="BI2395" s="1539"/>
      <c r="BJ2395" s="1539"/>
      <c r="BK2395" s="1539"/>
      <c r="BL2395" s="1539"/>
      <c r="BM2395" s="1539"/>
      <c r="BN2395" s="1539"/>
      <c r="BO2395" s="1539"/>
      <c r="BP2395" s="1539"/>
      <c r="BQ2395" s="1539"/>
      <c r="BR2395" s="1539"/>
      <c r="BS2395" s="1539"/>
      <c r="BT2395" s="1539"/>
      <c r="BU2395" s="1539"/>
      <c r="BV2395" s="1539"/>
      <c r="BW2395" s="1539"/>
      <c r="BX2395" s="1539"/>
      <c r="BY2395" s="1539"/>
      <c r="BZ2395" s="1539"/>
      <c r="CA2395" s="1539"/>
      <c r="CB2395" s="1539"/>
      <c r="CC2395" s="1539"/>
      <c r="CD2395" s="1539"/>
      <c r="CE2395" s="1539"/>
      <c r="CF2395" s="1539"/>
      <c r="CG2395" s="1539"/>
      <c r="CH2395" s="1539"/>
      <c r="CI2395" s="1539"/>
      <c r="CJ2395" s="1539"/>
      <c r="CK2395" s="1539"/>
      <c r="CL2395" s="1539"/>
      <c r="CM2395" s="1539"/>
      <c r="CN2395" s="1539"/>
      <c r="CO2395" s="1539"/>
    </row>
    <row r="2396" spans="1:93" s="1552" customFormat="1" ht="15.5">
      <c r="A2396" s="1598"/>
      <c r="B2396" s="1599" t="s">
        <v>1747</v>
      </c>
      <c r="C2396" s="1643" t="e">
        <f>+SUMIF(#REF!,Final!A2396,#REF!)</f>
        <v>#REF!</v>
      </c>
      <c r="D2396" s="1597" t="e">
        <f>+SUMIF(#REF!,Final!A2396,#REF!)</f>
        <v>#REF!</v>
      </c>
      <c r="E2396" s="1643" t="e">
        <f>SUMIF(#REF!,Final!A2396,#REF!)</f>
        <v>#REF!</v>
      </c>
      <c r="F2396" s="1644" t="e">
        <f>SUMIF(#REF!,Final!A2396,#REF!)</f>
        <v>#REF!</v>
      </c>
      <c r="G2396" s="1597" t="e">
        <f t="shared" si="252"/>
        <v>#REF!</v>
      </c>
      <c r="H2396" s="1644" t="e">
        <f t="shared" si="253"/>
        <v>#REF!</v>
      </c>
      <c r="I2396" s="1597" t="e">
        <f t="shared" si="254"/>
        <v>#REF!</v>
      </c>
      <c r="J2396" s="1644" t="e">
        <f t="shared" si="255"/>
        <v>#REF!</v>
      </c>
      <c r="K2396" s="1539"/>
      <c r="L2396" s="1539"/>
      <c r="M2396" s="1545"/>
      <c r="N2396" s="1545"/>
      <c r="O2396" s="1539"/>
      <c r="P2396" s="1539"/>
      <c r="Q2396" s="1539"/>
      <c r="R2396" s="1539"/>
      <c r="S2396" s="1539"/>
      <c r="T2396" s="1539"/>
      <c r="U2396" s="1539"/>
      <c r="V2396" s="1539"/>
      <c r="W2396" s="1539"/>
      <c r="X2396" s="1539"/>
      <c r="Y2396" s="1539"/>
      <c r="Z2396" s="1539"/>
      <c r="AA2396" s="1539"/>
      <c r="AB2396" s="1539"/>
      <c r="AC2396" s="1539"/>
      <c r="AD2396" s="1539"/>
      <c r="AE2396" s="1539"/>
      <c r="AF2396" s="1539"/>
      <c r="AG2396" s="1539"/>
      <c r="AH2396" s="1539"/>
      <c r="AI2396" s="1539"/>
      <c r="AJ2396" s="1539"/>
      <c r="AK2396" s="1539"/>
      <c r="AL2396" s="1539"/>
      <c r="AM2396" s="1539"/>
      <c r="AN2396" s="1539"/>
      <c r="AO2396" s="1539"/>
      <c r="AP2396" s="1539"/>
      <c r="AQ2396" s="1539"/>
      <c r="AR2396" s="1539"/>
      <c r="AS2396" s="1539"/>
      <c r="AT2396" s="1539"/>
      <c r="AU2396" s="1539"/>
      <c r="AV2396" s="1539"/>
      <c r="AW2396" s="1539"/>
      <c r="AX2396" s="1539"/>
      <c r="AY2396" s="1539"/>
      <c r="AZ2396" s="1539"/>
      <c r="BA2396" s="1539"/>
      <c r="BB2396" s="1539"/>
      <c r="BC2396" s="1539"/>
      <c r="BD2396" s="1539"/>
      <c r="BE2396" s="1539"/>
      <c r="BF2396" s="1539"/>
      <c r="BG2396" s="1539"/>
      <c r="BH2396" s="1539"/>
      <c r="BI2396" s="1539"/>
      <c r="BJ2396" s="1539"/>
      <c r="BK2396" s="1539"/>
      <c r="BL2396" s="1539"/>
      <c r="BM2396" s="1539"/>
      <c r="BN2396" s="1539"/>
      <c r="BO2396" s="1539"/>
      <c r="BP2396" s="1539"/>
      <c r="BQ2396" s="1539"/>
      <c r="BR2396" s="1539"/>
      <c r="BS2396" s="1539"/>
      <c r="BT2396" s="1539"/>
      <c r="BU2396" s="1539"/>
      <c r="BV2396" s="1539"/>
      <c r="BW2396" s="1539"/>
      <c r="BX2396" s="1539"/>
      <c r="BY2396" s="1539"/>
      <c r="BZ2396" s="1539"/>
      <c r="CA2396" s="1539"/>
      <c r="CB2396" s="1539"/>
      <c r="CC2396" s="1539"/>
      <c r="CD2396" s="1539"/>
      <c r="CE2396" s="1539"/>
      <c r="CF2396" s="1539"/>
      <c r="CG2396" s="1539"/>
      <c r="CH2396" s="1539"/>
      <c r="CI2396" s="1539"/>
      <c r="CJ2396" s="1539"/>
      <c r="CK2396" s="1539"/>
      <c r="CL2396" s="1539"/>
      <c r="CM2396" s="1539"/>
      <c r="CN2396" s="1539"/>
      <c r="CO2396" s="1539"/>
    </row>
    <row r="2397" spans="1:93" s="1552" customFormat="1" ht="15.5">
      <c r="A2397" s="1598" t="s">
        <v>3464</v>
      </c>
      <c r="B2397" s="1599" t="s">
        <v>1760</v>
      </c>
      <c r="C2397" s="1643" t="e">
        <f>+SUMIF(#REF!,Final!A2397,#REF!)</f>
        <v>#REF!</v>
      </c>
      <c r="D2397" s="1597" t="e">
        <f>+SUMIF(#REF!,Final!A2397,#REF!)</f>
        <v>#REF!</v>
      </c>
      <c r="E2397" s="1643" t="e">
        <f>SUMIF(#REF!,Final!A2397,#REF!)</f>
        <v>#REF!</v>
      </c>
      <c r="F2397" s="1644" t="e">
        <f>SUMIF(#REF!,Final!A2397,#REF!)</f>
        <v>#REF!</v>
      </c>
      <c r="G2397" s="1597" t="e">
        <f t="shared" si="252"/>
        <v>#REF!</v>
      </c>
      <c r="H2397" s="1644" t="e">
        <f t="shared" si="253"/>
        <v>#REF!</v>
      </c>
      <c r="I2397" s="1597" t="e">
        <f t="shared" si="254"/>
        <v>#REF!</v>
      </c>
      <c r="J2397" s="1644" t="e">
        <f t="shared" si="255"/>
        <v>#REF!</v>
      </c>
      <c r="K2397" s="1539"/>
      <c r="L2397" s="1539"/>
      <c r="M2397" s="1545"/>
      <c r="N2397" s="1545"/>
      <c r="O2397" s="1539"/>
      <c r="P2397" s="1539"/>
      <c r="Q2397" s="1539"/>
      <c r="R2397" s="1539"/>
      <c r="S2397" s="1539"/>
      <c r="T2397" s="1539"/>
      <c r="U2397" s="1539"/>
      <c r="V2397" s="1539"/>
      <c r="W2397" s="1539"/>
      <c r="X2397" s="1539"/>
      <c r="Y2397" s="1539"/>
      <c r="Z2397" s="1539"/>
      <c r="AA2397" s="1539"/>
      <c r="AB2397" s="1539"/>
      <c r="AC2397" s="1539"/>
      <c r="AD2397" s="1539"/>
      <c r="AE2397" s="1539"/>
      <c r="AF2397" s="1539"/>
      <c r="AG2397" s="1539"/>
      <c r="AH2397" s="1539"/>
      <c r="AI2397" s="1539"/>
      <c r="AJ2397" s="1539"/>
      <c r="AK2397" s="1539"/>
      <c r="AL2397" s="1539"/>
      <c r="AM2397" s="1539"/>
      <c r="AN2397" s="1539"/>
      <c r="AO2397" s="1539"/>
      <c r="AP2397" s="1539"/>
      <c r="AQ2397" s="1539"/>
      <c r="AR2397" s="1539"/>
      <c r="AS2397" s="1539"/>
      <c r="AT2397" s="1539"/>
      <c r="AU2397" s="1539"/>
      <c r="AV2397" s="1539"/>
      <c r="AW2397" s="1539"/>
      <c r="AX2397" s="1539"/>
      <c r="AY2397" s="1539"/>
      <c r="AZ2397" s="1539"/>
      <c r="BA2397" s="1539"/>
      <c r="BB2397" s="1539"/>
      <c r="BC2397" s="1539"/>
      <c r="BD2397" s="1539"/>
      <c r="BE2397" s="1539"/>
      <c r="BF2397" s="1539"/>
      <c r="BG2397" s="1539"/>
      <c r="BH2397" s="1539"/>
      <c r="BI2397" s="1539"/>
      <c r="BJ2397" s="1539"/>
      <c r="BK2397" s="1539"/>
      <c r="BL2397" s="1539"/>
      <c r="BM2397" s="1539"/>
      <c r="BN2397" s="1539"/>
      <c r="BO2397" s="1539"/>
      <c r="BP2397" s="1539"/>
      <c r="BQ2397" s="1539"/>
      <c r="BR2397" s="1539"/>
      <c r="BS2397" s="1539"/>
      <c r="BT2397" s="1539"/>
      <c r="BU2397" s="1539"/>
      <c r="BV2397" s="1539"/>
      <c r="BW2397" s="1539"/>
      <c r="BX2397" s="1539"/>
      <c r="BY2397" s="1539"/>
      <c r="BZ2397" s="1539"/>
      <c r="CA2397" s="1539"/>
      <c r="CB2397" s="1539"/>
      <c r="CC2397" s="1539"/>
      <c r="CD2397" s="1539"/>
      <c r="CE2397" s="1539"/>
      <c r="CF2397" s="1539"/>
      <c r="CG2397" s="1539"/>
      <c r="CH2397" s="1539"/>
      <c r="CI2397" s="1539"/>
      <c r="CJ2397" s="1539"/>
      <c r="CK2397" s="1539"/>
      <c r="CL2397" s="1539"/>
      <c r="CM2397" s="1539"/>
      <c r="CN2397" s="1539"/>
      <c r="CO2397" s="1539"/>
    </row>
    <row r="2398" spans="1:93" s="1542" customFormat="1" ht="15.5">
      <c r="A2398" s="1598">
        <v>18</v>
      </c>
      <c r="B2398" s="1599" t="s">
        <v>3460</v>
      </c>
      <c r="C2398" s="1643" t="e">
        <f>+SUMIF(#REF!,Final!A2398,#REF!)</f>
        <v>#REF!</v>
      </c>
      <c r="D2398" s="1597" t="e">
        <f>+SUMIF(#REF!,Final!A2398,#REF!)</f>
        <v>#REF!</v>
      </c>
      <c r="E2398" s="1643" t="e">
        <f>SUMIF(#REF!,Final!A2398,#REF!)</f>
        <v>#REF!</v>
      </c>
      <c r="F2398" s="1644" t="e">
        <f>SUMIF(#REF!,Final!A2398,#REF!)</f>
        <v>#REF!</v>
      </c>
      <c r="G2398" s="1597" t="e">
        <f t="shared" si="252"/>
        <v>#REF!</v>
      </c>
      <c r="H2398" s="1644" t="e">
        <f t="shared" si="253"/>
        <v>#REF!</v>
      </c>
      <c r="I2398" s="1597" t="e">
        <f t="shared" si="254"/>
        <v>#REF!</v>
      </c>
      <c r="J2398" s="1644" t="e">
        <f t="shared" si="255"/>
        <v>#REF!</v>
      </c>
      <c r="K2398" s="1539"/>
      <c r="L2398" s="1539"/>
      <c r="M2398" s="1545"/>
      <c r="N2398" s="1545"/>
      <c r="O2398" s="1539"/>
      <c r="P2398" s="1539"/>
      <c r="Q2398" s="1539"/>
      <c r="R2398" s="1539"/>
      <c r="S2398" s="1539"/>
      <c r="T2398" s="1539"/>
      <c r="U2398" s="1539"/>
      <c r="V2398" s="1539"/>
      <c r="W2398" s="1539"/>
      <c r="X2398" s="1539"/>
      <c r="Y2398" s="1539"/>
      <c r="Z2398" s="1539"/>
      <c r="AA2398" s="1539"/>
      <c r="AB2398" s="1539"/>
      <c r="AC2398" s="1539"/>
      <c r="AD2398" s="1539"/>
      <c r="AE2398" s="1539"/>
      <c r="AF2398" s="1539"/>
      <c r="AG2398" s="1539"/>
      <c r="AH2398" s="1539"/>
      <c r="AI2398" s="1539"/>
      <c r="AJ2398" s="1539"/>
      <c r="AK2398" s="1539"/>
      <c r="AL2398" s="1539"/>
      <c r="AM2398" s="1539"/>
      <c r="AN2398" s="1539"/>
      <c r="AO2398" s="1539"/>
      <c r="AP2398" s="1539"/>
      <c r="AQ2398" s="1539"/>
      <c r="AR2398" s="1539"/>
      <c r="AS2398" s="1539"/>
      <c r="AT2398" s="1539"/>
      <c r="AU2398" s="1539"/>
      <c r="AV2398" s="1539"/>
      <c r="AW2398" s="1539"/>
      <c r="AX2398" s="1539"/>
      <c r="AY2398" s="1539"/>
      <c r="AZ2398" s="1539"/>
      <c r="BA2398" s="1539"/>
      <c r="BB2398" s="1539"/>
      <c r="BC2398" s="1539"/>
      <c r="BD2398" s="1539"/>
      <c r="BE2398" s="1539"/>
      <c r="BF2398" s="1539"/>
      <c r="BG2398" s="1539"/>
      <c r="BH2398" s="1539"/>
      <c r="BI2398" s="1539"/>
      <c r="BJ2398" s="1539"/>
      <c r="BK2398" s="1539"/>
      <c r="BL2398" s="1539"/>
      <c r="BM2398" s="1539"/>
      <c r="BN2398" s="1539"/>
      <c r="BO2398" s="1539"/>
      <c r="BP2398" s="1539"/>
      <c r="BQ2398" s="1539"/>
      <c r="BR2398" s="1539"/>
      <c r="BS2398" s="1539"/>
      <c r="BT2398" s="1539"/>
      <c r="BU2398" s="1539"/>
      <c r="BV2398" s="1539"/>
      <c r="BW2398" s="1539"/>
      <c r="BX2398" s="1539"/>
      <c r="BY2398" s="1539"/>
      <c r="BZ2398" s="1539"/>
      <c r="CA2398" s="1539"/>
      <c r="CB2398" s="1539"/>
      <c r="CC2398" s="1539"/>
      <c r="CD2398" s="1539"/>
      <c r="CE2398" s="1539"/>
      <c r="CF2398" s="1539"/>
      <c r="CG2398" s="1539"/>
      <c r="CH2398" s="1539"/>
      <c r="CI2398" s="1539"/>
      <c r="CJ2398" s="1539"/>
      <c r="CK2398" s="1539"/>
      <c r="CL2398" s="1539"/>
      <c r="CM2398" s="1539"/>
      <c r="CN2398" s="1539"/>
      <c r="CO2398" s="1539"/>
    </row>
    <row r="2399" spans="1:93" s="1542" customFormat="1" ht="15.5">
      <c r="A2399" s="1598" t="s">
        <v>1834</v>
      </c>
      <c r="B2399" s="1599" t="s">
        <v>3481</v>
      </c>
      <c r="C2399" s="1643" t="e">
        <f>+SUMIF(#REF!,Final!A2399,#REF!)</f>
        <v>#REF!</v>
      </c>
      <c r="D2399" s="1597" t="e">
        <f>+SUMIF(#REF!,Final!A2399,#REF!)</f>
        <v>#REF!</v>
      </c>
      <c r="E2399" s="1643" t="e">
        <f>SUMIF(#REF!,Final!A2399,#REF!)</f>
        <v>#REF!</v>
      </c>
      <c r="F2399" s="1644" t="e">
        <f>SUMIF(#REF!,Final!A2399,#REF!)</f>
        <v>#REF!</v>
      </c>
      <c r="G2399" s="1597" t="e">
        <f t="shared" si="252"/>
        <v>#REF!</v>
      </c>
      <c r="H2399" s="1644" t="e">
        <f t="shared" si="253"/>
        <v>#REF!</v>
      </c>
      <c r="I2399" s="1597" t="e">
        <f t="shared" si="254"/>
        <v>#REF!</v>
      </c>
      <c r="J2399" s="1644" t="e">
        <f t="shared" si="255"/>
        <v>#REF!</v>
      </c>
      <c r="K2399" s="1539"/>
      <c r="L2399" s="1539"/>
      <c r="M2399" s="1545"/>
      <c r="N2399" s="1545"/>
      <c r="O2399" s="1539"/>
      <c r="P2399" s="1539"/>
      <c r="Q2399" s="1539"/>
      <c r="R2399" s="1539"/>
      <c r="S2399" s="1539"/>
      <c r="T2399" s="1539"/>
      <c r="U2399" s="1539"/>
      <c r="V2399" s="1539"/>
      <c r="W2399" s="1539"/>
      <c r="X2399" s="1539"/>
      <c r="Y2399" s="1539"/>
      <c r="Z2399" s="1539"/>
      <c r="AA2399" s="1539"/>
      <c r="AB2399" s="1539"/>
      <c r="AC2399" s="1539"/>
      <c r="AD2399" s="1539"/>
      <c r="AE2399" s="1539"/>
      <c r="AF2399" s="1539"/>
      <c r="AG2399" s="1539"/>
      <c r="AH2399" s="1539"/>
      <c r="AI2399" s="1539"/>
      <c r="AJ2399" s="1539"/>
      <c r="AK2399" s="1539"/>
      <c r="AL2399" s="1539"/>
      <c r="AM2399" s="1539"/>
      <c r="AN2399" s="1539"/>
      <c r="AO2399" s="1539"/>
      <c r="AP2399" s="1539"/>
      <c r="AQ2399" s="1539"/>
      <c r="AR2399" s="1539"/>
      <c r="AS2399" s="1539"/>
      <c r="AT2399" s="1539"/>
      <c r="AU2399" s="1539"/>
      <c r="AV2399" s="1539"/>
      <c r="AW2399" s="1539"/>
      <c r="AX2399" s="1539"/>
      <c r="AY2399" s="1539"/>
      <c r="AZ2399" s="1539"/>
      <c r="BA2399" s="1539"/>
      <c r="BB2399" s="1539"/>
      <c r="BC2399" s="1539"/>
      <c r="BD2399" s="1539"/>
      <c r="BE2399" s="1539"/>
      <c r="BF2399" s="1539"/>
      <c r="BG2399" s="1539"/>
      <c r="BH2399" s="1539"/>
      <c r="BI2399" s="1539"/>
      <c r="BJ2399" s="1539"/>
      <c r="BK2399" s="1539"/>
      <c r="BL2399" s="1539"/>
      <c r="BM2399" s="1539"/>
      <c r="BN2399" s="1539"/>
      <c r="BO2399" s="1539"/>
      <c r="BP2399" s="1539"/>
      <c r="BQ2399" s="1539"/>
      <c r="BR2399" s="1539"/>
      <c r="BS2399" s="1539"/>
      <c r="BT2399" s="1539"/>
      <c r="BU2399" s="1539"/>
      <c r="BV2399" s="1539"/>
      <c r="BW2399" s="1539"/>
      <c r="BX2399" s="1539"/>
      <c r="BY2399" s="1539"/>
      <c r="BZ2399" s="1539"/>
      <c r="CA2399" s="1539"/>
      <c r="CB2399" s="1539"/>
      <c r="CC2399" s="1539"/>
      <c r="CD2399" s="1539"/>
      <c r="CE2399" s="1539"/>
      <c r="CF2399" s="1539"/>
      <c r="CG2399" s="1539"/>
      <c r="CH2399" s="1539"/>
      <c r="CI2399" s="1539"/>
      <c r="CJ2399" s="1539"/>
      <c r="CK2399" s="1539"/>
      <c r="CL2399" s="1539"/>
      <c r="CM2399" s="1539"/>
      <c r="CN2399" s="1539"/>
      <c r="CO2399" s="1539"/>
    </row>
    <row r="2400" spans="1:93" s="1542" customFormat="1" ht="15.5">
      <c r="A2400" s="1598">
        <v>53.301000000000002</v>
      </c>
      <c r="B2400" s="1599" t="s">
        <v>1771</v>
      </c>
      <c r="C2400" s="1643" t="e">
        <f>+SUMIF(#REF!,Final!A2400,#REF!)</f>
        <v>#REF!</v>
      </c>
      <c r="D2400" s="1597" t="e">
        <f>+SUMIF(#REF!,Final!A2400,#REF!)</f>
        <v>#REF!</v>
      </c>
      <c r="E2400" s="1643" t="e">
        <f>SUMIF(#REF!,Final!A2400,#REF!)</f>
        <v>#REF!</v>
      </c>
      <c r="F2400" s="1644" t="e">
        <f>SUMIF(#REF!,Final!A2400,#REF!)</f>
        <v>#REF!</v>
      </c>
      <c r="G2400" s="1597" t="e">
        <f t="shared" si="252"/>
        <v>#REF!</v>
      </c>
      <c r="H2400" s="1644" t="e">
        <f t="shared" si="253"/>
        <v>#REF!</v>
      </c>
      <c r="I2400" s="1597" t="e">
        <f t="shared" si="254"/>
        <v>#REF!</v>
      </c>
      <c r="J2400" s="1644" t="e">
        <f t="shared" si="255"/>
        <v>#REF!</v>
      </c>
      <c r="K2400" s="1539"/>
      <c r="L2400" s="1539"/>
      <c r="M2400" s="1545"/>
      <c r="N2400" s="1545"/>
      <c r="O2400" s="1539"/>
      <c r="P2400" s="1539"/>
      <c r="Q2400" s="1539"/>
      <c r="R2400" s="1539"/>
      <c r="S2400" s="1539"/>
      <c r="T2400" s="1539"/>
      <c r="U2400" s="1539"/>
      <c r="V2400" s="1539"/>
      <c r="W2400" s="1539"/>
      <c r="X2400" s="1539"/>
      <c r="Y2400" s="1539"/>
      <c r="Z2400" s="1539"/>
      <c r="AA2400" s="1539"/>
      <c r="AB2400" s="1539"/>
      <c r="AC2400" s="1539"/>
      <c r="AD2400" s="1539"/>
      <c r="AE2400" s="1539"/>
      <c r="AF2400" s="1539"/>
      <c r="AG2400" s="1539"/>
      <c r="AH2400" s="1539"/>
      <c r="AI2400" s="1539"/>
      <c r="AJ2400" s="1539"/>
      <c r="AK2400" s="1539"/>
      <c r="AL2400" s="1539"/>
      <c r="AM2400" s="1539"/>
      <c r="AN2400" s="1539"/>
      <c r="AO2400" s="1539"/>
      <c r="AP2400" s="1539"/>
      <c r="AQ2400" s="1539"/>
      <c r="AR2400" s="1539"/>
      <c r="AS2400" s="1539"/>
      <c r="AT2400" s="1539"/>
      <c r="AU2400" s="1539"/>
      <c r="AV2400" s="1539"/>
      <c r="AW2400" s="1539"/>
      <c r="AX2400" s="1539"/>
      <c r="AY2400" s="1539"/>
      <c r="AZ2400" s="1539"/>
      <c r="BA2400" s="1539"/>
      <c r="BB2400" s="1539"/>
      <c r="BC2400" s="1539"/>
      <c r="BD2400" s="1539"/>
      <c r="BE2400" s="1539"/>
      <c r="BF2400" s="1539"/>
      <c r="BG2400" s="1539"/>
      <c r="BH2400" s="1539"/>
      <c r="BI2400" s="1539"/>
      <c r="BJ2400" s="1539"/>
      <c r="BK2400" s="1539"/>
      <c r="BL2400" s="1539"/>
      <c r="BM2400" s="1539"/>
      <c r="BN2400" s="1539"/>
      <c r="BO2400" s="1539"/>
      <c r="BP2400" s="1539"/>
      <c r="BQ2400" s="1539"/>
      <c r="BR2400" s="1539"/>
      <c r="BS2400" s="1539"/>
      <c r="BT2400" s="1539"/>
      <c r="BU2400" s="1539"/>
      <c r="BV2400" s="1539"/>
      <c r="BW2400" s="1539"/>
      <c r="BX2400" s="1539"/>
      <c r="BY2400" s="1539"/>
      <c r="BZ2400" s="1539"/>
      <c r="CA2400" s="1539"/>
      <c r="CB2400" s="1539"/>
      <c r="CC2400" s="1539"/>
      <c r="CD2400" s="1539"/>
      <c r="CE2400" s="1539"/>
      <c r="CF2400" s="1539"/>
      <c r="CG2400" s="1539"/>
      <c r="CH2400" s="1539"/>
      <c r="CI2400" s="1539"/>
      <c r="CJ2400" s="1539"/>
      <c r="CK2400" s="1539"/>
      <c r="CL2400" s="1539"/>
      <c r="CM2400" s="1539"/>
      <c r="CN2400" s="1539"/>
      <c r="CO2400" s="1539"/>
    </row>
    <row r="2401" spans="1:93" s="1552" customFormat="1" ht="15.5">
      <c r="A2401" s="1598"/>
      <c r="B2401" s="1599" t="s">
        <v>1747</v>
      </c>
      <c r="C2401" s="1643" t="e">
        <f>+SUMIF(#REF!,Final!A2401,#REF!)</f>
        <v>#REF!</v>
      </c>
      <c r="D2401" s="1597" t="e">
        <f>+SUMIF(#REF!,Final!A2401,#REF!)</f>
        <v>#REF!</v>
      </c>
      <c r="E2401" s="1643" t="e">
        <f>SUMIF(#REF!,Final!A2401,#REF!)</f>
        <v>#REF!</v>
      </c>
      <c r="F2401" s="1644" t="e">
        <f>SUMIF(#REF!,Final!A2401,#REF!)</f>
        <v>#REF!</v>
      </c>
      <c r="G2401" s="1597" t="e">
        <f t="shared" si="252"/>
        <v>#REF!</v>
      </c>
      <c r="H2401" s="1644" t="e">
        <f t="shared" si="253"/>
        <v>#REF!</v>
      </c>
      <c r="I2401" s="1597" t="e">
        <f t="shared" si="254"/>
        <v>#REF!</v>
      </c>
      <c r="J2401" s="1644" t="e">
        <f t="shared" si="255"/>
        <v>#REF!</v>
      </c>
      <c r="K2401" s="1539"/>
      <c r="L2401" s="1539"/>
      <c r="M2401" s="1545"/>
      <c r="N2401" s="1545"/>
      <c r="O2401" s="1539"/>
      <c r="P2401" s="1539"/>
      <c r="Q2401" s="1539"/>
      <c r="R2401" s="1539"/>
      <c r="S2401" s="1539"/>
      <c r="T2401" s="1539"/>
      <c r="U2401" s="1539"/>
      <c r="V2401" s="1539"/>
      <c r="W2401" s="1539"/>
      <c r="X2401" s="1539"/>
      <c r="Y2401" s="1539"/>
      <c r="Z2401" s="1539"/>
      <c r="AA2401" s="1539"/>
      <c r="AB2401" s="1539"/>
      <c r="AC2401" s="1539"/>
      <c r="AD2401" s="1539"/>
      <c r="AE2401" s="1539"/>
      <c r="AF2401" s="1539"/>
      <c r="AG2401" s="1539"/>
      <c r="AH2401" s="1539"/>
      <c r="AI2401" s="1539"/>
      <c r="AJ2401" s="1539"/>
      <c r="AK2401" s="1539"/>
      <c r="AL2401" s="1539"/>
      <c r="AM2401" s="1539"/>
      <c r="AN2401" s="1539"/>
      <c r="AO2401" s="1539"/>
      <c r="AP2401" s="1539"/>
      <c r="AQ2401" s="1539"/>
      <c r="AR2401" s="1539"/>
      <c r="AS2401" s="1539"/>
      <c r="AT2401" s="1539"/>
      <c r="AU2401" s="1539"/>
      <c r="AV2401" s="1539"/>
      <c r="AW2401" s="1539"/>
      <c r="AX2401" s="1539"/>
      <c r="AY2401" s="1539"/>
      <c r="AZ2401" s="1539"/>
      <c r="BA2401" s="1539"/>
      <c r="BB2401" s="1539"/>
      <c r="BC2401" s="1539"/>
      <c r="BD2401" s="1539"/>
      <c r="BE2401" s="1539"/>
      <c r="BF2401" s="1539"/>
      <c r="BG2401" s="1539"/>
      <c r="BH2401" s="1539"/>
      <c r="BI2401" s="1539"/>
      <c r="BJ2401" s="1539"/>
      <c r="BK2401" s="1539"/>
      <c r="BL2401" s="1539"/>
      <c r="BM2401" s="1539"/>
      <c r="BN2401" s="1539"/>
      <c r="BO2401" s="1539"/>
      <c r="BP2401" s="1539"/>
      <c r="BQ2401" s="1539"/>
      <c r="BR2401" s="1539"/>
      <c r="BS2401" s="1539"/>
      <c r="BT2401" s="1539"/>
      <c r="BU2401" s="1539"/>
      <c r="BV2401" s="1539"/>
      <c r="BW2401" s="1539"/>
      <c r="BX2401" s="1539"/>
      <c r="BY2401" s="1539"/>
      <c r="BZ2401" s="1539"/>
      <c r="CA2401" s="1539"/>
      <c r="CB2401" s="1539"/>
      <c r="CC2401" s="1539"/>
      <c r="CD2401" s="1539"/>
      <c r="CE2401" s="1539"/>
      <c r="CF2401" s="1539"/>
      <c r="CG2401" s="1539"/>
      <c r="CH2401" s="1539"/>
      <c r="CI2401" s="1539"/>
      <c r="CJ2401" s="1539"/>
      <c r="CK2401" s="1539"/>
      <c r="CL2401" s="1539"/>
      <c r="CM2401" s="1539"/>
      <c r="CN2401" s="1539"/>
      <c r="CO2401" s="1539"/>
    </row>
    <row r="2402" spans="1:93" s="1552" customFormat="1" ht="15.5">
      <c r="A2402" s="1598" t="s">
        <v>3482</v>
      </c>
      <c r="B2402" s="1599" t="s">
        <v>3483</v>
      </c>
      <c r="C2402" s="1643" t="e">
        <f>+SUMIF(#REF!,Final!A2402,#REF!)</f>
        <v>#REF!</v>
      </c>
      <c r="D2402" s="1597" t="e">
        <f>+SUMIF(#REF!,Final!A2402,#REF!)</f>
        <v>#REF!</v>
      </c>
      <c r="E2402" s="1643" t="e">
        <f>SUMIF(#REF!,Final!A2402,#REF!)</f>
        <v>#REF!</v>
      </c>
      <c r="F2402" s="1644" t="e">
        <f>SUMIF(#REF!,Final!A2402,#REF!)</f>
        <v>#REF!</v>
      </c>
      <c r="G2402" s="1597" t="e">
        <f t="shared" si="252"/>
        <v>#REF!</v>
      </c>
      <c r="H2402" s="1644" t="e">
        <f t="shared" si="253"/>
        <v>#REF!</v>
      </c>
      <c r="I2402" s="1597" t="e">
        <f t="shared" si="254"/>
        <v>#REF!</v>
      </c>
      <c r="J2402" s="1644" t="e">
        <f t="shared" si="255"/>
        <v>#REF!</v>
      </c>
      <c r="K2402" s="1539"/>
      <c r="L2402" s="1539"/>
      <c r="M2402" s="1545"/>
      <c r="N2402" s="1545"/>
      <c r="O2402" s="1539"/>
      <c r="P2402" s="1539"/>
      <c r="Q2402" s="1539"/>
      <c r="R2402" s="1539"/>
      <c r="S2402" s="1539"/>
      <c r="T2402" s="1539"/>
      <c r="U2402" s="1539"/>
      <c r="V2402" s="1539"/>
      <c r="W2402" s="1539"/>
      <c r="X2402" s="1539"/>
      <c r="Y2402" s="1539"/>
      <c r="Z2402" s="1539"/>
      <c r="AA2402" s="1539"/>
      <c r="AB2402" s="1539"/>
      <c r="AC2402" s="1539"/>
      <c r="AD2402" s="1539"/>
      <c r="AE2402" s="1539"/>
      <c r="AF2402" s="1539"/>
      <c r="AG2402" s="1539"/>
      <c r="AH2402" s="1539"/>
      <c r="AI2402" s="1539"/>
      <c r="AJ2402" s="1539"/>
      <c r="AK2402" s="1539"/>
      <c r="AL2402" s="1539"/>
      <c r="AM2402" s="1539"/>
      <c r="AN2402" s="1539"/>
      <c r="AO2402" s="1539"/>
      <c r="AP2402" s="1539"/>
      <c r="AQ2402" s="1539"/>
      <c r="AR2402" s="1539"/>
      <c r="AS2402" s="1539"/>
      <c r="AT2402" s="1539"/>
      <c r="AU2402" s="1539"/>
      <c r="AV2402" s="1539"/>
      <c r="AW2402" s="1539"/>
      <c r="AX2402" s="1539"/>
      <c r="AY2402" s="1539"/>
      <c r="AZ2402" s="1539"/>
      <c r="BA2402" s="1539"/>
      <c r="BB2402" s="1539"/>
      <c r="BC2402" s="1539"/>
      <c r="BD2402" s="1539"/>
      <c r="BE2402" s="1539"/>
      <c r="BF2402" s="1539"/>
      <c r="BG2402" s="1539"/>
      <c r="BH2402" s="1539"/>
      <c r="BI2402" s="1539"/>
      <c r="BJ2402" s="1539"/>
      <c r="BK2402" s="1539"/>
      <c r="BL2402" s="1539"/>
      <c r="BM2402" s="1539"/>
      <c r="BN2402" s="1539"/>
      <c r="BO2402" s="1539"/>
      <c r="BP2402" s="1539"/>
      <c r="BQ2402" s="1539"/>
      <c r="BR2402" s="1539"/>
      <c r="BS2402" s="1539"/>
      <c r="BT2402" s="1539"/>
      <c r="BU2402" s="1539"/>
      <c r="BV2402" s="1539"/>
      <c r="BW2402" s="1539"/>
      <c r="BX2402" s="1539"/>
      <c r="BY2402" s="1539"/>
      <c r="BZ2402" s="1539"/>
      <c r="CA2402" s="1539"/>
      <c r="CB2402" s="1539"/>
      <c r="CC2402" s="1539"/>
      <c r="CD2402" s="1539"/>
      <c r="CE2402" s="1539"/>
      <c r="CF2402" s="1539"/>
      <c r="CG2402" s="1539"/>
      <c r="CH2402" s="1539"/>
      <c r="CI2402" s="1539"/>
      <c r="CJ2402" s="1539"/>
      <c r="CK2402" s="1539"/>
      <c r="CL2402" s="1539"/>
      <c r="CM2402" s="1539"/>
      <c r="CN2402" s="1539"/>
      <c r="CO2402" s="1539"/>
    </row>
    <row r="2403" spans="1:93" ht="15.5">
      <c r="A2403" s="1598">
        <v>18</v>
      </c>
      <c r="B2403" s="1599" t="s">
        <v>3460</v>
      </c>
      <c r="C2403" s="1643" t="e">
        <f>+SUMIF(#REF!,Final!A2403,#REF!)</f>
        <v>#REF!</v>
      </c>
      <c r="D2403" s="1597" t="e">
        <f>+SUMIF(#REF!,Final!A2403,#REF!)</f>
        <v>#REF!</v>
      </c>
      <c r="E2403" s="1643" t="e">
        <f>SUMIF(#REF!,Final!A2403,#REF!)</f>
        <v>#REF!</v>
      </c>
      <c r="F2403" s="1644" t="e">
        <f>SUMIF(#REF!,Final!A2403,#REF!)</f>
        <v>#REF!</v>
      </c>
      <c r="G2403" s="1597" t="e">
        <f t="shared" si="252"/>
        <v>#REF!</v>
      </c>
      <c r="H2403" s="1644" t="e">
        <f t="shared" si="253"/>
        <v>#REF!</v>
      </c>
      <c r="I2403" s="1597" t="e">
        <f t="shared" si="254"/>
        <v>#REF!</v>
      </c>
      <c r="J2403" s="1644" t="e">
        <f t="shared" si="255"/>
        <v>#REF!</v>
      </c>
      <c r="M2403" s="1545"/>
      <c r="N2403" s="1545"/>
    </row>
    <row r="2404" spans="1:93" ht="15.5">
      <c r="A2404" s="1598" t="s">
        <v>1834</v>
      </c>
      <c r="B2404" s="1599" t="s">
        <v>3481</v>
      </c>
      <c r="C2404" s="1643" t="e">
        <f>+SUMIF(#REF!,Final!A2404,#REF!)</f>
        <v>#REF!</v>
      </c>
      <c r="D2404" s="1597" t="e">
        <f>+SUMIF(#REF!,Final!A2404,#REF!)</f>
        <v>#REF!</v>
      </c>
      <c r="E2404" s="1643" t="e">
        <f>SUMIF(#REF!,Final!A2404,#REF!)</f>
        <v>#REF!</v>
      </c>
      <c r="F2404" s="1644" t="e">
        <f>SUMIF(#REF!,Final!A2404,#REF!)</f>
        <v>#REF!</v>
      </c>
      <c r="G2404" s="1597" t="e">
        <f t="shared" si="252"/>
        <v>#REF!</v>
      </c>
      <c r="H2404" s="1644" t="e">
        <f t="shared" si="253"/>
        <v>#REF!</v>
      </c>
      <c r="I2404" s="1597" t="e">
        <f t="shared" si="254"/>
        <v>#REF!</v>
      </c>
      <c r="J2404" s="1644" t="e">
        <f t="shared" si="255"/>
        <v>#REF!</v>
      </c>
      <c r="M2404" s="1545"/>
      <c r="N2404" s="1545"/>
    </row>
    <row r="2405" spans="1:93" ht="15.5">
      <c r="A2405" s="1598">
        <v>53.302</v>
      </c>
      <c r="B2405" s="1599" t="s">
        <v>1774</v>
      </c>
      <c r="C2405" s="1643" t="e">
        <f>+SUMIF(#REF!,Final!A2405,#REF!)</f>
        <v>#REF!</v>
      </c>
      <c r="D2405" s="1597" t="e">
        <f>+SUMIF(#REF!,Final!A2405,#REF!)</f>
        <v>#REF!</v>
      </c>
      <c r="E2405" s="1643" t="e">
        <f>SUMIF(#REF!,Final!A2405,#REF!)</f>
        <v>#REF!</v>
      </c>
      <c r="F2405" s="1644" t="e">
        <f>SUMIF(#REF!,Final!A2405,#REF!)</f>
        <v>#REF!</v>
      </c>
      <c r="G2405" s="1597" t="e">
        <f t="shared" si="252"/>
        <v>#REF!</v>
      </c>
      <c r="H2405" s="1644" t="e">
        <f t="shared" si="253"/>
        <v>#REF!</v>
      </c>
      <c r="I2405" s="1597" t="e">
        <f t="shared" si="254"/>
        <v>#REF!</v>
      </c>
      <c r="J2405" s="1644" t="e">
        <f t="shared" si="255"/>
        <v>#REF!</v>
      </c>
      <c r="M2405" s="1545"/>
      <c r="N2405" s="1545"/>
    </row>
    <row r="2406" spans="1:93" ht="15.5">
      <c r="A2406" s="1598"/>
      <c r="B2406" s="1599" t="s">
        <v>1747</v>
      </c>
      <c r="C2406" s="1643" t="e">
        <f>+SUMIF(#REF!,Final!A2406,#REF!)</f>
        <v>#REF!</v>
      </c>
      <c r="D2406" s="1597" t="e">
        <f>+SUMIF(#REF!,Final!A2406,#REF!)</f>
        <v>#REF!</v>
      </c>
      <c r="E2406" s="1643" t="e">
        <f>SUMIF(#REF!,Final!A2406,#REF!)</f>
        <v>#REF!</v>
      </c>
      <c r="F2406" s="1644" t="e">
        <f>SUMIF(#REF!,Final!A2406,#REF!)</f>
        <v>#REF!</v>
      </c>
      <c r="G2406" s="1597" t="e">
        <f t="shared" si="252"/>
        <v>#REF!</v>
      </c>
      <c r="H2406" s="1644" t="e">
        <f t="shared" si="253"/>
        <v>#REF!</v>
      </c>
      <c r="I2406" s="1597" t="e">
        <f t="shared" si="254"/>
        <v>#REF!</v>
      </c>
      <c r="J2406" s="1644" t="e">
        <f t="shared" si="255"/>
        <v>#REF!</v>
      </c>
      <c r="M2406" s="1545"/>
      <c r="N2406" s="1545"/>
    </row>
    <row r="2407" spans="1:93" ht="15.5">
      <c r="A2407" s="1598" t="s">
        <v>3482</v>
      </c>
      <c r="B2407" s="1599" t="s">
        <v>3483</v>
      </c>
      <c r="C2407" s="1643" t="e">
        <f>+SUMIF(#REF!,Final!A2407,#REF!)</f>
        <v>#REF!</v>
      </c>
      <c r="D2407" s="1597" t="e">
        <f>+SUMIF(#REF!,Final!A2407,#REF!)</f>
        <v>#REF!</v>
      </c>
      <c r="E2407" s="1643" t="e">
        <f>SUMIF(#REF!,Final!A2407,#REF!)</f>
        <v>#REF!</v>
      </c>
      <c r="F2407" s="1644" t="e">
        <f>SUMIF(#REF!,Final!A2407,#REF!)</f>
        <v>#REF!</v>
      </c>
      <c r="G2407" s="1597" t="e">
        <f t="shared" si="252"/>
        <v>#REF!</v>
      </c>
      <c r="H2407" s="1644" t="e">
        <f t="shared" si="253"/>
        <v>#REF!</v>
      </c>
      <c r="I2407" s="1597" t="e">
        <f t="shared" si="254"/>
        <v>#REF!</v>
      </c>
      <c r="J2407" s="1644" t="e">
        <f t="shared" si="255"/>
        <v>#REF!</v>
      </c>
      <c r="M2407" s="1545"/>
      <c r="N2407" s="1545"/>
    </row>
    <row r="2408" spans="1:93" s="1542" customFormat="1" ht="15.5">
      <c r="A2408" s="1598">
        <v>18</v>
      </c>
      <c r="B2408" s="1599" t="s">
        <v>3460</v>
      </c>
      <c r="C2408" s="1643" t="e">
        <f>+SUMIF(#REF!,Final!A2408,#REF!)</f>
        <v>#REF!</v>
      </c>
      <c r="D2408" s="1597" t="e">
        <f>+SUMIF(#REF!,Final!A2408,#REF!)</f>
        <v>#REF!</v>
      </c>
      <c r="E2408" s="1643" t="e">
        <f>SUMIF(#REF!,Final!A2408,#REF!)</f>
        <v>#REF!</v>
      </c>
      <c r="F2408" s="1644" t="e">
        <f>SUMIF(#REF!,Final!A2408,#REF!)</f>
        <v>#REF!</v>
      </c>
      <c r="G2408" s="1597" t="e">
        <f t="shared" si="252"/>
        <v>#REF!</v>
      </c>
      <c r="H2408" s="1644" t="e">
        <f t="shared" si="253"/>
        <v>#REF!</v>
      </c>
      <c r="I2408" s="1597" t="e">
        <f t="shared" si="254"/>
        <v>#REF!</v>
      </c>
      <c r="J2408" s="1644" t="e">
        <f t="shared" si="255"/>
        <v>#REF!</v>
      </c>
      <c r="K2408" s="1539"/>
      <c r="L2408" s="1539"/>
      <c r="M2408" s="1545"/>
      <c r="N2408" s="1545"/>
      <c r="O2408" s="1539"/>
      <c r="P2408" s="1539"/>
      <c r="Q2408" s="1539"/>
      <c r="R2408" s="1539"/>
      <c r="S2408" s="1539"/>
      <c r="T2408" s="1539"/>
      <c r="U2408" s="1539"/>
      <c r="V2408" s="1539"/>
      <c r="W2408" s="1539"/>
      <c r="X2408" s="1539"/>
      <c r="Y2408" s="1539"/>
      <c r="Z2408" s="1539"/>
      <c r="AA2408" s="1539"/>
      <c r="AB2408" s="1539"/>
      <c r="AC2408" s="1539"/>
      <c r="AD2408" s="1539"/>
      <c r="AE2408" s="1539"/>
      <c r="AF2408" s="1539"/>
      <c r="AG2408" s="1539"/>
      <c r="AH2408" s="1539"/>
      <c r="AI2408" s="1539"/>
      <c r="AJ2408" s="1539"/>
      <c r="AK2408" s="1539"/>
      <c r="AL2408" s="1539"/>
      <c r="AM2408" s="1539"/>
      <c r="AN2408" s="1539"/>
      <c r="AO2408" s="1539"/>
      <c r="AP2408" s="1539"/>
      <c r="AQ2408" s="1539"/>
      <c r="AR2408" s="1539"/>
      <c r="AS2408" s="1539"/>
      <c r="AT2408" s="1539"/>
      <c r="AU2408" s="1539"/>
      <c r="AV2408" s="1539"/>
      <c r="AW2408" s="1539"/>
      <c r="AX2408" s="1539"/>
      <c r="AY2408" s="1539"/>
      <c r="AZ2408" s="1539"/>
      <c r="BA2408" s="1539"/>
      <c r="BB2408" s="1539"/>
      <c r="BC2408" s="1539"/>
      <c r="BD2408" s="1539"/>
      <c r="BE2408" s="1539"/>
      <c r="BF2408" s="1539"/>
      <c r="BG2408" s="1539"/>
      <c r="BH2408" s="1539"/>
      <c r="BI2408" s="1539"/>
      <c r="BJ2408" s="1539"/>
      <c r="BK2408" s="1539"/>
      <c r="BL2408" s="1539"/>
      <c r="BM2408" s="1539"/>
      <c r="BN2408" s="1539"/>
      <c r="BO2408" s="1539"/>
      <c r="BP2408" s="1539"/>
      <c r="BQ2408" s="1539"/>
      <c r="BR2408" s="1539"/>
      <c r="BS2408" s="1539"/>
      <c r="BT2408" s="1539"/>
      <c r="BU2408" s="1539"/>
      <c r="BV2408" s="1539"/>
      <c r="BW2408" s="1539"/>
      <c r="BX2408" s="1539"/>
      <c r="BY2408" s="1539"/>
      <c r="BZ2408" s="1539"/>
      <c r="CA2408" s="1539"/>
      <c r="CB2408" s="1539"/>
      <c r="CC2408" s="1539"/>
      <c r="CD2408" s="1539"/>
      <c r="CE2408" s="1539"/>
      <c r="CF2408" s="1539"/>
      <c r="CG2408" s="1539"/>
      <c r="CH2408" s="1539"/>
      <c r="CI2408" s="1539"/>
      <c r="CJ2408" s="1539"/>
      <c r="CK2408" s="1539"/>
      <c r="CL2408" s="1539"/>
      <c r="CM2408" s="1539"/>
      <c r="CN2408" s="1539"/>
      <c r="CO2408" s="1539"/>
    </row>
    <row r="2409" spans="1:93" s="1542" customFormat="1" ht="15.5">
      <c r="A2409" s="1598" t="s">
        <v>1827</v>
      </c>
      <c r="B2409" s="1599" t="s">
        <v>3484</v>
      </c>
      <c r="C2409" s="1643" t="e">
        <f>+SUMIF(#REF!,Final!A2409,#REF!)</f>
        <v>#REF!</v>
      </c>
      <c r="D2409" s="1597" t="e">
        <f>+SUMIF(#REF!,Final!A2409,#REF!)</f>
        <v>#REF!</v>
      </c>
      <c r="E2409" s="1643" t="e">
        <f>SUMIF(#REF!,Final!A2409,#REF!)</f>
        <v>#REF!</v>
      </c>
      <c r="F2409" s="1644" t="e">
        <f>SUMIF(#REF!,Final!A2409,#REF!)</f>
        <v>#REF!</v>
      </c>
      <c r="G2409" s="1597" t="e">
        <f t="shared" si="252"/>
        <v>#REF!</v>
      </c>
      <c r="H2409" s="1644" t="e">
        <f t="shared" si="253"/>
        <v>#REF!</v>
      </c>
      <c r="I2409" s="1597" t="e">
        <f t="shared" si="254"/>
        <v>#REF!</v>
      </c>
      <c r="J2409" s="1644" t="e">
        <f t="shared" si="255"/>
        <v>#REF!</v>
      </c>
      <c r="K2409" s="1539"/>
      <c r="L2409" s="1539"/>
      <c r="M2409" s="1545"/>
      <c r="N2409" s="1545"/>
      <c r="O2409" s="1539"/>
      <c r="P2409" s="1539"/>
      <c r="Q2409" s="1539"/>
      <c r="R2409" s="1539"/>
      <c r="S2409" s="1539"/>
      <c r="T2409" s="1539"/>
      <c r="U2409" s="1539"/>
      <c r="V2409" s="1539"/>
      <c r="W2409" s="1539"/>
      <c r="X2409" s="1539"/>
      <c r="Y2409" s="1539"/>
      <c r="Z2409" s="1539"/>
      <c r="AA2409" s="1539"/>
      <c r="AB2409" s="1539"/>
      <c r="AC2409" s="1539"/>
      <c r="AD2409" s="1539"/>
      <c r="AE2409" s="1539"/>
      <c r="AF2409" s="1539"/>
      <c r="AG2409" s="1539"/>
      <c r="AH2409" s="1539"/>
      <c r="AI2409" s="1539"/>
      <c r="AJ2409" s="1539"/>
      <c r="AK2409" s="1539"/>
      <c r="AL2409" s="1539"/>
      <c r="AM2409" s="1539"/>
      <c r="AN2409" s="1539"/>
      <c r="AO2409" s="1539"/>
      <c r="AP2409" s="1539"/>
      <c r="AQ2409" s="1539"/>
      <c r="AR2409" s="1539"/>
      <c r="AS2409" s="1539"/>
      <c r="AT2409" s="1539"/>
      <c r="AU2409" s="1539"/>
      <c r="AV2409" s="1539"/>
      <c r="AW2409" s="1539"/>
      <c r="AX2409" s="1539"/>
      <c r="AY2409" s="1539"/>
      <c r="AZ2409" s="1539"/>
      <c r="BA2409" s="1539"/>
      <c r="BB2409" s="1539"/>
      <c r="BC2409" s="1539"/>
      <c r="BD2409" s="1539"/>
      <c r="BE2409" s="1539"/>
      <c r="BF2409" s="1539"/>
      <c r="BG2409" s="1539"/>
      <c r="BH2409" s="1539"/>
      <c r="BI2409" s="1539"/>
      <c r="BJ2409" s="1539"/>
      <c r="BK2409" s="1539"/>
      <c r="BL2409" s="1539"/>
      <c r="BM2409" s="1539"/>
      <c r="BN2409" s="1539"/>
      <c r="BO2409" s="1539"/>
      <c r="BP2409" s="1539"/>
      <c r="BQ2409" s="1539"/>
      <c r="BR2409" s="1539"/>
      <c r="BS2409" s="1539"/>
      <c r="BT2409" s="1539"/>
      <c r="BU2409" s="1539"/>
      <c r="BV2409" s="1539"/>
      <c r="BW2409" s="1539"/>
      <c r="BX2409" s="1539"/>
      <c r="BY2409" s="1539"/>
      <c r="BZ2409" s="1539"/>
      <c r="CA2409" s="1539"/>
      <c r="CB2409" s="1539"/>
      <c r="CC2409" s="1539"/>
      <c r="CD2409" s="1539"/>
      <c r="CE2409" s="1539"/>
      <c r="CF2409" s="1539"/>
      <c r="CG2409" s="1539"/>
      <c r="CH2409" s="1539"/>
      <c r="CI2409" s="1539"/>
      <c r="CJ2409" s="1539"/>
      <c r="CK2409" s="1539"/>
      <c r="CL2409" s="1539"/>
      <c r="CM2409" s="1539"/>
      <c r="CN2409" s="1539"/>
      <c r="CO2409" s="1539"/>
    </row>
    <row r="2410" spans="1:93" ht="15.5">
      <c r="A2410" s="1598">
        <v>53.302999999999997</v>
      </c>
      <c r="B2410" s="1599" t="s">
        <v>1770</v>
      </c>
      <c r="C2410" s="1643" t="e">
        <f>+SUMIF(#REF!,Final!A2410,#REF!)</f>
        <v>#REF!</v>
      </c>
      <c r="D2410" s="1597" t="e">
        <f>+SUMIF(#REF!,Final!A2410,#REF!)</f>
        <v>#REF!</v>
      </c>
      <c r="E2410" s="1643" t="e">
        <f>SUMIF(#REF!,Final!A2410,#REF!)</f>
        <v>#REF!</v>
      </c>
      <c r="F2410" s="1644" t="e">
        <f>SUMIF(#REF!,Final!A2410,#REF!)</f>
        <v>#REF!</v>
      </c>
      <c r="G2410" s="1597" t="e">
        <f t="shared" si="252"/>
        <v>#REF!</v>
      </c>
      <c r="H2410" s="1644" t="e">
        <f t="shared" si="253"/>
        <v>#REF!</v>
      </c>
      <c r="I2410" s="1597" t="e">
        <f t="shared" si="254"/>
        <v>#REF!</v>
      </c>
      <c r="J2410" s="1644" t="e">
        <f t="shared" si="255"/>
        <v>#REF!</v>
      </c>
      <c r="M2410" s="1545"/>
      <c r="N2410" s="1545"/>
    </row>
    <row r="2411" spans="1:93" s="1552" customFormat="1" ht="15.5">
      <c r="A2411" s="1598"/>
      <c r="B2411" s="1599" t="s">
        <v>1747</v>
      </c>
      <c r="C2411" s="1643" t="e">
        <f>+SUMIF(#REF!,Final!A2411,#REF!)</f>
        <v>#REF!</v>
      </c>
      <c r="D2411" s="1597" t="e">
        <f>+SUMIF(#REF!,Final!A2411,#REF!)</f>
        <v>#REF!</v>
      </c>
      <c r="E2411" s="1643" t="e">
        <f>SUMIF(#REF!,Final!A2411,#REF!)</f>
        <v>#REF!</v>
      </c>
      <c r="F2411" s="1644" t="e">
        <f>SUMIF(#REF!,Final!A2411,#REF!)</f>
        <v>#REF!</v>
      </c>
      <c r="G2411" s="1597" t="e">
        <f t="shared" si="252"/>
        <v>#REF!</v>
      </c>
      <c r="H2411" s="1644" t="e">
        <f t="shared" si="253"/>
        <v>#REF!</v>
      </c>
      <c r="I2411" s="1597" t="e">
        <f t="shared" si="254"/>
        <v>#REF!</v>
      </c>
      <c r="J2411" s="1644" t="e">
        <f t="shared" si="255"/>
        <v>#REF!</v>
      </c>
      <c r="K2411" s="1539"/>
      <c r="L2411" s="1539"/>
      <c r="M2411" s="1545"/>
      <c r="N2411" s="1545"/>
      <c r="O2411" s="1539"/>
      <c r="P2411" s="1539"/>
      <c r="Q2411" s="1539"/>
      <c r="R2411" s="1539"/>
      <c r="S2411" s="1539"/>
      <c r="T2411" s="1539"/>
      <c r="U2411" s="1539"/>
      <c r="V2411" s="1539"/>
      <c r="W2411" s="1539"/>
      <c r="X2411" s="1539"/>
      <c r="Y2411" s="1539"/>
      <c r="Z2411" s="1539"/>
      <c r="AA2411" s="1539"/>
      <c r="AB2411" s="1539"/>
      <c r="AC2411" s="1539"/>
      <c r="AD2411" s="1539"/>
      <c r="AE2411" s="1539"/>
      <c r="AF2411" s="1539"/>
      <c r="AG2411" s="1539"/>
      <c r="AH2411" s="1539"/>
      <c r="AI2411" s="1539"/>
      <c r="AJ2411" s="1539"/>
      <c r="AK2411" s="1539"/>
      <c r="AL2411" s="1539"/>
      <c r="AM2411" s="1539"/>
      <c r="AN2411" s="1539"/>
      <c r="AO2411" s="1539"/>
      <c r="AP2411" s="1539"/>
      <c r="AQ2411" s="1539"/>
      <c r="AR2411" s="1539"/>
      <c r="AS2411" s="1539"/>
      <c r="AT2411" s="1539"/>
      <c r="AU2411" s="1539"/>
      <c r="AV2411" s="1539"/>
      <c r="AW2411" s="1539"/>
      <c r="AX2411" s="1539"/>
      <c r="AY2411" s="1539"/>
      <c r="AZ2411" s="1539"/>
      <c r="BA2411" s="1539"/>
      <c r="BB2411" s="1539"/>
      <c r="BC2411" s="1539"/>
      <c r="BD2411" s="1539"/>
      <c r="BE2411" s="1539"/>
      <c r="BF2411" s="1539"/>
      <c r="BG2411" s="1539"/>
      <c r="BH2411" s="1539"/>
      <c r="BI2411" s="1539"/>
      <c r="BJ2411" s="1539"/>
      <c r="BK2411" s="1539"/>
      <c r="BL2411" s="1539"/>
      <c r="BM2411" s="1539"/>
      <c r="BN2411" s="1539"/>
      <c r="BO2411" s="1539"/>
      <c r="BP2411" s="1539"/>
      <c r="BQ2411" s="1539"/>
      <c r="BR2411" s="1539"/>
      <c r="BS2411" s="1539"/>
      <c r="BT2411" s="1539"/>
      <c r="BU2411" s="1539"/>
      <c r="BV2411" s="1539"/>
      <c r="BW2411" s="1539"/>
      <c r="BX2411" s="1539"/>
      <c r="BY2411" s="1539"/>
      <c r="BZ2411" s="1539"/>
      <c r="CA2411" s="1539"/>
      <c r="CB2411" s="1539"/>
      <c r="CC2411" s="1539"/>
      <c r="CD2411" s="1539"/>
      <c r="CE2411" s="1539"/>
      <c r="CF2411" s="1539"/>
      <c r="CG2411" s="1539"/>
      <c r="CH2411" s="1539"/>
      <c r="CI2411" s="1539"/>
      <c r="CJ2411" s="1539"/>
      <c r="CK2411" s="1539"/>
      <c r="CL2411" s="1539"/>
      <c r="CM2411" s="1539"/>
      <c r="CN2411" s="1539"/>
      <c r="CO2411" s="1539"/>
    </row>
    <row r="2412" spans="1:93" s="1552" customFormat="1" ht="15.5">
      <c r="A2412" s="1598" t="s">
        <v>3485</v>
      </c>
      <c r="B2412" s="1599" t="s">
        <v>3486</v>
      </c>
      <c r="C2412" s="1643" t="e">
        <f>+SUMIF(#REF!,Final!A2412,#REF!)</f>
        <v>#REF!</v>
      </c>
      <c r="D2412" s="1597" t="e">
        <f>+SUMIF(#REF!,Final!A2412,#REF!)</f>
        <v>#REF!</v>
      </c>
      <c r="E2412" s="1643" t="e">
        <f>SUMIF(#REF!,Final!A2412,#REF!)</f>
        <v>#REF!</v>
      </c>
      <c r="F2412" s="1644" t="e">
        <f>SUMIF(#REF!,Final!A2412,#REF!)</f>
        <v>#REF!</v>
      </c>
      <c r="G2412" s="1597" t="e">
        <f t="shared" si="252"/>
        <v>#REF!</v>
      </c>
      <c r="H2412" s="1644" t="e">
        <f t="shared" si="253"/>
        <v>#REF!</v>
      </c>
      <c r="I2412" s="1597" t="e">
        <f t="shared" si="254"/>
        <v>#REF!</v>
      </c>
      <c r="J2412" s="1644" t="e">
        <f t="shared" si="255"/>
        <v>#REF!</v>
      </c>
      <c r="K2412" s="1539"/>
      <c r="L2412" s="1539"/>
      <c r="M2412" s="1545"/>
      <c r="N2412" s="1545"/>
      <c r="O2412" s="1539"/>
      <c r="P2412" s="1539"/>
      <c r="Q2412" s="1539"/>
      <c r="R2412" s="1539"/>
      <c r="S2412" s="1539"/>
      <c r="T2412" s="1539"/>
      <c r="U2412" s="1539"/>
      <c r="V2412" s="1539"/>
      <c r="W2412" s="1539"/>
      <c r="X2412" s="1539"/>
      <c r="Y2412" s="1539"/>
      <c r="Z2412" s="1539"/>
      <c r="AA2412" s="1539"/>
      <c r="AB2412" s="1539"/>
      <c r="AC2412" s="1539"/>
      <c r="AD2412" s="1539"/>
      <c r="AE2412" s="1539"/>
      <c r="AF2412" s="1539"/>
      <c r="AG2412" s="1539"/>
      <c r="AH2412" s="1539"/>
      <c r="AI2412" s="1539"/>
      <c r="AJ2412" s="1539"/>
      <c r="AK2412" s="1539"/>
      <c r="AL2412" s="1539"/>
      <c r="AM2412" s="1539"/>
      <c r="AN2412" s="1539"/>
      <c r="AO2412" s="1539"/>
      <c r="AP2412" s="1539"/>
      <c r="AQ2412" s="1539"/>
      <c r="AR2412" s="1539"/>
      <c r="AS2412" s="1539"/>
      <c r="AT2412" s="1539"/>
      <c r="AU2412" s="1539"/>
      <c r="AV2412" s="1539"/>
      <c r="AW2412" s="1539"/>
      <c r="AX2412" s="1539"/>
      <c r="AY2412" s="1539"/>
      <c r="AZ2412" s="1539"/>
      <c r="BA2412" s="1539"/>
      <c r="BB2412" s="1539"/>
      <c r="BC2412" s="1539"/>
      <c r="BD2412" s="1539"/>
      <c r="BE2412" s="1539"/>
      <c r="BF2412" s="1539"/>
      <c r="BG2412" s="1539"/>
      <c r="BH2412" s="1539"/>
      <c r="BI2412" s="1539"/>
      <c r="BJ2412" s="1539"/>
      <c r="BK2412" s="1539"/>
      <c r="BL2412" s="1539"/>
      <c r="BM2412" s="1539"/>
      <c r="BN2412" s="1539"/>
      <c r="BO2412" s="1539"/>
      <c r="BP2412" s="1539"/>
      <c r="BQ2412" s="1539"/>
      <c r="BR2412" s="1539"/>
      <c r="BS2412" s="1539"/>
      <c r="BT2412" s="1539"/>
      <c r="BU2412" s="1539"/>
      <c r="BV2412" s="1539"/>
      <c r="BW2412" s="1539"/>
      <c r="BX2412" s="1539"/>
      <c r="BY2412" s="1539"/>
      <c r="BZ2412" s="1539"/>
      <c r="CA2412" s="1539"/>
      <c r="CB2412" s="1539"/>
      <c r="CC2412" s="1539"/>
      <c r="CD2412" s="1539"/>
      <c r="CE2412" s="1539"/>
      <c r="CF2412" s="1539"/>
      <c r="CG2412" s="1539"/>
      <c r="CH2412" s="1539"/>
      <c r="CI2412" s="1539"/>
      <c r="CJ2412" s="1539"/>
      <c r="CK2412" s="1539"/>
      <c r="CL2412" s="1539"/>
      <c r="CM2412" s="1539"/>
      <c r="CN2412" s="1539"/>
      <c r="CO2412" s="1539"/>
    </row>
    <row r="2413" spans="1:93" s="1542" customFormat="1" ht="15.5">
      <c r="A2413" s="1598">
        <v>18</v>
      </c>
      <c r="B2413" s="1599" t="s">
        <v>3460</v>
      </c>
      <c r="C2413" s="1643" t="e">
        <f>+SUMIF(#REF!,Final!A2413,#REF!)</f>
        <v>#REF!</v>
      </c>
      <c r="D2413" s="1597" t="e">
        <f>+SUMIF(#REF!,Final!A2413,#REF!)</f>
        <v>#REF!</v>
      </c>
      <c r="E2413" s="1643" t="e">
        <f>SUMIF(#REF!,Final!A2413,#REF!)</f>
        <v>#REF!</v>
      </c>
      <c r="F2413" s="1644" t="e">
        <f>SUMIF(#REF!,Final!A2413,#REF!)</f>
        <v>#REF!</v>
      </c>
      <c r="G2413" s="1597" t="e">
        <f t="shared" si="252"/>
        <v>#REF!</v>
      </c>
      <c r="H2413" s="1644" t="e">
        <f t="shared" si="253"/>
        <v>#REF!</v>
      </c>
      <c r="I2413" s="1597" t="e">
        <f t="shared" si="254"/>
        <v>#REF!</v>
      </c>
      <c r="J2413" s="1644" t="e">
        <f t="shared" si="255"/>
        <v>#REF!</v>
      </c>
      <c r="K2413" s="1539"/>
      <c r="L2413" s="1539"/>
      <c r="M2413" s="1545"/>
      <c r="N2413" s="1545"/>
      <c r="O2413" s="1539"/>
      <c r="P2413" s="1539"/>
      <c r="Q2413" s="1539"/>
      <c r="R2413" s="1539"/>
      <c r="S2413" s="1539"/>
      <c r="T2413" s="1539"/>
      <c r="U2413" s="1539"/>
      <c r="V2413" s="1539"/>
      <c r="W2413" s="1539"/>
      <c r="X2413" s="1539"/>
      <c r="Y2413" s="1539"/>
      <c r="Z2413" s="1539"/>
      <c r="AA2413" s="1539"/>
      <c r="AB2413" s="1539"/>
      <c r="AC2413" s="1539"/>
      <c r="AD2413" s="1539"/>
      <c r="AE2413" s="1539"/>
      <c r="AF2413" s="1539"/>
      <c r="AG2413" s="1539"/>
      <c r="AH2413" s="1539"/>
      <c r="AI2413" s="1539"/>
      <c r="AJ2413" s="1539"/>
      <c r="AK2413" s="1539"/>
      <c r="AL2413" s="1539"/>
      <c r="AM2413" s="1539"/>
      <c r="AN2413" s="1539"/>
      <c r="AO2413" s="1539"/>
      <c r="AP2413" s="1539"/>
      <c r="AQ2413" s="1539"/>
      <c r="AR2413" s="1539"/>
      <c r="AS2413" s="1539"/>
      <c r="AT2413" s="1539"/>
      <c r="AU2413" s="1539"/>
      <c r="AV2413" s="1539"/>
      <c r="AW2413" s="1539"/>
      <c r="AX2413" s="1539"/>
      <c r="AY2413" s="1539"/>
      <c r="AZ2413" s="1539"/>
      <c r="BA2413" s="1539"/>
      <c r="BB2413" s="1539"/>
      <c r="BC2413" s="1539"/>
      <c r="BD2413" s="1539"/>
      <c r="BE2413" s="1539"/>
      <c r="BF2413" s="1539"/>
      <c r="BG2413" s="1539"/>
      <c r="BH2413" s="1539"/>
      <c r="BI2413" s="1539"/>
      <c r="BJ2413" s="1539"/>
      <c r="BK2413" s="1539"/>
      <c r="BL2413" s="1539"/>
      <c r="BM2413" s="1539"/>
      <c r="BN2413" s="1539"/>
      <c r="BO2413" s="1539"/>
      <c r="BP2413" s="1539"/>
      <c r="BQ2413" s="1539"/>
      <c r="BR2413" s="1539"/>
      <c r="BS2413" s="1539"/>
      <c r="BT2413" s="1539"/>
      <c r="BU2413" s="1539"/>
      <c r="BV2413" s="1539"/>
      <c r="BW2413" s="1539"/>
      <c r="BX2413" s="1539"/>
      <c r="BY2413" s="1539"/>
      <c r="BZ2413" s="1539"/>
      <c r="CA2413" s="1539"/>
      <c r="CB2413" s="1539"/>
      <c r="CC2413" s="1539"/>
      <c r="CD2413" s="1539"/>
      <c r="CE2413" s="1539"/>
      <c r="CF2413" s="1539"/>
      <c r="CG2413" s="1539"/>
      <c r="CH2413" s="1539"/>
      <c r="CI2413" s="1539"/>
      <c r="CJ2413" s="1539"/>
      <c r="CK2413" s="1539"/>
      <c r="CL2413" s="1539"/>
      <c r="CM2413" s="1539"/>
      <c r="CN2413" s="1539"/>
      <c r="CO2413" s="1539"/>
    </row>
    <row r="2414" spans="1:93" ht="15.5">
      <c r="A2414" s="1598" t="s">
        <v>1851</v>
      </c>
      <c r="B2414" s="1599" t="s">
        <v>3487</v>
      </c>
      <c r="C2414" s="1643" t="e">
        <f>+SUMIF(#REF!,Final!A2414,#REF!)</f>
        <v>#REF!</v>
      </c>
      <c r="D2414" s="1597" t="e">
        <f>+SUMIF(#REF!,Final!A2414,#REF!)</f>
        <v>#REF!</v>
      </c>
      <c r="E2414" s="1643" t="e">
        <f>SUMIF(#REF!,Final!A2414,#REF!)</f>
        <v>#REF!</v>
      </c>
      <c r="F2414" s="1644" t="e">
        <f>SUMIF(#REF!,Final!A2414,#REF!)</f>
        <v>#REF!</v>
      </c>
      <c r="G2414" s="1597" t="e">
        <f t="shared" si="252"/>
        <v>#REF!</v>
      </c>
      <c r="H2414" s="1644" t="e">
        <f t="shared" si="253"/>
        <v>#REF!</v>
      </c>
      <c r="I2414" s="1597" t="e">
        <f t="shared" si="254"/>
        <v>#REF!</v>
      </c>
      <c r="J2414" s="1644" t="e">
        <f t="shared" si="255"/>
        <v>#REF!</v>
      </c>
      <c r="M2414" s="1545"/>
      <c r="N2414" s="1545"/>
    </row>
    <row r="2415" spans="1:93" s="1542" customFormat="1" ht="15.5">
      <c r="A2415" s="1598">
        <v>53.304000000000002</v>
      </c>
      <c r="B2415" s="1599" t="s">
        <v>1773</v>
      </c>
      <c r="C2415" s="1643" t="e">
        <f>+SUMIF(#REF!,Final!A2415,#REF!)</f>
        <v>#REF!</v>
      </c>
      <c r="D2415" s="1597" t="e">
        <f>+SUMIF(#REF!,Final!A2415,#REF!)</f>
        <v>#REF!</v>
      </c>
      <c r="E2415" s="1643" t="e">
        <f>SUMIF(#REF!,Final!A2415,#REF!)</f>
        <v>#REF!</v>
      </c>
      <c r="F2415" s="1644" t="e">
        <f>SUMIF(#REF!,Final!A2415,#REF!)</f>
        <v>#REF!</v>
      </c>
      <c r="G2415" s="1597" t="e">
        <f t="shared" si="252"/>
        <v>#REF!</v>
      </c>
      <c r="H2415" s="1644" t="e">
        <f t="shared" si="253"/>
        <v>#REF!</v>
      </c>
      <c r="I2415" s="1597" t="e">
        <f t="shared" si="254"/>
        <v>#REF!</v>
      </c>
      <c r="J2415" s="1644" t="e">
        <f t="shared" si="255"/>
        <v>#REF!</v>
      </c>
      <c r="K2415" s="1539"/>
      <c r="L2415" s="1539"/>
      <c r="M2415" s="1545"/>
      <c r="N2415" s="1545"/>
      <c r="O2415" s="1539"/>
      <c r="P2415" s="1539"/>
      <c r="Q2415" s="1539"/>
      <c r="R2415" s="1539"/>
      <c r="S2415" s="1539"/>
      <c r="T2415" s="1539"/>
      <c r="U2415" s="1539"/>
      <c r="V2415" s="1539"/>
      <c r="W2415" s="1539"/>
      <c r="X2415" s="1539"/>
      <c r="Y2415" s="1539"/>
      <c r="Z2415" s="1539"/>
      <c r="AA2415" s="1539"/>
      <c r="AB2415" s="1539"/>
      <c r="AC2415" s="1539"/>
      <c r="AD2415" s="1539"/>
      <c r="AE2415" s="1539"/>
      <c r="AF2415" s="1539"/>
      <c r="AG2415" s="1539"/>
      <c r="AH2415" s="1539"/>
      <c r="AI2415" s="1539"/>
      <c r="AJ2415" s="1539"/>
      <c r="AK2415" s="1539"/>
      <c r="AL2415" s="1539"/>
      <c r="AM2415" s="1539"/>
      <c r="AN2415" s="1539"/>
      <c r="AO2415" s="1539"/>
      <c r="AP2415" s="1539"/>
      <c r="AQ2415" s="1539"/>
      <c r="AR2415" s="1539"/>
      <c r="AS2415" s="1539"/>
      <c r="AT2415" s="1539"/>
      <c r="AU2415" s="1539"/>
      <c r="AV2415" s="1539"/>
      <c r="AW2415" s="1539"/>
      <c r="AX2415" s="1539"/>
      <c r="AY2415" s="1539"/>
      <c r="AZ2415" s="1539"/>
      <c r="BA2415" s="1539"/>
      <c r="BB2415" s="1539"/>
      <c r="BC2415" s="1539"/>
      <c r="BD2415" s="1539"/>
      <c r="BE2415" s="1539"/>
      <c r="BF2415" s="1539"/>
      <c r="BG2415" s="1539"/>
      <c r="BH2415" s="1539"/>
      <c r="BI2415" s="1539"/>
      <c r="BJ2415" s="1539"/>
      <c r="BK2415" s="1539"/>
      <c r="BL2415" s="1539"/>
      <c r="BM2415" s="1539"/>
      <c r="BN2415" s="1539"/>
      <c r="BO2415" s="1539"/>
      <c r="BP2415" s="1539"/>
      <c r="BQ2415" s="1539"/>
      <c r="BR2415" s="1539"/>
      <c r="BS2415" s="1539"/>
      <c r="BT2415" s="1539"/>
      <c r="BU2415" s="1539"/>
      <c r="BV2415" s="1539"/>
      <c r="BW2415" s="1539"/>
      <c r="BX2415" s="1539"/>
      <c r="BY2415" s="1539"/>
      <c r="BZ2415" s="1539"/>
      <c r="CA2415" s="1539"/>
      <c r="CB2415" s="1539"/>
      <c r="CC2415" s="1539"/>
      <c r="CD2415" s="1539"/>
      <c r="CE2415" s="1539"/>
      <c r="CF2415" s="1539"/>
      <c r="CG2415" s="1539"/>
      <c r="CH2415" s="1539"/>
      <c r="CI2415" s="1539"/>
      <c r="CJ2415" s="1539"/>
      <c r="CK2415" s="1539"/>
      <c r="CL2415" s="1539"/>
      <c r="CM2415" s="1539"/>
      <c r="CN2415" s="1539"/>
      <c r="CO2415" s="1539"/>
    </row>
    <row r="2416" spans="1:93" s="1552" customFormat="1" ht="15.5">
      <c r="A2416" s="1598"/>
      <c r="B2416" s="1599" t="s">
        <v>1747</v>
      </c>
      <c r="C2416" s="1643" t="e">
        <f>+SUMIF(#REF!,Final!A2416,#REF!)</f>
        <v>#REF!</v>
      </c>
      <c r="D2416" s="1597" t="e">
        <f>+SUMIF(#REF!,Final!A2416,#REF!)</f>
        <v>#REF!</v>
      </c>
      <c r="E2416" s="1643" t="e">
        <f>SUMIF(#REF!,Final!A2416,#REF!)</f>
        <v>#REF!</v>
      </c>
      <c r="F2416" s="1644" t="e">
        <f>SUMIF(#REF!,Final!A2416,#REF!)</f>
        <v>#REF!</v>
      </c>
      <c r="G2416" s="1597" t="e">
        <f t="shared" si="252"/>
        <v>#REF!</v>
      </c>
      <c r="H2416" s="1644" t="e">
        <f t="shared" si="253"/>
        <v>#REF!</v>
      </c>
      <c r="I2416" s="1597" t="e">
        <f t="shared" si="254"/>
        <v>#REF!</v>
      </c>
      <c r="J2416" s="1644" t="e">
        <f t="shared" si="255"/>
        <v>#REF!</v>
      </c>
      <c r="K2416" s="1539"/>
      <c r="L2416" s="1539"/>
      <c r="M2416" s="1545"/>
      <c r="N2416" s="1545"/>
      <c r="O2416" s="1539"/>
      <c r="P2416" s="1539"/>
      <c r="Q2416" s="1539"/>
      <c r="R2416" s="1539"/>
      <c r="S2416" s="1539"/>
      <c r="T2416" s="1539"/>
      <c r="U2416" s="1539"/>
      <c r="V2416" s="1539"/>
      <c r="W2416" s="1539"/>
      <c r="X2416" s="1539"/>
      <c r="Y2416" s="1539"/>
      <c r="Z2416" s="1539"/>
      <c r="AA2416" s="1539"/>
      <c r="AB2416" s="1539"/>
      <c r="AC2416" s="1539"/>
      <c r="AD2416" s="1539"/>
      <c r="AE2416" s="1539"/>
      <c r="AF2416" s="1539"/>
      <c r="AG2416" s="1539"/>
      <c r="AH2416" s="1539"/>
      <c r="AI2416" s="1539"/>
      <c r="AJ2416" s="1539"/>
      <c r="AK2416" s="1539"/>
      <c r="AL2416" s="1539"/>
      <c r="AM2416" s="1539"/>
      <c r="AN2416" s="1539"/>
      <c r="AO2416" s="1539"/>
      <c r="AP2416" s="1539"/>
      <c r="AQ2416" s="1539"/>
      <c r="AR2416" s="1539"/>
      <c r="AS2416" s="1539"/>
      <c r="AT2416" s="1539"/>
      <c r="AU2416" s="1539"/>
      <c r="AV2416" s="1539"/>
      <c r="AW2416" s="1539"/>
      <c r="AX2416" s="1539"/>
      <c r="AY2416" s="1539"/>
      <c r="AZ2416" s="1539"/>
      <c r="BA2416" s="1539"/>
      <c r="BB2416" s="1539"/>
      <c r="BC2416" s="1539"/>
      <c r="BD2416" s="1539"/>
      <c r="BE2416" s="1539"/>
      <c r="BF2416" s="1539"/>
      <c r="BG2416" s="1539"/>
      <c r="BH2416" s="1539"/>
      <c r="BI2416" s="1539"/>
      <c r="BJ2416" s="1539"/>
      <c r="BK2416" s="1539"/>
      <c r="BL2416" s="1539"/>
      <c r="BM2416" s="1539"/>
      <c r="BN2416" s="1539"/>
      <c r="BO2416" s="1539"/>
      <c r="BP2416" s="1539"/>
      <c r="BQ2416" s="1539"/>
      <c r="BR2416" s="1539"/>
      <c r="BS2416" s="1539"/>
      <c r="BT2416" s="1539"/>
      <c r="BU2416" s="1539"/>
      <c r="BV2416" s="1539"/>
      <c r="BW2416" s="1539"/>
      <c r="BX2416" s="1539"/>
      <c r="BY2416" s="1539"/>
      <c r="BZ2416" s="1539"/>
      <c r="CA2416" s="1539"/>
      <c r="CB2416" s="1539"/>
      <c r="CC2416" s="1539"/>
      <c r="CD2416" s="1539"/>
      <c r="CE2416" s="1539"/>
      <c r="CF2416" s="1539"/>
      <c r="CG2416" s="1539"/>
      <c r="CH2416" s="1539"/>
      <c r="CI2416" s="1539"/>
      <c r="CJ2416" s="1539"/>
      <c r="CK2416" s="1539"/>
      <c r="CL2416" s="1539"/>
      <c r="CM2416" s="1539"/>
      <c r="CN2416" s="1539"/>
      <c r="CO2416" s="1539"/>
    </row>
    <row r="2417" spans="1:93" s="1552" customFormat="1" ht="15.5">
      <c r="A2417" s="1598" t="s">
        <v>3467</v>
      </c>
      <c r="B2417" s="1599" t="s">
        <v>1760</v>
      </c>
      <c r="C2417" s="1643" t="e">
        <f>+SUMIF(#REF!,Final!A2417,#REF!)</f>
        <v>#REF!</v>
      </c>
      <c r="D2417" s="1597" t="e">
        <f>+SUMIF(#REF!,Final!A2417,#REF!)</f>
        <v>#REF!</v>
      </c>
      <c r="E2417" s="1643" t="e">
        <f>SUMIF(#REF!,Final!A2417,#REF!)</f>
        <v>#REF!</v>
      </c>
      <c r="F2417" s="1644" t="e">
        <f>SUMIF(#REF!,Final!A2417,#REF!)</f>
        <v>#REF!</v>
      </c>
      <c r="G2417" s="1597" t="e">
        <f t="shared" si="252"/>
        <v>#REF!</v>
      </c>
      <c r="H2417" s="1644" t="e">
        <f t="shared" si="253"/>
        <v>#REF!</v>
      </c>
      <c r="I2417" s="1597" t="e">
        <f t="shared" si="254"/>
        <v>#REF!</v>
      </c>
      <c r="J2417" s="1644" t="e">
        <f t="shared" si="255"/>
        <v>#REF!</v>
      </c>
      <c r="K2417" s="1539"/>
      <c r="L2417" s="1539"/>
      <c r="M2417" s="1545"/>
      <c r="N2417" s="1545"/>
      <c r="O2417" s="1539"/>
      <c r="P2417" s="1539"/>
      <c r="Q2417" s="1539"/>
      <c r="R2417" s="1539"/>
      <c r="S2417" s="1539"/>
      <c r="T2417" s="1539"/>
      <c r="U2417" s="1539"/>
      <c r="V2417" s="1539"/>
      <c r="W2417" s="1539"/>
      <c r="X2417" s="1539"/>
      <c r="Y2417" s="1539"/>
      <c r="Z2417" s="1539"/>
      <c r="AA2417" s="1539"/>
      <c r="AB2417" s="1539"/>
      <c r="AC2417" s="1539"/>
      <c r="AD2417" s="1539"/>
      <c r="AE2417" s="1539"/>
      <c r="AF2417" s="1539"/>
      <c r="AG2417" s="1539"/>
      <c r="AH2417" s="1539"/>
      <c r="AI2417" s="1539"/>
      <c r="AJ2417" s="1539"/>
      <c r="AK2417" s="1539"/>
      <c r="AL2417" s="1539"/>
      <c r="AM2417" s="1539"/>
      <c r="AN2417" s="1539"/>
      <c r="AO2417" s="1539"/>
      <c r="AP2417" s="1539"/>
      <c r="AQ2417" s="1539"/>
      <c r="AR2417" s="1539"/>
      <c r="AS2417" s="1539"/>
      <c r="AT2417" s="1539"/>
      <c r="AU2417" s="1539"/>
      <c r="AV2417" s="1539"/>
      <c r="AW2417" s="1539"/>
      <c r="AX2417" s="1539"/>
      <c r="AY2417" s="1539"/>
      <c r="AZ2417" s="1539"/>
      <c r="BA2417" s="1539"/>
      <c r="BB2417" s="1539"/>
      <c r="BC2417" s="1539"/>
      <c r="BD2417" s="1539"/>
      <c r="BE2417" s="1539"/>
      <c r="BF2417" s="1539"/>
      <c r="BG2417" s="1539"/>
      <c r="BH2417" s="1539"/>
      <c r="BI2417" s="1539"/>
      <c r="BJ2417" s="1539"/>
      <c r="BK2417" s="1539"/>
      <c r="BL2417" s="1539"/>
      <c r="BM2417" s="1539"/>
      <c r="BN2417" s="1539"/>
      <c r="BO2417" s="1539"/>
      <c r="BP2417" s="1539"/>
      <c r="BQ2417" s="1539"/>
      <c r="BR2417" s="1539"/>
      <c r="BS2417" s="1539"/>
      <c r="BT2417" s="1539"/>
      <c r="BU2417" s="1539"/>
      <c r="BV2417" s="1539"/>
      <c r="BW2417" s="1539"/>
      <c r="BX2417" s="1539"/>
      <c r="BY2417" s="1539"/>
      <c r="BZ2417" s="1539"/>
      <c r="CA2417" s="1539"/>
      <c r="CB2417" s="1539"/>
      <c r="CC2417" s="1539"/>
      <c r="CD2417" s="1539"/>
      <c r="CE2417" s="1539"/>
      <c r="CF2417" s="1539"/>
      <c r="CG2417" s="1539"/>
      <c r="CH2417" s="1539"/>
      <c r="CI2417" s="1539"/>
      <c r="CJ2417" s="1539"/>
      <c r="CK2417" s="1539"/>
      <c r="CL2417" s="1539"/>
      <c r="CM2417" s="1539"/>
      <c r="CN2417" s="1539"/>
      <c r="CO2417" s="1539"/>
    </row>
    <row r="2418" spans="1:93" s="1552" customFormat="1" ht="15.5">
      <c r="A2418" s="1598" t="s">
        <v>3467</v>
      </c>
      <c r="B2418" s="1599" t="s">
        <v>3488</v>
      </c>
      <c r="C2418" s="1643" t="e">
        <f>+SUMIF(#REF!,Final!A2418,#REF!)</f>
        <v>#REF!</v>
      </c>
      <c r="D2418" s="1597" t="e">
        <f>+SUMIF(#REF!,Final!A2418,#REF!)</f>
        <v>#REF!</v>
      </c>
      <c r="E2418" s="1643" t="e">
        <f>SUMIF(#REF!,Final!A2418,#REF!)</f>
        <v>#REF!</v>
      </c>
      <c r="F2418" s="1644" t="e">
        <f>SUMIF(#REF!,Final!A2418,#REF!)</f>
        <v>#REF!</v>
      </c>
      <c r="G2418" s="1597" t="e">
        <f t="shared" si="252"/>
        <v>#REF!</v>
      </c>
      <c r="H2418" s="1644" t="e">
        <f t="shared" si="253"/>
        <v>#REF!</v>
      </c>
      <c r="I2418" s="1597" t="e">
        <f t="shared" si="254"/>
        <v>#REF!</v>
      </c>
      <c r="J2418" s="1644" t="e">
        <f t="shared" si="255"/>
        <v>#REF!</v>
      </c>
      <c r="K2418" s="1539"/>
      <c r="L2418" s="1539"/>
      <c r="M2418" s="1545"/>
      <c r="N2418" s="1545"/>
      <c r="O2418" s="1539"/>
      <c r="P2418" s="1539"/>
      <c r="Q2418" s="1539"/>
      <c r="R2418" s="1539"/>
      <c r="S2418" s="1539"/>
      <c r="T2418" s="1539"/>
      <c r="U2418" s="1539"/>
      <c r="V2418" s="1539"/>
      <c r="W2418" s="1539"/>
      <c r="X2418" s="1539"/>
      <c r="Y2418" s="1539"/>
      <c r="Z2418" s="1539"/>
      <c r="AA2418" s="1539"/>
      <c r="AB2418" s="1539"/>
      <c r="AC2418" s="1539"/>
      <c r="AD2418" s="1539"/>
      <c r="AE2418" s="1539"/>
      <c r="AF2418" s="1539"/>
      <c r="AG2418" s="1539"/>
      <c r="AH2418" s="1539"/>
      <c r="AI2418" s="1539"/>
      <c r="AJ2418" s="1539"/>
      <c r="AK2418" s="1539"/>
      <c r="AL2418" s="1539"/>
      <c r="AM2418" s="1539"/>
      <c r="AN2418" s="1539"/>
      <c r="AO2418" s="1539"/>
      <c r="AP2418" s="1539"/>
      <c r="AQ2418" s="1539"/>
      <c r="AR2418" s="1539"/>
      <c r="AS2418" s="1539"/>
      <c r="AT2418" s="1539"/>
      <c r="AU2418" s="1539"/>
      <c r="AV2418" s="1539"/>
      <c r="AW2418" s="1539"/>
      <c r="AX2418" s="1539"/>
      <c r="AY2418" s="1539"/>
      <c r="AZ2418" s="1539"/>
      <c r="BA2418" s="1539"/>
      <c r="BB2418" s="1539"/>
      <c r="BC2418" s="1539"/>
      <c r="BD2418" s="1539"/>
      <c r="BE2418" s="1539"/>
      <c r="BF2418" s="1539"/>
      <c r="BG2418" s="1539"/>
      <c r="BH2418" s="1539"/>
      <c r="BI2418" s="1539"/>
      <c r="BJ2418" s="1539"/>
      <c r="BK2418" s="1539"/>
      <c r="BL2418" s="1539"/>
      <c r="BM2418" s="1539"/>
      <c r="BN2418" s="1539"/>
      <c r="BO2418" s="1539"/>
      <c r="BP2418" s="1539"/>
      <c r="BQ2418" s="1539"/>
      <c r="BR2418" s="1539"/>
      <c r="BS2418" s="1539"/>
      <c r="BT2418" s="1539"/>
      <c r="BU2418" s="1539"/>
      <c r="BV2418" s="1539"/>
      <c r="BW2418" s="1539"/>
      <c r="BX2418" s="1539"/>
      <c r="BY2418" s="1539"/>
      <c r="BZ2418" s="1539"/>
      <c r="CA2418" s="1539"/>
      <c r="CB2418" s="1539"/>
      <c r="CC2418" s="1539"/>
      <c r="CD2418" s="1539"/>
      <c r="CE2418" s="1539"/>
      <c r="CF2418" s="1539"/>
      <c r="CG2418" s="1539"/>
      <c r="CH2418" s="1539"/>
      <c r="CI2418" s="1539"/>
      <c r="CJ2418" s="1539"/>
      <c r="CK2418" s="1539"/>
      <c r="CL2418" s="1539"/>
      <c r="CM2418" s="1539"/>
      <c r="CN2418" s="1539"/>
      <c r="CO2418" s="1539"/>
    </row>
    <row r="2419" spans="1:93" s="1542" customFormat="1" ht="15.5">
      <c r="A2419" s="1598">
        <v>18</v>
      </c>
      <c r="B2419" s="1599" t="s">
        <v>3460</v>
      </c>
      <c r="C2419" s="1643" t="e">
        <f>+SUMIF(#REF!,Final!A2419,#REF!)</f>
        <v>#REF!</v>
      </c>
      <c r="D2419" s="1597" t="e">
        <f>+SUMIF(#REF!,Final!A2419,#REF!)</f>
        <v>#REF!</v>
      </c>
      <c r="E2419" s="1643" t="e">
        <f>SUMIF(#REF!,Final!A2419,#REF!)</f>
        <v>#REF!</v>
      </c>
      <c r="F2419" s="1644" t="e">
        <f>SUMIF(#REF!,Final!A2419,#REF!)</f>
        <v>#REF!</v>
      </c>
      <c r="G2419" s="1597" t="e">
        <f t="shared" si="252"/>
        <v>#REF!</v>
      </c>
      <c r="H2419" s="1644" t="e">
        <f t="shared" si="253"/>
        <v>#REF!</v>
      </c>
      <c r="I2419" s="1597" t="e">
        <f t="shared" si="254"/>
        <v>#REF!</v>
      </c>
      <c r="J2419" s="1644" t="e">
        <f t="shared" si="255"/>
        <v>#REF!</v>
      </c>
      <c r="K2419" s="1539"/>
      <c r="L2419" s="1539"/>
      <c r="M2419" s="1545"/>
      <c r="N2419" s="1545"/>
      <c r="O2419" s="1539"/>
      <c r="P2419" s="1539"/>
      <c r="Q2419" s="1539"/>
      <c r="R2419" s="1539"/>
      <c r="S2419" s="1539"/>
      <c r="T2419" s="1539"/>
      <c r="U2419" s="1539"/>
      <c r="V2419" s="1539"/>
      <c r="W2419" s="1539"/>
      <c r="X2419" s="1539"/>
      <c r="Y2419" s="1539"/>
      <c r="Z2419" s="1539"/>
      <c r="AA2419" s="1539"/>
      <c r="AB2419" s="1539"/>
      <c r="AC2419" s="1539"/>
      <c r="AD2419" s="1539"/>
      <c r="AE2419" s="1539"/>
      <c r="AF2419" s="1539"/>
      <c r="AG2419" s="1539"/>
      <c r="AH2419" s="1539"/>
      <c r="AI2419" s="1539"/>
      <c r="AJ2419" s="1539"/>
      <c r="AK2419" s="1539"/>
      <c r="AL2419" s="1539"/>
      <c r="AM2419" s="1539"/>
      <c r="AN2419" s="1539"/>
      <c r="AO2419" s="1539"/>
      <c r="AP2419" s="1539"/>
      <c r="AQ2419" s="1539"/>
      <c r="AR2419" s="1539"/>
      <c r="AS2419" s="1539"/>
      <c r="AT2419" s="1539"/>
      <c r="AU2419" s="1539"/>
      <c r="AV2419" s="1539"/>
      <c r="AW2419" s="1539"/>
      <c r="AX2419" s="1539"/>
      <c r="AY2419" s="1539"/>
      <c r="AZ2419" s="1539"/>
      <c r="BA2419" s="1539"/>
      <c r="BB2419" s="1539"/>
      <c r="BC2419" s="1539"/>
      <c r="BD2419" s="1539"/>
      <c r="BE2419" s="1539"/>
      <c r="BF2419" s="1539"/>
      <c r="BG2419" s="1539"/>
      <c r="BH2419" s="1539"/>
      <c r="BI2419" s="1539"/>
      <c r="BJ2419" s="1539"/>
      <c r="BK2419" s="1539"/>
      <c r="BL2419" s="1539"/>
      <c r="BM2419" s="1539"/>
      <c r="BN2419" s="1539"/>
      <c r="BO2419" s="1539"/>
      <c r="BP2419" s="1539"/>
      <c r="BQ2419" s="1539"/>
      <c r="BR2419" s="1539"/>
      <c r="BS2419" s="1539"/>
      <c r="BT2419" s="1539"/>
      <c r="BU2419" s="1539"/>
      <c r="BV2419" s="1539"/>
      <c r="BW2419" s="1539"/>
      <c r="BX2419" s="1539"/>
      <c r="BY2419" s="1539"/>
      <c r="BZ2419" s="1539"/>
      <c r="CA2419" s="1539"/>
      <c r="CB2419" s="1539"/>
      <c r="CC2419" s="1539"/>
      <c r="CD2419" s="1539"/>
      <c r="CE2419" s="1539"/>
      <c r="CF2419" s="1539"/>
      <c r="CG2419" s="1539"/>
      <c r="CH2419" s="1539"/>
      <c r="CI2419" s="1539"/>
      <c r="CJ2419" s="1539"/>
      <c r="CK2419" s="1539"/>
      <c r="CL2419" s="1539"/>
      <c r="CM2419" s="1539"/>
      <c r="CN2419" s="1539"/>
      <c r="CO2419" s="1539"/>
    </row>
    <row r="2420" spans="1:93" ht="15.5">
      <c r="A2420" s="1598" t="s">
        <v>3274</v>
      </c>
      <c r="B2420" s="1599" t="s">
        <v>3489</v>
      </c>
      <c r="C2420" s="1643" t="e">
        <f>+SUMIF(#REF!,Final!A2420,#REF!)</f>
        <v>#REF!</v>
      </c>
      <c r="D2420" s="1597" t="e">
        <f>+SUMIF(#REF!,Final!A2420,#REF!)</f>
        <v>#REF!</v>
      </c>
      <c r="E2420" s="1643" t="e">
        <f>SUMIF(#REF!,Final!A2420,#REF!)</f>
        <v>#REF!</v>
      </c>
      <c r="F2420" s="1644" t="e">
        <f>SUMIF(#REF!,Final!A2420,#REF!)</f>
        <v>#REF!</v>
      </c>
      <c r="G2420" s="1597" t="e">
        <f t="shared" si="252"/>
        <v>#REF!</v>
      </c>
      <c r="H2420" s="1644" t="e">
        <f t="shared" si="253"/>
        <v>#REF!</v>
      </c>
      <c r="I2420" s="1597" t="e">
        <f t="shared" si="254"/>
        <v>#REF!</v>
      </c>
      <c r="J2420" s="1644" t="e">
        <f t="shared" si="255"/>
        <v>#REF!</v>
      </c>
      <c r="M2420" s="1545"/>
      <c r="N2420" s="1545"/>
    </row>
    <row r="2421" spans="1:93" ht="15.5">
      <c r="A2421" s="1598">
        <v>53.305</v>
      </c>
      <c r="B2421" s="1599" t="s">
        <v>1776</v>
      </c>
      <c r="C2421" s="1643" t="e">
        <f>+SUMIF(#REF!,Final!A2421,#REF!)</f>
        <v>#REF!</v>
      </c>
      <c r="D2421" s="1597" t="e">
        <f>+SUMIF(#REF!,Final!A2421,#REF!)</f>
        <v>#REF!</v>
      </c>
      <c r="E2421" s="1643" t="e">
        <f>SUMIF(#REF!,Final!A2421,#REF!)</f>
        <v>#REF!</v>
      </c>
      <c r="F2421" s="1644" t="e">
        <f>SUMIF(#REF!,Final!A2421,#REF!)</f>
        <v>#REF!</v>
      </c>
      <c r="G2421" s="1597" t="e">
        <f t="shared" si="252"/>
        <v>#REF!</v>
      </c>
      <c r="H2421" s="1644" t="e">
        <f t="shared" si="253"/>
        <v>#REF!</v>
      </c>
      <c r="I2421" s="1597" t="e">
        <f t="shared" si="254"/>
        <v>#REF!</v>
      </c>
      <c r="J2421" s="1644" t="e">
        <f t="shared" si="255"/>
        <v>#REF!</v>
      </c>
      <c r="M2421" s="1545"/>
      <c r="N2421" s="1545"/>
    </row>
    <row r="2422" spans="1:93" ht="15.5">
      <c r="A2422" s="1598">
        <v>53.305999999999997</v>
      </c>
      <c r="B2422" s="1599" t="s">
        <v>4785</v>
      </c>
      <c r="C2422" s="1643" t="e">
        <f>+SUMIF(#REF!,Final!A2422,#REF!)</f>
        <v>#REF!</v>
      </c>
      <c r="D2422" s="1597" t="e">
        <f>+SUMIF(#REF!,Final!A2422,#REF!)</f>
        <v>#REF!</v>
      </c>
      <c r="E2422" s="1643" t="e">
        <f>SUMIF(#REF!,Final!A2422,#REF!)</f>
        <v>#REF!</v>
      </c>
      <c r="F2422" s="1644" t="e">
        <f>SUMIF(#REF!,Final!A2422,#REF!)</f>
        <v>#REF!</v>
      </c>
      <c r="G2422" s="1597" t="e">
        <f t="shared" si="252"/>
        <v>#REF!</v>
      </c>
      <c r="H2422" s="1644" t="e">
        <f t="shared" si="253"/>
        <v>#REF!</v>
      </c>
      <c r="I2422" s="1597" t="e">
        <f t="shared" si="254"/>
        <v>#REF!</v>
      </c>
      <c r="J2422" s="1644" t="e">
        <f t="shared" si="255"/>
        <v>#REF!</v>
      </c>
      <c r="M2422" s="1545"/>
      <c r="N2422" s="1545"/>
    </row>
    <row r="2423" spans="1:93" s="1552" customFormat="1" ht="15.5">
      <c r="A2423" s="1598"/>
      <c r="B2423" s="1599" t="s">
        <v>1747</v>
      </c>
      <c r="C2423" s="1643" t="e">
        <f>+SUMIF(#REF!,Final!A2423,#REF!)</f>
        <v>#REF!</v>
      </c>
      <c r="D2423" s="1597" t="e">
        <f>+SUMIF(#REF!,Final!A2423,#REF!)</f>
        <v>#REF!</v>
      </c>
      <c r="E2423" s="1643" t="e">
        <f>SUMIF(#REF!,Final!A2423,#REF!)</f>
        <v>#REF!</v>
      </c>
      <c r="F2423" s="1644" t="e">
        <f>SUMIF(#REF!,Final!A2423,#REF!)</f>
        <v>#REF!</v>
      </c>
      <c r="G2423" s="1597" t="e">
        <f t="shared" si="252"/>
        <v>#REF!</v>
      </c>
      <c r="H2423" s="1644" t="e">
        <f t="shared" si="253"/>
        <v>#REF!</v>
      </c>
      <c r="I2423" s="1597" t="e">
        <f t="shared" si="254"/>
        <v>#REF!</v>
      </c>
      <c r="J2423" s="1644" t="e">
        <f t="shared" si="255"/>
        <v>#REF!</v>
      </c>
      <c r="K2423" s="1539"/>
      <c r="L2423" s="1539"/>
      <c r="M2423" s="1545"/>
      <c r="N2423" s="1545"/>
      <c r="O2423" s="1539"/>
      <c r="P2423" s="1539"/>
      <c r="Q2423" s="1539"/>
      <c r="R2423" s="1539"/>
      <c r="S2423" s="1539"/>
      <c r="T2423" s="1539"/>
      <c r="U2423" s="1539"/>
      <c r="V2423" s="1539"/>
      <c r="W2423" s="1539"/>
      <c r="X2423" s="1539"/>
      <c r="Y2423" s="1539"/>
      <c r="Z2423" s="1539"/>
      <c r="AA2423" s="1539"/>
      <c r="AB2423" s="1539"/>
      <c r="AC2423" s="1539"/>
      <c r="AD2423" s="1539"/>
      <c r="AE2423" s="1539"/>
      <c r="AF2423" s="1539"/>
      <c r="AG2423" s="1539"/>
      <c r="AH2423" s="1539"/>
      <c r="AI2423" s="1539"/>
      <c r="AJ2423" s="1539"/>
      <c r="AK2423" s="1539"/>
      <c r="AL2423" s="1539"/>
      <c r="AM2423" s="1539"/>
      <c r="AN2423" s="1539"/>
      <c r="AO2423" s="1539"/>
      <c r="AP2423" s="1539"/>
      <c r="AQ2423" s="1539"/>
      <c r="AR2423" s="1539"/>
      <c r="AS2423" s="1539"/>
      <c r="AT2423" s="1539"/>
      <c r="AU2423" s="1539"/>
      <c r="AV2423" s="1539"/>
      <c r="AW2423" s="1539"/>
      <c r="AX2423" s="1539"/>
      <c r="AY2423" s="1539"/>
      <c r="AZ2423" s="1539"/>
      <c r="BA2423" s="1539"/>
      <c r="BB2423" s="1539"/>
      <c r="BC2423" s="1539"/>
      <c r="BD2423" s="1539"/>
      <c r="BE2423" s="1539"/>
      <c r="BF2423" s="1539"/>
      <c r="BG2423" s="1539"/>
      <c r="BH2423" s="1539"/>
      <c r="BI2423" s="1539"/>
      <c r="BJ2423" s="1539"/>
      <c r="BK2423" s="1539"/>
      <c r="BL2423" s="1539"/>
      <c r="BM2423" s="1539"/>
      <c r="BN2423" s="1539"/>
      <c r="BO2423" s="1539"/>
      <c r="BP2423" s="1539"/>
      <c r="BQ2423" s="1539"/>
      <c r="BR2423" s="1539"/>
      <c r="BS2423" s="1539"/>
      <c r="BT2423" s="1539"/>
      <c r="BU2423" s="1539"/>
      <c r="BV2423" s="1539"/>
      <c r="BW2423" s="1539"/>
      <c r="BX2423" s="1539"/>
      <c r="BY2423" s="1539"/>
      <c r="BZ2423" s="1539"/>
      <c r="CA2423" s="1539"/>
      <c r="CB2423" s="1539"/>
      <c r="CC2423" s="1539"/>
      <c r="CD2423" s="1539"/>
      <c r="CE2423" s="1539"/>
      <c r="CF2423" s="1539"/>
      <c r="CG2423" s="1539"/>
      <c r="CH2423" s="1539"/>
      <c r="CI2423" s="1539"/>
      <c r="CJ2423" s="1539"/>
      <c r="CK2423" s="1539"/>
      <c r="CL2423" s="1539"/>
      <c r="CM2423" s="1539"/>
      <c r="CN2423" s="1539"/>
      <c r="CO2423" s="1539"/>
    </row>
    <row r="2424" spans="1:93" s="1552" customFormat="1" ht="15.5">
      <c r="A2424" s="1598" t="s">
        <v>3470</v>
      </c>
      <c r="B2424" s="1599" t="s">
        <v>1760</v>
      </c>
      <c r="C2424" s="1643" t="e">
        <f>+SUMIF(#REF!,Final!A2424,#REF!)</f>
        <v>#REF!</v>
      </c>
      <c r="D2424" s="1597" t="e">
        <f>+SUMIF(#REF!,Final!A2424,#REF!)</f>
        <v>#REF!</v>
      </c>
      <c r="E2424" s="1643" t="e">
        <f>SUMIF(#REF!,Final!A2424,#REF!)</f>
        <v>#REF!</v>
      </c>
      <c r="F2424" s="1644" t="e">
        <f>SUMIF(#REF!,Final!A2424,#REF!)</f>
        <v>#REF!</v>
      </c>
      <c r="G2424" s="1597" t="e">
        <f t="shared" si="252"/>
        <v>#REF!</v>
      </c>
      <c r="H2424" s="1644" t="e">
        <f t="shared" si="253"/>
        <v>#REF!</v>
      </c>
      <c r="I2424" s="1597" t="e">
        <f t="shared" si="254"/>
        <v>#REF!</v>
      </c>
      <c r="J2424" s="1644" t="e">
        <f t="shared" si="255"/>
        <v>#REF!</v>
      </c>
      <c r="K2424" s="1539"/>
      <c r="L2424" s="1539"/>
      <c r="M2424" s="1545"/>
      <c r="N2424" s="1545"/>
      <c r="O2424" s="1539"/>
      <c r="P2424" s="1539"/>
      <c r="Q2424" s="1539"/>
      <c r="R2424" s="1539"/>
      <c r="S2424" s="1539"/>
      <c r="T2424" s="1539"/>
      <c r="U2424" s="1539"/>
      <c r="V2424" s="1539"/>
      <c r="W2424" s="1539"/>
      <c r="X2424" s="1539"/>
      <c r="Y2424" s="1539"/>
      <c r="Z2424" s="1539"/>
      <c r="AA2424" s="1539"/>
      <c r="AB2424" s="1539"/>
      <c r="AC2424" s="1539"/>
      <c r="AD2424" s="1539"/>
      <c r="AE2424" s="1539"/>
      <c r="AF2424" s="1539"/>
      <c r="AG2424" s="1539"/>
      <c r="AH2424" s="1539"/>
      <c r="AI2424" s="1539"/>
      <c r="AJ2424" s="1539"/>
      <c r="AK2424" s="1539"/>
      <c r="AL2424" s="1539"/>
      <c r="AM2424" s="1539"/>
      <c r="AN2424" s="1539"/>
      <c r="AO2424" s="1539"/>
      <c r="AP2424" s="1539"/>
      <c r="AQ2424" s="1539"/>
      <c r="AR2424" s="1539"/>
      <c r="AS2424" s="1539"/>
      <c r="AT2424" s="1539"/>
      <c r="AU2424" s="1539"/>
      <c r="AV2424" s="1539"/>
      <c r="AW2424" s="1539"/>
      <c r="AX2424" s="1539"/>
      <c r="AY2424" s="1539"/>
      <c r="AZ2424" s="1539"/>
      <c r="BA2424" s="1539"/>
      <c r="BB2424" s="1539"/>
      <c r="BC2424" s="1539"/>
      <c r="BD2424" s="1539"/>
      <c r="BE2424" s="1539"/>
      <c r="BF2424" s="1539"/>
      <c r="BG2424" s="1539"/>
      <c r="BH2424" s="1539"/>
      <c r="BI2424" s="1539"/>
      <c r="BJ2424" s="1539"/>
      <c r="BK2424" s="1539"/>
      <c r="BL2424" s="1539"/>
      <c r="BM2424" s="1539"/>
      <c r="BN2424" s="1539"/>
      <c r="BO2424" s="1539"/>
      <c r="BP2424" s="1539"/>
      <c r="BQ2424" s="1539"/>
      <c r="BR2424" s="1539"/>
      <c r="BS2424" s="1539"/>
      <c r="BT2424" s="1539"/>
      <c r="BU2424" s="1539"/>
      <c r="BV2424" s="1539"/>
      <c r="BW2424" s="1539"/>
      <c r="BX2424" s="1539"/>
      <c r="BY2424" s="1539"/>
      <c r="BZ2424" s="1539"/>
      <c r="CA2424" s="1539"/>
      <c r="CB2424" s="1539"/>
      <c r="CC2424" s="1539"/>
      <c r="CD2424" s="1539"/>
      <c r="CE2424" s="1539"/>
      <c r="CF2424" s="1539"/>
      <c r="CG2424" s="1539"/>
      <c r="CH2424" s="1539"/>
      <c r="CI2424" s="1539"/>
      <c r="CJ2424" s="1539"/>
      <c r="CK2424" s="1539"/>
      <c r="CL2424" s="1539"/>
      <c r="CM2424" s="1539"/>
      <c r="CN2424" s="1539"/>
      <c r="CO2424" s="1539"/>
    </row>
    <row r="2425" spans="1:93" s="1552" customFormat="1" ht="15.5">
      <c r="A2425" s="1598" t="s">
        <v>3470</v>
      </c>
      <c r="B2425" s="1599" t="s">
        <v>3490</v>
      </c>
      <c r="C2425" s="1643" t="e">
        <f>+SUMIF(#REF!,Final!A2425,#REF!)</f>
        <v>#REF!</v>
      </c>
      <c r="D2425" s="1597" t="e">
        <f>+SUMIF(#REF!,Final!A2425,#REF!)</f>
        <v>#REF!</v>
      </c>
      <c r="E2425" s="1643" t="e">
        <f>SUMIF(#REF!,Final!A2425,#REF!)</f>
        <v>#REF!</v>
      </c>
      <c r="F2425" s="1644" t="e">
        <f>SUMIF(#REF!,Final!A2425,#REF!)</f>
        <v>#REF!</v>
      </c>
      <c r="G2425" s="1597" t="e">
        <f t="shared" si="252"/>
        <v>#REF!</v>
      </c>
      <c r="H2425" s="1644" t="e">
        <f t="shared" si="253"/>
        <v>#REF!</v>
      </c>
      <c r="I2425" s="1597" t="e">
        <f t="shared" si="254"/>
        <v>#REF!</v>
      </c>
      <c r="J2425" s="1644" t="e">
        <f t="shared" si="255"/>
        <v>#REF!</v>
      </c>
      <c r="K2425" s="1539"/>
      <c r="L2425" s="1539"/>
      <c r="M2425" s="1545"/>
      <c r="N2425" s="1545"/>
      <c r="O2425" s="1539"/>
      <c r="P2425" s="1539"/>
      <c r="Q2425" s="1539"/>
      <c r="R2425" s="1539"/>
      <c r="S2425" s="1539"/>
      <c r="T2425" s="1539"/>
      <c r="U2425" s="1539"/>
      <c r="V2425" s="1539"/>
      <c r="W2425" s="1539"/>
      <c r="X2425" s="1539"/>
      <c r="Y2425" s="1539"/>
      <c r="Z2425" s="1539"/>
      <c r="AA2425" s="1539"/>
      <c r="AB2425" s="1539"/>
      <c r="AC2425" s="1539"/>
      <c r="AD2425" s="1539"/>
      <c r="AE2425" s="1539"/>
      <c r="AF2425" s="1539"/>
      <c r="AG2425" s="1539"/>
      <c r="AH2425" s="1539"/>
      <c r="AI2425" s="1539"/>
      <c r="AJ2425" s="1539"/>
      <c r="AK2425" s="1539"/>
      <c r="AL2425" s="1539"/>
      <c r="AM2425" s="1539"/>
      <c r="AN2425" s="1539"/>
      <c r="AO2425" s="1539"/>
      <c r="AP2425" s="1539"/>
      <c r="AQ2425" s="1539"/>
      <c r="AR2425" s="1539"/>
      <c r="AS2425" s="1539"/>
      <c r="AT2425" s="1539"/>
      <c r="AU2425" s="1539"/>
      <c r="AV2425" s="1539"/>
      <c r="AW2425" s="1539"/>
      <c r="AX2425" s="1539"/>
      <c r="AY2425" s="1539"/>
      <c r="AZ2425" s="1539"/>
      <c r="BA2425" s="1539"/>
      <c r="BB2425" s="1539"/>
      <c r="BC2425" s="1539"/>
      <c r="BD2425" s="1539"/>
      <c r="BE2425" s="1539"/>
      <c r="BF2425" s="1539"/>
      <c r="BG2425" s="1539"/>
      <c r="BH2425" s="1539"/>
      <c r="BI2425" s="1539"/>
      <c r="BJ2425" s="1539"/>
      <c r="BK2425" s="1539"/>
      <c r="BL2425" s="1539"/>
      <c r="BM2425" s="1539"/>
      <c r="BN2425" s="1539"/>
      <c r="BO2425" s="1539"/>
      <c r="BP2425" s="1539"/>
      <c r="BQ2425" s="1539"/>
      <c r="BR2425" s="1539"/>
      <c r="BS2425" s="1539"/>
      <c r="BT2425" s="1539"/>
      <c r="BU2425" s="1539"/>
      <c r="BV2425" s="1539"/>
      <c r="BW2425" s="1539"/>
      <c r="BX2425" s="1539"/>
      <c r="BY2425" s="1539"/>
      <c r="BZ2425" s="1539"/>
      <c r="CA2425" s="1539"/>
      <c r="CB2425" s="1539"/>
      <c r="CC2425" s="1539"/>
      <c r="CD2425" s="1539"/>
      <c r="CE2425" s="1539"/>
      <c r="CF2425" s="1539"/>
      <c r="CG2425" s="1539"/>
      <c r="CH2425" s="1539"/>
      <c r="CI2425" s="1539"/>
      <c r="CJ2425" s="1539"/>
      <c r="CK2425" s="1539"/>
      <c r="CL2425" s="1539"/>
      <c r="CM2425" s="1539"/>
      <c r="CN2425" s="1539"/>
      <c r="CO2425" s="1539"/>
    </row>
    <row r="2426" spans="1:93" s="1542" customFormat="1" ht="15.5">
      <c r="A2426" s="1598">
        <v>19</v>
      </c>
      <c r="B2426" s="1599" t="s">
        <v>1863</v>
      </c>
      <c r="C2426" s="1643" t="e">
        <f>+SUMIF(#REF!,Final!A2426,#REF!)</f>
        <v>#REF!</v>
      </c>
      <c r="D2426" s="1597" t="e">
        <f>+SUMIF(#REF!,Final!A2426,#REF!)</f>
        <v>#REF!</v>
      </c>
      <c r="E2426" s="1643" t="e">
        <f>SUMIF(#REF!,Final!A2426,#REF!)</f>
        <v>#REF!</v>
      </c>
      <c r="F2426" s="1644" t="e">
        <f>SUMIF(#REF!,Final!A2426,#REF!)</f>
        <v>#REF!</v>
      </c>
      <c r="G2426" s="1597" t="e">
        <f t="shared" si="252"/>
        <v>#REF!</v>
      </c>
      <c r="H2426" s="1644" t="e">
        <f t="shared" si="253"/>
        <v>#REF!</v>
      </c>
      <c r="I2426" s="1597" t="e">
        <f t="shared" si="254"/>
        <v>#REF!</v>
      </c>
      <c r="J2426" s="1644" t="e">
        <f t="shared" si="255"/>
        <v>#REF!</v>
      </c>
      <c r="K2426" s="1539"/>
      <c r="L2426" s="1539"/>
      <c r="M2426" s="1545"/>
      <c r="N2426" s="1545"/>
      <c r="O2426" s="1539"/>
      <c r="P2426" s="1539"/>
      <c r="Q2426" s="1539"/>
      <c r="R2426" s="1539"/>
      <c r="S2426" s="1539"/>
      <c r="T2426" s="1539"/>
      <c r="U2426" s="1539"/>
      <c r="V2426" s="1539"/>
      <c r="W2426" s="1539"/>
      <c r="X2426" s="1539"/>
      <c r="Y2426" s="1539"/>
      <c r="Z2426" s="1539"/>
      <c r="AA2426" s="1539"/>
      <c r="AB2426" s="1539"/>
      <c r="AC2426" s="1539"/>
      <c r="AD2426" s="1539"/>
      <c r="AE2426" s="1539"/>
      <c r="AF2426" s="1539"/>
      <c r="AG2426" s="1539"/>
      <c r="AH2426" s="1539"/>
      <c r="AI2426" s="1539"/>
      <c r="AJ2426" s="1539"/>
      <c r="AK2426" s="1539"/>
      <c r="AL2426" s="1539"/>
      <c r="AM2426" s="1539"/>
      <c r="AN2426" s="1539"/>
      <c r="AO2426" s="1539"/>
      <c r="AP2426" s="1539"/>
      <c r="AQ2426" s="1539"/>
      <c r="AR2426" s="1539"/>
      <c r="AS2426" s="1539"/>
      <c r="AT2426" s="1539"/>
      <c r="AU2426" s="1539"/>
      <c r="AV2426" s="1539"/>
      <c r="AW2426" s="1539"/>
      <c r="AX2426" s="1539"/>
      <c r="AY2426" s="1539"/>
      <c r="AZ2426" s="1539"/>
      <c r="BA2426" s="1539"/>
      <c r="BB2426" s="1539"/>
      <c r="BC2426" s="1539"/>
      <c r="BD2426" s="1539"/>
      <c r="BE2426" s="1539"/>
      <c r="BF2426" s="1539"/>
      <c r="BG2426" s="1539"/>
      <c r="BH2426" s="1539"/>
      <c r="BI2426" s="1539"/>
      <c r="BJ2426" s="1539"/>
      <c r="BK2426" s="1539"/>
      <c r="BL2426" s="1539"/>
      <c r="BM2426" s="1539"/>
      <c r="BN2426" s="1539"/>
      <c r="BO2426" s="1539"/>
      <c r="BP2426" s="1539"/>
      <c r="BQ2426" s="1539"/>
      <c r="BR2426" s="1539"/>
      <c r="BS2426" s="1539"/>
      <c r="BT2426" s="1539"/>
      <c r="BU2426" s="1539"/>
      <c r="BV2426" s="1539"/>
      <c r="BW2426" s="1539"/>
      <c r="BX2426" s="1539"/>
      <c r="BY2426" s="1539"/>
      <c r="BZ2426" s="1539"/>
      <c r="CA2426" s="1539"/>
      <c r="CB2426" s="1539"/>
      <c r="CC2426" s="1539"/>
      <c r="CD2426" s="1539"/>
      <c r="CE2426" s="1539"/>
      <c r="CF2426" s="1539"/>
      <c r="CG2426" s="1539"/>
      <c r="CH2426" s="1539"/>
      <c r="CI2426" s="1539"/>
      <c r="CJ2426" s="1539"/>
      <c r="CK2426" s="1539"/>
      <c r="CL2426" s="1539"/>
      <c r="CM2426" s="1539"/>
      <c r="CN2426" s="1539"/>
      <c r="CO2426" s="1539"/>
    </row>
    <row r="2427" spans="1:93" s="1542" customFormat="1" ht="15.5">
      <c r="A2427" s="1598" t="s">
        <v>1762</v>
      </c>
      <c r="B2427" s="1599" t="s">
        <v>3491</v>
      </c>
      <c r="C2427" s="1643" t="e">
        <f>+SUMIF(#REF!,Final!A2427,#REF!)</f>
        <v>#REF!</v>
      </c>
      <c r="D2427" s="1597" t="e">
        <f>+SUMIF(#REF!,Final!A2427,#REF!)</f>
        <v>#REF!</v>
      </c>
      <c r="E2427" s="1643" t="e">
        <f>SUMIF(#REF!,Final!A2427,#REF!)</f>
        <v>#REF!</v>
      </c>
      <c r="F2427" s="1644" t="e">
        <f>SUMIF(#REF!,Final!A2427,#REF!)</f>
        <v>#REF!</v>
      </c>
      <c r="G2427" s="1597" t="e">
        <f t="shared" si="252"/>
        <v>#REF!</v>
      </c>
      <c r="H2427" s="1644" t="e">
        <f t="shared" si="253"/>
        <v>#REF!</v>
      </c>
      <c r="I2427" s="1597" t="e">
        <f t="shared" si="254"/>
        <v>#REF!</v>
      </c>
      <c r="J2427" s="1644" t="e">
        <f t="shared" si="255"/>
        <v>#REF!</v>
      </c>
      <c r="K2427" s="1539"/>
      <c r="L2427" s="1539"/>
      <c r="M2427" s="1545"/>
      <c r="N2427" s="1545"/>
      <c r="O2427" s="1539"/>
      <c r="P2427" s="1539"/>
      <c r="Q2427" s="1539"/>
      <c r="R2427" s="1539"/>
      <c r="S2427" s="1539"/>
      <c r="T2427" s="1539"/>
      <c r="U2427" s="1539"/>
      <c r="V2427" s="1539"/>
      <c r="W2427" s="1539"/>
      <c r="X2427" s="1539"/>
      <c r="Y2427" s="1539"/>
      <c r="Z2427" s="1539"/>
      <c r="AA2427" s="1539"/>
      <c r="AB2427" s="1539"/>
      <c r="AC2427" s="1539"/>
      <c r="AD2427" s="1539"/>
      <c r="AE2427" s="1539"/>
      <c r="AF2427" s="1539"/>
      <c r="AG2427" s="1539"/>
      <c r="AH2427" s="1539"/>
      <c r="AI2427" s="1539"/>
      <c r="AJ2427" s="1539"/>
      <c r="AK2427" s="1539"/>
      <c r="AL2427" s="1539"/>
      <c r="AM2427" s="1539"/>
      <c r="AN2427" s="1539"/>
      <c r="AO2427" s="1539"/>
      <c r="AP2427" s="1539"/>
      <c r="AQ2427" s="1539"/>
      <c r="AR2427" s="1539"/>
      <c r="AS2427" s="1539"/>
      <c r="AT2427" s="1539"/>
      <c r="AU2427" s="1539"/>
      <c r="AV2427" s="1539"/>
      <c r="AW2427" s="1539"/>
      <c r="AX2427" s="1539"/>
      <c r="AY2427" s="1539"/>
      <c r="AZ2427" s="1539"/>
      <c r="BA2427" s="1539"/>
      <c r="BB2427" s="1539"/>
      <c r="BC2427" s="1539"/>
      <c r="BD2427" s="1539"/>
      <c r="BE2427" s="1539"/>
      <c r="BF2427" s="1539"/>
      <c r="BG2427" s="1539"/>
      <c r="BH2427" s="1539"/>
      <c r="BI2427" s="1539"/>
      <c r="BJ2427" s="1539"/>
      <c r="BK2427" s="1539"/>
      <c r="BL2427" s="1539"/>
      <c r="BM2427" s="1539"/>
      <c r="BN2427" s="1539"/>
      <c r="BO2427" s="1539"/>
      <c r="BP2427" s="1539"/>
      <c r="BQ2427" s="1539"/>
      <c r="BR2427" s="1539"/>
      <c r="BS2427" s="1539"/>
      <c r="BT2427" s="1539"/>
      <c r="BU2427" s="1539"/>
      <c r="BV2427" s="1539"/>
      <c r="BW2427" s="1539"/>
      <c r="BX2427" s="1539"/>
      <c r="BY2427" s="1539"/>
      <c r="BZ2427" s="1539"/>
      <c r="CA2427" s="1539"/>
      <c r="CB2427" s="1539"/>
      <c r="CC2427" s="1539"/>
      <c r="CD2427" s="1539"/>
      <c r="CE2427" s="1539"/>
      <c r="CF2427" s="1539"/>
      <c r="CG2427" s="1539"/>
      <c r="CH2427" s="1539"/>
      <c r="CI2427" s="1539"/>
      <c r="CJ2427" s="1539"/>
      <c r="CK2427" s="1539"/>
      <c r="CL2427" s="1539"/>
      <c r="CM2427" s="1539"/>
      <c r="CN2427" s="1539"/>
      <c r="CO2427" s="1539"/>
    </row>
    <row r="2428" spans="1:93" s="1542" customFormat="1" ht="15.5">
      <c r="A2428" s="1598">
        <v>53.701000000000001</v>
      </c>
      <c r="B2428" s="1599" t="s">
        <v>3491</v>
      </c>
      <c r="C2428" s="1643" t="e">
        <f>+SUMIF(#REF!,Final!A2428,#REF!)</f>
        <v>#REF!</v>
      </c>
      <c r="D2428" s="1597" t="e">
        <f>+SUMIF(#REF!,Final!A2428,#REF!)</f>
        <v>#REF!</v>
      </c>
      <c r="E2428" s="1643" t="e">
        <f>SUMIF(#REF!,Final!A2428,#REF!)</f>
        <v>#REF!</v>
      </c>
      <c r="F2428" s="1644" t="e">
        <f>SUMIF(#REF!,Final!A2428,#REF!)</f>
        <v>#REF!</v>
      </c>
      <c r="G2428" s="1597" t="e">
        <f t="shared" si="252"/>
        <v>#REF!</v>
      </c>
      <c r="H2428" s="1644" t="e">
        <f t="shared" si="253"/>
        <v>#REF!</v>
      </c>
      <c r="I2428" s="1597" t="e">
        <f t="shared" si="254"/>
        <v>#REF!</v>
      </c>
      <c r="J2428" s="1644" t="e">
        <f t="shared" si="255"/>
        <v>#REF!</v>
      </c>
      <c r="K2428" s="1539"/>
      <c r="L2428" s="1539"/>
      <c r="M2428" s="1545"/>
      <c r="N2428" s="1545"/>
      <c r="O2428" s="1539"/>
      <c r="P2428" s="1539"/>
      <c r="Q2428" s="1539"/>
      <c r="R2428" s="1539"/>
      <c r="S2428" s="1539"/>
      <c r="T2428" s="1539"/>
      <c r="U2428" s="1539"/>
      <c r="V2428" s="1539"/>
      <c r="W2428" s="1539"/>
      <c r="X2428" s="1539"/>
      <c r="Y2428" s="1539"/>
      <c r="Z2428" s="1539"/>
      <c r="AA2428" s="1539"/>
      <c r="AB2428" s="1539"/>
      <c r="AC2428" s="1539"/>
      <c r="AD2428" s="1539"/>
      <c r="AE2428" s="1539"/>
      <c r="AF2428" s="1539"/>
      <c r="AG2428" s="1539"/>
      <c r="AH2428" s="1539"/>
      <c r="AI2428" s="1539"/>
      <c r="AJ2428" s="1539"/>
      <c r="AK2428" s="1539"/>
      <c r="AL2428" s="1539"/>
      <c r="AM2428" s="1539"/>
      <c r="AN2428" s="1539"/>
      <c r="AO2428" s="1539"/>
      <c r="AP2428" s="1539"/>
      <c r="AQ2428" s="1539"/>
      <c r="AR2428" s="1539"/>
      <c r="AS2428" s="1539"/>
      <c r="AT2428" s="1539"/>
      <c r="AU2428" s="1539"/>
      <c r="AV2428" s="1539"/>
      <c r="AW2428" s="1539"/>
      <c r="AX2428" s="1539"/>
      <c r="AY2428" s="1539"/>
      <c r="AZ2428" s="1539"/>
      <c r="BA2428" s="1539"/>
      <c r="BB2428" s="1539"/>
      <c r="BC2428" s="1539"/>
      <c r="BD2428" s="1539"/>
      <c r="BE2428" s="1539"/>
      <c r="BF2428" s="1539"/>
      <c r="BG2428" s="1539"/>
      <c r="BH2428" s="1539"/>
      <c r="BI2428" s="1539"/>
      <c r="BJ2428" s="1539"/>
      <c r="BK2428" s="1539"/>
      <c r="BL2428" s="1539"/>
      <c r="BM2428" s="1539"/>
      <c r="BN2428" s="1539"/>
      <c r="BO2428" s="1539"/>
      <c r="BP2428" s="1539"/>
      <c r="BQ2428" s="1539"/>
      <c r="BR2428" s="1539"/>
      <c r="BS2428" s="1539"/>
      <c r="BT2428" s="1539"/>
      <c r="BU2428" s="1539"/>
      <c r="BV2428" s="1539"/>
      <c r="BW2428" s="1539"/>
      <c r="BX2428" s="1539"/>
      <c r="BY2428" s="1539"/>
      <c r="BZ2428" s="1539"/>
      <c r="CA2428" s="1539"/>
      <c r="CB2428" s="1539"/>
      <c r="CC2428" s="1539"/>
      <c r="CD2428" s="1539"/>
      <c r="CE2428" s="1539"/>
      <c r="CF2428" s="1539"/>
      <c r="CG2428" s="1539"/>
      <c r="CH2428" s="1539"/>
      <c r="CI2428" s="1539"/>
      <c r="CJ2428" s="1539"/>
      <c r="CK2428" s="1539"/>
      <c r="CL2428" s="1539"/>
      <c r="CM2428" s="1539"/>
      <c r="CN2428" s="1539"/>
      <c r="CO2428" s="1539"/>
    </row>
    <row r="2429" spans="1:93" s="1552" customFormat="1" ht="15.5">
      <c r="A2429" s="1598"/>
      <c r="B2429" s="1599" t="s">
        <v>1747</v>
      </c>
      <c r="C2429" s="1643" t="e">
        <f>+SUMIF(#REF!,Final!A2429,#REF!)</f>
        <v>#REF!</v>
      </c>
      <c r="D2429" s="1597" t="e">
        <f>+SUMIF(#REF!,Final!A2429,#REF!)</f>
        <v>#REF!</v>
      </c>
      <c r="E2429" s="1643" t="e">
        <f>SUMIF(#REF!,Final!A2429,#REF!)</f>
        <v>#REF!</v>
      </c>
      <c r="F2429" s="1644" t="e">
        <f>SUMIF(#REF!,Final!A2429,#REF!)</f>
        <v>#REF!</v>
      </c>
      <c r="G2429" s="1597" t="e">
        <f t="shared" si="252"/>
        <v>#REF!</v>
      </c>
      <c r="H2429" s="1644" t="e">
        <f t="shared" si="253"/>
        <v>#REF!</v>
      </c>
      <c r="I2429" s="1597" t="e">
        <f t="shared" si="254"/>
        <v>#REF!</v>
      </c>
      <c r="J2429" s="1644" t="e">
        <f t="shared" si="255"/>
        <v>#REF!</v>
      </c>
      <c r="K2429" s="1539"/>
      <c r="L2429" s="1539"/>
      <c r="M2429" s="1545"/>
      <c r="N2429" s="1545"/>
      <c r="O2429" s="1539"/>
      <c r="P2429" s="1539"/>
      <c r="Q2429" s="1539"/>
      <c r="R2429" s="1539"/>
      <c r="S2429" s="1539"/>
      <c r="T2429" s="1539"/>
      <c r="U2429" s="1539"/>
      <c r="V2429" s="1539"/>
      <c r="W2429" s="1539"/>
      <c r="X2429" s="1539"/>
      <c r="Y2429" s="1539"/>
      <c r="Z2429" s="1539"/>
      <c r="AA2429" s="1539"/>
      <c r="AB2429" s="1539"/>
      <c r="AC2429" s="1539"/>
      <c r="AD2429" s="1539"/>
      <c r="AE2429" s="1539"/>
      <c r="AF2429" s="1539"/>
      <c r="AG2429" s="1539"/>
      <c r="AH2429" s="1539"/>
      <c r="AI2429" s="1539"/>
      <c r="AJ2429" s="1539"/>
      <c r="AK2429" s="1539"/>
      <c r="AL2429" s="1539"/>
      <c r="AM2429" s="1539"/>
      <c r="AN2429" s="1539"/>
      <c r="AO2429" s="1539"/>
      <c r="AP2429" s="1539"/>
      <c r="AQ2429" s="1539"/>
      <c r="AR2429" s="1539"/>
      <c r="AS2429" s="1539"/>
      <c r="AT2429" s="1539"/>
      <c r="AU2429" s="1539"/>
      <c r="AV2429" s="1539"/>
      <c r="AW2429" s="1539"/>
      <c r="AX2429" s="1539"/>
      <c r="AY2429" s="1539"/>
      <c r="AZ2429" s="1539"/>
      <c r="BA2429" s="1539"/>
      <c r="BB2429" s="1539"/>
      <c r="BC2429" s="1539"/>
      <c r="BD2429" s="1539"/>
      <c r="BE2429" s="1539"/>
      <c r="BF2429" s="1539"/>
      <c r="BG2429" s="1539"/>
      <c r="BH2429" s="1539"/>
      <c r="BI2429" s="1539"/>
      <c r="BJ2429" s="1539"/>
      <c r="BK2429" s="1539"/>
      <c r="BL2429" s="1539"/>
      <c r="BM2429" s="1539"/>
      <c r="BN2429" s="1539"/>
      <c r="BO2429" s="1539"/>
      <c r="BP2429" s="1539"/>
      <c r="BQ2429" s="1539"/>
      <c r="BR2429" s="1539"/>
      <c r="BS2429" s="1539"/>
      <c r="BT2429" s="1539"/>
      <c r="BU2429" s="1539"/>
      <c r="BV2429" s="1539"/>
      <c r="BW2429" s="1539"/>
      <c r="BX2429" s="1539"/>
      <c r="BY2429" s="1539"/>
      <c r="BZ2429" s="1539"/>
      <c r="CA2429" s="1539"/>
      <c r="CB2429" s="1539"/>
      <c r="CC2429" s="1539"/>
      <c r="CD2429" s="1539"/>
      <c r="CE2429" s="1539"/>
      <c r="CF2429" s="1539"/>
      <c r="CG2429" s="1539"/>
      <c r="CH2429" s="1539"/>
      <c r="CI2429" s="1539"/>
      <c r="CJ2429" s="1539"/>
      <c r="CK2429" s="1539"/>
      <c r="CL2429" s="1539"/>
      <c r="CM2429" s="1539"/>
      <c r="CN2429" s="1539"/>
      <c r="CO2429" s="1539"/>
    </row>
    <row r="2430" spans="1:93" s="1552" customFormat="1" ht="15.5">
      <c r="A2430" s="1598"/>
      <c r="B2430" s="1599" t="s">
        <v>1760</v>
      </c>
      <c r="C2430" s="1643" t="e">
        <f>+SUMIF(#REF!,Final!A2430,#REF!)</f>
        <v>#REF!</v>
      </c>
      <c r="D2430" s="1597" t="e">
        <f>+SUMIF(#REF!,Final!A2430,#REF!)</f>
        <v>#REF!</v>
      </c>
      <c r="E2430" s="1643" t="e">
        <f>SUMIF(#REF!,Final!A2430,#REF!)</f>
        <v>#REF!</v>
      </c>
      <c r="F2430" s="1644" t="e">
        <f>SUMIF(#REF!,Final!A2430,#REF!)</f>
        <v>#REF!</v>
      </c>
      <c r="G2430" s="1597" t="e">
        <f t="shared" si="252"/>
        <v>#REF!</v>
      </c>
      <c r="H2430" s="1644" t="e">
        <f t="shared" si="253"/>
        <v>#REF!</v>
      </c>
      <c r="I2430" s="1597" t="e">
        <f t="shared" si="254"/>
        <v>#REF!</v>
      </c>
      <c r="J2430" s="1644" t="e">
        <f t="shared" si="255"/>
        <v>#REF!</v>
      </c>
      <c r="K2430" s="1539"/>
      <c r="L2430" s="1539"/>
      <c r="M2430" s="1545"/>
      <c r="N2430" s="1545"/>
      <c r="O2430" s="1539"/>
      <c r="P2430" s="1539"/>
      <c r="Q2430" s="1539"/>
      <c r="R2430" s="1539"/>
      <c r="S2430" s="1539"/>
      <c r="T2430" s="1539"/>
      <c r="U2430" s="1539"/>
      <c r="V2430" s="1539"/>
      <c r="W2430" s="1539"/>
      <c r="X2430" s="1539"/>
      <c r="Y2430" s="1539"/>
      <c r="Z2430" s="1539"/>
      <c r="AA2430" s="1539"/>
      <c r="AB2430" s="1539"/>
      <c r="AC2430" s="1539"/>
      <c r="AD2430" s="1539"/>
      <c r="AE2430" s="1539"/>
      <c r="AF2430" s="1539"/>
      <c r="AG2430" s="1539"/>
      <c r="AH2430" s="1539"/>
      <c r="AI2430" s="1539"/>
      <c r="AJ2430" s="1539"/>
      <c r="AK2430" s="1539"/>
      <c r="AL2430" s="1539"/>
      <c r="AM2430" s="1539"/>
      <c r="AN2430" s="1539"/>
      <c r="AO2430" s="1539"/>
      <c r="AP2430" s="1539"/>
      <c r="AQ2430" s="1539"/>
      <c r="AR2430" s="1539"/>
      <c r="AS2430" s="1539"/>
      <c r="AT2430" s="1539"/>
      <c r="AU2430" s="1539"/>
      <c r="AV2430" s="1539"/>
      <c r="AW2430" s="1539"/>
      <c r="AX2430" s="1539"/>
      <c r="AY2430" s="1539"/>
      <c r="AZ2430" s="1539"/>
      <c r="BA2430" s="1539"/>
      <c r="BB2430" s="1539"/>
      <c r="BC2430" s="1539"/>
      <c r="BD2430" s="1539"/>
      <c r="BE2430" s="1539"/>
      <c r="BF2430" s="1539"/>
      <c r="BG2430" s="1539"/>
      <c r="BH2430" s="1539"/>
      <c r="BI2430" s="1539"/>
      <c r="BJ2430" s="1539"/>
      <c r="BK2430" s="1539"/>
      <c r="BL2430" s="1539"/>
      <c r="BM2430" s="1539"/>
      <c r="BN2430" s="1539"/>
      <c r="BO2430" s="1539"/>
      <c r="BP2430" s="1539"/>
      <c r="BQ2430" s="1539"/>
      <c r="BR2430" s="1539"/>
      <c r="BS2430" s="1539"/>
      <c r="BT2430" s="1539"/>
      <c r="BU2430" s="1539"/>
      <c r="BV2430" s="1539"/>
      <c r="BW2430" s="1539"/>
      <c r="BX2430" s="1539"/>
      <c r="BY2430" s="1539"/>
      <c r="BZ2430" s="1539"/>
      <c r="CA2430" s="1539"/>
      <c r="CB2430" s="1539"/>
      <c r="CC2430" s="1539"/>
      <c r="CD2430" s="1539"/>
      <c r="CE2430" s="1539"/>
      <c r="CF2430" s="1539"/>
      <c r="CG2430" s="1539"/>
      <c r="CH2430" s="1539"/>
      <c r="CI2430" s="1539"/>
      <c r="CJ2430" s="1539"/>
      <c r="CK2430" s="1539"/>
      <c r="CL2430" s="1539"/>
      <c r="CM2430" s="1539"/>
      <c r="CN2430" s="1539"/>
      <c r="CO2430" s="1539"/>
    </row>
    <row r="2431" spans="1:93" s="1542" customFormat="1" ht="15.5">
      <c r="A2431" s="1598">
        <v>19</v>
      </c>
      <c r="B2431" s="1599" t="s">
        <v>1863</v>
      </c>
      <c r="C2431" s="1643" t="e">
        <f>+SUMIF(#REF!,Final!A2431,#REF!)</f>
        <v>#REF!</v>
      </c>
      <c r="D2431" s="1597" t="e">
        <f>+SUMIF(#REF!,Final!A2431,#REF!)</f>
        <v>#REF!</v>
      </c>
      <c r="E2431" s="1643" t="e">
        <f>SUMIF(#REF!,Final!A2431,#REF!)</f>
        <v>#REF!</v>
      </c>
      <c r="F2431" s="1644" t="e">
        <f>SUMIF(#REF!,Final!A2431,#REF!)</f>
        <v>#REF!</v>
      </c>
      <c r="G2431" s="1597" t="e">
        <f t="shared" si="252"/>
        <v>#REF!</v>
      </c>
      <c r="H2431" s="1644" t="e">
        <f t="shared" si="253"/>
        <v>#REF!</v>
      </c>
      <c r="I2431" s="1597" t="e">
        <f t="shared" si="254"/>
        <v>#REF!</v>
      </c>
      <c r="J2431" s="1644" t="e">
        <f t="shared" si="255"/>
        <v>#REF!</v>
      </c>
      <c r="K2431" s="1539"/>
      <c r="L2431" s="1539"/>
      <c r="M2431" s="1545"/>
      <c r="N2431" s="1545"/>
      <c r="O2431" s="1539"/>
      <c r="P2431" s="1539"/>
      <c r="Q2431" s="1539"/>
      <c r="R2431" s="1539"/>
      <c r="S2431" s="1539"/>
      <c r="T2431" s="1539"/>
      <c r="U2431" s="1539"/>
      <c r="V2431" s="1539"/>
      <c r="W2431" s="1539"/>
      <c r="X2431" s="1539"/>
      <c r="Y2431" s="1539"/>
      <c r="Z2431" s="1539"/>
      <c r="AA2431" s="1539"/>
      <c r="AB2431" s="1539"/>
      <c r="AC2431" s="1539"/>
      <c r="AD2431" s="1539"/>
      <c r="AE2431" s="1539"/>
      <c r="AF2431" s="1539"/>
      <c r="AG2431" s="1539"/>
      <c r="AH2431" s="1539"/>
      <c r="AI2431" s="1539"/>
      <c r="AJ2431" s="1539"/>
      <c r="AK2431" s="1539"/>
      <c r="AL2431" s="1539"/>
      <c r="AM2431" s="1539"/>
      <c r="AN2431" s="1539"/>
      <c r="AO2431" s="1539"/>
      <c r="AP2431" s="1539"/>
      <c r="AQ2431" s="1539"/>
      <c r="AR2431" s="1539"/>
      <c r="AS2431" s="1539"/>
      <c r="AT2431" s="1539"/>
      <c r="AU2431" s="1539"/>
      <c r="AV2431" s="1539"/>
      <c r="AW2431" s="1539"/>
      <c r="AX2431" s="1539"/>
      <c r="AY2431" s="1539"/>
      <c r="AZ2431" s="1539"/>
      <c r="BA2431" s="1539"/>
      <c r="BB2431" s="1539"/>
      <c r="BC2431" s="1539"/>
      <c r="BD2431" s="1539"/>
      <c r="BE2431" s="1539"/>
      <c r="BF2431" s="1539"/>
      <c r="BG2431" s="1539"/>
      <c r="BH2431" s="1539"/>
      <c r="BI2431" s="1539"/>
      <c r="BJ2431" s="1539"/>
      <c r="BK2431" s="1539"/>
      <c r="BL2431" s="1539"/>
      <c r="BM2431" s="1539"/>
      <c r="BN2431" s="1539"/>
      <c r="BO2431" s="1539"/>
      <c r="BP2431" s="1539"/>
      <c r="BQ2431" s="1539"/>
      <c r="BR2431" s="1539"/>
      <c r="BS2431" s="1539"/>
      <c r="BT2431" s="1539"/>
      <c r="BU2431" s="1539"/>
      <c r="BV2431" s="1539"/>
      <c r="BW2431" s="1539"/>
      <c r="BX2431" s="1539"/>
      <c r="BY2431" s="1539"/>
      <c r="BZ2431" s="1539"/>
      <c r="CA2431" s="1539"/>
      <c r="CB2431" s="1539"/>
      <c r="CC2431" s="1539"/>
      <c r="CD2431" s="1539"/>
      <c r="CE2431" s="1539"/>
      <c r="CF2431" s="1539"/>
      <c r="CG2431" s="1539"/>
      <c r="CH2431" s="1539"/>
      <c r="CI2431" s="1539"/>
      <c r="CJ2431" s="1539"/>
      <c r="CK2431" s="1539"/>
      <c r="CL2431" s="1539"/>
      <c r="CM2431" s="1539"/>
      <c r="CN2431" s="1539"/>
      <c r="CO2431" s="1539"/>
    </row>
    <row r="2432" spans="1:93" s="1542" customFormat="1" ht="15.5">
      <c r="A2432" s="1598" t="s">
        <v>1815</v>
      </c>
      <c r="B2432" s="1599" t="s">
        <v>1864</v>
      </c>
      <c r="C2432" s="1643" t="e">
        <f>+SUMIF(#REF!,Final!A2432,#REF!)</f>
        <v>#REF!</v>
      </c>
      <c r="D2432" s="1597" t="e">
        <f>+SUMIF(#REF!,Final!A2432,#REF!)</f>
        <v>#REF!</v>
      </c>
      <c r="E2432" s="1643" t="e">
        <f>SUMIF(#REF!,Final!A2432,#REF!)</f>
        <v>#REF!</v>
      </c>
      <c r="F2432" s="1644" t="e">
        <f>SUMIF(#REF!,Final!A2432,#REF!)</f>
        <v>#REF!</v>
      </c>
      <c r="G2432" s="1597" t="e">
        <f t="shared" si="252"/>
        <v>#REF!</v>
      </c>
      <c r="H2432" s="1644" t="e">
        <f t="shared" si="253"/>
        <v>#REF!</v>
      </c>
      <c r="I2432" s="1597" t="e">
        <f t="shared" si="254"/>
        <v>#REF!</v>
      </c>
      <c r="J2432" s="1644" t="e">
        <f t="shared" si="255"/>
        <v>#REF!</v>
      </c>
      <c r="K2432" s="1539"/>
      <c r="L2432" s="1539"/>
      <c r="M2432" s="1545"/>
      <c r="N2432" s="1545"/>
      <c r="O2432" s="1539"/>
      <c r="P2432" s="1539"/>
      <c r="Q2432" s="1539"/>
      <c r="R2432" s="1539"/>
      <c r="S2432" s="1539"/>
      <c r="T2432" s="1539"/>
      <c r="U2432" s="1539"/>
      <c r="V2432" s="1539"/>
      <c r="W2432" s="1539"/>
      <c r="X2432" s="1539"/>
      <c r="Y2432" s="1539"/>
      <c r="Z2432" s="1539"/>
      <c r="AA2432" s="1539"/>
      <c r="AB2432" s="1539"/>
      <c r="AC2432" s="1539"/>
      <c r="AD2432" s="1539"/>
      <c r="AE2432" s="1539"/>
      <c r="AF2432" s="1539"/>
      <c r="AG2432" s="1539"/>
      <c r="AH2432" s="1539"/>
      <c r="AI2432" s="1539"/>
      <c r="AJ2432" s="1539"/>
      <c r="AK2432" s="1539"/>
      <c r="AL2432" s="1539"/>
      <c r="AM2432" s="1539"/>
      <c r="AN2432" s="1539"/>
      <c r="AO2432" s="1539"/>
      <c r="AP2432" s="1539"/>
      <c r="AQ2432" s="1539"/>
      <c r="AR2432" s="1539"/>
      <c r="AS2432" s="1539"/>
      <c r="AT2432" s="1539"/>
      <c r="AU2432" s="1539"/>
      <c r="AV2432" s="1539"/>
      <c r="AW2432" s="1539"/>
      <c r="AX2432" s="1539"/>
      <c r="AY2432" s="1539"/>
      <c r="AZ2432" s="1539"/>
      <c r="BA2432" s="1539"/>
      <c r="BB2432" s="1539"/>
      <c r="BC2432" s="1539"/>
      <c r="BD2432" s="1539"/>
      <c r="BE2432" s="1539"/>
      <c r="BF2432" s="1539"/>
      <c r="BG2432" s="1539"/>
      <c r="BH2432" s="1539"/>
      <c r="BI2432" s="1539"/>
      <c r="BJ2432" s="1539"/>
      <c r="BK2432" s="1539"/>
      <c r="BL2432" s="1539"/>
      <c r="BM2432" s="1539"/>
      <c r="BN2432" s="1539"/>
      <c r="BO2432" s="1539"/>
      <c r="BP2432" s="1539"/>
      <c r="BQ2432" s="1539"/>
      <c r="BR2432" s="1539"/>
      <c r="BS2432" s="1539"/>
      <c r="BT2432" s="1539"/>
      <c r="BU2432" s="1539"/>
      <c r="BV2432" s="1539"/>
      <c r="BW2432" s="1539"/>
      <c r="BX2432" s="1539"/>
      <c r="BY2432" s="1539"/>
      <c r="BZ2432" s="1539"/>
      <c r="CA2432" s="1539"/>
      <c r="CB2432" s="1539"/>
      <c r="CC2432" s="1539"/>
      <c r="CD2432" s="1539"/>
      <c r="CE2432" s="1539"/>
      <c r="CF2432" s="1539"/>
      <c r="CG2432" s="1539"/>
      <c r="CH2432" s="1539"/>
      <c r="CI2432" s="1539"/>
      <c r="CJ2432" s="1539"/>
      <c r="CK2432" s="1539"/>
      <c r="CL2432" s="1539"/>
      <c r="CM2432" s="1539"/>
      <c r="CN2432" s="1539"/>
      <c r="CO2432" s="1539"/>
    </row>
    <row r="2433" spans="1:93" s="1542" customFormat="1" ht="15.5">
      <c r="A2433" s="1598">
        <v>53.701999999999998</v>
      </c>
      <c r="B2433" s="1599" t="s">
        <v>1865</v>
      </c>
      <c r="C2433" s="1643" t="e">
        <f>+SUMIF(#REF!,Final!A2433,#REF!)</f>
        <v>#REF!</v>
      </c>
      <c r="D2433" s="1597" t="e">
        <f>+SUMIF(#REF!,Final!A2433,#REF!)</f>
        <v>#REF!</v>
      </c>
      <c r="E2433" s="1643" t="e">
        <f>SUMIF(#REF!,Final!A2433,#REF!)</f>
        <v>#REF!</v>
      </c>
      <c r="F2433" s="1644" t="e">
        <f>SUMIF(#REF!,Final!A2433,#REF!)</f>
        <v>#REF!</v>
      </c>
      <c r="G2433" s="1597" t="e">
        <f t="shared" si="252"/>
        <v>#REF!</v>
      </c>
      <c r="H2433" s="1644" t="e">
        <f t="shared" si="253"/>
        <v>#REF!</v>
      </c>
      <c r="I2433" s="1597" t="e">
        <f t="shared" si="254"/>
        <v>#REF!</v>
      </c>
      <c r="J2433" s="1644" t="e">
        <f t="shared" si="255"/>
        <v>#REF!</v>
      </c>
      <c r="K2433" s="1539"/>
      <c r="L2433" s="1539"/>
      <c r="M2433" s="1545"/>
      <c r="N2433" s="1545"/>
      <c r="O2433" s="1539"/>
      <c r="P2433" s="1539"/>
      <c r="Q2433" s="1539"/>
      <c r="R2433" s="1539"/>
      <c r="S2433" s="1539"/>
      <c r="T2433" s="1539"/>
      <c r="U2433" s="1539"/>
      <c r="V2433" s="1539"/>
      <c r="W2433" s="1539"/>
      <c r="X2433" s="1539"/>
      <c r="Y2433" s="1539"/>
      <c r="Z2433" s="1539"/>
      <c r="AA2433" s="1539"/>
      <c r="AB2433" s="1539"/>
      <c r="AC2433" s="1539"/>
      <c r="AD2433" s="1539"/>
      <c r="AE2433" s="1539"/>
      <c r="AF2433" s="1539"/>
      <c r="AG2433" s="1539"/>
      <c r="AH2433" s="1539"/>
      <c r="AI2433" s="1539"/>
      <c r="AJ2433" s="1539"/>
      <c r="AK2433" s="1539"/>
      <c r="AL2433" s="1539"/>
      <c r="AM2433" s="1539"/>
      <c r="AN2433" s="1539"/>
      <c r="AO2433" s="1539"/>
      <c r="AP2433" s="1539"/>
      <c r="AQ2433" s="1539"/>
      <c r="AR2433" s="1539"/>
      <c r="AS2433" s="1539"/>
      <c r="AT2433" s="1539"/>
      <c r="AU2433" s="1539"/>
      <c r="AV2433" s="1539"/>
      <c r="AW2433" s="1539"/>
      <c r="AX2433" s="1539"/>
      <c r="AY2433" s="1539"/>
      <c r="AZ2433" s="1539"/>
      <c r="BA2433" s="1539"/>
      <c r="BB2433" s="1539"/>
      <c r="BC2433" s="1539"/>
      <c r="BD2433" s="1539"/>
      <c r="BE2433" s="1539"/>
      <c r="BF2433" s="1539"/>
      <c r="BG2433" s="1539"/>
      <c r="BH2433" s="1539"/>
      <c r="BI2433" s="1539"/>
      <c r="BJ2433" s="1539"/>
      <c r="BK2433" s="1539"/>
      <c r="BL2433" s="1539"/>
      <c r="BM2433" s="1539"/>
      <c r="BN2433" s="1539"/>
      <c r="BO2433" s="1539"/>
      <c r="BP2433" s="1539"/>
      <c r="BQ2433" s="1539"/>
      <c r="BR2433" s="1539"/>
      <c r="BS2433" s="1539"/>
      <c r="BT2433" s="1539"/>
      <c r="BU2433" s="1539"/>
      <c r="BV2433" s="1539"/>
      <c r="BW2433" s="1539"/>
      <c r="BX2433" s="1539"/>
      <c r="BY2433" s="1539"/>
      <c r="BZ2433" s="1539"/>
      <c r="CA2433" s="1539"/>
      <c r="CB2433" s="1539"/>
      <c r="CC2433" s="1539"/>
      <c r="CD2433" s="1539"/>
      <c r="CE2433" s="1539"/>
      <c r="CF2433" s="1539"/>
      <c r="CG2433" s="1539"/>
      <c r="CH2433" s="1539"/>
      <c r="CI2433" s="1539"/>
      <c r="CJ2433" s="1539"/>
      <c r="CK2433" s="1539"/>
      <c r="CL2433" s="1539"/>
      <c r="CM2433" s="1539"/>
      <c r="CN2433" s="1539"/>
      <c r="CO2433" s="1539"/>
    </row>
    <row r="2434" spans="1:93" ht="15.5">
      <c r="A2434" s="1598">
        <v>53.703000000000003</v>
      </c>
      <c r="B2434" s="1599" t="s">
        <v>1866</v>
      </c>
      <c r="C2434" s="1643" t="e">
        <f>+SUMIF(#REF!,Final!A2434,#REF!)</f>
        <v>#REF!</v>
      </c>
      <c r="D2434" s="1597" t="e">
        <f>+SUMIF(#REF!,Final!A2434,#REF!)</f>
        <v>#REF!</v>
      </c>
      <c r="E2434" s="1643" t="e">
        <f>SUMIF(#REF!,Final!A2434,#REF!)</f>
        <v>#REF!</v>
      </c>
      <c r="F2434" s="1644" t="e">
        <f>SUMIF(#REF!,Final!A2434,#REF!)</f>
        <v>#REF!</v>
      </c>
      <c r="G2434" s="1597" t="e">
        <f t="shared" si="252"/>
        <v>#REF!</v>
      </c>
      <c r="H2434" s="1644" t="e">
        <f t="shared" si="253"/>
        <v>#REF!</v>
      </c>
      <c r="I2434" s="1597" t="e">
        <f t="shared" si="254"/>
        <v>#REF!</v>
      </c>
      <c r="J2434" s="1644" t="e">
        <f t="shared" si="255"/>
        <v>#REF!</v>
      </c>
      <c r="M2434" s="1545"/>
      <c r="N2434" s="1545"/>
    </row>
    <row r="2435" spans="1:93" s="1552" customFormat="1" ht="15.5">
      <c r="A2435" s="1598"/>
      <c r="B2435" s="1599" t="s">
        <v>1747</v>
      </c>
      <c r="C2435" s="1643" t="e">
        <f>+SUMIF(#REF!,Final!A2435,#REF!)</f>
        <v>#REF!</v>
      </c>
      <c r="D2435" s="1597" t="e">
        <f>+SUMIF(#REF!,Final!A2435,#REF!)</f>
        <v>#REF!</v>
      </c>
      <c r="E2435" s="1643" t="e">
        <f>SUMIF(#REF!,Final!A2435,#REF!)</f>
        <v>#REF!</v>
      </c>
      <c r="F2435" s="1644" t="e">
        <f>SUMIF(#REF!,Final!A2435,#REF!)</f>
        <v>#REF!</v>
      </c>
      <c r="G2435" s="1597" t="e">
        <f t="shared" si="252"/>
        <v>#REF!</v>
      </c>
      <c r="H2435" s="1644" t="e">
        <f t="shared" si="253"/>
        <v>#REF!</v>
      </c>
      <c r="I2435" s="1597" t="e">
        <f t="shared" si="254"/>
        <v>#REF!</v>
      </c>
      <c r="J2435" s="1644" t="e">
        <f t="shared" si="255"/>
        <v>#REF!</v>
      </c>
      <c r="K2435" s="1539"/>
      <c r="L2435" s="1539"/>
      <c r="M2435" s="1545"/>
      <c r="N2435" s="1545"/>
      <c r="O2435" s="1539"/>
      <c r="P2435" s="1539"/>
      <c r="Q2435" s="1539"/>
      <c r="R2435" s="1539"/>
      <c r="S2435" s="1539"/>
      <c r="T2435" s="1539"/>
      <c r="U2435" s="1539"/>
      <c r="V2435" s="1539"/>
      <c r="W2435" s="1539"/>
      <c r="X2435" s="1539"/>
      <c r="Y2435" s="1539"/>
      <c r="Z2435" s="1539"/>
      <c r="AA2435" s="1539"/>
      <c r="AB2435" s="1539"/>
      <c r="AC2435" s="1539"/>
      <c r="AD2435" s="1539"/>
      <c r="AE2435" s="1539"/>
      <c r="AF2435" s="1539"/>
      <c r="AG2435" s="1539"/>
      <c r="AH2435" s="1539"/>
      <c r="AI2435" s="1539"/>
      <c r="AJ2435" s="1539"/>
      <c r="AK2435" s="1539"/>
      <c r="AL2435" s="1539"/>
      <c r="AM2435" s="1539"/>
      <c r="AN2435" s="1539"/>
      <c r="AO2435" s="1539"/>
      <c r="AP2435" s="1539"/>
      <c r="AQ2435" s="1539"/>
      <c r="AR2435" s="1539"/>
      <c r="AS2435" s="1539"/>
      <c r="AT2435" s="1539"/>
      <c r="AU2435" s="1539"/>
      <c r="AV2435" s="1539"/>
      <c r="AW2435" s="1539"/>
      <c r="AX2435" s="1539"/>
      <c r="AY2435" s="1539"/>
      <c r="AZ2435" s="1539"/>
      <c r="BA2435" s="1539"/>
      <c r="BB2435" s="1539"/>
      <c r="BC2435" s="1539"/>
      <c r="BD2435" s="1539"/>
      <c r="BE2435" s="1539"/>
      <c r="BF2435" s="1539"/>
      <c r="BG2435" s="1539"/>
      <c r="BH2435" s="1539"/>
      <c r="BI2435" s="1539"/>
      <c r="BJ2435" s="1539"/>
      <c r="BK2435" s="1539"/>
      <c r="BL2435" s="1539"/>
      <c r="BM2435" s="1539"/>
      <c r="BN2435" s="1539"/>
      <c r="BO2435" s="1539"/>
      <c r="BP2435" s="1539"/>
      <c r="BQ2435" s="1539"/>
      <c r="BR2435" s="1539"/>
      <c r="BS2435" s="1539"/>
      <c r="BT2435" s="1539"/>
      <c r="BU2435" s="1539"/>
      <c r="BV2435" s="1539"/>
      <c r="BW2435" s="1539"/>
      <c r="BX2435" s="1539"/>
      <c r="BY2435" s="1539"/>
      <c r="BZ2435" s="1539"/>
      <c r="CA2435" s="1539"/>
      <c r="CB2435" s="1539"/>
      <c r="CC2435" s="1539"/>
      <c r="CD2435" s="1539"/>
      <c r="CE2435" s="1539"/>
      <c r="CF2435" s="1539"/>
      <c r="CG2435" s="1539"/>
      <c r="CH2435" s="1539"/>
      <c r="CI2435" s="1539"/>
      <c r="CJ2435" s="1539"/>
      <c r="CK2435" s="1539"/>
      <c r="CL2435" s="1539"/>
      <c r="CM2435" s="1539"/>
      <c r="CN2435" s="1539"/>
      <c r="CO2435" s="1539"/>
    </row>
    <row r="2436" spans="1:93" s="1552" customFormat="1" ht="15.5">
      <c r="A2436" s="1598" t="s">
        <v>3492</v>
      </c>
      <c r="B2436" s="1599" t="s">
        <v>1867</v>
      </c>
      <c r="C2436" s="1643" t="e">
        <f>+SUMIF(#REF!,Final!A2436,#REF!)</f>
        <v>#REF!</v>
      </c>
      <c r="D2436" s="1597" t="e">
        <f>+SUMIF(#REF!,Final!A2436,#REF!)</f>
        <v>#REF!</v>
      </c>
      <c r="E2436" s="1643" t="e">
        <f>SUMIF(#REF!,Final!A2436,#REF!)</f>
        <v>#REF!</v>
      </c>
      <c r="F2436" s="1644" t="e">
        <f>SUMIF(#REF!,Final!A2436,#REF!)</f>
        <v>#REF!</v>
      </c>
      <c r="G2436" s="1597" t="e">
        <f t="shared" si="252"/>
        <v>#REF!</v>
      </c>
      <c r="H2436" s="1644" t="e">
        <f t="shared" si="253"/>
        <v>#REF!</v>
      </c>
      <c r="I2436" s="1597" t="e">
        <f t="shared" si="254"/>
        <v>#REF!</v>
      </c>
      <c r="J2436" s="1644" t="e">
        <f t="shared" si="255"/>
        <v>#REF!</v>
      </c>
      <c r="K2436" s="1539"/>
      <c r="L2436" s="1539"/>
      <c r="M2436" s="1545"/>
      <c r="N2436" s="1545"/>
      <c r="O2436" s="1539"/>
      <c r="P2436" s="1539"/>
      <c r="Q2436" s="1539"/>
      <c r="R2436" s="1539"/>
      <c r="S2436" s="1539"/>
      <c r="T2436" s="1539"/>
      <c r="U2436" s="1539"/>
      <c r="V2436" s="1539"/>
      <c r="W2436" s="1539"/>
      <c r="X2436" s="1539"/>
      <c r="Y2436" s="1539"/>
      <c r="Z2436" s="1539"/>
      <c r="AA2436" s="1539"/>
      <c r="AB2436" s="1539"/>
      <c r="AC2436" s="1539"/>
      <c r="AD2436" s="1539"/>
      <c r="AE2436" s="1539"/>
      <c r="AF2436" s="1539"/>
      <c r="AG2436" s="1539"/>
      <c r="AH2436" s="1539"/>
      <c r="AI2436" s="1539"/>
      <c r="AJ2436" s="1539"/>
      <c r="AK2436" s="1539"/>
      <c r="AL2436" s="1539"/>
      <c r="AM2436" s="1539"/>
      <c r="AN2436" s="1539"/>
      <c r="AO2436" s="1539"/>
      <c r="AP2436" s="1539"/>
      <c r="AQ2436" s="1539"/>
      <c r="AR2436" s="1539"/>
      <c r="AS2436" s="1539"/>
      <c r="AT2436" s="1539"/>
      <c r="AU2436" s="1539"/>
      <c r="AV2436" s="1539"/>
      <c r="AW2436" s="1539"/>
      <c r="AX2436" s="1539"/>
      <c r="AY2436" s="1539"/>
      <c r="AZ2436" s="1539"/>
      <c r="BA2436" s="1539"/>
      <c r="BB2436" s="1539"/>
      <c r="BC2436" s="1539"/>
      <c r="BD2436" s="1539"/>
      <c r="BE2436" s="1539"/>
      <c r="BF2436" s="1539"/>
      <c r="BG2436" s="1539"/>
      <c r="BH2436" s="1539"/>
      <c r="BI2436" s="1539"/>
      <c r="BJ2436" s="1539"/>
      <c r="BK2436" s="1539"/>
      <c r="BL2436" s="1539"/>
      <c r="BM2436" s="1539"/>
      <c r="BN2436" s="1539"/>
      <c r="BO2436" s="1539"/>
      <c r="BP2436" s="1539"/>
      <c r="BQ2436" s="1539"/>
      <c r="BR2436" s="1539"/>
      <c r="BS2436" s="1539"/>
      <c r="BT2436" s="1539"/>
      <c r="BU2436" s="1539"/>
      <c r="BV2436" s="1539"/>
      <c r="BW2436" s="1539"/>
      <c r="BX2436" s="1539"/>
      <c r="BY2436" s="1539"/>
      <c r="BZ2436" s="1539"/>
      <c r="CA2436" s="1539"/>
      <c r="CB2436" s="1539"/>
      <c r="CC2436" s="1539"/>
      <c r="CD2436" s="1539"/>
      <c r="CE2436" s="1539"/>
      <c r="CF2436" s="1539"/>
      <c r="CG2436" s="1539"/>
      <c r="CH2436" s="1539"/>
      <c r="CI2436" s="1539"/>
      <c r="CJ2436" s="1539"/>
      <c r="CK2436" s="1539"/>
      <c r="CL2436" s="1539"/>
      <c r="CM2436" s="1539"/>
      <c r="CN2436" s="1539"/>
      <c r="CO2436" s="1539"/>
    </row>
    <row r="2437" spans="1:93" s="1542" customFormat="1" ht="15.5">
      <c r="A2437" s="1598">
        <v>12</v>
      </c>
      <c r="B2437" s="1599" t="s">
        <v>1978</v>
      </c>
      <c r="C2437" s="1643" t="e">
        <f>+SUMIF(#REF!,Final!A2437,#REF!)</f>
        <v>#REF!</v>
      </c>
      <c r="D2437" s="1597" t="e">
        <f>+SUMIF(#REF!,Final!A2437,#REF!)</f>
        <v>#REF!</v>
      </c>
      <c r="E2437" s="1643" t="e">
        <f>SUMIF(#REF!,Final!A2437,#REF!)</f>
        <v>#REF!</v>
      </c>
      <c r="F2437" s="1644" t="e">
        <f>SUMIF(#REF!,Final!A2437,#REF!)</f>
        <v>#REF!</v>
      </c>
      <c r="G2437" s="1597" t="e">
        <f t="shared" si="252"/>
        <v>#REF!</v>
      </c>
      <c r="H2437" s="1644" t="e">
        <f t="shared" si="253"/>
        <v>#REF!</v>
      </c>
      <c r="I2437" s="1597" t="e">
        <f t="shared" si="254"/>
        <v>#REF!</v>
      </c>
      <c r="J2437" s="1644" t="e">
        <f t="shared" si="255"/>
        <v>#REF!</v>
      </c>
      <c r="K2437" s="1539"/>
      <c r="L2437" s="1539"/>
      <c r="M2437" s="1545"/>
      <c r="N2437" s="1545"/>
      <c r="O2437" s="1539"/>
      <c r="P2437" s="1539"/>
      <c r="Q2437" s="1539"/>
      <c r="R2437" s="1539"/>
      <c r="S2437" s="1539"/>
      <c r="T2437" s="1539"/>
      <c r="U2437" s="1539"/>
      <c r="V2437" s="1539"/>
      <c r="W2437" s="1539"/>
      <c r="X2437" s="1539"/>
      <c r="Y2437" s="1539"/>
      <c r="Z2437" s="1539"/>
      <c r="AA2437" s="1539"/>
      <c r="AB2437" s="1539"/>
      <c r="AC2437" s="1539"/>
      <c r="AD2437" s="1539"/>
      <c r="AE2437" s="1539"/>
      <c r="AF2437" s="1539"/>
      <c r="AG2437" s="1539"/>
      <c r="AH2437" s="1539"/>
      <c r="AI2437" s="1539"/>
      <c r="AJ2437" s="1539"/>
      <c r="AK2437" s="1539"/>
      <c r="AL2437" s="1539"/>
      <c r="AM2437" s="1539"/>
      <c r="AN2437" s="1539"/>
      <c r="AO2437" s="1539"/>
      <c r="AP2437" s="1539"/>
      <c r="AQ2437" s="1539"/>
      <c r="AR2437" s="1539"/>
      <c r="AS2437" s="1539"/>
      <c r="AT2437" s="1539"/>
      <c r="AU2437" s="1539"/>
      <c r="AV2437" s="1539"/>
      <c r="AW2437" s="1539"/>
      <c r="AX2437" s="1539"/>
      <c r="AY2437" s="1539"/>
      <c r="AZ2437" s="1539"/>
      <c r="BA2437" s="1539"/>
      <c r="BB2437" s="1539"/>
      <c r="BC2437" s="1539"/>
      <c r="BD2437" s="1539"/>
      <c r="BE2437" s="1539"/>
      <c r="BF2437" s="1539"/>
      <c r="BG2437" s="1539"/>
      <c r="BH2437" s="1539"/>
      <c r="BI2437" s="1539"/>
      <c r="BJ2437" s="1539"/>
      <c r="BK2437" s="1539"/>
      <c r="BL2437" s="1539"/>
      <c r="BM2437" s="1539"/>
      <c r="BN2437" s="1539"/>
      <c r="BO2437" s="1539"/>
      <c r="BP2437" s="1539"/>
      <c r="BQ2437" s="1539"/>
      <c r="BR2437" s="1539"/>
      <c r="BS2437" s="1539"/>
      <c r="BT2437" s="1539"/>
      <c r="BU2437" s="1539"/>
      <c r="BV2437" s="1539"/>
      <c r="BW2437" s="1539"/>
      <c r="BX2437" s="1539"/>
      <c r="BY2437" s="1539"/>
      <c r="BZ2437" s="1539"/>
      <c r="CA2437" s="1539"/>
      <c r="CB2437" s="1539"/>
      <c r="CC2437" s="1539"/>
      <c r="CD2437" s="1539"/>
      <c r="CE2437" s="1539"/>
      <c r="CF2437" s="1539"/>
      <c r="CG2437" s="1539"/>
      <c r="CH2437" s="1539"/>
      <c r="CI2437" s="1539"/>
      <c r="CJ2437" s="1539"/>
      <c r="CK2437" s="1539"/>
      <c r="CL2437" s="1539"/>
      <c r="CM2437" s="1539"/>
      <c r="CN2437" s="1539"/>
      <c r="CO2437" s="1539"/>
    </row>
    <row r="2438" spans="1:93" s="1542" customFormat="1" ht="15.5">
      <c r="A2438" s="1598" t="s">
        <v>544</v>
      </c>
      <c r="B2438" s="1599" t="s">
        <v>1979</v>
      </c>
      <c r="C2438" s="1643" t="e">
        <f>+SUMIF(#REF!,Final!A2438,#REF!)</f>
        <v>#REF!</v>
      </c>
      <c r="D2438" s="1597" t="e">
        <f>+SUMIF(#REF!,Final!A2438,#REF!)</f>
        <v>#REF!</v>
      </c>
      <c r="E2438" s="1643" t="e">
        <f>SUMIF(#REF!,Final!A2438,#REF!)</f>
        <v>#REF!</v>
      </c>
      <c r="F2438" s="1644" t="e">
        <f>SUMIF(#REF!,Final!A2438,#REF!)</f>
        <v>#REF!</v>
      </c>
      <c r="G2438" s="1597" t="e">
        <f t="shared" ref="G2438:G2501" si="256">C2438+E2438</f>
        <v>#REF!</v>
      </c>
      <c r="H2438" s="1644" t="e">
        <f t="shared" ref="H2438:H2501" si="257">D2438+F2438</f>
        <v>#REF!</v>
      </c>
      <c r="I2438" s="1597" t="e">
        <f t="shared" ref="I2438:I2501" si="258">IF(G2438&gt;H2438,G2438-H2438,0)</f>
        <v>#REF!</v>
      </c>
      <c r="J2438" s="1644" t="e">
        <f t="shared" ref="J2438:J2501" si="259">IF(H2438&gt;G2438,H2438-G2438,0)</f>
        <v>#REF!</v>
      </c>
      <c r="K2438" s="1539"/>
      <c r="L2438" s="1539"/>
      <c r="M2438" s="1545"/>
      <c r="N2438" s="1545"/>
      <c r="O2438" s="1539"/>
      <c r="P2438" s="1539"/>
      <c r="Q2438" s="1539"/>
      <c r="R2438" s="1539"/>
      <c r="S2438" s="1539"/>
      <c r="T2438" s="1539"/>
      <c r="U2438" s="1539"/>
      <c r="V2438" s="1539"/>
      <c r="W2438" s="1539"/>
      <c r="X2438" s="1539"/>
      <c r="Y2438" s="1539"/>
      <c r="Z2438" s="1539"/>
      <c r="AA2438" s="1539"/>
      <c r="AB2438" s="1539"/>
      <c r="AC2438" s="1539"/>
      <c r="AD2438" s="1539"/>
      <c r="AE2438" s="1539"/>
      <c r="AF2438" s="1539"/>
      <c r="AG2438" s="1539"/>
      <c r="AH2438" s="1539"/>
      <c r="AI2438" s="1539"/>
      <c r="AJ2438" s="1539"/>
      <c r="AK2438" s="1539"/>
      <c r="AL2438" s="1539"/>
      <c r="AM2438" s="1539"/>
      <c r="AN2438" s="1539"/>
      <c r="AO2438" s="1539"/>
      <c r="AP2438" s="1539"/>
      <c r="AQ2438" s="1539"/>
      <c r="AR2438" s="1539"/>
      <c r="AS2438" s="1539"/>
      <c r="AT2438" s="1539"/>
      <c r="AU2438" s="1539"/>
      <c r="AV2438" s="1539"/>
      <c r="AW2438" s="1539"/>
      <c r="AX2438" s="1539"/>
      <c r="AY2438" s="1539"/>
      <c r="AZ2438" s="1539"/>
      <c r="BA2438" s="1539"/>
      <c r="BB2438" s="1539"/>
      <c r="BC2438" s="1539"/>
      <c r="BD2438" s="1539"/>
      <c r="BE2438" s="1539"/>
      <c r="BF2438" s="1539"/>
      <c r="BG2438" s="1539"/>
      <c r="BH2438" s="1539"/>
      <c r="BI2438" s="1539"/>
      <c r="BJ2438" s="1539"/>
      <c r="BK2438" s="1539"/>
      <c r="BL2438" s="1539"/>
      <c r="BM2438" s="1539"/>
      <c r="BN2438" s="1539"/>
      <c r="BO2438" s="1539"/>
      <c r="BP2438" s="1539"/>
      <c r="BQ2438" s="1539"/>
      <c r="BR2438" s="1539"/>
      <c r="BS2438" s="1539"/>
      <c r="BT2438" s="1539"/>
      <c r="BU2438" s="1539"/>
      <c r="BV2438" s="1539"/>
      <c r="BW2438" s="1539"/>
      <c r="BX2438" s="1539"/>
      <c r="BY2438" s="1539"/>
      <c r="BZ2438" s="1539"/>
      <c r="CA2438" s="1539"/>
      <c r="CB2438" s="1539"/>
      <c r="CC2438" s="1539"/>
      <c r="CD2438" s="1539"/>
      <c r="CE2438" s="1539"/>
      <c r="CF2438" s="1539"/>
      <c r="CG2438" s="1539"/>
      <c r="CH2438" s="1539"/>
      <c r="CI2438" s="1539"/>
      <c r="CJ2438" s="1539"/>
      <c r="CK2438" s="1539"/>
      <c r="CL2438" s="1539"/>
      <c r="CM2438" s="1539"/>
      <c r="CN2438" s="1539"/>
      <c r="CO2438" s="1539"/>
    </row>
    <row r="2439" spans="1:93" s="1542" customFormat="1" ht="15.5">
      <c r="A2439" s="1598" t="s">
        <v>1824</v>
      </c>
      <c r="B2439" s="1599" t="s">
        <v>3489</v>
      </c>
      <c r="C2439" s="1643" t="e">
        <f>+SUMIF(#REF!,Final!A2439,#REF!)</f>
        <v>#REF!</v>
      </c>
      <c r="D2439" s="1597" t="e">
        <f>+SUMIF(#REF!,Final!A2439,#REF!)</f>
        <v>#REF!</v>
      </c>
      <c r="E2439" s="1643" t="e">
        <f>SUMIF(#REF!,Final!A2439,#REF!)</f>
        <v>#REF!</v>
      </c>
      <c r="F2439" s="1644" t="e">
        <f>SUMIF(#REF!,Final!A2439,#REF!)</f>
        <v>#REF!</v>
      </c>
      <c r="G2439" s="1597" t="e">
        <f t="shared" si="256"/>
        <v>#REF!</v>
      </c>
      <c r="H2439" s="1644" t="e">
        <f t="shared" si="257"/>
        <v>#REF!</v>
      </c>
      <c r="I2439" s="1597" t="e">
        <f t="shared" si="258"/>
        <v>#REF!</v>
      </c>
      <c r="J2439" s="1644" t="e">
        <f t="shared" si="259"/>
        <v>#REF!</v>
      </c>
      <c r="K2439" s="1539"/>
      <c r="L2439" s="1539"/>
      <c r="M2439" s="1545"/>
      <c r="N2439" s="1545"/>
      <c r="O2439" s="1539"/>
      <c r="P2439" s="1539"/>
      <c r="Q2439" s="1539"/>
      <c r="R2439" s="1539"/>
      <c r="S2439" s="1539"/>
      <c r="T2439" s="1539"/>
      <c r="U2439" s="1539"/>
      <c r="V2439" s="1539"/>
      <c r="W2439" s="1539"/>
      <c r="X2439" s="1539"/>
      <c r="Y2439" s="1539"/>
      <c r="Z2439" s="1539"/>
      <c r="AA2439" s="1539"/>
      <c r="AB2439" s="1539"/>
      <c r="AC2439" s="1539"/>
      <c r="AD2439" s="1539"/>
      <c r="AE2439" s="1539"/>
      <c r="AF2439" s="1539"/>
      <c r="AG2439" s="1539"/>
      <c r="AH2439" s="1539"/>
      <c r="AI2439" s="1539"/>
      <c r="AJ2439" s="1539"/>
      <c r="AK2439" s="1539"/>
      <c r="AL2439" s="1539"/>
      <c r="AM2439" s="1539"/>
      <c r="AN2439" s="1539"/>
      <c r="AO2439" s="1539"/>
      <c r="AP2439" s="1539"/>
      <c r="AQ2439" s="1539"/>
      <c r="AR2439" s="1539"/>
      <c r="AS2439" s="1539"/>
      <c r="AT2439" s="1539"/>
      <c r="AU2439" s="1539"/>
      <c r="AV2439" s="1539"/>
      <c r="AW2439" s="1539"/>
      <c r="AX2439" s="1539"/>
      <c r="AY2439" s="1539"/>
      <c r="AZ2439" s="1539"/>
      <c r="BA2439" s="1539"/>
      <c r="BB2439" s="1539"/>
      <c r="BC2439" s="1539"/>
      <c r="BD2439" s="1539"/>
      <c r="BE2439" s="1539"/>
      <c r="BF2439" s="1539"/>
      <c r="BG2439" s="1539"/>
      <c r="BH2439" s="1539"/>
      <c r="BI2439" s="1539"/>
      <c r="BJ2439" s="1539"/>
      <c r="BK2439" s="1539"/>
      <c r="BL2439" s="1539"/>
      <c r="BM2439" s="1539"/>
      <c r="BN2439" s="1539"/>
      <c r="BO2439" s="1539"/>
      <c r="BP2439" s="1539"/>
      <c r="BQ2439" s="1539"/>
      <c r="BR2439" s="1539"/>
      <c r="BS2439" s="1539"/>
      <c r="BT2439" s="1539"/>
      <c r="BU2439" s="1539"/>
      <c r="BV2439" s="1539"/>
      <c r="BW2439" s="1539"/>
      <c r="BX2439" s="1539"/>
      <c r="BY2439" s="1539"/>
      <c r="BZ2439" s="1539"/>
      <c r="CA2439" s="1539"/>
      <c r="CB2439" s="1539"/>
      <c r="CC2439" s="1539"/>
      <c r="CD2439" s="1539"/>
      <c r="CE2439" s="1539"/>
      <c r="CF2439" s="1539"/>
      <c r="CG2439" s="1539"/>
      <c r="CH2439" s="1539"/>
      <c r="CI2439" s="1539"/>
      <c r="CJ2439" s="1539"/>
      <c r="CK2439" s="1539"/>
      <c r="CL2439" s="1539"/>
      <c r="CM2439" s="1539"/>
      <c r="CN2439" s="1539"/>
      <c r="CO2439" s="1539"/>
    </row>
    <row r="2440" spans="1:93" ht="15.5">
      <c r="A2440" s="1598">
        <v>53.73</v>
      </c>
      <c r="B2440" s="1599" t="s">
        <v>3493</v>
      </c>
      <c r="C2440" s="1643" t="e">
        <f>+SUMIF(#REF!,Final!A2440,#REF!)</f>
        <v>#REF!</v>
      </c>
      <c r="D2440" s="1597" t="e">
        <f>+SUMIF(#REF!,Final!A2440,#REF!)</f>
        <v>#REF!</v>
      </c>
      <c r="E2440" s="1643" t="e">
        <f>SUMIF(#REF!,Final!A2440,#REF!)</f>
        <v>#REF!</v>
      </c>
      <c r="F2440" s="1644" t="e">
        <f>SUMIF(#REF!,Final!A2440,#REF!)</f>
        <v>#REF!</v>
      </c>
      <c r="G2440" s="1597" t="e">
        <f t="shared" si="256"/>
        <v>#REF!</v>
      </c>
      <c r="H2440" s="1644" t="e">
        <f t="shared" si="257"/>
        <v>#REF!</v>
      </c>
      <c r="I2440" s="1597" t="e">
        <f t="shared" si="258"/>
        <v>#REF!</v>
      </c>
      <c r="J2440" s="1644" t="e">
        <f t="shared" si="259"/>
        <v>#REF!</v>
      </c>
      <c r="M2440" s="1545"/>
      <c r="N2440" s="1545"/>
    </row>
    <row r="2441" spans="1:93" s="1552" customFormat="1" ht="15.5">
      <c r="A2441" s="1598"/>
      <c r="B2441" s="1599" t="s">
        <v>1747</v>
      </c>
      <c r="C2441" s="1643" t="e">
        <f>+SUMIF(#REF!,Final!A2441,#REF!)</f>
        <v>#REF!</v>
      </c>
      <c r="D2441" s="1597" t="e">
        <f>+SUMIF(#REF!,Final!A2441,#REF!)</f>
        <v>#REF!</v>
      </c>
      <c r="E2441" s="1643" t="e">
        <f>SUMIF(#REF!,Final!A2441,#REF!)</f>
        <v>#REF!</v>
      </c>
      <c r="F2441" s="1644" t="e">
        <f>SUMIF(#REF!,Final!A2441,#REF!)</f>
        <v>#REF!</v>
      </c>
      <c r="G2441" s="1597" t="e">
        <f t="shared" si="256"/>
        <v>#REF!</v>
      </c>
      <c r="H2441" s="1644" t="e">
        <f t="shared" si="257"/>
        <v>#REF!</v>
      </c>
      <c r="I2441" s="1597" t="e">
        <f t="shared" si="258"/>
        <v>#REF!</v>
      </c>
      <c r="J2441" s="1644" t="e">
        <f t="shared" si="259"/>
        <v>#REF!</v>
      </c>
      <c r="K2441" s="1539"/>
      <c r="L2441" s="1539"/>
      <c r="M2441" s="1545"/>
      <c r="N2441" s="1545"/>
      <c r="O2441" s="1539"/>
      <c r="P2441" s="1539"/>
      <c r="Q2441" s="1539"/>
      <c r="R2441" s="1539"/>
      <c r="S2441" s="1539"/>
      <c r="T2441" s="1539"/>
      <c r="U2441" s="1539"/>
      <c r="V2441" s="1539"/>
      <c r="W2441" s="1539"/>
      <c r="X2441" s="1539"/>
      <c r="Y2441" s="1539"/>
      <c r="Z2441" s="1539"/>
      <c r="AA2441" s="1539"/>
      <c r="AB2441" s="1539"/>
      <c r="AC2441" s="1539"/>
      <c r="AD2441" s="1539"/>
      <c r="AE2441" s="1539"/>
      <c r="AF2441" s="1539"/>
      <c r="AG2441" s="1539"/>
      <c r="AH2441" s="1539"/>
      <c r="AI2441" s="1539"/>
      <c r="AJ2441" s="1539"/>
      <c r="AK2441" s="1539"/>
      <c r="AL2441" s="1539"/>
      <c r="AM2441" s="1539"/>
      <c r="AN2441" s="1539"/>
      <c r="AO2441" s="1539"/>
      <c r="AP2441" s="1539"/>
      <c r="AQ2441" s="1539"/>
      <c r="AR2441" s="1539"/>
      <c r="AS2441" s="1539"/>
      <c r="AT2441" s="1539"/>
      <c r="AU2441" s="1539"/>
      <c r="AV2441" s="1539"/>
      <c r="AW2441" s="1539"/>
      <c r="AX2441" s="1539"/>
      <c r="AY2441" s="1539"/>
      <c r="AZ2441" s="1539"/>
      <c r="BA2441" s="1539"/>
      <c r="BB2441" s="1539"/>
      <c r="BC2441" s="1539"/>
      <c r="BD2441" s="1539"/>
      <c r="BE2441" s="1539"/>
      <c r="BF2441" s="1539"/>
      <c r="BG2441" s="1539"/>
      <c r="BH2441" s="1539"/>
      <c r="BI2441" s="1539"/>
      <c r="BJ2441" s="1539"/>
      <c r="BK2441" s="1539"/>
      <c r="BL2441" s="1539"/>
      <c r="BM2441" s="1539"/>
      <c r="BN2441" s="1539"/>
      <c r="BO2441" s="1539"/>
      <c r="BP2441" s="1539"/>
      <c r="BQ2441" s="1539"/>
      <c r="BR2441" s="1539"/>
      <c r="BS2441" s="1539"/>
      <c r="BT2441" s="1539"/>
      <c r="BU2441" s="1539"/>
      <c r="BV2441" s="1539"/>
      <c r="BW2441" s="1539"/>
      <c r="BX2441" s="1539"/>
      <c r="BY2441" s="1539"/>
      <c r="BZ2441" s="1539"/>
      <c r="CA2441" s="1539"/>
      <c r="CB2441" s="1539"/>
      <c r="CC2441" s="1539"/>
      <c r="CD2441" s="1539"/>
      <c r="CE2441" s="1539"/>
      <c r="CF2441" s="1539"/>
      <c r="CG2441" s="1539"/>
      <c r="CH2441" s="1539"/>
      <c r="CI2441" s="1539"/>
      <c r="CJ2441" s="1539"/>
      <c r="CK2441" s="1539"/>
      <c r="CL2441" s="1539"/>
      <c r="CM2441" s="1539"/>
      <c r="CN2441" s="1539"/>
      <c r="CO2441" s="1539"/>
    </row>
    <row r="2442" spans="1:93" s="1552" customFormat="1" ht="15.5">
      <c r="A2442" s="1598"/>
      <c r="B2442" s="1599" t="s">
        <v>1760</v>
      </c>
      <c r="C2442" s="1643" t="e">
        <f>+SUMIF(#REF!,Final!A2442,#REF!)</f>
        <v>#REF!</v>
      </c>
      <c r="D2442" s="1597" t="e">
        <f>+SUMIF(#REF!,Final!A2442,#REF!)</f>
        <v>#REF!</v>
      </c>
      <c r="E2442" s="1643" t="e">
        <f>SUMIF(#REF!,Final!A2442,#REF!)</f>
        <v>#REF!</v>
      </c>
      <c r="F2442" s="1644" t="e">
        <f>SUMIF(#REF!,Final!A2442,#REF!)</f>
        <v>#REF!</v>
      </c>
      <c r="G2442" s="1597" t="e">
        <f t="shared" si="256"/>
        <v>#REF!</v>
      </c>
      <c r="H2442" s="1644" t="e">
        <f t="shared" si="257"/>
        <v>#REF!</v>
      </c>
      <c r="I2442" s="1597" t="e">
        <f t="shared" si="258"/>
        <v>#REF!</v>
      </c>
      <c r="J2442" s="1644" t="e">
        <f t="shared" si="259"/>
        <v>#REF!</v>
      </c>
      <c r="K2442" s="1539"/>
      <c r="L2442" s="1539"/>
      <c r="M2442" s="1545"/>
      <c r="N2442" s="1545"/>
      <c r="O2442" s="1539"/>
      <c r="P2442" s="1539"/>
      <c r="Q2442" s="1539"/>
      <c r="R2442" s="1539"/>
      <c r="S2442" s="1539"/>
      <c r="T2442" s="1539"/>
      <c r="U2442" s="1539"/>
      <c r="V2442" s="1539"/>
      <c r="W2442" s="1539"/>
      <c r="X2442" s="1539"/>
      <c r="Y2442" s="1539"/>
      <c r="Z2442" s="1539"/>
      <c r="AA2442" s="1539"/>
      <c r="AB2442" s="1539"/>
      <c r="AC2442" s="1539"/>
      <c r="AD2442" s="1539"/>
      <c r="AE2442" s="1539"/>
      <c r="AF2442" s="1539"/>
      <c r="AG2442" s="1539"/>
      <c r="AH2442" s="1539"/>
      <c r="AI2442" s="1539"/>
      <c r="AJ2442" s="1539"/>
      <c r="AK2442" s="1539"/>
      <c r="AL2442" s="1539"/>
      <c r="AM2442" s="1539"/>
      <c r="AN2442" s="1539"/>
      <c r="AO2442" s="1539"/>
      <c r="AP2442" s="1539"/>
      <c r="AQ2442" s="1539"/>
      <c r="AR2442" s="1539"/>
      <c r="AS2442" s="1539"/>
      <c r="AT2442" s="1539"/>
      <c r="AU2442" s="1539"/>
      <c r="AV2442" s="1539"/>
      <c r="AW2442" s="1539"/>
      <c r="AX2442" s="1539"/>
      <c r="AY2442" s="1539"/>
      <c r="AZ2442" s="1539"/>
      <c r="BA2442" s="1539"/>
      <c r="BB2442" s="1539"/>
      <c r="BC2442" s="1539"/>
      <c r="BD2442" s="1539"/>
      <c r="BE2442" s="1539"/>
      <c r="BF2442" s="1539"/>
      <c r="BG2442" s="1539"/>
      <c r="BH2442" s="1539"/>
      <c r="BI2442" s="1539"/>
      <c r="BJ2442" s="1539"/>
      <c r="BK2442" s="1539"/>
      <c r="BL2442" s="1539"/>
      <c r="BM2442" s="1539"/>
      <c r="BN2442" s="1539"/>
      <c r="BO2442" s="1539"/>
      <c r="BP2442" s="1539"/>
      <c r="BQ2442" s="1539"/>
      <c r="BR2442" s="1539"/>
      <c r="BS2442" s="1539"/>
      <c r="BT2442" s="1539"/>
      <c r="BU2442" s="1539"/>
      <c r="BV2442" s="1539"/>
      <c r="BW2442" s="1539"/>
      <c r="BX2442" s="1539"/>
      <c r="BY2442" s="1539"/>
      <c r="BZ2442" s="1539"/>
      <c r="CA2442" s="1539"/>
      <c r="CB2442" s="1539"/>
      <c r="CC2442" s="1539"/>
      <c r="CD2442" s="1539"/>
      <c r="CE2442" s="1539"/>
      <c r="CF2442" s="1539"/>
      <c r="CG2442" s="1539"/>
      <c r="CH2442" s="1539"/>
      <c r="CI2442" s="1539"/>
      <c r="CJ2442" s="1539"/>
      <c r="CK2442" s="1539"/>
      <c r="CL2442" s="1539"/>
      <c r="CM2442" s="1539"/>
      <c r="CN2442" s="1539"/>
      <c r="CO2442" s="1539"/>
    </row>
    <row r="2443" spans="1:93" s="1542" customFormat="1" ht="15.5">
      <c r="A2443" s="1598">
        <v>18</v>
      </c>
      <c r="B2443" s="1599" t="s">
        <v>3460</v>
      </c>
      <c r="C2443" s="1643" t="e">
        <f>+SUMIF(#REF!,Final!A2443,#REF!)</f>
        <v>#REF!</v>
      </c>
      <c r="D2443" s="1597" t="e">
        <f>+SUMIF(#REF!,Final!A2443,#REF!)</f>
        <v>#REF!</v>
      </c>
      <c r="E2443" s="1643" t="e">
        <f>SUMIF(#REF!,Final!A2443,#REF!)</f>
        <v>#REF!</v>
      </c>
      <c r="F2443" s="1644" t="e">
        <f>SUMIF(#REF!,Final!A2443,#REF!)</f>
        <v>#REF!</v>
      </c>
      <c r="G2443" s="1597" t="e">
        <f t="shared" si="256"/>
        <v>#REF!</v>
      </c>
      <c r="H2443" s="1644" t="e">
        <f t="shared" si="257"/>
        <v>#REF!</v>
      </c>
      <c r="I2443" s="1597" t="e">
        <f t="shared" si="258"/>
        <v>#REF!</v>
      </c>
      <c r="J2443" s="1644" t="e">
        <f t="shared" si="259"/>
        <v>#REF!</v>
      </c>
      <c r="K2443" s="1539"/>
      <c r="L2443" s="1539"/>
      <c r="M2443" s="1545"/>
      <c r="N2443" s="1545"/>
      <c r="O2443" s="1539"/>
      <c r="P2443" s="1539"/>
      <c r="Q2443" s="1539"/>
      <c r="R2443" s="1539"/>
      <c r="S2443" s="1539"/>
      <c r="T2443" s="1539"/>
      <c r="U2443" s="1539"/>
      <c r="V2443" s="1539"/>
      <c r="W2443" s="1539"/>
      <c r="X2443" s="1539"/>
      <c r="Y2443" s="1539"/>
      <c r="Z2443" s="1539"/>
      <c r="AA2443" s="1539"/>
      <c r="AB2443" s="1539"/>
      <c r="AC2443" s="1539"/>
      <c r="AD2443" s="1539"/>
      <c r="AE2443" s="1539"/>
      <c r="AF2443" s="1539"/>
      <c r="AG2443" s="1539"/>
      <c r="AH2443" s="1539"/>
      <c r="AI2443" s="1539"/>
      <c r="AJ2443" s="1539"/>
      <c r="AK2443" s="1539"/>
      <c r="AL2443" s="1539"/>
      <c r="AM2443" s="1539"/>
      <c r="AN2443" s="1539"/>
      <c r="AO2443" s="1539"/>
      <c r="AP2443" s="1539"/>
      <c r="AQ2443" s="1539"/>
      <c r="AR2443" s="1539"/>
      <c r="AS2443" s="1539"/>
      <c r="AT2443" s="1539"/>
      <c r="AU2443" s="1539"/>
      <c r="AV2443" s="1539"/>
      <c r="AW2443" s="1539"/>
      <c r="AX2443" s="1539"/>
      <c r="AY2443" s="1539"/>
      <c r="AZ2443" s="1539"/>
      <c r="BA2443" s="1539"/>
      <c r="BB2443" s="1539"/>
      <c r="BC2443" s="1539"/>
      <c r="BD2443" s="1539"/>
      <c r="BE2443" s="1539"/>
      <c r="BF2443" s="1539"/>
      <c r="BG2443" s="1539"/>
      <c r="BH2443" s="1539"/>
      <c r="BI2443" s="1539"/>
      <c r="BJ2443" s="1539"/>
      <c r="BK2443" s="1539"/>
      <c r="BL2443" s="1539"/>
      <c r="BM2443" s="1539"/>
      <c r="BN2443" s="1539"/>
      <c r="BO2443" s="1539"/>
      <c r="BP2443" s="1539"/>
      <c r="BQ2443" s="1539"/>
      <c r="BR2443" s="1539"/>
      <c r="BS2443" s="1539"/>
      <c r="BT2443" s="1539"/>
      <c r="BU2443" s="1539"/>
      <c r="BV2443" s="1539"/>
      <c r="BW2443" s="1539"/>
      <c r="BX2443" s="1539"/>
      <c r="BY2443" s="1539"/>
      <c r="BZ2443" s="1539"/>
      <c r="CA2443" s="1539"/>
      <c r="CB2443" s="1539"/>
      <c r="CC2443" s="1539"/>
      <c r="CD2443" s="1539"/>
      <c r="CE2443" s="1539"/>
      <c r="CF2443" s="1539"/>
      <c r="CG2443" s="1539"/>
      <c r="CH2443" s="1539"/>
      <c r="CI2443" s="1539"/>
      <c r="CJ2443" s="1539"/>
      <c r="CK2443" s="1539"/>
      <c r="CL2443" s="1539"/>
      <c r="CM2443" s="1539"/>
      <c r="CN2443" s="1539"/>
      <c r="CO2443" s="1539"/>
    </row>
    <row r="2444" spans="1:93" s="1542" customFormat="1" ht="15.5">
      <c r="A2444" s="1598" t="s">
        <v>1815</v>
      </c>
      <c r="B2444" s="1599" t="s">
        <v>3480</v>
      </c>
      <c r="C2444" s="1643" t="e">
        <f>+SUMIF(#REF!,Final!A2444,#REF!)</f>
        <v>#REF!</v>
      </c>
      <c r="D2444" s="1597" t="e">
        <f>+SUMIF(#REF!,Final!A2444,#REF!)</f>
        <v>#REF!</v>
      </c>
      <c r="E2444" s="1643" t="e">
        <f>SUMIF(#REF!,Final!A2444,#REF!)</f>
        <v>#REF!</v>
      </c>
      <c r="F2444" s="1644" t="e">
        <f>SUMIF(#REF!,Final!A2444,#REF!)</f>
        <v>#REF!</v>
      </c>
      <c r="G2444" s="1597" t="e">
        <f t="shared" si="256"/>
        <v>#REF!</v>
      </c>
      <c r="H2444" s="1644" t="e">
        <f t="shared" si="257"/>
        <v>#REF!</v>
      </c>
      <c r="I2444" s="1597" t="e">
        <f t="shared" si="258"/>
        <v>#REF!</v>
      </c>
      <c r="J2444" s="1644" t="e">
        <f t="shared" si="259"/>
        <v>#REF!</v>
      </c>
      <c r="K2444" s="1539"/>
      <c r="L2444" s="1539"/>
      <c r="M2444" s="1545"/>
      <c r="N2444" s="1545"/>
      <c r="O2444" s="1539"/>
      <c r="P2444" s="1539"/>
      <c r="Q2444" s="1539"/>
      <c r="R2444" s="1539"/>
      <c r="S2444" s="1539"/>
      <c r="T2444" s="1539"/>
      <c r="U2444" s="1539"/>
      <c r="V2444" s="1539"/>
      <c r="W2444" s="1539"/>
      <c r="X2444" s="1539"/>
      <c r="Y2444" s="1539"/>
      <c r="Z2444" s="1539"/>
      <c r="AA2444" s="1539"/>
      <c r="AB2444" s="1539"/>
      <c r="AC2444" s="1539"/>
      <c r="AD2444" s="1539"/>
      <c r="AE2444" s="1539"/>
      <c r="AF2444" s="1539"/>
      <c r="AG2444" s="1539"/>
      <c r="AH2444" s="1539"/>
      <c r="AI2444" s="1539"/>
      <c r="AJ2444" s="1539"/>
      <c r="AK2444" s="1539"/>
      <c r="AL2444" s="1539"/>
      <c r="AM2444" s="1539"/>
      <c r="AN2444" s="1539"/>
      <c r="AO2444" s="1539"/>
      <c r="AP2444" s="1539"/>
      <c r="AQ2444" s="1539"/>
      <c r="AR2444" s="1539"/>
      <c r="AS2444" s="1539"/>
      <c r="AT2444" s="1539"/>
      <c r="AU2444" s="1539"/>
      <c r="AV2444" s="1539"/>
      <c r="AW2444" s="1539"/>
      <c r="AX2444" s="1539"/>
      <c r="AY2444" s="1539"/>
      <c r="AZ2444" s="1539"/>
      <c r="BA2444" s="1539"/>
      <c r="BB2444" s="1539"/>
      <c r="BC2444" s="1539"/>
      <c r="BD2444" s="1539"/>
      <c r="BE2444" s="1539"/>
      <c r="BF2444" s="1539"/>
      <c r="BG2444" s="1539"/>
      <c r="BH2444" s="1539"/>
      <c r="BI2444" s="1539"/>
      <c r="BJ2444" s="1539"/>
      <c r="BK2444" s="1539"/>
      <c r="BL2444" s="1539"/>
      <c r="BM2444" s="1539"/>
      <c r="BN2444" s="1539"/>
      <c r="BO2444" s="1539"/>
      <c r="BP2444" s="1539"/>
      <c r="BQ2444" s="1539"/>
      <c r="BR2444" s="1539"/>
      <c r="BS2444" s="1539"/>
      <c r="BT2444" s="1539"/>
      <c r="BU2444" s="1539"/>
      <c r="BV2444" s="1539"/>
      <c r="BW2444" s="1539"/>
      <c r="BX2444" s="1539"/>
      <c r="BY2444" s="1539"/>
      <c r="BZ2444" s="1539"/>
      <c r="CA2444" s="1539"/>
      <c r="CB2444" s="1539"/>
      <c r="CC2444" s="1539"/>
      <c r="CD2444" s="1539"/>
      <c r="CE2444" s="1539"/>
      <c r="CF2444" s="1539"/>
      <c r="CG2444" s="1539"/>
      <c r="CH2444" s="1539"/>
      <c r="CI2444" s="1539"/>
      <c r="CJ2444" s="1539"/>
      <c r="CK2444" s="1539"/>
      <c r="CL2444" s="1539"/>
      <c r="CM2444" s="1539"/>
      <c r="CN2444" s="1539"/>
      <c r="CO2444" s="1539"/>
    </row>
    <row r="2445" spans="1:93" ht="15.5">
      <c r="A2445" s="1598">
        <v>53.798000000000002</v>
      </c>
      <c r="B2445" s="1599" t="s">
        <v>1769</v>
      </c>
      <c r="C2445" s="1643" t="e">
        <f>+SUMIF(#REF!,Final!A2445,#REF!)</f>
        <v>#REF!</v>
      </c>
      <c r="D2445" s="1597" t="e">
        <f>+SUMIF(#REF!,Final!A2445,#REF!)</f>
        <v>#REF!</v>
      </c>
      <c r="E2445" s="1643" t="e">
        <f>SUMIF(#REF!,Final!A2445,#REF!)</f>
        <v>#REF!</v>
      </c>
      <c r="F2445" s="1644" t="e">
        <f>SUMIF(#REF!,Final!A2445,#REF!)</f>
        <v>#REF!</v>
      </c>
      <c r="G2445" s="1597" t="e">
        <f t="shared" si="256"/>
        <v>#REF!</v>
      </c>
      <c r="H2445" s="1644" t="e">
        <f t="shared" si="257"/>
        <v>#REF!</v>
      </c>
      <c r="I2445" s="1597" t="e">
        <f t="shared" si="258"/>
        <v>#REF!</v>
      </c>
      <c r="J2445" s="1644" t="e">
        <f t="shared" si="259"/>
        <v>#REF!</v>
      </c>
      <c r="M2445" s="1545"/>
      <c r="N2445" s="1545"/>
    </row>
    <row r="2446" spans="1:93" s="1544" customFormat="1" ht="15.5">
      <c r="A2446" s="1598">
        <v>53.795999999999999</v>
      </c>
      <c r="B2446" s="1599" t="s">
        <v>3494</v>
      </c>
      <c r="C2446" s="1643" t="e">
        <f>+SUMIF(#REF!,Final!A2446,#REF!)</f>
        <v>#REF!</v>
      </c>
      <c r="D2446" s="1597" t="e">
        <f>+SUMIF(#REF!,Final!A2446,#REF!)</f>
        <v>#REF!</v>
      </c>
      <c r="E2446" s="1643" t="e">
        <f>SUMIF(#REF!,Final!A2446,#REF!)</f>
        <v>#REF!</v>
      </c>
      <c r="F2446" s="1644" t="e">
        <f>SUMIF(#REF!,Final!A2446,#REF!)</f>
        <v>#REF!</v>
      </c>
      <c r="G2446" s="1597" t="e">
        <f t="shared" si="256"/>
        <v>#REF!</v>
      </c>
      <c r="H2446" s="1644" t="e">
        <f t="shared" si="257"/>
        <v>#REF!</v>
      </c>
      <c r="I2446" s="1597" t="e">
        <f t="shared" si="258"/>
        <v>#REF!</v>
      </c>
      <c r="J2446" s="1644" t="e">
        <f t="shared" si="259"/>
        <v>#REF!</v>
      </c>
      <c r="K2446" s="1539"/>
      <c r="L2446" s="1539"/>
      <c r="M2446" s="1545"/>
      <c r="N2446" s="1545"/>
      <c r="O2446" s="1539"/>
      <c r="P2446" s="1539"/>
      <c r="Q2446" s="1539"/>
      <c r="R2446" s="1539"/>
      <c r="S2446" s="1539"/>
      <c r="T2446" s="1539"/>
      <c r="U2446" s="1539"/>
      <c r="V2446" s="1539"/>
      <c r="W2446" s="1539"/>
      <c r="X2446" s="1539"/>
      <c r="Y2446" s="1539"/>
      <c r="Z2446" s="1539"/>
      <c r="AA2446" s="1539"/>
      <c r="AB2446" s="1539"/>
      <c r="AC2446" s="1539"/>
      <c r="AD2446" s="1539"/>
      <c r="AE2446" s="1539"/>
      <c r="AF2446" s="1539"/>
      <c r="AG2446" s="1539"/>
      <c r="AH2446" s="1539"/>
      <c r="AI2446" s="1539"/>
      <c r="AJ2446" s="1539"/>
      <c r="AK2446" s="1539"/>
      <c r="AL2446" s="1539"/>
      <c r="AM2446" s="1539"/>
      <c r="AN2446" s="1539"/>
      <c r="AO2446" s="1539"/>
      <c r="AP2446" s="1539"/>
      <c r="AQ2446" s="1539"/>
      <c r="AR2446" s="1539"/>
      <c r="AS2446" s="1539"/>
      <c r="AT2446" s="1539"/>
      <c r="AU2446" s="1539"/>
      <c r="AV2446" s="1539"/>
      <c r="AW2446" s="1539"/>
      <c r="AX2446" s="1539"/>
      <c r="AY2446" s="1539"/>
      <c r="AZ2446" s="1539"/>
      <c r="BA2446" s="1539"/>
      <c r="BB2446" s="1539"/>
      <c r="BC2446" s="1539"/>
      <c r="BD2446" s="1539"/>
      <c r="BE2446" s="1539"/>
      <c r="BF2446" s="1539"/>
      <c r="BG2446" s="1539"/>
      <c r="BH2446" s="1539"/>
      <c r="BI2446" s="1539"/>
      <c r="BJ2446" s="1539"/>
      <c r="BK2446" s="1539"/>
      <c r="BL2446" s="1539"/>
      <c r="BM2446" s="1539"/>
      <c r="BN2446" s="1539"/>
      <c r="BO2446" s="1539"/>
      <c r="BP2446" s="1539"/>
      <c r="BQ2446" s="1539"/>
      <c r="BR2446" s="1539"/>
      <c r="BS2446" s="1539"/>
      <c r="BT2446" s="1539"/>
      <c r="BU2446" s="1539"/>
      <c r="BV2446" s="1539"/>
      <c r="BW2446" s="1539"/>
      <c r="BX2446" s="1539"/>
      <c r="BY2446" s="1539"/>
      <c r="BZ2446" s="1539"/>
      <c r="CA2446" s="1539"/>
      <c r="CB2446" s="1539"/>
      <c r="CC2446" s="1539"/>
      <c r="CD2446" s="1539"/>
      <c r="CE2446" s="1539"/>
      <c r="CF2446" s="1539"/>
      <c r="CG2446" s="1539"/>
      <c r="CH2446" s="1539"/>
      <c r="CI2446" s="1539"/>
      <c r="CJ2446" s="1539"/>
      <c r="CK2446" s="1539"/>
      <c r="CL2446" s="1539"/>
      <c r="CM2446" s="1539"/>
      <c r="CN2446" s="1539"/>
      <c r="CO2446" s="1539"/>
    </row>
    <row r="2447" spans="1:93" s="1544" customFormat="1" ht="15.5">
      <c r="A2447" s="1598">
        <v>53.796999999999997</v>
      </c>
      <c r="B2447" s="1599" t="s">
        <v>1764</v>
      </c>
      <c r="C2447" s="1643" t="e">
        <f>+SUMIF(#REF!,Final!A2447,#REF!)</f>
        <v>#REF!</v>
      </c>
      <c r="D2447" s="1597" t="e">
        <f>+SUMIF(#REF!,Final!A2447,#REF!)</f>
        <v>#REF!</v>
      </c>
      <c r="E2447" s="1643" t="e">
        <f>SUMIF(#REF!,Final!A2447,#REF!)</f>
        <v>#REF!</v>
      </c>
      <c r="F2447" s="1644" t="e">
        <f>SUMIF(#REF!,Final!A2447,#REF!)</f>
        <v>#REF!</v>
      </c>
      <c r="G2447" s="1597" t="e">
        <f t="shared" si="256"/>
        <v>#REF!</v>
      </c>
      <c r="H2447" s="1644" t="e">
        <f t="shared" si="257"/>
        <v>#REF!</v>
      </c>
      <c r="I2447" s="1597" t="e">
        <f t="shared" si="258"/>
        <v>#REF!</v>
      </c>
      <c r="J2447" s="1644" t="e">
        <f t="shared" si="259"/>
        <v>#REF!</v>
      </c>
      <c r="K2447" s="1539"/>
      <c r="L2447" s="1539"/>
      <c r="M2447" s="1545"/>
      <c r="N2447" s="1545"/>
      <c r="O2447" s="1539"/>
      <c r="P2447" s="1539"/>
      <c r="Q2447" s="1539"/>
      <c r="R2447" s="1539"/>
      <c r="S2447" s="1539"/>
      <c r="T2447" s="1539"/>
      <c r="U2447" s="1539"/>
      <c r="V2447" s="1539"/>
      <c r="W2447" s="1539"/>
      <c r="X2447" s="1539"/>
      <c r="Y2447" s="1539"/>
      <c r="Z2447" s="1539"/>
      <c r="AA2447" s="1539"/>
      <c r="AB2447" s="1539"/>
      <c r="AC2447" s="1539"/>
      <c r="AD2447" s="1539"/>
      <c r="AE2447" s="1539"/>
      <c r="AF2447" s="1539"/>
      <c r="AG2447" s="1539"/>
      <c r="AH2447" s="1539"/>
      <c r="AI2447" s="1539"/>
      <c r="AJ2447" s="1539"/>
      <c r="AK2447" s="1539"/>
      <c r="AL2447" s="1539"/>
      <c r="AM2447" s="1539"/>
      <c r="AN2447" s="1539"/>
      <c r="AO2447" s="1539"/>
      <c r="AP2447" s="1539"/>
      <c r="AQ2447" s="1539"/>
      <c r="AR2447" s="1539"/>
      <c r="AS2447" s="1539"/>
      <c r="AT2447" s="1539"/>
      <c r="AU2447" s="1539"/>
      <c r="AV2447" s="1539"/>
      <c r="AW2447" s="1539"/>
      <c r="AX2447" s="1539"/>
      <c r="AY2447" s="1539"/>
      <c r="AZ2447" s="1539"/>
      <c r="BA2447" s="1539"/>
      <c r="BB2447" s="1539"/>
      <c r="BC2447" s="1539"/>
      <c r="BD2447" s="1539"/>
      <c r="BE2447" s="1539"/>
      <c r="BF2447" s="1539"/>
      <c r="BG2447" s="1539"/>
      <c r="BH2447" s="1539"/>
      <c r="BI2447" s="1539"/>
      <c r="BJ2447" s="1539"/>
      <c r="BK2447" s="1539"/>
      <c r="BL2447" s="1539"/>
      <c r="BM2447" s="1539"/>
      <c r="BN2447" s="1539"/>
      <c r="BO2447" s="1539"/>
      <c r="BP2447" s="1539"/>
      <c r="BQ2447" s="1539"/>
      <c r="BR2447" s="1539"/>
      <c r="BS2447" s="1539"/>
      <c r="BT2447" s="1539"/>
      <c r="BU2447" s="1539"/>
      <c r="BV2447" s="1539"/>
      <c r="BW2447" s="1539"/>
      <c r="BX2447" s="1539"/>
      <c r="BY2447" s="1539"/>
      <c r="BZ2447" s="1539"/>
      <c r="CA2447" s="1539"/>
      <c r="CB2447" s="1539"/>
      <c r="CC2447" s="1539"/>
      <c r="CD2447" s="1539"/>
      <c r="CE2447" s="1539"/>
      <c r="CF2447" s="1539"/>
      <c r="CG2447" s="1539"/>
      <c r="CH2447" s="1539"/>
      <c r="CI2447" s="1539"/>
      <c r="CJ2447" s="1539"/>
      <c r="CK2447" s="1539"/>
      <c r="CL2447" s="1539"/>
      <c r="CM2447" s="1539"/>
      <c r="CN2447" s="1539"/>
      <c r="CO2447" s="1539"/>
    </row>
    <row r="2448" spans="1:93" ht="15.5">
      <c r="A2448" s="1598">
        <v>53.798999999999999</v>
      </c>
      <c r="B2448" s="1599" t="s">
        <v>1765</v>
      </c>
      <c r="C2448" s="1643" t="e">
        <f>+SUMIF(#REF!,Final!A2448,#REF!)</f>
        <v>#REF!</v>
      </c>
      <c r="D2448" s="1597" t="e">
        <f>+SUMIF(#REF!,Final!A2448,#REF!)</f>
        <v>#REF!</v>
      </c>
      <c r="E2448" s="1643" t="e">
        <f>SUMIF(#REF!,Final!A2448,#REF!)</f>
        <v>#REF!</v>
      </c>
      <c r="F2448" s="1644" t="e">
        <f>SUMIF(#REF!,Final!A2448,#REF!)</f>
        <v>#REF!</v>
      </c>
      <c r="G2448" s="1597" t="e">
        <f t="shared" si="256"/>
        <v>#REF!</v>
      </c>
      <c r="H2448" s="1644" t="e">
        <f t="shared" si="257"/>
        <v>#REF!</v>
      </c>
      <c r="I2448" s="1597" t="e">
        <f t="shared" si="258"/>
        <v>#REF!</v>
      </c>
      <c r="J2448" s="1644" t="e">
        <f t="shared" si="259"/>
        <v>#REF!</v>
      </c>
      <c r="M2448" s="1545"/>
      <c r="N2448" s="1545"/>
    </row>
    <row r="2449" spans="1:93" s="1552" customFormat="1" ht="15.5">
      <c r="A2449" s="1598"/>
      <c r="B2449" s="1599" t="s">
        <v>1747</v>
      </c>
      <c r="C2449" s="1643" t="e">
        <f>+SUMIF(#REF!,Final!A2449,#REF!)</f>
        <v>#REF!</v>
      </c>
      <c r="D2449" s="1597" t="e">
        <f>+SUMIF(#REF!,Final!A2449,#REF!)</f>
        <v>#REF!</v>
      </c>
      <c r="E2449" s="1643" t="e">
        <f>SUMIF(#REF!,Final!A2449,#REF!)</f>
        <v>#REF!</v>
      </c>
      <c r="F2449" s="1644" t="e">
        <f>SUMIF(#REF!,Final!A2449,#REF!)</f>
        <v>#REF!</v>
      </c>
      <c r="G2449" s="1597" t="e">
        <f t="shared" si="256"/>
        <v>#REF!</v>
      </c>
      <c r="H2449" s="1644" t="e">
        <f t="shared" si="257"/>
        <v>#REF!</v>
      </c>
      <c r="I2449" s="1597" t="e">
        <f t="shared" si="258"/>
        <v>#REF!</v>
      </c>
      <c r="J2449" s="1644" t="e">
        <f t="shared" si="259"/>
        <v>#REF!</v>
      </c>
      <c r="K2449" s="1539"/>
      <c r="L2449" s="1539"/>
      <c r="M2449" s="1545"/>
      <c r="N2449" s="1545"/>
      <c r="O2449" s="1539"/>
      <c r="P2449" s="1539"/>
      <c r="Q2449" s="1539"/>
      <c r="R2449" s="1539"/>
      <c r="S2449" s="1539"/>
      <c r="T2449" s="1539"/>
      <c r="U2449" s="1539"/>
      <c r="V2449" s="1539"/>
      <c r="W2449" s="1539"/>
      <c r="X2449" s="1539"/>
      <c r="Y2449" s="1539"/>
      <c r="Z2449" s="1539"/>
      <c r="AA2449" s="1539"/>
      <c r="AB2449" s="1539"/>
      <c r="AC2449" s="1539"/>
      <c r="AD2449" s="1539"/>
      <c r="AE2449" s="1539"/>
      <c r="AF2449" s="1539"/>
      <c r="AG2449" s="1539"/>
      <c r="AH2449" s="1539"/>
      <c r="AI2449" s="1539"/>
      <c r="AJ2449" s="1539"/>
      <c r="AK2449" s="1539"/>
      <c r="AL2449" s="1539"/>
      <c r="AM2449" s="1539"/>
      <c r="AN2449" s="1539"/>
      <c r="AO2449" s="1539"/>
      <c r="AP2449" s="1539"/>
      <c r="AQ2449" s="1539"/>
      <c r="AR2449" s="1539"/>
      <c r="AS2449" s="1539"/>
      <c r="AT2449" s="1539"/>
      <c r="AU2449" s="1539"/>
      <c r="AV2449" s="1539"/>
      <c r="AW2449" s="1539"/>
      <c r="AX2449" s="1539"/>
      <c r="AY2449" s="1539"/>
      <c r="AZ2449" s="1539"/>
      <c r="BA2449" s="1539"/>
      <c r="BB2449" s="1539"/>
      <c r="BC2449" s="1539"/>
      <c r="BD2449" s="1539"/>
      <c r="BE2449" s="1539"/>
      <c r="BF2449" s="1539"/>
      <c r="BG2449" s="1539"/>
      <c r="BH2449" s="1539"/>
      <c r="BI2449" s="1539"/>
      <c r="BJ2449" s="1539"/>
      <c r="BK2449" s="1539"/>
      <c r="BL2449" s="1539"/>
      <c r="BM2449" s="1539"/>
      <c r="BN2449" s="1539"/>
      <c r="BO2449" s="1539"/>
      <c r="BP2449" s="1539"/>
      <c r="BQ2449" s="1539"/>
      <c r="BR2449" s="1539"/>
      <c r="BS2449" s="1539"/>
      <c r="BT2449" s="1539"/>
      <c r="BU2449" s="1539"/>
      <c r="BV2449" s="1539"/>
      <c r="BW2449" s="1539"/>
      <c r="BX2449" s="1539"/>
      <c r="BY2449" s="1539"/>
      <c r="BZ2449" s="1539"/>
      <c r="CA2449" s="1539"/>
      <c r="CB2449" s="1539"/>
      <c r="CC2449" s="1539"/>
      <c r="CD2449" s="1539"/>
      <c r="CE2449" s="1539"/>
      <c r="CF2449" s="1539"/>
      <c r="CG2449" s="1539"/>
      <c r="CH2449" s="1539"/>
      <c r="CI2449" s="1539"/>
      <c r="CJ2449" s="1539"/>
      <c r="CK2449" s="1539"/>
      <c r="CL2449" s="1539"/>
      <c r="CM2449" s="1539"/>
      <c r="CN2449" s="1539"/>
      <c r="CO2449" s="1539"/>
    </row>
    <row r="2450" spans="1:93" s="1552" customFormat="1" ht="15.5">
      <c r="A2450" s="1598" t="s">
        <v>3464</v>
      </c>
      <c r="B2450" s="1599" t="s">
        <v>1760</v>
      </c>
      <c r="C2450" s="1643" t="e">
        <f>+SUMIF(#REF!,Final!A2450,#REF!)</f>
        <v>#REF!</v>
      </c>
      <c r="D2450" s="1597" t="e">
        <f>+SUMIF(#REF!,Final!A2450,#REF!)</f>
        <v>#REF!</v>
      </c>
      <c r="E2450" s="1643" t="e">
        <f>SUMIF(#REF!,Final!A2450,#REF!)</f>
        <v>#REF!</v>
      </c>
      <c r="F2450" s="1644" t="e">
        <f>SUMIF(#REF!,Final!A2450,#REF!)</f>
        <v>#REF!</v>
      </c>
      <c r="G2450" s="1597" t="e">
        <f t="shared" si="256"/>
        <v>#REF!</v>
      </c>
      <c r="H2450" s="1644" t="e">
        <f t="shared" si="257"/>
        <v>#REF!</v>
      </c>
      <c r="I2450" s="1597" t="e">
        <f t="shared" si="258"/>
        <v>#REF!</v>
      </c>
      <c r="J2450" s="1644" t="e">
        <f t="shared" si="259"/>
        <v>#REF!</v>
      </c>
      <c r="K2450" s="1539"/>
      <c r="L2450" s="1539"/>
      <c r="M2450" s="1545"/>
      <c r="N2450" s="1545"/>
      <c r="O2450" s="1539"/>
      <c r="P2450" s="1539"/>
      <c r="Q2450" s="1539"/>
      <c r="R2450" s="1539"/>
      <c r="S2450" s="1539"/>
      <c r="T2450" s="1539"/>
      <c r="U2450" s="1539"/>
      <c r="V2450" s="1539"/>
      <c r="W2450" s="1539"/>
      <c r="X2450" s="1539"/>
      <c r="Y2450" s="1539"/>
      <c r="Z2450" s="1539"/>
      <c r="AA2450" s="1539"/>
      <c r="AB2450" s="1539"/>
      <c r="AC2450" s="1539"/>
      <c r="AD2450" s="1539"/>
      <c r="AE2450" s="1539"/>
      <c r="AF2450" s="1539"/>
      <c r="AG2450" s="1539"/>
      <c r="AH2450" s="1539"/>
      <c r="AI2450" s="1539"/>
      <c r="AJ2450" s="1539"/>
      <c r="AK2450" s="1539"/>
      <c r="AL2450" s="1539"/>
      <c r="AM2450" s="1539"/>
      <c r="AN2450" s="1539"/>
      <c r="AO2450" s="1539"/>
      <c r="AP2450" s="1539"/>
      <c r="AQ2450" s="1539"/>
      <c r="AR2450" s="1539"/>
      <c r="AS2450" s="1539"/>
      <c r="AT2450" s="1539"/>
      <c r="AU2450" s="1539"/>
      <c r="AV2450" s="1539"/>
      <c r="AW2450" s="1539"/>
      <c r="AX2450" s="1539"/>
      <c r="AY2450" s="1539"/>
      <c r="AZ2450" s="1539"/>
      <c r="BA2450" s="1539"/>
      <c r="BB2450" s="1539"/>
      <c r="BC2450" s="1539"/>
      <c r="BD2450" s="1539"/>
      <c r="BE2450" s="1539"/>
      <c r="BF2450" s="1539"/>
      <c r="BG2450" s="1539"/>
      <c r="BH2450" s="1539"/>
      <c r="BI2450" s="1539"/>
      <c r="BJ2450" s="1539"/>
      <c r="BK2450" s="1539"/>
      <c r="BL2450" s="1539"/>
      <c r="BM2450" s="1539"/>
      <c r="BN2450" s="1539"/>
      <c r="BO2450" s="1539"/>
      <c r="BP2450" s="1539"/>
      <c r="BQ2450" s="1539"/>
      <c r="BR2450" s="1539"/>
      <c r="BS2450" s="1539"/>
      <c r="BT2450" s="1539"/>
      <c r="BU2450" s="1539"/>
      <c r="BV2450" s="1539"/>
      <c r="BW2450" s="1539"/>
      <c r="BX2450" s="1539"/>
      <c r="BY2450" s="1539"/>
      <c r="BZ2450" s="1539"/>
      <c r="CA2450" s="1539"/>
      <c r="CB2450" s="1539"/>
      <c r="CC2450" s="1539"/>
      <c r="CD2450" s="1539"/>
      <c r="CE2450" s="1539"/>
      <c r="CF2450" s="1539"/>
      <c r="CG2450" s="1539"/>
      <c r="CH2450" s="1539"/>
      <c r="CI2450" s="1539"/>
      <c r="CJ2450" s="1539"/>
      <c r="CK2450" s="1539"/>
      <c r="CL2450" s="1539"/>
      <c r="CM2450" s="1539"/>
      <c r="CN2450" s="1539"/>
      <c r="CO2450" s="1539"/>
    </row>
    <row r="2451" spans="1:93" s="1552" customFormat="1" ht="15.5">
      <c r="A2451" s="1598" t="s">
        <v>3464</v>
      </c>
      <c r="B2451" s="1599" t="s">
        <v>3495</v>
      </c>
      <c r="C2451" s="1643" t="e">
        <f>+SUMIF(#REF!,Final!A2451,#REF!)</f>
        <v>#REF!</v>
      </c>
      <c r="D2451" s="1597" t="e">
        <f>+SUMIF(#REF!,Final!A2451,#REF!)</f>
        <v>#REF!</v>
      </c>
      <c r="E2451" s="1643" t="e">
        <f>SUMIF(#REF!,Final!A2451,#REF!)</f>
        <v>#REF!</v>
      </c>
      <c r="F2451" s="1644" t="e">
        <f>SUMIF(#REF!,Final!A2451,#REF!)</f>
        <v>#REF!</v>
      </c>
      <c r="G2451" s="1597" t="e">
        <f t="shared" si="256"/>
        <v>#REF!</v>
      </c>
      <c r="H2451" s="1644" t="e">
        <f t="shared" si="257"/>
        <v>#REF!</v>
      </c>
      <c r="I2451" s="1597" t="e">
        <f t="shared" si="258"/>
        <v>#REF!</v>
      </c>
      <c r="J2451" s="1644" t="e">
        <f t="shared" si="259"/>
        <v>#REF!</v>
      </c>
      <c r="K2451" s="1539"/>
      <c r="L2451" s="1539"/>
      <c r="M2451" s="1545"/>
      <c r="N2451" s="1545"/>
      <c r="O2451" s="1539"/>
      <c r="P2451" s="1539"/>
      <c r="Q2451" s="1539"/>
      <c r="R2451" s="1539"/>
      <c r="S2451" s="1539"/>
      <c r="T2451" s="1539"/>
      <c r="U2451" s="1539"/>
      <c r="V2451" s="1539"/>
      <c r="W2451" s="1539"/>
      <c r="X2451" s="1539"/>
      <c r="Y2451" s="1539"/>
      <c r="Z2451" s="1539"/>
      <c r="AA2451" s="1539"/>
      <c r="AB2451" s="1539"/>
      <c r="AC2451" s="1539"/>
      <c r="AD2451" s="1539"/>
      <c r="AE2451" s="1539"/>
      <c r="AF2451" s="1539"/>
      <c r="AG2451" s="1539"/>
      <c r="AH2451" s="1539"/>
      <c r="AI2451" s="1539"/>
      <c r="AJ2451" s="1539"/>
      <c r="AK2451" s="1539"/>
      <c r="AL2451" s="1539"/>
      <c r="AM2451" s="1539"/>
      <c r="AN2451" s="1539"/>
      <c r="AO2451" s="1539"/>
      <c r="AP2451" s="1539"/>
      <c r="AQ2451" s="1539"/>
      <c r="AR2451" s="1539"/>
      <c r="AS2451" s="1539"/>
      <c r="AT2451" s="1539"/>
      <c r="AU2451" s="1539"/>
      <c r="AV2451" s="1539"/>
      <c r="AW2451" s="1539"/>
      <c r="AX2451" s="1539"/>
      <c r="AY2451" s="1539"/>
      <c r="AZ2451" s="1539"/>
      <c r="BA2451" s="1539"/>
      <c r="BB2451" s="1539"/>
      <c r="BC2451" s="1539"/>
      <c r="BD2451" s="1539"/>
      <c r="BE2451" s="1539"/>
      <c r="BF2451" s="1539"/>
      <c r="BG2451" s="1539"/>
      <c r="BH2451" s="1539"/>
      <c r="BI2451" s="1539"/>
      <c r="BJ2451" s="1539"/>
      <c r="BK2451" s="1539"/>
      <c r="BL2451" s="1539"/>
      <c r="BM2451" s="1539"/>
      <c r="BN2451" s="1539"/>
      <c r="BO2451" s="1539"/>
      <c r="BP2451" s="1539"/>
      <c r="BQ2451" s="1539"/>
      <c r="BR2451" s="1539"/>
      <c r="BS2451" s="1539"/>
      <c r="BT2451" s="1539"/>
      <c r="BU2451" s="1539"/>
      <c r="BV2451" s="1539"/>
      <c r="BW2451" s="1539"/>
      <c r="BX2451" s="1539"/>
      <c r="BY2451" s="1539"/>
      <c r="BZ2451" s="1539"/>
      <c r="CA2451" s="1539"/>
      <c r="CB2451" s="1539"/>
      <c r="CC2451" s="1539"/>
      <c r="CD2451" s="1539"/>
      <c r="CE2451" s="1539"/>
      <c r="CF2451" s="1539"/>
      <c r="CG2451" s="1539"/>
      <c r="CH2451" s="1539"/>
      <c r="CI2451" s="1539"/>
      <c r="CJ2451" s="1539"/>
      <c r="CK2451" s="1539"/>
      <c r="CL2451" s="1539"/>
      <c r="CM2451" s="1539"/>
      <c r="CN2451" s="1539"/>
      <c r="CO2451" s="1539"/>
    </row>
    <row r="2452" spans="1:93" s="1552" customFormat="1" ht="15.5">
      <c r="A2452" s="1598" t="s">
        <v>3496</v>
      </c>
      <c r="B2452" s="1599" t="s">
        <v>1909</v>
      </c>
      <c r="C2452" s="1643" t="e">
        <f>+SUMIF(#REF!,Final!A2452,#REF!)</f>
        <v>#REF!</v>
      </c>
      <c r="D2452" s="1597" t="e">
        <f>+SUMIF(#REF!,Final!A2452,#REF!)</f>
        <v>#REF!</v>
      </c>
      <c r="E2452" s="1643" t="e">
        <f>SUMIF(#REF!,Final!A2452,#REF!)</f>
        <v>#REF!</v>
      </c>
      <c r="F2452" s="1644" t="e">
        <f>SUMIF(#REF!,Final!A2452,#REF!)</f>
        <v>#REF!</v>
      </c>
      <c r="G2452" s="1597" t="e">
        <f t="shared" si="256"/>
        <v>#REF!</v>
      </c>
      <c r="H2452" s="1644" t="e">
        <f t="shared" si="257"/>
        <v>#REF!</v>
      </c>
      <c r="I2452" s="1597" t="e">
        <f t="shared" si="258"/>
        <v>#REF!</v>
      </c>
      <c r="J2452" s="1644" t="e">
        <f t="shared" si="259"/>
        <v>#REF!</v>
      </c>
      <c r="K2452" s="1539"/>
      <c r="L2452" s="1539"/>
      <c r="M2452" s="1545"/>
      <c r="N2452" s="1545"/>
      <c r="O2452" s="1539"/>
      <c r="P2452" s="1539"/>
      <c r="Q2452" s="1539"/>
      <c r="R2452" s="1539"/>
      <c r="S2452" s="1539"/>
      <c r="T2452" s="1539"/>
      <c r="U2452" s="1539"/>
      <c r="V2452" s="1539"/>
      <c r="W2452" s="1539"/>
      <c r="X2452" s="1539"/>
      <c r="Y2452" s="1539"/>
      <c r="Z2452" s="1539"/>
      <c r="AA2452" s="1539"/>
      <c r="AB2452" s="1539"/>
      <c r="AC2452" s="1539"/>
      <c r="AD2452" s="1539"/>
      <c r="AE2452" s="1539"/>
      <c r="AF2452" s="1539"/>
      <c r="AG2452" s="1539"/>
      <c r="AH2452" s="1539"/>
      <c r="AI2452" s="1539"/>
      <c r="AJ2452" s="1539"/>
      <c r="AK2452" s="1539"/>
      <c r="AL2452" s="1539"/>
      <c r="AM2452" s="1539"/>
      <c r="AN2452" s="1539"/>
      <c r="AO2452" s="1539"/>
      <c r="AP2452" s="1539"/>
      <c r="AQ2452" s="1539"/>
      <c r="AR2452" s="1539"/>
      <c r="AS2452" s="1539"/>
      <c r="AT2452" s="1539"/>
      <c r="AU2452" s="1539"/>
      <c r="AV2452" s="1539"/>
      <c r="AW2452" s="1539"/>
      <c r="AX2452" s="1539"/>
      <c r="AY2452" s="1539"/>
      <c r="AZ2452" s="1539"/>
      <c r="BA2452" s="1539"/>
      <c r="BB2452" s="1539"/>
      <c r="BC2452" s="1539"/>
      <c r="BD2452" s="1539"/>
      <c r="BE2452" s="1539"/>
      <c r="BF2452" s="1539"/>
      <c r="BG2452" s="1539"/>
      <c r="BH2452" s="1539"/>
      <c r="BI2452" s="1539"/>
      <c r="BJ2452" s="1539"/>
      <c r="BK2452" s="1539"/>
      <c r="BL2452" s="1539"/>
      <c r="BM2452" s="1539"/>
      <c r="BN2452" s="1539"/>
      <c r="BO2452" s="1539"/>
      <c r="BP2452" s="1539"/>
      <c r="BQ2452" s="1539"/>
      <c r="BR2452" s="1539"/>
      <c r="BS2452" s="1539"/>
      <c r="BT2452" s="1539"/>
      <c r="BU2452" s="1539"/>
      <c r="BV2452" s="1539"/>
      <c r="BW2452" s="1539"/>
      <c r="BX2452" s="1539"/>
      <c r="BY2452" s="1539"/>
      <c r="BZ2452" s="1539"/>
      <c r="CA2452" s="1539"/>
      <c r="CB2452" s="1539"/>
      <c r="CC2452" s="1539"/>
      <c r="CD2452" s="1539"/>
      <c r="CE2452" s="1539"/>
      <c r="CF2452" s="1539"/>
      <c r="CG2452" s="1539"/>
      <c r="CH2452" s="1539"/>
      <c r="CI2452" s="1539"/>
      <c r="CJ2452" s="1539"/>
      <c r="CK2452" s="1539"/>
      <c r="CL2452" s="1539"/>
      <c r="CM2452" s="1539"/>
      <c r="CN2452" s="1539"/>
      <c r="CO2452" s="1539"/>
    </row>
    <row r="2453" spans="1:93" s="1542" customFormat="1" ht="15.5">
      <c r="A2453" s="1598">
        <v>17</v>
      </c>
      <c r="B2453" s="1599" t="s">
        <v>3497</v>
      </c>
      <c r="C2453" s="1643" t="e">
        <f>+SUMIF(#REF!,Final!A2453,#REF!)</f>
        <v>#REF!</v>
      </c>
      <c r="D2453" s="1597" t="e">
        <f>+SUMIF(#REF!,Final!A2453,#REF!)</f>
        <v>#REF!</v>
      </c>
      <c r="E2453" s="1643" t="e">
        <f>SUMIF(#REF!,Final!A2453,#REF!)</f>
        <v>#REF!</v>
      </c>
      <c r="F2453" s="1644" t="e">
        <f>SUMIF(#REF!,Final!A2453,#REF!)</f>
        <v>#REF!</v>
      </c>
      <c r="G2453" s="1597" t="e">
        <f t="shared" si="256"/>
        <v>#REF!</v>
      </c>
      <c r="H2453" s="1644" t="e">
        <f t="shared" si="257"/>
        <v>#REF!</v>
      </c>
      <c r="I2453" s="1597" t="e">
        <f t="shared" si="258"/>
        <v>#REF!</v>
      </c>
      <c r="J2453" s="1644" t="e">
        <f t="shared" si="259"/>
        <v>#REF!</v>
      </c>
      <c r="K2453" s="1539"/>
      <c r="L2453" s="1539"/>
      <c r="M2453" s="1545"/>
      <c r="N2453" s="1545"/>
      <c r="O2453" s="1539"/>
      <c r="P2453" s="1539"/>
      <c r="Q2453" s="1539"/>
      <c r="R2453" s="1539"/>
      <c r="S2453" s="1539"/>
      <c r="T2453" s="1539"/>
      <c r="U2453" s="1539"/>
      <c r="V2453" s="1539"/>
      <c r="W2453" s="1539"/>
      <c r="X2453" s="1539"/>
      <c r="Y2453" s="1539"/>
      <c r="Z2453" s="1539"/>
      <c r="AA2453" s="1539"/>
      <c r="AB2453" s="1539"/>
      <c r="AC2453" s="1539"/>
      <c r="AD2453" s="1539"/>
      <c r="AE2453" s="1539"/>
      <c r="AF2453" s="1539"/>
      <c r="AG2453" s="1539"/>
      <c r="AH2453" s="1539"/>
      <c r="AI2453" s="1539"/>
      <c r="AJ2453" s="1539"/>
      <c r="AK2453" s="1539"/>
      <c r="AL2453" s="1539"/>
      <c r="AM2453" s="1539"/>
      <c r="AN2453" s="1539"/>
      <c r="AO2453" s="1539"/>
      <c r="AP2453" s="1539"/>
      <c r="AQ2453" s="1539"/>
      <c r="AR2453" s="1539"/>
      <c r="AS2453" s="1539"/>
      <c r="AT2453" s="1539"/>
      <c r="AU2453" s="1539"/>
      <c r="AV2453" s="1539"/>
      <c r="AW2453" s="1539"/>
      <c r="AX2453" s="1539"/>
      <c r="AY2453" s="1539"/>
      <c r="AZ2453" s="1539"/>
      <c r="BA2453" s="1539"/>
      <c r="BB2453" s="1539"/>
      <c r="BC2453" s="1539"/>
      <c r="BD2453" s="1539"/>
      <c r="BE2453" s="1539"/>
      <c r="BF2453" s="1539"/>
      <c r="BG2453" s="1539"/>
      <c r="BH2453" s="1539"/>
      <c r="BI2453" s="1539"/>
      <c r="BJ2453" s="1539"/>
      <c r="BK2453" s="1539"/>
      <c r="BL2453" s="1539"/>
      <c r="BM2453" s="1539"/>
      <c r="BN2453" s="1539"/>
      <c r="BO2453" s="1539"/>
      <c r="BP2453" s="1539"/>
      <c r="BQ2453" s="1539"/>
      <c r="BR2453" s="1539"/>
      <c r="BS2453" s="1539"/>
      <c r="BT2453" s="1539"/>
      <c r="BU2453" s="1539"/>
      <c r="BV2453" s="1539"/>
      <c r="BW2453" s="1539"/>
      <c r="BX2453" s="1539"/>
      <c r="BY2453" s="1539"/>
      <c r="BZ2453" s="1539"/>
      <c r="CA2453" s="1539"/>
      <c r="CB2453" s="1539"/>
      <c r="CC2453" s="1539"/>
      <c r="CD2453" s="1539"/>
      <c r="CE2453" s="1539"/>
      <c r="CF2453" s="1539"/>
      <c r="CG2453" s="1539"/>
      <c r="CH2453" s="1539"/>
      <c r="CI2453" s="1539"/>
      <c r="CJ2453" s="1539"/>
      <c r="CK2453" s="1539"/>
      <c r="CL2453" s="1539"/>
      <c r="CM2453" s="1539"/>
      <c r="CN2453" s="1539"/>
      <c r="CO2453" s="1539"/>
    </row>
    <row r="2454" spans="1:93" s="1542" customFormat="1" ht="15.5">
      <c r="A2454" s="1598" t="s">
        <v>1762</v>
      </c>
      <c r="B2454" s="1599" t="s">
        <v>3498</v>
      </c>
      <c r="C2454" s="1643" t="e">
        <f>+SUMIF(#REF!,Final!A2454,#REF!)</f>
        <v>#REF!</v>
      </c>
      <c r="D2454" s="1597" t="e">
        <f>+SUMIF(#REF!,Final!A2454,#REF!)</f>
        <v>#REF!</v>
      </c>
      <c r="E2454" s="1643" t="e">
        <f>SUMIF(#REF!,Final!A2454,#REF!)</f>
        <v>#REF!</v>
      </c>
      <c r="F2454" s="1644" t="e">
        <f>SUMIF(#REF!,Final!A2454,#REF!)</f>
        <v>#REF!</v>
      </c>
      <c r="G2454" s="1597" t="e">
        <f t="shared" si="256"/>
        <v>#REF!</v>
      </c>
      <c r="H2454" s="1644" t="e">
        <f t="shared" si="257"/>
        <v>#REF!</v>
      </c>
      <c r="I2454" s="1597" t="e">
        <f t="shared" si="258"/>
        <v>#REF!</v>
      </c>
      <c r="J2454" s="1644" t="e">
        <f t="shared" si="259"/>
        <v>#REF!</v>
      </c>
      <c r="K2454" s="1539"/>
      <c r="L2454" s="1539"/>
      <c r="M2454" s="1545"/>
      <c r="N2454" s="1545"/>
      <c r="O2454" s="1539"/>
      <c r="P2454" s="1539"/>
      <c r="Q2454" s="1539"/>
      <c r="R2454" s="1539"/>
      <c r="S2454" s="1539"/>
      <c r="T2454" s="1539"/>
      <c r="U2454" s="1539"/>
      <c r="V2454" s="1539"/>
      <c r="W2454" s="1539"/>
      <c r="X2454" s="1539"/>
      <c r="Y2454" s="1539"/>
      <c r="Z2454" s="1539"/>
      <c r="AA2454" s="1539"/>
      <c r="AB2454" s="1539"/>
      <c r="AC2454" s="1539"/>
      <c r="AD2454" s="1539"/>
      <c r="AE2454" s="1539"/>
      <c r="AF2454" s="1539"/>
      <c r="AG2454" s="1539"/>
      <c r="AH2454" s="1539"/>
      <c r="AI2454" s="1539"/>
      <c r="AJ2454" s="1539"/>
      <c r="AK2454" s="1539"/>
      <c r="AL2454" s="1539"/>
      <c r="AM2454" s="1539"/>
      <c r="AN2454" s="1539"/>
      <c r="AO2454" s="1539"/>
      <c r="AP2454" s="1539"/>
      <c r="AQ2454" s="1539"/>
      <c r="AR2454" s="1539"/>
      <c r="AS2454" s="1539"/>
      <c r="AT2454" s="1539"/>
      <c r="AU2454" s="1539"/>
      <c r="AV2454" s="1539"/>
      <c r="AW2454" s="1539"/>
      <c r="AX2454" s="1539"/>
      <c r="AY2454" s="1539"/>
      <c r="AZ2454" s="1539"/>
      <c r="BA2454" s="1539"/>
      <c r="BB2454" s="1539"/>
      <c r="BC2454" s="1539"/>
      <c r="BD2454" s="1539"/>
      <c r="BE2454" s="1539"/>
      <c r="BF2454" s="1539"/>
      <c r="BG2454" s="1539"/>
      <c r="BH2454" s="1539"/>
      <c r="BI2454" s="1539"/>
      <c r="BJ2454" s="1539"/>
      <c r="BK2454" s="1539"/>
      <c r="BL2454" s="1539"/>
      <c r="BM2454" s="1539"/>
      <c r="BN2454" s="1539"/>
      <c r="BO2454" s="1539"/>
      <c r="BP2454" s="1539"/>
      <c r="BQ2454" s="1539"/>
      <c r="BR2454" s="1539"/>
      <c r="BS2454" s="1539"/>
      <c r="BT2454" s="1539"/>
      <c r="BU2454" s="1539"/>
      <c r="BV2454" s="1539"/>
      <c r="BW2454" s="1539"/>
      <c r="BX2454" s="1539"/>
      <c r="BY2454" s="1539"/>
      <c r="BZ2454" s="1539"/>
      <c r="CA2454" s="1539"/>
      <c r="CB2454" s="1539"/>
      <c r="CC2454" s="1539"/>
      <c r="CD2454" s="1539"/>
      <c r="CE2454" s="1539"/>
      <c r="CF2454" s="1539"/>
      <c r="CG2454" s="1539"/>
      <c r="CH2454" s="1539"/>
      <c r="CI2454" s="1539"/>
      <c r="CJ2454" s="1539"/>
      <c r="CK2454" s="1539"/>
      <c r="CL2454" s="1539"/>
      <c r="CM2454" s="1539"/>
      <c r="CN2454" s="1539"/>
      <c r="CO2454" s="1539"/>
    </row>
    <row r="2455" spans="1:93" ht="15.5">
      <c r="A2455" s="1598">
        <v>55.11</v>
      </c>
      <c r="B2455" s="1599" t="s">
        <v>1749</v>
      </c>
      <c r="C2455" s="1643" t="e">
        <f>+SUMIF(#REF!,Final!A2455,#REF!)</f>
        <v>#REF!</v>
      </c>
      <c r="D2455" s="1597" t="e">
        <f>+SUMIF(#REF!,Final!A2455,#REF!)</f>
        <v>#REF!</v>
      </c>
      <c r="E2455" s="1643" t="e">
        <f>SUMIF(#REF!,Final!A2455,#REF!)</f>
        <v>#REF!</v>
      </c>
      <c r="F2455" s="1644" t="e">
        <f>SUMIF(#REF!,Final!A2455,#REF!)</f>
        <v>#REF!</v>
      </c>
      <c r="G2455" s="1597" t="e">
        <f t="shared" si="256"/>
        <v>#REF!</v>
      </c>
      <c r="H2455" s="1644" t="e">
        <f t="shared" si="257"/>
        <v>#REF!</v>
      </c>
      <c r="I2455" s="1597" t="e">
        <f t="shared" si="258"/>
        <v>#REF!</v>
      </c>
      <c r="J2455" s="1644" t="e">
        <f t="shared" si="259"/>
        <v>#REF!</v>
      </c>
      <c r="M2455" s="1545"/>
      <c r="N2455" s="1545"/>
    </row>
    <row r="2456" spans="1:93" s="1552" customFormat="1" ht="15.5">
      <c r="A2456" s="1598"/>
      <c r="B2456" s="1599" t="s">
        <v>1747</v>
      </c>
      <c r="C2456" s="1643" t="e">
        <f>+SUMIF(#REF!,Final!A2456,#REF!)</f>
        <v>#REF!</v>
      </c>
      <c r="D2456" s="1597" t="e">
        <f>+SUMIF(#REF!,Final!A2456,#REF!)</f>
        <v>#REF!</v>
      </c>
      <c r="E2456" s="1643" t="e">
        <f>SUMIF(#REF!,Final!A2456,#REF!)</f>
        <v>#REF!</v>
      </c>
      <c r="F2456" s="1644" t="e">
        <f>SUMIF(#REF!,Final!A2456,#REF!)</f>
        <v>#REF!</v>
      </c>
      <c r="G2456" s="1597" t="e">
        <f t="shared" si="256"/>
        <v>#REF!</v>
      </c>
      <c r="H2456" s="1644" t="e">
        <f t="shared" si="257"/>
        <v>#REF!</v>
      </c>
      <c r="I2456" s="1597" t="e">
        <f t="shared" si="258"/>
        <v>#REF!</v>
      </c>
      <c r="J2456" s="1644" t="e">
        <f t="shared" si="259"/>
        <v>#REF!</v>
      </c>
      <c r="K2456" s="1539"/>
      <c r="L2456" s="1539"/>
      <c r="M2456" s="1545"/>
      <c r="N2456" s="1545"/>
      <c r="O2456" s="1539"/>
      <c r="P2456" s="1539"/>
      <c r="Q2456" s="1539"/>
      <c r="R2456" s="1539"/>
      <c r="S2456" s="1539"/>
      <c r="T2456" s="1539"/>
      <c r="U2456" s="1539"/>
      <c r="V2456" s="1539"/>
      <c r="W2456" s="1539"/>
      <c r="X2456" s="1539"/>
      <c r="Y2456" s="1539"/>
      <c r="Z2456" s="1539"/>
      <c r="AA2456" s="1539"/>
      <c r="AB2456" s="1539"/>
      <c r="AC2456" s="1539"/>
      <c r="AD2456" s="1539"/>
      <c r="AE2456" s="1539"/>
      <c r="AF2456" s="1539"/>
      <c r="AG2456" s="1539"/>
      <c r="AH2456" s="1539"/>
      <c r="AI2456" s="1539"/>
      <c r="AJ2456" s="1539"/>
      <c r="AK2456" s="1539"/>
      <c r="AL2456" s="1539"/>
      <c r="AM2456" s="1539"/>
      <c r="AN2456" s="1539"/>
      <c r="AO2456" s="1539"/>
      <c r="AP2456" s="1539"/>
      <c r="AQ2456" s="1539"/>
      <c r="AR2456" s="1539"/>
      <c r="AS2456" s="1539"/>
      <c r="AT2456" s="1539"/>
      <c r="AU2456" s="1539"/>
      <c r="AV2456" s="1539"/>
      <c r="AW2456" s="1539"/>
      <c r="AX2456" s="1539"/>
      <c r="AY2456" s="1539"/>
      <c r="AZ2456" s="1539"/>
      <c r="BA2456" s="1539"/>
      <c r="BB2456" s="1539"/>
      <c r="BC2456" s="1539"/>
      <c r="BD2456" s="1539"/>
      <c r="BE2456" s="1539"/>
      <c r="BF2456" s="1539"/>
      <c r="BG2456" s="1539"/>
      <c r="BH2456" s="1539"/>
      <c r="BI2456" s="1539"/>
      <c r="BJ2456" s="1539"/>
      <c r="BK2456" s="1539"/>
      <c r="BL2456" s="1539"/>
      <c r="BM2456" s="1539"/>
      <c r="BN2456" s="1539"/>
      <c r="BO2456" s="1539"/>
      <c r="BP2456" s="1539"/>
      <c r="BQ2456" s="1539"/>
      <c r="BR2456" s="1539"/>
      <c r="BS2456" s="1539"/>
      <c r="BT2456" s="1539"/>
      <c r="BU2456" s="1539"/>
      <c r="BV2456" s="1539"/>
      <c r="BW2456" s="1539"/>
      <c r="BX2456" s="1539"/>
      <c r="BY2456" s="1539"/>
      <c r="BZ2456" s="1539"/>
      <c r="CA2456" s="1539"/>
      <c r="CB2456" s="1539"/>
      <c r="CC2456" s="1539"/>
      <c r="CD2456" s="1539"/>
      <c r="CE2456" s="1539"/>
      <c r="CF2456" s="1539"/>
      <c r="CG2456" s="1539"/>
      <c r="CH2456" s="1539"/>
      <c r="CI2456" s="1539"/>
      <c r="CJ2456" s="1539"/>
      <c r="CK2456" s="1539"/>
      <c r="CL2456" s="1539"/>
      <c r="CM2456" s="1539"/>
      <c r="CN2456" s="1539"/>
      <c r="CO2456" s="1539"/>
    </row>
    <row r="2457" spans="1:93" s="1552" customFormat="1" ht="15.5">
      <c r="A2457" s="1598" t="s">
        <v>3499</v>
      </c>
      <c r="B2457" s="1599" t="s">
        <v>3500</v>
      </c>
      <c r="C2457" s="1643" t="e">
        <f>+SUMIF(#REF!,Final!A2457,#REF!)</f>
        <v>#REF!</v>
      </c>
      <c r="D2457" s="1597" t="e">
        <f>+SUMIF(#REF!,Final!A2457,#REF!)</f>
        <v>#REF!</v>
      </c>
      <c r="E2457" s="1643" t="e">
        <f>SUMIF(#REF!,Final!A2457,#REF!)</f>
        <v>#REF!</v>
      </c>
      <c r="F2457" s="1644" t="e">
        <f>SUMIF(#REF!,Final!A2457,#REF!)</f>
        <v>#REF!</v>
      </c>
      <c r="G2457" s="1597" t="e">
        <f t="shared" si="256"/>
        <v>#REF!</v>
      </c>
      <c r="H2457" s="1644" t="e">
        <f t="shared" si="257"/>
        <v>#REF!</v>
      </c>
      <c r="I2457" s="1597" t="e">
        <f t="shared" si="258"/>
        <v>#REF!</v>
      </c>
      <c r="J2457" s="1644" t="e">
        <f t="shared" si="259"/>
        <v>#REF!</v>
      </c>
      <c r="K2457" s="1539"/>
      <c r="L2457" s="1539"/>
      <c r="M2457" s="1545"/>
      <c r="N2457" s="1545"/>
      <c r="O2457" s="1539"/>
      <c r="P2457" s="1539"/>
      <c r="Q2457" s="1539"/>
      <c r="R2457" s="1539"/>
      <c r="S2457" s="1539"/>
      <c r="T2457" s="1539"/>
      <c r="U2457" s="1539"/>
      <c r="V2457" s="1539"/>
      <c r="W2457" s="1539"/>
      <c r="X2457" s="1539"/>
      <c r="Y2457" s="1539"/>
      <c r="Z2457" s="1539"/>
      <c r="AA2457" s="1539"/>
      <c r="AB2457" s="1539"/>
      <c r="AC2457" s="1539"/>
      <c r="AD2457" s="1539"/>
      <c r="AE2457" s="1539"/>
      <c r="AF2457" s="1539"/>
      <c r="AG2457" s="1539"/>
      <c r="AH2457" s="1539"/>
      <c r="AI2457" s="1539"/>
      <c r="AJ2457" s="1539"/>
      <c r="AK2457" s="1539"/>
      <c r="AL2457" s="1539"/>
      <c r="AM2457" s="1539"/>
      <c r="AN2457" s="1539"/>
      <c r="AO2457" s="1539"/>
      <c r="AP2457" s="1539"/>
      <c r="AQ2457" s="1539"/>
      <c r="AR2457" s="1539"/>
      <c r="AS2457" s="1539"/>
      <c r="AT2457" s="1539"/>
      <c r="AU2457" s="1539"/>
      <c r="AV2457" s="1539"/>
      <c r="AW2457" s="1539"/>
      <c r="AX2457" s="1539"/>
      <c r="AY2457" s="1539"/>
      <c r="AZ2457" s="1539"/>
      <c r="BA2457" s="1539"/>
      <c r="BB2457" s="1539"/>
      <c r="BC2457" s="1539"/>
      <c r="BD2457" s="1539"/>
      <c r="BE2457" s="1539"/>
      <c r="BF2457" s="1539"/>
      <c r="BG2457" s="1539"/>
      <c r="BH2457" s="1539"/>
      <c r="BI2457" s="1539"/>
      <c r="BJ2457" s="1539"/>
      <c r="BK2457" s="1539"/>
      <c r="BL2457" s="1539"/>
      <c r="BM2457" s="1539"/>
      <c r="BN2457" s="1539"/>
      <c r="BO2457" s="1539"/>
      <c r="BP2457" s="1539"/>
      <c r="BQ2457" s="1539"/>
      <c r="BR2457" s="1539"/>
      <c r="BS2457" s="1539"/>
      <c r="BT2457" s="1539"/>
      <c r="BU2457" s="1539"/>
      <c r="BV2457" s="1539"/>
      <c r="BW2457" s="1539"/>
      <c r="BX2457" s="1539"/>
      <c r="BY2457" s="1539"/>
      <c r="BZ2457" s="1539"/>
      <c r="CA2457" s="1539"/>
      <c r="CB2457" s="1539"/>
      <c r="CC2457" s="1539"/>
      <c r="CD2457" s="1539"/>
      <c r="CE2457" s="1539"/>
      <c r="CF2457" s="1539"/>
      <c r="CG2457" s="1539"/>
      <c r="CH2457" s="1539"/>
      <c r="CI2457" s="1539"/>
      <c r="CJ2457" s="1539"/>
      <c r="CK2457" s="1539"/>
      <c r="CL2457" s="1539"/>
      <c r="CM2457" s="1539"/>
      <c r="CN2457" s="1539"/>
      <c r="CO2457" s="1539"/>
    </row>
    <row r="2458" spans="1:93" s="1542" customFormat="1" ht="15.5">
      <c r="A2458" s="1598">
        <v>17</v>
      </c>
      <c r="B2458" s="1599" t="s">
        <v>3497</v>
      </c>
      <c r="C2458" s="1643" t="e">
        <f>+SUMIF(#REF!,Final!A2458,#REF!)</f>
        <v>#REF!</v>
      </c>
      <c r="D2458" s="1597" t="e">
        <f>+SUMIF(#REF!,Final!A2458,#REF!)</f>
        <v>#REF!</v>
      </c>
      <c r="E2458" s="1643" t="e">
        <f>SUMIF(#REF!,Final!A2458,#REF!)</f>
        <v>#REF!</v>
      </c>
      <c r="F2458" s="1644" t="e">
        <f>SUMIF(#REF!,Final!A2458,#REF!)</f>
        <v>#REF!</v>
      </c>
      <c r="G2458" s="1597" t="e">
        <f t="shared" si="256"/>
        <v>#REF!</v>
      </c>
      <c r="H2458" s="1644" t="e">
        <f t="shared" si="257"/>
        <v>#REF!</v>
      </c>
      <c r="I2458" s="1597" t="e">
        <f t="shared" si="258"/>
        <v>#REF!</v>
      </c>
      <c r="J2458" s="1644" t="e">
        <f t="shared" si="259"/>
        <v>#REF!</v>
      </c>
      <c r="K2458" s="1539"/>
      <c r="L2458" s="1539"/>
      <c r="M2458" s="1545"/>
      <c r="N2458" s="1545"/>
      <c r="O2458" s="1539"/>
      <c r="P2458" s="1539"/>
      <c r="Q2458" s="1539"/>
      <c r="R2458" s="1539"/>
      <c r="S2458" s="1539"/>
      <c r="T2458" s="1539"/>
      <c r="U2458" s="1539"/>
      <c r="V2458" s="1539"/>
      <c r="W2458" s="1539"/>
      <c r="X2458" s="1539"/>
      <c r="Y2458" s="1539"/>
      <c r="Z2458" s="1539"/>
      <c r="AA2458" s="1539"/>
      <c r="AB2458" s="1539"/>
      <c r="AC2458" s="1539"/>
      <c r="AD2458" s="1539"/>
      <c r="AE2458" s="1539"/>
      <c r="AF2458" s="1539"/>
      <c r="AG2458" s="1539"/>
      <c r="AH2458" s="1539"/>
      <c r="AI2458" s="1539"/>
      <c r="AJ2458" s="1539"/>
      <c r="AK2458" s="1539"/>
      <c r="AL2458" s="1539"/>
      <c r="AM2458" s="1539"/>
      <c r="AN2458" s="1539"/>
      <c r="AO2458" s="1539"/>
      <c r="AP2458" s="1539"/>
      <c r="AQ2458" s="1539"/>
      <c r="AR2458" s="1539"/>
      <c r="AS2458" s="1539"/>
      <c r="AT2458" s="1539"/>
      <c r="AU2458" s="1539"/>
      <c r="AV2458" s="1539"/>
      <c r="AW2458" s="1539"/>
      <c r="AX2458" s="1539"/>
      <c r="AY2458" s="1539"/>
      <c r="AZ2458" s="1539"/>
      <c r="BA2458" s="1539"/>
      <c r="BB2458" s="1539"/>
      <c r="BC2458" s="1539"/>
      <c r="BD2458" s="1539"/>
      <c r="BE2458" s="1539"/>
      <c r="BF2458" s="1539"/>
      <c r="BG2458" s="1539"/>
      <c r="BH2458" s="1539"/>
      <c r="BI2458" s="1539"/>
      <c r="BJ2458" s="1539"/>
      <c r="BK2458" s="1539"/>
      <c r="BL2458" s="1539"/>
      <c r="BM2458" s="1539"/>
      <c r="BN2458" s="1539"/>
      <c r="BO2458" s="1539"/>
      <c r="BP2458" s="1539"/>
      <c r="BQ2458" s="1539"/>
      <c r="BR2458" s="1539"/>
      <c r="BS2458" s="1539"/>
      <c r="BT2458" s="1539"/>
      <c r="BU2458" s="1539"/>
      <c r="BV2458" s="1539"/>
      <c r="BW2458" s="1539"/>
      <c r="BX2458" s="1539"/>
      <c r="BY2458" s="1539"/>
      <c r="BZ2458" s="1539"/>
      <c r="CA2458" s="1539"/>
      <c r="CB2458" s="1539"/>
      <c r="CC2458" s="1539"/>
      <c r="CD2458" s="1539"/>
      <c r="CE2458" s="1539"/>
      <c r="CF2458" s="1539"/>
      <c r="CG2458" s="1539"/>
      <c r="CH2458" s="1539"/>
      <c r="CI2458" s="1539"/>
      <c r="CJ2458" s="1539"/>
      <c r="CK2458" s="1539"/>
      <c r="CL2458" s="1539"/>
      <c r="CM2458" s="1539"/>
      <c r="CN2458" s="1539"/>
      <c r="CO2458" s="1539"/>
    </row>
    <row r="2459" spans="1:93" s="1542" customFormat="1" ht="15.5">
      <c r="A2459" s="1598" t="s">
        <v>1768</v>
      </c>
      <c r="B2459" s="1599" t="s">
        <v>1750</v>
      </c>
      <c r="C2459" s="1643" t="e">
        <f>+SUMIF(#REF!,Final!A2459,#REF!)</f>
        <v>#REF!</v>
      </c>
      <c r="D2459" s="1597" t="e">
        <f>+SUMIF(#REF!,Final!A2459,#REF!)</f>
        <v>#REF!</v>
      </c>
      <c r="E2459" s="1643" t="e">
        <f>SUMIF(#REF!,Final!A2459,#REF!)</f>
        <v>#REF!</v>
      </c>
      <c r="F2459" s="1644" t="e">
        <f>SUMIF(#REF!,Final!A2459,#REF!)</f>
        <v>#REF!</v>
      </c>
      <c r="G2459" s="1597" t="e">
        <f t="shared" si="256"/>
        <v>#REF!</v>
      </c>
      <c r="H2459" s="1644" t="e">
        <f t="shared" si="257"/>
        <v>#REF!</v>
      </c>
      <c r="I2459" s="1597" t="e">
        <f t="shared" si="258"/>
        <v>#REF!</v>
      </c>
      <c r="J2459" s="1644" t="e">
        <f t="shared" si="259"/>
        <v>#REF!</v>
      </c>
      <c r="K2459" s="1539"/>
      <c r="L2459" s="1539"/>
      <c r="M2459" s="1545"/>
      <c r="N2459" s="1545"/>
      <c r="O2459" s="1539"/>
      <c r="P2459" s="1539"/>
      <c r="Q2459" s="1539"/>
      <c r="R2459" s="1539"/>
      <c r="S2459" s="1539"/>
      <c r="T2459" s="1539"/>
      <c r="U2459" s="1539"/>
      <c r="V2459" s="1539"/>
      <c r="W2459" s="1539"/>
      <c r="X2459" s="1539"/>
      <c r="Y2459" s="1539"/>
      <c r="Z2459" s="1539"/>
      <c r="AA2459" s="1539"/>
      <c r="AB2459" s="1539"/>
      <c r="AC2459" s="1539"/>
      <c r="AD2459" s="1539"/>
      <c r="AE2459" s="1539"/>
      <c r="AF2459" s="1539"/>
      <c r="AG2459" s="1539"/>
      <c r="AH2459" s="1539"/>
      <c r="AI2459" s="1539"/>
      <c r="AJ2459" s="1539"/>
      <c r="AK2459" s="1539"/>
      <c r="AL2459" s="1539"/>
      <c r="AM2459" s="1539"/>
      <c r="AN2459" s="1539"/>
      <c r="AO2459" s="1539"/>
      <c r="AP2459" s="1539"/>
      <c r="AQ2459" s="1539"/>
      <c r="AR2459" s="1539"/>
      <c r="AS2459" s="1539"/>
      <c r="AT2459" s="1539"/>
      <c r="AU2459" s="1539"/>
      <c r="AV2459" s="1539"/>
      <c r="AW2459" s="1539"/>
      <c r="AX2459" s="1539"/>
      <c r="AY2459" s="1539"/>
      <c r="AZ2459" s="1539"/>
      <c r="BA2459" s="1539"/>
      <c r="BB2459" s="1539"/>
      <c r="BC2459" s="1539"/>
      <c r="BD2459" s="1539"/>
      <c r="BE2459" s="1539"/>
      <c r="BF2459" s="1539"/>
      <c r="BG2459" s="1539"/>
      <c r="BH2459" s="1539"/>
      <c r="BI2459" s="1539"/>
      <c r="BJ2459" s="1539"/>
      <c r="BK2459" s="1539"/>
      <c r="BL2459" s="1539"/>
      <c r="BM2459" s="1539"/>
      <c r="BN2459" s="1539"/>
      <c r="BO2459" s="1539"/>
      <c r="BP2459" s="1539"/>
      <c r="BQ2459" s="1539"/>
      <c r="BR2459" s="1539"/>
      <c r="BS2459" s="1539"/>
      <c r="BT2459" s="1539"/>
      <c r="BU2459" s="1539"/>
      <c r="BV2459" s="1539"/>
      <c r="BW2459" s="1539"/>
      <c r="BX2459" s="1539"/>
      <c r="BY2459" s="1539"/>
      <c r="BZ2459" s="1539"/>
      <c r="CA2459" s="1539"/>
      <c r="CB2459" s="1539"/>
      <c r="CC2459" s="1539"/>
      <c r="CD2459" s="1539"/>
      <c r="CE2459" s="1539"/>
      <c r="CF2459" s="1539"/>
      <c r="CG2459" s="1539"/>
      <c r="CH2459" s="1539"/>
      <c r="CI2459" s="1539"/>
      <c r="CJ2459" s="1539"/>
      <c r="CK2459" s="1539"/>
      <c r="CL2459" s="1539"/>
      <c r="CM2459" s="1539"/>
      <c r="CN2459" s="1539"/>
      <c r="CO2459" s="1539"/>
    </row>
    <row r="2460" spans="1:93" ht="15.5">
      <c r="A2460" s="1600">
        <v>55.32</v>
      </c>
      <c r="B2460" s="1599" t="s">
        <v>3943</v>
      </c>
      <c r="C2460" s="1643" t="e">
        <f>+SUMIF(#REF!,Final!A2460,#REF!)</f>
        <v>#REF!</v>
      </c>
      <c r="D2460" s="1597" t="e">
        <f>+SUMIF(#REF!,Final!A2460,#REF!)</f>
        <v>#REF!</v>
      </c>
      <c r="E2460" s="1643" t="e">
        <f>SUMIF(#REF!,Final!A2460,#REF!)</f>
        <v>#REF!</v>
      </c>
      <c r="F2460" s="1644" t="e">
        <f>SUMIF(#REF!,Final!A2460,#REF!)</f>
        <v>#REF!</v>
      </c>
      <c r="G2460" s="1597" t="e">
        <f t="shared" si="256"/>
        <v>#REF!</v>
      </c>
      <c r="H2460" s="1644" t="e">
        <f t="shared" si="257"/>
        <v>#REF!</v>
      </c>
      <c r="I2460" s="1597" t="e">
        <f t="shared" si="258"/>
        <v>#REF!</v>
      </c>
      <c r="J2460" s="1644" t="e">
        <f t="shared" si="259"/>
        <v>#REF!</v>
      </c>
      <c r="M2460" s="1545"/>
      <c r="N2460" s="1545"/>
    </row>
    <row r="2461" spans="1:93" ht="15.5">
      <c r="A2461" s="1600">
        <v>55.33</v>
      </c>
      <c r="B2461" s="1599" t="s">
        <v>1751</v>
      </c>
      <c r="C2461" s="1643" t="e">
        <f>+SUMIF(#REF!,Final!A2461,#REF!)</f>
        <v>#REF!</v>
      </c>
      <c r="D2461" s="1597" t="e">
        <f>+SUMIF(#REF!,Final!A2461,#REF!)</f>
        <v>#REF!</v>
      </c>
      <c r="E2461" s="1643" t="e">
        <f>SUMIF(#REF!,Final!A2461,#REF!)</f>
        <v>#REF!</v>
      </c>
      <c r="F2461" s="1644" t="e">
        <f>SUMIF(#REF!,Final!A2461,#REF!)</f>
        <v>#REF!</v>
      </c>
      <c r="G2461" s="1597" t="e">
        <f t="shared" si="256"/>
        <v>#REF!</v>
      </c>
      <c r="H2461" s="1644" t="e">
        <f t="shared" si="257"/>
        <v>#REF!</v>
      </c>
      <c r="I2461" s="1597" t="e">
        <f t="shared" si="258"/>
        <v>#REF!</v>
      </c>
      <c r="J2461" s="1644" t="e">
        <f t="shared" si="259"/>
        <v>#REF!</v>
      </c>
      <c r="M2461" s="1545"/>
      <c r="N2461" s="1545"/>
    </row>
    <row r="2462" spans="1:93" ht="15.5">
      <c r="A2462" s="1600">
        <v>55.34</v>
      </c>
      <c r="B2462" s="1599" t="s">
        <v>1752</v>
      </c>
      <c r="C2462" s="1643" t="e">
        <f>+SUMIF(#REF!,Final!A2462,#REF!)</f>
        <v>#REF!</v>
      </c>
      <c r="D2462" s="1597" t="e">
        <f>+SUMIF(#REF!,Final!A2462,#REF!)</f>
        <v>#REF!</v>
      </c>
      <c r="E2462" s="1643" t="e">
        <f>SUMIF(#REF!,Final!A2462,#REF!)</f>
        <v>#REF!</v>
      </c>
      <c r="F2462" s="1644" t="e">
        <f>SUMIF(#REF!,Final!A2462,#REF!)</f>
        <v>#REF!</v>
      </c>
      <c r="G2462" s="1597" t="e">
        <f t="shared" si="256"/>
        <v>#REF!</v>
      </c>
      <c r="H2462" s="1644" t="e">
        <f t="shared" si="257"/>
        <v>#REF!</v>
      </c>
      <c r="I2462" s="1597" t="e">
        <f t="shared" si="258"/>
        <v>#REF!</v>
      </c>
      <c r="J2462" s="1644" t="e">
        <f t="shared" si="259"/>
        <v>#REF!</v>
      </c>
      <c r="M2462" s="1545"/>
      <c r="N2462" s="1545"/>
    </row>
    <row r="2463" spans="1:93" ht="15.5">
      <c r="A2463" s="1601">
        <v>55.35</v>
      </c>
      <c r="B2463" s="1711" t="s">
        <v>5014</v>
      </c>
      <c r="C2463" s="1643" t="e">
        <f>+SUMIF(#REF!,Final!A2463,#REF!)</f>
        <v>#REF!</v>
      </c>
      <c r="D2463" s="1597" t="e">
        <f>+SUMIF(#REF!,Final!A2463,#REF!)</f>
        <v>#REF!</v>
      </c>
      <c r="E2463" s="1643" t="e">
        <f>SUMIF(#REF!,Final!A2463,#REF!)</f>
        <v>#REF!</v>
      </c>
      <c r="F2463" s="1644" t="e">
        <f>SUMIF(#REF!,Final!A2463,#REF!)</f>
        <v>#REF!</v>
      </c>
      <c r="G2463" s="1597" t="e">
        <f t="shared" si="256"/>
        <v>#REF!</v>
      </c>
      <c r="H2463" s="1644" t="e">
        <f t="shared" si="257"/>
        <v>#REF!</v>
      </c>
      <c r="I2463" s="1597" t="e">
        <f t="shared" si="258"/>
        <v>#REF!</v>
      </c>
      <c r="J2463" s="1644" t="e">
        <f t="shared" si="259"/>
        <v>#REF!</v>
      </c>
      <c r="M2463" s="1545"/>
      <c r="N2463" s="1545"/>
    </row>
    <row r="2464" spans="1:93" ht="15.5">
      <c r="A2464" s="1601">
        <v>55.36</v>
      </c>
      <c r="B2464" s="1711" t="s">
        <v>5015</v>
      </c>
      <c r="C2464" s="1643" t="e">
        <f>+SUMIF(#REF!,Final!A2464,#REF!)</f>
        <v>#REF!</v>
      </c>
      <c r="D2464" s="1597" t="e">
        <f>+SUMIF(#REF!,Final!A2464,#REF!)</f>
        <v>#REF!</v>
      </c>
      <c r="E2464" s="1643" t="e">
        <f>SUMIF(#REF!,Final!A2464,#REF!)</f>
        <v>#REF!</v>
      </c>
      <c r="F2464" s="1644" t="e">
        <f>SUMIF(#REF!,Final!A2464,#REF!)</f>
        <v>#REF!</v>
      </c>
      <c r="G2464" s="1597" t="e">
        <f t="shared" si="256"/>
        <v>#REF!</v>
      </c>
      <c r="H2464" s="1644" t="e">
        <f t="shared" si="257"/>
        <v>#REF!</v>
      </c>
      <c r="I2464" s="1597" t="e">
        <f t="shared" si="258"/>
        <v>#REF!</v>
      </c>
      <c r="J2464" s="1644" t="e">
        <f t="shared" si="259"/>
        <v>#REF!</v>
      </c>
      <c r="M2464" s="1545"/>
      <c r="N2464" s="1545"/>
    </row>
    <row r="2465" spans="1:93" ht="15.5">
      <c r="A2465" s="1601">
        <v>55.37</v>
      </c>
      <c r="B2465" s="1711" t="s">
        <v>5016</v>
      </c>
      <c r="C2465" s="1643" t="e">
        <f>+SUMIF(#REF!,Final!A2465,#REF!)</f>
        <v>#REF!</v>
      </c>
      <c r="D2465" s="1597" t="e">
        <f>+SUMIF(#REF!,Final!A2465,#REF!)</f>
        <v>#REF!</v>
      </c>
      <c r="E2465" s="1643" t="e">
        <f>SUMIF(#REF!,Final!A2465,#REF!)</f>
        <v>#REF!</v>
      </c>
      <c r="F2465" s="1644" t="e">
        <f>SUMIF(#REF!,Final!A2465,#REF!)</f>
        <v>#REF!</v>
      </c>
      <c r="G2465" s="1597" t="e">
        <f t="shared" si="256"/>
        <v>#REF!</v>
      </c>
      <c r="H2465" s="1644" t="e">
        <f t="shared" si="257"/>
        <v>#REF!</v>
      </c>
      <c r="I2465" s="1597" t="e">
        <f t="shared" si="258"/>
        <v>#REF!</v>
      </c>
      <c r="J2465" s="1644" t="e">
        <f t="shared" si="259"/>
        <v>#REF!</v>
      </c>
      <c r="M2465" s="1545"/>
      <c r="N2465" s="1545"/>
    </row>
    <row r="2466" spans="1:93" s="1552" customFormat="1" ht="15.5">
      <c r="A2466" s="1598"/>
      <c r="B2466" s="1599" t="s">
        <v>1747</v>
      </c>
      <c r="C2466" s="1643" t="e">
        <f>+SUMIF(#REF!,Final!A2466,#REF!)</f>
        <v>#REF!</v>
      </c>
      <c r="D2466" s="1597" t="e">
        <f>+SUMIF(#REF!,Final!A2466,#REF!)</f>
        <v>#REF!</v>
      </c>
      <c r="E2466" s="1643" t="e">
        <f>SUMIF(#REF!,Final!A2466,#REF!)</f>
        <v>#REF!</v>
      </c>
      <c r="F2466" s="1644" t="e">
        <f>SUMIF(#REF!,Final!A2466,#REF!)</f>
        <v>#REF!</v>
      </c>
      <c r="G2466" s="1597" t="e">
        <f t="shared" si="256"/>
        <v>#REF!</v>
      </c>
      <c r="H2466" s="1644" t="e">
        <f t="shared" si="257"/>
        <v>#REF!</v>
      </c>
      <c r="I2466" s="1597" t="e">
        <f t="shared" si="258"/>
        <v>#REF!</v>
      </c>
      <c r="J2466" s="1644" t="e">
        <f t="shared" si="259"/>
        <v>#REF!</v>
      </c>
      <c r="K2466" s="1539"/>
      <c r="L2466" s="1539"/>
      <c r="M2466" s="1545"/>
      <c r="N2466" s="1545"/>
      <c r="O2466" s="1539"/>
      <c r="P2466" s="1539"/>
      <c r="Q2466" s="1539"/>
      <c r="R2466" s="1539"/>
      <c r="S2466" s="1539"/>
      <c r="T2466" s="1539"/>
      <c r="U2466" s="1539"/>
      <c r="V2466" s="1539"/>
      <c r="W2466" s="1539"/>
      <c r="X2466" s="1539"/>
      <c r="Y2466" s="1539"/>
      <c r="Z2466" s="1539"/>
      <c r="AA2466" s="1539"/>
      <c r="AB2466" s="1539"/>
      <c r="AC2466" s="1539"/>
      <c r="AD2466" s="1539"/>
      <c r="AE2466" s="1539"/>
      <c r="AF2466" s="1539"/>
      <c r="AG2466" s="1539"/>
      <c r="AH2466" s="1539"/>
      <c r="AI2466" s="1539"/>
      <c r="AJ2466" s="1539"/>
      <c r="AK2466" s="1539"/>
      <c r="AL2466" s="1539"/>
      <c r="AM2466" s="1539"/>
      <c r="AN2466" s="1539"/>
      <c r="AO2466" s="1539"/>
      <c r="AP2466" s="1539"/>
      <c r="AQ2466" s="1539"/>
      <c r="AR2466" s="1539"/>
      <c r="AS2466" s="1539"/>
      <c r="AT2466" s="1539"/>
      <c r="AU2466" s="1539"/>
      <c r="AV2466" s="1539"/>
      <c r="AW2466" s="1539"/>
      <c r="AX2466" s="1539"/>
      <c r="AY2466" s="1539"/>
      <c r="AZ2466" s="1539"/>
      <c r="BA2466" s="1539"/>
      <c r="BB2466" s="1539"/>
      <c r="BC2466" s="1539"/>
      <c r="BD2466" s="1539"/>
      <c r="BE2466" s="1539"/>
      <c r="BF2466" s="1539"/>
      <c r="BG2466" s="1539"/>
      <c r="BH2466" s="1539"/>
      <c r="BI2466" s="1539"/>
      <c r="BJ2466" s="1539"/>
      <c r="BK2466" s="1539"/>
      <c r="BL2466" s="1539"/>
      <c r="BM2466" s="1539"/>
      <c r="BN2466" s="1539"/>
      <c r="BO2466" s="1539"/>
      <c r="BP2466" s="1539"/>
      <c r="BQ2466" s="1539"/>
      <c r="BR2466" s="1539"/>
      <c r="BS2466" s="1539"/>
      <c r="BT2466" s="1539"/>
      <c r="BU2466" s="1539"/>
      <c r="BV2466" s="1539"/>
      <c r="BW2466" s="1539"/>
      <c r="BX2466" s="1539"/>
      <c r="BY2466" s="1539"/>
      <c r="BZ2466" s="1539"/>
      <c r="CA2466" s="1539"/>
      <c r="CB2466" s="1539"/>
      <c r="CC2466" s="1539"/>
      <c r="CD2466" s="1539"/>
      <c r="CE2466" s="1539"/>
      <c r="CF2466" s="1539"/>
      <c r="CG2466" s="1539"/>
      <c r="CH2466" s="1539"/>
      <c r="CI2466" s="1539"/>
      <c r="CJ2466" s="1539"/>
      <c r="CK2466" s="1539"/>
      <c r="CL2466" s="1539"/>
      <c r="CM2466" s="1539"/>
      <c r="CN2466" s="1539"/>
      <c r="CO2466" s="1539"/>
    </row>
    <row r="2467" spans="1:93" s="1552" customFormat="1" ht="15.5">
      <c r="A2467" s="1598" t="s">
        <v>3501</v>
      </c>
      <c r="B2467" s="1599" t="s">
        <v>1760</v>
      </c>
      <c r="C2467" s="1643" t="e">
        <f>+SUMIF(#REF!,Final!A2467,#REF!)</f>
        <v>#REF!</v>
      </c>
      <c r="D2467" s="1597" t="e">
        <f>+SUMIF(#REF!,Final!A2467,#REF!)</f>
        <v>#REF!</v>
      </c>
      <c r="E2467" s="1643" t="e">
        <f>SUMIF(#REF!,Final!A2467,#REF!)</f>
        <v>#REF!</v>
      </c>
      <c r="F2467" s="1644" t="e">
        <f>SUMIF(#REF!,Final!A2467,#REF!)</f>
        <v>#REF!</v>
      </c>
      <c r="G2467" s="1597" t="e">
        <f t="shared" si="256"/>
        <v>#REF!</v>
      </c>
      <c r="H2467" s="1644" t="e">
        <f t="shared" si="257"/>
        <v>#REF!</v>
      </c>
      <c r="I2467" s="1597" t="e">
        <f t="shared" si="258"/>
        <v>#REF!</v>
      </c>
      <c r="J2467" s="1644" t="e">
        <f t="shared" si="259"/>
        <v>#REF!</v>
      </c>
      <c r="K2467" s="1539"/>
      <c r="L2467" s="1539"/>
      <c r="M2467" s="1545"/>
      <c r="N2467" s="1545"/>
      <c r="O2467" s="1539"/>
      <c r="P2467" s="1539"/>
      <c r="Q2467" s="1539"/>
      <c r="R2467" s="1539"/>
      <c r="S2467" s="1539"/>
      <c r="T2467" s="1539"/>
      <c r="U2467" s="1539"/>
      <c r="V2467" s="1539"/>
      <c r="W2467" s="1539"/>
      <c r="X2467" s="1539"/>
      <c r="Y2467" s="1539"/>
      <c r="Z2467" s="1539"/>
      <c r="AA2467" s="1539"/>
      <c r="AB2467" s="1539"/>
      <c r="AC2467" s="1539"/>
      <c r="AD2467" s="1539"/>
      <c r="AE2467" s="1539"/>
      <c r="AF2467" s="1539"/>
      <c r="AG2467" s="1539"/>
      <c r="AH2467" s="1539"/>
      <c r="AI2467" s="1539"/>
      <c r="AJ2467" s="1539"/>
      <c r="AK2467" s="1539"/>
      <c r="AL2467" s="1539"/>
      <c r="AM2467" s="1539"/>
      <c r="AN2467" s="1539"/>
      <c r="AO2467" s="1539"/>
      <c r="AP2467" s="1539"/>
      <c r="AQ2467" s="1539"/>
      <c r="AR2467" s="1539"/>
      <c r="AS2467" s="1539"/>
      <c r="AT2467" s="1539"/>
      <c r="AU2467" s="1539"/>
      <c r="AV2467" s="1539"/>
      <c r="AW2467" s="1539"/>
      <c r="AX2467" s="1539"/>
      <c r="AY2467" s="1539"/>
      <c r="AZ2467" s="1539"/>
      <c r="BA2467" s="1539"/>
      <c r="BB2467" s="1539"/>
      <c r="BC2467" s="1539"/>
      <c r="BD2467" s="1539"/>
      <c r="BE2467" s="1539"/>
      <c r="BF2467" s="1539"/>
      <c r="BG2467" s="1539"/>
      <c r="BH2467" s="1539"/>
      <c r="BI2467" s="1539"/>
      <c r="BJ2467" s="1539"/>
      <c r="BK2467" s="1539"/>
      <c r="BL2467" s="1539"/>
      <c r="BM2467" s="1539"/>
      <c r="BN2467" s="1539"/>
      <c r="BO2467" s="1539"/>
      <c r="BP2467" s="1539"/>
      <c r="BQ2467" s="1539"/>
      <c r="BR2467" s="1539"/>
      <c r="BS2467" s="1539"/>
      <c r="BT2467" s="1539"/>
      <c r="BU2467" s="1539"/>
      <c r="BV2467" s="1539"/>
      <c r="BW2467" s="1539"/>
      <c r="BX2467" s="1539"/>
      <c r="BY2467" s="1539"/>
      <c r="BZ2467" s="1539"/>
      <c r="CA2467" s="1539"/>
      <c r="CB2467" s="1539"/>
      <c r="CC2467" s="1539"/>
      <c r="CD2467" s="1539"/>
      <c r="CE2467" s="1539"/>
      <c r="CF2467" s="1539"/>
      <c r="CG2467" s="1539"/>
      <c r="CH2467" s="1539"/>
      <c r="CI2467" s="1539"/>
      <c r="CJ2467" s="1539"/>
      <c r="CK2467" s="1539"/>
      <c r="CL2467" s="1539"/>
      <c r="CM2467" s="1539"/>
      <c r="CN2467" s="1539"/>
      <c r="CO2467" s="1539"/>
    </row>
    <row r="2468" spans="1:93" s="1542" customFormat="1" ht="15.5">
      <c r="A2468" s="1600">
        <v>56.11</v>
      </c>
      <c r="B2468" s="1599" t="s">
        <v>1753</v>
      </c>
      <c r="C2468" s="1643" t="e">
        <f>+SUMIF(#REF!,Final!A2468,#REF!)</f>
        <v>#REF!</v>
      </c>
      <c r="D2468" s="1597" t="e">
        <f>+SUMIF(#REF!,Final!A2468,#REF!)</f>
        <v>#REF!</v>
      </c>
      <c r="E2468" s="1643" t="e">
        <f>SUMIF(#REF!,Final!A2468,#REF!)</f>
        <v>#REF!</v>
      </c>
      <c r="F2468" s="1644" t="e">
        <f>SUMIF(#REF!,Final!A2468,#REF!)</f>
        <v>#REF!</v>
      </c>
      <c r="G2468" s="1597" t="e">
        <f t="shared" si="256"/>
        <v>#REF!</v>
      </c>
      <c r="H2468" s="1644" t="e">
        <f t="shared" si="257"/>
        <v>#REF!</v>
      </c>
      <c r="I2468" s="1597" t="e">
        <f t="shared" si="258"/>
        <v>#REF!</v>
      </c>
      <c r="J2468" s="1644" t="e">
        <f t="shared" si="259"/>
        <v>#REF!</v>
      </c>
      <c r="K2468" s="1539"/>
      <c r="L2468" s="1539"/>
      <c r="M2468" s="1545"/>
      <c r="N2468" s="1545"/>
      <c r="O2468" s="1539"/>
      <c r="P2468" s="1539"/>
      <c r="Q2468" s="1539"/>
      <c r="R2468" s="1539"/>
      <c r="S2468" s="1539"/>
      <c r="T2468" s="1539"/>
      <c r="U2468" s="1539"/>
      <c r="V2468" s="1539"/>
      <c r="W2468" s="1539"/>
      <c r="X2468" s="1539"/>
      <c r="Y2468" s="1539"/>
      <c r="Z2468" s="1539"/>
      <c r="AA2468" s="1539"/>
      <c r="AB2468" s="1539"/>
      <c r="AC2468" s="1539"/>
      <c r="AD2468" s="1539"/>
      <c r="AE2468" s="1539"/>
      <c r="AF2468" s="1539"/>
      <c r="AG2468" s="1539"/>
      <c r="AH2468" s="1539"/>
      <c r="AI2468" s="1539"/>
      <c r="AJ2468" s="1539"/>
      <c r="AK2468" s="1539"/>
      <c r="AL2468" s="1539"/>
      <c r="AM2468" s="1539"/>
      <c r="AN2468" s="1539"/>
      <c r="AO2468" s="1539"/>
      <c r="AP2468" s="1539"/>
      <c r="AQ2468" s="1539"/>
      <c r="AR2468" s="1539"/>
      <c r="AS2468" s="1539"/>
      <c r="AT2468" s="1539"/>
      <c r="AU2468" s="1539"/>
      <c r="AV2468" s="1539"/>
      <c r="AW2468" s="1539"/>
      <c r="AX2468" s="1539"/>
      <c r="AY2468" s="1539"/>
      <c r="AZ2468" s="1539"/>
      <c r="BA2468" s="1539"/>
      <c r="BB2468" s="1539"/>
      <c r="BC2468" s="1539"/>
      <c r="BD2468" s="1539"/>
      <c r="BE2468" s="1539"/>
      <c r="BF2468" s="1539"/>
      <c r="BG2468" s="1539"/>
      <c r="BH2468" s="1539"/>
      <c r="BI2468" s="1539"/>
      <c r="BJ2468" s="1539"/>
      <c r="BK2468" s="1539"/>
      <c r="BL2468" s="1539"/>
      <c r="BM2468" s="1539"/>
      <c r="BN2468" s="1539"/>
      <c r="BO2468" s="1539"/>
      <c r="BP2468" s="1539"/>
      <c r="BQ2468" s="1539"/>
      <c r="BR2468" s="1539"/>
      <c r="BS2468" s="1539"/>
      <c r="BT2468" s="1539"/>
      <c r="BU2468" s="1539"/>
      <c r="BV2468" s="1539"/>
      <c r="BW2468" s="1539"/>
      <c r="BX2468" s="1539"/>
      <c r="BY2468" s="1539"/>
      <c r="BZ2468" s="1539"/>
      <c r="CA2468" s="1539"/>
      <c r="CB2468" s="1539"/>
      <c r="CC2468" s="1539"/>
      <c r="CD2468" s="1539"/>
      <c r="CE2468" s="1539"/>
      <c r="CF2468" s="1539"/>
      <c r="CG2468" s="1539"/>
      <c r="CH2468" s="1539"/>
      <c r="CI2468" s="1539"/>
      <c r="CJ2468" s="1539"/>
      <c r="CK2468" s="1539"/>
      <c r="CL2468" s="1539"/>
      <c r="CM2468" s="1539"/>
      <c r="CN2468" s="1539"/>
      <c r="CO2468" s="1539"/>
    </row>
    <row r="2469" spans="1:93" s="1552" customFormat="1" ht="15.5">
      <c r="A2469" s="1598"/>
      <c r="B2469" s="1599" t="s">
        <v>1747</v>
      </c>
      <c r="C2469" s="1643" t="e">
        <f>+SUMIF(#REF!,Final!A2469,#REF!)</f>
        <v>#REF!</v>
      </c>
      <c r="D2469" s="1597" t="e">
        <f>+SUMIF(#REF!,Final!A2469,#REF!)</f>
        <v>#REF!</v>
      </c>
      <c r="E2469" s="1643" t="e">
        <f>SUMIF(#REF!,Final!A2469,#REF!)</f>
        <v>#REF!</v>
      </c>
      <c r="F2469" s="1644" t="e">
        <f>SUMIF(#REF!,Final!A2469,#REF!)</f>
        <v>#REF!</v>
      </c>
      <c r="G2469" s="1597" t="e">
        <f t="shared" si="256"/>
        <v>#REF!</v>
      </c>
      <c r="H2469" s="1644" t="e">
        <f t="shared" si="257"/>
        <v>#REF!</v>
      </c>
      <c r="I2469" s="1597" t="e">
        <f t="shared" si="258"/>
        <v>#REF!</v>
      </c>
      <c r="J2469" s="1644" t="e">
        <f t="shared" si="259"/>
        <v>#REF!</v>
      </c>
      <c r="K2469" s="1539"/>
      <c r="L2469" s="1539"/>
      <c r="M2469" s="1545"/>
      <c r="N2469" s="1545"/>
      <c r="O2469" s="1539"/>
      <c r="P2469" s="1539"/>
      <c r="Q2469" s="1539"/>
      <c r="R2469" s="1539"/>
      <c r="S2469" s="1539"/>
      <c r="T2469" s="1539"/>
      <c r="U2469" s="1539"/>
      <c r="V2469" s="1539"/>
      <c r="W2469" s="1539"/>
      <c r="X2469" s="1539"/>
      <c r="Y2469" s="1539"/>
      <c r="Z2469" s="1539"/>
      <c r="AA2469" s="1539"/>
      <c r="AB2469" s="1539"/>
      <c r="AC2469" s="1539"/>
      <c r="AD2469" s="1539"/>
      <c r="AE2469" s="1539"/>
      <c r="AF2469" s="1539"/>
      <c r="AG2469" s="1539"/>
      <c r="AH2469" s="1539"/>
      <c r="AI2469" s="1539"/>
      <c r="AJ2469" s="1539"/>
      <c r="AK2469" s="1539"/>
      <c r="AL2469" s="1539"/>
      <c r="AM2469" s="1539"/>
      <c r="AN2469" s="1539"/>
      <c r="AO2469" s="1539"/>
      <c r="AP2469" s="1539"/>
      <c r="AQ2469" s="1539"/>
      <c r="AR2469" s="1539"/>
      <c r="AS2469" s="1539"/>
      <c r="AT2469" s="1539"/>
      <c r="AU2469" s="1539"/>
      <c r="AV2469" s="1539"/>
      <c r="AW2469" s="1539"/>
      <c r="AX2469" s="1539"/>
      <c r="AY2469" s="1539"/>
      <c r="AZ2469" s="1539"/>
      <c r="BA2469" s="1539"/>
      <c r="BB2469" s="1539"/>
      <c r="BC2469" s="1539"/>
      <c r="BD2469" s="1539"/>
      <c r="BE2469" s="1539"/>
      <c r="BF2469" s="1539"/>
      <c r="BG2469" s="1539"/>
      <c r="BH2469" s="1539"/>
      <c r="BI2469" s="1539"/>
      <c r="BJ2469" s="1539"/>
      <c r="BK2469" s="1539"/>
      <c r="BL2469" s="1539"/>
      <c r="BM2469" s="1539"/>
      <c r="BN2469" s="1539"/>
      <c r="BO2469" s="1539"/>
      <c r="BP2469" s="1539"/>
      <c r="BQ2469" s="1539"/>
      <c r="BR2469" s="1539"/>
      <c r="BS2469" s="1539"/>
      <c r="BT2469" s="1539"/>
      <c r="BU2469" s="1539"/>
      <c r="BV2469" s="1539"/>
      <c r="BW2469" s="1539"/>
      <c r="BX2469" s="1539"/>
      <c r="BY2469" s="1539"/>
      <c r="BZ2469" s="1539"/>
      <c r="CA2469" s="1539"/>
      <c r="CB2469" s="1539"/>
      <c r="CC2469" s="1539"/>
      <c r="CD2469" s="1539"/>
      <c r="CE2469" s="1539"/>
      <c r="CF2469" s="1539"/>
      <c r="CG2469" s="1539"/>
      <c r="CH2469" s="1539"/>
      <c r="CI2469" s="1539"/>
      <c r="CJ2469" s="1539"/>
      <c r="CK2469" s="1539"/>
      <c r="CL2469" s="1539"/>
      <c r="CM2469" s="1539"/>
      <c r="CN2469" s="1539"/>
      <c r="CO2469" s="1539"/>
    </row>
    <row r="2470" spans="1:93" s="1552" customFormat="1" ht="15.5">
      <c r="A2470" s="1598" t="s">
        <v>3501</v>
      </c>
      <c r="B2470" s="1599" t="s">
        <v>1760</v>
      </c>
      <c r="C2470" s="1643" t="e">
        <f>+SUMIF(#REF!,Final!A2470,#REF!)</f>
        <v>#REF!</v>
      </c>
      <c r="D2470" s="1597" t="e">
        <f>+SUMIF(#REF!,Final!A2470,#REF!)</f>
        <v>#REF!</v>
      </c>
      <c r="E2470" s="1643" t="e">
        <f>SUMIF(#REF!,Final!A2470,#REF!)</f>
        <v>#REF!</v>
      </c>
      <c r="F2470" s="1644" t="e">
        <f>SUMIF(#REF!,Final!A2470,#REF!)</f>
        <v>#REF!</v>
      </c>
      <c r="G2470" s="1597" t="e">
        <f t="shared" si="256"/>
        <v>#REF!</v>
      </c>
      <c r="H2470" s="1644" t="e">
        <f t="shared" si="257"/>
        <v>#REF!</v>
      </c>
      <c r="I2470" s="1597" t="e">
        <f t="shared" si="258"/>
        <v>#REF!</v>
      </c>
      <c r="J2470" s="1644" t="e">
        <f t="shared" si="259"/>
        <v>#REF!</v>
      </c>
      <c r="K2470" s="1539"/>
      <c r="L2470" s="1539"/>
      <c r="M2470" s="1545"/>
      <c r="N2470" s="1545"/>
      <c r="O2470" s="1539"/>
      <c r="P2470" s="1539"/>
      <c r="Q2470" s="1539"/>
      <c r="R2470" s="1539"/>
      <c r="S2470" s="1539"/>
      <c r="T2470" s="1539"/>
      <c r="U2470" s="1539"/>
      <c r="V2470" s="1539"/>
      <c r="W2470" s="1539"/>
      <c r="X2470" s="1539"/>
      <c r="Y2470" s="1539"/>
      <c r="Z2470" s="1539"/>
      <c r="AA2470" s="1539"/>
      <c r="AB2470" s="1539"/>
      <c r="AC2470" s="1539"/>
      <c r="AD2470" s="1539"/>
      <c r="AE2470" s="1539"/>
      <c r="AF2470" s="1539"/>
      <c r="AG2470" s="1539"/>
      <c r="AH2470" s="1539"/>
      <c r="AI2470" s="1539"/>
      <c r="AJ2470" s="1539"/>
      <c r="AK2470" s="1539"/>
      <c r="AL2470" s="1539"/>
      <c r="AM2470" s="1539"/>
      <c r="AN2470" s="1539"/>
      <c r="AO2470" s="1539"/>
      <c r="AP2470" s="1539"/>
      <c r="AQ2470" s="1539"/>
      <c r="AR2470" s="1539"/>
      <c r="AS2470" s="1539"/>
      <c r="AT2470" s="1539"/>
      <c r="AU2470" s="1539"/>
      <c r="AV2470" s="1539"/>
      <c r="AW2470" s="1539"/>
      <c r="AX2470" s="1539"/>
      <c r="AY2470" s="1539"/>
      <c r="AZ2470" s="1539"/>
      <c r="BA2470" s="1539"/>
      <c r="BB2470" s="1539"/>
      <c r="BC2470" s="1539"/>
      <c r="BD2470" s="1539"/>
      <c r="BE2470" s="1539"/>
      <c r="BF2470" s="1539"/>
      <c r="BG2470" s="1539"/>
      <c r="BH2470" s="1539"/>
      <c r="BI2470" s="1539"/>
      <c r="BJ2470" s="1539"/>
      <c r="BK2470" s="1539"/>
      <c r="BL2470" s="1539"/>
      <c r="BM2470" s="1539"/>
      <c r="BN2470" s="1539"/>
      <c r="BO2470" s="1539"/>
      <c r="BP2470" s="1539"/>
      <c r="BQ2470" s="1539"/>
      <c r="BR2470" s="1539"/>
      <c r="BS2470" s="1539"/>
      <c r="BT2470" s="1539"/>
      <c r="BU2470" s="1539"/>
      <c r="BV2470" s="1539"/>
      <c r="BW2470" s="1539"/>
      <c r="BX2470" s="1539"/>
      <c r="BY2470" s="1539"/>
      <c r="BZ2470" s="1539"/>
      <c r="CA2470" s="1539"/>
      <c r="CB2470" s="1539"/>
      <c r="CC2470" s="1539"/>
      <c r="CD2470" s="1539"/>
      <c r="CE2470" s="1539"/>
      <c r="CF2470" s="1539"/>
      <c r="CG2470" s="1539"/>
      <c r="CH2470" s="1539"/>
      <c r="CI2470" s="1539"/>
      <c r="CJ2470" s="1539"/>
      <c r="CK2470" s="1539"/>
      <c r="CL2470" s="1539"/>
      <c r="CM2470" s="1539"/>
      <c r="CN2470" s="1539"/>
      <c r="CO2470" s="1539"/>
    </row>
    <row r="2471" spans="1:93" s="1552" customFormat="1" ht="15.5">
      <c r="A2471" s="1598" t="s">
        <v>3501</v>
      </c>
      <c r="B2471" s="1599" t="s">
        <v>3502</v>
      </c>
      <c r="C2471" s="1643" t="e">
        <f>+SUMIF(#REF!,Final!A2471,#REF!)</f>
        <v>#REF!</v>
      </c>
      <c r="D2471" s="1597" t="e">
        <f>+SUMIF(#REF!,Final!A2471,#REF!)</f>
        <v>#REF!</v>
      </c>
      <c r="E2471" s="1643" t="e">
        <f>SUMIF(#REF!,Final!A2471,#REF!)</f>
        <v>#REF!</v>
      </c>
      <c r="F2471" s="1644" t="e">
        <f>SUMIF(#REF!,Final!A2471,#REF!)</f>
        <v>#REF!</v>
      </c>
      <c r="G2471" s="1597" t="e">
        <f t="shared" si="256"/>
        <v>#REF!</v>
      </c>
      <c r="H2471" s="1644" t="e">
        <f t="shared" si="257"/>
        <v>#REF!</v>
      </c>
      <c r="I2471" s="1597" t="e">
        <f t="shared" si="258"/>
        <v>#REF!</v>
      </c>
      <c r="J2471" s="1644" t="e">
        <f t="shared" si="259"/>
        <v>#REF!</v>
      </c>
      <c r="K2471" s="1539"/>
      <c r="L2471" s="1539"/>
      <c r="M2471" s="1545"/>
      <c r="N2471" s="1545"/>
      <c r="O2471" s="1539"/>
      <c r="P2471" s="1539"/>
      <c r="Q2471" s="1539"/>
      <c r="R2471" s="1539"/>
      <c r="S2471" s="1539"/>
      <c r="T2471" s="1539"/>
      <c r="U2471" s="1539"/>
      <c r="V2471" s="1539"/>
      <c r="W2471" s="1539"/>
      <c r="X2471" s="1539"/>
      <c r="Y2471" s="1539"/>
      <c r="Z2471" s="1539"/>
      <c r="AA2471" s="1539"/>
      <c r="AB2471" s="1539"/>
      <c r="AC2471" s="1539"/>
      <c r="AD2471" s="1539"/>
      <c r="AE2471" s="1539"/>
      <c r="AF2471" s="1539"/>
      <c r="AG2471" s="1539"/>
      <c r="AH2471" s="1539"/>
      <c r="AI2471" s="1539"/>
      <c r="AJ2471" s="1539"/>
      <c r="AK2471" s="1539"/>
      <c r="AL2471" s="1539"/>
      <c r="AM2471" s="1539"/>
      <c r="AN2471" s="1539"/>
      <c r="AO2471" s="1539"/>
      <c r="AP2471" s="1539"/>
      <c r="AQ2471" s="1539"/>
      <c r="AR2471" s="1539"/>
      <c r="AS2471" s="1539"/>
      <c r="AT2471" s="1539"/>
      <c r="AU2471" s="1539"/>
      <c r="AV2471" s="1539"/>
      <c r="AW2471" s="1539"/>
      <c r="AX2471" s="1539"/>
      <c r="AY2471" s="1539"/>
      <c r="AZ2471" s="1539"/>
      <c r="BA2471" s="1539"/>
      <c r="BB2471" s="1539"/>
      <c r="BC2471" s="1539"/>
      <c r="BD2471" s="1539"/>
      <c r="BE2471" s="1539"/>
      <c r="BF2471" s="1539"/>
      <c r="BG2471" s="1539"/>
      <c r="BH2471" s="1539"/>
      <c r="BI2471" s="1539"/>
      <c r="BJ2471" s="1539"/>
      <c r="BK2471" s="1539"/>
      <c r="BL2471" s="1539"/>
      <c r="BM2471" s="1539"/>
      <c r="BN2471" s="1539"/>
      <c r="BO2471" s="1539"/>
      <c r="BP2471" s="1539"/>
      <c r="BQ2471" s="1539"/>
      <c r="BR2471" s="1539"/>
      <c r="BS2471" s="1539"/>
      <c r="BT2471" s="1539"/>
      <c r="BU2471" s="1539"/>
      <c r="BV2471" s="1539"/>
      <c r="BW2471" s="1539"/>
      <c r="BX2471" s="1539"/>
      <c r="BY2471" s="1539"/>
      <c r="BZ2471" s="1539"/>
      <c r="CA2471" s="1539"/>
      <c r="CB2471" s="1539"/>
      <c r="CC2471" s="1539"/>
      <c r="CD2471" s="1539"/>
      <c r="CE2471" s="1539"/>
      <c r="CF2471" s="1539"/>
      <c r="CG2471" s="1539"/>
      <c r="CH2471" s="1539"/>
      <c r="CI2471" s="1539"/>
      <c r="CJ2471" s="1539"/>
      <c r="CK2471" s="1539"/>
      <c r="CL2471" s="1539"/>
      <c r="CM2471" s="1539"/>
      <c r="CN2471" s="1539"/>
      <c r="CO2471" s="1539"/>
    </row>
    <row r="2472" spans="1:93" s="1542" customFormat="1" ht="15.5">
      <c r="A2472" s="1598">
        <v>17</v>
      </c>
      <c r="B2472" s="1599" t="s">
        <v>3497</v>
      </c>
      <c r="C2472" s="1643" t="e">
        <f>+SUMIF(#REF!,Final!A2472,#REF!)</f>
        <v>#REF!</v>
      </c>
      <c r="D2472" s="1597" t="e">
        <f>+SUMIF(#REF!,Final!A2472,#REF!)</f>
        <v>#REF!</v>
      </c>
      <c r="E2472" s="1643" t="e">
        <f>SUMIF(#REF!,Final!A2472,#REF!)</f>
        <v>#REF!</v>
      </c>
      <c r="F2472" s="1644" t="e">
        <f>SUMIF(#REF!,Final!A2472,#REF!)</f>
        <v>#REF!</v>
      </c>
      <c r="G2472" s="1597" t="e">
        <f t="shared" si="256"/>
        <v>#REF!</v>
      </c>
      <c r="H2472" s="1644" t="e">
        <f t="shared" si="257"/>
        <v>#REF!</v>
      </c>
      <c r="I2472" s="1597" t="e">
        <f t="shared" si="258"/>
        <v>#REF!</v>
      </c>
      <c r="J2472" s="1644" t="e">
        <f t="shared" si="259"/>
        <v>#REF!</v>
      </c>
      <c r="K2472" s="1539"/>
      <c r="L2472" s="1539"/>
      <c r="M2472" s="1545"/>
      <c r="N2472" s="1545"/>
      <c r="O2472" s="1539"/>
      <c r="P2472" s="1539"/>
      <c r="Q2472" s="1539"/>
      <c r="R2472" s="1539"/>
      <c r="S2472" s="1539"/>
      <c r="T2472" s="1539"/>
      <c r="U2472" s="1539"/>
      <c r="V2472" s="1539"/>
      <c r="W2472" s="1539"/>
      <c r="X2472" s="1539"/>
      <c r="Y2472" s="1539"/>
      <c r="Z2472" s="1539"/>
      <c r="AA2472" s="1539"/>
      <c r="AB2472" s="1539"/>
      <c r="AC2472" s="1539"/>
      <c r="AD2472" s="1539"/>
      <c r="AE2472" s="1539"/>
      <c r="AF2472" s="1539"/>
      <c r="AG2472" s="1539"/>
      <c r="AH2472" s="1539"/>
      <c r="AI2472" s="1539"/>
      <c r="AJ2472" s="1539"/>
      <c r="AK2472" s="1539"/>
      <c r="AL2472" s="1539"/>
      <c r="AM2472" s="1539"/>
      <c r="AN2472" s="1539"/>
      <c r="AO2472" s="1539"/>
      <c r="AP2472" s="1539"/>
      <c r="AQ2472" s="1539"/>
      <c r="AR2472" s="1539"/>
      <c r="AS2472" s="1539"/>
      <c r="AT2472" s="1539"/>
      <c r="AU2472" s="1539"/>
      <c r="AV2472" s="1539"/>
      <c r="AW2472" s="1539"/>
      <c r="AX2472" s="1539"/>
      <c r="AY2472" s="1539"/>
      <c r="AZ2472" s="1539"/>
      <c r="BA2472" s="1539"/>
      <c r="BB2472" s="1539"/>
      <c r="BC2472" s="1539"/>
      <c r="BD2472" s="1539"/>
      <c r="BE2472" s="1539"/>
      <c r="BF2472" s="1539"/>
      <c r="BG2472" s="1539"/>
      <c r="BH2472" s="1539"/>
      <c r="BI2472" s="1539"/>
      <c r="BJ2472" s="1539"/>
      <c r="BK2472" s="1539"/>
      <c r="BL2472" s="1539"/>
      <c r="BM2472" s="1539"/>
      <c r="BN2472" s="1539"/>
      <c r="BO2472" s="1539"/>
      <c r="BP2472" s="1539"/>
      <c r="BQ2472" s="1539"/>
      <c r="BR2472" s="1539"/>
      <c r="BS2472" s="1539"/>
      <c r="BT2472" s="1539"/>
      <c r="BU2472" s="1539"/>
      <c r="BV2472" s="1539"/>
      <c r="BW2472" s="1539"/>
      <c r="BX2472" s="1539"/>
      <c r="BY2472" s="1539"/>
      <c r="BZ2472" s="1539"/>
      <c r="CA2472" s="1539"/>
      <c r="CB2472" s="1539"/>
      <c r="CC2472" s="1539"/>
      <c r="CD2472" s="1539"/>
      <c r="CE2472" s="1539"/>
      <c r="CF2472" s="1539"/>
      <c r="CG2472" s="1539"/>
      <c r="CH2472" s="1539"/>
      <c r="CI2472" s="1539"/>
      <c r="CJ2472" s="1539"/>
      <c r="CK2472" s="1539"/>
      <c r="CL2472" s="1539"/>
      <c r="CM2472" s="1539"/>
      <c r="CN2472" s="1539"/>
      <c r="CO2472" s="1539"/>
    </row>
    <row r="2473" spans="1:93" s="1542" customFormat="1" ht="15.5">
      <c r="A2473" s="1598" t="s">
        <v>1818</v>
      </c>
      <c r="B2473" s="1599" t="s">
        <v>1755</v>
      </c>
      <c r="C2473" s="1643" t="e">
        <f>+SUMIF(#REF!,Final!A2473,#REF!)</f>
        <v>#REF!</v>
      </c>
      <c r="D2473" s="1597" t="e">
        <f>+SUMIF(#REF!,Final!A2473,#REF!)</f>
        <v>#REF!</v>
      </c>
      <c r="E2473" s="1643" t="e">
        <f>SUMIF(#REF!,Final!A2473,#REF!)</f>
        <v>#REF!</v>
      </c>
      <c r="F2473" s="1644" t="e">
        <f>SUMIF(#REF!,Final!A2473,#REF!)</f>
        <v>#REF!</v>
      </c>
      <c r="G2473" s="1597" t="e">
        <f t="shared" si="256"/>
        <v>#REF!</v>
      </c>
      <c r="H2473" s="1644" t="e">
        <f t="shared" si="257"/>
        <v>#REF!</v>
      </c>
      <c r="I2473" s="1597" t="e">
        <f t="shared" si="258"/>
        <v>#REF!</v>
      </c>
      <c r="J2473" s="1644" t="e">
        <f t="shared" si="259"/>
        <v>#REF!</v>
      </c>
      <c r="K2473" s="1539"/>
      <c r="L2473" s="1539"/>
      <c r="M2473" s="1545"/>
      <c r="N2473" s="1545"/>
      <c r="O2473" s="1539"/>
      <c r="P2473" s="1539"/>
      <c r="Q2473" s="1539"/>
      <c r="R2473" s="1539"/>
      <c r="S2473" s="1539"/>
      <c r="T2473" s="1539"/>
      <c r="U2473" s="1539"/>
      <c r="V2473" s="1539"/>
      <c r="W2473" s="1539"/>
      <c r="X2473" s="1539"/>
      <c r="Y2473" s="1539"/>
      <c r="Z2473" s="1539"/>
      <c r="AA2473" s="1539"/>
      <c r="AB2473" s="1539"/>
      <c r="AC2473" s="1539"/>
      <c r="AD2473" s="1539"/>
      <c r="AE2473" s="1539"/>
      <c r="AF2473" s="1539"/>
      <c r="AG2473" s="1539"/>
      <c r="AH2473" s="1539"/>
      <c r="AI2473" s="1539"/>
      <c r="AJ2473" s="1539"/>
      <c r="AK2473" s="1539"/>
      <c r="AL2473" s="1539"/>
      <c r="AM2473" s="1539"/>
      <c r="AN2473" s="1539"/>
      <c r="AO2473" s="1539"/>
      <c r="AP2473" s="1539"/>
      <c r="AQ2473" s="1539"/>
      <c r="AR2473" s="1539"/>
      <c r="AS2473" s="1539"/>
      <c r="AT2473" s="1539"/>
      <c r="AU2473" s="1539"/>
      <c r="AV2473" s="1539"/>
      <c r="AW2473" s="1539"/>
      <c r="AX2473" s="1539"/>
      <c r="AY2473" s="1539"/>
      <c r="AZ2473" s="1539"/>
      <c r="BA2473" s="1539"/>
      <c r="BB2473" s="1539"/>
      <c r="BC2473" s="1539"/>
      <c r="BD2473" s="1539"/>
      <c r="BE2473" s="1539"/>
      <c r="BF2473" s="1539"/>
      <c r="BG2473" s="1539"/>
      <c r="BH2473" s="1539"/>
      <c r="BI2473" s="1539"/>
      <c r="BJ2473" s="1539"/>
      <c r="BK2473" s="1539"/>
      <c r="BL2473" s="1539"/>
      <c r="BM2473" s="1539"/>
      <c r="BN2473" s="1539"/>
      <c r="BO2473" s="1539"/>
      <c r="BP2473" s="1539"/>
      <c r="BQ2473" s="1539"/>
      <c r="BR2473" s="1539"/>
      <c r="BS2473" s="1539"/>
      <c r="BT2473" s="1539"/>
      <c r="BU2473" s="1539"/>
      <c r="BV2473" s="1539"/>
      <c r="BW2473" s="1539"/>
      <c r="BX2473" s="1539"/>
      <c r="BY2473" s="1539"/>
      <c r="BZ2473" s="1539"/>
      <c r="CA2473" s="1539"/>
      <c r="CB2473" s="1539"/>
      <c r="CC2473" s="1539"/>
      <c r="CD2473" s="1539"/>
      <c r="CE2473" s="1539"/>
      <c r="CF2473" s="1539"/>
      <c r="CG2473" s="1539"/>
      <c r="CH2473" s="1539"/>
      <c r="CI2473" s="1539"/>
      <c r="CJ2473" s="1539"/>
      <c r="CK2473" s="1539"/>
      <c r="CL2473" s="1539"/>
      <c r="CM2473" s="1539"/>
      <c r="CN2473" s="1539"/>
      <c r="CO2473" s="1539"/>
    </row>
    <row r="2474" spans="1:93" ht="15.5">
      <c r="A2474" s="1598">
        <v>56.65</v>
      </c>
      <c r="B2474" s="1599" t="s">
        <v>1756</v>
      </c>
      <c r="C2474" s="1643" t="e">
        <f>+SUMIF(#REF!,Final!A2474,#REF!)</f>
        <v>#REF!</v>
      </c>
      <c r="D2474" s="1597" t="e">
        <f>+SUMIF(#REF!,Final!A2474,#REF!)</f>
        <v>#REF!</v>
      </c>
      <c r="E2474" s="1643" t="e">
        <f>SUMIF(#REF!,Final!A2474,#REF!)</f>
        <v>#REF!</v>
      </c>
      <c r="F2474" s="1644" t="e">
        <f>SUMIF(#REF!,Final!A2474,#REF!)</f>
        <v>#REF!</v>
      </c>
      <c r="G2474" s="1597" t="e">
        <f t="shared" si="256"/>
        <v>#REF!</v>
      </c>
      <c r="H2474" s="1644" t="e">
        <f t="shared" si="257"/>
        <v>#REF!</v>
      </c>
      <c r="I2474" s="1597" t="e">
        <f t="shared" si="258"/>
        <v>#REF!</v>
      </c>
      <c r="J2474" s="1644" t="e">
        <f t="shared" si="259"/>
        <v>#REF!</v>
      </c>
      <c r="M2474" s="1545"/>
      <c r="N2474" s="1545"/>
    </row>
    <row r="2475" spans="1:93" s="1552" customFormat="1" ht="15.5">
      <c r="A2475" s="1598"/>
      <c r="B2475" s="1599" t="s">
        <v>1747</v>
      </c>
      <c r="C2475" s="1643" t="e">
        <f>+SUMIF(#REF!,Final!A2475,#REF!)</f>
        <v>#REF!</v>
      </c>
      <c r="D2475" s="1597" t="e">
        <f>+SUMIF(#REF!,Final!A2475,#REF!)</f>
        <v>#REF!</v>
      </c>
      <c r="E2475" s="1643" t="e">
        <f>SUMIF(#REF!,Final!A2475,#REF!)</f>
        <v>#REF!</v>
      </c>
      <c r="F2475" s="1644" t="e">
        <f>SUMIF(#REF!,Final!A2475,#REF!)</f>
        <v>#REF!</v>
      </c>
      <c r="G2475" s="1597" t="e">
        <f t="shared" si="256"/>
        <v>#REF!</v>
      </c>
      <c r="H2475" s="1644" t="e">
        <f t="shared" si="257"/>
        <v>#REF!</v>
      </c>
      <c r="I2475" s="1597" t="e">
        <f t="shared" si="258"/>
        <v>#REF!</v>
      </c>
      <c r="J2475" s="1644" t="e">
        <f t="shared" si="259"/>
        <v>#REF!</v>
      </c>
      <c r="K2475" s="1539"/>
      <c r="L2475" s="1539"/>
      <c r="M2475" s="1545"/>
      <c r="N2475" s="1545"/>
      <c r="O2475" s="1539"/>
      <c r="P2475" s="1539"/>
      <c r="Q2475" s="1539"/>
      <c r="R2475" s="1539"/>
      <c r="S2475" s="1539"/>
      <c r="T2475" s="1539"/>
      <c r="U2475" s="1539"/>
      <c r="V2475" s="1539"/>
      <c r="W2475" s="1539"/>
      <c r="X2475" s="1539"/>
      <c r="Y2475" s="1539"/>
      <c r="Z2475" s="1539"/>
      <c r="AA2475" s="1539"/>
      <c r="AB2475" s="1539"/>
      <c r="AC2475" s="1539"/>
      <c r="AD2475" s="1539"/>
      <c r="AE2475" s="1539"/>
      <c r="AF2475" s="1539"/>
      <c r="AG2475" s="1539"/>
      <c r="AH2475" s="1539"/>
      <c r="AI2475" s="1539"/>
      <c r="AJ2475" s="1539"/>
      <c r="AK2475" s="1539"/>
      <c r="AL2475" s="1539"/>
      <c r="AM2475" s="1539"/>
      <c r="AN2475" s="1539"/>
      <c r="AO2475" s="1539"/>
      <c r="AP2475" s="1539"/>
      <c r="AQ2475" s="1539"/>
      <c r="AR2475" s="1539"/>
      <c r="AS2475" s="1539"/>
      <c r="AT2475" s="1539"/>
      <c r="AU2475" s="1539"/>
      <c r="AV2475" s="1539"/>
      <c r="AW2475" s="1539"/>
      <c r="AX2475" s="1539"/>
      <c r="AY2475" s="1539"/>
      <c r="AZ2475" s="1539"/>
      <c r="BA2475" s="1539"/>
      <c r="BB2475" s="1539"/>
      <c r="BC2475" s="1539"/>
      <c r="BD2475" s="1539"/>
      <c r="BE2475" s="1539"/>
      <c r="BF2475" s="1539"/>
      <c r="BG2475" s="1539"/>
      <c r="BH2475" s="1539"/>
      <c r="BI2475" s="1539"/>
      <c r="BJ2475" s="1539"/>
      <c r="BK2475" s="1539"/>
      <c r="BL2475" s="1539"/>
      <c r="BM2475" s="1539"/>
      <c r="BN2475" s="1539"/>
      <c r="BO2475" s="1539"/>
      <c r="BP2475" s="1539"/>
      <c r="BQ2475" s="1539"/>
      <c r="BR2475" s="1539"/>
      <c r="BS2475" s="1539"/>
      <c r="BT2475" s="1539"/>
      <c r="BU2475" s="1539"/>
      <c r="BV2475" s="1539"/>
      <c r="BW2475" s="1539"/>
      <c r="BX2475" s="1539"/>
      <c r="BY2475" s="1539"/>
      <c r="BZ2475" s="1539"/>
      <c r="CA2475" s="1539"/>
      <c r="CB2475" s="1539"/>
      <c r="CC2475" s="1539"/>
      <c r="CD2475" s="1539"/>
      <c r="CE2475" s="1539"/>
      <c r="CF2475" s="1539"/>
      <c r="CG2475" s="1539"/>
      <c r="CH2475" s="1539"/>
      <c r="CI2475" s="1539"/>
      <c r="CJ2475" s="1539"/>
      <c r="CK2475" s="1539"/>
      <c r="CL2475" s="1539"/>
      <c r="CM2475" s="1539"/>
      <c r="CN2475" s="1539"/>
      <c r="CO2475" s="1539"/>
    </row>
    <row r="2476" spans="1:93" s="1552" customFormat="1" ht="15.5">
      <c r="A2476" s="1598" t="s">
        <v>3503</v>
      </c>
      <c r="B2476" s="1599" t="s">
        <v>3504</v>
      </c>
      <c r="C2476" s="1643" t="e">
        <f>+SUMIF(#REF!,Final!A2476,#REF!)</f>
        <v>#REF!</v>
      </c>
      <c r="D2476" s="1597" t="e">
        <f>+SUMIF(#REF!,Final!A2476,#REF!)</f>
        <v>#REF!</v>
      </c>
      <c r="E2476" s="1643" t="e">
        <f>SUMIF(#REF!,Final!A2476,#REF!)</f>
        <v>#REF!</v>
      </c>
      <c r="F2476" s="1644" t="e">
        <f>SUMIF(#REF!,Final!A2476,#REF!)</f>
        <v>#REF!</v>
      </c>
      <c r="G2476" s="1597" t="e">
        <f t="shared" si="256"/>
        <v>#REF!</v>
      </c>
      <c r="H2476" s="1644" t="e">
        <f t="shared" si="257"/>
        <v>#REF!</v>
      </c>
      <c r="I2476" s="1597" t="e">
        <f t="shared" si="258"/>
        <v>#REF!</v>
      </c>
      <c r="J2476" s="1644" t="e">
        <f t="shared" si="259"/>
        <v>#REF!</v>
      </c>
      <c r="K2476" s="1539"/>
      <c r="L2476" s="1539"/>
      <c r="M2476" s="1545"/>
      <c r="N2476" s="1545"/>
      <c r="O2476" s="1539"/>
      <c r="P2476" s="1539"/>
      <c r="Q2476" s="1539"/>
      <c r="R2476" s="1539"/>
      <c r="S2476" s="1539"/>
      <c r="T2476" s="1539"/>
      <c r="U2476" s="1539"/>
      <c r="V2476" s="1539"/>
      <c r="W2476" s="1539"/>
      <c r="X2476" s="1539"/>
      <c r="Y2476" s="1539"/>
      <c r="Z2476" s="1539"/>
      <c r="AA2476" s="1539"/>
      <c r="AB2476" s="1539"/>
      <c r="AC2476" s="1539"/>
      <c r="AD2476" s="1539"/>
      <c r="AE2476" s="1539"/>
      <c r="AF2476" s="1539"/>
      <c r="AG2476" s="1539"/>
      <c r="AH2476" s="1539"/>
      <c r="AI2476" s="1539"/>
      <c r="AJ2476" s="1539"/>
      <c r="AK2476" s="1539"/>
      <c r="AL2476" s="1539"/>
      <c r="AM2476" s="1539"/>
      <c r="AN2476" s="1539"/>
      <c r="AO2476" s="1539"/>
      <c r="AP2476" s="1539"/>
      <c r="AQ2476" s="1539"/>
      <c r="AR2476" s="1539"/>
      <c r="AS2476" s="1539"/>
      <c r="AT2476" s="1539"/>
      <c r="AU2476" s="1539"/>
      <c r="AV2476" s="1539"/>
      <c r="AW2476" s="1539"/>
      <c r="AX2476" s="1539"/>
      <c r="AY2476" s="1539"/>
      <c r="AZ2476" s="1539"/>
      <c r="BA2476" s="1539"/>
      <c r="BB2476" s="1539"/>
      <c r="BC2476" s="1539"/>
      <c r="BD2476" s="1539"/>
      <c r="BE2476" s="1539"/>
      <c r="BF2476" s="1539"/>
      <c r="BG2476" s="1539"/>
      <c r="BH2476" s="1539"/>
      <c r="BI2476" s="1539"/>
      <c r="BJ2476" s="1539"/>
      <c r="BK2476" s="1539"/>
      <c r="BL2476" s="1539"/>
      <c r="BM2476" s="1539"/>
      <c r="BN2476" s="1539"/>
      <c r="BO2476" s="1539"/>
      <c r="BP2476" s="1539"/>
      <c r="BQ2476" s="1539"/>
      <c r="BR2476" s="1539"/>
      <c r="BS2476" s="1539"/>
      <c r="BT2476" s="1539"/>
      <c r="BU2476" s="1539"/>
      <c r="BV2476" s="1539"/>
      <c r="BW2476" s="1539"/>
      <c r="BX2476" s="1539"/>
      <c r="BY2476" s="1539"/>
      <c r="BZ2476" s="1539"/>
      <c r="CA2476" s="1539"/>
      <c r="CB2476" s="1539"/>
      <c r="CC2476" s="1539"/>
      <c r="CD2476" s="1539"/>
      <c r="CE2476" s="1539"/>
      <c r="CF2476" s="1539"/>
      <c r="CG2476" s="1539"/>
      <c r="CH2476" s="1539"/>
      <c r="CI2476" s="1539"/>
      <c r="CJ2476" s="1539"/>
      <c r="CK2476" s="1539"/>
      <c r="CL2476" s="1539"/>
      <c r="CM2476" s="1539"/>
      <c r="CN2476" s="1539"/>
      <c r="CO2476" s="1539"/>
    </row>
    <row r="2477" spans="1:93" s="1542" customFormat="1" ht="15.5">
      <c r="A2477" s="1598">
        <v>17</v>
      </c>
      <c r="B2477" s="1599" t="s">
        <v>3497</v>
      </c>
      <c r="C2477" s="1643" t="e">
        <f>+SUMIF(#REF!,Final!A2477,#REF!)</f>
        <v>#REF!</v>
      </c>
      <c r="D2477" s="1597" t="e">
        <f>+SUMIF(#REF!,Final!A2477,#REF!)</f>
        <v>#REF!</v>
      </c>
      <c r="E2477" s="1643" t="e">
        <f>SUMIF(#REF!,Final!A2477,#REF!)</f>
        <v>#REF!</v>
      </c>
      <c r="F2477" s="1644" t="e">
        <f>SUMIF(#REF!,Final!A2477,#REF!)</f>
        <v>#REF!</v>
      </c>
      <c r="G2477" s="1597" t="e">
        <f t="shared" si="256"/>
        <v>#REF!</v>
      </c>
      <c r="H2477" s="1644" t="e">
        <f t="shared" si="257"/>
        <v>#REF!</v>
      </c>
      <c r="I2477" s="1597" t="e">
        <f t="shared" si="258"/>
        <v>#REF!</v>
      </c>
      <c r="J2477" s="1644" t="e">
        <f t="shared" si="259"/>
        <v>#REF!</v>
      </c>
      <c r="K2477" s="1539"/>
      <c r="L2477" s="1539"/>
      <c r="M2477" s="1545"/>
      <c r="N2477" s="1545"/>
      <c r="O2477" s="1539"/>
      <c r="P2477" s="1539"/>
      <c r="Q2477" s="1539"/>
      <c r="R2477" s="1539"/>
      <c r="S2477" s="1539"/>
      <c r="T2477" s="1539"/>
      <c r="U2477" s="1539"/>
      <c r="V2477" s="1539"/>
      <c r="W2477" s="1539"/>
      <c r="X2477" s="1539"/>
      <c r="Y2477" s="1539"/>
      <c r="Z2477" s="1539"/>
      <c r="AA2477" s="1539"/>
      <c r="AB2477" s="1539"/>
      <c r="AC2477" s="1539"/>
      <c r="AD2477" s="1539"/>
      <c r="AE2477" s="1539"/>
      <c r="AF2477" s="1539"/>
      <c r="AG2477" s="1539"/>
      <c r="AH2477" s="1539"/>
      <c r="AI2477" s="1539"/>
      <c r="AJ2477" s="1539"/>
      <c r="AK2477" s="1539"/>
      <c r="AL2477" s="1539"/>
      <c r="AM2477" s="1539"/>
      <c r="AN2477" s="1539"/>
      <c r="AO2477" s="1539"/>
      <c r="AP2477" s="1539"/>
      <c r="AQ2477" s="1539"/>
      <c r="AR2477" s="1539"/>
      <c r="AS2477" s="1539"/>
      <c r="AT2477" s="1539"/>
      <c r="AU2477" s="1539"/>
      <c r="AV2477" s="1539"/>
      <c r="AW2477" s="1539"/>
      <c r="AX2477" s="1539"/>
      <c r="AY2477" s="1539"/>
      <c r="AZ2477" s="1539"/>
      <c r="BA2477" s="1539"/>
      <c r="BB2477" s="1539"/>
      <c r="BC2477" s="1539"/>
      <c r="BD2477" s="1539"/>
      <c r="BE2477" s="1539"/>
      <c r="BF2477" s="1539"/>
      <c r="BG2477" s="1539"/>
      <c r="BH2477" s="1539"/>
      <c r="BI2477" s="1539"/>
      <c r="BJ2477" s="1539"/>
      <c r="BK2477" s="1539"/>
      <c r="BL2477" s="1539"/>
      <c r="BM2477" s="1539"/>
      <c r="BN2477" s="1539"/>
      <c r="BO2477" s="1539"/>
      <c r="BP2477" s="1539"/>
      <c r="BQ2477" s="1539"/>
      <c r="BR2477" s="1539"/>
      <c r="BS2477" s="1539"/>
      <c r="BT2477" s="1539"/>
      <c r="BU2477" s="1539"/>
      <c r="BV2477" s="1539"/>
      <c r="BW2477" s="1539"/>
      <c r="BX2477" s="1539"/>
      <c r="BY2477" s="1539"/>
      <c r="BZ2477" s="1539"/>
      <c r="CA2477" s="1539"/>
      <c r="CB2477" s="1539"/>
      <c r="CC2477" s="1539"/>
      <c r="CD2477" s="1539"/>
      <c r="CE2477" s="1539"/>
      <c r="CF2477" s="1539"/>
      <c r="CG2477" s="1539"/>
      <c r="CH2477" s="1539"/>
      <c r="CI2477" s="1539"/>
      <c r="CJ2477" s="1539"/>
      <c r="CK2477" s="1539"/>
      <c r="CL2477" s="1539"/>
      <c r="CM2477" s="1539"/>
      <c r="CN2477" s="1539"/>
      <c r="CO2477" s="1539"/>
    </row>
    <row r="2478" spans="1:93" s="1542" customFormat="1" ht="15.5">
      <c r="A2478" s="1598" t="s">
        <v>1815</v>
      </c>
      <c r="B2478" s="1599" t="s">
        <v>1754</v>
      </c>
      <c r="C2478" s="1643" t="e">
        <f>+SUMIF(#REF!,Final!A2478,#REF!)</f>
        <v>#REF!</v>
      </c>
      <c r="D2478" s="1597" t="e">
        <f>+SUMIF(#REF!,Final!A2478,#REF!)</f>
        <v>#REF!</v>
      </c>
      <c r="E2478" s="1643" t="e">
        <f>SUMIF(#REF!,Final!A2478,#REF!)</f>
        <v>#REF!</v>
      </c>
      <c r="F2478" s="1644" t="e">
        <f>SUMIF(#REF!,Final!A2478,#REF!)</f>
        <v>#REF!</v>
      </c>
      <c r="G2478" s="1597" t="e">
        <f t="shared" si="256"/>
        <v>#REF!</v>
      </c>
      <c r="H2478" s="1644" t="e">
        <f t="shared" si="257"/>
        <v>#REF!</v>
      </c>
      <c r="I2478" s="1597" t="e">
        <f t="shared" si="258"/>
        <v>#REF!</v>
      </c>
      <c r="J2478" s="1644" t="e">
        <f t="shared" si="259"/>
        <v>#REF!</v>
      </c>
      <c r="K2478" s="1539"/>
      <c r="L2478" s="1539"/>
      <c r="M2478" s="1545"/>
      <c r="N2478" s="1545"/>
      <c r="O2478" s="1539"/>
      <c r="P2478" s="1539"/>
      <c r="Q2478" s="1539"/>
      <c r="R2478" s="1539"/>
      <c r="S2478" s="1539"/>
      <c r="T2478" s="1539"/>
      <c r="U2478" s="1539"/>
      <c r="V2478" s="1539"/>
      <c r="W2478" s="1539"/>
      <c r="X2478" s="1539"/>
      <c r="Y2478" s="1539"/>
      <c r="Z2478" s="1539"/>
      <c r="AA2478" s="1539"/>
      <c r="AB2478" s="1539"/>
      <c r="AC2478" s="1539"/>
      <c r="AD2478" s="1539"/>
      <c r="AE2478" s="1539"/>
      <c r="AF2478" s="1539"/>
      <c r="AG2478" s="1539"/>
      <c r="AH2478" s="1539"/>
      <c r="AI2478" s="1539"/>
      <c r="AJ2478" s="1539"/>
      <c r="AK2478" s="1539"/>
      <c r="AL2478" s="1539"/>
      <c r="AM2478" s="1539"/>
      <c r="AN2478" s="1539"/>
      <c r="AO2478" s="1539"/>
      <c r="AP2478" s="1539"/>
      <c r="AQ2478" s="1539"/>
      <c r="AR2478" s="1539"/>
      <c r="AS2478" s="1539"/>
      <c r="AT2478" s="1539"/>
      <c r="AU2478" s="1539"/>
      <c r="AV2478" s="1539"/>
      <c r="AW2478" s="1539"/>
      <c r="AX2478" s="1539"/>
      <c r="AY2478" s="1539"/>
      <c r="AZ2478" s="1539"/>
      <c r="BA2478" s="1539"/>
      <c r="BB2478" s="1539"/>
      <c r="BC2478" s="1539"/>
      <c r="BD2478" s="1539"/>
      <c r="BE2478" s="1539"/>
      <c r="BF2478" s="1539"/>
      <c r="BG2478" s="1539"/>
      <c r="BH2478" s="1539"/>
      <c r="BI2478" s="1539"/>
      <c r="BJ2478" s="1539"/>
      <c r="BK2478" s="1539"/>
      <c r="BL2478" s="1539"/>
      <c r="BM2478" s="1539"/>
      <c r="BN2478" s="1539"/>
      <c r="BO2478" s="1539"/>
      <c r="BP2478" s="1539"/>
      <c r="BQ2478" s="1539"/>
      <c r="BR2478" s="1539"/>
      <c r="BS2478" s="1539"/>
      <c r="BT2478" s="1539"/>
      <c r="BU2478" s="1539"/>
      <c r="BV2478" s="1539"/>
      <c r="BW2478" s="1539"/>
      <c r="BX2478" s="1539"/>
      <c r="BY2478" s="1539"/>
      <c r="BZ2478" s="1539"/>
      <c r="CA2478" s="1539"/>
      <c r="CB2478" s="1539"/>
      <c r="CC2478" s="1539"/>
      <c r="CD2478" s="1539"/>
      <c r="CE2478" s="1539"/>
      <c r="CF2478" s="1539"/>
      <c r="CG2478" s="1539"/>
      <c r="CH2478" s="1539"/>
      <c r="CI2478" s="1539"/>
      <c r="CJ2478" s="1539"/>
      <c r="CK2478" s="1539"/>
      <c r="CL2478" s="1539"/>
      <c r="CM2478" s="1539"/>
      <c r="CN2478" s="1539"/>
      <c r="CO2478" s="1539"/>
    </row>
    <row r="2479" spans="1:93" ht="15.5">
      <c r="A2479" s="1598">
        <v>56.67</v>
      </c>
      <c r="B2479" s="1599" t="s">
        <v>1754</v>
      </c>
      <c r="C2479" s="1643" t="e">
        <f>+SUMIF(#REF!,Final!A2479,#REF!)</f>
        <v>#REF!</v>
      </c>
      <c r="D2479" s="1597" t="e">
        <f>+SUMIF(#REF!,Final!A2479,#REF!)</f>
        <v>#REF!</v>
      </c>
      <c r="E2479" s="1643" t="e">
        <f>SUMIF(#REF!,Final!A2479,#REF!)</f>
        <v>#REF!</v>
      </c>
      <c r="F2479" s="1644" t="e">
        <f>SUMIF(#REF!,Final!A2479,#REF!)</f>
        <v>#REF!</v>
      </c>
      <c r="G2479" s="1597" t="e">
        <f t="shared" si="256"/>
        <v>#REF!</v>
      </c>
      <c r="H2479" s="1644" t="e">
        <f t="shared" si="257"/>
        <v>#REF!</v>
      </c>
      <c r="I2479" s="1597" t="e">
        <f t="shared" si="258"/>
        <v>#REF!</v>
      </c>
      <c r="J2479" s="1644" t="e">
        <f t="shared" si="259"/>
        <v>#REF!</v>
      </c>
      <c r="M2479" s="1545"/>
      <c r="N2479" s="1545"/>
    </row>
    <row r="2480" spans="1:93" s="1552" customFormat="1" ht="15.5">
      <c r="A2480" s="1598"/>
      <c r="B2480" s="1599" t="s">
        <v>1747</v>
      </c>
      <c r="C2480" s="1643" t="e">
        <f>+SUMIF(#REF!,Final!A2480,#REF!)</f>
        <v>#REF!</v>
      </c>
      <c r="D2480" s="1597" t="e">
        <f>+SUMIF(#REF!,Final!A2480,#REF!)</f>
        <v>#REF!</v>
      </c>
      <c r="E2480" s="1643" t="e">
        <f>SUMIF(#REF!,Final!A2480,#REF!)</f>
        <v>#REF!</v>
      </c>
      <c r="F2480" s="1644" t="e">
        <f>SUMIF(#REF!,Final!A2480,#REF!)</f>
        <v>#REF!</v>
      </c>
      <c r="G2480" s="1597" t="e">
        <f t="shared" si="256"/>
        <v>#REF!</v>
      </c>
      <c r="H2480" s="1644" t="e">
        <f t="shared" si="257"/>
        <v>#REF!</v>
      </c>
      <c r="I2480" s="1597" t="e">
        <f t="shared" si="258"/>
        <v>#REF!</v>
      </c>
      <c r="J2480" s="1644" t="e">
        <f t="shared" si="259"/>
        <v>#REF!</v>
      </c>
      <c r="K2480" s="1539"/>
      <c r="L2480" s="1539"/>
      <c r="M2480" s="1545"/>
      <c r="N2480" s="1545"/>
      <c r="O2480" s="1539"/>
      <c r="P2480" s="1539"/>
      <c r="Q2480" s="1539"/>
      <c r="R2480" s="1539"/>
      <c r="S2480" s="1539"/>
      <c r="T2480" s="1539"/>
      <c r="U2480" s="1539"/>
      <c r="V2480" s="1539"/>
      <c r="W2480" s="1539"/>
      <c r="X2480" s="1539"/>
      <c r="Y2480" s="1539"/>
      <c r="Z2480" s="1539"/>
      <c r="AA2480" s="1539"/>
      <c r="AB2480" s="1539"/>
      <c r="AC2480" s="1539"/>
      <c r="AD2480" s="1539"/>
      <c r="AE2480" s="1539"/>
      <c r="AF2480" s="1539"/>
      <c r="AG2480" s="1539"/>
      <c r="AH2480" s="1539"/>
      <c r="AI2480" s="1539"/>
      <c r="AJ2480" s="1539"/>
      <c r="AK2480" s="1539"/>
      <c r="AL2480" s="1539"/>
      <c r="AM2480" s="1539"/>
      <c r="AN2480" s="1539"/>
      <c r="AO2480" s="1539"/>
      <c r="AP2480" s="1539"/>
      <c r="AQ2480" s="1539"/>
      <c r="AR2480" s="1539"/>
      <c r="AS2480" s="1539"/>
      <c r="AT2480" s="1539"/>
      <c r="AU2480" s="1539"/>
      <c r="AV2480" s="1539"/>
      <c r="AW2480" s="1539"/>
      <c r="AX2480" s="1539"/>
      <c r="AY2480" s="1539"/>
      <c r="AZ2480" s="1539"/>
      <c r="BA2480" s="1539"/>
      <c r="BB2480" s="1539"/>
      <c r="BC2480" s="1539"/>
      <c r="BD2480" s="1539"/>
      <c r="BE2480" s="1539"/>
      <c r="BF2480" s="1539"/>
      <c r="BG2480" s="1539"/>
      <c r="BH2480" s="1539"/>
      <c r="BI2480" s="1539"/>
      <c r="BJ2480" s="1539"/>
      <c r="BK2480" s="1539"/>
      <c r="BL2480" s="1539"/>
      <c r="BM2480" s="1539"/>
      <c r="BN2480" s="1539"/>
      <c r="BO2480" s="1539"/>
      <c r="BP2480" s="1539"/>
      <c r="BQ2480" s="1539"/>
      <c r="BR2480" s="1539"/>
      <c r="BS2480" s="1539"/>
      <c r="BT2480" s="1539"/>
      <c r="BU2480" s="1539"/>
      <c r="BV2480" s="1539"/>
      <c r="BW2480" s="1539"/>
      <c r="BX2480" s="1539"/>
      <c r="BY2480" s="1539"/>
      <c r="BZ2480" s="1539"/>
      <c r="CA2480" s="1539"/>
      <c r="CB2480" s="1539"/>
      <c r="CC2480" s="1539"/>
      <c r="CD2480" s="1539"/>
      <c r="CE2480" s="1539"/>
      <c r="CF2480" s="1539"/>
      <c r="CG2480" s="1539"/>
      <c r="CH2480" s="1539"/>
      <c r="CI2480" s="1539"/>
      <c r="CJ2480" s="1539"/>
      <c r="CK2480" s="1539"/>
      <c r="CL2480" s="1539"/>
      <c r="CM2480" s="1539"/>
      <c r="CN2480" s="1539"/>
      <c r="CO2480" s="1539"/>
    </row>
    <row r="2481" spans="1:93" s="1552" customFormat="1" ht="15.5">
      <c r="A2481" s="1598" t="s">
        <v>3505</v>
      </c>
      <c r="B2481" s="1599" t="s">
        <v>3506</v>
      </c>
      <c r="C2481" s="1643" t="e">
        <f>+SUMIF(#REF!,Final!A2481,#REF!)</f>
        <v>#REF!</v>
      </c>
      <c r="D2481" s="1597" t="e">
        <f>+SUMIF(#REF!,Final!A2481,#REF!)</f>
        <v>#REF!</v>
      </c>
      <c r="E2481" s="1643" t="e">
        <f>SUMIF(#REF!,Final!A2481,#REF!)</f>
        <v>#REF!</v>
      </c>
      <c r="F2481" s="1644" t="e">
        <f>SUMIF(#REF!,Final!A2481,#REF!)</f>
        <v>#REF!</v>
      </c>
      <c r="G2481" s="1597" t="e">
        <f t="shared" si="256"/>
        <v>#REF!</v>
      </c>
      <c r="H2481" s="1644" t="e">
        <f t="shared" si="257"/>
        <v>#REF!</v>
      </c>
      <c r="I2481" s="1597" t="e">
        <f t="shared" si="258"/>
        <v>#REF!</v>
      </c>
      <c r="J2481" s="1644" t="e">
        <f t="shared" si="259"/>
        <v>#REF!</v>
      </c>
      <c r="K2481" s="1539"/>
      <c r="L2481" s="1539"/>
      <c r="M2481" s="1545"/>
      <c r="N2481" s="1545"/>
      <c r="O2481" s="1539"/>
      <c r="P2481" s="1539"/>
      <c r="Q2481" s="1539"/>
      <c r="R2481" s="1539"/>
      <c r="S2481" s="1539"/>
      <c r="T2481" s="1539"/>
      <c r="U2481" s="1539"/>
      <c r="V2481" s="1539"/>
      <c r="W2481" s="1539"/>
      <c r="X2481" s="1539"/>
      <c r="Y2481" s="1539"/>
      <c r="Z2481" s="1539"/>
      <c r="AA2481" s="1539"/>
      <c r="AB2481" s="1539"/>
      <c r="AC2481" s="1539"/>
      <c r="AD2481" s="1539"/>
      <c r="AE2481" s="1539"/>
      <c r="AF2481" s="1539"/>
      <c r="AG2481" s="1539"/>
      <c r="AH2481" s="1539"/>
      <c r="AI2481" s="1539"/>
      <c r="AJ2481" s="1539"/>
      <c r="AK2481" s="1539"/>
      <c r="AL2481" s="1539"/>
      <c r="AM2481" s="1539"/>
      <c r="AN2481" s="1539"/>
      <c r="AO2481" s="1539"/>
      <c r="AP2481" s="1539"/>
      <c r="AQ2481" s="1539"/>
      <c r="AR2481" s="1539"/>
      <c r="AS2481" s="1539"/>
      <c r="AT2481" s="1539"/>
      <c r="AU2481" s="1539"/>
      <c r="AV2481" s="1539"/>
      <c r="AW2481" s="1539"/>
      <c r="AX2481" s="1539"/>
      <c r="AY2481" s="1539"/>
      <c r="AZ2481" s="1539"/>
      <c r="BA2481" s="1539"/>
      <c r="BB2481" s="1539"/>
      <c r="BC2481" s="1539"/>
      <c r="BD2481" s="1539"/>
      <c r="BE2481" s="1539"/>
      <c r="BF2481" s="1539"/>
      <c r="BG2481" s="1539"/>
      <c r="BH2481" s="1539"/>
      <c r="BI2481" s="1539"/>
      <c r="BJ2481" s="1539"/>
      <c r="BK2481" s="1539"/>
      <c r="BL2481" s="1539"/>
      <c r="BM2481" s="1539"/>
      <c r="BN2481" s="1539"/>
      <c r="BO2481" s="1539"/>
      <c r="BP2481" s="1539"/>
      <c r="BQ2481" s="1539"/>
      <c r="BR2481" s="1539"/>
      <c r="BS2481" s="1539"/>
      <c r="BT2481" s="1539"/>
      <c r="BU2481" s="1539"/>
      <c r="BV2481" s="1539"/>
      <c r="BW2481" s="1539"/>
      <c r="BX2481" s="1539"/>
      <c r="BY2481" s="1539"/>
      <c r="BZ2481" s="1539"/>
      <c r="CA2481" s="1539"/>
      <c r="CB2481" s="1539"/>
      <c r="CC2481" s="1539"/>
      <c r="CD2481" s="1539"/>
      <c r="CE2481" s="1539"/>
      <c r="CF2481" s="1539"/>
      <c r="CG2481" s="1539"/>
      <c r="CH2481" s="1539"/>
      <c r="CI2481" s="1539"/>
      <c r="CJ2481" s="1539"/>
      <c r="CK2481" s="1539"/>
      <c r="CL2481" s="1539"/>
      <c r="CM2481" s="1539"/>
      <c r="CN2481" s="1539"/>
      <c r="CO2481" s="1539"/>
    </row>
    <row r="2482" spans="1:93" s="1552" customFormat="1" ht="15.5">
      <c r="A2482" s="1598" t="s">
        <v>3507</v>
      </c>
      <c r="B2482" s="1599" t="s">
        <v>1757</v>
      </c>
      <c r="C2482" s="1643" t="e">
        <f>+SUMIF(#REF!,Final!A2482,#REF!)</f>
        <v>#REF!</v>
      </c>
      <c r="D2482" s="1597" t="e">
        <f>+SUMIF(#REF!,Final!A2482,#REF!)</f>
        <v>#REF!</v>
      </c>
      <c r="E2482" s="1643" t="e">
        <f>SUMIF(#REF!,Final!A2482,#REF!)</f>
        <v>#REF!</v>
      </c>
      <c r="F2482" s="1644" t="e">
        <f>SUMIF(#REF!,Final!A2482,#REF!)</f>
        <v>#REF!</v>
      </c>
      <c r="G2482" s="1597" t="e">
        <f t="shared" si="256"/>
        <v>#REF!</v>
      </c>
      <c r="H2482" s="1644" t="e">
        <f t="shared" si="257"/>
        <v>#REF!</v>
      </c>
      <c r="I2482" s="1597" t="e">
        <f t="shared" si="258"/>
        <v>#REF!</v>
      </c>
      <c r="J2482" s="1644" t="e">
        <f t="shared" si="259"/>
        <v>#REF!</v>
      </c>
      <c r="K2482" s="1539"/>
      <c r="L2482" s="1539"/>
      <c r="M2482" s="1545"/>
      <c r="N2482" s="1545"/>
      <c r="O2482" s="1539"/>
      <c r="P2482" s="1539"/>
      <c r="Q2482" s="1539"/>
      <c r="R2482" s="1539"/>
      <c r="S2482" s="1539"/>
      <c r="T2482" s="1539"/>
      <c r="U2482" s="1539"/>
      <c r="V2482" s="1539"/>
      <c r="W2482" s="1539"/>
      <c r="X2482" s="1539"/>
      <c r="Y2482" s="1539"/>
      <c r="Z2482" s="1539"/>
      <c r="AA2482" s="1539"/>
      <c r="AB2482" s="1539"/>
      <c r="AC2482" s="1539"/>
      <c r="AD2482" s="1539"/>
      <c r="AE2482" s="1539"/>
      <c r="AF2482" s="1539"/>
      <c r="AG2482" s="1539"/>
      <c r="AH2482" s="1539"/>
      <c r="AI2482" s="1539"/>
      <c r="AJ2482" s="1539"/>
      <c r="AK2482" s="1539"/>
      <c r="AL2482" s="1539"/>
      <c r="AM2482" s="1539"/>
      <c r="AN2482" s="1539"/>
      <c r="AO2482" s="1539"/>
      <c r="AP2482" s="1539"/>
      <c r="AQ2482" s="1539"/>
      <c r="AR2482" s="1539"/>
      <c r="AS2482" s="1539"/>
      <c r="AT2482" s="1539"/>
      <c r="AU2482" s="1539"/>
      <c r="AV2482" s="1539"/>
      <c r="AW2482" s="1539"/>
      <c r="AX2482" s="1539"/>
      <c r="AY2482" s="1539"/>
      <c r="AZ2482" s="1539"/>
      <c r="BA2482" s="1539"/>
      <c r="BB2482" s="1539"/>
      <c r="BC2482" s="1539"/>
      <c r="BD2482" s="1539"/>
      <c r="BE2482" s="1539"/>
      <c r="BF2482" s="1539"/>
      <c r="BG2482" s="1539"/>
      <c r="BH2482" s="1539"/>
      <c r="BI2482" s="1539"/>
      <c r="BJ2482" s="1539"/>
      <c r="BK2482" s="1539"/>
      <c r="BL2482" s="1539"/>
      <c r="BM2482" s="1539"/>
      <c r="BN2482" s="1539"/>
      <c r="BO2482" s="1539"/>
      <c r="BP2482" s="1539"/>
      <c r="BQ2482" s="1539"/>
      <c r="BR2482" s="1539"/>
      <c r="BS2482" s="1539"/>
      <c r="BT2482" s="1539"/>
      <c r="BU2482" s="1539"/>
      <c r="BV2482" s="1539"/>
      <c r="BW2482" s="1539"/>
      <c r="BX2482" s="1539"/>
      <c r="BY2482" s="1539"/>
      <c r="BZ2482" s="1539"/>
      <c r="CA2482" s="1539"/>
      <c r="CB2482" s="1539"/>
      <c r="CC2482" s="1539"/>
      <c r="CD2482" s="1539"/>
      <c r="CE2482" s="1539"/>
      <c r="CF2482" s="1539"/>
      <c r="CG2482" s="1539"/>
      <c r="CH2482" s="1539"/>
      <c r="CI2482" s="1539"/>
      <c r="CJ2482" s="1539"/>
      <c r="CK2482" s="1539"/>
      <c r="CL2482" s="1539"/>
      <c r="CM2482" s="1539"/>
      <c r="CN2482" s="1539"/>
      <c r="CO2482" s="1539"/>
    </row>
    <row r="2483" spans="1:93" s="1542" customFormat="1" ht="15.5">
      <c r="A2483" s="1598">
        <v>20</v>
      </c>
      <c r="B2483" s="1599" t="s">
        <v>2918</v>
      </c>
      <c r="C2483" s="1643" t="e">
        <f>+SUMIF(#REF!,Final!A2483,#REF!)</f>
        <v>#REF!</v>
      </c>
      <c r="D2483" s="1597" t="e">
        <f>+SUMIF(#REF!,Final!A2483,#REF!)</f>
        <v>#REF!</v>
      </c>
      <c r="E2483" s="1643" t="e">
        <f>SUMIF(#REF!,Final!A2483,#REF!)</f>
        <v>#REF!</v>
      </c>
      <c r="F2483" s="1644" t="e">
        <f>SUMIF(#REF!,Final!A2483,#REF!)</f>
        <v>#REF!</v>
      </c>
      <c r="G2483" s="1597" t="e">
        <f t="shared" si="256"/>
        <v>#REF!</v>
      </c>
      <c r="H2483" s="1644" t="e">
        <f t="shared" si="257"/>
        <v>#REF!</v>
      </c>
      <c r="I2483" s="1597" t="e">
        <f t="shared" si="258"/>
        <v>#REF!</v>
      </c>
      <c r="J2483" s="1644" t="e">
        <f t="shared" si="259"/>
        <v>#REF!</v>
      </c>
      <c r="K2483" s="1539"/>
      <c r="L2483" s="1539"/>
      <c r="M2483" s="1545"/>
      <c r="N2483" s="1545"/>
      <c r="O2483" s="1539"/>
      <c r="P2483" s="1539"/>
      <c r="Q2483" s="1539"/>
      <c r="R2483" s="1539"/>
      <c r="S2483" s="1539"/>
      <c r="T2483" s="1539"/>
      <c r="U2483" s="1539"/>
      <c r="V2483" s="1539"/>
      <c r="W2483" s="1539"/>
      <c r="X2483" s="1539"/>
      <c r="Y2483" s="1539"/>
      <c r="Z2483" s="1539"/>
      <c r="AA2483" s="1539"/>
      <c r="AB2483" s="1539"/>
      <c r="AC2483" s="1539"/>
      <c r="AD2483" s="1539"/>
      <c r="AE2483" s="1539"/>
      <c r="AF2483" s="1539"/>
      <c r="AG2483" s="1539"/>
      <c r="AH2483" s="1539"/>
      <c r="AI2483" s="1539"/>
      <c r="AJ2483" s="1539"/>
      <c r="AK2483" s="1539"/>
      <c r="AL2483" s="1539"/>
      <c r="AM2483" s="1539"/>
      <c r="AN2483" s="1539"/>
      <c r="AO2483" s="1539"/>
      <c r="AP2483" s="1539"/>
      <c r="AQ2483" s="1539"/>
      <c r="AR2483" s="1539"/>
      <c r="AS2483" s="1539"/>
      <c r="AT2483" s="1539"/>
      <c r="AU2483" s="1539"/>
      <c r="AV2483" s="1539"/>
      <c r="AW2483" s="1539"/>
      <c r="AX2483" s="1539"/>
      <c r="AY2483" s="1539"/>
      <c r="AZ2483" s="1539"/>
      <c r="BA2483" s="1539"/>
      <c r="BB2483" s="1539"/>
      <c r="BC2483" s="1539"/>
      <c r="BD2483" s="1539"/>
      <c r="BE2483" s="1539"/>
      <c r="BF2483" s="1539"/>
      <c r="BG2483" s="1539"/>
      <c r="BH2483" s="1539"/>
      <c r="BI2483" s="1539"/>
      <c r="BJ2483" s="1539"/>
      <c r="BK2483" s="1539"/>
      <c r="BL2483" s="1539"/>
      <c r="BM2483" s="1539"/>
      <c r="BN2483" s="1539"/>
      <c r="BO2483" s="1539"/>
      <c r="BP2483" s="1539"/>
      <c r="BQ2483" s="1539"/>
      <c r="BR2483" s="1539"/>
      <c r="BS2483" s="1539"/>
      <c r="BT2483" s="1539"/>
      <c r="BU2483" s="1539"/>
      <c r="BV2483" s="1539"/>
      <c r="BW2483" s="1539"/>
      <c r="BX2483" s="1539"/>
      <c r="BY2483" s="1539"/>
      <c r="BZ2483" s="1539"/>
      <c r="CA2483" s="1539"/>
      <c r="CB2483" s="1539"/>
      <c r="CC2483" s="1539"/>
      <c r="CD2483" s="1539"/>
      <c r="CE2483" s="1539"/>
      <c r="CF2483" s="1539"/>
      <c r="CG2483" s="1539"/>
      <c r="CH2483" s="1539"/>
      <c r="CI2483" s="1539"/>
      <c r="CJ2483" s="1539"/>
      <c r="CK2483" s="1539"/>
      <c r="CL2483" s="1539"/>
      <c r="CM2483" s="1539"/>
      <c r="CN2483" s="1539"/>
      <c r="CO2483" s="1539"/>
    </row>
    <row r="2484" spans="1:93" s="1542" customFormat="1" ht="15.5">
      <c r="A2484" s="1598" t="s">
        <v>1102</v>
      </c>
      <c r="B2484" s="1599" t="s">
        <v>666</v>
      </c>
      <c r="C2484" s="1643" t="e">
        <f>+SUMIF(#REF!,Final!A2484,#REF!)</f>
        <v>#REF!</v>
      </c>
      <c r="D2484" s="1597" t="e">
        <f>+SUMIF(#REF!,Final!A2484,#REF!)</f>
        <v>#REF!</v>
      </c>
      <c r="E2484" s="1643" t="e">
        <f>SUMIF(#REF!,Final!A2484,#REF!)</f>
        <v>#REF!</v>
      </c>
      <c r="F2484" s="1644" t="e">
        <f>SUMIF(#REF!,Final!A2484,#REF!)</f>
        <v>#REF!</v>
      </c>
      <c r="G2484" s="1597" t="e">
        <f t="shared" si="256"/>
        <v>#REF!</v>
      </c>
      <c r="H2484" s="1644" t="e">
        <f t="shared" si="257"/>
        <v>#REF!</v>
      </c>
      <c r="I2484" s="1597" t="e">
        <f t="shared" si="258"/>
        <v>#REF!</v>
      </c>
      <c r="J2484" s="1644" t="e">
        <f t="shared" si="259"/>
        <v>#REF!</v>
      </c>
      <c r="K2484" s="1539"/>
      <c r="L2484" s="1539"/>
      <c r="M2484" s="1545"/>
      <c r="N2484" s="1545"/>
      <c r="O2484" s="1539"/>
      <c r="P2484" s="1539"/>
      <c r="Q2484" s="1539"/>
      <c r="R2484" s="1539"/>
      <c r="S2484" s="1539"/>
      <c r="T2484" s="1539"/>
      <c r="U2484" s="1539"/>
      <c r="V2484" s="1539"/>
      <c r="W2484" s="1539"/>
      <c r="X2484" s="1539"/>
      <c r="Y2484" s="1539"/>
      <c r="Z2484" s="1539"/>
      <c r="AA2484" s="1539"/>
      <c r="AB2484" s="1539"/>
      <c r="AC2484" s="1539"/>
      <c r="AD2484" s="1539"/>
      <c r="AE2484" s="1539"/>
      <c r="AF2484" s="1539"/>
      <c r="AG2484" s="1539"/>
      <c r="AH2484" s="1539"/>
      <c r="AI2484" s="1539"/>
      <c r="AJ2484" s="1539"/>
      <c r="AK2484" s="1539"/>
      <c r="AL2484" s="1539"/>
      <c r="AM2484" s="1539"/>
      <c r="AN2484" s="1539"/>
      <c r="AO2484" s="1539"/>
      <c r="AP2484" s="1539"/>
      <c r="AQ2484" s="1539"/>
      <c r="AR2484" s="1539"/>
      <c r="AS2484" s="1539"/>
      <c r="AT2484" s="1539"/>
      <c r="AU2484" s="1539"/>
      <c r="AV2484" s="1539"/>
      <c r="AW2484" s="1539"/>
      <c r="AX2484" s="1539"/>
      <c r="AY2484" s="1539"/>
      <c r="AZ2484" s="1539"/>
      <c r="BA2484" s="1539"/>
      <c r="BB2484" s="1539"/>
      <c r="BC2484" s="1539"/>
      <c r="BD2484" s="1539"/>
      <c r="BE2484" s="1539"/>
      <c r="BF2484" s="1539"/>
      <c r="BG2484" s="1539"/>
      <c r="BH2484" s="1539"/>
      <c r="BI2484" s="1539"/>
      <c r="BJ2484" s="1539"/>
      <c r="BK2484" s="1539"/>
      <c r="BL2484" s="1539"/>
      <c r="BM2484" s="1539"/>
      <c r="BN2484" s="1539"/>
      <c r="BO2484" s="1539"/>
      <c r="BP2484" s="1539"/>
      <c r="BQ2484" s="1539"/>
      <c r="BR2484" s="1539"/>
      <c r="BS2484" s="1539"/>
      <c r="BT2484" s="1539"/>
      <c r="BU2484" s="1539"/>
      <c r="BV2484" s="1539"/>
      <c r="BW2484" s="1539"/>
      <c r="BX2484" s="1539"/>
      <c r="BY2484" s="1539"/>
      <c r="BZ2484" s="1539"/>
      <c r="CA2484" s="1539"/>
      <c r="CB2484" s="1539"/>
      <c r="CC2484" s="1539"/>
      <c r="CD2484" s="1539"/>
      <c r="CE2484" s="1539"/>
      <c r="CF2484" s="1539"/>
      <c r="CG2484" s="1539"/>
      <c r="CH2484" s="1539"/>
      <c r="CI2484" s="1539"/>
      <c r="CJ2484" s="1539"/>
      <c r="CK2484" s="1539"/>
      <c r="CL2484" s="1539"/>
      <c r="CM2484" s="1539"/>
      <c r="CN2484" s="1539"/>
      <c r="CO2484" s="1539"/>
    </row>
    <row r="2485" spans="1:93" ht="15.5">
      <c r="A2485" s="1598">
        <v>61.201000000000001</v>
      </c>
      <c r="B2485" s="1599" t="s">
        <v>2919</v>
      </c>
      <c r="C2485" s="1643" t="e">
        <f>+SUMIF(#REF!,Final!A2485,#REF!)</f>
        <v>#REF!</v>
      </c>
      <c r="D2485" s="1597" t="e">
        <f>+SUMIF(#REF!,Final!A2485,#REF!)</f>
        <v>#REF!</v>
      </c>
      <c r="E2485" s="1643" t="e">
        <f>SUMIF(#REF!,Final!A2485,#REF!)</f>
        <v>#REF!</v>
      </c>
      <c r="F2485" s="1644" t="e">
        <f>SUMIF(#REF!,Final!A2485,#REF!)</f>
        <v>#REF!</v>
      </c>
      <c r="G2485" s="1597" t="e">
        <f t="shared" si="256"/>
        <v>#REF!</v>
      </c>
      <c r="H2485" s="1644" t="e">
        <f t="shared" si="257"/>
        <v>#REF!</v>
      </c>
      <c r="I2485" s="1597" t="e">
        <f t="shared" si="258"/>
        <v>#REF!</v>
      </c>
      <c r="J2485" s="1644" t="e">
        <f t="shared" si="259"/>
        <v>#REF!</v>
      </c>
      <c r="M2485" s="1545"/>
      <c r="N2485" s="1545"/>
    </row>
    <row r="2486" spans="1:93" ht="15.5">
      <c r="A2486" s="1598">
        <v>61.201999999999998</v>
      </c>
      <c r="B2486" s="1599" t="s">
        <v>2920</v>
      </c>
      <c r="C2486" s="1643" t="e">
        <f>+SUMIF(#REF!,Final!A2486,#REF!)</f>
        <v>#REF!</v>
      </c>
      <c r="D2486" s="1597" t="e">
        <f>+SUMIF(#REF!,Final!A2486,#REF!)</f>
        <v>#REF!</v>
      </c>
      <c r="E2486" s="1643" t="e">
        <f>SUMIF(#REF!,Final!A2486,#REF!)</f>
        <v>#REF!</v>
      </c>
      <c r="F2486" s="1644" t="e">
        <f>SUMIF(#REF!,Final!A2486,#REF!)</f>
        <v>#REF!</v>
      </c>
      <c r="G2486" s="1597" t="e">
        <f t="shared" si="256"/>
        <v>#REF!</v>
      </c>
      <c r="H2486" s="1644" t="e">
        <f t="shared" si="257"/>
        <v>#REF!</v>
      </c>
      <c r="I2486" s="1597" t="e">
        <f t="shared" si="258"/>
        <v>#REF!</v>
      </c>
      <c r="J2486" s="1644" t="e">
        <f t="shared" si="259"/>
        <v>#REF!</v>
      </c>
      <c r="M2486" s="1545"/>
      <c r="N2486" s="1545"/>
    </row>
    <row r="2487" spans="1:93" ht="15.5">
      <c r="A2487" s="1598">
        <v>61.203000000000003</v>
      </c>
      <c r="B2487" s="1599" t="s">
        <v>2921</v>
      </c>
      <c r="C2487" s="1643" t="e">
        <f>+SUMIF(#REF!,Final!A2487,#REF!)</f>
        <v>#REF!</v>
      </c>
      <c r="D2487" s="1597" t="e">
        <f>+SUMIF(#REF!,Final!A2487,#REF!)</f>
        <v>#REF!</v>
      </c>
      <c r="E2487" s="1643" t="e">
        <f>SUMIF(#REF!,Final!A2487,#REF!)</f>
        <v>#REF!</v>
      </c>
      <c r="F2487" s="1644" t="e">
        <f>SUMIF(#REF!,Final!A2487,#REF!)</f>
        <v>#REF!</v>
      </c>
      <c r="G2487" s="1597" t="e">
        <f t="shared" si="256"/>
        <v>#REF!</v>
      </c>
      <c r="H2487" s="1644" t="e">
        <f t="shared" si="257"/>
        <v>#REF!</v>
      </c>
      <c r="I2487" s="1597" t="e">
        <f t="shared" si="258"/>
        <v>#REF!</v>
      </c>
      <c r="J2487" s="1644" t="e">
        <f t="shared" si="259"/>
        <v>#REF!</v>
      </c>
      <c r="M2487" s="1545"/>
      <c r="N2487" s="1545"/>
    </row>
    <row r="2488" spans="1:93" s="1552" customFormat="1" ht="15.5">
      <c r="A2488" s="1598"/>
      <c r="B2488" s="1599" t="s">
        <v>1747</v>
      </c>
      <c r="C2488" s="1643" t="e">
        <f>+SUMIF(#REF!,Final!A2488,#REF!)</f>
        <v>#REF!</v>
      </c>
      <c r="D2488" s="1597" t="e">
        <f>+SUMIF(#REF!,Final!A2488,#REF!)</f>
        <v>#REF!</v>
      </c>
      <c r="E2488" s="1643" t="e">
        <f>SUMIF(#REF!,Final!A2488,#REF!)</f>
        <v>#REF!</v>
      </c>
      <c r="F2488" s="1644" t="e">
        <f>SUMIF(#REF!,Final!A2488,#REF!)</f>
        <v>#REF!</v>
      </c>
      <c r="G2488" s="1597" t="e">
        <f t="shared" si="256"/>
        <v>#REF!</v>
      </c>
      <c r="H2488" s="1644" t="e">
        <f t="shared" si="257"/>
        <v>#REF!</v>
      </c>
      <c r="I2488" s="1597" t="e">
        <f t="shared" si="258"/>
        <v>#REF!</v>
      </c>
      <c r="J2488" s="1644" t="e">
        <f t="shared" si="259"/>
        <v>#REF!</v>
      </c>
      <c r="K2488" s="1539"/>
      <c r="L2488" s="1539"/>
      <c r="M2488" s="1545"/>
      <c r="N2488" s="1545"/>
      <c r="O2488" s="1539"/>
      <c r="P2488" s="1539"/>
      <c r="Q2488" s="1539"/>
      <c r="R2488" s="1539"/>
      <c r="S2488" s="1539"/>
      <c r="T2488" s="1539"/>
      <c r="U2488" s="1539"/>
      <c r="V2488" s="1539"/>
      <c r="W2488" s="1539"/>
      <c r="X2488" s="1539"/>
      <c r="Y2488" s="1539"/>
      <c r="Z2488" s="1539"/>
      <c r="AA2488" s="1539"/>
      <c r="AB2488" s="1539"/>
      <c r="AC2488" s="1539"/>
      <c r="AD2488" s="1539"/>
      <c r="AE2488" s="1539"/>
      <c r="AF2488" s="1539"/>
      <c r="AG2488" s="1539"/>
      <c r="AH2488" s="1539"/>
      <c r="AI2488" s="1539"/>
      <c r="AJ2488" s="1539"/>
      <c r="AK2488" s="1539"/>
      <c r="AL2488" s="1539"/>
      <c r="AM2488" s="1539"/>
      <c r="AN2488" s="1539"/>
      <c r="AO2488" s="1539"/>
      <c r="AP2488" s="1539"/>
      <c r="AQ2488" s="1539"/>
      <c r="AR2488" s="1539"/>
      <c r="AS2488" s="1539"/>
      <c r="AT2488" s="1539"/>
      <c r="AU2488" s="1539"/>
      <c r="AV2488" s="1539"/>
      <c r="AW2488" s="1539"/>
      <c r="AX2488" s="1539"/>
      <c r="AY2488" s="1539"/>
      <c r="AZ2488" s="1539"/>
      <c r="BA2488" s="1539"/>
      <c r="BB2488" s="1539"/>
      <c r="BC2488" s="1539"/>
      <c r="BD2488" s="1539"/>
      <c r="BE2488" s="1539"/>
      <c r="BF2488" s="1539"/>
      <c r="BG2488" s="1539"/>
      <c r="BH2488" s="1539"/>
      <c r="BI2488" s="1539"/>
      <c r="BJ2488" s="1539"/>
      <c r="BK2488" s="1539"/>
      <c r="BL2488" s="1539"/>
      <c r="BM2488" s="1539"/>
      <c r="BN2488" s="1539"/>
      <c r="BO2488" s="1539"/>
      <c r="BP2488" s="1539"/>
      <c r="BQ2488" s="1539"/>
      <c r="BR2488" s="1539"/>
      <c r="BS2488" s="1539"/>
      <c r="BT2488" s="1539"/>
      <c r="BU2488" s="1539"/>
      <c r="BV2488" s="1539"/>
      <c r="BW2488" s="1539"/>
      <c r="BX2488" s="1539"/>
      <c r="BY2488" s="1539"/>
      <c r="BZ2488" s="1539"/>
      <c r="CA2488" s="1539"/>
      <c r="CB2488" s="1539"/>
      <c r="CC2488" s="1539"/>
      <c r="CD2488" s="1539"/>
      <c r="CE2488" s="1539"/>
      <c r="CF2488" s="1539"/>
      <c r="CG2488" s="1539"/>
      <c r="CH2488" s="1539"/>
      <c r="CI2488" s="1539"/>
      <c r="CJ2488" s="1539"/>
      <c r="CK2488" s="1539"/>
      <c r="CL2488" s="1539"/>
      <c r="CM2488" s="1539"/>
      <c r="CN2488" s="1539"/>
      <c r="CO2488" s="1539"/>
    </row>
    <row r="2489" spans="1:93" s="1552" customFormat="1" ht="15.5">
      <c r="A2489" s="1598"/>
      <c r="B2489" s="1599" t="s">
        <v>1760</v>
      </c>
      <c r="C2489" s="1643" t="e">
        <f>+SUMIF(#REF!,Final!A2489,#REF!)</f>
        <v>#REF!</v>
      </c>
      <c r="D2489" s="1597" t="e">
        <f>+SUMIF(#REF!,Final!A2489,#REF!)</f>
        <v>#REF!</v>
      </c>
      <c r="E2489" s="1643" t="e">
        <f>SUMIF(#REF!,Final!A2489,#REF!)</f>
        <v>#REF!</v>
      </c>
      <c r="F2489" s="1644" t="e">
        <f>SUMIF(#REF!,Final!A2489,#REF!)</f>
        <v>#REF!</v>
      </c>
      <c r="G2489" s="1597" t="e">
        <f t="shared" si="256"/>
        <v>#REF!</v>
      </c>
      <c r="H2489" s="1644" t="e">
        <f t="shared" si="257"/>
        <v>#REF!</v>
      </c>
      <c r="I2489" s="1597" t="e">
        <f t="shared" si="258"/>
        <v>#REF!</v>
      </c>
      <c r="J2489" s="1644" t="e">
        <f t="shared" si="259"/>
        <v>#REF!</v>
      </c>
      <c r="K2489" s="1539"/>
      <c r="L2489" s="1539"/>
      <c r="M2489" s="1545"/>
      <c r="N2489" s="1545"/>
      <c r="O2489" s="1539"/>
      <c r="P2489" s="1539"/>
      <c r="Q2489" s="1539"/>
      <c r="R2489" s="1539"/>
      <c r="S2489" s="1539"/>
      <c r="T2489" s="1539"/>
      <c r="U2489" s="1539"/>
      <c r="V2489" s="1539"/>
      <c r="W2489" s="1539"/>
      <c r="X2489" s="1539"/>
      <c r="Y2489" s="1539"/>
      <c r="Z2489" s="1539"/>
      <c r="AA2489" s="1539"/>
      <c r="AB2489" s="1539"/>
      <c r="AC2489" s="1539"/>
      <c r="AD2489" s="1539"/>
      <c r="AE2489" s="1539"/>
      <c r="AF2489" s="1539"/>
      <c r="AG2489" s="1539"/>
      <c r="AH2489" s="1539"/>
      <c r="AI2489" s="1539"/>
      <c r="AJ2489" s="1539"/>
      <c r="AK2489" s="1539"/>
      <c r="AL2489" s="1539"/>
      <c r="AM2489" s="1539"/>
      <c r="AN2489" s="1539"/>
      <c r="AO2489" s="1539"/>
      <c r="AP2489" s="1539"/>
      <c r="AQ2489" s="1539"/>
      <c r="AR2489" s="1539"/>
      <c r="AS2489" s="1539"/>
      <c r="AT2489" s="1539"/>
      <c r="AU2489" s="1539"/>
      <c r="AV2489" s="1539"/>
      <c r="AW2489" s="1539"/>
      <c r="AX2489" s="1539"/>
      <c r="AY2489" s="1539"/>
      <c r="AZ2489" s="1539"/>
      <c r="BA2489" s="1539"/>
      <c r="BB2489" s="1539"/>
      <c r="BC2489" s="1539"/>
      <c r="BD2489" s="1539"/>
      <c r="BE2489" s="1539"/>
      <c r="BF2489" s="1539"/>
      <c r="BG2489" s="1539"/>
      <c r="BH2489" s="1539"/>
      <c r="BI2489" s="1539"/>
      <c r="BJ2489" s="1539"/>
      <c r="BK2489" s="1539"/>
      <c r="BL2489" s="1539"/>
      <c r="BM2489" s="1539"/>
      <c r="BN2489" s="1539"/>
      <c r="BO2489" s="1539"/>
      <c r="BP2489" s="1539"/>
      <c r="BQ2489" s="1539"/>
      <c r="BR2489" s="1539"/>
      <c r="BS2489" s="1539"/>
      <c r="BT2489" s="1539"/>
      <c r="BU2489" s="1539"/>
      <c r="BV2489" s="1539"/>
      <c r="BW2489" s="1539"/>
      <c r="BX2489" s="1539"/>
      <c r="BY2489" s="1539"/>
      <c r="BZ2489" s="1539"/>
      <c r="CA2489" s="1539"/>
      <c r="CB2489" s="1539"/>
      <c r="CC2489" s="1539"/>
      <c r="CD2489" s="1539"/>
      <c r="CE2489" s="1539"/>
      <c r="CF2489" s="1539"/>
      <c r="CG2489" s="1539"/>
      <c r="CH2489" s="1539"/>
      <c r="CI2489" s="1539"/>
      <c r="CJ2489" s="1539"/>
      <c r="CK2489" s="1539"/>
      <c r="CL2489" s="1539"/>
      <c r="CM2489" s="1539"/>
      <c r="CN2489" s="1539"/>
      <c r="CO2489" s="1539"/>
    </row>
    <row r="2490" spans="1:93" s="1542" customFormat="1" ht="15.5">
      <c r="A2490" s="1598" t="s">
        <v>543</v>
      </c>
      <c r="B2490" s="1599" t="s">
        <v>1335</v>
      </c>
      <c r="C2490" s="1643" t="e">
        <f>+SUMIF(#REF!,Final!A2490,#REF!)</f>
        <v>#REF!</v>
      </c>
      <c r="D2490" s="1597" t="e">
        <f>+SUMIF(#REF!,Final!A2490,#REF!)</f>
        <v>#REF!</v>
      </c>
      <c r="E2490" s="1643" t="e">
        <f>SUMIF(#REF!,Final!A2490,#REF!)</f>
        <v>#REF!</v>
      </c>
      <c r="F2490" s="1644" t="e">
        <f>SUMIF(#REF!,Final!A2490,#REF!)</f>
        <v>#REF!</v>
      </c>
      <c r="G2490" s="1597" t="e">
        <f t="shared" si="256"/>
        <v>#REF!</v>
      </c>
      <c r="H2490" s="1644" t="e">
        <f t="shared" si="257"/>
        <v>#REF!</v>
      </c>
      <c r="I2490" s="1597" t="e">
        <f t="shared" si="258"/>
        <v>#REF!</v>
      </c>
      <c r="J2490" s="1644" t="e">
        <f t="shared" si="259"/>
        <v>#REF!</v>
      </c>
      <c r="K2490" s="1539"/>
      <c r="L2490" s="1539"/>
      <c r="M2490" s="1545"/>
      <c r="N2490" s="1545"/>
      <c r="O2490" s="1539"/>
      <c r="P2490" s="1539"/>
      <c r="Q2490" s="1539"/>
      <c r="R2490" s="1539"/>
      <c r="S2490" s="1539"/>
      <c r="T2490" s="1539"/>
      <c r="U2490" s="1539"/>
      <c r="V2490" s="1539"/>
      <c r="W2490" s="1539"/>
      <c r="X2490" s="1539"/>
      <c r="Y2490" s="1539"/>
      <c r="Z2490" s="1539"/>
      <c r="AA2490" s="1539"/>
      <c r="AB2490" s="1539"/>
      <c r="AC2490" s="1539"/>
      <c r="AD2490" s="1539"/>
      <c r="AE2490" s="1539"/>
      <c r="AF2490" s="1539"/>
      <c r="AG2490" s="1539"/>
      <c r="AH2490" s="1539"/>
      <c r="AI2490" s="1539"/>
      <c r="AJ2490" s="1539"/>
      <c r="AK2490" s="1539"/>
      <c r="AL2490" s="1539"/>
      <c r="AM2490" s="1539"/>
      <c r="AN2490" s="1539"/>
      <c r="AO2490" s="1539"/>
      <c r="AP2490" s="1539"/>
      <c r="AQ2490" s="1539"/>
      <c r="AR2490" s="1539"/>
      <c r="AS2490" s="1539"/>
      <c r="AT2490" s="1539"/>
      <c r="AU2490" s="1539"/>
      <c r="AV2490" s="1539"/>
      <c r="AW2490" s="1539"/>
      <c r="AX2490" s="1539"/>
      <c r="AY2490" s="1539"/>
      <c r="AZ2490" s="1539"/>
      <c r="BA2490" s="1539"/>
      <c r="BB2490" s="1539"/>
      <c r="BC2490" s="1539"/>
      <c r="BD2490" s="1539"/>
      <c r="BE2490" s="1539"/>
      <c r="BF2490" s="1539"/>
      <c r="BG2490" s="1539"/>
      <c r="BH2490" s="1539"/>
      <c r="BI2490" s="1539"/>
      <c r="BJ2490" s="1539"/>
      <c r="BK2490" s="1539"/>
      <c r="BL2490" s="1539"/>
      <c r="BM2490" s="1539"/>
      <c r="BN2490" s="1539"/>
      <c r="BO2490" s="1539"/>
      <c r="BP2490" s="1539"/>
      <c r="BQ2490" s="1539"/>
      <c r="BR2490" s="1539"/>
      <c r="BS2490" s="1539"/>
      <c r="BT2490" s="1539"/>
      <c r="BU2490" s="1539"/>
      <c r="BV2490" s="1539"/>
      <c r="BW2490" s="1539"/>
      <c r="BX2490" s="1539"/>
      <c r="BY2490" s="1539"/>
      <c r="BZ2490" s="1539"/>
      <c r="CA2490" s="1539"/>
      <c r="CB2490" s="1539"/>
      <c r="CC2490" s="1539"/>
      <c r="CD2490" s="1539"/>
      <c r="CE2490" s="1539"/>
      <c r="CF2490" s="1539"/>
      <c r="CG2490" s="1539"/>
      <c r="CH2490" s="1539"/>
      <c r="CI2490" s="1539"/>
      <c r="CJ2490" s="1539"/>
      <c r="CK2490" s="1539"/>
      <c r="CL2490" s="1539"/>
      <c r="CM2490" s="1539"/>
      <c r="CN2490" s="1539"/>
      <c r="CO2490" s="1539"/>
    </row>
    <row r="2491" spans="1:93" s="1542" customFormat="1" ht="15.5">
      <c r="A2491" s="1598">
        <v>61.210999999999999</v>
      </c>
      <c r="B2491" s="1599" t="s">
        <v>2922</v>
      </c>
      <c r="C2491" s="1643" t="e">
        <f>+SUMIF(#REF!,Final!A2491,#REF!)</f>
        <v>#REF!</v>
      </c>
      <c r="D2491" s="1597" t="e">
        <f>+SUMIF(#REF!,Final!A2491,#REF!)</f>
        <v>#REF!</v>
      </c>
      <c r="E2491" s="1643" t="e">
        <f>SUMIF(#REF!,Final!A2491,#REF!)</f>
        <v>#REF!</v>
      </c>
      <c r="F2491" s="1644" t="e">
        <f>SUMIF(#REF!,Final!A2491,#REF!)</f>
        <v>#REF!</v>
      </c>
      <c r="G2491" s="1597" t="e">
        <f t="shared" si="256"/>
        <v>#REF!</v>
      </c>
      <c r="H2491" s="1644" t="e">
        <f t="shared" si="257"/>
        <v>#REF!</v>
      </c>
      <c r="I2491" s="1597" t="e">
        <f t="shared" si="258"/>
        <v>#REF!</v>
      </c>
      <c r="J2491" s="1644" t="e">
        <f t="shared" si="259"/>
        <v>#REF!</v>
      </c>
      <c r="K2491" s="1539"/>
      <c r="L2491" s="1539"/>
      <c r="M2491" s="1545"/>
      <c r="N2491" s="1545"/>
      <c r="O2491" s="1539"/>
      <c r="P2491" s="1539"/>
      <c r="Q2491" s="1539"/>
      <c r="R2491" s="1539"/>
      <c r="S2491" s="1539"/>
      <c r="T2491" s="1539"/>
      <c r="U2491" s="1539"/>
      <c r="V2491" s="1539"/>
      <c r="W2491" s="1539"/>
      <c r="X2491" s="1539"/>
      <c r="Y2491" s="1539"/>
      <c r="Z2491" s="1539"/>
      <c r="AA2491" s="1539"/>
      <c r="AB2491" s="1539"/>
      <c r="AC2491" s="1539"/>
      <c r="AD2491" s="1539"/>
      <c r="AE2491" s="1539"/>
      <c r="AF2491" s="1539"/>
      <c r="AG2491" s="1539"/>
      <c r="AH2491" s="1539"/>
      <c r="AI2491" s="1539"/>
      <c r="AJ2491" s="1539"/>
      <c r="AK2491" s="1539"/>
      <c r="AL2491" s="1539"/>
      <c r="AM2491" s="1539"/>
      <c r="AN2491" s="1539"/>
      <c r="AO2491" s="1539"/>
      <c r="AP2491" s="1539"/>
      <c r="AQ2491" s="1539"/>
      <c r="AR2491" s="1539"/>
      <c r="AS2491" s="1539"/>
      <c r="AT2491" s="1539"/>
      <c r="AU2491" s="1539"/>
      <c r="AV2491" s="1539"/>
      <c r="AW2491" s="1539"/>
      <c r="AX2491" s="1539"/>
      <c r="AY2491" s="1539"/>
      <c r="AZ2491" s="1539"/>
      <c r="BA2491" s="1539"/>
      <c r="BB2491" s="1539"/>
      <c r="BC2491" s="1539"/>
      <c r="BD2491" s="1539"/>
      <c r="BE2491" s="1539"/>
      <c r="BF2491" s="1539"/>
      <c r="BG2491" s="1539"/>
      <c r="BH2491" s="1539"/>
      <c r="BI2491" s="1539"/>
      <c r="BJ2491" s="1539"/>
      <c r="BK2491" s="1539"/>
      <c r="BL2491" s="1539"/>
      <c r="BM2491" s="1539"/>
      <c r="BN2491" s="1539"/>
      <c r="BO2491" s="1539"/>
      <c r="BP2491" s="1539"/>
      <c r="BQ2491" s="1539"/>
      <c r="BR2491" s="1539"/>
      <c r="BS2491" s="1539"/>
      <c r="BT2491" s="1539"/>
      <c r="BU2491" s="1539"/>
      <c r="BV2491" s="1539"/>
      <c r="BW2491" s="1539"/>
      <c r="BX2491" s="1539"/>
      <c r="BY2491" s="1539"/>
      <c r="BZ2491" s="1539"/>
      <c r="CA2491" s="1539"/>
      <c r="CB2491" s="1539"/>
      <c r="CC2491" s="1539"/>
      <c r="CD2491" s="1539"/>
      <c r="CE2491" s="1539"/>
      <c r="CF2491" s="1539"/>
      <c r="CG2491" s="1539"/>
      <c r="CH2491" s="1539"/>
      <c r="CI2491" s="1539"/>
      <c r="CJ2491" s="1539"/>
      <c r="CK2491" s="1539"/>
      <c r="CL2491" s="1539"/>
      <c r="CM2491" s="1539"/>
      <c r="CN2491" s="1539"/>
      <c r="CO2491" s="1539"/>
    </row>
    <row r="2492" spans="1:93" ht="15.5">
      <c r="A2492" s="1598">
        <v>61.212000000000003</v>
      </c>
      <c r="B2492" s="1599" t="s">
        <v>2923</v>
      </c>
      <c r="C2492" s="1643" t="e">
        <f>+SUMIF(#REF!,Final!A2492,#REF!)</f>
        <v>#REF!</v>
      </c>
      <c r="D2492" s="1597" t="e">
        <f>+SUMIF(#REF!,Final!A2492,#REF!)</f>
        <v>#REF!</v>
      </c>
      <c r="E2492" s="1643" t="e">
        <f>SUMIF(#REF!,Final!A2492,#REF!)</f>
        <v>#REF!</v>
      </c>
      <c r="F2492" s="1644" t="e">
        <f>SUMIF(#REF!,Final!A2492,#REF!)</f>
        <v>#REF!</v>
      </c>
      <c r="G2492" s="1597" t="e">
        <f t="shared" si="256"/>
        <v>#REF!</v>
      </c>
      <c r="H2492" s="1644" t="e">
        <f t="shared" si="257"/>
        <v>#REF!</v>
      </c>
      <c r="I2492" s="1597" t="e">
        <f t="shared" si="258"/>
        <v>#REF!</v>
      </c>
      <c r="J2492" s="1644" t="e">
        <f t="shared" si="259"/>
        <v>#REF!</v>
      </c>
      <c r="M2492" s="1545"/>
      <c r="N2492" s="1545"/>
    </row>
    <row r="2493" spans="1:93" ht="15.5">
      <c r="A2493" s="1598">
        <v>61.213000000000001</v>
      </c>
      <c r="B2493" s="1599" t="s">
        <v>2924</v>
      </c>
      <c r="C2493" s="1643" t="e">
        <f>+SUMIF(#REF!,Final!A2493,#REF!)</f>
        <v>#REF!</v>
      </c>
      <c r="D2493" s="1597" t="e">
        <f>+SUMIF(#REF!,Final!A2493,#REF!)</f>
        <v>#REF!</v>
      </c>
      <c r="E2493" s="1643" t="e">
        <f>SUMIF(#REF!,Final!A2493,#REF!)</f>
        <v>#REF!</v>
      </c>
      <c r="F2493" s="1644" t="e">
        <f>SUMIF(#REF!,Final!A2493,#REF!)</f>
        <v>#REF!</v>
      </c>
      <c r="G2493" s="1597" t="e">
        <f t="shared" si="256"/>
        <v>#REF!</v>
      </c>
      <c r="H2493" s="1644" t="e">
        <f t="shared" si="257"/>
        <v>#REF!</v>
      </c>
      <c r="I2493" s="1597" t="e">
        <f t="shared" si="258"/>
        <v>#REF!</v>
      </c>
      <c r="J2493" s="1644" t="e">
        <f t="shared" si="259"/>
        <v>#REF!</v>
      </c>
      <c r="M2493" s="1545"/>
      <c r="N2493" s="1545"/>
    </row>
    <row r="2494" spans="1:93" s="1552" customFormat="1" ht="15.5">
      <c r="A2494" s="1598"/>
      <c r="B2494" s="1599" t="s">
        <v>1747</v>
      </c>
      <c r="C2494" s="1643" t="e">
        <f>+SUMIF(#REF!,Final!A2494,#REF!)</f>
        <v>#REF!</v>
      </c>
      <c r="D2494" s="1597" t="e">
        <f>+SUMIF(#REF!,Final!A2494,#REF!)</f>
        <v>#REF!</v>
      </c>
      <c r="E2494" s="1643" t="e">
        <f>SUMIF(#REF!,Final!A2494,#REF!)</f>
        <v>#REF!</v>
      </c>
      <c r="F2494" s="1644" t="e">
        <f>SUMIF(#REF!,Final!A2494,#REF!)</f>
        <v>#REF!</v>
      </c>
      <c r="G2494" s="1597" t="e">
        <f t="shared" si="256"/>
        <v>#REF!</v>
      </c>
      <c r="H2494" s="1644" t="e">
        <f t="shared" si="257"/>
        <v>#REF!</v>
      </c>
      <c r="I2494" s="1597" t="e">
        <f t="shared" si="258"/>
        <v>#REF!</v>
      </c>
      <c r="J2494" s="1644" t="e">
        <f t="shared" si="259"/>
        <v>#REF!</v>
      </c>
      <c r="K2494" s="1539"/>
      <c r="L2494" s="1539"/>
      <c r="M2494" s="1545"/>
      <c r="N2494" s="1545"/>
      <c r="O2494" s="1539"/>
      <c r="P2494" s="1539"/>
      <c r="Q2494" s="1539"/>
      <c r="R2494" s="1539"/>
      <c r="S2494" s="1539"/>
      <c r="T2494" s="1539"/>
      <c r="U2494" s="1539"/>
      <c r="V2494" s="1539"/>
      <c r="W2494" s="1539"/>
      <c r="X2494" s="1539"/>
      <c r="Y2494" s="1539"/>
      <c r="Z2494" s="1539"/>
      <c r="AA2494" s="1539"/>
      <c r="AB2494" s="1539"/>
      <c r="AC2494" s="1539"/>
      <c r="AD2494" s="1539"/>
      <c r="AE2494" s="1539"/>
      <c r="AF2494" s="1539"/>
      <c r="AG2494" s="1539"/>
      <c r="AH2494" s="1539"/>
      <c r="AI2494" s="1539"/>
      <c r="AJ2494" s="1539"/>
      <c r="AK2494" s="1539"/>
      <c r="AL2494" s="1539"/>
      <c r="AM2494" s="1539"/>
      <c r="AN2494" s="1539"/>
      <c r="AO2494" s="1539"/>
      <c r="AP2494" s="1539"/>
      <c r="AQ2494" s="1539"/>
      <c r="AR2494" s="1539"/>
      <c r="AS2494" s="1539"/>
      <c r="AT2494" s="1539"/>
      <c r="AU2494" s="1539"/>
      <c r="AV2494" s="1539"/>
      <c r="AW2494" s="1539"/>
      <c r="AX2494" s="1539"/>
      <c r="AY2494" s="1539"/>
      <c r="AZ2494" s="1539"/>
      <c r="BA2494" s="1539"/>
      <c r="BB2494" s="1539"/>
      <c r="BC2494" s="1539"/>
      <c r="BD2494" s="1539"/>
      <c r="BE2494" s="1539"/>
      <c r="BF2494" s="1539"/>
      <c r="BG2494" s="1539"/>
      <c r="BH2494" s="1539"/>
      <c r="BI2494" s="1539"/>
      <c r="BJ2494" s="1539"/>
      <c r="BK2494" s="1539"/>
      <c r="BL2494" s="1539"/>
      <c r="BM2494" s="1539"/>
      <c r="BN2494" s="1539"/>
      <c r="BO2494" s="1539"/>
      <c r="BP2494" s="1539"/>
      <c r="BQ2494" s="1539"/>
      <c r="BR2494" s="1539"/>
      <c r="BS2494" s="1539"/>
      <c r="BT2494" s="1539"/>
      <c r="BU2494" s="1539"/>
      <c r="BV2494" s="1539"/>
      <c r="BW2494" s="1539"/>
      <c r="BX2494" s="1539"/>
      <c r="BY2494" s="1539"/>
      <c r="BZ2494" s="1539"/>
      <c r="CA2494" s="1539"/>
      <c r="CB2494" s="1539"/>
      <c r="CC2494" s="1539"/>
      <c r="CD2494" s="1539"/>
      <c r="CE2494" s="1539"/>
      <c r="CF2494" s="1539"/>
      <c r="CG2494" s="1539"/>
      <c r="CH2494" s="1539"/>
      <c r="CI2494" s="1539"/>
      <c r="CJ2494" s="1539"/>
      <c r="CK2494" s="1539"/>
      <c r="CL2494" s="1539"/>
      <c r="CM2494" s="1539"/>
      <c r="CN2494" s="1539"/>
      <c r="CO2494" s="1539"/>
    </row>
    <row r="2495" spans="1:93" s="1552" customFormat="1" ht="15.5">
      <c r="A2495" s="1598"/>
      <c r="B2495" s="1599" t="s">
        <v>1760</v>
      </c>
      <c r="C2495" s="1643" t="e">
        <f>+SUMIF(#REF!,Final!A2495,#REF!)</f>
        <v>#REF!</v>
      </c>
      <c r="D2495" s="1597" t="e">
        <f>+SUMIF(#REF!,Final!A2495,#REF!)</f>
        <v>#REF!</v>
      </c>
      <c r="E2495" s="1643" t="e">
        <f>SUMIF(#REF!,Final!A2495,#REF!)</f>
        <v>#REF!</v>
      </c>
      <c r="F2495" s="1644" t="e">
        <f>SUMIF(#REF!,Final!A2495,#REF!)</f>
        <v>#REF!</v>
      </c>
      <c r="G2495" s="1597" t="e">
        <f t="shared" si="256"/>
        <v>#REF!</v>
      </c>
      <c r="H2495" s="1644" t="e">
        <f t="shared" si="257"/>
        <v>#REF!</v>
      </c>
      <c r="I2495" s="1597" t="e">
        <f t="shared" si="258"/>
        <v>#REF!</v>
      </c>
      <c r="J2495" s="1644" t="e">
        <f t="shared" si="259"/>
        <v>#REF!</v>
      </c>
      <c r="K2495" s="1539"/>
      <c r="L2495" s="1539"/>
      <c r="M2495" s="1545"/>
      <c r="N2495" s="1545"/>
      <c r="O2495" s="1539"/>
      <c r="P2495" s="1539"/>
      <c r="Q2495" s="1539"/>
      <c r="R2495" s="1539"/>
      <c r="S2495" s="1539"/>
      <c r="T2495" s="1539"/>
      <c r="U2495" s="1539"/>
      <c r="V2495" s="1539"/>
      <c r="W2495" s="1539"/>
      <c r="X2495" s="1539"/>
      <c r="Y2495" s="1539"/>
      <c r="Z2495" s="1539"/>
      <c r="AA2495" s="1539"/>
      <c r="AB2495" s="1539"/>
      <c r="AC2495" s="1539"/>
      <c r="AD2495" s="1539"/>
      <c r="AE2495" s="1539"/>
      <c r="AF2495" s="1539"/>
      <c r="AG2495" s="1539"/>
      <c r="AH2495" s="1539"/>
      <c r="AI2495" s="1539"/>
      <c r="AJ2495" s="1539"/>
      <c r="AK2495" s="1539"/>
      <c r="AL2495" s="1539"/>
      <c r="AM2495" s="1539"/>
      <c r="AN2495" s="1539"/>
      <c r="AO2495" s="1539"/>
      <c r="AP2495" s="1539"/>
      <c r="AQ2495" s="1539"/>
      <c r="AR2495" s="1539"/>
      <c r="AS2495" s="1539"/>
      <c r="AT2495" s="1539"/>
      <c r="AU2495" s="1539"/>
      <c r="AV2495" s="1539"/>
      <c r="AW2495" s="1539"/>
      <c r="AX2495" s="1539"/>
      <c r="AY2495" s="1539"/>
      <c r="AZ2495" s="1539"/>
      <c r="BA2495" s="1539"/>
      <c r="BB2495" s="1539"/>
      <c r="BC2495" s="1539"/>
      <c r="BD2495" s="1539"/>
      <c r="BE2495" s="1539"/>
      <c r="BF2495" s="1539"/>
      <c r="BG2495" s="1539"/>
      <c r="BH2495" s="1539"/>
      <c r="BI2495" s="1539"/>
      <c r="BJ2495" s="1539"/>
      <c r="BK2495" s="1539"/>
      <c r="BL2495" s="1539"/>
      <c r="BM2495" s="1539"/>
      <c r="BN2495" s="1539"/>
      <c r="BO2495" s="1539"/>
      <c r="BP2495" s="1539"/>
      <c r="BQ2495" s="1539"/>
      <c r="BR2495" s="1539"/>
      <c r="BS2495" s="1539"/>
      <c r="BT2495" s="1539"/>
      <c r="BU2495" s="1539"/>
      <c r="BV2495" s="1539"/>
      <c r="BW2495" s="1539"/>
      <c r="BX2495" s="1539"/>
      <c r="BY2495" s="1539"/>
      <c r="BZ2495" s="1539"/>
      <c r="CA2495" s="1539"/>
      <c r="CB2495" s="1539"/>
      <c r="CC2495" s="1539"/>
      <c r="CD2495" s="1539"/>
      <c r="CE2495" s="1539"/>
      <c r="CF2495" s="1539"/>
      <c r="CG2495" s="1539"/>
      <c r="CH2495" s="1539"/>
      <c r="CI2495" s="1539"/>
      <c r="CJ2495" s="1539"/>
      <c r="CK2495" s="1539"/>
      <c r="CL2495" s="1539"/>
      <c r="CM2495" s="1539"/>
      <c r="CN2495" s="1539"/>
      <c r="CO2495" s="1539"/>
    </row>
    <row r="2496" spans="1:93" s="1542" customFormat="1" ht="15.5">
      <c r="A2496" s="1598" t="s">
        <v>544</v>
      </c>
      <c r="B2496" s="1599" t="s">
        <v>2925</v>
      </c>
      <c r="C2496" s="1643" t="e">
        <f>+SUMIF(#REF!,Final!A2496,#REF!)</f>
        <v>#REF!</v>
      </c>
      <c r="D2496" s="1597" t="e">
        <f>+SUMIF(#REF!,Final!A2496,#REF!)</f>
        <v>#REF!</v>
      </c>
      <c r="E2496" s="1643" t="e">
        <f>SUMIF(#REF!,Final!A2496,#REF!)</f>
        <v>#REF!</v>
      </c>
      <c r="F2496" s="1644" t="e">
        <f>SUMIF(#REF!,Final!A2496,#REF!)</f>
        <v>#REF!</v>
      </c>
      <c r="G2496" s="1597" t="e">
        <f t="shared" si="256"/>
        <v>#REF!</v>
      </c>
      <c r="H2496" s="1644" t="e">
        <f t="shared" si="257"/>
        <v>#REF!</v>
      </c>
      <c r="I2496" s="1597" t="e">
        <f t="shared" si="258"/>
        <v>#REF!</v>
      </c>
      <c r="J2496" s="1644" t="e">
        <f t="shared" si="259"/>
        <v>#REF!</v>
      </c>
      <c r="K2496" s="1539"/>
      <c r="L2496" s="1539"/>
      <c r="M2496" s="1545"/>
      <c r="N2496" s="1545"/>
      <c r="O2496" s="1539"/>
      <c r="P2496" s="1539"/>
      <c r="Q2496" s="1539"/>
      <c r="R2496" s="1539"/>
      <c r="S2496" s="1539"/>
      <c r="T2496" s="1539"/>
      <c r="U2496" s="1539"/>
      <c r="V2496" s="1539"/>
      <c r="W2496" s="1539"/>
      <c r="X2496" s="1539"/>
      <c r="Y2496" s="1539"/>
      <c r="Z2496" s="1539"/>
      <c r="AA2496" s="1539"/>
      <c r="AB2496" s="1539"/>
      <c r="AC2496" s="1539"/>
      <c r="AD2496" s="1539"/>
      <c r="AE2496" s="1539"/>
      <c r="AF2496" s="1539"/>
      <c r="AG2496" s="1539"/>
      <c r="AH2496" s="1539"/>
      <c r="AI2496" s="1539"/>
      <c r="AJ2496" s="1539"/>
      <c r="AK2496" s="1539"/>
      <c r="AL2496" s="1539"/>
      <c r="AM2496" s="1539"/>
      <c r="AN2496" s="1539"/>
      <c r="AO2496" s="1539"/>
      <c r="AP2496" s="1539"/>
      <c r="AQ2496" s="1539"/>
      <c r="AR2496" s="1539"/>
      <c r="AS2496" s="1539"/>
      <c r="AT2496" s="1539"/>
      <c r="AU2496" s="1539"/>
      <c r="AV2496" s="1539"/>
      <c r="AW2496" s="1539"/>
      <c r="AX2496" s="1539"/>
      <c r="AY2496" s="1539"/>
      <c r="AZ2496" s="1539"/>
      <c r="BA2496" s="1539"/>
      <c r="BB2496" s="1539"/>
      <c r="BC2496" s="1539"/>
      <c r="BD2496" s="1539"/>
      <c r="BE2496" s="1539"/>
      <c r="BF2496" s="1539"/>
      <c r="BG2496" s="1539"/>
      <c r="BH2496" s="1539"/>
      <c r="BI2496" s="1539"/>
      <c r="BJ2496" s="1539"/>
      <c r="BK2496" s="1539"/>
      <c r="BL2496" s="1539"/>
      <c r="BM2496" s="1539"/>
      <c r="BN2496" s="1539"/>
      <c r="BO2496" s="1539"/>
      <c r="BP2496" s="1539"/>
      <c r="BQ2496" s="1539"/>
      <c r="BR2496" s="1539"/>
      <c r="BS2496" s="1539"/>
      <c r="BT2496" s="1539"/>
      <c r="BU2496" s="1539"/>
      <c r="BV2496" s="1539"/>
      <c r="BW2496" s="1539"/>
      <c r="BX2496" s="1539"/>
      <c r="BY2496" s="1539"/>
      <c r="BZ2496" s="1539"/>
      <c r="CA2496" s="1539"/>
      <c r="CB2496" s="1539"/>
      <c r="CC2496" s="1539"/>
      <c r="CD2496" s="1539"/>
      <c r="CE2496" s="1539"/>
      <c r="CF2496" s="1539"/>
      <c r="CG2496" s="1539"/>
      <c r="CH2496" s="1539"/>
      <c r="CI2496" s="1539"/>
      <c r="CJ2496" s="1539"/>
      <c r="CK2496" s="1539"/>
      <c r="CL2496" s="1539"/>
      <c r="CM2496" s="1539"/>
      <c r="CN2496" s="1539"/>
      <c r="CO2496" s="1539"/>
    </row>
    <row r="2497" spans="1:93" s="1542" customFormat="1" ht="15.5">
      <c r="A2497" s="1598">
        <v>61.220999999999997</v>
      </c>
      <c r="B2497" s="1599" t="s">
        <v>2926</v>
      </c>
      <c r="C2497" s="1643" t="e">
        <f>+SUMIF(#REF!,Final!A2497,#REF!)</f>
        <v>#REF!</v>
      </c>
      <c r="D2497" s="1597" t="e">
        <f>+SUMIF(#REF!,Final!A2497,#REF!)</f>
        <v>#REF!</v>
      </c>
      <c r="E2497" s="1643" t="e">
        <f>SUMIF(#REF!,Final!A2497,#REF!)</f>
        <v>#REF!</v>
      </c>
      <c r="F2497" s="1644" t="e">
        <f>SUMIF(#REF!,Final!A2497,#REF!)</f>
        <v>#REF!</v>
      </c>
      <c r="G2497" s="1597" t="e">
        <f t="shared" si="256"/>
        <v>#REF!</v>
      </c>
      <c r="H2497" s="1644" t="e">
        <f t="shared" si="257"/>
        <v>#REF!</v>
      </c>
      <c r="I2497" s="1597" t="e">
        <f t="shared" si="258"/>
        <v>#REF!</v>
      </c>
      <c r="J2497" s="1644" t="e">
        <f t="shared" si="259"/>
        <v>#REF!</v>
      </c>
      <c r="K2497" s="1539"/>
      <c r="L2497" s="1539"/>
      <c r="M2497" s="1545"/>
      <c r="N2497" s="1545"/>
      <c r="O2497" s="1539"/>
      <c r="P2497" s="1539"/>
      <c r="Q2497" s="1539"/>
      <c r="R2497" s="1539"/>
      <c r="S2497" s="1539"/>
      <c r="T2497" s="1539"/>
      <c r="U2497" s="1539"/>
      <c r="V2497" s="1539"/>
      <c r="W2497" s="1539"/>
      <c r="X2497" s="1539"/>
      <c r="Y2497" s="1539"/>
      <c r="Z2497" s="1539"/>
      <c r="AA2497" s="1539"/>
      <c r="AB2497" s="1539"/>
      <c r="AC2497" s="1539"/>
      <c r="AD2497" s="1539"/>
      <c r="AE2497" s="1539"/>
      <c r="AF2497" s="1539"/>
      <c r="AG2497" s="1539"/>
      <c r="AH2497" s="1539"/>
      <c r="AI2497" s="1539"/>
      <c r="AJ2497" s="1539"/>
      <c r="AK2497" s="1539"/>
      <c r="AL2497" s="1539"/>
      <c r="AM2497" s="1539"/>
      <c r="AN2497" s="1539"/>
      <c r="AO2497" s="1539"/>
      <c r="AP2497" s="1539"/>
      <c r="AQ2497" s="1539"/>
      <c r="AR2497" s="1539"/>
      <c r="AS2497" s="1539"/>
      <c r="AT2497" s="1539"/>
      <c r="AU2497" s="1539"/>
      <c r="AV2497" s="1539"/>
      <c r="AW2497" s="1539"/>
      <c r="AX2497" s="1539"/>
      <c r="AY2497" s="1539"/>
      <c r="AZ2497" s="1539"/>
      <c r="BA2497" s="1539"/>
      <c r="BB2497" s="1539"/>
      <c r="BC2497" s="1539"/>
      <c r="BD2497" s="1539"/>
      <c r="BE2497" s="1539"/>
      <c r="BF2497" s="1539"/>
      <c r="BG2497" s="1539"/>
      <c r="BH2497" s="1539"/>
      <c r="BI2497" s="1539"/>
      <c r="BJ2497" s="1539"/>
      <c r="BK2497" s="1539"/>
      <c r="BL2497" s="1539"/>
      <c r="BM2497" s="1539"/>
      <c r="BN2497" s="1539"/>
      <c r="BO2497" s="1539"/>
      <c r="BP2497" s="1539"/>
      <c r="BQ2497" s="1539"/>
      <c r="BR2497" s="1539"/>
      <c r="BS2497" s="1539"/>
      <c r="BT2497" s="1539"/>
      <c r="BU2497" s="1539"/>
      <c r="BV2497" s="1539"/>
      <c r="BW2497" s="1539"/>
      <c r="BX2497" s="1539"/>
      <c r="BY2497" s="1539"/>
      <c r="BZ2497" s="1539"/>
      <c r="CA2497" s="1539"/>
      <c r="CB2497" s="1539"/>
      <c r="CC2497" s="1539"/>
      <c r="CD2497" s="1539"/>
      <c r="CE2497" s="1539"/>
      <c r="CF2497" s="1539"/>
      <c r="CG2497" s="1539"/>
      <c r="CH2497" s="1539"/>
      <c r="CI2497" s="1539"/>
      <c r="CJ2497" s="1539"/>
      <c r="CK2497" s="1539"/>
      <c r="CL2497" s="1539"/>
      <c r="CM2497" s="1539"/>
      <c r="CN2497" s="1539"/>
      <c r="CO2497" s="1539"/>
    </row>
    <row r="2498" spans="1:93" ht="15.5">
      <c r="A2498" s="1598">
        <v>61.222000000000001</v>
      </c>
      <c r="B2498" s="1599" t="s">
        <v>2927</v>
      </c>
      <c r="C2498" s="1643" t="e">
        <f>+SUMIF(#REF!,Final!A2498,#REF!)</f>
        <v>#REF!</v>
      </c>
      <c r="D2498" s="1597" t="e">
        <f>+SUMIF(#REF!,Final!A2498,#REF!)</f>
        <v>#REF!</v>
      </c>
      <c r="E2498" s="1643" t="e">
        <f>SUMIF(#REF!,Final!A2498,#REF!)</f>
        <v>#REF!</v>
      </c>
      <c r="F2498" s="1644" t="e">
        <f>SUMIF(#REF!,Final!A2498,#REF!)</f>
        <v>#REF!</v>
      </c>
      <c r="G2498" s="1597" t="e">
        <f t="shared" si="256"/>
        <v>#REF!</v>
      </c>
      <c r="H2498" s="1644" t="e">
        <f t="shared" si="257"/>
        <v>#REF!</v>
      </c>
      <c r="I2498" s="1597" t="e">
        <f t="shared" si="258"/>
        <v>#REF!</v>
      </c>
      <c r="J2498" s="1644" t="e">
        <f t="shared" si="259"/>
        <v>#REF!</v>
      </c>
      <c r="M2498" s="1545"/>
      <c r="N2498" s="1545"/>
    </row>
    <row r="2499" spans="1:93" ht="15.5">
      <c r="A2499" s="1598">
        <v>61.222999999999999</v>
      </c>
      <c r="B2499" s="1599" t="s">
        <v>2928</v>
      </c>
      <c r="C2499" s="1643" t="e">
        <f>+SUMIF(#REF!,Final!A2499,#REF!)</f>
        <v>#REF!</v>
      </c>
      <c r="D2499" s="1597" t="e">
        <f>+SUMIF(#REF!,Final!A2499,#REF!)</f>
        <v>#REF!</v>
      </c>
      <c r="E2499" s="1643" t="e">
        <f>SUMIF(#REF!,Final!A2499,#REF!)</f>
        <v>#REF!</v>
      </c>
      <c r="F2499" s="1644" t="e">
        <f>SUMIF(#REF!,Final!A2499,#REF!)</f>
        <v>#REF!</v>
      </c>
      <c r="G2499" s="1597" t="e">
        <f t="shared" si="256"/>
        <v>#REF!</v>
      </c>
      <c r="H2499" s="1644" t="e">
        <f t="shared" si="257"/>
        <v>#REF!</v>
      </c>
      <c r="I2499" s="1597" t="e">
        <f t="shared" si="258"/>
        <v>#REF!</v>
      </c>
      <c r="J2499" s="1644" t="e">
        <f t="shared" si="259"/>
        <v>#REF!</v>
      </c>
      <c r="M2499" s="1545"/>
      <c r="N2499" s="1545"/>
    </row>
    <row r="2500" spans="1:93" ht="15.5">
      <c r="A2500" s="1598">
        <v>61.223999999999997</v>
      </c>
      <c r="B2500" s="1599" t="s">
        <v>2929</v>
      </c>
      <c r="C2500" s="1643" t="e">
        <f>+SUMIF(#REF!,Final!A2500,#REF!)</f>
        <v>#REF!</v>
      </c>
      <c r="D2500" s="1597" t="e">
        <f>+SUMIF(#REF!,Final!A2500,#REF!)</f>
        <v>#REF!</v>
      </c>
      <c r="E2500" s="1643" t="e">
        <f>SUMIF(#REF!,Final!A2500,#REF!)</f>
        <v>#REF!</v>
      </c>
      <c r="F2500" s="1644" t="e">
        <f>SUMIF(#REF!,Final!A2500,#REF!)</f>
        <v>#REF!</v>
      </c>
      <c r="G2500" s="1597" t="e">
        <f t="shared" si="256"/>
        <v>#REF!</v>
      </c>
      <c r="H2500" s="1644" t="e">
        <f t="shared" si="257"/>
        <v>#REF!</v>
      </c>
      <c r="I2500" s="1597" t="e">
        <f t="shared" si="258"/>
        <v>#REF!</v>
      </c>
      <c r="J2500" s="1644" t="e">
        <f t="shared" si="259"/>
        <v>#REF!</v>
      </c>
      <c r="M2500" s="1545"/>
      <c r="N2500" s="1545"/>
    </row>
    <row r="2501" spans="1:93" ht="15.5">
      <c r="A2501" s="1598">
        <v>61.225000000000001</v>
      </c>
      <c r="B2501" s="1599" t="s">
        <v>2930</v>
      </c>
      <c r="C2501" s="1643" t="e">
        <f>+SUMIF(#REF!,Final!A2501,#REF!)</f>
        <v>#REF!</v>
      </c>
      <c r="D2501" s="1597" t="e">
        <f>+SUMIF(#REF!,Final!A2501,#REF!)</f>
        <v>#REF!</v>
      </c>
      <c r="E2501" s="1643" t="e">
        <f>SUMIF(#REF!,Final!A2501,#REF!)</f>
        <v>#REF!</v>
      </c>
      <c r="F2501" s="1644" t="e">
        <f>SUMIF(#REF!,Final!A2501,#REF!)</f>
        <v>#REF!</v>
      </c>
      <c r="G2501" s="1597" t="e">
        <f t="shared" si="256"/>
        <v>#REF!</v>
      </c>
      <c r="H2501" s="1644" t="e">
        <f t="shared" si="257"/>
        <v>#REF!</v>
      </c>
      <c r="I2501" s="1597" t="e">
        <f t="shared" si="258"/>
        <v>#REF!</v>
      </c>
      <c r="J2501" s="1644" t="e">
        <f t="shared" si="259"/>
        <v>#REF!</v>
      </c>
      <c r="M2501" s="1545"/>
      <c r="N2501" s="1545"/>
    </row>
    <row r="2502" spans="1:93" s="1552" customFormat="1" ht="15.5">
      <c r="A2502" s="1598"/>
      <c r="B2502" s="1599" t="s">
        <v>1747</v>
      </c>
      <c r="C2502" s="1643" t="e">
        <f>+SUMIF(#REF!,Final!A2502,#REF!)</f>
        <v>#REF!</v>
      </c>
      <c r="D2502" s="1597" t="e">
        <f>+SUMIF(#REF!,Final!A2502,#REF!)</f>
        <v>#REF!</v>
      </c>
      <c r="E2502" s="1643" t="e">
        <f>SUMIF(#REF!,Final!A2502,#REF!)</f>
        <v>#REF!</v>
      </c>
      <c r="F2502" s="1644" t="e">
        <f>SUMIF(#REF!,Final!A2502,#REF!)</f>
        <v>#REF!</v>
      </c>
      <c r="G2502" s="1597" t="e">
        <f t="shared" ref="G2502:G2565" si="260">C2502+E2502</f>
        <v>#REF!</v>
      </c>
      <c r="H2502" s="1644" t="e">
        <f t="shared" ref="H2502:H2565" si="261">D2502+F2502</f>
        <v>#REF!</v>
      </c>
      <c r="I2502" s="1597" t="e">
        <f t="shared" ref="I2502:I2565" si="262">IF(G2502&gt;H2502,G2502-H2502,0)</f>
        <v>#REF!</v>
      </c>
      <c r="J2502" s="1644" t="e">
        <f t="shared" ref="J2502:J2565" si="263">IF(H2502&gt;G2502,H2502-G2502,0)</f>
        <v>#REF!</v>
      </c>
      <c r="K2502" s="1539"/>
      <c r="L2502" s="1539"/>
      <c r="M2502" s="1545"/>
      <c r="N2502" s="1545"/>
      <c r="O2502" s="1539"/>
      <c r="P2502" s="1539"/>
      <c r="Q2502" s="1539"/>
      <c r="R2502" s="1539"/>
      <c r="S2502" s="1539"/>
      <c r="T2502" s="1539"/>
      <c r="U2502" s="1539"/>
      <c r="V2502" s="1539"/>
      <c r="W2502" s="1539"/>
      <c r="X2502" s="1539"/>
      <c r="Y2502" s="1539"/>
      <c r="Z2502" s="1539"/>
      <c r="AA2502" s="1539"/>
      <c r="AB2502" s="1539"/>
      <c r="AC2502" s="1539"/>
      <c r="AD2502" s="1539"/>
      <c r="AE2502" s="1539"/>
      <c r="AF2502" s="1539"/>
      <c r="AG2502" s="1539"/>
      <c r="AH2502" s="1539"/>
      <c r="AI2502" s="1539"/>
      <c r="AJ2502" s="1539"/>
      <c r="AK2502" s="1539"/>
      <c r="AL2502" s="1539"/>
      <c r="AM2502" s="1539"/>
      <c r="AN2502" s="1539"/>
      <c r="AO2502" s="1539"/>
      <c r="AP2502" s="1539"/>
      <c r="AQ2502" s="1539"/>
      <c r="AR2502" s="1539"/>
      <c r="AS2502" s="1539"/>
      <c r="AT2502" s="1539"/>
      <c r="AU2502" s="1539"/>
      <c r="AV2502" s="1539"/>
      <c r="AW2502" s="1539"/>
      <c r="AX2502" s="1539"/>
      <c r="AY2502" s="1539"/>
      <c r="AZ2502" s="1539"/>
      <c r="BA2502" s="1539"/>
      <c r="BB2502" s="1539"/>
      <c r="BC2502" s="1539"/>
      <c r="BD2502" s="1539"/>
      <c r="BE2502" s="1539"/>
      <c r="BF2502" s="1539"/>
      <c r="BG2502" s="1539"/>
      <c r="BH2502" s="1539"/>
      <c r="BI2502" s="1539"/>
      <c r="BJ2502" s="1539"/>
      <c r="BK2502" s="1539"/>
      <c r="BL2502" s="1539"/>
      <c r="BM2502" s="1539"/>
      <c r="BN2502" s="1539"/>
      <c r="BO2502" s="1539"/>
      <c r="BP2502" s="1539"/>
      <c r="BQ2502" s="1539"/>
      <c r="BR2502" s="1539"/>
      <c r="BS2502" s="1539"/>
      <c r="BT2502" s="1539"/>
      <c r="BU2502" s="1539"/>
      <c r="BV2502" s="1539"/>
      <c r="BW2502" s="1539"/>
      <c r="BX2502" s="1539"/>
      <c r="BY2502" s="1539"/>
      <c r="BZ2502" s="1539"/>
      <c r="CA2502" s="1539"/>
      <c r="CB2502" s="1539"/>
      <c r="CC2502" s="1539"/>
      <c r="CD2502" s="1539"/>
      <c r="CE2502" s="1539"/>
      <c r="CF2502" s="1539"/>
      <c r="CG2502" s="1539"/>
      <c r="CH2502" s="1539"/>
      <c r="CI2502" s="1539"/>
      <c r="CJ2502" s="1539"/>
      <c r="CK2502" s="1539"/>
      <c r="CL2502" s="1539"/>
      <c r="CM2502" s="1539"/>
      <c r="CN2502" s="1539"/>
      <c r="CO2502" s="1539"/>
    </row>
    <row r="2503" spans="1:93" s="1552" customFormat="1" ht="15.5">
      <c r="A2503" s="1598"/>
      <c r="B2503" s="1599" t="s">
        <v>1760</v>
      </c>
      <c r="C2503" s="1643" t="e">
        <f>+SUMIF(#REF!,Final!A2503,#REF!)</f>
        <v>#REF!</v>
      </c>
      <c r="D2503" s="1597" t="e">
        <f>+SUMIF(#REF!,Final!A2503,#REF!)</f>
        <v>#REF!</v>
      </c>
      <c r="E2503" s="1643" t="e">
        <f>SUMIF(#REF!,Final!A2503,#REF!)</f>
        <v>#REF!</v>
      </c>
      <c r="F2503" s="1644" t="e">
        <f>SUMIF(#REF!,Final!A2503,#REF!)</f>
        <v>#REF!</v>
      </c>
      <c r="G2503" s="1597" t="e">
        <f t="shared" si="260"/>
        <v>#REF!</v>
      </c>
      <c r="H2503" s="1644" t="e">
        <f t="shared" si="261"/>
        <v>#REF!</v>
      </c>
      <c r="I2503" s="1597" t="e">
        <f t="shared" si="262"/>
        <v>#REF!</v>
      </c>
      <c r="J2503" s="1644" t="e">
        <f t="shared" si="263"/>
        <v>#REF!</v>
      </c>
      <c r="K2503" s="1539"/>
      <c r="L2503" s="1539"/>
      <c r="M2503" s="1545"/>
      <c r="N2503" s="1545"/>
      <c r="O2503" s="1539"/>
      <c r="P2503" s="1539"/>
      <c r="Q2503" s="1539"/>
      <c r="R2503" s="1539"/>
      <c r="S2503" s="1539"/>
      <c r="T2503" s="1539"/>
      <c r="U2503" s="1539"/>
      <c r="V2503" s="1539"/>
      <c r="W2503" s="1539"/>
      <c r="X2503" s="1539"/>
      <c r="Y2503" s="1539"/>
      <c r="Z2503" s="1539"/>
      <c r="AA2503" s="1539"/>
      <c r="AB2503" s="1539"/>
      <c r="AC2503" s="1539"/>
      <c r="AD2503" s="1539"/>
      <c r="AE2503" s="1539"/>
      <c r="AF2503" s="1539"/>
      <c r="AG2503" s="1539"/>
      <c r="AH2503" s="1539"/>
      <c r="AI2503" s="1539"/>
      <c r="AJ2503" s="1539"/>
      <c r="AK2503" s="1539"/>
      <c r="AL2503" s="1539"/>
      <c r="AM2503" s="1539"/>
      <c r="AN2503" s="1539"/>
      <c r="AO2503" s="1539"/>
      <c r="AP2503" s="1539"/>
      <c r="AQ2503" s="1539"/>
      <c r="AR2503" s="1539"/>
      <c r="AS2503" s="1539"/>
      <c r="AT2503" s="1539"/>
      <c r="AU2503" s="1539"/>
      <c r="AV2503" s="1539"/>
      <c r="AW2503" s="1539"/>
      <c r="AX2503" s="1539"/>
      <c r="AY2503" s="1539"/>
      <c r="AZ2503" s="1539"/>
      <c r="BA2503" s="1539"/>
      <c r="BB2503" s="1539"/>
      <c r="BC2503" s="1539"/>
      <c r="BD2503" s="1539"/>
      <c r="BE2503" s="1539"/>
      <c r="BF2503" s="1539"/>
      <c r="BG2503" s="1539"/>
      <c r="BH2503" s="1539"/>
      <c r="BI2503" s="1539"/>
      <c r="BJ2503" s="1539"/>
      <c r="BK2503" s="1539"/>
      <c r="BL2503" s="1539"/>
      <c r="BM2503" s="1539"/>
      <c r="BN2503" s="1539"/>
      <c r="BO2503" s="1539"/>
      <c r="BP2503" s="1539"/>
      <c r="BQ2503" s="1539"/>
      <c r="BR2503" s="1539"/>
      <c r="BS2503" s="1539"/>
      <c r="BT2503" s="1539"/>
      <c r="BU2503" s="1539"/>
      <c r="BV2503" s="1539"/>
      <c r="BW2503" s="1539"/>
      <c r="BX2503" s="1539"/>
      <c r="BY2503" s="1539"/>
      <c r="BZ2503" s="1539"/>
      <c r="CA2503" s="1539"/>
      <c r="CB2503" s="1539"/>
      <c r="CC2503" s="1539"/>
      <c r="CD2503" s="1539"/>
      <c r="CE2503" s="1539"/>
      <c r="CF2503" s="1539"/>
      <c r="CG2503" s="1539"/>
      <c r="CH2503" s="1539"/>
      <c r="CI2503" s="1539"/>
      <c r="CJ2503" s="1539"/>
      <c r="CK2503" s="1539"/>
      <c r="CL2503" s="1539"/>
      <c r="CM2503" s="1539"/>
      <c r="CN2503" s="1539"/>
      <c r="CO2503" s="1539"/>
    </row>
    <row r="2504" spans="1:93" s="1542" customFormat="1" ht="15.5">
      <c r="A2504" s="1598" t="s">
        <v>545</v>
      </c>
      <c r="B2504" s="1599" t="s">
        <v>2931</v>
      </c>
      <c r="C2504" s="1643" t="e">
        <f>+SUMIF(#REF!,Final!A2504,#REF!)</f>
        <v>#REF!</v>
      </c>
      <c r="D2504" s="1597" t="e">
        <f>+SUMIF(#REF!,Final!A2504,#REF!)</f>
        <v>#REF!</v>
      </c>
      <c r="E2504" s="1643" t="e">
        <f>SUMIF(#REF!,Final!A2504,#REF!)</f>
        <v>#REF!</v>
      </c>
      <c r="F2504" s="1644" t="e">
        <f>SUMIF(#REF!,Final!A2504,#REF!)</f>
        <v>#REF!</v>
      </c>
      <c r="G2504" s="1597" t="e">
        <f t="shared" si="260"/>
        <v>#REF!</v>
      </c>
      <c r="H2504" s="1644" t="e">
        <f t="shared" si="261"/>
        <v>#REF!</v>
      </c>
      <c r="I2504" s="1597" t="e">
        <f t="shared" si="262"/>
        <v>#REF!</v>
      </c>
      <c r="J2504" s="1644" t="e">
        <f t="shared" si="263"/>
        <v>#REF!</v>
      </c>
      <c r="K2504" s="1539"/>
      <c r="L2504" s="1539"/>
      <c r="M2504" s="1545"/>
      <c r="N2504" s="1545"/>
      <c r="O2504" s="1539"/>
      <c r="P2504" s="1539"/>
      <c r="Q2504" s="1539"/>
      <c r="R2504" s="1539"/>
      <c r="S2504" s="1539"/>
      <c r="T2504" s="1539"/>
      <c r="U2504" s="1539"/>
      <c r="V2504" s="1539"/>
      <c r="W2504" s="1539"/>
      <c r="X2504" s="1539"/>
      <c r="Y2504" s="1539"/>
      <c r="Z2504" s="1539"/>
      <c r="AA2504" s="1539"/>
      <c r="AB2504" s="1539"/>
      <c r="AC2504" s="1539"/>
      <c r="AD2504" s="1539"/>
      <c r="AE2504" s="1539"/>
      <c r="AF2504" s="1539"/>
      <c r="AG2504" s="1539"/>
      <c r="AH2504" s="1539"/>
      <c r="AI2504" s="1539"/>
      <c r="AJ2504" s="1539"/>
      <c r="AK2504" s="1539"/>
      <c r="AL2504" s="1539"/>
      <c r="AM2504" s="1539"/>
      <c r="AN2504" s="1539"/>
      <c r="AO2504" s="1539"/>
      <c r="AP2504" s="1539"/>
      <c r="AQ2504" s="1539"/>
      <c r="AR2504" s="1539"/>
      <c r="AS2504" s="1539"/>
      <c r="AT2504" s="1539"/>
      <c r="AU2504" s="1539"/>
      <c r="AV2504" s="1539"/>
      <c r="AW2504" s="1539"/>
      <c r="AX2504" s="1539"/>
      <c r="AY2504" s="1539"/>
      <c r="AZ2504" s="1539"/>
      <c r="BA2504" s="1539"/>
      <c r="BB2504" s="1539"/>
      <c r="BC2504" s="1539"/>
      <c r="BD2504" s="1539"/>
      <c r="BE2504" s="1539"/>
      <c r="BF2504" s="1539"/>
      <c r="BG2504" s="1539"/>
      <c r="BH2504" s="1539"/>
      <c r="BI2504" s="1539"/>
      <c r="BJ2504" s="1539"/>
      <c r="BK2504" s="1539"/>
      <c r="BL2504" s="1539"/>
      <c r="BM2504" s="1539"/>
      <c r="BN2504" s="1539"/>
      <c r="BO2504" s="1539"/>
      <c r="BP2504" s="1539"/>
      <c r="BQ2504" s="1539"/>
      <c r="BR2504" s="1539"/>
      <c r="BS2504" s="1539"/>
      <c r="BT2504" s="1539"/>
      <c r="BU2504" s="1539"/>
      <c r="BV2504" s="1539"/>
      <c r="BW2504" s="1539"/>
      <c r="BX2504" s="1539"/>
      <c r="BY2504" s="1539"/>
      <c r="BZ2504" s="1539"/>
      <c r="CA2504" s="1539"/>
      <c r="CB2504" s="1539"/>
      <c r="CC2504" s="1539"/>
      <c r="CD2504" s="1539"/>
      <c r="CE2504" s="1539"/>
      <c r="CF2504" s="1539"/>
      <c r="CG2504" s="1539"/>
      <c r="CH2504" s="1539"/>
      <c r="CI2504" s="1539"/>
      <c r="CJ2504" s="1539"/>
      <c r="CK2504" s="1539"/>
      <c r="CL2504" s="1539"/>
      <c r="CM2504" s="1539"/>
      <c r="CN2504" s="1539"/>
      <c r="CO2504" s="1539"/>
    </row>
    <row r="2505" spans="1:93" s="1542" customFormat="1" ht="15.5">
      <c r="A2505" s="1598">
        <v>61.231000000000002</v>
      </c>
      <c r="B2505" s="1599" t="s">
        <v>2932</v>
      </c>
      <c r="C2505" s="1643" t="e">
        <f>+SUMIF(#REF!,Final!A2505,#REF!)</f>
        <v>#REF!</v>
      </c>
      <c r="D2505" s="1597" t="e">
        <f>+SUMIF(#REF!,Final!A2505,#REF!)</f>
        <v>#REF!</v>
      </c>
      <c r="E2505" s="1643" t="e">
        <f>SUMIF(#REF!,Final!A2505,#REF!)</f>
        <v>#REF!</v>
      </c>
      <c r="F2505" s="1644" t="e">
        <f>SUMIF(#REF!,Final!A2505,#REF!)</f>
        <v>#REF!</v>
      </c>
      <c r="G2505" s="1597" t="e">
        <f t="shared" si="260"/>
        <v>#REF!</v>
      </c>
      <c r="H2505" s="1644" t="e">
        <f t="shared" si="261"/>
        <v>#REF!</v>
      </c>
      <c r="I2505" s="1597" t="e">
        <f t="shared" si="262"/>
        <v>#REF!</v>
      </c>
      <c r="J2505" s="1644" t="e">
        <f t="shared" si="263"/>
        <v>#REF!</v>
      </c>
      <c r="K2505" s="1539"/>
      <c r="L2505" s="1539"/>
      <c r="M2505" s="1545"/>
      <c r="N2505" s="1545"/>
      <c r="O2505" s="1539"/>
      <c r="P2505" s="1539"/>
      <c r="Q2505" s="1539"/>
      <c r="R2505" s="1539"/>
      <c r="S2505" s="1539"/>
      <c r="T2505" s="1539"/>
      <c r="U2505" s="1539"/>
      <c r="V2505" s="1539"/>
      <c r="W2505" s="1539"/>
      <c r="X2505" s="1539"/>
      <c r="Y2505" s="1539"/>
      <c r="Z2505" s="1539"/>
      <c r="AA2505" s="1539"/>
      <c r="AB2505" s="1539"/>
      <c r="AC2505" s="1539"/>
      <c r="AD2505" s="1539"/>
      <c r="AE2505" s="1539"/>
      <c r="AF2505" s="1539"/>
      <c r="AG2505" s="1539"/>
      <c r="AH2505" s="1539"/>
      <c r="AI2505" s="1539"/>
      <c r="AJ2505" s="1539"/>
      <c r="AK2505" s="1539"/>
      <c r="AL2505" s="1539"/>
      <c r="AM2505" s="1539"/>
      <c r="AN2505" s="1539"/>
      <c r="AO2505" s="1539"/>
      <c r="AP2505" s="1539"/>
      <c r="AQ2505" s="1539"/>
      <c r="AR2505" s="1539"/>
      <c r="AS2505" s="1539"/>
      <c r="AT2505" s="1539"/>
      <c r="AU2505" s="1539"/>
      <c r="AV2505" s="1539"/>
      <c r="AW2505" s="1539"/>
      <c r="AX2505" s="1539"/>
      <c r="AY2505" s="1539"/>
      <c r="AZ2505" s="1539"/>
      <c r="BA2505" s="1539"/>
      <c r="BB2505" s="1539"/>
      <c r="BC2505" s="1539"/>
      <c r="BD2505" s="1539"/>
      <c r="BE2505" s="1539"/>
      <c r="BF2505" s="1539"/>
      <c r="BG2505" s="1539"/>
      <c r="BH2505" s="1539"/>
      <c r="BI2505" s="1539"/>
      <c r="BJ2505" s="1539"/>
      <c r="BK2505" s="1539"/>
      <c r="BL2505" s="1539"/>
      <c r="BM2505" s="1539"/>
      <c r="BN2505" s="1539"/>
      <c r="BO2505" s="1539"/>
      <c r="BP2505" s="1539"/>
      <c r="BQ2505" s="1539"/>
      <c r="BR2505" s="1539"/>
      <c r="BS2505" s="1539"/>
      <c r="BT2505" s="1539"/>
      <c r="BU2505" s="1539"/>
      <c r="BV2505" s="1539"/>
      <c r="BW2505" s="1539"/>
      <c r="BX2505" s="1539"/>
      <c r="BY2505" s="1539"/>
      <c r="BZ2505" s="1539"/>
      <c r="CA2505" s="1539"/>
      <c r="CB2505" s="1539"/>
      <c r="CC2505" s="1539"/>
      <c r="CD2505" s="1539"/>
      <c r="CE2505" s="1539"/>
      <c r="CF2505" s="1539"/>
      <c r="CG2505" s="1539"/>
      <c r="CH2505" s="1539"/>
      <c r="CI2505" s="1539"/>
      <c r="CJ2505" s="1539"/>
      <c r="CK2505" s="1539"/>
      <c r="CL2505" s="1539"/>
      <c r="CM2505" s="1539"/>
      <c r="CN2505" s="1539"/>
      <c r="CO2505" s="1539"/>
    </row>
    <row r="2506" spans="1:93" ht="15.5">
      <c r="A2506" s="1598">
        <v>61.231999999999999</v>
      </c>
      <c r="B2506" s="1599" t="s">
        <v>2933</v>
      </c>
      <c r="C2506" s="1643" t="e">
        <f>+SUMIF(#REF!,Final!A2506,#REF!)</f>
        <v>#REF!</v>
      </c>
      <c r="D2506" s="1597" t="e">
        <f>+SUMIF(#REF!,Final!A2506,#REF!)</f>
        <v>#REF!</v>
      </c>
      <c r="E2506" s="1643" t="e">
        <f>SUMIF(#REF!,Final!A2506,#REF!)</f>
        <v>#REF!</v>
      </c>
      <c r="F2506" s="1644" t="e">
        <f>SUMIF(#REF!,Final!A2506,#REF!)</f>
        <v>#REF!</v>
      </c>
      <c r="G2506" s="1597" t="e">
        <f t="shared" si="260"/>
        <v>#REF!</v>
      </c>
      <c r="H2506" s="1644" t="e">
        <f t="shared" si="261"/>
        <v>#REF!</v>
      </c>
      <c r="I2506" s="1597" t="e">
        <f t="shared" si="262"/>
        <v>#REF!</v>
      </c>
      <c r="J2506" s="1644" t="e">
        <f t="shared" si="263"/>
        <v>#REF!</v>
      </c>
      <c r="M2506" s="1545"/>
      <c r="N2506" s="1545"/>
    </row>
    <row r="2507" spans="1:93" s="1542" customFormat="1" ht="15.5">
      <c r="A2507" s="1598">
        <v>61.232999999999997</v>
      </c>
      <c r="B2507" s="1599" t="s">
        <v>2934</v>
      </c>
      <c r="C2507" s="1643" t="e">
        <f>+SUMIF(#REF!,Final!A2507,#REF!)</f>
        <v>#REF!</v>
      </c>
      <c r="D2507" s="1597" t="e">
        <f>+SUMIF(#REF!,Final!A2507,#REF!)</f>
        <v>#REF!</v>
      </c>
      <c r="E2507" s="1643" t="e">
        <f>SUMIF(#REF!,Final!A2507,#REF!)</f>
        <v>#REF!</v>
      </c>
      <c r="F2507" s="1644" t="e">
        <f>SUMIF(#REF!,Final!A2507,#REF!)</f>
        <v>#REF!</v>
      </c>
      <c r="G2507" s="1597" t="e">
        <f t="shared" si="260"/>
        <v>#REF!</v>
      </c>
      <c r="H2507" s="1644" t="e">
        <f t="shared" si="261"/>
        <v>#REF!</v>
      </c>
      <c r="I2507" s="1597" t="e">
        <f t="shared" si="262"/>
        <v>#REF!</v>
      </c>
      <c r="J2507" s="1644" t="e">
        <f t="shared" si="263"/>
        <v>#REF!</v>
      </c>
      <c r="K2507" s="1539"/>
      <c r="L2507" s="1539"/>
      <c r="M2507" s="1545"/>
      <c r="N2507" s="1545"/>
      <c r="O2507" s="1539"/>
      <c r="P2507" s="1539"/>
      <c r="Q2507" s="1539"/>
      <c r="R2507" s="1539"/>
      <c r="S2507" s="1539"/>
      <c r="T2507" s="1539"/>
      <c r="U2507" s="1539"/>
      <c r="V2507" s="1539"/>
      <c r="W2507" s="1539"/>
      <c r="X2507" s="1539"/>
      <c r="Y2507" s="1539"/>
      <c r="Z2507" s="1539"/>
      <c r="AA2507" s="1539"/>
      <c r="AB2507" s="1539"/>
      <c r="AC2507" s="1539"/>
      <c r="AD2507" s="1539"/>
      <c r="AE2507" s="1539"/>
      <c r="AF2507" s="1539"/>
      <c r="AG2507" s="1539"/>
      <c r="AH2507" s="1539"/>
      <c r="AI2507" s="1539"/>
      <c r="AJ2507" s="1539"/>
      <c r="AK2507" s="1539"/>
      <c r="AL2507" s="1539"/>
      <c r="AM2507" s="1539"/>
      <c r="AN2507" s="1539"/>
      <c r="AO2507" s="1539"/>
      <c r="AP2507" s="1539"/>
      <c r="AQ2507" s="1539"/>
      <c r="AR2507" s="1539"/>
      <c r="AS2507" s="1539"/>
      <c r="AT2507" s="1539"/>
      <c r="AU2507" s="1539"/>
      <c r="AV2507" s="1539"/>
      <c r="AW2507" s="1539"/>
      <c r="AX2507" s="1539"/>
      <c r="AY2507" s="1539"/>
      <c r="AZ2507" s="1539"/>
      <c r="BA2507" s="1539"/>
      <c r="BB2507" s="1539"/>
      <c r="BC2507" s="1539"/>
      <c r="BD2507" s="1539"/>
      <c r="BE2507" s="1539"/>
      <c r="BF2507" s="1539"/>
      <c r="BG2507" s="1539"/>
      <c r="BH2507" s="1539"/>
      <c r="BI2507" s="1539"/>
      <c r="BJ2507" s="1539"/>
      <c r="BK2507" s="1539"/>
      <c r="BL2507" s="1539"/>
      <c r="BM2507" s="1539"/>
      <c r="BN2507" s="1539"/>
      <c r="BO2507" s="1539"/>
      <c r="BP2507" s="1539"/>
      <c r="BQ2507" s="1539"/>
      <c r="BR2507" s="1539"/>
      <c r="BS2507" s="1539"/>
      <c r="BT2507" s="1539"/>
      <c r="BU2507" s="1539"/>
      <c r="BV2507" s="1539"/>
      <c r="BW2507" s="1539"/>
      <c r="BX2507" s="1539"/>
      <c r="BY2507" s="1539"/>
      <c r="BZ2507" s="1539"/>
      <c r="CA2507" s="1539"/>
      <c r="CB2507" s="1539"/>
      <c r="CC2507" s="1539"/>
      <c r="CD2507" s="1539"/>
      <c r="CE2507" s="1539"/>
      <c r="CF2507" s="1539"/>
      <c r="CG2507" s="1539"/>
      <c r="CH2507" s="1539"/>
      <c r="CI2507" s="1539"/>
      <c r="CJ2507" s="1539"/>
      <c r="CK2507" s="1539"/>
      <c r="CL2507" s="1539"/>
      <c r="CM2507" s="1539"/>
      <c r="CN2507" s="1539"/>
      <c r="CO2507" s="1539"/>
    </row>
    <row r="2508" spans="1:93" ht="15.5">
      <c r="A2508" s="1598">
        <v>61.234000000000002</v>
      </c>
      <c r="B2508" s="1599" t="s">
        <v>2935</v>
      </c>
      <c r="C2508" s="1643" t="e">
        <f>+SUMIF(#REF!,Final!A2508,#REF!)</f>
        <v>#REF!</v>
      </c>
      <c r="D2508" s="1597" t="e">
        <f>+SUMIF(#REF!,Final!A2508,#REF!)</f>
        <v>#REF!</v>
      </c>
      <c r="E2508" s="1643" t="e">
        <f>SUMIF(#REF!,Final!A2508,#REF!)</f>
        <v>#REF!</v>
      </c>
      <c r="F2508" s="1644" t="e">
        <f>SUMIF(#REF!,Final!A2508,#REF!)</f>
        <v>#REF!</v>
      </c>
      <c r="G2508" s="1597" t="e">
        <f t="shared" si="260"/>
        <v>#REF!</v>
      </c>
      <c r="H2508" s="1644" t="e">
        <f t="shared" si="261"/>
        <v>#REF!</v>
      </c>
      <c r="I2508" s="1597" t="e">
        <f t="shared" si="262"/>
        <v>#REF!</v>
      </c>
      <c r="J2508" s="1644" t="e">
        <f t="shared" si="263"/>
        <v>#REF!</v>
      </c>
      <c r="M2508" s="1545"/>
      <c r="N2508" s="1545"/>
    </row>
    <row r="2509" spans="1:93" ht="15.5">
      <c r="A2509" s="1598">
        <v>61.234999999999999</v>
      </c>
      <c r="B2509" s="1599" t="s">
        <v>2936</v>
      </c>
      <c r="C2509" s="1643" t="e">
        <f>+SUMIF(#REF!,Final!A2509,#REF!)</f>
        <v>#REF!</v>
      </c>
      <c r="D2509" s="1597" t="e">
        <f>+SUMIF(#REF!,Final!A2509,#REF!)</f>
        <v>#REF!</v>
      </c>
      <c r="E2509" s="1643" t="e">
        <f>SUMIF(#REF!,Final!A2509,#REF!)</f>
        <v>#REF!</v>
      </c>
      <c r="F2509" s="1644" t="e">
        <f>SUMIF(#REF!,Final!A2509,#REF!)</f>
        <v>#REF!</v>
      </c>
      <c r="G2509" s="1597" t="e">
        <f t="shared" si="260"/>
        <v>#REF!</v>
      </c>
      <c r="H2509" s="1644" t="e">
        <f t="shared" si="261"/>
        <v>#REF!</v>
      </c>
      <c r="I2509" s="1597" t="e">
        <f t="shared" si="262"/>
        <v>#REF!</v>
      </c>
      <c r="J2509" s="1644" t="e">
        <f t="shared" si="263"/>
        <v>#REF!</v>
      </c>
      <c r="M2509" s="1545"/>
      <c r="N2509" s="1545"/>
    </row>
    <row r="2510" spans="1:93" s="1552" customFormat="1" ht="15.5">
      <c r="A2510" s="1598"/>
      <c r="B2510" s="1599" t="s">
        <v>1747</v>
      </c>
      <c r="C2510" s="1643" t="e">
        <f>+SUMIF(#REF!,Final!A2510,#REF!)</f>
        <v>#REF!</v>
      </c>
      <c r="D2510" s="1597" t="e">
        <f>+SUMIF(#REF!,Final!A2510,#REF!)</f>
        <v>#REF!</v>
      </c>
      <c r="E2510" s="1643" t="e">
        <f>SUMIF(#REF!,Final!A2510,#REF!)</f>
        <v>#REF!</v>
      </c>
      <c r="F2510" s="1644" t="e">
        <f>SUMIF(#REF!,Final!A2510,#REF!)</f>
        <v>#REF!</v>
      </c>
      <c r="G2510" s="1597" t="e">
        <f t="shared" si="260"/>
        <v>#REF!</v>
      </c>
      <c r="H2510" s="1644" t="e">
        <f t="shared" si="261"/>
        <v>#REF!</v>
      </c>
      <c r="I2510" s="1597" t="e">
        <f t="shared" si="262"/>
        <v>#REF!</v>
      </c>
      <c r="J2510" s="1644" t="e">
        <f t="shared" si="263"/>
        <v>#REF!</v>
      </c>
      <c r="K2510" s="1539"/>
      <c r="L2510" s="1539"/>
      <c r="M2510" s="1545"/>
      <c r="N2510" s="1545"/>
      <c r="O2510" s="1539"/>
      <c r="P2510" s="1539"/>
      <c r="Q2510" s="1539"/>
      <c r="R2510" s="1539"/>
      <c r="S2510" s="1539"/>
      <c r="T2510" s="1539"/>
      <c r="U2510" s="1539"/>
      <c r="V2510" s="1539"/>
      <c r="W2510" s="1539"/>
      <c r="X2510" s="1539"/>
      <c r="Y2510" s="1539"/>
      <c r="Z2510" s="1539"/>
      <c r="AA2510" s="1539"/>
      <c r="AB2510" s="1539"/>
      <c r="AC2510" s="1539"/>
      <c r="AD2510" s="1539"/>
      <c r="AE2510" s="1539"/>
      <c r="AF2510" s="1539"/>
      <c r="AG2510" s="1539"/>
      <c r="AH2510" s="1539"/>
      <c r="AI2510" s="1539"/>
      <c r="AJ2510" s="1539"/>
      <c r="AK2510" s="1539"/>
      <c r="AL2510" s="1539"/>
      <c r="AM2510" s="1539"/>
      <c r="AN2510" s="1539"/>
      <c r="AO2510" s="1539"/>
      <c r="AP2510" s="1539"/>
      <c r="AQ2510" s="1539"/>
      <c r="AR2510" s="1539"/>
      <c r="AS2510" s="1539"/>
      <c r="AT2510" s="1539"/>
      <c r="AU2510" s="1539"/>
      <c r="AV2510" s="1539"/>
      <c r="AW2510" s="1539"/>
      <c r="AX2510" s="1539"/>
      <c r="AY2510" s="1539"/>
      <c r="AZ2510" s="1539"/>
      <c r="BA2510" s="1539"/>
      <c r="BB2510" s="1539"/>
      <c r="BC2510" s="1539"/>
      <c r="BD2510" s="1539"/>
      <c r="BE2510" s="1539"/>
      <c r="BF2510" s="1539"/>
      <c r="BG2510" s="1539"/>
      <c r="BH2510" s="1539"/>
      <c r="BI2510" s="1539"/>
      <c r="BJ2510" s="1539"/>
      <c r="BK2510" s="1539"/>
      <c r="BL2510" s="1539"/>
      <c r="BM2510" s="1539"/>
      <c r="BN2510" s="1539"/>
      <c r="BO2510" s="1539"/>
      <c r="BP2510" s="1539"/>
      <c r="BQ2510" s="1539"/>
      <c r="BR2510" s="1539"/>
      <c r="BS2510" s="1539"/>
      <c r="BT2510" s="1539"/>
      <c r="BU2510" s="1539"/>
      <c r="BV2510" s="1539"/>
      <c r="BW2510" s="1539"/>
      <c r="BX2510" s="1539"/>
      <c r="BY2510" s="1539"/>
      <c r="BZ2510" s="1539"/>
      <c r="CA2510" s="1539"/>
      <c r="CB2510" s="1539"/>
      <c r="CC2510" s="1539"/>
      <c r="CD2510" s="1539"/>
      <c r="CE2510" s="1539"/>
      <c r="CF2510" s="1539"/>
      <c r="CG2510" s="1539"/>
      <c r="CH2510" s="1539"/>
      <c r="CI2510" s="1539"/>
      <c r="CJ2510" s="1539"/>
      <c r="CK2510" s="1539"/>
      <c r="CL2510" s="1539"/>
      <c r="CM2510" s="1539"/>
      <c r="CN2510" s="1539"/>
      <c r="CO2510" s="1539"/>
    </row>
    <row r="2511" spans="1:93" s="1552" customFormat="1" ht="15.5">
      <c r="A2511" s="1598"/>
      <c r="B2511" s="1599" t="s">
        <v>1760</v>
      </c>
      <c r="C2511" s="1643" t="e">
        <f>+SUMIF(#REF!,Final!A2511,#REF!)</f>
        <v>#REF!</v>
      </c>
      <c r="D2511" s="1597" t="e">
        <f>+SUMIF(#REF!,Final!A2511,#REF!)</f>
        <v>#REF!</v>
      </c>
      <c r="E2511" s="1643" t="e">
        <f>SUMIF(#REF!,Final!A2511,#REF!)</f>
        <v>#REF!</v>
      </c>
      <c r="F2511" s="1644" t="e">
        <f>SUMIF(#REF!,Final!A2511,#REF!)</f>
        <v>#REF!</v>
      </c>
      <c r="G2511" s="1597" t="e">
        <f t="shared" si="260"/>
        <v>#REF!</v>
      </c>
      <c r="H2511" s="1644" t="e">
        <f t="shared" si="261"/>
        <v>#REF!</v>
      </c>
      <c r="I2511" s="1597" t="e">
        <f t="shared" si="262"/>
        <v>#REF!</v>
      </c>
      <c r="J2511" s="1644" t="e">
        <f t="shared" si="263"/>
        <v>#REF!</v>
      </c>
      <c r="K2511" s="1539"/>
      <c r="L2511" s="1539"/>
      <c r="M2511" s="1545"/>
      <c r="N2511" s="1545"/>
      <c r="O2511" s="1539"/>
      <c r="P2511" s="1539"/>
      <c r="Q2511" s="1539"/>
      <c r="R2511" s="1539"/>
      <c r="S2511" s="1539"/>
      <c r="T2511" s="1539"/>
      <c r="U2511" s="1539"/>
      <c r="V2511" s="1539"/>
      <c r="W2511" s="1539"/>
      <c r="X2511" s="1539"/>
      <c r="Y2511" s="1539"/>
      <c r="Z2511" s="1539"/>
      <c r="AA2511" s="1539"/>
      <c r="AB2511" s="1539"/>
      <c r="AC2511" s="1539"/>
      <c r="AD2511" s="1539"/>
      <c r="AE2511" s="1539"/>
      <c r="AF2511" s="1539"/>
      <c r="AG2511" s="1539"/>
      <c r="AH2511" s="1539"/>
      <c r="AI2511" s="1539"/>
      <c r="AJ2511" s="1539"/>
      <c r="AK2511" s="1539"/>
      <c r="AL2511" s="1539"/>
      <c r="AM2511" s="1539"/>
      <c r="AN2511" s="1539"/>
      <c r="AO2511" s="1539"/>
      <c r="AP2511" s="1539"/>
      <c r="AQ2511" s="1539"/>
      <c r="AR2511" s="1539"/>
      <c r="AS2511" s="1539"/>
      <c r="AT2511" s="1539"/>
      <c r="AU2511" s="1539"/>
      <c r="AV2511" s="1539"/>
      <c r="AW2511" s="1539"/>
      <c r="AX2511" s="1539"/>
      <c r="AY2511" s="1539"/>
      <c r="AZ2511" s="1539"/>
      <c r="BA2511" s="1539"/>
      <c r="BB2511" s="1539"/>
      <c r="BC2511" s="1539"/>
      <c r="BD2511" s="1539"/>
      <c r="BE2511" s="1539"/>
      <c r="BF2511" s="1539"/>
      <c r="BG2511" s="1539"/>
      <c r="BH2511" s="1539"/>
      <c r="BI2511" s="1539"/>
      <c r="BJ2511" s="1539"/>
      <c r="BK2511" s="1539"/>
      <c r="BL2511" s="1539"/>
      <c r="BM2511" s="1539"/>
      <c r="BN2511" s="1539"/>
      <c r="BO2511" s="1539"/>
      <c r="BP2511" s="1539"/>
      <c r="BQ2511" s="1539"/>
      <c r="BR2511" s="1539"/>
      <c r="BS2511" s="1539"/>
      <c r="BT2511" s="1539"/>
      <c r="BU2511" s="1539"/>
      <c r="BV2511" s="1539"/>
      <c r="BW2511" s="1539"/>
      <c r="BX2511" s="1539"/>
      <c r="BY2511" s="1539"/>
      <c r="BZ2511" s="1539"/>
      <c r="CA2511" s="1539"/>
      <c r="CB2511" s="1539"/>
      <c r="CC2511" s="1539"/>
      <c r="CD2511" s="1539"/>
      <c r="CE2511" s="1539"/>
      <c r="CF2511" s="1539"/>
      <c r="CG2511" s="1539"/>
      <c r="CH2511" s="1539"/>
      <c r="CI2511" s="1539"/>
      <c r="CJ2511" s="1539"/>
      <c r="CK2511" s="1539"/>
      <c r="CL2511" s="1539"/>
      <c r="CM2511" s="1539"/>
      <c r="CN2511" s="1539"/>
      <c r="CO2511" s="1539"/>
    </row>
    <row r="2512" spans="1:93" s="1542" customFormat="1" ht="15.5">
      <c r="A2512" s="1598" t="s">
        <v>1404</v>
      </c>
      <c r="B2512" s="1599" t="s">
        <v>2937</v>
      </c>
      <c r="C2512" s="1643" t="e">
        <f>+SUMIF(#REF!,Final!A2512,#REF!)</f>
        <v>#REF!</v>
      </c>
      <c r="D2512" s="1597" t="e">
        <f>+SUMIF(#REF!,Final!A2512,#REF!)</f>
        <v>#REF!</v>
      </c>
      <c r="E2512" s="1643" t="e">
        <f>SUMIF(#REF!,Final!A2512,#REF!)</f>
        <v>#REF!</v>
      </c>
      <c r="F2512" s="1644" t="e">
        <f>SUMIF(#REF!,Final!A2512,#REF!)</f>
        <v>#REF!</v>
      </c>
      <c r="G2512" s="1597" t="e">
        <f t="shared" si="260"/>
        <v>#REF!</v>
      </c>
      <c r="H2512" s="1644" t="e">
        <f t="shared" si="261"/>
        <v>#REF!</v>
      </c>
      <c r="I2512" s="1597" t="e">
        <f t="shared" si="262"/>
        <v>#REF!</v>
      </c>
      <c r="J2512" s="1644" t="e">
        <f t="shared" si="263"/>
        <v>#REF!</v>
      </c>
      <c r="K2512" s="1539"/>
      <c r="L2512" s="1539"/>
      <c r="M2512" s="1545"/>
      <c r="N2512" s="1545"/>
      <c r="O2512" s="1539"/>
      <c r="P2512" s="1539"/>
      <c r="Q2512" s="1539"/>
      <c r="R2512" s="1539"/>
      <c r="S2512" s="1539"/>
      <c r="T2512" s="1539"/>
      <c r="U2512" s="1539"/>
      <c r="V2512" s="1539"/>
      <c r="W2512" s="1539"/>
      <c r="X2512" s="1539"/>
      <c r="Y2512" s="1539"/>
      <c r="Z2512" s="1539"/>
      <c r="AA2512" s="1539"/>
      <c r="AB2512" s="1539"/>
      <c r="AC2512" s="1539"/>
      <c r="AD2512" s="1539"/>
      <c r="AE2512" s="1539"/>
      <c r="AF2512" s="1539"/>
      <c r="AG2512" s="1539"/>
      <c r="AH2512" s="1539"/>
      <c r="AI2512" s="1539"/>
      <c r="AJ2512" s="1539"/>
      <c r="AK2512" s="1539"/>
      <c r="AL2512" s="1539"/>
      <c r="AM2512" s="1539"/>
      <c r="AN2512" s="1539"/>
      <c r="AO2512" s="1539"/>
      <c r="AP2512" s="1539"/>
      <c r="AQ2512" s="1539"/>
      <c r="AR2512" s="1539"/>
      <c r="AS2512" s="1539"/>
      <c r="AT2512" s="1539"/>
      <c r="AU2512" s="1539"/>
      <c r="AV2512" s="1539"/>
      <c r="AW2512" s="1539"/>
      <c r="AX2512" s="1539"/>
      <c r="AY2512" s="1539"/>
      <c r="AZ2512" s="1539"/>
      <c r="BA2512" s="1539"/>
      <c r="BB2512" s="1539"/>
      <c r="BC2512" s="1539"/>
      <c r="BD2512" s="1539"/>
      <c r="BE2512" s="1539"/>
      <c r="BF2512" s="1539"/>
      <c r="BG2512" s="1539"/>
      <c r="BH2512" s="1539"/>
      <c r="BI2512" s="1539"/>
      <c r="BJ2512" s="1539"/>
      <c r="BK2512" s="1539"/>
      <c r="BL2512" s="1539"/>
      <c r="BM2512" s="1539"/>
      <c r="BN2512" s="1539"/>
      <c r="BO2512" s="1539"/>
      <c r="BP2512" s="1539"/>
      <c r="BQ2512" s="1539"/>
      <c r="BR2512" s="1539"/>
      <c r="BS2512" s="1539"/>
      <c r="BT2512" s="1539"/>
      <c r="BU2512" s="1539"/>
      <c r="BV2512" s="1539"/>
      <c r="BW2512" s="1539"/>
      <c r="BX2512" s="1539"/>
      <c r="BY2512" s="1539"/>
      <c r="BZ2512" s="1539"/>
      <c r="CA2512" s="1539"/>
      <c r="CB2512" s="1539"/>
      <c r="CC2512" s="1539"/>
      <c r="CD2512" s="1539"/>
      <c r="CE2512" s="1539"/>
      <c r="CF2512" s="1539"/>
      <c r="CG2512" s="1539"/>
      <c r="CH2512" s="1539"/>
      <c r="CI2512" s="1539"/>
      <c r="CJ2512" s="1539"/>
      <c r="CK2512" s="1539"/>
      <c r="CL2512" s="1539"/>
      <c r="CM2512" s="1539"/>
      <c r="CN2512" s="1539"/>
      <c r="CO2512" s="1539"/>
    </row>
    <row r="2513" spans="1:93" ht="15.5">
      <c r="A2513" s="1598">
        <v>61.241</v>
      </c>
      <c r="B2513" s="1599" t="s">
        <v>2938</v>
      </c>
      <c r="C2513" s="1643" t="e">
        <f>+SUMIF(#REF!,Final!A2513,#REF!)</f>
        <v>#REF!</v>
      </c>
      <c r="D2513" s="1597" t="e">
        <f>+SUMIF(#REF!,Final!A2513,#REF!)</f>
        <v>#REF!</v>
      </c>
      <c r="E2513" s="1643" t="e">
        <f>SUMIF(#REF!,Final!A2513,#REF!)</f>
        <v>#REF!</v>
      </c>
      <c r="F2513" s="1644" t="e">
        <f>SUMIF(#REF!,Final!A2513,#REF!)</f>
        <v>#REF!</v>
      </c>
      <c r="G2513" s="1597" t="e">
        <f t="shared" si="260"/>
        <v>#REF!</v>
      </c>
      <c r="H2513" s="1644" t="e">
        <f t="shared" si="261"/>
        <v>#REF!</v>
      </c>
      <c r="I2513" s="1597" t="e">
        <f t="shared" si="262"/>
        <v>#REF!</v>
      </c>
      <c r="J2513" s="1644" t="e">
        <f t="shared" si="263"/>
        <v>#REF!</v>
      </c>
      <c r="M2513" s="1545"/>
      <c r="N2513" s="1545"/>
    </row>
    <row r="2514" spans="1:93" ht="15.5">
      <c r="A2514" s="1598">
        <v>61.241999999999997</v>
      </c>
      <c r="B2514" s="1599" t="s">
        <v>2939</v>
      </c>
      <c r="C2514" s="1643" t="e">
        <f>+SUMIF(#REF!,Final!A2514,#REF!)</f>
        <v>#REF!</v>
      </c>
      <c r="D2514" s="1597" t="e">
        <f>+SUMIF(#REF!,Final!A2514,#REF!)</f>
        <v>#REF!</v>
      </c>
      <c r="E2514" s="1643" t="e">
        <f>SUMIF(#REF!,Final!A2514,#REF!)</f>
        <v>#REF!</v>
      </c>
      <c r="F2514" s="1644" t="e">
        <f>SUMIF(#REF!,Final!A2514,#REF!)</f>
        <v>#REF!</v>
      </c>
      <c r="G2514" s="1597" t="e">
        <f t="shared" si="260"/>
        <v>#REF!</v>
      </c>
      <c r="H2514" s="1644" t="e">
        <f t="shared" si="261"/>
        <v>#REF!</v>
      </c>
      <c r="I2514" s="1597" t="e">
        <f t="shared" si="262"/>
        <v>#REF!</v>
      </c>
      <c r="J2514" s="1644" t="e">
        <f t="shared" si="263"/>
        <v>#REF!</v>
      </c>
      <c r="M2514" s="1545"/>
      <c r="N2514" s="1545"/>
    </row>
    <row r="2515" spans="1:93" ht="15.5">
      <c r="A2515" s="1598">
        <v>61.243000000000002</v>
      </c>
      <c r="B2515" s="1599" t="s">
        <v>2940</v>
      </c>
      <c r="C2515" s="1643" t="e">
        <f>+SUMIF(#REF!,Final!A2515,#REF!)</f>
        <v>#REF!</v>
      </c>
      <c r="D2515" s="1597" t="e">
        <f>+SUMIF(#REF!,Final!A2515,#REF!)</f>
        <v>#REF!</v>
      </c>
      <c r="E2515" s="1643" t="e">
        <f>SUMIF(#REF!,Final!A2515,#REF!)</f>
        <v>#REF!</v>
      </c>
      <c r="F2515" s="1644" t="e">
        <f>SUMIF(#REF!,Final!A2515,#REF!)</f>
        <v>#REF!</v>
      </c>
      <c r="G2515" s="1597" t="e">
        <f t="shared" si="260"/>
        <v>#REF!</v>
      </c>
      <c r="H2515" s="1644" t="e">
        <f t="shared" si="261"/>
        <v>#REF!</v>
      </c>
      <c r="I2515" s="1597" t="e">
        <f t="shared" si="262"/>
        <v>#REF!</v>
      </c>
      <c r="J2515" s="1644" t="e">
        <f t="shared" si="263"/>
        <v>#REF!</v>
      </c>
      <c r="M2515" s="1545"/>
      <c r="N2515" s="1545"/>
    </row>
    <row r="2516" spans="1:93" ht="15.5">
      <c r="A2516" s="1598">
        <v>61.244</v>
      </c>
      <c r="B2516" s="1599" t="s">
        <v>2941</v>
      </c>
      <c r="C2516" s="1643" t="e">
        <f>+SUMIF(#REF!,Final!A2516,#REF!)</f>
        <v>#REF!</v>
      </c>
      <c r="D2516" s="1597" t="e">
        <f>+SUMIF(#REF!,Final!A2516,#REF!)</f>
        <v>#REF!</v>
      </c>
      <c r="E2516" s="1643" t="e">
        <f>SUMIF(#REF!,Final!A2516,#REF!)</f>
        <v>#REF!</v>
      </c>
      <c r="F2516" s="1644" t="e">
        <f>SUMIF(#REF!,Final!A2516,#REF!)</f>
        <v>#REF!</v>
      </c>
      <c r="G2516" s="1597" t="e">
        <f t="shared" si="260"/>
        <v>#REF!</v>
      </c>
      <c r="H2516" s="1644" t="e">
        <f t="shared" si="261"/>
        <v>#REF!</v>
      </c>
      <c r="I2516" s="1597" t="e">
        <f t="shared" si="262"/>
        <v>#REF!</v>
      </c>
      <c r="J2516" s="1644" t="e">
        <f t="shared" si="263"/>
        <v>#REF!</v>
      </c>
      <c r="M2516" s="1545"/>
      <c r="N2516" s="1545"/>
    </row>
    <row r="2517" spans="1:93" ht="15.5">
      <c r="A2517" s="1598">
        <v>61.244999999999997</v>
      </c>
      <c r="B2517" s="1599" t="s">
        <v>2942</v>
      </c>
      <c r="C2517" s="1643" t="e">
        <f>+SUMIF(#REF!,Final!A2517,#REF!)</f>
        <v>#REF!</v>
      </c>
      <c r="D2517" s="1597" t="e">
        <f>+SUMIF(#REF!,Final!A2517,#REF!)</f>
        <v>#REF!</v>
      </c>
      <c r="E2517" s="1643" t="e">
        <f>SUMIF(#REF!,Final!A2517,#REF!)</f>
        <v>#REF!</v>
      </c>
      <c r="F2517" s="1644" t="e">
        <f>SUMIF(#REF!,Final!A2517,#REF!)</f>
        <v>#REF!</v>
      </c>
      <c r="G2517" s="1597" t="e">
        <f t="shared" si="260"/>
        <v>#REF!</v>
      </c>
      <c r="H2517" s="1644" t="e">
        <f t="shared" si="261"/>
        <v>#REF!</v>
      </c>
      <c r="I2517" s="1597" t="e">
        <f t="shared" si="262"/>
        <v>#REF!</v>
      </c>
      <c r="J2517" s="1644" t="e">
        <f t="shared" si="263"/>
        <v>#REF!</v>
      </c>
      <c r="M2517" s="1545"/>
      <c r="N2517" s="1545"/>
    </row>
    <row r="2518" spans="1:93" s="1552" customFormat="1" ht="15.5">
      <c r="A2518" s="1598"/>
      <c r="B2518" s="1599" t="s">
        <v>1747</v>
      </c>
      <c r="C2518" s="1643" t="e">
        <f>+SUMIF(#REF!,Final!A2518,#REF!)</f>
        <v>#REF!</v>
      </c>
      <c r="D2518" s="1597" t="e">
        <f>+SUMIF(#REF!,Final!A2518,#REF!)</f>
        <v>#REF!</v>
      </c>
      <c r="E2518" s="1643" t="e">
        <f>SUMIF(#REF!,Final!A2518,#REF!)</f>
        <v>#REF!</v>
      </c>
      <c r="F2518" s="1644" t="e">
        <f>SUMIF(#REF!,Final!A2518,#REF!)</f>
        <v>#REF!</v>
      </c>
      <c r="G2518" s="1597" t="e">
        <f t="shared" si="260"/>
        <v>#REF!</v>
      </c>
      <c r="H2518" s="1644" t="e">
        <f t="shared" si="261"/>
        <v>#REF!</v>
      </c>
      <c r="I2518" s="1597" t="e">
        <f t="shared" si="262"/>
        <v>#REF!</v>
      </c>
      <c r="J2518" s="1644" t="e">
        <f t="shared" si="263"/>
        <v>#REF!</v>
      </c>
      <c r="K2518" s="1539"/>
      <c r="L2518" s="1539"/>
      <c r="M2518" s="1545"/>
      <c r="N2518" s="1545"/>
      <c r="O2518" s="1539"/>
      <c r="P2518" s="1539"/>
      <c r="Q2518" s="1539"/>
      <c r="R2518" s="1539"/>
      <c r="S2518" s="1539"/>
      <c r="T2518" s="1539"/>
      <c r="U2518" s="1539"/>
      <c r="V2518" s="1539"/>
      <c r="W2518" s="1539"/>
      <c r="X2518" s="1539"/>
      <c r="Y2518" s="1539"/>
      <c r="Z2518" s="1539"/>
      <c r="AA2518" s="1539"/>
      <c r="AB2518" s="1539"/>
      <c r="AC2518" s="1539"/>
      <c r="AD2518" s="1539"/>
      <c r="AE2518" s="1539"/>
      <c r="AF2518" s="1539"/>
      <c r="AG2518" s="1539"/>
      <c r="AH2518" s="1539"/>
      <c r="AI2518" s="1539"/>
      <c r="AJ2518" s="1539"/>
      <c r="AK2518" s="1539"/>
      <c r="AL2518" s="1539"/>
      <c r="AM2518" s="1539"/>
      <c r="AN2518" s="1539"/>
      <c r="AO2518" s="1539"/>
      <c r="AP2518" s="1539"/>
      <c r="AQ2518" s="1539"/>
      <c r="AR2518" s="1539"/>
      <c r="AS2518" s="1539"/>
      <c r="AT2518" s="1539"/>
      <c r="AU2518" s="1539"/>
      <c r="AV2518" s="1539"/>
      <c r="AW2518" s="1539"/>
      <c r="AX2518" s="1539"/>
      <c r="AY2518" s="1539"/>
      <c r="AZ2518" s="1539"/>
      <c r="BA2518" s="1539"/>
      <c r="BB2518" s="1539"/>
      <c r="BC2518" s="1539"/>
      <c r="BD2518" s="1539"/>
      <c r="BE2518" s="1539"/>
      <c r="BF2518" s="1539"/>
      <c r="BG2518" s="1539"/>
      <c r="BH2518" s="1539"/>
      <c r="BI2518" s="1539"/>
      <c r="BJ2518" s="1539"/>
      <c r="BK2518" s="1539"/>
      <c r="BL2518" s="1539"/>
      <c r="BM2518" s="1539"/>
      <c r="BN2518" s="1539"/>
      <c r="BO2518" s="1539"/>
      <c r="BP2518" s="1539"/>
      <c r="BQ2518" s="1539"/>
      <c r="BR2518" s="1539"/>
      <c r="BS2518" s="1539"/>
      <c r="BT2518" s="1539"/>
      <c r="BU2518" s="1539"/>
      <c r="BV2518" s="1539"/>
      <c r="BW2518" s="1539"/>
      <c r="BX2518" s="1539"/>
      <c r="BY2518" s="1539"/>
      <c r="BZ2518" s="1539"/>
      <c r="CA2518" s="1539"/>
      <c r="CB2518" s="1539"/>
      <c r="CC2518" s="1539"/>
      <c r="CD2518" s="1539"/>
      <c r="CE2518" s="1539"/>
      <c r="CF2518" s="1539"/>
      <c r="CG2518" s="1539"/>
      <c r="CH2518" s="1539"/>
      <c r="CI2518" s="1539"/>
      <c r="CJ2518" s="1539"/>
      <c r="CK2518" s="1539"/>
      <c r="CL2518" s="1539"/>
      <c r="CM2518" s="1539"/>
      <c r="CN2518" s="1539"/>
      <c r="CO2518" s="1539"/>
    </row>
    <row r="2519" spans="1:93" s="1552" customFormat="1" ht="15.5">
      <c r="A2519" s="1598"/>
      <c r="B2519" s="1599" t="s">
        <v>1760</v>
      </c>
      <c r="C2519" s="1643" t="e">
        <f>+SUMIF(#REF!,Final!A2519,#REF!)</f>
        <v>#REF!</v>
      </c>
      <c r="D2519" s="1597" t="e">
        <f>+SUMIF(#REF!,Final!A2519,#REF!)</f>
        <v>#REF!</v>
      </c>
      <c r="E2519" s="1643" t="e">
        <f>SUMIF(#REF!,Final!A2519,#REF!)</f>
        <v>#REF!</v>
      </c>
      <c r="F2519" s="1644" t="e">
        <f>SUMIF(#REF!,Final!A2519,#REF!)</f>
        <v>#REF!</v>
      </c>
      <c r="G2519" s="1597" t="e">
        <f t="shared" si="260"/>
        <v>#REF!</v>
      </c>
      <c r="H2519" s="1644" t="e">
        <f t="shared" si="261"/>
        <v>#REF!</v>
      </c>
      <c r="I2519" s="1597" t="e">
        <f t="shared" si="262"/>
        <v>#REF!</v>
      </c>
      <c r="J2519" s="1644" t="e">
        <f t="shared" si="263"/>
        <v>#REF!</v>
      </c>
      <c r="K2519" s="1539"/>
      <c r="L2519" s="1539"/>
      <c r="M2519" s="1545"/>
      <c r="N2519" s="1545"/>
      <c r="O2519" s="1539"/>
      <c r="P2519" s="1539"/>
      <c r="Q2519" s="1539"/>
      <c r="R2519" s="1539"/>
      <c r="S2519" s="1539"/>
      <c r="T2519" s="1539"/>
      <c r="U2519" s="1539"/>
      <c r="V2519" s="1539"/>
      <c r="W2519" s="1539"/>
      <c r="X2519" s="1539"/>
      <c r="Y2519" s="1539"/>
      <c r="Z2519" s="1539"/>
      <c r="AA2519" s="1539"/>
      <c r="AB2519" s="1539"/>
      <c r="AC2519" s="1539"/>
      <c r="AD2519" s="1539"/>
      <c r="AE2519" s="1539"/>
      <c r="AF2519" s="1539"/>
      <c r="AG2519" s="1539"/>
      <c r="AH2519" s="1539"/>
      <c r="AI2519" s="1539"/>
      <c r="AJ2519" s="1539"/>
      <c r="AK2519" s="1539"/>
      <c r="AL2519" s="1539"/>
      <c r="AM2519" s="1539"/>
      <c r="AN2519" s="1539"/>
      <c r="AO2519" s="1539"/>
      <c r="AP2519" s="1539"/>
      <c r="AQ2519" s="1539"/>
      <c r="AR2519" s="1539"/>
      <c r="AS2519" s="1539"/>
      <c r="AT2519" s="1539"/>
      <c r="AU2519" s="1539"/>
      <c r="AV2519" s="1539"/>
      <c r="AW2519" s="1539"/>
      <c r="AX2519" s="1539"/>
      <c r="AY2519" s="1539"/>
      <c r="AZ2519" s="1539"/>
      <c r="BA2519" s="1539"/>
      <c r="BB2519" s="1539"/>
      <c r="BC2519" s="1539"/>
      <c r="BD2519" s="1539"/>
      <c r="BE2519" s="1539"/>
      <c r="BF2519" s="1539"/>
      <c r="BG2519" s="1539"/>
      <c r="BH2519" s="1539"/>
      <c r="BI2519" s="1539"/>
      <c r="BJ2519" s="1539"/>
      <c r="BK2519" s="1539"/>
      <c r="BL2519" s="1539"/>
      <c r="BM2519" s="1539"/>
      <c r="BN2519" s="1539"/>
      <c r="BO2519" s="1539"/>
      <c r="BP2519" s="1539"/>
      <c r="BQ2519" s="1539"/>
      <c r="BR2519" s="1539"/>
      <c r="BS2519" s="1539"/>
      <c r="BT2519" s="1539"/>
      <c r="BU2519" s="1539"/>
      <c r="BV2519" s="1539"/>
      <c r="BW2519" s="1539"/>
      <c r="BX2519" s="1539"/>
      <c r="BY2519" s="1539"/>
      <c r="BZ2519" s="1539"/>
      <c r="CA2519" s="1539"/>
      <c r="CB2519" s="1539"/>
      <c r="CC2519" s="1539"/>
      <c r="CD2519" s="1539"/>
      <c r="CE2519" s="1539"/>
      <c r="CF2519" s="1539"/>
      <c r="CG2519" s="1539"/>
      <c r="CH2519" s="1539"/>
      <c r="CI2519" s="1539"/>
      <c r="CJ2519" s="1539"/>
      <c r="CK2519" s="1539"/>
      <c r="CL2519" s="1539"/>
      <c r="CM2519" s="1539"/>
      <c r="CN2519" s="1539"/>
      <c r="CO2519" s="1539"/>
    </row>
    <row r="2520" spans="1:93" s="1542" customFormat="1" ht="15.5">
      <c r="A2520" s="1598" t="s">
        <v>1405</v>
      </c>
      <c r="B2520" s="1599" t="s">
        <v>2943</v>
      </c>
      <c r="C2520" s="1643" t="e">
        <f>+SUMIF(#REF!,Final!A2520,#REF!)</f>
        <v>#REF!</v>
      </c>
      <c r="D2520" s="1597" t="e">
        <f>+SUMIF(#REF!,Final!A2520,#REF!)</f>
        <v>#REF!</v>
      </c>
      <c r="E2520" s="1643" t="e">
        <f>SUMIF(#REF!,Final!A2520,#REF!)</f>
        <v>#REF!</v>
      </c>
      <c r="F2520" s="1644" t="e">
        <f>SUMIF(#REF!,Final!A2520,#REF!)</f>
        <v>#REF!</v>
      </c>
      <c r="G2520" s="1597" t="e">
        <f t="shared" si="260"/>
        <v>#REF!</v>
      </c>
      <c r="H2520" s="1644" t="e">
        <f t="shared" si="261"/>
        <v>#REF!</v>
      </c>
      <c r="I2520" s="1597" t="e">
        <f t="shared" si="262"/>
        <v>#REF!</v>
      </c>
      <c r="J2520" s="1644" t="e">
        <f t="shared" si="263"/>
        <v>#REF!</v>
      </c>
      <c r="K2520" s="1539"/>
      <c r="L2520" s="1539"/>
      <c r="M2520" s="1545"/>
      <c r="N2520" s="1545"/>
      <c r="O2520" s="1539"/>
      <c r="P2520" s="1539"/>
      <c r="Q2520" s="1539"/>
      <c r="R2520" s="1539"/>
      <c r="S2520" s="1539"/>
      <c r="T2520" s="1539"/>
      <c r="U2520" s="1539"/>
      <c r="V2520" s="1539"/>
      <c r="W2520" s="1539"/>
      <c r="X2520" s="1539"/>
      <c r="Y2520" s="1539"/>
      <c r="Z2520" s="1539"/>
      <c r="AA2520" s="1539"/>
      <c r="AB2520" s="1539"/>
      <c r="AC2520" s="1539"/>
      <c r="AD2520" s="1539"/>
      <c r="AE2520" s="1539"/>
      <c r="AF2520" s="1539"/>
      <c r="AG2520" s="1539"/>
      <c r="AH2520" s="1539"/>
      <c r="AI2520" s="1539"/>
      <c r="AJ2520" s="1539"/>
      <c r="AK2520" s="1539"/>
      <c r="AL2520" s="1539"/>
      <c r="AM2520" s="1539"/>
      <c r="AN2520" s="1539"/>
      <c r="AO2520" s="1539"/>
      <c r="AP2520" s="1539"/>
      <c r="AQ2520" s="1539"/>
      <c r="AR2520" s="1539"/>
      <c r="AS2520" s="1539"/>
      <c r="AT2520" s="1539"/>
      <c r="AU2520" s="1539"/>
      <c r="AV2520" s="1539"/>
      <c r="AW2520" s="1539"/>
      <c r="AX2520" s="1539"/>
      <c r="AY2520" s="1539"/>
      <c r="AZ2520" s="1539"/>
      <c r="BA2520" s="1539"/>
      <c r="BB2520" s="1539"/>
      <c r="BC2520" s="1539"/>
      <c r="BD2520" s="1539"/>
      <c r="BE2520" s="1539"/>
      <c r="BF2520" s="1539"/>
      <c r="BG2520" s="1539"/>
      <c r="BH2520" s="1539"/>
      <c r="BI2520" s="1539"/>
      <c r="BJ2520" s="1539"/>
      <c r="BK2520" s="1539"/>
      <c r="BL2520" s="1539"/>
      <c r="BM2520" s="1539"/>
      <c r="BN2520" s="1539"/>
      <c r="BO2520" s="1539"/>
      <c r="BP2520" s="1539"/>
      <c r="BQ2520" s="1539"/>
      <c r="BR2520" s="1539"/>
      <c r="BS2520" s="1539"/>
      <c r="BT2520" s="1539"/>
      <c r="BU2520" s="1539"/>
      <c r="BV2520" s="1539"/>
      <c r="BW2520" s="1539"/>
      <c r="BX2520" s="1539"/>
      <c r="BY2520" s="1539"/>
      <c r="BZ2520" s="1539"/>
      <c r="CA2520" s="1539"/>
      <c r="CB2520" s="1539"/>
      <c r="CC2520" s="1539"/>
      <c r="CD2520" s="1539"/>
      <c r="CE2520" s="1539"/>
      <c r="CF2520" s="1539"/>
      <c r="CG2520" s="1539"/>
      <c r="CH2520" s="1539"/>
      <c r="CI2520" s="1539"/>
      <c r="CJ2520" s="1539"/>
      <c r="CK2520" s="1539"/>
      <c r="CL2520" s="1539"/>
      <c r="CM2520" s="1539"/>
      <c r="CN2520" s="1539"/>
      <c r="CO2520" s="1539"/>
    </row>
    <row r="2521" spans="1:93" ht="15.5">
      <c r="A2521" s="1598">
        <v>61.261000000000003</v>
      </c>
      <c r="B2521" s="1599" t="s">
        <v>2944</v>
      </c>
      <c r="C2521" s="1643" t="e">
        <f>+SUMIF(#REF!,Final!A2521,#REF!)</f>
        <v>#REF!</v>
      </c>
      <c r="D2521" s="1597" t="e">
        <f>+SUMIF(#REF!,Final!A2521,#REF!)</f>
        <v>#REF!</v>
      </c>
      <c r="E2521" s="1643" t="e">
        <f>SUMIF(#REF!,Final!A2521,#REF!)</f>
        <v>#REF!</v>
      </c>
      <c r="F2521" s="1644" t="e">
        <f>SUMIF(#REF!,Final!A2521,#REF!)</f>
        <v>#REF!</v>
      </c>
      <c r="G2521" s="1597" t="e">
        <f t="shared" si="260"/>
        <v>#REF!</v>
      </c>
      <c r="H2521" s="1644" t="e">
        <f t="shared" si="261"/>
        <v>#REF!</v>
      </c>
      <c r="I2521" s="1597" t="e">
        <f t="shared" si="262"/>
        <v>#REF!</v>
      </c>
      <c r="J2521" s="1644" t="e">
        <f t="shared" si="263"/>
        <v>#REF!</v>
      </c>
      <c r="M2521" s="1545"/>
      <c r="N2521" s="1545"/>
    </row>
    <row r="2522" spans="1:93" s="1552" customFormat="1" ht="15.5">
      <c r="A2522" s="1598"/>
      <c r="B2522" s="1599" t="s">
        <v>1747</v>
      </c>
      <c r="C2522" s="1643" t="e">
        <f>+SUMIF(#REF!,Final!A2522,#REF!)</f>
        <v>#REF!</v>
      </c>
      <c r="D2522" s="1597" t="e">
        <f>+SUMIF(#REF!,Final!A2522,#REF!)</f>
        <v>#REF!</v>
      </c>
      <c r="E2522" s="1643" t="e">
        <f>SUMIF(#REF!,Final!A2522,#REF!)</f>
        <v>#REF!</v>
      </c>
      <c r="F2522" s="1644" t="e">
        <f>SUMIF(#REF!,Final!A2522,#REF!)</f>
        <v>#REF!</v>
      </c>
      <c r="G2522" s="1597" t="e">
        <f t="shared" si="260"/>
        <v>#REF!</v>
      </c>
      <c r="H2522" s="1644" t="e">
        <f t="shared" si="261"/>
        <v>#REF!</v>
      </c>
      <c r="I2522" s="1597" t="e">
        <f t="shared" si="262"/>
        <v>#REF!</v>
      </c>
      <c r="J2522" s="1644" t="e">
        <f t="shared" si="263"/>
        <v>#REF!</v>
      </c>
      <c r="K2522" s="1539"/>
      <c r="L2522" s="1539"/>
      <c r="M2522" s="1545"/>
      <c r="N2522" s="1545"/>
      <c r="O2522" s="1539"/>
      <c r="P2522" s="1539"/>
      <c r="Q2522" s="1539"/>
      <c r="R2522" s="1539"/>
      <c r="S2522" s="1539"/>
      <c r="T2522" s="1539"/>
      <c r="U2522" s="1539"/>
      <c r="V2522" s="1539"/>
      <c r="W2522" s="1539"/>
      <c r="X2522" s="1539"/>
      <c r="Y2522" s="1539"/>
      <c r="Z2522" s="1539"/>
      <c r="AA2522" s="1539"/>
      <c r="AB2522" s="1539"/>
      <c r="AC2522" s="1539"/>
      <c r="AD2522" s="1539"/>
      <c r="AE2522" s="1539"/>
      <c r="AF2522" s="1539"/>
      <c r="AG2522" s="1539"/>
      <c r="AH2522" s="1539"/>
      <c r="AI2522" s="1539"/>
      <c r="AJ2522" s="1539"/>
      <c r="AK2522" s="1539"/>
      <c r="AL2522" s="1539"/>
      <c r="AM2522" s="1539"/>
      <c r="AN2522" s="1539"/>
      <c r="AO2522" s="1539"/>
      <c r="AP2522" s="1539"/>
      <c r="AQ2522" s="1539"/>
      <c r="AR2522" s="1539"/>
      <c r="AS2522" s="1539"/>
      <c r="AT2522" s="1539"/>
      <c r="AU2522" s="1539"/>
      <c r="AV2522" s="1539"/>
      <c r="AW2522" s="1539"/>
      <c r="AX2522" s="1539"/>
      <c r="AY2522" s="1539"/>
      <c r="AZ2522" s="1539"/>
      <c r="BA2522" s="1539"/>
      <c r="BB2522" s="1539"/>
      <c r="BC2522" s="1539"/>
      <c r="BD2522" s="1539"/>
      <c r="BE2522" s="1539"/>
      <c r="BF2522" s="1539"/>
      <c r="BG2522" s="1539"/>
      <c r="BH2522" s="1539"/>
      <c r="BI2522" s="1539"/>
      <c r="BJ2522" s="1539"/>
      <c r="BK2522" s="1539"/>
      <c r="BL2522" s="1539"/>
      <c r="BM2522" s="1539"/>
      <c r="BN2522" s="1539"/>
      <c r="BO2522" s="1539"/>
      <c r="BP2522" s="1539"/>
      <c r="BQ2522" s="1539"/>
      <c r="BR2522" s="1539"/>
      <c r="BS2522" s="1539"/>
      <c r="BT2522" s="1539"/>
      <c r="BU2522" s="1539"/>
      <c r="BV2522" s="1539"/>
      <c r="BW2522" s="1539"/>
      <c r="BX2522" s="1539"/>
      <c r="BY2522" s="1539"/>
      <c r="BZ2522" s="1539"/>
      <c r="CA2522" s="1539"/>
      <c r="CB2522" s="1539"/>
      <c r="CC2522" s="1539"/>
      <c r="CD2522" s="1539"/>
      <c r="CE2522" s="1539"/>
      <c r="CF2522" s="1539"/>
      <c r="CG2522" s="1539"/>
      <c r="CH2522" s="1539"/>
      <c r="CI2522" s="1539"/>
      <c r="CJ2522" s="1539"/>
      <c r="CK2522" s="1539"/>
      <c r="CL2522" s="1539"/>
      <c r="CM2522" s="1539"/>
      <c r="CN2522" s="1539"/>
      <c r="CO2522" s="1539"/>
    </row>
    <row r="2523" spans="1:93" s="1552" customFormat="1" ht="15.5">
      <c r="A2523" s="1598"/>
      <c r="B2523" s="1599" t="s">
        <v>1760</v>
      </c>
      <c r="C2523" s="1643" t="e">
        <f>+SUMIF(#REF!,Final!A2523,#REF!)</f>
        <v>#REF!</v>
      </c>
      <c r="D2523" s="1597" t="e">
        <f>+SUMIF(#REF!,Final!A2523,#REF!)</f>
        <v>#REF!</v>
      </c>
      <c r="E2523" s="1643" t="e">
        <f>SUMIF(#REF!,Final!A2523,#REF!)</f>
        <v>#REF!</v>
      </c>
      <c r="F2523" s="1644" t="e">
        <f>SUMIF(#REF!,Final!A2523,#REF!)</f>
        <v>#REF!</v>
      </c>
      <c r="G2523" s="1597" t="e">
        <f t="shared" si="260"/>
        <v>#REF!</v>
      </c>
      <c r="H2523" s="1644" t="e">
        <f t="shared" si="261"/>
        <v>#REF!</v>
      </c>
      <c r="I2523" s="1597" t="e">
        <f t="shared" si="262"/>
        <v>#REF!</v>
      </c>
      <c r="J2523" s="1644" t="e">
        <f t="shared" si="263"/>
        <v>#REF!</v>
      </c>
      <c r="K2523" s="1539"/>
      <c r="L2523" s="1539"/>
      <c r="M2523" s="1545"/>
      <c r="N2523" s="1545"/>
      <c r="O2523" s="1539"/>
      <c r="P2523" s="1539"/>
      <c r="Q2523" s="1539"/>
      <c r="R2523" s="1539"/>
      <c r="S2523" s="1539"/>
      <c r="T2523" s="1539"/>
      <c r="U2523" s="1539"/>
      <c r="V2523" s="1539"/>
      <c r="W2523" s="1539"/>
      <c r="X2523" s="1539"/>
      <c r="Y2523" s="1539"/>
      <c r="Z2523" s="1539"/>
      <c r="AA2523" s="1539"/>
      <c r="AB2523" s="1539"/>
      <c r="AC2523" s="1539"/>
      <c r="AD2523" s="1539"/>
      <c r="AE2523" s="1539"/>
      <c r="AF2523" s="1539"/>
      <c r="AG2523" s="1539"/>
      <c r="AH2523" s="1539"/>
      <c r="AI2523" s="1539"/>
      <c r="AJ2523" s="1539"/>
      <c r="AK2523" s="1539"/>
      <c r="AL2523" s="1539"/>
      <c r="AM2523" s="1539"/>
      <c r="AN2523" s="1539"/>
      <c r="AO2523" s="1539"/>
      <c r="AP2523" s="1539"/>
      <c r="AQ2523" s="1539"/>
      <c r="AR2523" s="1539"/>
      <c r="AS2523" s="1539"/>
      <c r="AT2523" s="1539"/>
      <c r="AU2523" s="1539"/>
      <c r="AV2523" s="1539"/>
      <c r="AW2523" s="1539"/>
      <c r="AX2523" s="1539"/>
      <c r="AY2523" s="1539"/>
      <c r="AZ2523" s="1539"/>
      <c r="BA2523" s="1539"/>
      <c r="BB2523" s="1539"/>
      <c r="BC2523" s="1539"/>
      <c r="BD2523" s="1539"/>
      <c r="BE2523" s="1539"/>
      <c r="BF2523" s="1539"/>
      <c r="BG2523" s="1539"/>
      <c r="BH2523" s="1539"/>
      <c r="BI2523" s="1539"/>
      <c r="BJ2523" s="1539"/>
      <c r="BK2523" s="1539"/>
      <c r="BL2523" s="1539"/>
      <c r="BM2523" s="1539"/>
      <c r="BN2523" s="1539"/>
      <c r="BO2523" s="1539"/>
      <c r="BP2523" s="1539"/>
      <c r="BQ2523" s="1539"/>
      <c r="BR2523" s="1539"/>
      <c r="BS2523" s="1539"/>
      <c r="BT2523" s="1539"/>
      <c r="BU2523" s="1539"/>
      <c r="BV2523" s="1539"/>
      <c r="BW2523" s="1539"/>
      <c r="BX2523" s="1539"/>
      <c r="BY2523" s="1539"/>
      <c r="BZ2523" s="1539"/>
      <c r="CA2523" s="1539"/>
      <c r="CB2523" s="1539"/>
      <c r="CC2523" s="1539"/>
      <c r="CD2523" s="1539"/>
      <c r="CE2523" s="1539"/>
      <c r="CF2523" s="1539"/>
      <c r="CG2523" s="1539"/>
      <c r="CH2523" s="1539"/>
      <c r="CI2523" s="1539"/>
      <c r="CJ2523" s="1539"/>
      <c r="CK2523" s="1539"/>
      <c r="CL2523" s="1539"/>
      <c r="CM2523" s="1539"/>
      <c r="CN2523" s="1539"/>
      <c r="CO2523" s="1539"/>
    </row>
    <row r="2524" spans="1:93" s="1542" customFormat="1" ht="15.5">
      <c r="A2524" s="1598" t="s">
        <v>1406</v>
      </c>
      <c r="B2524" s="1599" t="s">
        <v>2945</v>
      </c>
      <c r="C2524" s="1643" t="e">
        <f>+SUMIF(#REF!,Final!A2524,#REF!)</f>
        <v>#REF!</v>
      </c>
      <c r="D2524" s="1597" t="e">
        <f>+SUMIF(#REF!,Final!A2524,#REF!)</f>
        <v>#REF!</v>
      </c>
      <c r="E2524" s="1643" t="e">
        <f>SUMIF(#REF!,Final!A2524,#REF!)</f>
        <v>#REF!</v>
      </c>
      <c r="F2524" s="1644" t="e">
        <f>SUMIF(#REF!,Final!A2524,#REF!)</f>
        <v>#REF!</v>
      </c>
      <c r="G2524" s="1597" t="e">
        <f t="shared" si="260"/>
        <v>#REF!</v>
      </c>
      <c r="H2524" s="1644" t="e">
        <f t="shared" si="261"/>
        <v>#REF!</v>
      </c>
      <c r="I2524" s="1597" t="e">
        <f t="shared" si="262"/>
        <v>#REF!</v>
      </c>
      <c r="J2524" s="1644" t="e">
        <f t="shared" si="263"/>
        <v>#REF!</v>
      </c>
      <c r="K2524" s="1539"/>
      <c r="L2524" s="1539"/>
      <c r="M2524" s="1545"/>
      <c r="N2524" s="1545"/>
      <c r="O2524" s="1539"/>
      <c r="P2524" s="1539"/>
      <c r="Q2524" s="1539"/>
      <c r="R2524" s="1539"/>
      <c r="S2524" s="1539"/>
      <c r="T2524" s="1539"/>
      <c r="U2524" s="1539"/>
      <c r="V2524" s="1539"/>
      <c r="W2524" s="1539"/>
      <c r="X2524" s="1539"/>
      <c r="Y2524" s="1539"/>
      <c r="Z2524" s="1539"/>
      <c r="AA2524" s="1539"/>
      <c r="AB2524" s="1539"/>
      <c r="AC2524" s="1539"/>
      <c r="AD2524" s="1539"/>
      <c r="AE2524" s="1539"/>
      <c r="AF2524" s="1539"/>
      <c r="AG2524" s="1539"/>
      <c r="AH2524" s="1539"/>
      <c r="AI2524" s="1539"/>
      <c r="AJ2524" s="1539"/>
      <c r="AK2524" s="1539"/>
      <c r="AL2524" s="1539"/>
      <c r="AM2524" s="1539"/>
      <c r="AN2524" s="1539"/>
      <c r="AO2524" s="1539"/>
      <c r="AP2524" s="1539"/>
      <c r="AQ2524" s="1539"/>
      <c r="AR2524" s="1539"/>
      <c r="AS2524" s="1539"/>
      <c r="AT2524" s="1539"/>
      <c r="AU2524" s="1539"/>
      <c r="AV2524" s="1539"/>
      <c r="AW2524" s="1539"/>
      <c r="AX2524" s="1539"/>
      <c r="AY2524" s="1539"/>
      <c r="AZ2524" s="1539"/>
      <c r="BA2524" s="1539"/>
      <c r="BB2524" s="1539"/>
      <c r="BC2524" s="1539"/>
      <c r="BD2524" s="1539"/>
      <c r="BE2524" s="1539"/>
      <c r="BF2524" s="1539"/>
      <c r="BG2524" s="1539"/>
      <c r="BH2524" s="1539"/>
      <c r="BI2524" s="1539"/>
      <c r="BJ2524" s="1539"/>
      <c r="BK2524" s="1539"/>
      <c r="BL2524" s="1539"/>
      <c r="BM2524" s="1539"/>
      <c r="BN2524" s="1539"/>
      <c r="BO2524" s="1539"/>
      <c r="BP2524" s="1539"/>
      <c r="BQ2524" s="1539"/>
      <c r="BR2524" s="1539"/>
      <c r="BS2524" s="1539"/>
      <c r="BT2524" s="1539"/>
      <c r="BU2524" s="1539"/>
      <c r="BV2524" s="1539"/>
      <c r="BW2524" s="1539"/>
      <c r="BX2524" s="1539"/>
      <c r="BY2524" s="1539"/>
      <c r="BZ2524" s="1539"/>
      <c r="CA2524" s="1539"/>
      <c r="CB2524" s="1539"/>
      <c r="CC2524" s="1539"/>
      <c r="CD2524" s="1539"/>
      <c r="CE2524" s="1539"/>
      <c r="CF2524" s="1539"/>
      <c r="CG2524" s="1539"/>
      <c r="CH2524" s="1539"/>
      <c r="CI2524" s="1539"/>
      <c r="CJ2524" s="1539"/>
      <c r="CK2524" s="1539"/>
      <c r="CL2524" s="1539"/>
      <c r="CM2524" s="1539"/>
      <c r="CN2524" s="1539"/>
      <c r="CO2524" s="1539"/>
    </row>
    <row r="2525" spans="1:93" ht="15.5">
      <c r="A2525" s="1598">
        <v>61.271000000000001</v>
      </c>
      <c r="B2525" s="1599" t="s">
        <v>2946</v>
      </c>
      <c r="C2525" s="1643" t="e">
        <f>+SUMIF(#REF!,Final!A2525,#REF!)</f>
        <v>#REF!</v>
      </c>
      <c r="D2525" s="1597" t="e">
        <f>+SUMIF(#REF!,Final!A2525,#REF!)</f>
        <v>#REF!</v>
      </c>
      <c r="E2525" s="1643" t="e">
        <f>SUMIF(#REF!,Final!A2525,#REF!)</f>
        <v>#REF!</v>
      </c>
      <c r="F2525" s="1644" t="e">
        <f>SUMIF(#REF!,Final!A2525,#REF!)</f>
        <v>#REF!</v>
      </c>
      <c r="G2525" s="1597" t="e">
        <f t="shared" si="260"/>
        <v>#REF!</v>
      </c>
      <c r="H2525" s="1644" t="e">
        <f t="shared" si="261"/>
        <v>#REF!</v>
      </c>
      <c r="I2525" s="1597" t="e">
        <f t="shared" si="262"/>
        <v>#REF!</v>
      </c>
      <c r="J2525" s="1644" t="e">
        <f t="shared" si="263"/>
        <v>#REF!</v>
      </c>
      <c r="M2525" s="1545"/>
      <c r="N2525" s="1545"/>
    </row>
    <row r="2526" spans="1:93" ht="15.5">
      <c r="A2526" s="1598">
        <v>61.271999999999998</v>
      </c>
      <c r="B2526" s="1599" t="s">
        <v>2947</v>
      </c>
      <c r="C2526" s="1643" t="e">
        <f>+SUMIF(#REF!,Final!A2526,#REF!)</f>
        <v>#REF!</v>
      </c>
      <c r="D2526" s="1597" t="e">
        <f>+SUMIF(#REF!,Final!A2526,#REF!)</f>
        <v>#REF!</v>
      </c>
      <c r="E2526" s="1643" t="e">
        <f>SUMIF(#REF!,Final!A2526,#REF!)</f>
        <v>#REF!</v>
      </c>
      <c r="F2526" s="1644" t="e">
        <f>SUMIF(#REF!,Final!A2526,#REF!)</f>
        <v>#REF!</v>
      </c>
      <c r="G2526" s="1597" t="e">
        <f t="shared" si="260"/>
        <v>#REF!</v>
      </c>
      <c r="H2526" s="1644" t="e">
        <f t="shared" si="261"/>
        <v>#REF!</v>
      </c>
      <c r="I2526" s="1597" t="e">
        <f t="shared" si="262"/>
        <v>#REF!</v>
      </c>
      <c r="J2526" s="1644" t="e">
        <f t="shared" si="263"/>
        <v>#REF!</v>
      </c>
      <c r="M2526" s="1545"/>
      <c r="N2526" s="1545"/>
    </row>
    <row r="2527" spans="1:93" ht="15.5">
      <c r="A2527" s="1598">
        <v>61.273000000000003</v>
      </c>
      <c r="B2527" s="1599" t="s">
        <v>2948</v>
      </c>
      <c r="C2527" s="1643" t="e">
        <f>+SUMIF(#REF!,Final!A2527,#REF!)</f>
        <v>#REF!</v>
      </c>
      <c r="D2527" s="1597" t="e">
        <f>+SUMIF(#REF!,Final!A2527,#REF!)</f>
        <v>#REF!</v>
      </c>
      <c r="E2527" s="1643" t="e">
        <f>SUMIF(#REF!,Final!A2527,#REF!)</f>
        <v>#REF!</v>
      </c>
      <c r="F2527" s="1644" t="e">
        <f>SUMIF(#REF!,Final!A2527,#REF!)</f>
        <v>#REF!</v>
      </c>
      <c r="G2527" s="1597" t="e">
        <f t="shared" si="260"/>
        <v>#REF!</v>
      </c>
      <c r="H2527" s="1644" t="e">
        <f t="shared" si="261"/>
        <v>#REF!</v>
      </c>
      <c r="I2527" s="1597" t="e">
        <f t="shared" si="262"/>
        <v>#REF!</v>
      </c>
      <c r="J2527" s="1644" t="e">
        <f t="shared" si="263"/>
        <v>#REF!</v>
      </c>
      <c r="M2527" s="1545"/>
      <c r="N2527" s="1545"/>
    </row>
    <row r="2528" spans="1:93" ht="15.5">
      <c r="A2528" s="1598">
        <v>61.274000000000001</v>
      </c>
      <c r="B2528" s="1599" t="s">
        <v>2949</v>
      </c>
      <c r="C2528" s="1643" t="e">
        <f>+SUMIF(#REF!,Final!A2528,#REF!)</f>
        <v>#REF!</v>
      </c>
      <c r="D2528" s="1597" t="e">
        <f>+SUMIF(#REF!,Final!A2528,#REF!)</f>
        <v>#REF!</v>
      </c>
      <c r="E2528" s="1643" t="e">
        <f>SUMIF(#REF!,Final!A2528,#REF!)</f>
        <v>#REF!</v>
      </c>
      <c r="F2528" s="1644" t="e">
        <f>SUMIF(#REF!,Final!A2528,#REF!)</f>
        <v>#REF!</v>
      </c>
      <c r="G2528" s="1597" t="e">
        <f t="shared" si="260"/>
        <v>#REF!</v>
      </c>
      <c r="H2528" s="1644" t="e">
        <f t="shared" si="261"/>
        <v>#REF!</v>
      </c>
      <c r="I2528" s="1597" t="e">
        <f t="shared" si="262"/>
        <v>#REF!</v>
      </c>
      <c r="J2528" s="1644" t="e">
        <f t="shared" si="263"/>
        <v>#REF!</v>
      </c>
      <c r="M2528" s="1545"/>
      <c r="N2528" s="1545"/>
    </row>
    <row r="2529" spans="1:93" s="1542" customFormat="1" ht="15.5">
      <c r="A2529" s="1598">
        <v>61.274999999999999</v>
      </c>
      <c r="B2529" s="1599" t="s">
        <v>2950</v>
      </c>
      <c r="C2529" s="1643" t="e">
        <f>+SUMIF(#REF!,Final!A2529,#REF!)</f>
        <v>#REF!</v>
      </c>
      <c r="D2529" s="1597" t="e">
        <f>+SUMIF(#REF!,Final!A2529,#REF!)</f>
        <v>#REF!</v>
      </c>
      <c r="E2529" s="1643" t="e">
        <f>SUMIF(#REF!,Final!A2529,#REF!)</f>
        <v>#REF!</v>
      </c>
      <c r="F2529" s="1644" t="e">
        <f>SUMIF(#REF!,Final!A2529,#REF!)</f>
        <v>#REF!</v>
      </c>
      <c r="G2529" s="1597" t="e">
        <f t="shared" si="260"/>
        <v>#REF!</v>
      </c>
      <c r="H2529" s="1644" t="e">
        <f t="shared" si="261"/>
        <v>#REF!</v>
      </c>
      <c r="I2529" s="1597" t="e">
        <f t="shared" si="262"/>
        <v>#REF!</v>
      </c>
      <c r="J2529" s="1644" t="e">
        <f t="shared" si="263"/>
        <v>#REF!</v>
      </c>
      <c r="K2529" s="1539"/>
      <c r="L2529" s="1539"/>
      <c r="M2529" s="1545"/>
      <c r="N2529" s="1545"/>
      <c r="O2529" s="1539"/>
      <c r="P2529" s="1539"/>
      <c r="Q2529" s="1539"/>
      <c r="R2529" s="1539"/>
      <c r="S2529" s="1539"/>
      <c r="T2529" s="1539"/>
      <c r="U2529" s="1539"/>
      <c r="V2529" s="1539"/>
      <c r="W2529" s="1539"/>
      <c r="X2529" s="1539"/>
      <c r="Y2529" s="1539"/>
      <c r="Z2529" s="1539"/>
      <c r="AA2529" s="1539"/>
      <c r="AB2529" s="1539"/>
      <c r="AC2529" s="1539"/>
      <c r="AD2529" s="1539"/>
      <c r="AE2529" s="1539"/>
      <c r="AF2529" s="1539"/>
      <c r="AG2529" s="1539"/>
      <c r="AH2529" s="1539"/>
      <c r="AI2529" s="1539"/>
      <c r="AJ2529" s="1539"/>
      <c r="AK2529" s="1539"/>
      <c r="AL2529" s="1539"/>
      <c r="AM2529" s="1539"/>
      <c r="AN2529" s="1539"/>
      <c r="AO2529" s="1539"/>
      <c r="AP2529" s="1539"/>
      <c r="AQ2529" s="1539"/>
      <c r="AR2529" s="1539"/>
      <c r="AS2529" s="1539"/>
      <c r="AT2529" s="1539"/>
      <c r="AU2529" s="1539"/>
      <c r="AV2529" s="1539"/>
      <c r="AW2529" s="1539"/>
      <c r="AX2529" s="1539"/>
      <c r="AY2529" s="1539"/>
      <c r="AZ2529" s="1539"/>
      <c r="BA2529" s="1539"/>
      <c r="BB2529" s="1539"/>
      <c r="BC2529" s="1539"/>
      <c r="BD2529" s="1539"/>
      <c r="BE2529" s="1539"/>
      <c r="BF2529" s="1539"/>
      <c r="BG2529" s="1539"/>
      <c r="BH2529" s="1539"/>
      <c r="BI2529" s="1539"/>
      <c r="BJ2529" s="1539"/>
      <c r="BK2529" s="1539"/>
      <c r="BL2529" s="1539"/>
      <c r="BM2529" s="1539"/>
      <c r="BN2529" s="1539"/>
      <c r="BO2529" s="1539"/>
      <c r="BP2529" s="1539"/>
      <c r="BQ2529" s="1539"/>
      <c r="BR2529" s="1539"/>
      <c r="BS2529" s="1539"/>
      <c r="BT2529" s="1539"/>
      <c r="BU2529" s="1539"/>
      <c r="BV2529" s="1539"/>
      <c r="BW2529" s="1539"/>
      <c r="BX2529" s="1539"/>
      <c r="BY2529" s="1539"/>
      <c r="BZ2529" s="1539"/>
      <c r="CA2529" s="1539"/>
      <c r="CB2529" s="1539"/>
      <c r="CC2529" s="1539"/>
      <c r="CD2529" s="1539"/>
      <c r="CE2529" s="1539"/>
      <c r="CF2529" s="1539"/>
      <c r="CG2529" s="1539"/>
      <c r="CH2529" s="1539"/>
      <c r="CI2529" s="1539"/>
      <c r="CJ2529" s="1539"/>
      <c r="CK2529" s="1539"/>
      <c r="CL2529" s="1539"/>
      <c r="CM2529" s="1539"/>
      <c r="CN2529" s="1539"/>
      <c r="CO2529" s="1539"/>
    </row>
    <row r="2530" spans="1:93" s="1552" customFormat="1" ht="15.5">
      <c r="A2530" s="1598"/>
      <c r="B2530" s="1599" t="s">
        <v>1747</v>
      </c>
      <c r="C2530" s="1643" t="e">
        <f>+SUMIF(#REF!,Final!A2530,#REF!)</f>
        <v>#REF!</v>
      </c>
      <c r="D2530" s="1597" t="e">
        <f>+SUMIF(#REF!,Final!A2530,#REF!)</f>
        <v>#REF!</v>
      </c>
      <c r="E2530" s="1643" t="e">
        <f>SUMIF(#REF!,Final!A2530,#REF!)</f>
        <v>#REF!</v>
      </c>
      <c r="F2530" s="1644" t="e">
        <f>SUMIF(#REF!,Final!A2530,#REF!)</f>
        <v>#REF!</v>
      </c>
      <c r="G2530" s="1597" t="e">
        <f t="shared" si="260"/>
        <v>#REF!</v>
      </c>
      <c r="H2530" s="1644" t="e">
        <f t="shared" si="261"/>
        <v>#REF!</v>
      </c>
      <c r="I2530" s="1597" t="e">
        <f t="shared" si="262"/>
        <v>#REF!</v>
      </c>
      <c r="J2530" s="1644" t="e">
        <f t="shared" si="263"/>
        <v>#REF!</v>
      </c>
      <c r="K2530" s="1539"/>
      <c r="L2530" s="1539"/>
      <c r="M2530" s="1545"/>
      <c r="N2530" s="1545"/>
      <c r="O2530" s="1539"/>
      <c r="P2530" s="1539"/>
      <c r="Q2530" s="1539"/>
      <c r="R2530" s="1539"/>
      <c r="S2530" s="1539"/>
      <c r="T2530" s="1539"/>
      <c r="U2530" s="1539"/>
      <c r="V2530" s="1539"/>
      <c r="W2530" s="1539"/>
      <c r="X2530" s="1539"/>
      <c r="Y2530" s="1539"/>
      <c r="Z2530" s="1539"/>
      <c r="AA2530" s="1539"/>
      <c r="AB2530" s="1539"/>
      <c r="AC2530" s="1539"/>
      <c r="AD2530" s="1539"/>
      <c r="AE2530" s="1539"/>
      <c r="AF2530" s="1539"/>
      <c r="AG2530" s="1539"/>
      <c r="AH2530" s="1539"/>
      <c r="AI2530" s="1539"/>
      <c r="AJ2530" s="1539"/>
      <c r="AK2530" s="1539"/>
      <c r="AL2530" s="1539"/>
      <c r="AM2530" s="1539"/>
      <c r="AN2530" s="1539"/>
      <c r="AO2530" s="1539"/>
      <c r="AP2530" s="1539"/>
      <c r="AQ2530" s="1539"/>
      <c r="AR2530" s="1539"/>
      <c r="AS2530" s="1539"/>
      <c r="AT2530" s="1539"/>
      <c r="AU2530" s="1539"/>
      <c r="AV2530" s="1539"/>
      <c r="AW2530" s="1539"/>
      <c r="AX2530" s="1539"/>
      <c r="AY2530" s="1539"/>
      <c r="AZ2530" s="1539"/>
      <c r="BA2530" s="1539"/>
      <c r="BB2530" s="1539"/>
      <c r="BC2530" s="1539"/>
      <c r="BD2530" s="1539"/>
      <c r="BE2530" s="1539"/>
      <c r="BF2530" s="1539"/>
      <c r="BG2530" s="1539"/>
      <c r="BH2530" s="1539"/>
      <c r="BI2530" s="1539"/>
      <c r="BJ2530" s="1539"/>
      <c r="BK2530" s="1539"/>
      <c r="BL2530" s="1539"/>
      <c r="BM2530" s="1539"/>
      <c r="BN2530" s="1539"/>
      <c r="BO2530" s="1539"/>
      <c r="BP2530" s="1539"/>
      <c r="BQ2530" s="1539"/>
      <c r="BR2530" s="1539"/>
      <c r="BS2530" s="1539"/>
      <c r="BT2530" s="1539"/>
      <c r="BU2530" s="1539"/>
      <c r="BV2530" s="1539"/>
      <c r="BW2530" s="1539"/>
      <c r="BX2530" s="1539"/>
      <c r="BY2530" s="1539"/>
      <c r="BZ2530" s="1539"/>
      <c r="CA2530" s="1539"/>
      <c r="CB2530" s="1539"/>
      <c r="CC2530" s="1539"/>
      <c r="CD2530" s="1539"/>
      <c r="CE2530" s="1539"/>
      <c r="CF2530" s="1539"/>
      <c r="CG2530" s="1539"/>
      <c r="CH2530" s="1539"/>
      <c r="CI2530" s="1539"/>
      <c r="CJ2530" s="1539"/>
      <c r="CK2530" s="1539"/>
      <c r="CL2530" s="1539"/>
      <c r="CM2530" s="1539"/>
      <c r="CN2530" s="1539"/>
      <c r="CO2530" s="1539"/>
    </row>
    <row r="2531" spans="1:93" s="1552" customFormat="1" ht="15.5">
      <c r="A2531" s="1598"/>
      <c r="B2531" s="1599" t="s">
        <v>1760</v>
      </c>
      <c r="C2531" s="1643" t="e">
        <f>+SUMIF(#REF!,Final!A2531,#REF!)</f>
        <v>#REF!</v>
      </c>
      <c r="D2531" s="1597" t="e">
        <f>+SUMIF(#REF!,Final!A2531,#REF!)</f>
        <v>#REF!</v>
      </c>
      <c r="E2531" s="1643" t="e">
        <f>SUMIF(#REF!,Final!A2531,#REF!)</f>
        <v>#REF!</v>
      </c>
      <c r="F2531" s="1644" t="e">
        <f>SUMIF(#REF!,Final!A2531,#REF!)</f>
        <v>#REF!</v>
      </c>
      <c r="G2531" s="1597" t="e">
        <f t="shared" si="260"/>
        <v>#REF!</v>
      </c>
      <c r="H2531" s="1644" t="e">
        <f t="shared" si="261"/>
        <v>#REF!</v>
      </c>
      <c r="I2531" s="1597" t="e">
        <f t="shared" si="262"/>
        <v>#REF!</v>
      </c>
      <c r="J2531" s="1644" t="e">
        <f t="shared" si="263"/>
        <v>#REF!</v>
      </c>
      <c r="K2531" s="1539"/>
      <c r="L2531" s="1539"/>
      <c r="M2531" s="1545"/>
      <c r="N2531" s="1545"/>
      <c r="O2531" s="1539"/>
      <c r="P2531" s="1539"/>
      <c r="Q2531" s="1539"/>
      <c r="R2531" s="1539"/>
      <c r="S2531" s="1539"/>
      <c r="T2531" s="1539"/>
      <c r="U2531" s="1539"/>
      <c r="V2531" s="1539"/>
      <c r="W2531" s="1539"/>
      <c r="X2531" s="1539"/>
      <c r="Y2531" s="1539"/>
      <c r="Z2531" s="1539"/>
      <c r="AA2531" s="1539"/>
      <c r="AB2531" s="1539"/>
      <c r="AC2531" s="1539"/>
      <c r="AD2531" s="1539"/>
      <c r="AE2531" s="1539"/>
      <c r="AF2531" s="1539"/>
      <c r="AG2531" s="1539"/>
      <c r="AH2531" s="1539"/>
      <c r="AI2531" s="1539"/>
      <c r="AJ2531" s="1539"/>
      <c r="AK2531" s="1539"/>
      <c r="AL2531" s="1539"/>
      <c r="AM2531" s="1539"/>
      <c r="AN2531" s="1539"/>
      <c r="AO2531" s="1539"/>
      <c r="AP2531" s="1539"/>
      <c r="AQ2531" s="1539"/>
      <c r="AR2531" s="1539"/>
      <c r="AS2531" s="1539"/>
      <c r="AT2531" s="1539"/>
      <c r="AU2531" s="1539"/>
      <c r="AV2531" s="1539"/>
      <c r="AW2531" s="1539"/>
      <c r="AX2531" s="1539"/>
      <c r="AY2531" s="1539"/>
      <c r="AZ2531" s="1539"/>
      <c r="BA2531" s="1539"/>
      <c r="BB2531" s="1539"/>
      <c r="BC2531" s="1539"/>
      <c r="BD2531" s="1539"/>
      <c r="BE2531" s="1539"/>
      <c r="BF2531" s="1539"/>
      <c r="BG2531" s="1539"/>
      <c r="BH2531" s="1539"/>
      <c r="BI2531" s="1539"/>
      <c r="BJ2531" s="1539"/>
      <c r="BK2531" s="1539"/>
      <c r="BL2531" s="1539"/>
      <c r="BM2531" s="1539"/>
      <c r="BN2531" s="1539"/>
      <c r="BO2531" s="1539"/>
      <c r="BP2531" s="1539"/>
      <c r="BQ2531" s="1539"/>
      <c r="BR2531" s="1539"/>
      <c r="BS2531" s="1539"/>
      <c r="BT2531" s="1539"/>
      <c r="BU2531" s="1539"/>
      <c r="BV2531" s="1539"/>
      <c r="BW2531" s="1539"/>
      <c r="BX2531" s="1539"/>
      <c r="BY2531" s="1539"/>
      <c r="BZ2531" s="1539"/>
      <c r="CA2531" s="1539"/>
      <c r="CB2531" s="1539"/>
      <c r="CC2531" s="1539"/>
      <c r="CD2531" s="1539"/>
      <c r="CE2531" s="1539"/>
      <c r="CF2531" s="1539"/>
      <c r="CG2531" s="1539"/>
      <c r="CH2531" s="1539"/>
      <c r="CI2531" s="1539"/>
      <c r="CJ2531" s="1539"/>
      <c r="CK2531" s="1539"/>
      <c r="CL2531" s="1539"/>
      <c r="CM2531" s="1539"/>
      <c r="CN2531" s="1539"/>
      <c r="CO2531" s="1539"/>
    </row>
    <row r="2532" spans="1:93" s="1542" customFormat="1" ht="15.5">
      <c r="A2532" s="1598" t="s">
        <v>1407</v>
      </c>
      <c r="B2532" s="1599" t="s">
        <v>539</v>
      </c>
      <c r="C2532" s="1643" t="e">
        <f>+SUMIF(#REF!,Final!A2532,#REF!)</f>
        <v>#REF!</v>
      </c>
      <c r="D2532" s="1597" t="e">
        <f>+SUMIF(#REF!,Final!A2532,#REF!)</f>
        <v>#REF!</v>
      </c>
      <c r="E2532" s="1643" t="e">
        <f>SUMIF(#REF!,Final!A2532,#REF!)</f>
        <v>#REF!</v>
      </c>
      <c r="F2532" s="1644" t="e">
        <f>SUMIF(#REF!,Final!A2532,#REF!)</f>
        <v>#REF!</v>
      </c>
      <c r="G2532" s="1597" t="e">
        <f t="shared" si="260"/>
        <v>#REF!</v>
      </c>
      <c r="H2532" s="1644" t="e">
        <f t="shared" si="261"/>
        <v>#REF!</v>
      </c>
      <c r="I2532" s="1597" t="e">
        <f t="shared" si="262"/>
        <v>#REF!</v>
      </c>
      <c r="J2532" s="1644" t="e">
        <f t="shared" si="263"/>
        <v>#REF!</v>
      </c>
      <c r="K2532" s="1539"/>
      <c r="L2532" s="1539"/>
      <c r="M2532" s="1545"/>
      <c r="N2532" s="1545"/>
      <c r="O2532" s="1539"/>
      <c r="P2532" s="1539"/>
      <c r="Q2532" s="1539"/>
      <c r="R2532" s="1539"/>
      <c r="S2532" s="1539"/>
      <c r="T2532" s="1539"/>
      <c r="U2532" s="1539"/>
      <c r="V2532" s="1539"/>
      <c r="W2532" s="1539"/>
      <c r="X2532" s="1539"/>
      <c r="Y2532" s="1539"/>
      <c r="Z2532" s="1539"/>
      <c r="AA2532" s="1539"/>
      <c r="AB2532" s="1539"/>
      <c r="AC2532" s="1539"/>
      <c r="AD2532" s="1539"/>
      <c r="AE2532" s="1539"/>
      <c r="AF2532" s="1539"/>
      <c r="AG2532" s="1539"/>
      <c r="AH2532" s="1539"/>
      <c r="AI2532" s="1539"/>
      <c r="AJ2532" s="1539"/>
      <c r="AK2532" s="1539"/>
      <c r="AL2532" s="1539"/>
      <c r="AM2532" s="1539"/>
      <c r="AN2532" s="1539"/>
      <c r="AO2532" s="1539"/>
      <c r="AP2532" s="1539"/>
      <c r="AQ2532" s="1539"/>
      <c r="AR2532" s="1539"/>
      <c r="AS2532" s="1539"/>
      <c r="AT2532" s="1539"/>
      <c r="AU2532" s="1539"/>
      <c r="AV2532" s="1539"/>
      <c r="AW2532" s="1539"/>
      <c r="AX2532" s="1539"/>
      <c r="AY2532" s="1539"/>
      <c r="AZ2532" s="1539"/>
      <c r="BA2532" s="1539"/>
      <c r="BB2532" s="1539"/>
      <c r="BC2532" s="1539"/>
      <c r="BD2532" s="1539"/>
      <c r="BE2532" s="1539"/>
      <c r="BF2532" s="1539"/>
      <c r="BG2532" s="1539"/>
      <c r="BH2532" s="1539"/>
      <c r="BI2532" s="1539"/>
      <c r="BJ2532" s="1539"/>
      <c r="BK2532" s="1539"/>
      <c r="BL2532" s="1539"/>
      <c r="BM2532" s="1539"/>
      <c r="BN2532" s="1539"/>
      <c r="BO2532" s="1539"/>
      <c r="BP2532" s="1539"/>
      <c r="BQ2532" s="1539"/>
      <c r="BR2532" s="1539"/>
      <c r="BS2532" s="1539"/>
      <c r="BT2532" s="1539"/>
      <c r="BU2532" s="1539"/>
      <c r="BV2532" s="1539"/>
      <c r="BW2532" s="1539"/>
      <c r="BX2532" s="1539"/>
      <c r="BY2532" s="1539"/>
      <c r="BZ2532" s="1539"/>
      <c r="CA2532" s="1539"/>
      <c r="CB2532" s="1539"/>
      <c r="CC2532" s="1539"/>
      <c r="CD2532" s="1539"/>
      <c r="CE2532" s="1539"/>
      <c r="CF2532" s="1539"/>
      <c r="CG2532" s="1539"/>
      <c r="CH2532" s="1539"/>
      <c r="CI2532" s="1539"/>
      <c r="CJ2532" s="1539"/>
      <c r="CK2532" s="1539"/>
      <c r="CL2532" s="1539"/>
      <c r="CM2532" s="1539"/>
      <c r="CN2532" s="1539"/>
      <c r="CO2532" s="1539"/>
    </row>
    <row r="2533" spans="1:93" ht="15.5">
      <c r="A2533" s="1598">
        <v>61.280999999999999</v>
      </c>
      <c r="B2533" s="1599" t="s">
        <v>2951</v>
      </c>
      <c r="C2533" s="1643" t="e">
        <f>+SUMIF(#REF!,Final!A2533,#REF!)</f>
        <v>#REF!</v>
      </c>
      <c r="D2533" s="1597" t="e">
        <f>+SUMIF(#REF!,Final!A2533,#REF!)</f>
        <v>#REF!</v>
      </c>
      <c r="E2533" s="1643" t="e">
        <f>SUMIF(#REF!,Final!A2533,#REF!)</f>
        <v>#REF!</v>
      </c>
      <c r="F2533" s="1644" t="e">
        <f>SUMIF(#REF!,Final!A2533,#REF!)</f>
        <v>#REF!</v>
      </c>
      <c r="G2533" s="1597" t="e">
        <f t="shared" si="260"/>
        <v>#REF!</v>
      </c>
      <c r="H2533" s="1644" t="e">
        <f t="shared" si="261"/>
        <v>#REF!</v>
      </c>
      <c r="I2533" s="1597" t="e">
        <f t="shared" si="262"/>
        <v>#REF!</v>
      </c>
      <c r="J2533" s="1644" t="e">
        <f t="shared" si="263"/>
        <v>#REF!</v>
      </c>
      <c r="M2533" s="1545"/>
      <c r="N2533" s="1545"/>
    </row>
    <row r="2534" spans="1:93" s="1542" customFormat="1" ht="15.5">
      <c r="A2534" s="1598">
        <v>61.281999999999996</v>
      </c>
      <c r="B2534" s="1599" t="s">
        <v>2952</v>
      </c>
      <c r="C2534" s="1643" t="e">
        <f>+SUMIF(#REF!,Final!A2534,#REF!)</f>
        <v>#REF!</v>
      </c>
      <c r="D2534" s="1597" t="e">
        <f>+SUMIF(#REF!,Final!A2534,#REF!)</f>
        <v>#REF!</v>
      </c>
      <c r="E2534" s="1643" t="e">
        <f>SUMIF(#REF!,Final!A2534,#REF!)</f>
        <v>#REF!</v>
      </c>
      <c r="F2534" s="1644" t="e">
        <f>SUMIF(#REF!,Final!A2534,#REF!)</f>
        <v>#REF!</v>
      </c>
      <c r="G2534" s="1597" t="e">
        <f t="shared" si="260"/>
        <v>#REF!</v>
      </c>
      <c r="H2534" s="1644" t="e">
        <f t="shared" si="261"/>
        <v>#REF!</v>
      </c>
      <c r="I2534" s="1597" t="e">
        <f t="shared" si="262"/>
        <v>#REF!</v>
      </c>
      <c r="J2534" s="1644" t="e">
        <f t="shared" si="263"/>
        <v>#REF!</v>
      </c>
      <c r="K2534" s="1539"/>
      <c r="L2534" s="1539"/>
      <c r="M2534" s="1545"/>
      <c r="N2534" s="1545"/>
      <c r="O2534" s="1539"/>
      <c r="P2534" s="1539"/>
      <c r="Q2534" s="1539"/>
      <c r="R2534" s="1539"/>
      <c r="S2534" s="1539"/>
      <c r="T2534" s="1539"/>
      <c r="U2534" s="1539"/>
      <c r="V2534" s="1539"/>
      <c r="W2534" s="1539"/>
      <c r="X2534" s="1539"/>
      <c r="Y2534" s="1539"/>
      <c r="Z2534" s="1539"/>
      <c r="AA2534" s="1539"/>
      <c r="AB2534" s="1539"/>
      <c r="AC2534" s="1539"/>
      <c r="AD2534" s="1539"/>
      <c r="AE2534" s="1539"/>
      <c r="AF2534" s="1539"/>
      <c r="AG2534" s="1539"/>
      <c r="AH2534" s="1539"/>
      <c r="AI2534" s="1539"/>
      <c r="AJ2534" s="1539"/>
      <c r="AK2534" s="1539"/>
      <c r="AL2534" s="1539"/>
      <c r="AM2534" s="1539"/>
      <c r="AN2534" s="1539"/>
      <c r="AO2534" s="1539"/>
      <c r="AP2534" s="1539"/>
      <c r="AQ2534" s="1539"/>
      <c r="AR2534" s="1539"/>
      <c r="AS2534" s="1539"/>
      <c r="AT2534" s="1539"/>
      <c r="AU2534" s="1539"/>
      <c r="AV2534" s="1539"/>
      <c r="AW2534" s="1539"/>
      <c r="AX2534" s="1539"/>
      <c r="AY2534" s="1539"/>
      <c r="AZ2534" s="1539"/>
      <c r="BA2534" s="1539"/>
      <c r="BB2534" s="1539"/>
      <c r="BC2534" s="1539"/>
      <c r="BD2534" s="1539"/>
      <c r="BE2534" s="1539"/>
      <c r="BF2534" s="1539"/>
      <c r="BG2534" s="1539"/>
      <c r="BH2534" s="1539"/>
      <c r="BI2534" s="1539"/>
      <c r="BJ2534" s="1539"/>
      <c r="BK2534" s="1539"/>
      <c r="BL2534" s="1539"/>
      <c r="BM2534" s="1539"/>
      <c r="BN2534" s="1539"/>
      <c r="BO2534" s="1539"/>
      <c r="BP2534" s="1539"/>
      <c r="BQ2534" s="1539"/>
      <c r="BR2534" s="1539"/>
      <c r="BS2534" s="1539"/>
      <c r="BT2534" s="1539"/>
      <c r="BU2534" s="1539"/>
      <c r="BV2534" s="1539"/>
      <c r="BW2534" s="1539"/>
      <c r="BX2534" s="1539"/>
      <c r="BY2534" s="1539"/>
      <c r="BZ2534" s="1539"/>
      <c r="CA2534" s="1539"/>
      <c r="CB2534" s="1539"/>
      <c r="CC2534" s="1539"/>
      <c r="CD2534" s="1539"/>
      <c r="CE2534" s="1539"/>
      <c r="CF2534" s="1539"/>
      <c r="CG2534" s="1539"/>
      <c r="CH2534" s="1539"/>
      <c r="CI2534" s="1539"/>
      <c r="CJ2534" s="1539"/>
      <c r="CK2534" s="1539"/>
      <c r="CL2534" s="1539"/>
      <c r="CM2534" s="1539"/>
      <c r="CN2534" s="1539"/>
      <c r="CO2534" s="1539"/>
    </row>
    <row r="2535" spans="1:93" ht="15.5">
      <c r="A2535" s="1598">
        <v>61.283000000000001</v>
      </c>
      <c r="B2535" s="1599" t="s">
        <v>2953</v>
      </c>
      <c r="C2535" s="1643" t="e">
        <f>+SUMIF(#REF!,Final!A2535,#REF!)</f>
        <v>#REF!</v>
      </c>
      <c r="D2535" s="1597" t="e">
        <f>+SUMIF(#REF!,Final!A2535,#REF!)</f>
        <v>#REF!</v>
      </c>
      <c r="E2535" s="1643" t="e">
        <f>SUMIF(#REF!,Final!A2535,#REF!)</f>
        <v>#REF!</v>
      </c>
      <c r="F2535" s="1644" t="e">
        <f>SUMIF(#REF!,Final!A2535,#REF!)</f>
        <v>#REF!</v>
      </c>
      <c r="G2535" s="1597" t="e">
        <f t="shared" si="260"/>
        <v>#REF!</v>
      </c>
      <c r="H2535" s="1644" t="e">
        <f t="shared" si="261"/>
        <v>#REF!</v>
      </c>
      <c r="I2535" s="1597" t="e">
        <f t="shared" si="262"/>
        <v>#REF!</v>
      </c>
      <c r="J2535" s="1644" t="e">
        <f t="shared" si="263"/>
        <v>#REF!</v>
      </c>
      <c r="M2535" s="1545"/>
      <c r="N2535" s="1545"/>
    </row>
    <row r="2536" spans="1:93" s="1552" customFormat="1" ht="15.5">
      <c r="A2536" s="1598"/>
      <c r="B2536" s="1599" t="s">
        <v>1747</v>
      </c>
      <c r="C2536" s="1643" t="e">
        <f>+SUMIF(#REF!,Final!A2536,#REF!)</f>
        <v>#REF!</v>
      </c>
      <c r="D2536" s="1597" t="e">
        <f>+SUMIF(#REF!,Final!A2536,#REF!)</f>
        <v>#REF!</v>
      </c>
      <c r="E2536" s="1643" t="e">
        <f>SUMIF(#REF!,Final!A2536,#REF!)</f>
        <v>#REF!</v>
      </c>
      <c r="F2536" s="1644" t="e">
        <f>SUMIF(#REF!,Final!A2536,#REF!)</f>
        <v>#REF!</v>
      </c>
      <c r="G2536" s="1597" t="e">
        <f t="shared" si="260"/>
        <v>#REF!</v>
      </c>
      <c r="H2536" s="1644" t="e">
        <f t="shared" si="261"/>
        <v>#REF!</v>
      </c>
      <c r="I2536" s="1597" t="e">
        <f t="shared" si="262"/>
        <v>#REF!</v>
      </c>
      <c r="J2536" s="1644" t="e">
        <f t="shared" si="263"/>
        <v>#REF!</v>
      </c>
      <c r="K2536" s="1539"/>
      <c r="L2536" s="1539"/>
      <c r="M2536" s="1545"/>
      <c r="N2536" s="1545"/>
      <c r="O2536" s="1539"/>
      <c r="P2536" s="1539"/>
      <c r="Q2536" s="1539"/>
      <c r="R2536" s="1539"/>
      <c r="S2536" s="1539"/>
      <c r="T2536" s="1539"/>
      <c r="U2536" s="1539"/>
      <c r="V2536" s="1539"/>
      <c r="W2536" s="1539"/>
      <c r="X2536" s="1539"/>
      <c r="Y2536" s="1539"/>
      <c r="Z2536" s="1539"/>
      <c r="AA2536" s="1539"/>
      <c r="AB2536" s="1539"/>
      <c r="AC2536" s="1539"/>
      <c r="AD2536" s="1539"/>
      <c r="AE2536" s="1539"/>
      <c r="AF2536" s="1539"/>
      <c r="AG2536" s="1539"/>
      <c r="AH2536" s="1539"/>
      <c r="AI2536" s="1539"/>
      <c r="AJ2536" s="1539"/>
      <c r="AK2536" s="1539"/>
      <c r="AL2536" s="1539"/>
      <c r="AM2536" s="1539"/>
      <c r="AN2536" s="1539"/>
      <c r="AO2536" s="1539"/>
      <c r="AP2536" s="1539"/>
      <c r="AQ2536" s="1539"/>
      <c r="AR2536" s="1539"/>
      <c r="AS2536" s="1539"/>
      <c r="AT2536" s="1539"/>
      <c r="AU2536" s="1539"/>
      <c r="AV2536" s="1539"/>
      <c r="AW2536" s="1539"/>
      <c r="AX2536" s="1539"/>
      <c r="AY2536" s="1539"/>
      <c r="AZ2536" s="1539"/>
      <c r="BA2536" s="1539"/>
      <c r="BB2536" s="1539"/>
      <c r="BC2536" s="1539"/>
      <c r="BD2536" s="1539"/>
      <c r="BE2536" s="1539"/>
      <c r="BF2536" s="1539"/>
      <c r="BG2536" s="1539"/>
      <c r="BH2536" s="1539"/>
      <c r="BI2536" s="1539"/>
      <c r="BJ2536" s="1539"/>
      <c r="BK2536" s="1539"/>
      <c r="BL2536" s="1539"/>
      <c r="BM2536" s="1539"/>
      <c r="BN2536" s="1539"/>
      <c r="BO2536" s="1539"/>
      <c r="BP2536" s="1539"/>
      <c r="BQ2536" s="1539"/>
      <c r="BR2536" s="1539"/>
      <c r="BS2536" s="1539"/>
      <c r="BT2536" s="1539"/>
      <c r="BU2536" s="1539"/>
      <c r="BV2536" s="1539"/>
      <c r="BW2536" s="1539"/>
      <c r="BX2536" s="1539"/>
      <c r="BY2536" s="1539"/>
      <c r="BZ2536" s="1539"/>
      <c r="CA2536" s="1539"/>
      <c r="CB2536" s="1539"/>
      <c r="CC2536" s="1539"/>
      <c r="CD2536" s="1539"/>
      <c r="CE2536" s="1539"/>
      <c r="CF2536" s="1539"/>
      <c r="CG2536" s="1539"/>
      <c r="CH2536" s="1539"/>
      <c r="CI2536" s="1539"/>
      <c r="CJ2536" s="1539"/>
      <c r="CK2536" s="1539"/>
      <c r="CL2536" s="1539"/>
      <c r="CM2536" s="1539"/>
      <c r="CN2536" s="1539"/>
      <c r="CO2536" s="1539"/>
    </row>
    <row r="2537" spans="1:93" s="1552" customFormat="1" ht="15.5">
      <c r="A2537" s="1598"/>
      <c r="B2537" s="1599" t="s">
        <v>1760</v>
      </c>
      <c r="C2537" s="1643" t="e">
        <f>+SUMIF(#REF!,Final!A2537,#REF!)</f>
        <v>#REF!</v>
      </c>
      <c r="D2537" s="1597" t="e">
        <f>+SUMIF(#REF!,Final!A2537,#REF!)</f>
        <v>#REF!</v>
      </c>
      <c r="E2537" s="1643" t="e">
        <f>SUMIF(#REF!,Final!A2537,#REF!)</f>
        <v>#REF!</v>
      </c>
      <c r="F2537" s="1644" t="e">
        <f>SUMIF(#REF!,Final!A2537,#REF!)</f>
        <v>#REF!</v>
      </c>
      <c r="G2537" s="1597" t="e">
        <f t="shared" si="260"/>
        <v>#REF!</v>
      </c>
      <c r="H2537" s="1644" t="e">
        <f t="shared" si="261"/>
        <v>#REF!</v>
      </c>
      <c r="I2537" s="1597" t="e">
        <f t="shared" si="262"/>
        <v>#REF!</v>
      </c>
      <c r="J2537" s="1644" t="e">
        <f t="shared" si="263"/>
        <v>#REF!</v>
      </c>
      <c r="K2537" s="1539"/>
      <c r="L2537" s="1539"/>
      <c r="M2537" s="1545"/>
      <c r="N2537" s="1545"/>
      <c r="O2537" s="1539"/>
      <c r="P2537" s="1539"/>
      <c r="Q2537" s="1539"/>
      <c r="R2537" s="1539"/>
      <c r="S2537" s="1539"/>
      <c r="T2537" s="1539"/>
      <c r="U2537" s="1539"/>
      <c r="V2537" s="1539"/>
      <c r="W2537" s="1539"/>
      <c r="X2537" s="1539"/>
      <c r="Y2537" s="1539"/>
      <c r="Z2537" s="1539"/>
      <c r="AA2537" s="1539"/>
      <c r="AB2537" s="1539"/>
      <c r="AC2537" s="1539"/>
      <c r="AD2537" s="1539"/>
      <c r="AE2537" s="1539"/>
      <c r="AF2537" s="1539"/>
      <c r="AG2537" s="1539"/>
      <c r="AH2537" s="1539"/>
      <c r="AI2537" s="1539"/>
      <c r="AJ2537" s="1539"/>
      <c r="AK2537" s="1539"/>
      <c r="AL2537" s="1539"/>
      <c r="AM2537" s="1539"/>
      <c r="AN2537" s="1539"/>
      <c r="AO2537" s="1539"/>
      <c r="AP2537" s="1539"/>
      <c r="AQ2537" s="1539"/>
      <c r="AR2537" s="1539"/>
      <c r="AS2537" s="1539"/>
      <c r="AT2537" s="1539"/>
      <c r="AU2537" s="1539"/>
      <c r="AV2537" s="1539"/>
      <c r="AW2537" s="1539"/>
      <c r="AX2537" s="1539"/>
      <c r="AY2537" s="1539"/>
      <c r="AZ2537" s="1539"/>
      <c r="BA2537" s="1539"/>
      <c r="BB2537" s="1539"/>
      <c r="BC2537" s="1539"/>
      <c r="BD2537" s="1539"/>
      <c r="BE2537" s="1539"/>
      <c r="BF2537" s="1539"/>
      <c r="BG2537" s="1539"/>
      <c r="BH2537" s="1539"/>
      <c r="BI2537" s="1539"/>
      <c r="BJ2537" s="1539"/>
      <c r="BK2537" s="1539"/>
      <c r="BL2537" s="1539"/>
      <c r="BM2537" s="1539"/>
      <c r="BN2537" s="1539"/>
      <c r="BO2537" s="1539"/>
      <c r="BP2537" s="1539"/>
      <c r="BQ2537" s="1539"/>
      <c r="BR2537" s="1539"/>
      <c r="BS2537" s="1539"/>
      <c r="BT2537" s="1539"/>
      <c r="BU2537" s="1539"/>
      <c r="BV2537" s="1539"/>
      <c r="BW2537" s="1539"/>
      <c r="BX2537" s="1539"/>
      <c r="BY2537" s="1539"/>
      <c r="BZ2537" s="1539"/>
      <c r="CA2537" s="1539"/>
      <c r="CB2537" s="1539"/>
      <c r="CC2537" s="1539"/>
      <c r="CD2537" s="1539"/>
      <c r="CE2537" s="1539"/>
      <c r="CF2537" s="1539"/>
      <c r="CG2537" s="1539"/>
      <c r="CH2537" s="1539"/>
      <c r="CI2537" s="1539"/>
      <c r="CJ2537" s="1539"/>
      <c r="CK2537" s="1539"/>
      <c r="CL2537" s="1539"/>
      <c r="CM2537" s="1539"/>
      <c r="CN2537" s="1539"/>
      <c r="CO2537" s="1539"/>
    </row>
    <row r="2538" spans="1:93" s="1542" customFormat="1" ht="15.5">
      <c r="A2538" s="1598" t="s">
        <v>1408</v>
      </c>
      <c r="B2538" s="1599" t="s">
        <v>891</v>
      </c>
      <c r="C2538" s="1643" t="e">
        <f>+SUMIF(#REF!,Final!A2538,#REF!)</f>
        <v>#REF!</v>
      </c>
      <c r="D2538" s="1597" t="e">
        <f>+SUMIF(#REF!,Final!A2538,#REF!)</f>
        <v>#REF!</v>
      </c>
      <c r="E2538" s="1643" t="e">
        <f>SUMIF(#REF!,Final!A2538,#REF!)</f>
        <v>#REF!</v>
      </c>
      <c r="F2538" s="1644" t="e">
        <f>SUMIF(#REF!,Final!A2538,#REF!)</f>
        <v>#REF!</v>
      </c>
      <c r="G2538" s="1597" t="e">
        <f t="shared" si="260"/>
        <v>#REF!</v>
      </c>
      <c r="H2538" s="1644" t="e">
        <f t="shared" si="261"/>
        <v>#REF!</v>
      </c>
      <c r="I2538" s="1597" t="e">
        <f t="shared" si="262"/>
        <v>#REF!</v>
      </c>
      <c r="J2538" s="1644" t="e">
        <f t="shared" si="263"/>
        <v>#REF!</v>
      </c>
      <c r="K2538" s="1539"/>
      <c r="L2538" s="1539"/>
      <c r="M2538" s="1545"/>
      <c r="N2538" s="1545"/>
      <c r="O2538" s="1539"/>
      <c r="P2538" s="1539"/>
      <c r="Q2538" s="1539"/>
      <c r="R2538" s="1539"/>
      <c r="S2538" s="1539"/>
      <c r="T2538" s="1539"/>
      <c r="U2538" s="1539"/>
      <c r="V2538" s="1539"/>
      <c r="W2538" s="1539"/>
      <c r="X2538" s="1539"/>
      <c r="Y2538" s="1539"/>
      <c r="Z2538" s="1539"/>
      <c r="AA2538" s="1539"/>
      <c r="AB2538" s="1539"/>
      <c r="AC2538" s="1539"/>
      <c r="AD2538" s="1539"/>
      <c r="AE2538" s="1539"/>
      <c r="AF2538" s="1539"/>
      <c r="AG2538" s="1539"/>
      <c r="AH2538" s="1539"/>
      <c r="AI2538" s="1539"/>
      <c r="AJ2538" s="1539"/>
      <c r="AK2538" s="1539"/>
      <c r="AL2538" s="1539"/>
      <c r="AM2538" s="1539"/>
      <c r="AN2538" s="1539"/>
      <c r="AO2538" s="1539"/>
      <c r="AP2538" s="1539"/>
      <c r="AQ2538" s="1539"/>
      <c r="AR2538" s="1539"/>
      <c r="AS2538" s="1539"/>
      <c r="AT2538" s="1539"/>
      <c r="AU2538" s="1539"/>
      <c r="AV2538" s="1539"/>
      <c r="AW2538" s="1539"/>
      <c r="AX2538" s="1539"/>
      <c r="AY2538" s="1539"/>
      <c r="AZ2538" s="1539"/>
      <c r="BA2538" s="1539"/>
      <c r="BB2538" s="1539"/>
      <c r="BC2538" s="1539"/>
      <c r="BD2538" s="1539"/>
      <c r="BE2538" s="1539"/>
      <c r="BF2538" s="1539"/>
      <c r="BG2538" s="1539"/>
      <c r="BH2538" s="1539"/>
      <c r="BI2538" s="1539"/>
      <c r="BJ2538" s="1539"/>
      <c r="BK2538" s="1539"/>
      <c r="BL2538" s="1539"/>
      <c r="BM2538" s="1539"/>
      <c r="BN2538" s="1539"/>
      <c r="BO2538" s="1539"/>
      <c r="BP2538" s="1539"/>
      <c r="BQ2538" s="1539"/>
      <c r="BR2538" s="1539"/>
      <c r="BS2538" s="1539"/>
      <c r="BT2538" s="1539"/>
      <c r="BU2538" s="1539"/>
      <c r="BV2538" s="1539"/>
      <c r="BW2538" s="1539"/>
      <c r="BX2538" s="1539"/>
      <c r="BY2538" s="1539"/>
      <c r="BZ2538" s="1539"/>
      <c r="CA2538" s="1539"/>
      <c r="CB2538" s="1539"/>
      <c r="CC2538" s="1539"/>
      <c r="CD2538" s="1539"/>
      <c r="CE2538" s="1539"/>
      <c r="CF2538" s="1539"/>
      <c r="CG2538" s="1539"/>
      <c r="CH2538" s="1539"/>
      <c r="CI2538" s="1539"/>
      <c r="CJ2538" s="1539"/>
      <c r="CK2538" s="1539"/>
      <c r="CL2538" s="1539"/>
      <c r="CM2538" s="1539"/>
      <c r="CN2538" s="1539"/>
      <c r="CO2538" s="1539"/>
    </row>
    <row r="2539" spans="1:93" s="1542" customFormat="1" ht="15.5">
      <c r="A2539" s="1598">
        <v>61.290999999999997</v>
      </c>
      <c r="B2539" s="1599" t="s">
        <v>2954</v>
      </c>
      <c r="C2539" s="1643" t="e">
        <f>+SUMIF(#REF!,Final!A2539,#REF!)</f>
        <v>#REF!</v>
      </c>
      <c r="D2539" s="1597" t="e">
        <f>+SUMIF(#REF!,Final!A2539,#REF!)</f>
        <v>#REF!</v>
      </c>
      <c r="E2539" s="1643" t="e">
        <f>SUMIF(#REF!,Final!A2539,#REF!)</f>
        <v>#REF!</v>
      </c>
      <c r="F2539" s="1644" t="e">
        <f>SUMIF(#REF!,Final!A2539,#REF!)</f>
        <v>#REF!</v>
      </c>
      <c r="G2539" s="1597" t="e">
        <f t="shared" si="260"/>
        <v>#REF!</v>
      </c>
      <c r="H2539" s="1644" t="e">
        <f t="shared" si="261"/>
        <v>#REF!</v>
      </c>
      <c r="I2539" s="1597" t="e">
        <f t="shared" si="262"/>
        <v>#REF!</v>
      </c>
      <c r="J2539" s="1644" t="e">
        <f t="shared" si="263"/>
        <v>#REF!</v>
      </c>
      <c r="K2539" s="1539"/>
      <c r="L2539" s="1539"/>
      <c r="M2539" s="1545"/>
      <c r="N2539" s="1545"/>
      <c r="O2539" s="1539"/>
      <c r="P2539" s="1539"/>
      <c r="Q2539" s="1539"/>
      <c r="R2539" s="1539"/>
      <c r="S2539" s="1539"/>
      <c r="T2539" s="1539"/>
      <c r="U2539" s="1539"/>
      <c r="V2539" s="1539"/>
      <c r="W2539" s="1539"/>
      <c r="X2539" s="1539"/>
      <c r="Y2539" s="1539"/>
      <c r="Z2539" s="1539"/>
      <c r="AA2539" s="1539"/>
      <c r="AB2539" s="1539"/>
      <c r="AC2539" s="1539"/>
      <c r="AD2539" s="1539"/>
      <c r="AE2539" s="1539"/>
      <c r="AF2539" s="1539"/>
      <c r="AG2539" s="1539"/>
      <c r="AH2539" s="1539"/>
      <c r="AI2539" s="1539"/>
      <c r="AJ2539" s="1539"/>
      <c r="AK2539" s="1539"/>
      <c r="AL2539" s="1539"/>
      <c r="AM2539" s="1539"/>
      <c r="AN2539" s="1539"/>
      <c r="AO2539" s="1539"/>
      <c r="AP2539" s="1539"/>
      <c r="AQ2539" s="1539"/>
      <c r="AR2539" s="1539"/>
      <c r="AS2539" s="1539"/>
      <c r="AT2539" s="1539"/>
      <c r="AU2539" s="1539"/>
      <c r="AV2539" s="1539"/>
      <c r="AW2539" s="1539"/>
      <c r="AX2539" s="1539"/>
      <c r="AY2539" s="1539"/>
      <c r="AZ2539" s="1539"/>
      <c r="BA2539" s="1539"/>
      <c r="BB2539" s="1539"/>
      <c r="BC2539" s="1539"/>
      <c r="BD2539" s="1539"/>
      <c r="BE2539" s="1539"/>
      <c r="BF2539" s="1539"/>
      <c r="BG2539" s="1539"/>
      <c r="BH2539" s="1539"/>
      <c r="BI2539" s="1539"/>
      <c r="BJ2539" s="1539"/>
      <c r="BK2539" s="1539"/>
      <c r="BL2539" s="1539"/>
      <c r="BM2539" s="1539"/>
      <c r="BN2539" s="1539"/>
      <c r="BO2539" s="1539"/>
      <c r="BP2539" s="1539"/>
      <c r="BQ2539" s="1539"/>
      <c r="BR2539" s="1539"/>
      <c r="BS2539" s="1539"/>
      <c r="BT2539" s="1539"/>
      <c r="BU2539" s="1539"/>
      <c r="BV2539" s="1539"/>
      <c r="BW2539" s="1539"/>
      <c r="BX2539" s="1539"/>
      <c r="BY2539" s="1539"/>
      <c r="BZ2539" s="1539"/>
      <c r="CA2539" s="1539"/>
      <c r="CB2539" s="1539"/>
      <c r="CC2539" s="1539"/>
      <c r="CD2539" s="1539"/>
      <c r="CE2539" s="1539"/>
      <c r="CF2539" s="1539"/>
      <c r="CG2539" s="1539"/>
      <c r="CH2539" s="1539"/>
      <c r="CI2539" s="1539"/>
      <c r="CJ2539" s="1539"/>
      <c r="CK2539" s="1539"/>
      <c r="CL2539" s="1539"/>
      <c r="CM2539" s="1539"/>
      <c r="CN2539" s="1539"/>
      <c r="CO2539" s="1539"/>
    </row>
    <row r="2540" spans="1:93" s="1542" customFormat="1" ht="15.5">
      <c r="A2540" s="1598">
        <v>61.292000000000002</v>
      </c>
      <c r="B2540" s="1599" t="s">
        <v>2955</v>
      </c>
      <c r="C2540" s="1643" t="e">
        <f>+SUMIF(#REF!,Final!A2540,#REF!)</f>
        <v>#REF!</v>
      </c>
      <c r="D2540" s="1597" t="e">
        <f>+SUMIF(#REF!,Final!A2540,#REF!)</f>
        <v>#REF!</v>
      </c>
      <c r="E2540" s="1643" t="e">
        <f>SUMIF(#REF!,Final!A2540,#REF!)</f>
        <v>#REF!</v>
      </c>
      <c r="F2540" s="1644" t="e">
        <f>SUMIF(#REF!,Final!A2540,#REF!)</f>
        <v>#REF!</v>
      </c>
      <c r="G2540" s="1597" t="e">
        <f t="shared" si="260"/>
        <v>#REF!</v>
      </c>
      <c r="H2540" s="1644" t="e">
        <f t="shared" si="261"/>
        <v>#REF!</v>
      </c>
      <c r="I2540" s="1597" t="e">
        <f t="shared" si="262"/>
        <v>#REF!</v>
      </c>
      <c r="J2540" s="1644" t="e">
        <f t="shared" si="263"/>
        <v>#REF!</v>
      </c>
      <c r="K2540" s="1539"/>
      <c r="L2540" s="1539"/>
      <c r="M2540" s="1545"/>
      <c r="N2540" s="1545"/>
      <c r="O2540" s="1539"/>
      <c r="P2540" s="1539"/>
      <c r="Q2540" s="1539"/>
      <c r="R2540" s="1539"/>
      <c r="S2540" s="1539"/>
      <c r="T2540" s="1539"/>
      <c r="U2540" s="1539"/>
      <c r="V2540" s="1539"/>
      <c r="W2540" s="1539"/>
      <c r="X2540" s="1539"/>
      <c r="Y2540" s="1539"/>
      <c r="Z2540" s="1539"/>
      <c r="AA2540" s="1539"/>
      <c r="AB2540" s="1539"/>
      <c r="AC2540" s="1539"/>
      <c r="AD2540" s="1539"/>
      <c r="AE2540" s="1539"/>
      <c r="AF2540" s="1539"/>
      <c r="AG2540" s="1539"/>
      <c r="AH2540" s="1539"/>
      <c r="AI2540" s="1539"/>
      <c r="AJ2540" s="1539"/>
      <c r="AK2540" s="1539"/>
      <c r="AL2540" s="1539"/>
      <c r="AM2540" s="1539"/>
      <c r="AN2540" s="1539"/>
      <c r="AO2540" s="1539"/>
      <c r="AP2540" s="1539"/>
      <c r="AQ2540" s="1539"/>
      <c r="AR2540" s="1539"/>
      <c r="AS2540" s="1539"/>
      <c r="AT2540" s="1539"/>
      <c r="AU2540" s="1539"/>
      <c r="AV2540" s="1539"/>
      <c r="AW2540" s="1539"/>
      <c r="AX2540" s="1539"/>
      <c r="AY2540" s="1539"/>
      <c r="AZ2540" s="1539"/>
      <c r="BA2540" s="1539"/>
      <c r="BB2540" s="1539"/>
      <c r="BC2540" s="1539"/>
      <c r="BD2540" s="1539"/>
      <c r="BE2540" s="1539"/>
      <c r="BF2540" s="1539"/>
      <c r="BG2540" s="1539"/>
      <c r="BH2540" s="1539"/>
      <c r="BI2540" s="1539"/>
      <c r="BJ2540" s="1539"/>
      <c r="BK2540" s="1539"/>
      <c r="BL2540" s="1539"/>
      <c r="BM2540" s="1539"/>
      <c r="BN2540" s="1539"/>
      <c r="BO2540" s="1539"/>
      <c r="BP2540" s="1539"/>
      <c r="BQ2540" s="1539"/>
      <c r="BR2540" s="1539"/>
      <c r="BS2540" s="1539"/>
      <c r="BT2540" s="1539"/>
      <c r="BU2540" s="1539"/>
      <c r="BV2540" s="1539"/>
      <c r="BW2540" s="1539"/>
      <c r="BX2540" s="1539"/>
      <c r="BY2540" s="1539"/>
      <c r="BZ2540" s="1539"/>
      <c r="CA2540" s="1539"/>
      <c r="CB2540" s="1539"/>
      <c r="CC2540" s="1539"/>
      <c r="CD2540" s="1539"/>
      <c r="CE2540" s="1539"/>
      <c r="CF2540" s="1539"/>
      <c r="CG2540" s="1539"/>
      <c r="CH2540" s="1539"/>
      <c r="CI2540" s="1539"/>
      <c r="CJ2540" s="1539"/>
      <c r="CK2540" s="1539"/>
      <c r="CL2540" s="1539"/>
      <c r="CM2540" s="1539"/>
      <c r="CN2540" s="1539"/>
      <c r="CO2540" s="1539"/>
    </row>
    <row r="2541" spans="1:93" ht="15.5">
      <c r="A2541" s="1598">
        <v>61.292999999999999</v>
      </c>
      <c r="B2541" s="1599" t="s">
        <v>2956</v>
      </c>
      <c r="C2541" s="1643" t="e">
        <f>+SUMIF(#REF!,Final!A2541,#REF!)</f>
        <v>#REF!</v>
      </c>
      <c r="D2541" s="1597" t="e">
        <f>+SUMIF(#REF!,Final!A2541,#REF!)</f>
        <v>#REF!</v>
      </c>
      <c r="E2541" s="1643" t="e">
        <f>SUMIF(#REF!,Final!A2541,#REF!)</f>
        <v>#REF!</v>
      </c>
      <c r="F2541" s="1644" t="e">
        <f>SUMIF(#REF!,Final!A2541,#REF!)</f>
        <v>#REF!</v>
      </c>
      <c r="G2541" s="1597" t="e">
        <f t="shared" si="260"/>
        <v>#REF!</v>
      </c>
      <c r="H2541" s="1644" t="e">
        <f t="shared" si="261"/>
        <v>#REF!</v>
      </c>
      <c r="I2541" s="1597" t="e">
        <f t="shared" si="262"/>
        <v>#REF!</v>
      </c>
      <c r="J2541" s="1644" t="e">
        <f t="shared" si="263"/>
        <v>#REF!</v>
      </c>
      <c r="M2541" s="1545"/>
      <c r="N2541" s="1545"/>
    </row>
    <row r="2542" spans="1:93" s="1542" customFormat="1" ht="15.5">
      <c r="A2542" s="1598">
        <v>61.293999999999997</v>
      </c>
      <c r="B2542" s="1599" t="s">
        <v>2957</v>
      </c>
      <c r="C2542" s="1643" t="e">
        <f>+SUMIF(#REF!,Final!A2542,#REF!)</f>
        <v>#REF!</v>
      </c>
      <c r="D2542" s="1597" t="e">
        <f>+SUMIF(#REF!,Final!A2542,#REF!)</f>
        <v>#REF!</v>
      </c>
      <c r="E2542" s="1643" t="e">
        <f>SUMIF(#REF!,Final!A2542,#REF!)</f>
        <v>#REF!</v>
      </c>
      <c r="F2542" s="1644" t="e">
        <f>SUMIF(#REF!,Final!A2542,#REF!)</f>
        <v>#REF!</v>
      </c>
      <c r="G2542" s="1597" t="e">
        <f t="shared" si="260"/>
        <v>#REF!</v>
      </c>
      <c r="H2542" s="1644" t="e">
        <f t="shared" si="261"/>
        <v>#REF!</v>
      </c>
      <c r="I2542" s="1597" t="e">
        <f t="shared" si="262"/>
        <v>#REF!</v>
      </c>
      <c r="J2542" s="1644" t="e">
        <f t="shared" si="263"/>
        <v>#REF!</v>
      </c>
      <c r="K2542" s="1539"/>
      <c r="L2542" s="1539"/>
      <c r="M2542" s="1545"/>
      <c r="N2542" s="1545"/>
      <c r="O2542" s="1539"/>
      <c r="P2542" s="1539"/>
      <c r="Q2542" s="1539"/>
      <c r="R2542" s="1539"/>
      <c r="S2542" s="1539"/>
      <c r="T2542" s="1539"/>
      <c r="U2542" s="1539"/>
      <c r="V2542" s="1539"/>
      <c r="W2542" s="1539"/>
      <c r="X2542" s="1539"/>
      <c r="Y2542" s="1539"/>
      <c r="Z2542" s="1539"/>
      <c r="AA2542" s="1539"/>
      <c r="AB2542" s="1539"/>
      <c r="AC2542" s="1539"/>
      <c r="AD2542" s="1539"/>
      <c r="AE2542" s="1539"/>
      <c r="AF2542" s="1539"/>
      <c r="AG2542" s="1539"/>
      <c r="AH2542" s="1539"/>
      <c r="AI2542" s="1539"/>
      <c r="AJ2542" s="1539"/>
      <c r="AK2542" s="1539"/>
      <c r="AL2542" s="1539"/>
      <c r="AM2542" s="1539"/>
      <c r="AN2542" s="1539"/>
      <c r="AO2542" s="1539"/>
      <c r="AP2542" s="1539"/>
      <c r="AQ2542" s="1539"/>
      <c r="AR2542" s="1539"/>
      <c r="AS2542" s="1539"/>
      <c r="AT2542" s="1539"/>
      <c r="AU2542" s="1539"/>
      <c r="AV2542" s="1539"/>
      <c r="AW2542" s="1539"/>
      <c r="AX2542" s="1539"/>
      <c r="AY2542" s="1539"/>
      <c r="AZ2542" s="1539"/>
      <c r="BA2542" s="1539"/>
      <c r="BB2542" s="1539"/>
      <c r="BC2542" s="1539"/>
      <c r="BD2542" s="1539"/>
      <c r="BE2542" s="1539"/>
      <c r="BF2542" s="1539"/>
      <c r="BG2542" s="1539"/>
      <c r="BH2542" s="1539"/>
      <c r="BI2542" s="1539"/>
      <c r="BJ2542" s="1539"/>
      <c r="BK2542" s="1539"/>
      <c r="BL2542" s="1539"/>
      <c r="BM2542" s="1539"/>
      <c r="BN2542" s="1539"/>
      <c r="BO2542" s="1539"/>
      <c r="BP2542" s="1539"/>
      <c r="BQ2542" s="1539"/>
      <c r="BR2542" s="1539"/>
      <c r="BS2542" s="1539"/>
      <c r="BT2542" s="1539"/>
      <c r="BU2542" s="1539"/>
      <c r="BV2542" s="1539"/>
      <c r="BW2542" s="1539"/>
      <c r="BX2542" s="1539"/>
      <c r="BY2542" s="1539"/>
      <c r="BZ2542" s="1539"/>
      <c r="CA2542" s="1539"/>
      <c r="CB2542" s="1539"/>
      <c r="CC2542" s="1539"/>
      <c r="CD2542" s="1539"/>
      <c r="CE2542" s="1539"/>
      <c r="CF2542" s="1539"/>
      <c r="CG2542" s="1539"/>
      <c r="CH2542" s="1539"/>
      <c r="CI2542" s="1539"/>
      <c r="CJ2542" s="1539"/>
      <c r="CK2542" s="1539"/>
      <c r="CL2542" s="1539"/>
      <c r="CM2542" s="1539"/>
      <c r="CN2542" s="1539"/>
      <c r="CO2542" s="1539"/>
    </row>
    <row r="2543" spans="1:93" ht="15.5">
      <c r="A2543" s="1598">
        <v>61.295000000000002</v>
      </c>
      <c r="B2543" s="1599" t="s">
        <v>2958</v>
      </c>
      <c r="C2543" s="1643" t="e">
        <f>+SUMIF(#REF!,Final!A2543,#REF!)</f>
        <v>#REF!</v>
      </c>
      <c r="D2543" s="1597" t="e">
        <f>+SUMIF(#REF!,Final!A2543,#REF!)</f>
        <v>#REF!</v>
      </c>
      <c r="E2543" s="1643" t="e">
        <f>SUMIF(#REF!,Final!A2543,#REF!)</f>
        <v>#REF!</v>
      </c>
      <c r="F2543" s="1644" t="e">
        <f>SUMIF(#REF!,Final!A2543,#REF!)</f>
        <v>#REF!</v>
      </c>
      <c r="G2543" s="1597" t="e">
        <f t="shared" si="260"/>
        <v>#REF!</v>
      </c>
      <c r="H2543" s="1644" t="e">
        <f t="shared" si="261"/>
        <v>#REF!</v>
      </c>
      <c r="I2543" s="1597" t="e">
        <f t="shared" si="262"/>
        <v>#REF!</v>
      </c>
      <c r="J2543" s="1644" t="e">
        <f t="shared" si="263"/>
        <v>#REF!</v>
      </c>
      <c r="M2543" s="1545"/>
      <c r="N2543" s="1545"/>
    </row>
    <row r="2544" spans="1:93" s="1552" customFormat="1" ht="15.5">
      <c r="A2544" s="1598"/>
      <c r="B2544" s="1599" t="s">
        <v>1747</v>
      </c>
      <c r="C2544" s="1643" t="e">
        <f>+SUMIF(#REF!,Final!A2544,#REF!)</f>
        <v>#REF!</v>
      </c>
      <c r="D2544" s="1597" t="e">
        <f>+SUMIF(#REF!,Final!A2544,#REF!)</f>
        <v>#REF!</v>
      </c>
      <c r="E2544" s="1643" t="e">
        <f>SUMIF(#REF!,Final!A2544,#REF!)</f>
        <v>#REF!</v>
      </c>
      <c r="F2544" s="1644" t="e">
        <f>SUMIF(#REF!,Final!A2544,#REF!)</f>
        <v>#REF!</v>
      </c>
      <c r="G2544" s="1597" t="e">
        <f t="shared" si="260"/>
        <v>#REF!</v>
      </c>
      <c r="H2544" s="1644" t="e">
        <f t="shared" si="261"/>
        <v>#REF!</v>
      </c>
      <c r="I2544" s="1597" t="e">
        <f t="shared" si="262"/>
        <v>#REF!</v>
      </c>
      <c r="J2544" s="1644" t="e">
        <f t="shared" si="263"/>
        <v>#REF!</v>
      </c>
      <c r="K2544" s="1539"/>
      <c r="L2544" s="1539"/>
      <c r="M2544" s="1545"/>
      <c r="N2544" s="1545"/>
      <c r="O2544" s="1539"/>
      <c r="P2544" s="1539"/>
      <c r="Q2544" s="1539"/>
      <c r="R2544" s="1539"/>
      <c r="S2544" s="1539"/>
      <c r="T2544" s="1539"/>
      <c r="U2544" s="1539"/>
      <c r="V2544" s="1539"/>
      <c r="W2544" s="1539"/>
      <c r="X2544" s="1539"/>
      <c r="Y2544" s="1539"/>
      <c r="Z2544" s="1539"/>
      <c r="AA2544" s="1539"/>
      <c r="AB2544" s="1539"/>
      <c r="AC2544" s="1539"/>
      <c r="AD2544" s="1539"/>
      <c r="AE2544" s="1539"/>
      <c r="AF2544" s="1539"/>
      <c r="AG2544" s="1539"/>
      <c r="AH2544" s="1539"/>
      <c r="AI2544" s="1539"/>
      <c r="AJ2544" s="1539"/>
      <c r="AK2544" s="1539"/>
      <c r="AL2544" s="1539"/>
      <c r="AM2544" s="1539"/>
      <c r="AN2544" s="1539"/>
      <c r="AO2544" s="1539"/>
      <c r="AP2544" s="1539"/>
      <c r="AQ2544" s="1539"/>
      <c r="AR2544" s="1539"/>
      <c r="AS2544" s="1539"/>
      <c r="AT2544" s="1539"/>
      <c r="AU2544" s="1539"/>
      <c r="AV2544" s="1539"/>
      <c r="AW2544" s="1539"/>
      <c r="AX2544" s="1539"/>
      <c r="AY2544" s="1539"/>
      <c r="AZ2544" s="1539"/>
      <c r="BA2544" s="1539"/>
      <c r="BB2544" s="1539"/>
      <c r="BC2544" s="1539"/>
      <c r="BD2544" s="1539"/>
      <c r="BE2544" s="1539"/>
      <c r="BF2544" s="1539"/>
      <c r="BG2544" s="1539"/>
      <c r="BH2544" s="1539"/>
      <c r="BI2544" s="1539"/>
      <c r="BJ2544" s="1539"/>
      <c r="BK2544" s="1539"/>
      <c r="BL2544" s="1539"/>
      <c r="BM2544" s="1539"/>
      <c r="BN2544" s="1539"/>
      <c r="BO2544" s="1539"/>
      <c r="BP2544" s="1539"/>
      <c r="BQ2544" s="1539"/>
      <c r="BR2544" s="1539"/>
      <c r="BS2544" s="1539"/>
      <c r="BT2544" s="1539"/>
      <c r="BU2544" s="1539"/>
      <c r="BV2544" s="1539"/>
      <c r="BW2544" s="1539"/>
      <c r="BX2544" s="1539"/>
      <c r="BY2544" s="1539"/>
      <c r="BZ2544" s="1539"/>
      <c r="CA2544" s="1539"/>
      <c r="CB2544" s="1539"/>
      <c r="CC2544" s="1539"/>
      <c r="CD2544" s="1539"/>
      <c r="CE2544" s="1539"/>
      <c r="CF2544" s="1539"/>
      <c r="CG2544" s="1539"/>
      <c r="CH2544" s="1539"/>
      <c r="CI2544" s="1539"/>
      <c r="CJ2544" s="1539"/>
      <c r="CK2544" s="1539"/>
      <c r="CL2544" s="1539"/>
      <c r="CM2544" s="1539"/>
      <c r="CN2544" s="1539"/>
      <c r="CO2544" s="1539"/>
    </row>
    <row r="2545" spans="1:93" s="1552" customFormat="1" ht="15.5">
      <c r="A2545" s="1598"/>
      <c r="B2545" s="1599" t="s">
        <v>1760</v>
      </c>
      <c r="C2545" s="1643" t="e">
        <f>+SUMIF(#REF!,Final!A2545,#REF!)</f>
        <v>#REF!</v>
      </c>
      <c r="D2545" s="1597" t="e">
        <f>+SUMIF(#REF!,Final!A2545,#REF!)</f>
        <v>#REF!</v>
      </c>
      <c r="E2545" s="1643" t="e">
        <f>SUMIF(#REF!,Final!A2545,#REF!)</f>
        <v>#REF!</v>
      </c>
      <c r="F2545" s="1644" t="e">
        <f>SUMIF(#REF!,Final!A2545,#REF!)</f>
        <v>#REF!</v>
      </c>
      <c r="G2545" s="1597" t="e">
        <f t="shared" si="260"/>
        <v>#REF!</v>
      </c>
      <c r="H2545" s="1644" t="e">
        <f t="shared" si="261"/>
        <v>#REF!</v>
      </c>
      <c r="I2545" s="1597" t="e">
        <f t="shared" si="262"/>
        <v>#REF!</v>
      </c>
      <c r="J2545" s="1644" t="e">
        <f t="shared" si="263"/>
        <v>#REF!</v>
      </c>
      <c r="K2545" s="1539"/>
      <c r="L2545" s="1539"/>
      <c r="M2545" s="1545"/>
      <c r="N2545" s="1545"/>
      <c r="O2545" s="1539"/>
      <c r="P2545" s="1539"/>
      <c r="Q2545" s="1539"/>
      <c r="R2545" s="1539"/>
      <c r="S2545" s="1539"/>
      <c r="T2545" s="1539"/>
      <c r="U2545" s="1539"/>
      <c r="V2545" s="1539"/>
      <c r="W2545" s="1539"/>
      <c r="X2545" s="1539"/>
      <c r="Y2545" s="1539"/>
      <c r="Z2545" s="1539"/>
      <c r="AA2545" s="1539"/>
      <c r="AB2545" s="1539"/>
      <c r="AC2545" s="1539"/>
      <c r="AD2545" s="1539"/>
      <c r="AE2545" s="1539"/>
      <c r="AF2545" s="1539"/>
      <c r="AG2545" s="1539"/>
      <c r="AH2545" s="1539"/>
      <c r="AI2545" s="1539"/>
      <c r="AJ2545" s="1539"/>
      <c r="AK2545" s="1539"/>
      <c r="AL2545" s="1539"/>
      <c r="AM2545" s="1539"/>
      <c r="AN2545" s="1539"/>
      <c r="AO2545" s="1539"/>
      <c r="AP2545" s="1539"/>
      <c r="AQ2545" s="1539"/>
      <c r="AR2545" s="1539"/>
      <c r="AS2545" s="1539"/>
      <c r="AT2545" s="1539"/>
      <c r="AU2545" s="1539"/>
      <c r="AV2545" s="1539"/>
      <c r="AW2545" s="1539"/>
      <c r="AX2545" s="1539"/>
      <c r="AY2545" s="1539"/>
      <c r="AZ2545" s="1539"/>
      <c r="BA2545" s="1539"/>
      <c r="BB2545" s="1539"/>
      <c r="BC2545" s="1539"/>
      <c r="BD2545" s="1539"/>
      <c r="BE2545" s="1539"/>
      <c r="BF2545" s="1539"/>
      <c r="BG2545" s="1539"/>
      <c r="BH2545" s="1539"/>
      <c r="BI2545" s="1539"/>
      <c r="BJ2545" s="1539"/>
      <c r="BK2545" s="1539"/>
      <c r="BL2545" s="1539"/>
      <c r="BM2545" s="1539"/>
      <c r="BN2545" s="1539"/>
      <c r="BO2545" s="1539"/>
      <c r="BP2545" s="1539"/>
      <c r="BQ2545" s="1539"/>
      <c r="BR2545" s="1539"/>
      <c r="BS2545" s="1539"/>
      <c r="BT2545" s="1539"/>
      <c r="BU2545" s="1539"/>
      <c r="BV2545" s="1539"/>
      <c r="BW2545" s="1539"/>
      <c r="BX2545" s="1539"/>
      <c r="BY2545" s="1539"/>
      <c r="BZ2545" s="1539"/>
      <c r="CA2545" s="1539"/>
      <c r="CB2545" s="1539"/>
      <c r="CC2545" s="1539"/>
      <c r="CD2545" s="1539"/>
      <c r="CE2545" s="1539"/>
      <c r="CF2545" s="1539"/>
      <c r="CG2545" s="1539"/>
      <c r="CH2545" s="1539"/>
      <c r="CI2545" s="1539"/>
      <c r="CJ2545" s="1539"/>
      <c r="CK2545" s="1539"/>
      <c r="CL2545" s="1539"/>
      <c r="CM2545" s="1539"/>
      <c r="CN2545" s="1539"/>
      <c r="CO2545" s="1539"/>
    </row>
    <row r="2546" spans="1:93" s="1542" customFormat="1" ht="15.5">
      <c r="A2546" s="1598" t="s">
        <v>1409</v>
      </c>
      <c r="B2546" s="1599" t="s">
        <v>1715</v>
      </c>
      <c r="C2546" s="1643" t="e">
        <f>+SUMIF(#REF!,Final!A2546,#REF!)</f>
        <v>#REF!</v>
      </c>
      <c r="D2546" s="1597" t="e">
        <f>+SUMIF(#REF!,Final!A2546,#REF!)</f>
        <v>#REF!</v>
      </c>
      <c r="E2546" s="1643" t="e">
        <f>SUMIF(#REF!,Final!A2546,#REF!)</f>
        <v>#REF!</v>
      </c>
      <c r="F2546" s="1644" t="e">
        <f>SUMIF(#REF!,Final!A2546,#REF!)</f>
        <v>#REF!</v>
      </c>
      <c r="G2546" s="1597" t="e">
        <f t="shared" si="260"/>
        <v>#REF!</v>
      </c>
      <c r="H2546" s="1644" t="e">
        <f t="shared" si="261"/>
        <v>#REF!</v>
      </c>
      <c r="I2546" s="1597" t="e">
        <f t="shared" si="262"/>
        <v>#REF!</v>
      </c>
      <c r="J2546" s="1644" t="e">
        <f t="shared" si="263"/>
        <v>#REF!</v>
      </c>
      <c r="K2546" s="1539"/>
      <c r="L2546" s="1539"/>
      <c r="M2546" s="1545"/>
      <c r="N2546" s="1545"/>
      <c r="O2546" s="1539"/>
      <c r="P2546" s="1539"/>
      <c r="Q2546" s="1539"/>
      <c r="R2546" s="1539"/>
      <c r="S2546" s="1539"/>
      <c r="T2546" s="1539"/>
      <c r="U2546" s="1539"/>
      <c r="V2546" s="1539"/>
      <c r="W2546" s="1539"/>
      <c r="X2546" s="1539"/>
      <c r="Y2546" s="1539"/>
      <c r="Z2546" s="1539"/>
      <c r="AA2546" s="1539"/>
      <c r="AB2546" s="1539"/>
      <c r="AC2546" s="1539"/>
      <c r="AD2546" s="1539"/>
      <c r="AE2546" s="1539"/>
      <c r="AF2546" s="1539"/>
      <c r="AG2546" s="1539"/>
      <c r="AH2546" s="1539"/>
      <c r="AI2546" s="1539"/>
      <c r="AJ2546" s="1539"/>
      <c r="AK2546" s="1539"/>
      <c r="AL2546" s="1539"/>
      <c r="AM2546" s="1539"/>
      <c r="AN2546" s="1539"/>
      <c r="AO2546" s="1539"/>
      <c r="AP2546" s="1539"/>
      <c r="AQ2546" s="1539"/>
      <c r="AR2546" s="1539"/>
      <c r="AS2546" s="1539"/>
      <c r="AT2546" s="1539"/>
      <c r="AU2546" s="1539"/>
      <c r="AV2546" s="1539"/>
      <c r="AW2546" s="1539"/>
      <c r="AX2546" s="1539"/>
      <c r="AY2546" s="1539"/>
      <c r="AZ2546" s="1539"/>
      <c r="BA2546" s="1539"/>
      <c r="BB2546" s="1539"/>
      <c r="BC2546" s="1539"/>
      <c r="BD2546" s="1539"/>
      <c r="BE2546" s="1539"/>
      <c r="BF2546" s="1539"/>
      <c r="BG2546" s="1539"/>
      <c r="BH2546" s="1539"/>
      <c r="BI2546" s="1539"/>
      <c r="BJ2546" s="1539"/>
      <c r="BK2546" s="1539"/>
      <c r="BL2546" s="1539"/>
      <c r="BM2546" s="1539"/>
      <c r="BN2546" s="1539"/>
      <c r="BO2546" s="1539"/>
      <c r="BP2546" s="1539"/>
      <c r="BQ2546" s="1539"/>
      <c r="BR2546" s="1539"/>
      <c r="BS2546" s="1539"/>
      <c r="BT2546" s="1539"/>
      <c r="BU2546" s="1539"/>
      <c r="BV2546" s="1539"/>
      <c r="BW2546" s="1539"/>
      <c r="BX2546" s="1539"/>
      <c r="BY2546" s="1539"/>
      <c r="BZ2546" s="1539"/>
      <c r="CA2546" s="1539"/>
      <c r="CB2546" s="1539"/>
      <c r="CC2546" s="1539"/>
      <c r="CD2546" s="1539"/>
      <c r="CE2546" s="1539"/>
      <c r="CF2546" s="1539"/>
      <c r="CG2546" s="1539"/>
      <c r="CH2546" s="1539"/>
      <c r="CI2546" s="1539"/>
      <c r="CJ2546" s="1539"/>
      <c r="CK2546" s="1539"/>
      <c r="CL2546" s="1539"/>
      <c r="CM2546" s="1539"/>
      <c r="CN2546" s="1539"/>
      <c r="CO2546" s="1539"/>
    </row>
    <row r="2547" spans="1:93" ht="15.5">
      <c r="A2547" s="1598">
        <v>61.301000000000002</v>
      </c>
      <c r="B2547" s="1599" t="s">
        <v>2959</v>
      </c>
      <c r="C2547" s="1643" t="e">
        <f>+SUMIF(#REF!,Final!A2547,#REF!)</f>
        <v>#REF!</v>
      </c>
      <c r="D2547" s="1597" t="e">
        <f>+SUMIF(#REF!,Final!A2547,#REF!)</f>
        <v>#REF!</v>
      </c>
      <c r="E2547" s="1643" t="e">
        <f>SUMIF(#REF!,Final!A2547,#REF!)</f>
        <v>#REF!</v>
      </c>
      <c r="F2547" s="1644" t="e">
        <f>SUMIF(#REF!,Final!A2547,#REF!)</f>
        <v>#REF!</v>
      </c>
      <c r="G2547" s="1597" t="e">
        <f t="shared" si="260"/>
        <v>#REF!</v>
      </c>
      <c r="H2547" s="1644" t="e">
        <f t="shared" si="261"/>
        <v>#REF!</v>
      </c>
      <c r="I2547" s="1597" t="e">
        <f t="shared" si="262"/>
        <v>#REF!</v>
      </c>
      <c r="J2547" s="1644" t="e">
        <f t="shared" si="263"/>
        <v>#REF!</v>
      </c>
      <c r="M2547" s="1545"/>
      <c r="N2547" s="1545"/>
    </row>
    <row r="2548" spans="1:93" ht="15.5">
      <c r="A2548" s="1598">
        <v>61.302</v>
      </c>
      <c r="B2548" s="1599" t="s">
        <v>2960</v>
      </c>
      <c r="C2548" s="1643" t="e">
        <f>+SUMIF(#REF!,Final!A2548,#REF!)</f>
        <v>#REF!</v>
      </c>
      <c r="D2548" s="1597" t="e">
        <f>+SUMIF(#REF!,Final!A2548,#REF!)</f>
        <v>#REF!</v>
      </c>
      <c r="E2548" s="1643" t="e">
        <f>SUMIF(#REF!,Final!A2548,#REF!)</f>
        <v>#REF!</v>
      </c>
      <c r="F2548" s="1644" t="e">
        <f>SUMIF(#REF!,Final!A2548,#REF!)</f>
        <v>#REF!</v>
      </c>
      <c r="G2548" s="1597" t="e">
        <f t="shared" si="260"/>
        <v>#REF!</v>
      </c>
      <c r="H2548" s="1644" t="e">
        <f t="shared" si="261"/>
        <v>#REF!</v>
      </c>
      <c r="I2548" s="1597" t="e">
        <f t="shared" si="262"/>
        <v>#REF!</v>
      </c>
      <c r="J2548" s="1644" t="e">
        <f t="shared" si="263"/>
        <v>#REF!</v>
      </c>
      <c r="M2548" s="1545"/>
      <c r="N2548" s="1545"/>
    </row>
    <row r="2549" spans="1:93" ht="15.5">
      <c r="A2549" s="1598">
        <v>61.302999999999997</v>
      </c>
      <c r="B2549" s="1599" t="s">
        <v>2961</v>
      </c>
      <c r="C2549" s="1643" t="e">
        <f>+SUMIF(#REF!,Final!A2549,#REF!)</f>
        <v>#REF!</v>
      </c>
      <c r="D2549" s="1597" t="e">
        <f>+SUMIF(#REF!,Final!A2549,#REF!)</f>
        <v>#REF!</v>
      </c>
      <c r="E2549" s="1643" t="e">
        <f>SUMIF(#REF!,Final!A2549,#REF!)</f>
        <v>#REF!</v>
      </c>
      <c r="F2549" s="1644" t="e">
        <f>SUMIF(#REF!,Final!A2549,#REF!)</f>
        <v>#REF!</v>
      </c>
      <c r="G2549" s="1597" t="e">
        <f t="shared" si="260"/>
        <v>#REF!</v>
      </c>
      <c r="H2549" s="1644" t="e">
        <f t="shared" si="261"/>
        <v>#REF!</v>
      </c>
      <c r="I2549" s="1597" t="e">
        <f t="shared" si="262"/>
        <v>#REF!</v>
      </c>
      <c r="J2549" s="1644" t="e">
        <f t="shared" si="263"/>
        <v>#REF!</v>
      </c>
      <c r="M2549" s="1545"/>
      <c r="N2549" s="1545"/>
    </row>
    <row r="2550" spans="1:93" ht="15.5">
      <c r="A2550" s="1598">
        <v>61.304000000000002</v>
      </c>
      <c r="B2550" s="1599" t="s">
        <v>2962</v>
      </c>
      <c r="C2550" s="1643" t="e">
        <f>+SUMIF(#REF!,Final!A2550,#REF!)</f>
        <v>#REF!</v>
      </c>
      <c r="D2550" s="1597" t="e">
        <f>+SUMIF(#REF!,Final!A2550,#REF!)</f>
        <v>#REF!</v>
      </c>
      <c r="E2550" s="1643" t="e">
        <f>SUMIF(#REF!,Final!A2550,#REF!)</f>
        <v>#REF!</v>
      </c>
      <c r="F2550" s="1644" t="e">
        <f>SUMIF(#REF!,Final!A2550,#REF!)</f>
        <v>#REF!</v>
      </c>
      <c r="G2550" s="1597" t="e">
        <f t="shared" si="260"/>
        <v>#REF!</v>
      </c>
      <c r="H2550" s="1644" t="e">
        <f t="shared" si="261"/>
        <v>#REF!</v>
      </c>
      <c r="I2550" s="1597" t="e">
        <f t="shared" si="262"/>
        <v>#REF!</v>
      </c>
      <c r="J2550" s="1644" t="e">
        <f t="shared" si="263"/>
        <v>#REF!</v>
      </c>
      <c r="M2550" s="1545"/>
      <c r="N2550" s="1545"/>
    </row>
    <row r="2551" spans="1:93" s="1542" customFormat="1" ht="15.5">
      <c r="A2551" s="1598">
        <v>61.305</v>
      </c>
      <c r="B2551" s="1599" t="s">
        <v>2963</v>
      </c>
      <c r="C2551" s="1643" t="e">
        <f>+SUMIF(#REF!,Final!A2551,#REF!)</f>
        <v>#REF!</v>
      </c>
      <c r="D2551" s="1597" t="e">
        <f>+SUMIF(#REF!,Final!A2551,#REF!)</f>
        <v>#REF!</v>
      </c>
      <c r="E2551" s="1643" t="e">
        <f>SUMIF(#REF!,Final!A2551,#REF!)</f>
        <v>#REF!</v>
      </c>
      <c r="F2551" s="1644" t="e">
        <f>SUMIF(#REF!,Final!A2551,#REF!)</f>
        <v>#REF!</v>
      </c>
      <c r="G2551" s="1597" t="e">
        <f t="shared" si="260"/>
        <v>#REF!</v>
      </c>
      <c r="H2551" s="1644" t="e">
        <f t="shared" si="261"/>
        <v>#REF!</v>
      </c>
      <c r="I2551" s="1597" t="e">
        <f t="shared" si="262"/>
        <v>#REF!</v>
      </c>
      <c r="J2551" s="1644" t="e">
        <f t="shared" si="263"/>
        <v>#REF!</v>
      </c>
      <c r="K2551" s="1539"/>
      <c r="L2551" s="1539"/>
      <c r="M2551" s="1545"/>
      <c r="N2551" s="1545"/>
      <c r="O2551" s="1539"/>
      <c r="P2551" s="1539"/>
      <c r="Q2551" s="1539"/>
      <c r="R2551" s="1539"/>
      <c r="S2551" s="1539"/>
      <c r="T2551" s="1539"/>
      <c r="U2551" s="1539"/>
      <c r="V2551" s="1539"/>
      <c r="W2551" s="1539"/>
      <c r="X2551" s="1539"/>
      <c r="Y2551" s="1539"/>
      <c r="Z2551" s="1539"/>
      <c r="AA2551" s="1539"/>
      <c r="AB2551" s="1539"/>
      <c r="AC2551" s="1539"/>
      <c r="AD2551" s="1539"/>
      <c r="AE2551" s="1539"/>
      <c r="AF2551" s="1539"/>
      <c r="AG2551" s="1539"/>
      <c r="AH2551" s="1539"/>
      <c r="AI2551" s="1539"/>
      <c r="AJ2551" s="1539"/>
      <c r="AK2551" s="1539"/>
      <c r="AL2551" s="1539"/>
      <c r="AM2551" s="1539"/>
      <c r="AN2551" s="1539"/>
      <c r="AO2551" s="1539"/>
      <c r="AP2551" s="1539"/>
      <c r="AQ2551" s="1539"/>
      <c r="AR2551" s="1539"/>
      <c r="AS2551" s="1539"/>
      <c r="AT2551" s="1539"/>
      <c r="AU2551" s="1539"/>
      <c r="AV2551" s="1539"/>
      <c r="AW2551" s="1539"/>
      <c r="AX2551" s="1539"/>
      <c r="AY2551" s="1539"/>
      <c r="AZ2551" s="1539"/>
      <c r="BA2551" s="1539"/>
      <c r="BB2551" s="1539"/>
      <c r="BC2551" s="1539"/>
      <c r="BD2551" s="1539"/>
      <c r="BE2551" s="1539"/>
      <c r="BF2551" s="1539"/>
      <c r="BG2551" s="1539"/>
      <c r="BH2551" s="1539"/>
      <c r="BI2551" s="1539"/>
      <c r="BJ2551" s="1539"/>
      <c r="BK2551" s="1539"/>
      <c r="BL2551" s="1539"/>
      <c r="BM2551" s="1539"/>
      <c r="BN2551" s="1539"/>
      <c r="BO2551" s="1539"/>
      <c r="BP2551" s="1539"/>
      <c r="BQ2551" s="1539"/>
      <c r="BR2551" s="1539"/>
      <c r="BS2551" s="1539"/>
      <c r="BT2551" s="1539"/>
      <c r="BU2551" s="1539"/>
      <c r="BV2551" s="1539"/>
      <c r="BW2551" s="1539"/>
      <c r="BX2551" s="1539"/>
      <c r="BY2551" s="1539"/>
      <c r="BZ2551" s="1539"/>
      <c r="CA2551" s="1539"/>
      <c r="CB2551" s="1539"/>
      <c r="CC2551" s="1539"/>
      <c r="CD2551" s="1539"/>
      <c r="CE2551" s="1539"/>
      <c r="CF2551" s="1539"/>
      <c r="CG2551" s="1539"/>
      <c r="CH2551" s="1539"/>
      <c r="CI2551" s="1539"/>
      <c r="CJ2551" s="1539"/>
      <c r="CK2551" s="1539"/>
      <c r="CL2551" s="1539"/>
      <c r="CM2551" s="1539"/>
      <c r="CN2551" s="1539"/>
      <c r="CO2551" s="1539"/>
    </row>
    <row r="2552" spans="1:93" s="1552" customFormat="1" ht="15.5">
      <c r="A2552" s="1598"/>
      <c r="B2552" s="1599" t="s">
        <v>1747</v>
      </c>
      <c r="C2552" s="1643" t="e">
        <f>+SUMIF(#REF!,Final!A2552,#REF!)</f>
        <v>#REF!</v>
      </c>
      <c r="D2552" s="1597" t="e">
        <f>+SUMIF(#REF!,Final!A2552,#REF!)</f>
        <v>#REF!</v>
      </c>
      <c r="E2552" s="1643" t="e">
        <f>SUMIF(#REF!,Final!A2552,#REF!)</f>
        <v>#REF!</v>
      </c>
      <c r="F2552" s="1644" t="e">
        <f>SUMIF(#REF!,Final!A2552,#REF!)</f>
        <v>#REF!</v>
      </c>
      <c r="G2552" s="1597" t="e">
        <f t="shared" si="260"/>
        <v>#REF!</v>
      </c>
      <c r="H2552" s="1644" t="e">
        <f t="shared" si="261"/>
        <v>#REF!</v>
      </c>
      <c r="I2552" s="1597" t="e">
        <f t="shared" si="262"/>
        <v>#REF!</v>
      </c>
      <c r="J2552" s="1644" t="e">
        <f t="shared" si="263"/>
        <v>#REF!</v>
      </c>
      <c r="K2552" s="1539"/>
      <c r="L2552" s="1539"/>
      <c r="M2552" s="1545"/>
      <c r="N2552" s="1545"/>
      <c r="O2552" s="1539"/>
      <c r="P2552" s="1539"/>
      <c r="Q2552" s="1539"/>
      <c r="R2552" s="1539"/>
      <c r="S2552" s="1539"/>
      <c r="T2552" s="1539"/>
      <c r="U2552" s="1539"/>
      <c r="V2552" s="1539"/>
      <c r="W2552" s="1539"/>
      <c r="X2552" s="1539"/>
      <c r="Y2552" s="1539"/>
      <c r="Z2552" s="1539"/>
      <c r="AA2552" s="1539"/>
      <c r="AB2552" s="1539"/>
      <c r="AC2552" s="1539"/>
      <c r="AD2552" s="1539"/>
      <c r="AE2552" s="1539"/>
      <c r="AF2552" s="1539"/>
      <c r="AG2552" s="1539"/>
      <c r="AH2552" s="1539"/>
      <c r="AI2552" s="1539"/>
      <c r="AJ2552" s="1539"/>
      <c r="AK2552" s="1539"/>
      <c r="AL2552" s="1539"/>
      <c r="AM2552" s="1539"/>
      <c r="AN2552" s="1539"/>
      <c r="AO2552" s="1539"/>
      <c r="AP2552" s="1539"/>
      <c r="AQ2552" s="1539"/>
      <c r="AR2552" s="1539"/>
      <c r="AS2552" s="1539"/>
      <c r="AT2552" s="1539"/>
      <c r="AU2552" s="1539"/>
      <c r="AV2552" s="1539"/>
      <c r="AW2552" s="1539"/>
      <c r="AX2552" s="1539"/>
      <c r="AY2552" s="1539"/>
      <c r="AZ2552" s="1539"/>
      <c r="BA2552" s="1539"/>
      <c r="BB2552" s="1539"/>
      <c r="BC2552" s="1539"/>
      <c r="BD2552" s="1539"/>
      <c r="BE2552" s="1539"/>
      <c r="BF2552" s="1539"/>
      <c r="BG2552" s="1539"/>
      <c r="BH2552" s="1539"/>
      <c r="BI2552" s="1539"/>
      <c r="BJ2552" s="1539"/>
      <c r="BK2552" s="1539"/>
      <c r="BL2552" s="1539"/>
      <c r="BM2552" s="1539"/>
      <c r="BN2552" s="1539"/>
      <c r="BO2552" s="1539"/>
      <c r="BP2552" s="1539"/>
      <c r="BQ2552" s="1539"/>
      <c r="BR2552" s="1539"/>
      <c r="BS2552" s="1539"/>
      <c r="BT2552" s="1539"/>
      <c r="BU2552" s="1539"/>
      <c r="BV2552" s="1539"/>
      <c r="BW2552" s="1539"/>
      <c r="BX2552" s="1539"/>
      <c r="BY2552" s="1539"/>
      <c r="BZ2552" s="1539"/>
      <c r="CA2552" s="1539"/>
      <c r="CB2552" s="1539"/>
      <c r="CC2552" s="1539"/>
      <c r="CD2552" s="1539"/>
      <c r="CE2552" s="1539"/>
      <c r="CF2552" s="1539"/>
      <c r="CG2552" s="1539"/>
      <c r="CH2552" s="1539"/>
      <c r="CI2552" s="1539"/>
      <c r="CJ2552" s="1539"/>
      <c r="CK2552" s="1539"/>
      <c r="CL2552" s="1539"/>
      <c r="CM2552" s="1539"/>
      <c r="CN2552" s="1539"/>
      <c r="CO2552" s="1539"/>
    </row>
    <row r="2553" spans="1:93" s="1552" customFormat="1" ht="15.5">
      <c r="A2553" s="1598"/>
      <c r="B2553" s="1599" t="s">
        <v>1760</v>
      </c>
      <c r="C2553" s="1643" t="e">
        <f>+SUMIF(#REF!,Final!A2553,#REF!)</f>
        <v>#REF!</v>
      </c>
      <c r="D2553" s="1597" t="e">
        <f>+SUMIF(#REF!,Final!A2553,#REF!)</f>
        <v>#REF!</v>
      </c>
      <c r="E2553" s="1643" t="e">
        <f>SUMIF(#REF!,Final!A2553,#REF!)</f>
        <v>#REF!</v>
      </c>
      <c r="F2553" s="1644" t="e">
        <f>SUMIF(#REF!,Final!A2553,#REF!)</f>
        <v>#REF!</v>
      </c>
      <c r="G2553" s="1597" t="e">
        <f t="shared" si="260"/>
        <v>#REF!</v>
      </c>
      <c r="H2553" s="1644" t="e">
        <f t="shared" si="261"/>
        <v>#REF!</v>
      </c>
      <c r="I2553" s="1597" t="e">
        <f t="shared" si="262"/>
        <v>#REF!</v>
      </c>
      <c r="J2553" s="1644" t="e">
        <f t="shared" si="263"/>
        <v>#REF!</v>
      </c>
      <c r="K2553" s="1539"/>
      <c r="L2553" s="1539"/>
      <c r="M2553" s="1545"/>
      <c r="N2553" s="1545"/>
      <c r="O2553" s="1539"/>
      <c r="P2553" s="1539"/>
      <c r="Q2553" s="1539"/>
      <c r="R2553" s="1539"/>
      <c r="S2553" s="1539"/>
      <c r="T2553" s="1539"/>
      <c r="U2553" s="1539"/>
      <c r="V2553" s="1539"/>
      <c r="W2553" s="1539"/>
      <c r="X2553" s="1539"/>
      <c r="Y2553" s="1539"/>
      <c r="Z2553" s="1539"/>
      <c r="AA2553" s="1539"/>
      <c r="AB2553" s="1539"/>
      <c r="AC2553" s="1539"/>
      <c r="AD2553" s="1539"/>
      <c r="AE2553" s="1539"/>
      <c r="AF2553" s="1539"/>
      <c r="AG2553" s="1539"/>
      <c r="AH2553" s="1539"/>
      <c r="AI2553" s="1539"/>
      <c r="AJ2553" s="1539"/>
      <c r="AK2553" s="1539"/>
      <c r="AL2553" s="1539"/>
      <c r="AM2553" s="1539"/>
      <c r="AN2553" s="1539"/>
      <c r="AO2553" s="1539"/>
      <c r="AP2553" s="1539"/>
      <c r="AQ2553" s="1539"/>
      <c r="AR2553" s="1539"/>
      <c r="AS2553" s="1539"/>
      <c r="AT2553" s="1539"/>
      <c r="AU2553" s="1539"/>
      <c r="AV2553" s="1539"/>
      <c r="AW2553" s="1539"/>
      <c r="AX2553" s="1539"/>
      <c r="AY2553" s="1539"/>
      <c r="AZ2553" s="1539"/>
      <c r="BA2553" s="1539"/>
      <c r="BB2553" s="1539"/>
      <c r="BC2553" s="1539"/>
      <c r="BD2553" s="1539"/>
      <c r="BE2553" s="1539"/>
      <c r="BF2553" s="1539"/>
      <c r="BG2553" s="1539"/>
      <c r="BH2553" s="1539"/>
      <c r="BI2553" s="1539"/>
      <c r="BJ2553" s="1539"/>
      <c r="BK2553" s="1539"/>
      <c r="BL2553" s="1539"/>
      <c r="BM2553" s="1539"/>
      <c r="BN2553" s="1539"/>
      <c r="BO2553" s="1539"/>
      <c r="BP2553" s="1539"/>
      <c r="BQ2553" s="1539"/>
      <c r="BR2553" s="1539"/>
      <c r="BS2553" s="1539"/>
      <c r="BT2553" s="1539"/>
      <c r="BU2553" s="1539"/>
      <c r="BV2553" s="1539"/>
      <c r="BW2553" s="1539"/>
      <c r="BX2553" s="1539"/>
      <c r="BY2553" s="1539"/>
      <c r="BZ2553" s="1539"/>
      <c r="CA2553" s="1539"/>
      <c r="CB2553" s="1539"/>
      <c r="CC2553" s="1539"/>
      <c r="CD2553" s="1539"/>
      <c r="CE2553" s="1539"/>
      <c r="CF2553" s="1539"/>
      <c r="CG2553" s="1539"/>
      <c r="CH2553" s="1539"/>
      <c r="CI2553" s="1539"/>
      <c r="CJ2553" s="1539"/>
      <c r="CK2553" s="1539"/>
      <c r="CL2553" s="1539"/>
      <c r="CM2553" s="1539"/>
      <c r="CN2553" s="1539"/>
      <c r="CO2553" s="1539"/>
    </row>
    <row r="2554" spans="1:93" s="1542" customFormat="1" ht="15.5">
      <c r="A2554" s="1598" t="s">
        <v>1410</v>
      </c>
      <c r="B2554" s="1599" t="s">
        <v>2964</v>
      </c>
      <c r="C2554" s="1643" t="e">
        <f>+SUMIF(#REF!,Final!A2554,#REF!)</f>
        <v>#REF!</v>
      </c>
      <c r="D2554" s="1597" t="e">
        <f>+SUMIF(#REF!,Final!A2554,#REF!)</f>
        <v>#REF!</v>
      </c>
      <c r="E2554" s="1643" t="e">
        <f>SUMIF(#REF!,Final!A2554,#REF!)</f>
        <v>#REF!</v>
      </c>
      <c r="F2554" s="1644" t="e">
        <f>SUMIF(#REF!,Final!A2554,#REF!)</f>
        <v>#REF!</v>
      </c>
      <c r="G2554" s="1597" t="e">
        <f t="shared" si="260"/>
        <v>#REF!</v>
      </c>
      <c r="H2554" s="1644" t="e">
        <f t="shared" si="261"/>
        <v>#REF!</v>
      </c>
      <c r="I2554" s="1597" t="e">
        <f t="shared" si="262"/>
        <v>#REF!</v>
      </c>
      <c r="J2554" s="1644" t="e">
        <f t="shared" si="263"/>
        <v>#REF!</v>
      </c>
      <c r="K2554" s="1539"/>
      <c r="L2554" s="1539"/>
      <c r="M2554" s="1545"/>
      <c r="N2554" s="1545"/>
      <c r="O2554" s="1539"/>
      <c r="P2554" s="1539"/>
      <c r="Q2554" s="1539"/>
      <c r="R2554" s="1539"/>
      <c r="S2554" s="1539"/>
      <c r="T2554" s="1539"/>
      <c r="U2554" s="1539"/>
      <c r="V2554" s="1539"/>
      <c r="W2554" s="1539"/>
      <c r="X2554" s="1539"/>
      <c r="Y2554" s="1539"/>
      <c r="Z2554" s="1539"/>
      <c r="AA2554" s="1539"/>
      <c r="AB2554" s="1539"/>
      <c r="AC2554" s="1539"/>
      <c r="AD2554" s="1539"/>
      <c r="AE2554" s="1539"/>
      <c r="AF2554" s="1539"/>
      <c r="AG2554" s="1539"/>
      <c r="AH2554" s="1539"/>
      <c r="AI2554" s="1539"/>
      <c r="AJ2554" s="1539"/>
      <c r="AK2554" s="1539"/>
      <c r="AL2554" s="1539"/>
      <c r="AM2554" s="1539"/>
      <c r="AN2554" s="1539"/>
      <c r="AO2554" s="1539"/>
      <c r="AP2554" s="1539"/>
      <c r="AQ2554" s="1539"/>
      <c r="AR2554" s="1539"/>
      <c r="AS2554" s="1539"/>
      <c r="AT2554" s="1539"/>
      <c r="AU2554" s="1539"/>
      <c r="AV2554" s="1539"/>
      <c r="AW2554" s="1539"/>
      <c r="AX2554" s="1539"/>
      <c r="AY2554" s="1539"/>
      <c r="AZ2554" s="1539"/>
      <c r="BA2554" s="1539"/>
      <c r="BB2554" s="1539"/>
      <c r="BC2554" s="1539"/>
      <c r="BD2554" s="1539"/>
      <c r="BE2554" s="1539"/>
      <c r="BF2554" s="1539"/>
      <c r="BG2554" s="1539"/>
      <c r="BH2554" s="1539"/>
      <c r="BI2554" s="1539"/>
      <c r="BJ2554" s="1539"/>
      <c r="BK2554" s="1539"/>
      <c r="BL2554" s="1539"/>
      <c r="BM2554" s="1539"/>
      <c r="BN2554" s="1539"/>
      <c r="BO2554" s="1539"/>
      <c r="BP2554" s="1539"/>
      <c r="BQ2554" s="1539"/>
      <c r="BR2554" s="1539"/>
      <c r="BS2554" s="1539"/>
      <c r="BT2554" s="1539"/>
      <c r="BU2554" s="1539"/>
      <c r="BV2554" s="1539"/>
      <c r="BW2554" s="1539"/>
      <c r="BX2554" s="1539"/>
      <c r="BY2554" s="1539"/>
      <c r="BZ2554" s="1539"/>
      <c r="CA2554" s="1539"/>
      <c r="CB2554" s="1539"/>
      <c r="CC2554" s="1539"/>
      <c r="CD2554" s="1539"/>
      <c r="CE2554" s="1539"/>
      <c r="CF2554" s="1539"/>
      <c r="CG2554" s="1539"/>
      <c r="CH2554" s="1539"/>
      <c r="CI2554" s="1539"/>
      <c r="CJ2554" s="1539"/>
      <c r="CK2554" s="1539"/>
      <c r="CL2554" s="1539"/>
      <c r="CM2554" s="1539"/>
      <c r="CN2554" s="1539"/>
      <c r="CO2554" s="1539"/>
    </row>
    <row r="2555" spans="1:93" ht="15.5">
      <c r="A2555" s="1598">
        <v>61.311</v>
      </c>
      <c r="B2555" s="1599" t="s">
        <v>2965</v>
      </c>
      <c r="C2555" s="1643" t="e">
        <f>+SUMIF(#REF!,Final!A2555,#REF!)</f>
        <v>#REF!</v>
      </c>
      <c r="D2555" s="1597" t="e">
        <f>+SUMIF(#REF!,Final!A2555,#REF!)</f>
        <v>#REF!</v>
      </c>
      <c r="E2555" s="1643" t="e">
        <f>SUMIF(#REF!,Final!A2555,#REF!)</f>
        <v>#REF!</v>
      </c>
      <c r="F2555" s="1644" t="e">
        <f>SUMIF(#REF!,Final!A2555,#REF!)</f>
        <v>#REF!</v>
      </c>
      <c r="G2555" s="1597" t="e">
        <f t="shared" si="260"/>
        <v>#REF!</v>
      </c>
      <c r="H2555" s="1644" t="e">
        <f t="shared" si="261"/>
        <v>#REF!</v>
      </c>
      <c r="I2555" s="1597" t="e">
        <f t="shared" si="262"/>
        <v>#REF!</v>
      </c>
      <c r="J2555" s="1644" t="e">
        <f t="shared" si="263"/>
        <v>#REF!</v>
      </c>
      <c r="M2555" s="1545"/>
      <c r="N2555" s="1545"/>
    </row>
    <row r="2556" spans="1:93" s="1542" customFormat="1" ht="15.5">
      <c r="A2556" s="1598">
        <v>61.311999999999998</v>
      </c>
      <c r="B2556" s="1599" t="s">
        <v>2966</v>
      </c>
      <c r="C2556" s="1643" t="e">
        <f>+SUMIF(#REF!,Final!A2556,#REF!)</f>
        <v>#REF!</v>
      </c>
      <c r="D2556" s="1597" t="e">
        <f>+SUMIF(#REF!,Final!A2556,#REF!)</f>
        <v>#REF!</v>
      </c>
      <c r="E2556" s="1643" t="e">
        <f>SUMIF(#REF!,Final!A2556,#REF!)</f>
        <v>#REF!</v>
      </c>
      <c r="F2556" s="1644" t="e">
        <f>SUMIF(#REF!,Final!A2556,#REF!)</f>
        <v>#REF!</v>
      </c>
      <c r="G2556" s="1597" t="e">
        <f t="shared" si="260"/>
        <v>#REF!</v>
      </c>
      <c r="H2556" s="1644" t="e">
        <f t="shared" si="261"/>
        <v>#REF!</v>
      </c>
      <c r="I2556" s="1597" t="e">
        <f t="shared" si="262"/>
        <v>#REF!</v>
      </c>
      <c r="J2556" s="1644" t="e">
        <f t="shared" si="263"/>
        <v>#REF!</v>
      </c>
      <c r="K2556" s="1539"/>
      <c r="L2556" s="1539"/>
      <c r="M2556" s="1545"/>
      <c r="N2556" s="1545"/>
      <c r="O2556" s="1539"/>
      <c r="P2556" s="1539"/>
      <c r="Q2556" s="1539"/>
      <c r="R2556" s="1539"/>
      <c r="S2556" s="1539"/>
      <c r="T2556" s="1539"/>
      <c r="U2556" s="1539"/>
      <c r="V2556" s="1539"/>
      <c r="W2556" s="1539"/>
      <c r="X2556" s="1539"/>
      <c r="Y2556" s="1539"/>
      <c r="Z2556" s="1539"/>
      <c r="AA2556" s="1539"/>
      <c r="AB2556" s="1539"/>
      <c r="AC2556" s="1539"/>
      <c r="AD2556" s="1539"/>
      <c r="AE2556" s="1539"/>
      <c r="AF2556" s="1539"/>
      <c r="AG2556" s="1539"/>
      <c r="AH2556" s="1539"/>
      <c r="AI2556" s="1539"/>
      <c r="AJ2556" s="1539"/>
      <c r="AK2556" s="1539"/>
      <c r="AL2556" s="1539"/>
      <c r="AM2556" s="1539"/>
      <c r="AN2556" s="1539"/>
      <c r="AO2556" s="1539"/>
      <c r="AP2556" s="1539"/>
      <c r="AQ2556" s="1539"/>
      <c r="AR2556" s="1539"/>
      <c r="AS2556" s="1539"/>
      <c r="AT2556" s="1539"/>
      <c r="AU2556" s="1539"/>
      <c r="AV2556" s="1539"/>
      <c r="AW2556" s="1539"/>
      <c r="AX2556" s="1539"/>
      <c r="AY2556" s="1539"/>
      <c r="AZ2556" s="1539"/>
      <c r="BA2556" s="1539"/>
      <c r="BB2556" s="1539"/>
      <c r="BC2556" s="1539"/>
      <c r="BD2556" s="1539"/>
      <c r="BE2556" s="1539"/>
      <c r="BF2556" s="1539"/>
      <c r="BG2556" s="1539"/>
      <c r="BH2556" s="1539"/>
      <c r="BI2556" s="1539"/>
      <c r="BJ2556" s="1539"/>
      <c r="BK2556" s="1539"/>
      <c r="BL2556" s="1539"/>
      <c r="BM2556" s="1539"/>
      <c r="BN2556" s="1539"/>
      <c r="BO2556" s="1539"/>
      <c r="BP2556" s="1539"/>
      <c r="BQ2556" s="1539"/>
      <c r="BR2556" s="1539"/>
      <c r="BS2556" s="1539"/>
      <c r="BT2556" s="1539"/>
      <c r="BU2556" s="1539"/>
      <c r="BV2556" s="1539"/>
      <c r="BW2556" s="1539"/>
      <c r="BX2556" s="1539"/>
      <c r="BY2556" s="1539"/>
      <c r="BZ2556" s="1539"/>
      <c r="CA2556" s="1539"/>
      <c r="CB2556" s="1539"/>
      <c r="CC2556" s="1539"/>
      <c r="CD2556" s="1539"/>
      <c r="CE2556" s="1539"/>
      <c r="CF2556" s="1539"/>
      <c r="CG2556" s="1539"/>
      <c r="CH2556" s="1539"/>
      <c r="CI2556" s="1539"/>
      <c r="CJ2556" s="1539"/>
      <c r="CK2556" s="1539"/>
      <c r="CL2556" s="1539"/>
      <c r="CM2556" s="1539"/>
      <c r="CN2556" s="1539"/>
      <c r="CO2556" s="1539"/>
    </row>
    <row r="2557" spans="1:93" ht="15.5">
      <c r="A2557" s="1598">
        <v>61.313000000000002</v>
      </c>
      <c r="B2557" s="1599" t="s">
        <v>2967</v>
      </c>
      <c r="C2557" s="1643" t="e">
        <f>+SUMIF(#REF!,Final!A2557,#REF!)</f>
        <v>#REF!</v>
      </c>
      <c r="D2557" s="1597" t="e">
        <f>+SUMIF(#REF!,Final!A2557,#REF!)</f>
        <v>#REF!</v>
      </c>
      <c r="E2557" s="1643" t="e">
        <f>SUMIF(#REF!,Final!A2557,#REF!)</f>
        <v>#REF!</v>
      </c>
      <c r="F2557" s="1644" t="e">
        <f>SUMIF(#REF!,Final!A2557,#REF!)</f>
        <v>#REF!</v>
      </c>
      <c r="G2557" s="1597" t="e">
        <f t="shared" si="260"/>
        <v>#REF!</v>
      </c>
      <c r="H2557" s="1644" t="e">
        <f t="shared" si="261"/>
        <v>#REF!</v>
      </c>
      <c r="I2557" s="1597" t="e">
        <f t="shared" si="262"/>
        <v>#REF!</v>
      </c>
      <c r="J2557" s="1644" t="e">
        <f t="shared" si="263"/>
        <v>#REF!</v>
      </c>
      <c r="M2557" s="1545"/>
      <c r="N2557" s="1545"/>
    </row>
    <row r="2558" spans="1:93" s="1542" customFormat="1" ht="15.5">
      <c r="A2558" s="1598">
        <v>61.314</v>
      </c>
      <c r="B2558" s="1599" t="s">
        <v>2968</v>
      </c>
      <c r="C2558" s="1643" t="e">
        <f>+SUMIF(#REF!,Final!A2558,#REF!)</f>
        <v>#REF!</v>
      </c>
      <c r="D2558" s="1597" t="e">
        <f>+SUMIF(#REF!,Final!A2558,#REF!)</f>
        <v>#REF!</v>
      </c>
      <c r="E2558" s="1643" t="e">
        <f>SUMIF(#REF!,Final!A2558,#REF!)</f>
        <v>#REF!</v>
      </c>
      <c r="F2558" s="1644" t="e">
        <f>SUMIF(#REF!,Final!A2558,#REF!)</f>
        <v>#REF!</v>
      </c>
      <c r="G2558" s="1597" t="e">
        <f t="shared" si="260"/>
        <v>#REF!</v>
      </c>
      <c r="H2558" s="1644" t="e">
        <f t="shared" si="261"/>
        <v>#REF!</v>
      </c>
      <c r="I2558" s="1597" t="e">
        <f t="shared" si="262"/>
        <v>#REF!</v>
      </c>
      <c r="J2558" s="1644" t="e">
        <f t="shared" si="263"/>
        <v>#REF!</v>
      </c>
      <c r="K2558" s="1539"/>
      <c r="L2558" s="1539"/>
      <c r="M2558" s="1545"/>
      <c r="N2558" s="1545"/>
      <c r="O2558" s="1539"/>
      <c r="P2558" s="1539"/>
      <c r="Q2558" s="1539"/>
      <c r="R2558" s="1539"/>
      <c r="S2558" s="1539"/>
      <c r="T2558" s="1539"/>
      <c r="U2558" s="1539"/>
      <c r="V2558" s="1539"/>
      <c r="W2558" s="1539"/>
      <c r="X2558" s="1539"/>
      <c r="Y2558" s="1539"/>
      <c r="Z2558" s="1539"/>
      <c r="AA2558" s="1539"/>
      <c r="AB2558" s="1539"/>
      <c r="AC2558" s="1539"/>
      <c r="AD2558" s="1539"/>
      <c r="AE2558" s="1539"/>
      <c r="AF2558" s="1539"/>
      <c r="AG2558" s="1539"/>
      <c r="AH2558" s="1539"/>
      <c r="AI2558" s="1539"/>
      <c r="AJ2558" s="1539"/>
      <c r="AK2558" s="1539"/>
      <c r="AL2558" s="1539"/>
      <c r="AM2558" s="1539"/>
      <c r="AN2558" s="1539"/>
      <c r="AO2558" s="1539"/>
      <c r="AP2558" s="1539"/>
      <c r="AQ2558" s="1539"/>
      <c r="AR2558" s="1539"/>
      <c r="AS2558" s="1539"/>
      <c r="AT2558" s="1539"/>
      <c r="AU2558" s="1539"/>
      <c r="AV2558" s="1539"/>
      <c r="AW2558" s="1539"/>
      <c r="AX2558" s="1539"/>
      <c r="AY2558" s="1539"/>
      <c r="AZ2558" s="1539"/>
      <c r="BA2558" s="1539"/>
      <c r="BB2558" s="1539"/>
      <c r="BC2558" s="1539"/>
      <c r="BD2558" s="1539"/>
      <c r="BE2558" s="1539"/>
      <c r="BF2558" s="1539"/>
      <c r="BG2558" s="1539"/>
      <c r="BH2558" s="1539"/>
      <c r="BI2558" s="1539"/>
      <c r="BJ2558" s="1539"/>
      <c r="BK2558" s="1539"/>
      <c r="BL2558" s="1539"/>
      <c r="BM2558" s="1539"/>
      <c r="BN2558" s="1539"/>
      <c r="BO2558" s="1539"/>
      <c r="BP2558" s="1539"/>
      <c r="BQ2558" s="1539"/>
      <c r="BR2558" s="1539"/>
      <c r="BS2558" s="1539"/>
      <c r="BT2558" s="1539"/>
      <c r="BU2558" s="1539"/>
      <c r="BV2558" s="1539"/>
      <c r="BW2558" s="1539"/>
      <c r="BX2558" s="1539"/>
      <c r="BY2558" s="1539"/>
      <c r="BZ2558" s="1539"/>
      <c r="CA2558" s="1539"/>
      <c r="CB2558" s="1539"/>
      <c r="CC2558" s="1539"/>
      <c r="CD2558" s="1539"/>
      <c r="CE2558" s="1539"/>
      <c r="CF2558" s="1539"/>
      <c r="CG2558" s="1539"/>
      <c r="CH2558" s="1539"/>
      <c r="CI2558" s="1539"/>
      <c r="CJ2558" s="1539"/>
      <c r="CK2558" s="1539"/>
      <c r="CL2558" s="1539"/>
      <c r="CM2558" s="1539"/>
      <c r="CN2558" s="1539"/>
      <c r="CO2558" s="1539"/>
    </row>
    <row r="2559" spans="1:93" ht="15.5">
      <c r="A2559" s="1598">
        <v>61.314999999999998</v>
      </c>
      <c r="B2559" s="1599" t="s">
        <v>2969</v>
      </c>
      <c r="C2559" s="1643" t="e">
        <f>+SUMIF(#REF!,Final!A2559,#REF!)</f>
        <v>#REF!</v>
      </c>
      <c r="D2559" s="1597" t="e">
        <f>+SUMIF(#REF!,Final!A2559,#REF!)</f>
        <v>#REF!</v>
      </c>
      <c r="E2559" s="1643" t="e">
        <f>SUMIF(#REF!,Final!A2559,#REF!)</f>
        <v>#REF!</v>
      </c>
      <c r="F2559" s="1644" t="e">
        <f>SUMIF(#REF!,Final!A2559,#REF!)</f>
        <v>#REF!</v>
      </c>
      <c r="G2559" s="1597" t="e">
        <f t="shared" si="260"/>
        <v>#REF!</v>
      </c>
      <c r="H2559" s="1644" t="e">
        <f t="shared" si="261"/>
        <v>#REF!</v>
      </c>
      <c r="I2559" s="1597" t="e">
        <f t="shared" si="262"/>
        <v>#REF!</v>
      </c>
      <c r="J2559" s="1644" t="e">
        <f t="shared" si="263"/>
        <v>#REF!</v>
      </c>
      <c r="M2559" s="1545"/>
      <c r="N2559" s="1545"/>
    </row>
    <row r="2560" spans="1:93" s="1552" customFormat="1" ht="15.5">
      <c r="A2560" s="1598"/>
      <c r="B2560" s="1599" t="s">
        <v>1747</v>
      </c>
      <c r="C2560" s="1643" t="e">
        <f>+SUMIF(#REF!,Final!A2560,#REF!)</f>
        <v>#REF!</v>
      </c>
      <c r="D2560" s="1597" t="e">
        <f>+SUMIF(#REF!,Final!A2560,#REF!)</f>
        <v>#REF!</v>
      </c>
      <c r="E2560" s="1643" t="e">
        <f>SUMIF(#REF!,Final!A2560,#REF!)</f>
        <v>#REF!</v>
      </c>
      <c r="F2560" s="1644" t="e">
        <f>SUMIF(#REF!,Final!A2560,#REF!)</f>
        <v>#REF!</v>
      </c>
      <c r="G2560" s="1597" t="e">
        <f t="shared" si="260"/>
        <v>#REF!</v>
      </c>
      <c r="H2560" s="1644" t="e">
        <f t="shared" si="261"/>
        <v>#REF!</v>
      </c>
      <c r="I2560" s="1597" t="e">
        <f t="shared" si="262"/>
        <v>#REF!</v>
      </c>
      <c r="J2560" s="1644" t="e">
        <f t="shared" si="263"/>
        <v>#REF!</v>
      </c>
      <c r="K2560" s="1539"/>
      <c r="L2560" s="1539"/>
      <c r="M2560" s="1545"/>
      <c r="N2560" s="1545"/>
      <c r="O2560" s="1539"/>
      <c r="P2560" s="1539"/>
      <c r="Q2560" s="1539"/>
      <c r="R2560" s="1539"/>
      <c r="S2560" s="1539"/>
      <c r="T2560" s="1539"/>
      <c r="U2560" s="1539"/>
      <c r="V2560" s="1539"/>
      <c r="W2560" s="1539"/>
      <c r="X2560" s="1539"/>
      <c r="Y2560" s="1539"/>
      <c r="Z2560" s="1539"/>
      <c r="AA2560" s="1539"/>
      <c r="AB2560" s="1539"/>
      <c r="AC2560" s="1539"/>
      <c r="AD2560" s="1539"/>
      <c r="AE2560" s="1539"/>
      <c r="AF2560" s="1539"/>
      <c r="AG2560" s="1539"/>
      <c r="AH2560" s="1539"/>
      <c r="AI2560" s="1539"/>
      <c r="AJ2560" s="1539"/>
      <c r="AK2560" s="1539"/>
      <c r="AL2560" s="1539"/>
      <c r="AM2560" s="1539"/>
      <c r="AN2560" s="1539"/>
      <c r="AO2560" s="1539"/>
      <c r="AP2560" s="1539"/>
      <c r="AQ2560" s="1539"/>
      <c r="AR2560" s="1539"/>
      <c r="AS2560" s="1539"/>
      <c r="AT2560" s="1539"/>
      <c r="AU2560" s="1539"/>
      <c r="AV2560" s="1539"/>
      <c r="AW2560" s="1539"/>
      <c r="AX2560" s="1539"/>
      <c r="AY2560" s="1539"/>
      <c r="AZ2560" s="1539"/>
      <c r="BA2560" s="1539"/>
      <c r="BB2560" s="1539"/>
      <c r="BC2560" s="1539"/>
      <c r="BD2560" s="1539"/>
      <c r="BE2560" s="1539"/>
      <c r="BF2560" s="1539"/>
      <c r="BG2560" s="1539"/>
      <c r="BH2560" s="1539"/>
      <c r="BI2560" s="1539"/>
      <c r="BJ2560" s="1539"/>
      <c r="BK2560" s="1539"/>
      <c r="BL2560" s="1539"/>
      <c r="BM2560" s="1539"/>
      <c r="BN2560" s="1539"/>
      <c r="BO2560" s="1539"/>
      <c r="BP2560" s="1539"/>
      <c r="BQ2560" s="1539"/>
      <c r="BR2560" s="1539"/>
      <c r="BS2560" s="1539"/>
      <c r="BT2560" s="1539"/>
      <c r="BU2560" s="1539"/>
      <c r="BV2560" s="1539"/>
      <c r="BW2560" s="1539"/>
      <c r="BX2560" s="1539"/>
      <c r="BY2560" s="1539"/>
      <c r="BZ2560" s="1539"/>
      <c r="CA2560" s="1539"/>
      <c r="CB2560" s="1539"/>
      <c r="CC2560" s="1539"/>
      <c r="CD2560" s="1539"/>
      <c r="CE2560" s="1539"/>
      <c r="CF2560" s="1539"/>
      <c r="CG2560" s="1539"/>
      <c r="CH2560" s="1539"/>
      <c r="CI2560" s="1539"/>
      <c r="CJ2560" s="1539"/>
      <c r="CK2560" s="1539"/>
      <c r="CL2560" s="1539"/>
      <c r="CM2560" s="1539"/>
      <c r="CN2560" s="1539"/>
      <c r="CO2560" s="1539"/>
    </row>
    <row r="2561" spans="1:93" s="1552" customFormat="1" ht="15.5">
      <c r="A2561" s="1598"/>
      <c r="B2561" s="1599" t="s">
        <v>1760</v>
      </c>
      <c r="C2561" s="1643" t="e">
        <f>+SUMIF(#REF!,Final!A2561,#REF!)</f>
        <v>#REF!</v>
      </c>
      <c r="D2561" s="1597" t="e">
        <f>+SUMIF(#REF!,Final!A2561,#REF!)</f>
        <v>#REF!</v>
      </c>
      <c r="E2561" s="1643" t="e">
        <f>SUMIF(#REF!,Final!A2561,#REF!)</f>
        <v>#REF!</v>
      </c>
      <c r="F2561" s="1644" t="e">
        <f>SUMIF(#REF!,Final!A2561,#REF!)</f>
        <v>#REF!</v>
      </c>
      <c r="G2561" s="1597" t="e">
        <f t="shared" si="260"/>
        <v>#REF!</v>
      </c>
      <c r="H2561" s="1644" t="e">
        <f t="shared" si="261"/>
        <v>#REF!</v>
      </c>
      <c r="I2561" s="1597" t="e">
        <f t="shared" si="262"/>
        <v>#REF!</v>
      </c>
      <c r="J2561" s="1644" t="e">
        <f t="shared" si="263"/>
        <v>#REF!</v>
      </c>
      <c r="K2561" s="1539"/>
      <c r="L2561" s="1539"/>
      <c r="M2561" s="1545"/>
      <c r="N2561" s="1545"/>
      <c r="O2561" s="1539"/>
      <c r="P2561" s="1539"/>
      <c r="Q2561" s="1539"/>
      <c r="R2561" s="1539"/>
      <c r="S2561" s="1539"/>
      <c r="T2561" s="1539"/>
      <c r="U2561" s="1539"/>
      <c r="V2561" s="1539"/>
      <c r="W2561" s="1539"/>
      <c r="X2561" s="1539"/>
      <c r="Y2561" s="1539"/>
      <c r="Z2561" s="1539"/>
      <c r="AA2561" s="1539"/>
      <c r="AB2561" s="1539"/>
      <c r="AC2561" s="1539"/>
      <c r="AD2561" s="1539"/>
      <c r="AE2561" s="1539"/>
      <c r="AF2561" s="1539"/>
      <c r="AG2561" s="1539"/>
      <c r="AH2561" s="1539"/>
      <c r="AI2561" s="1539"/>
      <c r="AJ2561" s="1539"/>
      <c r="AK2561" s="1539"/>
      <c r="AL2561" s="1539"/>
      <c r="AM2561" s="1539"/>
      <c r="AN2561" s="1539"/>
      <c r="AO2561" s="1539"/>
      <c r="AP2561" s="1539"/>
      <c r="AQ2561" s="1539"/>
      <c r="AR2561" s="1539"/>
      <c r="AS2561" s="1539"/>
      <c r="AT2561" s="1539"/>
      <c r="AU2561" s="1539"/>
      <c r="AV2561" s="1539"/>
      <c r="AW2561" s="1539"/>
      <c r="AX2561" s="1539"/>
      <c r="AY2561" s="1539"/>
      <c r="AZ2561" s="1539"/>
      <c r="BA2561" s="1539"/>
      <c r="BB2561" s="1539"/>
      <c r="BC2561" s="1539"/>
      <c r="BD2561" s="1539"/>
      <c r="BE2561" s="1539"/>
      <c r="BF2561" s="1539"/>
      <c r="BG2561" s="1539"/>
      <c r="BH2561" s="1539"/>
      <c r="BI2561" s="1539"/>
      <c r="BJ2561" s="1539"/>
      <c r="BK2561" s="1539"/>
      <c r="BL2561" s="1539"/>
      <c r="BM2561" s="1539"/>
      <c r="BN2561" s="1539"/>
      <c r="BO2561" s="1539"/>
      <c r="BP2561" s="1539"/>
      <c r="BQ2561" s="1539"/>
      <c r="BR2561" s="1539"/>
      <c r="BS2561" s="1539"/>
      <c r="BT2561" s="1539"/>
      <c r="BU2561" s="1539"/>
      <c r="BV2561" s="1539"/>
      <c r="BW2561" s="1539"/>
      <c r="BX2561" s="1539"/>
      <c r="BY2561" s="1539"/>
      <c r="BZ2561" s="1539"/>
      <c r="CA2561" s="1539"/>
      <c r="CB2561" s="1539"/>
      <c r="CC2561" s="1539"/>
      <c r="CD2561" s="1539"/>
      <c r="CE2561" s="1539"/>
      <c r="CF2561" s="1539"/>
      <c r="CG2561" s="1539"/>
      <c r="CH2561" s="1539"/>
      <c r="CI2561" s="1539"/>
      <c r="CJ2561" s="1539"/>
      <c r="CK2561" s="1539"/>
      <c r="CL2561" s="1539"/>
      <c r="CM2561" s="1539"/>
      <c r="CN2561" s="1539"/>
      <c r="CO2561" s="1539"/>
    </row>
    <row r="2562" spans="1:93" s="1542" customFormat="1" ht="15.5">
      <c r="A2562" s="1598" t="s">
        <v>1411</v>
      </c>
      <c r="B2562" s="1599" t="s">
        <v>2741</v>
      </c>
      <c r="C2562" s="1643" t="e">
        <f>+SUMIF(#REF!,Final!A2562,#REF!)</f>
        <v>#REF!</v>
      </c>
      <c r="D2562" s="1597" t="e">
        <f>+SUMIF(#REF!,Final!A2562,#REF!)</f>
        <v>#REF!</v>
      </c>
      <c r="E2562" s="1643" t="e">
        <f>SUMIF(#REF!,Final!A2562,#REF!)</f>
        <v>#REF!</v>
      </c>
      <c r="F2562" s="1644" t="e">
        <f>SUMIF(#REF!,Final!A2562,#REF!)</f>
        <v>#REF!</v>
      </c>
      <c r="G2562" s="1597" t="e">
        <f t="shared" si="260"/>
        <v>#REF!</v>
      </c>
      <c r="H2562" s="1644" t="e">
        <f t="shared" si="261"/>
        <v>#REF!</v>
      </c>
      <c r="I2562" s="1597" t="e">
        <f t="shared" si="262"/>
        <v>#REF!</v>
      </c>
      <c r="J2562" s="1644" t="e">
        <f t="shared" si="263"/>
        <v>#REF!</v>
      </c>
      <c r="K2562" s="1539"/>
      <c r="L2562" s="1539"/>
      <c r="M2562" s="1545"/>
      <c r="N2562" s="1545"/>
      <c r="O2562" s="1539"/>
      <c r="P2562" s="1539"/>
      <c r="Q2562" s="1539"/>
      <c r="R2562" s="1539"/>
      <c r="S2562" s="1539"/>
      <c r="T2562" s="1539"/>
      <c r="U2562" s="1539"/>
      <c r="V2562" s="1539"/>
      <c r="W2562" s="1539"/>
      <c r="X2562" s="1539"/>
      <c r="Y2562" s="1539"/>
      <c r="Z2562" s="1539"/>
      <c r="AA2562" s="1539"/>
      <c r="AB2562" s="1539"/>
      <c r="AC2562" s="1539"/>
      <c r="AD2562" s="1539"/>
      <c r="AE2562" s="1539"/>
      <c r="AF2562" s="1539"/>
      <c r="AG2562" s="1539"/>
      <c r="AH2562" s="1539"/>
      <c r="AI2562" s="1539"/>
      <c r="AJ2562" s="1539"/>
      <c r="AK2562" s="1539"/>
      <c r="AL2562" s="1539"/>
      <c r="AM2562" s="1539"/>
      <c r="AN2562" s="1539"/>
      <c r="AO2562" s="1539"/>
      <c r="AP2562" s="1539"/>
      <c r="AQ2562" s="1539"/>
      <c r="AR2562" s="1539"/>
      <c r="AS2562" s="1539"/>
      <c r="AT2562" s="1539"/>
      <c r="AU2562" s="1539"/>
      <c r="AV2562" s="1539"/>
      <c r="AW2562" s="1539"/>
      <c r="AX2562" s="1539"/>
      <c r="AY2562" s="1539"/>
      <c r="AZ2562" s="1539"/>
      <c r="BA2562" s="1539"/>
      <c r="BB2562" s="1539"/>
      <c r="BC2562" s="1539"/>
      <c r="BD2562" s="1539"/>
      <c r="BE2562" s="1539"/>
      <c r="BF2562" s="1539"/>
      <c r="BG2562" s="1539"/>
      <c r="BH2562" s="1539"/>
      <c r="BI2562" s="1539"/>
      <c r="BJ2562" s="1539"/>
      <c r="BK2562" s="1539"/>
      <c r="BL2562" s="1539"/>
      <c r="BM2562" s="1539"/>
      <c r="BN2562" s="1539"/>
      <c r="BO2562" s="1539"/>
      <c r="BP2562" s="1539"/>
      <c r="BQ2562" s="1539"/>
      <c r="BR2562" s="1539"/>
      <c r="BS2562" s="1539"/>
      <c r="BT2562" s="1539"/>
      <c r="BU2562" s="1539"/>
      <c r="BV2562" s="1539"/>
      <c r="BW2562" s="1539"/>
      <c r="BX2562" s="1539"/>
      <c r="BY2562" s="1539"/>
      <c r="BZ2562" s="1539"/>
      <c r="CA2562" s="1539"/>
      <c r="CB2562" s="1539"/>
      <c r="CC2562" s="1539"/>
      <c r="CD2562" s="1539"/>
      <c r="CE2562" s="1539"/>
      <c r="CF2562" s="1539"/>
      <c r="CG2562" s="1539"/>
      <c r="CH2562" s="1539"/>
      <c r="CI2562" s="1539"/>
      <c r="CJ2562" s="1539"/>
      <c r="CK2562" s="1539"/>
      <c r="CL2562" s="1539"/>
      <c r="CM2562" s="1539"/>
      <c r="CN2562" s="1539"/>
      <c r="CO2562" s="1539"/>
    </row>
    <row r="2563" spans="1:93" s="1542" customFormat="1" ht="15.5">
      <c r="A2563" s="1598">
        <v>61.331000000000003</v>
      </c>
      <c r="B2563" s="1599" t="s">
        <v>2970</v>
      </c>
      <c r="C2563" s="1643" t="e">
        <f>+SUMIF(#REF!,Final!A2563,#REF!)</f>
        <v>#REF!</v>
      </c>
      <c r="D2563" s="1597" t="e">
        <f>+SUMIF(#REF!,Final!A2563,#REF!)</f>
        <v>#REF!</v>
      </c>
      <c r="E2563" s="1643" t="e">
        <f>SUMIF(#REF!,Final!A2563,#REF!)</f>
        <v>#REF!</v>
      </c>
      <c r="F2563" s="1644" t="e">
        <f>SUMIF(#REF!,Final!A2563,#REF!)</f>
        <v>#REF!</v>
      </c>
      <c r="G2563" s="1597" t="e">
        <f t="shared" si="260"/>
        <v>#REF!</v>
      </c>
      <c r="H2563" s="1644" t="e">
        <f t="shared" si="261"/>
        <v>#REF!</v>
      </c>
      <c r="I2563" s="1597" t="e">
        <f t="shared" si="262"/>
        <v>#REF!</v>
      </c>
      <c r="J2563" s="1644" t="e">
        <f t="shared" si="263"/>
        <v>#REF!</v>
      </c>
      <c r="K2563" s="1539"/>
      <c r="L2563" s="1539"/>
      <c r="M2563" s="1545"/>
      <c r="N2563" s="1545"/>
      <c r="O2563" s="1539"/>
      <c r="P2563" s="1539"/>
      <c r="Q2563" s="1539"/>
      <c r="R2563" s="1539"/>
      <c r="S2563" s="1539"/>
      <c r="T2563" s="1539"/>
      <c r="U2563" s="1539"/>
      <c r="V2563" s="1539"/>
      <c r="W2563" s="1539"/>
      <c r="X2563" s="1539"/>
      <c r="Y2563" s="1539"/>
      <c r="Z2563" s="1539"/>
      <c r="AA2563" s="1539"/>
      <c r="AB2563" s="1539"/>
      <c r="AC2563" s="1539"/>
      <c r="AD2563" s="1539"/>
      <c r="AE2563" s="1539"/>
      <c r="AF2563" s="1539"/>
      <c r="AG2563" s="1539"/>
      <c r="AH2563" s="1539"/>
      <c r="AI2563" s="1539"/>
      <c r="AJ2563" s="1539"/>
      <c r="AK2563" s="1539"/>
      <c r="AL2563" s="1539"/>
      <c r="AM2563" s="1539"/>
      <c r="AN2563" s="1539"/>
      <c r="AO2563" s="1539"/>
      <c r="AP2563" s="1539"/>
      <c r="AQ2563" s="1539"/>
      <c r="AR2563" s="1539"/>
      <c r="AS2563" s="1539"/>
      <c r="AT2563" s="1539"/>
      <c r="AU2563" s="1539"/>
      <c r="AV2563" s="1539"/>
      <c r="AW2563" s="1539"/>
      <c r="AX2563" s="1539"/>
      <c r="AY2563" s="1539"/>
      <c r="AZ2563" s="1539"/>
      <c r="BA2563" s="1539"/>
      <c r="BB2563" s="1539"/>
      <c r="BC2563" s="1539"/>
      <c r="BD2563" s="1539"/>
      <c r="BE2563" s="1539"/>
      <c r="BF2563" s="1539"/>
      <c r="BG2563" s="1539"/>
      <c r="BH2563" s="1539"/>
      <c r="BI2563" s="1539"/>
      <c r="BJ2563" s="1539"/>
      <c r="BK2563" s="1539"/>
      <c r="BL2563" s="1539"/>
      <c r="BM2563" s="1539"/>
      <c r="BN2563" s="1539"/>
      <c r="BO2563" s="1539"/>
      <c r="BP2563" s="1539"/>
      <c r="BQ2563" s="1539"/>
      <c r="BR2563" s="1539"/>
      <c r="BS2563" s="1539"/>
      <c r="BT2563" s="1539"/>
      <c r="BU2563" s="1539"/>
      <c r="BV2563" s="1539"/>
      <c r="BW2563" s="1539"/>
      <c r="BX2563" s="1539"/>
      <c r="BY2563" s="1539"/>
      <c r="BZ2563" s="1539"/>
      <c r="CA2563" s="1539"/>
      <c r="CB2563" s="1539"/>
      <c r="CC2563" s="1539"/>
      <c r="CD2563" s="1539"/>
      <c r="CE2563" s="1539"/>
      <c r="CF2563" s="1539"/>
      <c r="CG2563" s="1539"/>
      <c r="CH2563" s="1539"/>
      <c r="CI2563" s="1539"/>
      <c r="CJ2563" s="1539"/>
      <c r="CK2563" s="1539"/>
      <c r="CL2563" s="1539"/>
      <c r="CM2563" s="1539"/>
      <c r="CN2563" s="1539"/>
      <c r="CO2563" s="1539"/>
    </row>
    <row r="2564" spans="1:93" ht="15.5">
      <c r="A2564" s="1598">
        <v>61.332000000000001</v>
      </c>
      <c r="B2564" s="1599" t="s">
        <v>2971</v>
      </c>
      <c r="C2564" s="1643" t="e">
        <f>+SUMIF(#REF!,Final!A2564,#REF!)</f>
        <v>#REF!</v>
      </c>
      <c r="D2564" s="1597" t="e">
        <f>+SUMIF(#REF!,Final!A2564,#REF!)</f>
        <v>#REF!</v>
      </c>
      <c r="E2564" s="1643" t="e">
        <f>SUMIF(#REF!,Final!A2564,#REF!)</f>
        <v>#REF!</v>
      </c>
      <c r="F2564" s="1644" t="e">
        <f>SUMIF(#REF!,Final!A2564,#REF!)</f>
        <v>#REF!</v>
      </c>
      <c r="G2564" s="1597" t="e">
        <f t="shared" si="260"/>
        <v>#REF!</v>
      </c>
      <c r="H2564" s="1644" t="e">
        <f t="shared" si="261"/>
        <v>#REF!</v>
      </c>
      <c r="I2564" s="1597" t="e">
        <f t="shared" si="262"/>
        <v>#REF!</v>
      </c>
      <c r="J2564" s="1644" t="e">
        <f t="shared" si="263"/>
        <v>#REF!</v>
      </c>
      <c r="M2564" s="1545"/>
      <c r="N2564" s="1545"/>
    </row>
    <row r="2565" spans="1:93" s="1542" customFormat="1" ht="15.5">
      <c r="A2565" s="1598">
        <v>61.332999999999998</v>
      </c>
      <c r="B2565" s="1599" t="s">
        <v>2972</v>
      </c>
      <c r="C2565" s="1643" t="e">
        <f>+SUMIF(#REF!,Final!A2565,#REF!)</f>
        <v>#REF!</v>
      </c>
      <c r="D2565" s="1597" t="e">
        <f>+SUMIF(#REF!,Final!A2565,#REF!)</f>
        <v>#REF!</v>
      </c>
      <c r="E2565" s="1643" t="e">
        <f>SUMIF(#REF!,Final!A2565,#REF!)</f>
        <v>#REF!</v>
      </c>
      <c r="F2565" s="1644" t="e">
        <f>SUMIF(#REF!,Final!A2565,#REF!)</f>
        <v>#REF!</v>
      </c>
      <c r="G2565" s="1597" t="e">
        <f t="shared" si="260"/>
        <v>#REF!</v>
      </c>
      <c r="H2565" s="1644" t="e">
        <f t="shared" si="261"/>
        <v>#REF!</v>
      </c>
      <c r="I2565" s="1597" t="e">
        <f t="shared" si="262"/>
        <v>#REF!</v>
      </c>
      <c r="J2565" s="1644" t="e">
        <f t="shared" si="263"/>
        <v>#REF!</v>
      </c>
      <c r="K2565" s="1539"/>
      <c r="L2565" s="1539"/>
      <c r="M2565" s="1545"/>
      <c r="N2565" s="1545"/>
      <c r="O2565" s="1539"/>
      <c r="P2565" s="1539"/>
      <c r="Q2565" s="1539"/>
      <c r="R2565" s="1539"/>
      <c r="S2565" s="1539"/>
      <c r="T2565" s="1539"/>
      <c r="U2565" s="1539"/>
      <c r="V2565" s="1539"/>
      <c r="W2565" s="1539"/>
      <c r="X2565" s="1539"/>
      <c r="Y2565" s="1539"/>
      <c r="Z2565" s="1539"/>
      <c r="AA2565" s="1539"/>
      <c r="AB2565" s="1539"/>
      <c r="AC2565" s="1539"/>
      <c r="AD2565" s="1539"/>
      <c r="AE2565" s="1539"/>
      <c r="AF2565" s="1539"/>
      <c r="AG2565" s="1539"/>
      <c r="AH2565" s="1539"/>
      <c r="AI2565" s="1539"/>
      <c r="AJ2565" s="1539"/>
      <c r="AK2565" s="1539"/>
      <c r="AL2565" s="1539"/>
      <c r="AM2565" s="1539"/>
      <c r="AN2565" s="1539"/>
      <c r="AO2565" s="1539"/>
      <c r="AP2565" s="1539"/>
      <c r="AQ2565" s="1539"/>
      <c r="AR2565" s="1539"/>
      <c r="AS2565" s="1539"/>
      <c r="AT2565" s="1539"/>
      <c r="AU2565" s="1539"/>
      <c r="AV2565" s="1539"/>
      <c r="AW2565" s="1539"/>
      <c r="AX2565" s="1539"/>
      <c r="AY2565" s="1539"/>
      <c r="AZ2565" s="1539"/>
      <c r="BA2565" s="1539"/>
      <c r="BB2565" s="1539"/>
      <c r="BC2565" s="1539"/>
      <c r="BD2565" s="1539"/>
      <c r="BE2565" s="1539"/>
      <c r="BF2565" s="1539"/>
      <c r="BG2565" s="1539"/>
      <c r="BH2565" s="1539"/>
      <c r="BI2565" s="1539"/>
      <c r="BJ2565" s="1539"/>
      <c r="BK2565" s="1539"/>
      <c r="BL2565" s="1539"/>
      <c r="BM2565" s="1539"/>
      <c r="BN2565" s="1539"/>
      <c r="BO2565" s="1539"/>
      <c r="BP2565" s="1539"/>
      <c r="BQ2565" s="1539"/>
      <c r="BR2565" s="1539"/>
      <c r="BS2565" s="1539"/>
      <c r="BT2565" s="1539"/>
      <c r="BU2565" s="1539"/>
      <c r="BV2565" s="1539"/>
      <c r="BW2565" s="1539"/>
      <c r="BX2565" s="1539"/>
      <c r="BY2565" s="1539"/>
      <c r="BZ2565" s="1539"/>
      <c r="CA2565" s="1539"/>
      <c r="CB2565" s="1539"/>
      <c r="CC2565" s="1539"/>
      <c r="CD2565" s="1539"/>
      <c r="CE2565" s="1539"/>
      <c r="CF2565" s="1539"/>
      <c r="CG2565" s="1539"/>
      <c r="CH2565" s="1539"/>
      <c r="CI2565" s="1539"/>
      <c r="CJ2565" s="1539"/>
      <c r="CK2565" s="1539"/>
      <c r="CL2565" s="1539"/>
      <c r="CM2565" s="1539"/>
      <c r="CN2565" s="1539"/>
      <c r="CO2565" s="1539"/>
    </row>
    <row r="2566" spans="1:93" s="1542" customFormat="1" ht="15.5">
      <c r="A2566" s="1598">
        <v>61.335000000000001</v>
      </c>
      <c r="B2566" s="1599" t="s">
        <v>2973</v>
      </c>
      <c r="C2566" s="1643" t="e">
        <f>+SUMIF(#REF!,Final!A2566,#REF!)</f>
        <v>#REF!</v>
      </c>
      <c r="D2566" s="1597" t="e">
        <f>+SUMIF(#REF!,Final!A2566,#REF!)</f>
        <v>#REF!</v>
      </c>
      <c r="E2566" s="1643" t="e">
        <f>SUMIF(#REF!,Final!A2566,#REF!)</f>
        <v>#REF!</v>
      </c>
      <c r="F2566" s="1644" t="e">
        <f>SUMIF(#REF!,Final!A2566,#REF!)</f>
        <v>#REF!</v>
      </c>
      <c r="G2566" s="1597" t="e">
        <f t="shared" ref="G2566:G2630" si="264">C2566+E2566</f>
        <v>#REF!</v>
      </c>
      <c r="H2566" s="1644" t="e">
        <f t="shared" ref="H2566:H2630" si="265">D2566+F2566</f>
        <v>#REF!</v>
      </c>
      <c r="I2566" s="1597" t="e">
        <f t="shared" ref="I2566:I2630" si="266">IF(G2566&gt;H2566,G2566-H2566,0)</f>
        <v>#REF!</v>
      </c>
      <c r="J2566" s="1644" t="e">
        <f t="shared" ref="J2566:J2630" si="267">IF(H2566&gt;G2566,H2566-G2566,0)</f>
        <v>#REF!</v>
      </c>
      <c r="K2566" s="1539"/>
      <c r="L2566" s="1539"/>
      <c r="M2566" s="1545"/>
      <c r="N2566" s="1545"/>
      <c r="O2566" s="1539"/>
      <c r="P2566" s="1539"/>
      <c r="Q2566" s="1539"/>
      <c r="R2566" s="1539"/>
      <c r="S2566" s="1539"/>
      <c r="T2566" s="1539"/>
      <c r="U2566" s="1539"/>
      <c r="V2566" s="1539"/>
      <c r="W2566" s="1539"/>
      <c r="X2566" s="1539"/>
      <c r="Y2566" s="1539"/>
      <c r="Z2566" s="1539"/>
      <c r="AA2566" s="1539"/>
      <c r="AB2566" s="1539"/>
      <c r="AC2566" s="1539"/>
      <c r="AD2566" s="1539"/>
      <c r="AE2566" s="1539"/>
      <c r="AF2566" s="1539"/>
      <c r="AG2566" s="1539"/>
      <c r="AH2566" s="1539"/>
      <c r="AI2566" s="1539"/>
      <c r="AJ2566" s="1539"/>
      <c r="AK2566" s="1539"/>
      <c r="AL2566" s="1539"/>
      <c r="AM2566" s="1539"/>
      <c r="AN2566" s="1539"/>
      <c r="AO2566" s="1539"/>
      <c r="AP2566" s="1539"/>
      <c r="AQ2566" s="1539"/>
      <c r="AR2566" s="1539"/>
      <c r="AS2566" s="1539"/>
      <c r="AT2566" s="1539"/>
      <c r="AU2566" s="1539"/>
      <c r="AV2566" s="1539"/>
      <c r="AW2566" s="1539"/>
      <c r="AX2566" s="1539"/>
      <c r="AY2566" s="1539"/>
      <c r="AZ2566" s="1539"/>
      <c r="BA2566" s="1539"/>
      <c r="BB2566" s="1539"/>
      <c r="BC2566" s="1539"/>
      <c r="BD2566" s="1539"/>
      <c r="BE2566" s="1539"/>
      <c r="BF2566" s="1539"/>
      <c r="BG2566" s="1539"/>
      <c r="BH2566" s="1539"/>
      <c r="BI2566" s="1539"/>
      <c r="BJ2566" s="1539"/>
      <c r="BK2566" s="1539"/>
      <c r="BL2566" s="1539"/>
      <c r="BM2566" s="1539"/>
      <c r="BN2566" s="1539"/>
      <c r="BO2566" s="1539"/>
      <c r="BP2566" s="1539"/>
      <c r="BQ2566" s="1539"/>
      <c r="BR2566" s="1539"/>
      <c r="BS2566" s="1539"/>
      <c r="BT2566" s="1539"/>
      <c r="BU2566" s="1539"/>
      <c r="BV2566" s="1539"/>
      <c r="BW2566" s="1539"/>
      <c r="BX2566" s="1539"/>
      <c r="BY2566" s="1539"/>
      <c r="BZ2566" s="1539"/>
      <c r="CA2566" s="1539"/>
      <c r="CB2566" s="1539"/>
      <c r="CC2566" s="1539"/>
      <c r="CD2566" s="1539"/>
      <c r="CE2566" s="1539"/>
      <c r="CF2566" s="1539"/>
      <c r="CG2566" s="1539"/>
      <c r="CH2566" s="1539"/>
      <c r="CI2566" s="1539"/>
      <c r="CJ2566" s="1539"/>
      <c r="CK2566" s="1539"/>
      <c r="CL2566" s="1539"/>
      <c r="CM2566" s="1539"/>
      <c r="CN2566" s="1539"/>
      <c r="CO2566" s="1539"/>
    </row>
    <row r="2567" spans="1:93" s="1552" customFormat="1" ht="15.5">
      <c r="A2567" s="1598"/>
      <c r="B2567" s="1599" t="s">
        <v>1747</v>
      </c>
      <c r="C2567" s="1643" t="e">
        <f>+SUMIF(#REF!,Final!A2567,#REF!)</f>
        <v>#REF!</v>
      </c>
      <c r="D2567" s="1597" t="e">
        <f>+SUMIF(#REF!,Final!A2567,#REF!)</f>
        <v>#REF!</v>
      </c>
      <c r="E2567" s="1643" t="e">
        <f>SUMIF(#REF!,Final!A2567,#REF!)</f>
        <v>#REF!</v>
      </c>
      <c r="F2567" s="1644" t="e">
        <f>SUMIF(#REF!,Final!A2567,#REF!)</f>
        <v>#REF!</v>
      </c>
      <c r="G2567" s="1597" t="e">
        <f t="shared" si="264"/>
        <v>#REF!</v>
      </c>
      <c r="H2567" s="1644" t="e">
        <f t="shared" si="265"/>
        <v>#REF!</v>
      </c>
      <c r="I2567" s="1597" t="e">
        <f t="shared" si="266"/>
        <v>#REF!</v>
      </c>
      <c r="J2567" s="1644" t="e">
        <f t="shared" si="267"/>
        <v>#REF!</v>
      </c>
      <c r="K2567" s="1539"/>
      <c r="L2567" s="1539"/>
      <c r="M2567" s="1545"/>
      <c r="N2567" s="1545"/>
      <c r="O2567" s="1539"/>
      <c r="P2567" s="1539"/>
      <c r="Q2567" s="1539"/>
      <c r="R2567" s="1539"/>
      <c r="S2567" s="1539"/>
      <c r="T2567" s="1539"/>
      <c r="U2567" s="1539"/>
      <c r="V2567" s="1539"/>
      <c r="W2567" s="1539"/>
      <c r="X2567" s="1539"/>
      <c r="Y2567" s="1539"/>
      <c r="Z2567" s="1539"/>
      <c r="AA2567" s="1539"/>
      <c r="AB2567" s="1539"/>
      <c r="AC2567" s="1539"/>
      <c r="AD2567" s="1539"/>
      <c r="AE2567" s="1539"/>
      <c r="AF2567" s="1539"/>
      <c r="AG2567" s="1539"/>
      <c r="AH2567" s="1539"/>
      <c r="AI2567" s="1539"/>
      <c r="AJ2567" s="1539"/>
      <c r="AK2567" s="1539"/>
      <c r="AL2567" s="1539"/>
      <c r="AM2567" s="1539"/>
      <c r="AN2567" s="1539"/>
      <c r="AO2567" s="1539"/>
      <c r="AP2567" s="1539"/>
      <c r="AQ2567" s="1539"/>
      <c r="AR2567" s="1539"/>
      <c r="AS2567" s="1539"/>
      <c r="AT2567" s="1539"/>
      <c r="AU2567" s="1539"/>
      <c r="AV2567" s="1539"/>
      <c r="AW2567" s="1539"/>
      <c r="AX2567" s="1539"/>
      <c r="AY2567" s="1539"/>
      <c r="AZ2567" s="1539"/>
      <c r="BA2567" s="1539"/>
      <c r="BB2567" s="1539"/>
      <c r="BC2567" s="1539"/>
      <c r="BD2567" s="1539"/>
      <c r="BE2567" s="1539"/>
      <c r="BF2567" s="1539"/>
      <c r="BG2567" s="1539"/>
      <c r="BH2567" s="1539"/>
      <c r="BI2567" s="1539"/>
      <c r="BJ2567" s="1539"/>
      <c r="BK2567" s="1539"/>
      <c r="BL2567" s="1539"/>
      <c r="BM2567" s="1539"/>
      <c r="BN2567" s="1539"/>
      <c r="BO2567" s="1539"/>
      <c r="BP2567" s="1539"/>
      <c r="BQ2567" s="1539"/>
      <c r="BR2567" s="1539"/>
      <c r="BS2567" s="1539"/>
      <c r="BT2567" s="1539"/>
      <c r="BU2567" s="1539"/>
      <c r="BV2567" s="1539"/>
      <c r="BW2567" s="1539"/>
      <c r="BX2567" s="1539"/>
      <c r="BY2567" s="1539"/>
      <c r="BZ2567" s="1539"/>
      <c r="CA2567" s="1539"/>
      <c r="CB2567" s="1539"/>
      <c r="CC2567" s="1539"/>
      <c r="CD2567" s="1539"/>
      <c r="CE2567" s="1539"/>
      <c r="CF2567" s="1539"/>
      <c r="CG2567" s="1539"/>
      <c r="CH2567" s="1539"/>
      <c r="CI2567" s="1539"/>
      <c r="CJ2567" s="1539"/>
      <c r="CK2567" s="1539"/>
      <c r="CL2567" s="1539"/>
      <c r="CM2567" s="1539"/>
      <c r="CN2567" s="1539"/>
      <c r="CO2567" s="1539"/>
    </row>
    <row r="2568" spans="1:93" s="1552" customFormat="1" ht="15.5">
      <c r="A2568" s="1598"/>
      <c r="B2568" s="1599" t="s">
        <v>1760</v>
      </c>
      <c r="C2568" s="1643" t="e">
        <f>+SUMIF(#REF!,Final!A2568,#REF!)</f>
        <v>#REF!</v>
      </c>
      <c r="D2568" s="1597" t="e">
        <f>+SUMIF(#REF!,Final!A2568,#REF!)</f>
        <v>#REF!</v>
      </c>
      <c r="E2568" s="1643" t="e">
        <f>SUMIF(#REF!,Final!A2568,#REF!)</f>
        <v>#REF!</v>
      </c>
      <c r="F2568" s="1644" t="e">
        <f>SUMIF(#REF!,Final!A2568,#REF!)</f>
        <v>#REF!</v>
      </c>
      <c r="G2568" s="1597" t="e">
        <f t="shared" si="264"/>
        <v>#REF!</v>
      </c>
      <c r="H2568" s="1644" t="e">
        <f t="shared" si="265"/>
        <v>#REF!</v>
      </c>
      <c r="I2568" s="1597" t="e">
        <f t="shared" si="266"/>
        <v>#REF!</v>
      </c>
      <c r="J2568" s="1644" t="e">
        <f t="shared" si="267"/>
        <v>#REF!</v>
      </c>
      <c r="K2568" s="1539"/>
      <c r="L2568" s="1539"/>
      <c r="M2568" s="1545"/>
      <c r="N2568" s="1545"/>
      <c r="O2568" s="1539"/>
      <c r="P2568" s="1539"/>
      <c r="Q2568" s="1539"/>
      <c r="R2568" s="1539"/>
      <c r="S2568" s="1539"/>
      <c r="T2568" s="1539"/>
      <c r="U2568" s="1539"/>
      <c r="V2568" s="1539"/>
      <c r="W2568" s="1539"/>
      <c r="X2568" s="1539"/>
      <c r="Y2568" s="1539"/>
      <c r="Z2568" s="1539"/>
      <c r="AA2568" s="1539"/>
      <c r="AB2568" s="1539"/>
      <c r="AC2568" s="1539"/>
      <c r="AD2568" s="1539"/>
      <c r="AE2568" s="1539"/>
      <c r="AF2568" s="1539"/>
      <c r="AG2568" s="1539"/>
      <c r="AH2568" s="1539"/>
      <c r="AI2568" s="1539"/>
      <c r="AJ2568" s="1539"/>
      <c r="AK2568" s="1539"/>
      <c r="AL2568" s="1539"/>
      <c r="AM2568" s="1539"/>
      <c r="AN2568" s="1539"/>
      <c r="AO2568" s="1539"/>
      <c r="AP2568" s="1539"/>
      <c r="AQ2568" s="1539"/>
      <c r="AR2568" s="1539"/>
      <c r="AS2568" s="1539"/>
      <c r="AT2568" s="1539"/>
      <c r="AU2568" s="1539"/>
      <c r="AV2568" s="1539"/>
      <c r="AW2568" s="1539"/>
      <c r="AX2568" s="1539"/>
      <c r="AY2568" s="1539"/>
      <c r="AZ2568" s="1539"/>
      <c r="BA2568" s="1539"/>
      <c r="BB2568" s="1539"/>
      <c r="BC2568" s="1539"/>
      <c r="BD2568" s="1539"/>
      <c r="BE2568" s="1539"/>
      <c r="BF2568" s="1539"/>
      <c r="BG2568" s="1539"/>
      <c r="BH2568" s="1539"/>
      <c r="BI2568" s="1539"/>
      <c r="BJ2568" s="1539"/>
      <c r="BK2568" s="1539"/>
      <c r="BL2568" s="1539"/>
      <c r="BM2568" s="1539"/>
      <c r="BN2568" s="1539"/>
      <c r="BO2568" s="1539"/>
      <c r="BP2568" s="1539"/>
      <c r="BQ2568" s="1539"/>
      <c r="BR2568" s="1539"/>
      <c r="BS2568" s="1539"/>
      <c r="BT2568" s="1539"/>
      <c r="BU2568" s="1539"/>
      <c r="BV2568" s="1539"/>
      <c r="BW2568" s="1539"/>
      <c r="BX2568" s="1539"/>
      <c r="BY2568" s="1539"/>
      <c r="BZ2568" s="1539"/>
      <c r="CA2568" s="1539"/>
      <c r="CB2568" s="1539"/>
      <c r="CC2568" s="1539"/>
      <c r="CD2568" s="1539"/>
      <c r="CE2568" s="1539"/>
      <c r="CF2568" s="1539"/>
      <c r="CG2568" s="1539"/>
      <c r="CH2568" s="1539"/>
      <c r="CI2568" s="1539"/>
      <c r="CJ2568" s="1539"/>
      <c r="CK2568" s="1539"/>
      <c r="CL2568" s="1539"/>
      <c r="CM2568" s="1539"/>
      <c r="CN2568" s="1539"/>
      <c r="CO2568" s="1539"/>
    </row>
    <row r="2569" spans="1:93" s="1542" customFormat="1" ht="15.5">
      <c r="A2569" s="1598" t="s">
        <v>1412</v>
      </c>
      <c r="B2569" s="1599" t="s">
        <v>2974</v>
      </c>
      <c r="C2569" s="1643" t="e">
        <f>+SUMIF(#REF!,Final!A2569,#REF!)</f>
        <v>#REF!</v>
      </c>
      <c r="D2569" s="1597" t="e">
        <f>+SUMIF(#REF!,Final!A2569,#REF!)</f>
        <v>#REF!</v>
      </c>
      <c r="E2569" s="1643" t="e">
        <f>SUMIF(#REF!,Final!A2569,#REF!)</f>
        <v>#REF!</v>
      </c>
      <c r="F2569" s="1644" t="e">
        <f>SUMIF(#REF!,Final!A2569,#REF!)</f>
        <v>#REF!</v>
      </c>
      <c r="G2569" s="1597" t="e">
        <f t="shared" si="264"/>
        <v>#REF!</v>
      </c>
      <c r="H2569" s="1644" t="e">
        <f t="shared" si="265"/>
        <v>#REF!</v>
      </c>
      <c r="I2569" s="1597" t="e">
        <f t="shared" si="266"/>
        <v>#REF!</v>
      </c>
      <c r="J2569" s="1644" t="e">
        <f t="shared" si="267"/>
        <v>#REF!</v>
      </c>
      <c r="K2569" s="1539"/>
      <c r="L2569" s="1539"/>
      <c r="M2569" s="1545"/>
      <c r="N2569" s="1545"/>
      <c r="O2569" s="1539"/>
      <c r="P2569" s="1539"/>
      <c r="Q2569" s="1539"/>
      <c r="R2569" s="1539"/>
      <c r="S2569" s="1539"/>
      <c r="T2569" s="1539"/>
      <c r="U2569" s="1539"/>
      <c r="V2569" s="1539"/>
      <c r="W2569" s="1539"/>
      <c r="X2569" s="1539"/>
      <c r="Y2569" s="1539"/>
      <c r="Z2569" s="1539"/>
      <c r="AA2569" s="1539"/>
      <c r="AB2569" s="1539"/>
      <c r="AC2569" s="1539"/>
      <c r="AD2569" s="1539"/>
      <c r="AE2569" s="1539"/>
      <c r="AF2569" s="1539"/>
      <c r="AG2569" s="1539"/>
      <c r="AH2569" s="1539"/>
      <c r="AI2569" s="1539"/>
      <c r="AJ2569" s="1539"/>
      <c r="AK2569" s="1539"/>
      <c r="AL2569" s="1539"/>
      <c r="AM2569" s="1539"/>
      <c r="AN2569" s="1539"/>
      <c r="AO2569" s="1539"/>
      <c r="AP2569" s="1539"/>
      <c r="AQ2569" s="1539"/>
      <c r="AR2569" s="1539"/>
      <c r="AS2569" s="1539"/>
      <c r="AT2569" s="1539"/>
      <c r="AU2569" s="1539"/>
      <c r="AV2569" s="1539"/>
      <c r="AW2569" s="1539"/>
      <c r="AX2569" s="1539"/>
      <c r="AY2569" s="1539"/>
      <c r="AZ2569" s="1539"/>
      <c r="BA2569" s="1539"/>
      <c r="BB2569" s="1539"/>
      <c r="BC2569" s="1539"/>
      <c r="BD2569" s="1539"/>
      <c r="BE2569" s="1539"/>
      <c r="BF2569" s="1539"/>
      <c r="BG2569" s="1539"/>
      <c r="BH2569" s="1539"/>
      <c r="BI2569" s="1539"/>
      <c r="BJ2569" s="1539"/>
      <c r="BK2569" s="1539"/>
      <c r="BL2569" s="1539"/>
      <c r="BM2569" s="1539"/>
      <c r="BN2569" s="1539"/>
      <c r="BO2569" s="1539"/>
      <c r="BP2569" s="1539"/>
      <c r="BQ2569" s="1539"/>
      <c r="BR2569" s="1539"/>
      <c r="BS2569" s="1539"/>
      <c r="BT2569" s="1539"/>
      <c r="BU2569" s="1539"/>
      <c r="BV2569" s="1539"/>
      <c r="BW2569" s="1539"/>
      <c r="BX2569" s="1539"/>
      <c r="BY2569" s="1539"/>
      <c r="BZ2569" s="1539"/>
      <c r="CA2569" s="1539"/>
      <c r="CB2569" s="1539"/>
      <c r="CC2569" s="1539"/>
      <c r="CD2569" s="1539"/>
      <c r="CE2569" s="1539"/>
      <c r="CF2569" s="1539"/>
      <c r="CG2569" s="1539"/>
      <c r="CH2569" s="1539"/>
      <c r="CI2569" s="1539"/>
      <c r="CJ2569" s="1539"/>
      <c r="CK2569" s="1539"/>
      <c r="CL2569" s="1539"/>
      <c r="CM2569" s="1539"/>
      <c r="CN2569" s="1539"/>
      <c r="CO2569" s="1539"/>
    </row>
    <row r="2570" spans="1:93" ht="15.5">
      <c r="A2570" s="1598">
        <v>61.350999999999999</v>
      </c>
      <c r="B2570" s="1599" t="s">
        <v>2975</v>
      </c>
      <c r="C2570" s="1643" t="e">
        <f>+SUMIF(#REF!,Final!A2570,#REF!)</f>
        <v>#REF!</v>
      </c>
      <c r="D2570" s="1597" t="e">
        <f>+SUMIF(#REF!,Final!A2570,#REF!)</f>
        <v>#REF!</v>
      </c>
      <c r="E2570" s="1643" t="e">
        <f>SUMIF(#REF!,Final!A2570,#REF!)</f>
        <v>#REF!</v>
      </c>
      <c r="F2570" s="1644" t="e">
        <f>SUMIF(#REF!,Final!A2570,#REF!)</f>
        <v>#REF!</v>
      </c>
      <c r="G2570" s="1597" t="e">
        <f t="shared" si="264"/>
        <v>#REF!</v>
      </c>
      <c r="H2570" s="1644" t="e">
        <f t="shared" si="265"/>
        <v>#REF!</v>
      </c>
      <c r="I2570" s="1597" t="e">
        <f t="shared" si="266"/>
        <v>#REF!</v>
      </c>
      <c r="J2570" s="1644" t="e">
        <f t="shared" si="267"/>
        <v>#REF!</v>
      </c>
      <c r="M2570" s="1545"/>
      <c r="N2570" s="1545"/>
    </row>
    <row r="2571" spans="1:93" ht="15.5">
      <c r="A2571" s="1598">
        <v>61.351999999999997</v>
      </c>
      <c r="B2571" s="1599" t="s">
        <v>2976</v>
      </c>
      <c r="C2571" s="1643" t="e">
        <f>+SUMIF(#REF!,Final!A2571,#REF!)</f>
        <v>#REF!</v>
      </c>
      <c r="D2571" s="1597" t="e">
        <f>+SUMIF(#REF!,Final!A2571,#REF!)</f>
        <v>#REF!</v>
      </c>
      <c r="E2571" s="1643" t="e">
        <f>SUMIF(#REF!,Final!A2571,#REF!)</f>
        <v>#REF!</v>
      </c>
      <c r="F2571" s="1644" t="e">
        <f>SUMIF(#REF!,Final!A2571,#REF!)</f>
        <v>#REF!</v>
      </c>
      <c r="G2571" s="1597" t="e">
        <f t="shared" si="264"/>
        <v>#REF!</v>
      </c>
      <c r="H2571" s="1644" t="e">
        <f t="shared" si="265"/>
        <v>#REF!</v>
      </c>
      <c r="I2571" s="1597" t="e">
        <f t="shared" si="266"/>
        <v>#REF!</v>
      </c>
      <c r="J2571" s="1644" t="e">
        <f t="shared" si="267"/>
        <v>#REF!</v>
      </c>
      <c r="M2571" s="1545"/>
      <c r="N2571" s="1545"/>
    </row>
    <row r="2572" spans="1:93" ht="15.5">
      <c r="A2572" s="1598">
        <v>61.353000000000002</v>
      </c>
      <c r="B2572" s="1599" t="s">
        <v>2977</v>
      </c>
      <c r="C2572" s="1643" t="e">
        <f>+SUMIF(#REF!,Final!A2572,#REF!)</f>
        <v>#REF!</v>
      </c>
      <c r="D2572" s="1597" t="e">
        <f>+SUMIF(#REF!,Final!A2572,#REF!)</f>
        <v>#REF!</v>
      </c>
      <c r="E2572" s="1643" t="e">
        <f>SUMIF(#REF!,Final!A2572,#REF!)</f>
        <v>#REF!</v>
      </c>
      <c r="F2572" s="1644" t="e">
        <f>SUMIF(#REF!,Final!A2572,#REF!)</f>
        <v>#REF!</v>
      </c>
      <c r="G2572" s="1597" t="e">
        <f t="shared" si="264"/>
        <v>#REF!</v>
      </c>
      <c r="H2572" s="1644" t="e">
        <f t="shared" si="265"/>
        <v>#REF!</v>
      </c>
      <c r="I2572" s="1597" t="e">
        <f t="shared" si="266"/>
        <v>#REF!</v>
      </c>
      <c r="J2572" s="1644" t="e">
        <f t="shared" si="267"/>
        <v>#REF!</v>
      </c>
      <c r="M2572" s="1545"/>
      <c r="N2572" s="1545"/>
    </row>
    <row r="2573" spans="1:93" ht="15.5">
      <c r="A2573" s="1598">
        <v>61.353999999999999</v>
      </c>
      <c r="B2573" s="1599" t="s">
        <v>2978</v>
      </c>
      <c r="C2573" s="1643" t="e">
        <f>+SUMIF(#REF!,Final!A2573,#REF!)</f>
        <v>#REF!</v>
      </c>
      <c r="D2573" s="1597" t="e">
        <f>+SUMIF(#REF!,Final!A2573,#REF!)</f>
        <v>#REF!</v>
      </c>
      <c r="E2573" s="1643" t="e">
        <f>SUMIF(#REF!,Final!A2573,#REF!)</f>
        <v>#REF!</v>
      </c>
      <c r="F2573" s="1644" t="e">
        <f>SUMIF(#REF!,Final!A2573,#REF!)</f>
        <v>#REF!</v>
      </c>
      <c r="G2573" s="1597" t="e">
        <f t="shared" si="264"/>
        <v>#REF!</v>
      </c>
      <c r="H2573" s="1644" t="e">
        <f t="shared" si="265"/>
        <v>#REF!</v>
      </c>
      <c r="I2573" s="1597" t="e">
        <f t="shared" si="266"/>
        <v>#REF!</v>
      </c>
      <c r="J2573" s="1644" t="e">
        <f t="shared" si="267"/>
        <v>#REF!</v>
      </c>
      <c r="M2573" s="1545"/>
      <c r="N2573" s="1545"/>
    </row>
    <row r="2574" spans="1:93" ht="15.5">
      <c r="A2574" s="1598">
        <v>61.354999999999997</v>
      </c>
      <c r="B2574" s="1599" t="s">
        <v>2979</v>
      </c>
      <c r="C2574" s="1643" t="e">
        <f>+SUMIF(#REF!,Final!A2574,#REF!)</f>
        <v>#REF!</v>
      </c>
      <c r="D2574" s="1597" t="e">
        <f>+SUMIF(#REF!,Final!A2574,#REF!)</f>
        <v>#REF!</v>
      </c>
      <c r="E2574" s="1643" t="e">
        <f>SUMIF(#REF!,Final!A2574,#REF!)</f>
        <v>#REF!</v>
      </c>
      <c r="F2574" s="1644" t="e">
        <f>SUMIF(#REF!,Final!A2574,#REF!)</f>
        <v>#REF!</v>
      </c>
      <c r="G2574" s="1597" t="e">
        <f t="shared" si="264"/>
        <v>#REF!</v>
      </c>
      <c r="H2574" s="1644" t="e">
        <f t="shared" si="265"/>
        <v>#REF!</v>
      </c>
      <c r="I2574" s="1597" t="e">
        <f t="shared" si="266"/>
        <v>#REF!</v>
      </c>
      <c r="J2574" s="1644" t="e">
        <f t="shared" si="267"/>
        <v>#REF!</v>
      </c>
      <c r="M2574" s="1545"/>
      <c r="N2574" s="1545"/>
    </row>
    <row r="2575" spans="1:93" s="1552" customFormat="1" ht="15.5">
      <c r="A2575" s="1598"/>
      <c r="B2575" s="1599" t="s">
        <v>1747</v>
      </c>
      <c r="C2575" s="1643" t="e">
        <f>+SUMIF(#REF!,Final!A2575,#REF!)</f>
        <v>#REF!</v>
      </c>
      <c r="D2575" s="1597" t="e">
        <f>+SUMIF(#REF!,Final!A2575,#REF!)</f>
        <v>#REF!</v>
      </c>
      <c r="E2575" s="1643" t="e">
        <f>SUMIF(#REF!,Final!A2575,#REF!)</f>
        <v>#REF!</v>
      </c>
      <c r="F2575" s="1644" t="e">
        <f>SUMIF(#REF!,Final!A2575,#REF!)</f>
        <v>#REF!</v>
      </c>
      <c r="G2575" s="1597" t="e">
        <f t="shared" si="264"/>
        <v>#REF!</v>
      </c>
      <c r="H2575" s="1644" t="e">
        <f t="shared" si="265"/>
        <v>#REF!</v>
      </c>
      <c r="I2575" s="1597" t="e">
        <f t="shared" si="266"/>
        <v>#REF!</v>
      </c>
      <c r="J2575" s="1644" t="e">
        <f t="shared" si="267"/>
        <v>#REF!</v>
      </c>
      <c r="K2575" s="1539"/>
      <c r="L2575" s="1539"/>
      <c r="M2575" s="1545"/>
      <c r="N2575" s="1545"/>
      <c r="O2575" s="1539"/>
      <c r="P2575" s="1539"/>
      <c r="Q2575" s="1539"/>
      <c r="R2575" s="1539"/>
      <c r="S2575" s="1539"/>
      <c r="T2575" s="1539"/>
      <c r="U2575" s="1539"/>
      <c r="V2575" s="1539"/>
      <c r="W2575" s="1539"/>
      <c r="X2575" s="1539"/>
      <c r="Y2575" s="1539"/>
      <c r="Z2575" s="1539"/>
      <c r="AA2575" s="1539"/>
      <c r="AB2575" s="1539"/>
      <c r="AC2575" s="1539"/>
      <c r="AD2575" s="1539"/>
      <c r="AE2575" s="1539"/>
      <c r="AF2575" s="1539"/>
      <c r="AG2575" s="1539"/>
      <c r="AH2575" s="1539"/>
      <c r="AI2575" s="1539"/>
      <c r="AJ2575" s="1539"/>
      <c r="AK2575" s="1539"/>
      <c r="AL2575" s="1539"/>
      <c r="AM2575" s="1539"/>
      <c r="AN2575" s="1539"/>
      <c r="AO2575" s="1539"/>
      <c r="AP2575" s="1539"/>
      <c r="AQ2575" s="1539"/>
      <c r="AR2575" s="1539"/>
      <c r="AS2575" s="1539"/>
      <c r="AT2575" s="1539"/>
      <c r="AU2575" s="1539"/>
      <c r="AV2575" s="1539"/>
      <c r="AW2575" s="1539"/>
      <c r="AX2575" s="1539"/>
      <c r="AY2575" s="1539"/>
      <c r="AZ2575" s="1539"/>
      <c r="BA2575" s="1539"/>
      <c r="BB2575" s="1539"/>
      <c r="BC2575" s="1539"/>
      <c r="BD2575" s="1539"/>
      <c r="BE2575" s="1539"/>
      <c r="BF2575" s="1539"/>
      <c r="BG2575" s="1539"/>
      <c r="BH2575" s="1539"/>
      <c r="BI2575" s="1539"/>
      <c r="BJ2575" s="1539"/>
      <c r="BK2575" s="1539"/>
      <c r="BL2575" s="1539"/>
      <c r="BM2575" s="1539"/>
      <c r="BN2575" s="1539"/>
      <c r="BO2575" s="1539"/>
      <c r="BP2575" s="1539"/>
      <c r="BQ2575" s="1539"/>
      <c r="BR2575" s="1539"/>
      <c r="BS2575" s="1539"/>
      <c r="BT2575" s="1539"/>
      <c r="BU2575" s="1539"/>
      <c r="BV2575" s="1539"/>
      <c r="BW2575" s="1539"/>
      <c r="BX2575" s="1539"/>
      <c r="BY2575" s="1539"/>
      <c r="BZ2575" s="1539"/>
      <c r="CA2575" s="1539"/>
      <c r="CB2575" s="1539"/>
      <c r="CC2575" s="1539"/>
      <c r="CD2575" s="1539"/>
      <c r="CE2575" s="1539"/>
      <c r="CF2575" s="1539"/>
      <c r="CG2575" s="1539"/>
      <c r="CH2575" s="1539"/>
      <c r="CI2575" s="1539"/>
      <c r="CJ2575" s="1539"/>
      <c r="CK2575" s="1539"/>
      <c r="CL2575" s="1539"/>
      <c r="CM2575" s="1539"/>
      <c r="CN2575" s="1539"/>
      <c r="CO2575" s="1539"/>
    </row>
    <row r="2576" spans="1:93" s="1552" customFormat="1" ht="15.5">
      <c r="A2576" s="1598"/>
      <c r="B2576" s="1599" t="s">
        <v>1760</v>
      </c>
      <c r="C2576" s="1643" t="e">
        <f>+SUMIF(#REF!,Final!A2576,#REF!)</f>
        <v>#REF!</v>
      </c>
      <c r="D2576" s="1597" t="e">
        <f>+SUMIF(#REF!,Final!A2576,#REF!)</f>
        <v>#REF!</v>
      </c>
      <c r="E2576" s="1643" t="e">
        <f>SUMIF(#REF!,Final!A2576,#REF!)</f>
        <v>#REF!</v>
      </c>
      <c r="F2576" s="1644" t="e">
        <f>SUMIF(#REF!,Final!A2576,#REF!)</f>
        <v>#REF!</v>
      </c>
      <c r="G2576" s="1597" t="e">
        <f t="shared" si="264"/>
        <v>#REF!</v>
      </c>
      <c r="H2576" s="1644" t="e">
        <f t="shared" si="265"/>
        <v>#REF!</v>
      </c>
      <c r="I2576" s="1597" t="e">
        <f t="shared" si="266"/>
        <v>#REF!</v>
      </c>
      <c r="J2576" s="1644" t="e">
        <f t="shared" si="267"/>
        <v>#REF!</v>
      </c>
      <c r="K2576" s="1539"/>
      <c r="L2576" s="1539"/>
      <c r="M2576" s="1545"/>
      <c r="N2576" s="1545"/>
      <c r="O2576" s="1539"/>
      <c r="P2576" s="1539"/>
      <c r="Q2576" s="1539"/>
      <c r="R2576" s="1539"/>
      <c r="S2576" s="1539"/>
      <c r="T2576" s="1539"/>
      <c r="U2576" s="1539"/>
      <c r="V2576" s="1539"/>
      <c r="W2576" s="1539"/>
      <c r="X2576" s="1539"/>
      <c r="Y2576" s="1539"/>
      <c r="Z2576" s="1539"/>
      <c r="AA2576" s="1539"/>
      <c r="AB2576" s="1539"/>
      <c r="AC2576" s="1539"/>
      <c r="AD2576" s="1539"/>
      <c r="AE2576" s="1539"/>
      <c r="AF2576" s="1539"/>
      <c r="AG2576" s="1539"/>
      <c r="AH2576" s="1539"/>
      <c r="AI2576" s="1539"/>
      <c r="AJ2576" s="1539"/>
      <c r="AK2576" s="1539"/>
      <c r="AL2576" s="1539"/>
      <c r="AM2576" s="1539"/>
      <c r="AN2576" s="1539"/>
      <c r="AO2576" s="1539"/>
      <c r="AP2576" s="1539"/>
      <c r="AQ2576" s="1539"/>
      <c r="AR2576" s="1539"/>
      <c r="AS2576" s="1539"/>
      <c r="AT2576" s="1539"/>
      <c r="AU2576" s="1539"/>
      <c r="AV2576" s="1539"/>
      <c r="AW2576" s="1539"/>
      <c r="AX2576" s="1539"/>
      <c r="AY2576" s="1539"/>
      <c r="AZ2576" s="1539"/>
      <c r="BA2576" s="1539"/>
      <c r="BB2576" s="1539"/>
      <c r="BC2576" s="1539"/>
      <c r="BD2576" s="1539"/>
      <c r="BE2576" s="1539"/>
      <c r="BF2576" s="1539"/>
      <c r="BG2576" s="1539"/>
      <c r="BH2576" s="1539"/>
      <c r="BI2576" s="1539"/>
      <c r="BJ2576" s="1539"/>
      <c r="BK2576" s="1539"/>
      <c r="BL2576" s="1539"/>
      <c r="BM2576" s="1539"/>
      <c r="BN2576" s="1539"/>
      <c r="BO2576" s="1539"/>
      <c r="BP2576" s="1539"/>
      <c r="BQ2576" s="1539"/>
      <c r="BR2576" s="1539"/>
      <c r="BS2576" s="1539"/>
      <c r="BT2576" s="1539"/>
      <c r="BU2576" s="1539"/>
      <c r="BV2576" s="1539"/>
      <c r="BW2576" s="1539"/>
      <c r="BX2576" s="1539"/>
      <c r="BY2576" s="1539"/>
      <c r="BZ2576" s="1539"/>
      <c r="CA2576" s="1539"/>
      <c r="CB2576" s="1539"/>
      <c r="CC2576" s="1539"/>
      <c r="CD2576" s="1539"/>
      <c r="CE2576" s="1539"/>
      <c r="CF2576" s="1539"/>
      <c r="CG2576" s="1539"/>
      <c r="CH2576" s="1539"/>
      <c r="CI2576" s="1539"/>
      <c r="CJ2576" s="1539"/>
      <c r="CK2576" s="1539"/>
      <c r="CL2576" s="1539"/>
      <c r="CM2576" s="1539"/>
      <c r="CN2576" s="1539"/>
      <c r="CO2576" s="1539"/>
    </row>
    <row r="2577" spans="1:93" s="1542" customFormat="1" ht="15.5">
      <c r="A2577" s="1598" t="s">
        <v>2980</v>
      </c>
      <c r="B2577" s="1599" t="s">
        <v>423</v>
      </c>
      <c r="C2577" s="1643" t="e">
        <f>+SUMIF(#REF!,Final!A2577,#REF!)</f>
        <v>#REF!</v>
      </c>
      <c r="D2577" s="1597" t="e">
        <f>+SUMIF(#REF!,Final!A2577,#REF!)</f>
        <v>#REF!</v>
      </c>
      <c r="E2577" s="1643" t="e">
        <f>SUMIF(#REF!,Final!A2577,#REF!)</f>
        <v>#REF!</v>
      </c>
      <c r="F2577" s="1644" t="e">
        <f>SUMIF(#REF!,Final!A2577,#REF!)</f>
        <v>#REF!</v>
      </c>
      <c r="G2577" s="1597" t="e">
        <f t="shared" si="264"/>
        <v>#REF!</v>
      </c>
      <c r="H2577" s="1644" t="e">
        <f t="shared" si="265"/>
        <v>#REF!</v>
      </c>
      <c r="I2577" s="1597" t="e">
        <f t="shared" si="266"/>
        <v>#REF!</v>
      </c>
      <c r="J2577" s="1644" t="e">
        <f t="shared" si="267"/>
        <v>#REF!</v>
      </c>
      <c r="K2577" s="1539"/>
      <c r="L2577" s="1539"/>
      <c r="M2577" s="1545"/>
      <c r="N2577" s="1545"/>
      <c r="O2577" s="1539"/>
      <c r="P2577" s="1539"/>
      <c r="Q2577" s="1539"/>
      <c r="R2577" s="1539"/>
      <c r="S2577" s="1539"/>
      <c r="T2577" s="1539"/>
      <c r="U2577" s="1539"/>
      <c r="V2577" s="1539"/>
      <c r="W2577" s="1539"/>
      <c r="X2577" s="1539"/>
      <c r="Y2577" s="1539"/>
      <c r="Z2577" s="1539"/>
      <c r="AA2577" s="1539"/>
      <c r="AB2577" s="1539"/>
      <c r="AC2577" s="1539"/>
      <c r="AD2577" s="1539"/>
      <c r="AE2577" s="1539"/>
      <c r="AF2577" s="1539"/>
      <c r="AG2577" s="1539"/>
      <c r="AH2577" s="1539"/>
      <c r="AI2577" s="1539"/>
      <c r="AJ2577" s="1539"/>
      <c r="AK2577" s="1539"/>
      <c r="AL2577" s="1539"/>
      <c r="AM2577" s="1539"/>
      <c r="AN2577" s="1539"/>
      <c r="AO2577" s="1539"/>
      <c r="AP2577" s="1539"/>
      <c r="AQ2577" s="1539"/>
      <c r="AR2577" s="1539"/>
      <c r="AS2577" s="1539"/>
      <c r="AT2577" s="1539"/>
      <c r="AU2577" s="1539"/>
      <c r="AV2577" s="1539"/>
      <c r="AW2577" s="1539"/>
      <c r="AX2577" s="1539"/>
      <c r="AY2577" s="1539"/>
      <c r="AZ2577" s="1539"/>
      <c r="BA2577" s="1539"/>
      <c r="BB2577" s="1539"/>
      <c r="BC2577" s="1539"/>
      <c r="BD2577" s="1539"/>
      <c r="BE2577" s="1539"/>
      <c r="BF2577" s="1539"/>
      <c r="BG2577" s="1539"/>
      <c r="BH2577" s="1539"/>
      <c r="BI2577" s="1539"/>
      <c r="BJ2577" s="1539"/>
      <c r="BK2577" s="1539"/>
      <c r="BL2577" s="1539"/>
      <c r="BM2577" s="1539"/>
      <c r="BN2577" s="1539"/>
      <c r="BO2577" s="1539"/>
      <c r="BP2577" s="1539"/>
      <c r="BQ2577" s="1539"/>
      <c r="BR2577" s="1539"/>
      <c r="BS2577" s="1539"/>
      <c r="BT2577" s="1539"/>
      <c r="BU2577" s="1539"/>
      <c r="BV2577" s="1539"/>
      <c r="BW2577" s="1539"/>
      <c r="BX2577" s="1539"/>
      <c r="BY2577" s="1539"/>
      <c r="BZ2577" s="1539"/>
      <c r="CA2577" s="1539"/>
      <c r="CB2577" s="1539"/>
      <c r="CC2577" s="1539"/>
      <c r="CD2577" s="1539"/>
      <c r="CE2577" s="1539"/>
      <c r="CF2577" s="1539"/>
      <c r="CG2577" s="1539"/>
      <c r="CH2577" s="1539"/>
      <c r="CI2577" s="1539"/>
      <c r="CJ2577" s="1539"/>
      <c r="CK2577" s="1539"/>
      <c r="CL2577" s="1539"/>
      <c r="CM2577" s="1539"/>
      <c r="CN2577" s="1539"/>
      <c r="CO2577" s="1539"/>
    </row>
    <row r="2578" spans="1:93" s="1543" customFormat="1" ht="15.5">
      <c r="A2578" s="1598">
        <v>61.360999999999997</v>
      </c>
      <c r="B2578" s="1599" t="s">
        <v>2981</v>
      </c>
      <c r="C2578" s="1643" t="e">
        <f>+SUMIF(#REF!,Final!A2578,#REF!)</f>
        <v>#REF!</v>
      </c>
      <c r="D2578" s="1597" t="e">
        <f>+SUMIF(#REF!,Final!A2578,#REF!)</f>
        <v>#REF!</v>
      </c>
      <c r="E2578" s="1643" t="e">
        <f>SUMIF(#REF!,Final!A2578,#REF!)</f>
        <v>#REF!</v>
      </c>
      <c r="F2578" s="1644" t="e">
        <f>SUMIF(#REF!,Final!A2578,#REF!)</f>
        <v>#REF!</v>
      </c>
      <c r="G2578" s="1597" t="e">
        <f t="shared" si="264"/>
        <v>#REF!</v>
      </c>
      <c r="H2578" s="1644" t="e">
        <f t="shared" si="265"/>
        <v>#REF!</v>
      </c>
      <c r="I2578" s="1597" t="e">
        <f t="shared" si="266"/>
        <v>#REF!</v>
      </c>
      <c r="J2578" s="1644" t="e">
        <f t="shared" si="267"/>
        <v>#REF!</v>
      </c>
      <c r="K2578" s="1539"/>
      <c r="L2578" s="1539"/>
      <c r="M2578" s="1545"/>
      <c r="N2578" s="1545"/>
      <c r="O2578" s="1539"/>
      <c r="P2578" s="1539"/>
      <c r="Q2578" s="1539"/>
      <c r="R2578" s="1539"/>
      <c r="S2578" s="1539"/>
      <c r="T2578" s="1539"/>
      <c r="U2578" s="1539"/>
      <c r="V2578" s="1539"/>
      <c r="W2578" s="1539"/>
      <c r="X2578" s="1539"/>
      <c r="Y2578" s="1539"/>
      <c r="Z2578" s="1539"/>
      <c r="AA2578" s="1539"/>
      <c r="AB2578" s="1539"/>
      <c r="AC2578" s="1539"/>
      <c r="AD2578" s="1539"/>
      <c r="AE2578" s="1539"/>
      <c r="AF2578" s="1539"/>
      <c r="AG2578" s="1539"/>
      <c r="AH2578" s="1539"/>
      <c r="AI2578" s="1539"/>
      <c r="AJ2578" s="1539"/>
      <c r="AK2578" s="1539"/>
      <c r="AL2578" s="1539"/>
      <c r="AM2578" s="1539"/>
      <c r="AN2578" s="1539"/>
      <c r="AO2578" s="1539"/>
      <c r="AP2578" s="1539"/>
      <c r="AQ2578" s="1539"/>
      <c r="AR2578" s="1539"/>
      <c r="AS2578" s="1539"/>
      <c r="AT2578" s="1539"/>
      <c r="AU2578" s="1539"/>
      <c r="AV2578" s="1539"/>
      <c r="AW2578" s="1539"/>
      <c r="AX2578" s="1539"/>
      <c r="AY2578" s="1539"/>
      <c r="AZ2578" s="1539"/>
      <c r="BA2578" s="1539"/>
      <c r="BB2578" s="1539"/>
      <c r="BC2578" s="1539"/>
      <c r="BD2578" s="1539"/>
      <c r="BE2578" s="1539"/>
      <c r="BF2578" s="1539"/>
      <c r="BG2578" s="1539"/>
      <c r="BH2578" s="1539"/>
      <c r="BI2578" s="1539"/>
      <c r="BJ2578" s="1539"/>
      <c r="BK2578" s="1539"/>
      <c r="BL2578" s="1539"/>
      <c r="BM2578" s="1539"/>
      <c r="BN2578" s="1539"/>
      <c r="BO2578" s="1539"/>
      <c r="BP2578" s="1539"/>
      <c r="BQ2578" s="1539"/>
      <c r="BR2578" s="1539"/>
      <c r="BS2578" s="1539"/>
      <c r="BT2578" s="1539"/>
      <c r="BU2578" s="1539"/>
      <c r="BV2578" s="1539"/>
      <c r="BW2578" s="1539"/>
      <c r="BX2578" s="1539"/>
      <c r="BY2578" s="1539"/>
      <c r="BZ2578" s="1539"/>
      <c r="CA2578" s="1539"/>
      <c r="CB2578" s="1539"/>
      <c r="CC2578" s="1539"/>
      <c r="CD2578" s="1539"/>
      <c r="CE2578" s="1539"/>
      <c r="CF2578" s="1539"/>
      <c r="CG2578" s="1539"/>
      <c r="CH2578" s="1539"/>
      <c r="CI2578" s="1539"/>
      <c r="CJ2578" s="1539"/>
      <c r="CK2578" s="1539"/>
      <c r="CL2578" s="1539"/>
      <c r="CM2578" s="1539"/>
      <c r="CN2578" s="1539"/>
      <c r="CO2578" s="1539"/>
    </row>
    <row r="2579" spans="1:93" s="1543" customFormat="1" ht="15.5">
      <c r="A2579" s="1598">
        <v>61.362000000000002</v>
      </c>
      <c r="B2579" s="1599" t="s">
        <v>2982</v>
      </c>
      <c r="C2579" s="1643" t="e">
        <f>+SUMIF(#REF!,Final!A2579,#REF!)</f>
        <v>#REF!</v>
      </c>
      <c r="D2579" s="1597" t="e">
        <f>+SUMIF(#REF!,Final!A2579,#REF!)</f>
        <v>#REF!</v>
      </c>
      <c r="E2579" s="1643" t="e">
        <f>SUMIF(#REF!,Final!A2579,#REF!)</f>
        <v>#REF!</v>
      </c>
      <c r="F2579" s="1644" t="e">
        <f>SUMIF(#REF!,Final!A2579,#REF!)</f>
        <v>#REF!</v>
      </c>
      <c r="G2579" s="1597" t="e">
        <f t="shared" si="264"/>
        <v>#REF!</v>
      </c>
      <c r="H2579" s="1644" t="e">
        <f t="shared" si="265"/>
        <v>#REF!</v>
      </c>
      <c r="I2579" s="1597" t="e">
        <f t="shared" si="266"/>
        <v>#REF!</v>
      </c>
      <c r="J2579" s="1644" t="e">
        <f t="shared" si="267"/>
        <v>#REF!</v>
      </c>
      <c r="K2579" s="1539"/>
      <c r="L2579" s="1539"/>
      <c r="M2579" s="1545"/>
      <c r="N2579" s="1545"/>
      <c r="O2579" s="1539"/>
      <c r="P2579" s="1539"/>
      <c r="Q2579" s="1539"/>
      <c r="R2579" s="1539"/>
      <c r="S2579" s="1539"/>
      <c r="T2579" s="1539"/>
      <c r="U2579" s="1539"/>
      <c r="V2579" s="1539"/>
      <c r="W2579" s="1539"/>
      <c r="X2579" s="1539"/>
      <c r="Y2579" s="1539"/>
      <c r="Z2579" s="1539"/>
      <c r="AA2579" s="1539"/>
      <c r="AB2579" s="1539"/>
      <c r="AC2579" s="1539"/>
      <c r="AD2579" s="1539"/>
      <c r="AE2579" s="1539"/>
      <c r="AF2579" s="1539"/>
      <c r="AG2579" s="1539"/>
      <c r="AH2579" s="1539"/>
      <c r="AI2579" s="1539"/>
      <c r="AJ2579" s="1539"/>
      <c r="AK2579" s="1539"/>
      <c r="AL2579" s="1539"/>
      <c r="AM2579" s="1539"/>
      <c r="AN2579" s="1539"/>
      <c r="AO2579" s="1539"/>
      <c r="AP2579" s="1539"/>
      <c r="AQ2579" s="1539"/>
      <c r="AR2579" s="1539"/>
      <c r="AS2579" s="1539"/>
      <c r="AT2579" s="1539"/>
      <c r="AU2579" s="1539"/>
      <c r="AV2579" s="1539"/>
      <c r="AW2579" s="1539"/>
      <c r="AX2579" s="1539"/>
      <c r="AY2579" s="1539"/>
      <c r="AZ2579" s="1539"/>
      <c r="BA2579" s="1539"/>
      <c r="BB2579" s="1539"/>
      <c r="BC2579" s="1539"/>
      <c r="BD2579" s="1539"/>
      <c r="BE2579" s="1539"/>
      <c r="BF2579" s="1539"/>
      <c r="BG2579" s="1539"/>
      <c r="BH2579" s="1539"/>
      <c r="BI2579" s="1539"/>
      <c r="BJ2579" s="1539"/>
      <c r="BK2579" s="1539"/>
      <c r="BL2579" s="1539"/>
      <c r="BM2579" s="1539"/>
      <c r="BN2579" s="1539"/>
      <c r="BO2579" s="1539"/>
      <c r="BP2579" s="1539"/>
      <c r="BQ2579" s="1539"/>
      <c r="BR2579" s="1539"/>
      <c r="BS2579" s="1539"/>
      <c r="BT2579" s="1539"/>
      <c r="BU2579" s="1539"/>
      <c r="BV2579" s="1539"/>
      <c r="BW2579" s="1539"/>
      <c r="BX2579" s="1539"/>
      <c r="BY2579" s="1539"/>
      <c r="BZ2579" s="1539"/>
      <c r="CA2579" s="1539"/>
      <c r="CB2579" s="1539"/>
      <c r="CC2579" s="1539"/>
      <c r="CD2579" s="1539"/>
      <c r="CE2579" s="1539"/>
      <c r="CF2579" s="1539"/>
      <c r="CG2579" s="1539"/>
      <c r="CH2579" s="1539"/>
      <c r="CI2579" s="1539"/>
      <c r="CJ2579" s="1539"/>
      <c r="CK2579" s="1539"/>
      <c r="CL2579" s="1539"/>
      <c r="CM2579" s="1539"/>
      <c r="CN2579" s="1539"/>
      <c r="CO2579" s="1539"/>
    </row>
    <row r="2580" spans="1:93" s="1543" customFormat="1" ht="15.5">
      <c r="A2580" s="1598">
        <v>61.363</v>
      </c>
      <c r="B2580" s="1599" t="s">
        <v>2983</v>
      </c>
      <c r="C2580" s="1643" t="e">
        <f>+SUMIF(#REF!,Final!A2580,#REF!)</f>
        <v>#REF!</v>
      </c>
      <c r="D2580" s="1597" t="e">
        <f>+SUMIF(#REF!,Final!A2580,#REF!)</f>
        <v>#REF!</v>
      </c>
      <c r="E2580" s="1643" t="e">
        <f>SUMIF(#REF!,Final!A2580,#REF!)</f>
        <v>#REF!</v>
      </c>
      <c r="F2580" s="1644" t="e">
        <f>SUMIF(#REF!,Final!A2580,#REF!)</f>
        <v>#REF!</v>
      </c>
      <c r="G2580" s="1597" t="e">
        <f t="shared" si="264"/>
        <v>#REF!</v>
      </c>
      <c r="H2580" s="1644" t="e">
        <f t="shared" si="265"/>
        <v>#REF!</v>
      </c>
      <c r="I2580" s="1597" t="e">
        <f t="shared" si="266"/>
        <v>#REF!</v>
      </c>
      <c r="J2580" s="1644" t="e">
        <f t="shared" si="267"/>
        <v>#REF!</v>
      </c>
      <c r="K2580" s="1539"/>
      <c r="L2580" s="1539"/>
      <c r="M2580" s="1545"/>
      <c r="N2580" s="1545"/>
      <c r="O2580" s="1539"/>
      <c r="P2580" s="1539"/>
      <c r="Q2580" s="1539"/>
      <c r="R2580" s="1539"/>
      <c r="S2580" s="1539"/>
      <c r="T2580" s="1539"/>
      <c r="U2580" s="1539"/>
      <c r="V2580" s="1539"/>
      <c r="W2580" s="1539"/>
      <c r="X2580" s="1539"/>
      <c r="Y2580" s="1539"/>
      <c r="Z2580" s="1539"/>
      <c r="AA2580" s="1539"/>
      <c r="AB2580" s="1539"/>
      <c r="AC2580" s="1539"/>
      <c r="AD2580" s="1539"/>
      <c r="AE2580" s="1539"/>
      <c r="AF2580" s="1539"/>
      <c r="AG2580" s="1539"/>
      <c r="AH2580" s="1539"/>
      <c r="AI2580" s="1539"/>
      <c r="AJ2580" s="1539"/>
      <c r="AK2580" s="1539"/>
      <c r="AL2580" s="1539"/>
      <c r="AM2580" s="1539"/>
      <c r="AN2580" s="1539"/>
      <c r="AO2580" s="1539"/>
      <c r="AP2580" s="1539"/>
      <c r="AQ2580" s="1539"/>
      <c r="AR2580" s="1539"/>
      <c r="AS2580" s="1539"/>
      <c r="AT2580" s="1539"/>
      <c r="AU2580" s="1539"/>
      <c r="AV2580" s="1539"/>
      <c r="AW2580" s="1539"/>
      <c r="AX2580" s="1539"/>
      <c r="AY2580" s="1539"/>
      <c r="AZ2580" s="1539"/>
      <c r="BA2580" s="1539"/>
      <c r="BB2580" s="1539"/>
      <c r="BC2580" s="1539"/>
      <c r="BD2580" s="1539"/>
      <c r="BE2580" s="1539"/>
      <c r="BF2580" s="1539"/>
      <c r="BG2580" s="1539"/>
      <c r="BH2580" s="1539"/>
      <c r="BI2580" s="1539"/>
      <c r="BJ2580" s="1539"/>
      <c r="BK2580" s="1539"/>
      <c r="BL2580" s="1539"/>
      <c r="BM2580" s="1539"/>
      <c r="BN2580" s="1539"/>
      <c r="BO2580" s="1539"/>
      <c r="BP2580" s="1539"/>
      <c r="BQ2580" s="1539"/>
      <c r="BR2580" s="1539"/>
      <c r="BS2580" s="1539"/>
      <c r="BT2580" s="1539"/>
      <c r="BU2580" s="1539"/>
      <c r="BV2580" s="1539"/>
      <c r="BW2580" s="1539"/>
      <c r="BX2580" s="1539"/>
      <c r="BY2580" s="1539"/>
      <c r="BZ2580" s="1539"/>
      <c r="CA2580" s="1539"/>
      <c r="CB2580" s="1539"/>
      <c r="CC2580" s="1539"/>
      <c r="CD2580" s="1539"/>
      <c r="CE2580" s="1539"/>
      <c r="CF2580" s="1539"/>
      <c r="CG2580" s="1539"/>
      <c r="CH2580" s="1539"/>
      <c r="CI2580" s="1539"/>
      <c r="CJ2580" s="1539"/>
      <c r="CK2580" s="1539"/>
      <c r="CL2580" s="1539"/>
      <c r="CM2580" s="1539"/>
      <c r="CN2580" s="1539"/>
      <c r="CO2580" s="1539"/>
    </row>
    <row r="2581" spans="1:93" s="1543" customFormat="1" ht="15.5">
      <c r="A2581" s="1598">
        <v>61.363999999999997</v>
      </c>
      <c r="B2581" s="1599" t="s">
        <v>2984</v>
      </c>
      <c r="C2581" s="1643" t="e">
        <f>+SUMIF(#REF!,Final!A2581,#REF!)</f>
        <v>#REF!</v>
      </c>
      <c r="D2581" s="1597" t="e">
        <f>+SUMIF(#REF!,Final!A2581,#REF!)</f>
        <v>#REF!</v>
      </c>
      <c r="E2581" s="1643" t="e">
        <f>SUMIF(#REF!,Final!A2581,#REF!)</f>
        <v>#REF!</v>
      </c>
      <c r="F2581" s="1644" t="e">
        <f>SUMIF(#REF!,Final!A2581,#REF!)</f>
        <v>#REF!</v>
      </c>
      <c r="G2581" s="1597" t="e">
        <f t="shared" si="264"/>
        <v>#REF!</v>
      </c>
      <c r="H2581" s="1644" t="e">
        <f t="shared" si="265"/>
        <v>#REF!</v>
      </c>
      <c r="I2581" s="1597" t="e">
        <f t="shared" si="266"/>
        <v>#REF!</v>
      </c>
      <c r="J2581" s="1644" t="e">
        <f t="shared" si="267"/>
        <v>#REF!</v>
      </c>
      <c r="K2581" s="1539"/>
      <c r="L2581" s="1539"/>
      <c r="M2581" s="1545"/>
      <c r="N2581" s="1545"/>
      <c r="O2581" s="1539"/>
      <c r="P2581" s="1539"/>
      <c r="Q2581" s="1539"/>
      <c r="R2581" s="1539"/>
      <c r="S2581" s="1539"/>
      <c r="T2581" s="1539"/>
      <c r="U2581" s="1539"/>
      <c r="V2581" s="1539"/>
      <c r="W2581" s="1539"/>
      <c r="X2581" s="1539"/>
      <c r="Y2581" s="1539"/>
      <c r="Z2581" s="1539"/>
      <c r="AA2581" s="1539"/>
      <c r="AB2581" s="1539"/>
      <c r="AC2581" s="1539"/>
      <c r="AD2581" s="1539"/>
      <c r="AE2581" s="1539"/>
      <c r="AF2581" s="1539"/>
      <c r="AG2581" s="1539"/>
      <c r="AH2581" s="1539"/>
      <c r="AI2581" s="1539"/>
      <c r="AJ2581" s="1539"/>
      <c r="AK2581" s="1539"/>
      <c r="AL2581" s="1539"/>
      <c r="AM2581" s="1539"/>
      <c r="AN2581" s="1539"/>
      <c r="AO2581" s="1539"/>
      <c r="AP2581" s="1539"/>
      <c r="AQ2581" s="1539"/>
      <c r="AR2581" s="1539"/>
      <c r="AS2581" s="1539"/>
      <c r="AT2581" s="1539"/>
      <c r="AU2581" s="1539"/>
      <c r="AV2581" s="1539"/>
      <c r="AW2581" s="1539"/>
      <c r="AX2581" s="1539"/>
      <c r="AY2581" s="1539"/>
      <c r="AZ2581" s="1539"/>
      <c r="BA2581" s="1539"/>
      <c r="BB2581" s="1539"/>
      <c r="BC2581" s="1539"/>
      <c r="BD2581" s="1539"/>
      <c r="BE2581" s="1539"/>
      <c r="BF2581" s="1539"/>
      <c r="BG2581" s="1539"/>
      <c r="BH2581" s="1539"/>
      <c r="BI2581" s="1539"/>
      <c r="BJ2581" s="1539"/>
      <c r="BK2581" s="1539"/>
      <c r="BL2581" s="1539"/>
      <c r="BM2581" s="1539"/>
      <c r="BN2581" s="1539"/>
      <c r="BO2581" s="1539"/>
      <c r="BP2581" s="1539"/>
      <c r="BQ2581" s="1539"/>
      <c r="BR2581" s="1539"/>
      <c r="BS2581" s="1539"/>
      <c r="BT2581" s="1539"/>
      <c r="BU2581" s="1539"/>
      <c r="BV2581" s="1539"/>
      <c r="BW2581" s="1539"/>
      <c r="BX2581" s="1539"/>
      <c r="BY2581" s="1539"/>
      <c r="BZ2581" s="1539"/>
      <c r="CA2581" s="1539"/>
      <c r="CB2581" s="1539"/>
      <c r="CC2581" s="1539"/>
      <c r="CD2581" s="1539"/>
      <c r="CE2581" s="1539"/>
      <c r="CF2581" s="1539"/>
      <c r="CG2581" s="1539"/>
      <c r="CH2581" s="1539"/>
      <c r="CI2581" s="1539"/>
      <c r="CJ2581" s="1539"/>
      <c r="CK2581" s="1539"/>
      <c r="CL2581" s="1539"/>
      <c r="CM2581" s="1539"/>
      <c r="CN2581" s="1539"/>
      <c r="CO2581" s="1539"/>
    </row>
    <row r="2582" spans="1:93" s="1543" customFormat="1" ht="15.5">
      <c r="A2582" s="1598">
        <v>61.365000000000002</v>
      </c>
      <c r="B2582" s="1599" t="s">
        <v>2985</v>
      </c>
      <c r="C2582" s="1643" t="e">
        <f>+SUMIF(#REF!,Final!A2582,#REF!)</f>
        <v>#REF!</v>
      </c>
      <c r="D2582" s="1597" t="e">
        <f>+SUMIF(#REF!,Final!A2582,#REF!)</f>
        <v>#REF!</v>
      </c>
      <c r="E2582" s="1643" t="e">
        <f>SUMIF(#REF!,Final!A2582,#REF!)</f>
        <v>#REF!</v>
      </c>
      <c r="F2582" s="1644" t="e">
        <f>SUMIF(#REF!,Final!A2582,#REF!)</f>
        <v>#REF!</v>
      </c>
      <c r="G2582" s="1597" t="e">
        <f t="shared" si="264"/>
        <v>#REF!</v>
      </c>
      <c r="H2582" s="1644" t="e">
        <f t="shared" si="265"/>
        <v>#REF!</v>
      </c>
      <c r="I2582" s="1597" t="e">
        <f t="shared" si="266"/>
        <v>#REF!</v>
      </c>
      <c r="J2582" s="1644" t="e">
        <f t="shared" si="267"/>
        <v>#REF!</v>
      </c>
      <c r="K2582" s="1539"/>
      <c r="L2582" s="1539"/>
      <c r="M2582" s="1545"/>
      <c r="N2582" s="1545"/>
      <c r="O2582" s="1539"/>
      <c r="P2582" s="1539"/>
      <c r="Q2582" s="1539"/>
      <c r="R2582" s="1539"/>
      <c r="S2582" s="1539"/>
      <c r="T2582" s="1539"/>
      <c r="U2582" s="1539"/>
      <c r="V2582" s="1539"/>
      <c r="W2582" s="1539"/>
      <c r="X2582" s="1539"/>
      <c r="Y2582" s="1539"/>
      <c r="Z2582" s="1539"/>
      <c r="AA2582" s="1539"/>
      <c r="AB2582" s="1539"/>
      <c r="AC2582" s="1539"/>
      <c r="AD2582" s="1539"/>
      <c r="AE2582" s="1539"/>
      <c r="AF2582" s="1539"/>
      <c r="AG2582" s="1539"/>
      <c r="AH2582" s="1539"/>
      <c r="AI2582" s="1539"/>
      <c r="AJ2582" s="1539"/>
      <c r="AK2582" s="1539"/>
      <c r="AL2582" s="1539"/>
      <c r="AM2582" s="1539"/>
      <c r="AN2582" s="1539"/>
      <c r="AO2582" s="1539"/>
      <c r="AP2582" s="1539"/>
      <c r="AQ2582" s="1539"/>
      <c r="AR2582" s="1539"/>
      <c r="AS2582" s="1539"/>
      <c r="AT2582" s="1539"/>
      <c r="AU2582" s="1539"/>
      <c r="AV2582" s="1539"/>
      <c r="AW2582" s="1539"/>
      <c r="AX2582" s="1539"/>
      <c r="AY2582" s="1539"/>
      <c r="AZ2582" s="1539"/>
      <c r="BA2582" s="1539"/>
      <c r="BB2582" s="1539"/>
      <c r="BC2582" s="1539"/>
      <c r="BD2582" s="1539"/>
      <c r="BE2582" s="1539"/>
      <c r="BF2582" s="1539"/>
      <c r="BG2582" s="1539"/>
      <c r="BH2582" s="1539"/>
      <c r="BI2582" s="1539"/>
      <c r="BJ2582" s="1539"/>
      <c r="BK2582" s="1539"/>
      <c r="BL2582" s="1539"/>
      <c r="BM2582" s="1539"/>
      <c r="BN2582" s="1539"/>
      <c r="BO2582" s="1539"/>
      <c r="BP2582" s="1539"/>
      <c r="BQ2582" s="1539"/>
      <c r="BR2582" s="1539"/>
      <c r="BS2582" s="1539"/>
      <c r="BT2582" s="1539"/>
      <c r="BU2582" s="1539"/>
      <c r="BV2582" s="1539"/>
      <c r="BW2582" s="1539"/>
      <c r="BX2582" s="1539"/>
      <c r="BY2582" s="1539"/>
      <c r="BZ2582" s="1539"/>
      <c r="CA2582" s="1539"/>
      <c r="CB2582" s="1539"/>
      <c r="CC2582" s="1539"/>
      <c r="CD2582" s="1539"/>
      <c r="CE2582" s="1539"/>
      <c r="CF2582" s="1539"/>
      <c r="CG2582" s="1539"/>
      <c r="CH2582" s="1539"/>
      <c r="CI2582" s="1539"/>
      <c r="CJ2582" s="1539"/>
      <c r="CK2582" s="1539"/>
      <c r="CL2582" s="1539"/>
      <c r="CM2582" s="1539"/>
      <c r="CN2582" s="1539"/>
      <c r="CO2582" s="1539"/>
    </row>
    <row r="2583" spans="1:93" s="1552" customFormat="1" ht="15.5">
      <c r="A2583" s="1598"/>
      <c r="B2583" s="1599" t="s">
        <v>1747</v>
      </c>
      <c r="C2583" s="1643" t="e">
        <f>+SUMIF(#REF!,Final!A2583,#REF!)</f>
        <v>#REF!</v>
      </c>
      <c r="D2583" s="1597" t="e">
        <f>+SUMIF(#REF!,Final!A2583,#REF!)</f>
        <v>#REF!</v>
      </c>
      <c r="E2583" s="1643" t="e">
        <f>SUMIF(#REF!,Final!A2583,#REF!)</f>
        <v>#REF!</v>
      </c>
      <c r="F2583" s="1644" t="e">
        <f>SUMIF(#REF!,Final!A2583,#REF!)</f>
        <v>#REF!</v>
      </c>
      <c r="G2583" s="1597" t="e">
        <f t="shared" si="264"/>
        <v>#REF!</v>
      </c>
      <c r="H2583" s="1644" t="e">
        <f t="shared" si="265"/>
        <v>#REF!</v>
      </c>
      <c r="I2583" s="1597" t="e">
        <f t="shared" si="266"/>
        <v>#REF!</v>
      </c>
      <c r="J2583" s="1644" t="e">
        <f t="shared" si="267"/>
        <v>#REF!</v>
      </c>
      <c r="K2583" s="1539"/>
      <c r="L2583" s="1539"/>
      <c r="M2583" s="1545"/>
      <c r="N2583" s="1545"/>
      <c r="O2583" s="1539"/>
      <c r="P2583" s="1539"/>
      <c r="Q2583" s="1539"/>
      <c r="R2583" s="1539"/>
      <c r="S2583" s="1539"/>
      <c r="T2583" s="1539"/>
      <c r="U2583" s="1539"/>
      <c r="V2583" s="1539"/>
      <c r="W2583" s="1539"/>
      <c r="X2583" s="1539"/>
      <c r="Y2583" s="1539"/>
      <c r="Z2583" s="1539"/>
      <c r="AA2583" s="1539"/>
      <c r="AB2583" s="1539"/>
      <c r="AC2583" s="1539"/>
      <c r="AD2583" s="1539"/>
      <c r="AE2583" s="1539"/>
      <c r="AF2583" s="1539"/>
      <c r="AG2583" s="1539"/>
      <c r="AH2583" s="1539"/>
      <c r="AI2583" s="1539"/>
      <c r="AJ2583" s="1539"/>
      <c r="AK2583" s="1539"/>
      <c r="AL2583" s="1539"/>
      <c r="AM2583" s="1539"/>
      <c r="AN2583" s="1539"/>
      <c r="AO2583" s="1539"/>
      <c r="AP2583" s="1539"/>
      <c r="AQ2583" s="1539"/>
      <c r="AR2583" s="1539"/>
      <c r="AS2583" s="1539"/>
      <c r="AT2583" s="1539"/>
      <c r="AU2583" s="1539"/>
      <c r="AV2583" s="1539"/>
      <c r="AW2583" s="1539"/>
      <c r="AX2583" s="1539"/>
      <c r="AY2583" s="1539"/>
      <c r="AZ2583" s="1539"/>
      <c r="BA2583" s="1539"/>
      <c r="BB2583" s="1539"/>
      <c r="BC2583" s="1539"/>
      <c r="BD2583" s="1539"/>
      <c r="BE2583" s="1539"/>
      <c r="BF2583" s="1539"/>
      <c r="BG2583" s="1539"/>
      <c r="BH2583" s="1539"/>
      <c r="BI2583" s="1539"/>
      <c r="BJ2583" s="1539"/>
      <c r="BK2583" s="1539"/>
      <c r="BL2583" s="1539"/>
      <c r="BM2583" s="1539"/>
      <c r="BN2583" s="1539"/>
      <c r="BO2583" s="1539"/>
      <c r="BP2583" s="1539"/>
      <c r="BQ2583" s="1539"/>
      <c r="BR2583" s="1539"/>
      <c r="BS2583" s="1539"/>
      <c r="BT2583" s="1539"/>
      <c r="BU2583" s="1539"/>
      <c r="BV2583" s="1539"/>
      <c r="BW2583" s="1539"/>
      <c r="BX2583" s="1539"/>
      <c r="BY2583" s="1539"/>
      <c r="BZ2583" s="1539"/>
      <c r="CA2583" s="1539"/>
      <c r="CB2583" s="1539"/>
      <c r="CC2583" s="1539"/>
      <c r="CD2583" s="1539"/>
      <c r="CE2583" s="1539"/>
      <c r="CF2583" s="1539"/>
      <c r="CG2583" s="1539"/>
      <c r="CH2583" s="1539"/>
      <c r="CI2583" s="1539"/>
      <c r="CJ2583" s="1539"/>
      <c r="CK2583" s="1539"/>
      <c r="CL2583" s="1539"/>
      <c r="CM2583" s="1539"/>
      <c r="CN2583" s="1539"/>
      <c r="CO2583" s="1539"/>
    </row>
    <row r="2584" spans="1:93" s="1552" customFormat="1" ht="15.5">
      <c r="A2584" s="1598"/>
      <c r="B2584" s="1599" t="s">
        <v>1760</v>
      </c>
      <c r="C2584" s="1643" t="e">
        <f>+SUMIF(#REF!,Final!A2584,#REF!)</f>
        <v>#REF!</v>
      </c>
      <c r="D2584" s="1597" t="e">
        <f>+SUMIF(#REF!,Final!A2584,#REF!)</f>
        <v>#REF!</v>
      </c>
      <c r="E2584" s="1643" t="e">
        <f>SUMIF(#REF!,Final!A2584,#REF!)</f>
        <v>#REF!</v>
      </c>
      <c r="F2584" s="1644" t="e">
        <f>SUMIF(#REF!,Final!A2584,#REF!)</f>
        <v>#REF!</v>
      </c>
      <c r="G2584" s="1597" t="e">
        <f t="shared" si="264"/>
        <v>#REF!</v>
      </c>
      <c r="H2584" s="1644" t="e">
        <f t="shared" si="265"/>
        <v>#REF!</v>
      </c>
      <c r="I2584" s="1597" t="e">
        <f t="shared" si="266"/>
        <v>#REF!</v>
      </c>
      <c r="J2584" s="1644" t="e">
        <f t="shared" si="267"/>
        <v>#REF!</v>
      </c>
      <c r="K2584" s="1539"/>
      <c r="L2584" s="1539"/>
      <c r="M2584" s="1545"/>
      <c r="N2584" s="1545"/>
      <c r="O2584" s="1539"/>
      <c r="P2584" s="1539"/>
      <c r="Q2584" s="1539"/>
      <c r="R2584" s="1539"/>
      <c r="S2584" s="1539"/>
      <c r="T2584" s="1539"/>
      <c r="U2584" s="1539"/>
      <c r="V2584" s="1539"/>
      <c r="W2584" s="1539"/>
      <c r="X2584" s="1539"/>
      <c r="Y2584" s="1539"/>
      <c r="Z2584" s="1539"/>
      <c r="AA2584" s="1539"/>
      <c r="AB2584" s="1539"/>
      <c r="AC2584" s="1539"/>
      <c r="AD2584" s="1539"/>
      <c r="AE2584" s="1539"/>
      <c r="AF2584" s="1539"/>
      <c r="AG2584" s="1539"/>
      <c r="AH2584" s="1539"/>
      <c r="AI2584" s="1539"/>
      <c r="AJ2584" s="1539"/>
      <c r="AK2584" s="1539"/>
      <c r="AL2584" s="1539"/>
      <c r="AM2584" s="1539"/>
      <c r="AN2584" s="1539"/>
      <c r="AO2584" s="1539"/>
      <c r="AP2584" s="1539"/>
      <c r="AQ2584" s="1539"/>
      <c r="AR2584" s="1539"/>
      <c r="AS2584" s="1539"/>
      <c r="AT2584" s="1539"/>
      <c r="AU2584" s="1539"/>
      <c r="AV2584" s="1539"/>
      <c r="AW2584" s="1539"/>
      <c r="AX2584" s="1539"/>
      <c r="AY2584" s="1539"/>
      <c r="AZ2584" s="1539"/>
      <c r="BA2584" s="1539"/>
      <c r="BB2584" s="1539"/>
      <c r="BC2584" s="1539"/>
      <c r="BD2584" s="1539"/>
      <c r="BE2584" s="1539"/>
      <c r="BF2584" s="1539"/>
      <c r="BG2584" s="1539"/>
      <c r="BH2584" s="1539"/>
      <c r="BI2584" s="1539"/>
      <c r="BJ2584" s="1539"/>
      <c r="BK2584" s="1539"/>
      <c r="BL2584" s="1539"/>
      <c r="BM2584" s="1539"/>
      <c r="BN2584" s="1539"/>
      <c r="BO2584" s="1539"/>
      <c r="BP2584" s="1539"/>
      <c r="BQ2584" s="1539"/>
      <c r="BR2584" s="1539"/>
      <c r="BS2584" s="1539"/>
      <c r="BT2584" s="1539"/>
      <c r="BU2584" s="1539"/>
      <c r="BV2584" s="1539"/>
      <c r="BW2584" s="1539"/>
      <c r="BX2584" s="1539"/>
      <c r="BY2584" s="1539"/>
      <c r="BZ2584" s="1539"/>
      <c r="CA2584" s="1539"/>
      <c r="CB2584" s="1539"/>
      <c r="CC2584" s="1539"/>
      <c r="CD2584" s="1539"/>
      <c r="CE2584" s="1539"/>
      <c r="CF2584" s="1539"/>
      <c r="CG2584" s="1539"/>
      <c r="CH2584" s="1539"/>
      <c r="CI2584" s="1539"/>
      <c r="CJ2584" s="1539"/>
      <c r="CK2584" s="1539"/>
      <c r="CL2584" s="1539"/>
      <c r="CM2584" s="1539"/>
      <c r="CN2584" s="1539"/>
      <c r="CO2584" s="1539"/>
    </row>
    <row r="2585" spans="1:93" s="1542" customFormat="1" ht="15.5">
      <c r="A2585" s="1598" t="s">
        <v>2986</v>
      </c>
      <c r="B2585" s="1599" t="s">
        <v>1905</v>
      </c>
      <c r="C2585" s="1643" t="e">
        <f>+SUMIF(#REF!,Final!A2585,#REF!)</f>
        <v>#REF!</v>
      </c>
      <c r="D2585" s="1597" t="e">
        <f>+SUMIF(#REF!,Final!A2585,#REF!)</f>
        <v>#REF!</v>
      </c>
      <c r="E2585" s="1643" t="e">
        <f>SUMIF(#REF!,Final!A2585,#REF!)</f>
        <v>#REF!</v>
      </c>
      <c r="F2585" s="1644" t="e">
        <f>SUMIF(#REF!,Final!A2585,#REF!)</f>
        <v>#REF!</v>
      </c>
      <c r="G2585" s="1597" t="e">
        <f t="shared" si="264"/>
        <v>#REF!</v>
      </c>
      <c r="H2585" s="1644" t="e">
        <f t="shared" si="265"/>
        <v>#REF!</v>
      </c>
      <c r="I2585" s="1597" t="e">
        <f t="shared" si="266"/>
        <v>#REF!</v>
      </c>
      <c r="J2585" s="1644" t="e">
        <f t="shared" si="267"/>
        <v>#REF!</v>
      </c>
      <c r="K2585" s="1539"/>
      <c r="L2585" s="1539"/>
      <c r="M2585" s="1545"/>
      <c r="N2585" s="1545"/>
      <c r="O2585" s="1539"/>
      <c r="P2585" s="1539"/>
      <c r="Q2585" s="1539"/>
      <c r="R2585" s="1539"/>
      <c r="S2585" s="1539"/>
      <c r="T2585" s="1539"/>
      <c r="U2585" s="1539"/>
      <c r="V2585" s="1539"/>
      <c r="W2585" s="1539"/>
      <c r="X2585" s="1539"/>
      <c r="Y2585" s="1539"/>
      <c r="Z2585" s="1539"/>
      <c r="AA2585" s="1539"/>
      <c r="AB2585" s="1539"/>
      <c r="AC2585" s="1539"/>
      <c r="AD2585" s="1539"/>
      <c r="AE2585" s="1539"/>
      <c r="AF2585" s="1539"/>
      <c r="AG2585" s="1539"/>
      <c r="AH2585" s="1539"/>
      <c r="AI2585" s="1539"/>
      <c r="AJ2585" s="1539"/>
      <c r="AK2585" s="1539"/>
      <c r="AL2585" s="1539"/>
      <c r="AM2585" s="1539"/>
      <c r="AN2585" s="1539"/>
      <c r="AO2585" s="1539"/>
      <c r="AP2585" s="1539"/>
      <c r="AQ2585" s="1539"/>
      <c r="AR2585" s="1539"/>
      <c r="AS2585" s="1539"/>
      <c r="AT2585" s="1539"/>
      <c r="AU2585" s="1539"/>
      <c r="AV2585" s="1539"/>
      <c r="AW2585" s="1539"/>
      <c r="AX2585" s="1539"/>
      <c r="AY2585" s="1539"/>
      <c r="AZ2585" s="1539"/>
      <c r="BA2585" s="1539"/>
      <c r="BB2585" s="1539"/>
      <c r="BC2585" s="1539"/>
      <c r="BD2585" s="1539"/>
      <c r="BE2585" s="1539"/>
      <c r="BF2585" s="1539"/>
      <c r="BG2585" s="1539"/>
      <c r="BH2585" s="1539"/>
      <c r="BI2585" s="1539"/>
      <c r="BJ2585" s="1539"/>
      <c r="BK2585" s="1539"/>
      <c r="BL2585" s="1539"/>
      <c r="BM2585" s="1539"/>
      <c r="BN2585" s="1539"/>
      <c r="BO2585" s="1539"/>
      <c r="BP2585" s="1539"/>
      <c r="BQ2585" s="1539"/>
      <c r="BR2585" s="1539"/>
      <c r="BS2585" s="1539"/>
      <c r="BT2585" s="1539"/>
      <c r="BU2585" s="1539"/>
      <c r="BV2585" s="1539"/>
      <c r="BW2585" s="1539"/>
      <c r="BX2585" s="1539"/>
      <c r="BY2585" s="1539"/>
      <c r="BZ2585" s="1539"/>
      <c r="CA2585" s="1539"/>
      <c r="CB2585" s="1539"/>
      <c r="CC2585" s="1539"/>
      <c r="CD2585" s="1539"/>
      <c r="CE2585" s="1539"/>
      <c r="CF2585" s="1539"/>
      <c r="CG2585" s="1539"/>
      <c r="CH2585" s="1539"/>
      <c r="CI2585" s="1539"/>
      <c r="CJ2585" s="1539"/>
      <c r="CK2585" s="1539"/>
      <c r="CL2585" s="1539"/>
      <c r="CM2585" s="1539"/>
      <c r="CN2585" s="1539"/>
      <c r="CO2585" s="1539"/>
    </row>
    <row r="2586" spans="1:93" s="1543" customFormat="1" ht="15.5">
      <c r="A2586" s="1598">
        <v>61.371000000000002</v>
      </c>
      <c r="B2586" s="1599" t="s">
        <v>2987</v>
      </c>
      <c r="C2586" s="1643" t="e">
        <f>+SUMIF(#REF!,Final!A2586,#REF!)</f>
        <v>#REF!</v>
      </c>
      <c r="D2586" s="1597" t="e">
        <f>+SUMIF(#REF!,Final!A2586,#REF!)</f>
        <v>#REF!</v>
      </c>
      <c r="E2586" s="1643" t="e">
        <f>SUMIF(#REF!,Final!A2586,#REF!)</f>
        <v>#REF!</v>
      </c>
      <c r="F2586" s="1644" t="e">
        <f>SUMIF(#REF!,Final!A2586,#REF!)</f>
        <v>#REF!</v>
      </c>
      <c r="G2586" s="1597" t="e">
        <f t="shared" si="264"/>
        <v>#REF!</v>
      </c>
      <c r="H2586" s="1644" t="e">
        <f t="shared" si="265"/>
        <v>#REF!</v>
      </c>
      <c r="I2586" s="1597" t="e">
        <f t="shared" si="266"/>
        <v>#REF!</v>
      </c>
      <c r="J2586" s="1644" t="e">
        <f t="shared" si="267"/>
        <v>#REF!</v>
      </c>
      <c r="K2586" s="1539"/>
      <c r="L2586" s="1539"/>
      <c r="M2586" s="1545"/>
      <c r="N2586" s="1545"/>
      <c r="O2586" s="1539"/>
      <c r="P2586" s="1539"/>
      <c r="Q2586" s="1539"/>
      <c r="R2586" s="1539"/>
      <c r="S2586" s="1539"/>
      <c r="T2586" s="1539"/>
      <c r="U2586" s="1539"/>
      <c r="V2586" s="1539"/>
      <c r="W2586" s="1539"/>
      <c r="X2586" s="1539"/>
      <c r="Y2586" s="1539"/>
      <c r="Z2586" s="1539"/>
      <c r="AA2586" s="1539"/>
      <c r="AB2586" s="1539"/>
      <c r="AC2586" s="1539"/>
      <c r="AD2586" s="1539"/>
      <c r="AE2586" s="1539"/>
      <c r="AF2586" s="1539"/>
      <c r="AG2586" s="1539"/>
      <c r="AH2586" s="1539"/>
      <c r="AI2586" s="1539"/>
      <c r="AJ2586" s="1539"/>
      <c r="AK2586" s="1539"/>
      <c r="AL2586" s="1539"/>
      <c r="AM2586" s="1539"/>
      <c r="AN2586" s="1539"/>
      <c r="AO2586" s="1539"/>
      <c r="AP2586" s="1539"/>
      <c r="AQ2586" s="1539"/>
      <c r="AR2586" s="1539"/>
      <c r="AS2586" s="1539"/>
      <c r="AT2586" s="1539"/>
      <c r="AU2586" s="1539"/>
      <c r="AV2586" s="1539"/>
      <c r="AW2586" s="1539"/>
      <c r="AX2586" s="1539"/>
      <c r="AY2586" s="1539"/>
      <c r="AZ2586" s="1539"/>
      <c r="BA2586" s="1539"/>
      <c r="BB2586" s="1539"/>
      <c r="BC2586" s="1539"/>
      <c r="BD2586" s="1539"/>
      <c r="BE2586" s="1539"/>
      <c r="BF2586" s="1539"/>
      <c r="BG2586" s="1539"/>
      <c r="BH2586" s="1539"/>
      <c r="BI2586" s="1539"/>
      <c r="BJ2586" s="1539"/>
      <c r="BK2586" s="1539"/>
      <c r="BL2586" s="1539"/>
      <c r="BM2586" s="1539"/>
      <c r="BN2586" s="1539"/>
      <c r="BO2586" s="1539"/>
      <c r="BP2586" s="1539"/>
      <c r="BQ2586" s="1539"/>
      <c r="BR2586" s="1539"/>
      <c r="BS2586" s="1539"/>
      <c r="BT2586" s="1539"/>
      <c r="BU2586" s="1539"/>
      <c r="BV2586" s="1539"/>
      <c r="BW2586" s="1539"/>
      <c r="BX2586" s="1539"/>
      <c r="BY2586" s="1539"/>
      <c r="BZ2586" s="1539"/>
      <c r="CA2586" s="1539"/>
      <c r="CB2586" s="1539"/>
      <c r="CC2586" s="1539"/>
      <c r="CD2586" s="1539"/>
      <c r="CE2586" s="1539"/>
      <c r="CF2586" s="1539"/>
      <c r="CG2586" s="1539"/>
      <c r="CH2586" s="1539"/>
      <c r="CI2586" s="1539"/>
      <c r="CJ2586" s="1539"/>
      <c r="CK2586" s="1539"/>
      <c r="CL2586" s="1539"/>
      <c r="CM2586" s="1539"/>
      <c r="CN2586" s="1539"/>
      <c r="CO2586" s="1539"/>
    </row>
    <row r="2587" spans="1:93" s="1543" customFormat="1" ht="15.5">
      <c r="A2587" s="1598">
        <v>61.372</v>
      </c>
      <c r="B2587" s="1599" t="s">
        <v>2988</v>
      </c>
      <c r="C2587" s="1643" t="e">
        <f>+SUMIF(#REF!,Final!A2587,#REF!)</f>
        <v>#REF!</v>
      </c>
      <c r="D2587" s="1597" t="e">
        <f>+SUMIF(#REF!,Final!A2587,#REF!)</f>
        <v>#REF!</v>
      </c>
      <c r="E2587" s="1643" t="e">
        <f>SUMIF(#REF!,Final!A2587,#REF!)</f>
        <v>#REF!</v>
      </c>
      <c r="F2587" s="1644" t="e">
        <f>SUMIF(#REF!,Final!A2587,#REF!)</f>
        <v>#REF!</v>
      </c>
      <c r="G2587" s="1597" t="e">
        <f t="shared" si="264"/>
        <v>#REF!</v>
      </c>
      <c r="H2587" s="1644" t="e">
        <f t="shared" si="265"/>
        <v>#REF!</v>
      </c>
      <c r="I2587" s="1597" t="e">
        <f t="shared" si="266"/>
        <v>#REF!</v>
      </c>
      <c r="J2587" s="1644" t="e">
        <f t="shared" si="267"/>
        <v>#REF!</v>
      </c>
      <c r="K2587" s="1539"/>
      <c r="L2587" s="1539"/>
      <c r="M2587" s="1545"/>
      <c r="N2587" s="1545"/>
      <c r="O2587" s="1539"/>
      <c r="P2587" s="1539"/>
      <c r="Q2587" s="1539"/>
      <c r="R2587" s="1539"/>
      <c r="S2587" s="1539"/>
      <c r="T2587" s="1539"/>
      <c r="U2587" s="1539"/>
      <c r="V2587" s="1539"/>
      <c r="W2587" s="1539"/>
      <c r="X2587" s="1539"/>
      <c r="Y2587" s="1539"/>
      <c r="Z2587" s="1539"/>
      <c r="AA2587" s="1539"/>
      <c r="AB2587" s="1539"/>
      <c r="AC2587" s="1539"/>
      <c r="AD2587" s="1539"/>
      <c r="AE2587" s="1539"/>
      <c r="AF2587" s="1539"/>
      <c r="AG2587" s="1539"/>
      <c r="AH2587" s="1539"/>
      <c r="AI2587" s="1539"/>
      <c r="AJ2587" s="1539"/>
      <c r="AK2587" s="1539"/>
      <c r="AL2587" s="1539"/>
      <c r="AM2587" s="1539"/>
      <c r="AN2587" s="1539"/>
      <c r="AO2587" s="1539"/>
      <c r="AP2587" s="1539"/>
      <c r="AQ2587" s="1539"/>
      <c r="AR2587" s="1539"/>
      <c r="AS2587" s="1539"/>
      <c r="AT2587" s="1539"/>
      <c r="AU2587" s="1539"/>
      <c r="AV2587" s="1539"/>
      <c r="AW2587" s="1539"/>
      <c r="AX2587" s="1539"/>
      <c r="AY2587" s="1539"/>
      <c r="AZ2587" s="1539"/>
      <c r="BA2587" s="1539"/>
      <c r="BB2587" s="1539"/>
      <c r="BC2587" s="1539"/>
      <c r="BD2587" s="1539"/>
      <c r="BE2587" s="1539"/>
      <c r="BF2587" s="1539"/>
      <c r="BG2587" s="1539"/>
      <c r="BH2587" s="1539"/>
      <c r="BI2587" s="1539"/>
      <c r="BJ2587" s="1539"/>
      <c r="BK2587" s="1539"/>
      <c r="BL2587" s="1539"/>
      <c r="BM2587" s="1539"/>
      <c r="BN2587" s="1539"/>
      <c r="BO2587" s="1539"/>
      <c r="BP2587" s="1539"/>
      <c r="BQ2587" s="1539"/>
      <c r="BR2587" s="1539"/>
      <c r="BS2587" s="1539"/>
      <c r="BT2587" s="1539"/>
      <c r="BU2587" s="1539"/>
      <c r="BV2587" s="1539"/>
      <c r="BW2587" s="1539"/>
      <c r="BX2587" s="1539"/>
      <c r="BY2587" s="1539"/>
      <c r="BZ2587" s="1539"/>
      <c r="CA2587" s="1539"/>
      <c r="CB2587" s="1539"/>
      <c r="CC2587" s="1539"/>
      <c r="CD2587" s="1539"/>
      <c r="CE2587" s="1539"/>
      <c r="CF2587" s="1539"/>
      <c r="CG2587" s="1539"/>
      <c r="CH2587" s="1539"/>
      <c r="CI2587" s="1539"/>
      <c r="CJ2587" s="1539"/>
      <c r="CK2587" s="1539"/>
      <c r="CL2587" s="1539"/>
      <c r="CM2587" s="1539"/>
      <c r="CN2587" s="1539"/>
      <c r="CO2587" s="1539"/>
    </row>
    <row r="2588" spans="1:93" s="1543" customFormat="1" ht="15.5">
      <c r="A2588" s="1598">
        <v>61.372999999999998</v>
      </c>
      <c r="B2588" s="1599" t="s">
        <v>2989</v>
      </c>
      <c r="C2588" s="1643" t="e">
        <f>+SUMIF(#REF!,Final!A2588,#REF!)</f>
        <v>#REF!</v>
      </c>
      <c r="D2588" s="1597" t="e">
        <f>+SUMIF(#REF!,Final!A2588,#REF!)</f>
        <v>#REF!</v>
      </c>
      <c r="E2588" s="1643" t="e">
        <f>SUMIF(#REF!,Final!A2588,#REF!)</f>
        <v>#REF!</v>
      </c>
      <c r="F2588" s="1644" t="e">
        <f>SUMIF(#REF!,Final!A2588,#REF!)</f>
        <v>#REF!</v>
      </c>
      <c r="G2588" s="1597" t="e">
        <f t="shared" si="264"/>
        <v>#REF!</v>
      </c>
      <c r="H2588" s="1644" t="e">
        <f t="shared" si="265"/>
        <v>#REF!</v>
      </c>
      <c r="I2588" s="1597" t="e">
        <f t="shared" si="266"/>
        <v>#REF!</v>
      </c>
      <c r="J2588" s="1644" t="e">
        <f t="shared" si="267"/>
        <v>#REF!</v>
      </c>
      <c r="K2588" s="1539"/>
      <c r="L2588" s="1539"/>
      <c r="M2588" s="1545"/>
      <c r="N2588" s="1545"/>
      <c r="O2588" s="1539"/>
      <c r="P2588" s="1539"/>
      <c r="Q2588" s="1539"/>
      <c r="R2588" s="1539"/>
      <c r="S2588" s="1539"/>
      <c r="T2588" s="1539"/>
      <c r="U2588" s="1539"/>
      <c r="V2588" s="1539"/>
      <c r="W2588" s="1539"/>
      <c r="X2588" s="1539"/>
      <c r="Y2588" s="1539"/>
      <c r="Z2588" s="1539"/>
      <c r="AA2588" s="1539"/>
      <c r="AB2588" s="1539"/>
      <c r="AC2588" s="1539"/>
      <c r="AD2588" s="1539"/>
      <c r="AE2588" s="1539"/>
      <c r="AF2588" s="1539"/>
      <c r="AG2588" s="1539"/>
      <c r="AH2588" s="1539"/>
      <c r="AI2588" s="1539"/>
      <c r="AJ2588" s="1539"/>
      <c r="AK2588" s="1539"/>
      <c r="AL2588" s="1539"/>
      <c r="AM2588" s="1539"/>
      <c r="AN2588" s="1539"/>
      <c r="AO2588" s="1539"/>
      <c r="AP2588" s="1539"/>
      <c r="AQ2588" s="1539"/>
      <c r="AR2588" s="1539"/>
      <c r="AS2588" s="1539"/>
      <c r="AT2588" s="1539"/>
      <c r="AU2588" s="1539"/>
      <c r="AV2588" s="1539"/>
      <c r="AW2588" s="1539"/>
      <c r="AX2588" s="1539"/>
      <c r="AY2588" s="1539"/>
      <c r="AZ2588" s="1539"/>
      <c r="BA2588" s="1539"/>
      <c r="BB2588" s="1539"/>
      <c r="BC2588" s="1539"/>
      <c r="BD2588" s="1539"/>
      <c r="BE2588" s="1539"/>
      <c r="BF2588" s="1539"/>
      <c r="BG2588" s="1539"/>
      <c r="BH2588" s="1539"/>
      <c r="BI2588" s="1539"/>
      <c r="BJ2588" s="1539"/>
      <c r="BK2588" s="1539"/>
      <c r="BL2588" s="1539"/>
      <c r="BM2588" s="1539"/>
      <c r="BN2588" s="1539"/>
      <c r="BO2588" s="1539"/>
      <c r="BP2588" s="1539"/>
      <c r="BQ2588" s="1539"/>
      <c r="BR2588" s="1539"/>
      <c r="BS2588" s="1539"/>
      <c r="BT2588" s="1539"/>
      <c r="BU2588" s="1539"/>
      <c r="BV2588" s="1539"/>
      <c r="BW2588" s="1539"/>
      <c r="BX2588" s="1539"/>
      <c r="BY2588" s="1539"/>
      <c r="BZ2588" s="1539"/>
      <c r="CA2588" s="1539"/>
      <c r="CB2588" s="1539"/>
      <c r="CC2588" s="1539"/>
      <c r="CD2588" s="1539"/>
      <c r="CE2588" s="1539"/>
      <c r="CF2588" s="1539"/>
      <c r="CG2588" s="1539"/>
      <c r="CH2588" s="1539"/>
      <c r="CI2588" s="1539"/>
      <c r="CJ2588" s="1539"/>
      <c r="CK2588" s="1539"/>
      <c r="CL2588" s="1539"/>
      <c r="CM2588" s="1539"/>
      <c r="CN2588" s="1539"/>
      <c r="CO2588" s="1539"/>
    </row>
    <row r="2589" spans="1:93" s="1543" customFormat="1" ht="15.5">
      <c r="A2589" s="1598">
        <v>61.374000000000002</v>
      </c>
      <c r="B2589" s="1599" t="s">
        <v>2990</v>
      </c>
      <c r="C2589" s="1643" t="e">
        <f>+SUMIF(#REF!,Final!A2589,#REF!)</f>
        <v>#REF!</v>
      </c>
      <c r="D2589" s="1597" t="e">
        <f>+SUMIF(#REF!,Final!A2589,#REF!)</f>
        <v>#REF!</v>
      </c>
      <c r="E2589" s="1643" t="e">
        <f>SUMIF(#REF!,Final!A2589,#REF!)</f>
        <v>#REF!</v>
      </c>
      <c r="F2589" s="1644" t="e">
        <f>SUMIF(#REF!,Final!A2589,#REF!)</f>
        <v>#REF!</v>
      </c>
      <c r="G2589" s="1597" t="e">
        <f t="shared" si="264"/>
        <v>#REF!</v>
      </c>
      <c r="H2589" s="1644" t="e">
        <f t="shared" si="265"/>
        <v>#REF!</v>
      </c>
      <c r="I2589" s="1597" t="e">
        <f t="shared" si="266"/>
        <v>#REF!</v>
      </c>
      <c r="J2589" s="1644" t="e">
        <f t="shared" si="267"/>
        <v>#REF!</v>
      </c>
      <c r="K2589" s="1539"/>
      <c r="L2589" s="1539"/>
      <c r="M2589" s="1545"/>
      <c r="N2589" s="1545"/>
      <c r="O2589" s="1539"/>
      <c r="P2589" s="1539"/>
      <c r="Q2589" s="1539"/>
      <c r="R2589" s="1539"/>
      <c r="S2589" s="1539"/>
      <c r="T2589" s="1539"/>
      <c r="U2589" s="1539"/>
      <c r="V2589" s="1539"/>
      <c r="W2589" s="1539"/>
      <c r="X2589" s="1539"/>
      <c r="Y2589" s="1539"/>
      <c r="Z2589" s="1539"/>
      <c r="AA2589" s="1539"/>
      <c r="AB2589" s="1539"/>
      <c r="AC2589" s="1539"/>
      <c r="AD2589" s="1539"/>
      <c r="AE2589" s="1539"/>
      <c r="AF2589" s="1539"/>
      <c r="AG2589" s="1539"/>
      <c r="AH2589" s="1539"/>
      <c r="AI2589" s="1539"/>
      <c r="AJ2589" s="1539"/>
      <c r="AK2589" s="1539"/>
      <c r="AL2589" s="1539"/>
      <c r="AM2589" s="1539"/>
      <c r="AN2589" s="1539"/>
      <c r="AO2589" s="1539"/>
      <c r="AP2589" s="1539"/>
      <c r="AQ2589" s="1539"/>
      <c r="AR2589" s="1539"/>
      <c r="AS2589" s="1539"/>
      <c r="AT2589" s="1539"/>
      <c r="AU2589" s="1539"/>
      <c r="AV2589" s="1539"/>
      <c r="AW2589" s="1539"/>
      <c r="AX2589" s="1539"/>
      <c r="AY2589" s="1539"/>
      <c r="AZ2589" s="1539"/>
      <c r="BA2589" s="1539"/>
      <c r="BB2589" s="1539"/>
      <c r="BC2589" s="1539"/>
      <c r="BD2589" s="1539"/>
      <c r="BE2589" s="1539"/>
      <c r="BF2589" s="1539"/>
      <c r="BG2589" s="1539"/>
      <c r="BH2589" s="1539"/>
      <c r="BI2589" s="1539"/>
      <c r="BJ2589" s="1539"/>
      <c r="BK2589" s="1539"/>
      <c r="BL2589" s="1539"/>
      <c r="BM2589" s="1539"/>
      <c r="BN2589" s="1539"/>
      <c r="BO2589" s="1539"/>
      <c r="BP2589" s="1539"/>
      <c r="BQ2589" s="1539"/>
      <c r="BR2589" s="1539"/>
      <c r="BS2589" s="1539"/>
      <c r="BT2589" s="1539"/>
      <c r="BU2589" s="1539"/>
      <c r="BV2589" s="1539"/>
      <c r="BW2589" s="1539"/>
      <c r="BX2589" s="1539"/>
      <c r="BY2589" s="1539"/>
      <c r="BZ2589" s="1539"/>
      <c r="CA2589" s="1539"/>
      <c r="CB2589" s="1539"/>
      <c r="CC2589" s="1539"/>
      <c r="CD2589" s="1539"/>
      <c r="CE2589" s="1539"/>
      <c r="CF2589" s="1539"/>
      <c r="CG2589" s="1539"/>
      <c r="CH2589" s="1539"/>
      <c r="CI2589" s="1539"/>
      <c r="CJ2589" s="1539"/>
      <c r="CK2589" s="1539"/>
      <c r="CL2589" s="1539"/>
      <c r="CM2589" s="1539"/>
      <c r="CN2589" s="1539"/>
      <c r="CO2589" s="1539"/>
    </row>
    <row r="2590" spans="1:93" s="1543" customFormat="1" ht="15.5">
      <c r="A2590" s="1598">
        <v>61.375</v>
      </c>
      <c r="B2590" s="1599" t="s">
        <v>2991</v>
      </c>
      <c r="C2590" s="1643" t="e">
        <f>+SUMIF(#REF!,Final!A2590,#REF!)</f>
        <v>#REF!</v>
      </c>
      <c r="D2590" s="1597" t="e">
        <f>+SUMIF(#REF!,Final!A2590,#REF!)</f>
        <v>#REF!</v>
      </c>
      <c r="E2590" s="1643" t="e">
        <f>SUMIF(#REF!,Final!A2590,#REF!)</f>
        <v>#REF!</v>
      </c>
      <c r="F2590" s="1644" t="e">
        <f>SUMIF(#REF!,Final!A2590,#REF!)</f>
        <v>#REF!</v>
      </c>
      <c r="G2590" s="1597" t="e">
        <f t="shared" si="264"/>
        <v>#REF!</v>
      </c>
      <c r="H2590" s="1644" t="e">
        <f t="shared" si="265"/>
        <v>#REF!</v>
      </c>
      <c r="I2590" s="1597" t="e">
        <f t="shared" si="266"/>
        <v>#REF!</v>
      </c>
      <c r="J2590" s="1644" t="e">
        <f t="shared" si="267"/>
        <v>#REF!</v>
      </c>
      <c r="K2590" s="1539"/>
      <c r="L2590" s="1539"/>
      <c r="M2590" s="1545"/>
      <c r="N2590" s="1545"/>
      <c r="O2590" s="1539"/>
      <c r="P2590" s="1539"/>
      <c r="Q2590" s="1539"/>
      <c r="R2590" s="1539"/>
      <c r="S2590" s="1539"/>
      <c r="T2590" s="1539"/>
      <c r="U2590" s="1539"/>
      <c r="V2590" s="1539"/>
      <c r="W2590" s="1539"/>
      <c r="X2590" s="1539"/>
      <c r="Y2590" s="1539"/>
      <c r="Z2590" s="1539"/>
      <c r="AA2590" s="1539"/>
      <c r="AB2590" s="1539"/>
      <c r="AC2590" s="1539"/>
      <c r="AD2590" s="1539"/>
      <c r="AE2590" s="1539"/>
      <c r="AF2590" s="1539"/>
      <c r="AG2590" s="1539"/>
      <c r="AH2590" s="1539"/>
      <c r="AI2590" s="1539"/>
      <c r="AJ2590" s="1539"/>
      <c r="AK2590" s="1539"/>
      <c r="AL2590" s="1539"/>
      <c r="AM2590" s="1539"/>
      <c r="AN2590" s="1539"/>
      <c r="AO2590" s="1539"/>
      <c r="AP2590" s="1539"/>
      <c r="AQ2590" s="1539"/>
      <c r="AR2590" s="1539"/>
      <c r="AS2590" s="1539"/>
      <c r="AT2590" s="1539"/>
      <c r="AU2590" s="1539"/>
      <c r="AV2590" s="1539"/>
      <c r="AW2590" s="1539"/>
      <c r="AX2590" s="1539"/>
      <c r="AY2590" s="1539"/>
      <c r="AZ2590" s="1539"/>
      <c r="BA2590" s="1539"/>
      <c r="BB2590" s="1539"/>
      <c r="BC2590" s="1539"/>
      <c r="BD2590" s="1539"/>
      <c r="BE2590" s="1539"/>
      <c r="BF2590" s="1539"/>
      <c r="BG2590" s="1539"/>
      <c r="BH2590" s="1539"/>
      <c r="BI2590" s="1539"/>
      <c r="BJ2590" s="1539"/>
      <c r="BK2590" s="1539"/>
      <c r="BL2590" s="1539"/>
      <c r="BM2590" s="1539"/>
      <c r="BN2590" s="1539"/>
      <c r="BO2590" s="1539"/>
      <c r="BP2590" s="1539"/>
      <c r="BQ2590" s="1539"/>
      <c r="BR2590" s="1539"/>
      <c r="BS2590" s="1539"/>
      <c r="BT2590" s="1539"/>
      <c r="BU2590" s="1539"/>
      <c r="BV2590" s="1539"/>
      <c r="BW2590" s="1539"/>
      <c r="BX2590" s="1539"/>
      <c r="BY2590" s="1539"/>
      <c r="BZ2590" s="1539"/>
      <c r="CA2590" s="1539"/>
      <c r="CB2590" s="1539"/>
      <c r="CC2590" s="1539"/>
      <c r="CD2590" s="1539"/>
      <c r="CE2590" s="1539"/>
      <c r="CF2590" s="1539"/>
      <c r="CG2590" s="1539"/>
      <c r="CH2590" s="1539"/>
      <c r="CI2590" s="1539"/>
      <c r="CJ2590" s="1539"/>
      <c r="CK2590" s="1539"/>
      <c r="CL2590" s="1539"/>
      <c r="CM2590" s="1539"/>
      <c r="CN2590" s="1539"/>
      <c r="CO2590" s="1539"/>
    </row>
    <row r="2591" spans="1:93" s="1552" customFormat="1" ht="15.5">
      <c r="A2591" s="1598"/>
      <c r="B2591" s="1599" t="s">
        <v>1747</v>
      </c>
      <c r="C2591" s="1643" t="e">
        <f>+SUMIF(#REF!,Final!A2591,#REF!)</f>
        <v>#REF!</v>
      </c>
      <c r="D2591" s="1597" t="e">
        <f>+SUMIF(#REF!,Final!A2591,#REF!)</f>
        <v>#REF!</v>
      </c>
      <c r="E2591" s="1643" t="e">
        <f>SUMIF(#REF!,Final!A2591,#REF!)</f>
        <v>#REF!</v>
      </c>
      <c r="F2591" s="1644" t="e">
        <f>SUMIF(#REF!,Final!A2591,#REF!)</f>
        <v>#REF!</v>
      </c>
      <c r="G2591" s="1597" t="e">
        <f t="shared" si="264"/>
        <v>#REF!</v>
      </c>
      <c r="H2591" s="1644" t="e">
        <f t="shared" si="265"/>
        <v>#REF!</v>
      </c>
      <c r="I2591" s="1597" t="e">
        <f t="shared" si="266"/>
        <v>#REF!</v>
      </c>
      <c r="J2591" s="1644" t="e">
        <f t="shared" si="267"/>
        <v>#REF!</v>
      </c>
      <c r="K2591" s="1539"/>
      <c r="L2591" s="1539"/>
      <c r="M2591" s="1545"/>
      <c r="N2591" s="1545"/>
      <c r="O2591" s="1539"/>
      <c r="P2591" s="1539"/>
      <c r="Q2591" s="1539"/>
      <c r="R2591" s="1539"/>
      <c r="S2591" s="1539"/>
      <c r="T2591" s="1539"/>
      <c r="U2591" s="1539"/>
      <c r="V2591" s="1539"/>
      <c r="W2591" s="1539"/>
      <c r="X2591" s="1539"/>
      <c r="Y2591" s="1539"/>
      <c r="Z2591" s="1539"/>
      <c r="AA2591" s="1539"/>
      <c r="AB2591" s="1539"/>
      <c r="AC2591" s="1539"/>
      <c r="AD2591" s="1539"/>
      <c r="AE2591" s="1539"/>
      <c r="AF2591" s="1539"/>
      <c r="AG2591" s="1539"/>
      <c r="AH2591" s="1539"/>
      <c r="AI2591" s="1539"/>
      <c r="AJ2591" s="1539"/>
      <c r="AK2591" s="1539"/>
      <c r="AL2591" s="1539"/>
      <c r="AM2591" s="1539"/>
      <c r="AN2591" s="1539"/>
      <c r="AO2591" s="1539"/>
      <c r="AP2591" s="1539"/>
      <c r="AQ2591" s="1539"/>
      <c r="AR2591" s="1539"/>
      <c r="AS2591" s="1539"/>
      <c r="AT2591" s="1539"/>
      <c r="AU2591" s="1539"/>
      <c r="AV2591" s="1539"/>
      <c r="AW2591" s="1539"/>
      <c r="AX2591" s="1539"/>
      <c r="AY2591" s="1539"/>
      <c r="AZ2591" s="1539"/>
      <c r="BA2591" s="1539"/>
      <c r="BB2591" s="1539"/>
      <c r="BC2591" s="1539"/>
      <c r="BD2591" s="1539"/>
      <c r="BE2591" s="1539"/>
      <c r="BF2591" s="1539"/>
      <c r="BG2591" s="1539"/>
      <c r="BH2591" s="1539"/>
      <c r="BI2591" s="1539"/>
      <c r="BJ2591" s="1539"/>
      <c r="BK2591" s="1539"/>
      <c r="BL2591" s="1539"/>
      <c r="BM2591" s="1539"/>
      <c r="BN2591" s="1539"/>
      <c r="BO2591" s="1539"/>
      <c r="BP2591" s="1539"/>
      <c r="BQ2591" s="1539"/>
      <c r="BR2591" s="1539"/>
      <c r="BS2591" s="1539"/>
      <c r="BT2591" s="1539"/>
      <c r="BU2591" s="1539"/>
      <c r="BV2591" s="1539"/>
      <c r="BW2591" s="1539"/>
      <c r="BX2591" s="1539"/>
      <c r="BY2591" s="1539"/>
      <c r="BZ2591" s="1539"/>
      <c r="CA2591" s="1539"/>
      <c r="CB2591" s="1539"/>
      <c r="CC2591" s="1539"/>
      <c r="CD2591" s="1539"/>
      <c r="CE2591" s="1539"/>
      <c r="CF2591" s="1539"/>
      <c r="CG2591" s="1539"/>
      <c r="CH2591" s="1539"/>
      <c r="CI2591" s="1539"/>
      <c r="CJ2591" s="1539"/>
      <c r="CK2591" s="1539"/>
      <c r="CL2591" s="1539"/>
      <c r="CM2591" s="1539"/>
      <c r="CN2591" s="1539"/>
      <c r="CO2591" s="1539"/>
    </row>
    <row r="2592" spans="1:93" s="1552" customFormat="1" ht="15.5">
      <c r="A2592" s="1598"/>
      <c r="B2592" s="1599" t="s">
        <v>1760</v>
      </c>
      <c r="C2592" s="1643" t="e">
        <f>+SUMIF(#REF!,Final!A2592,#REF!)</f>
        <v>#REF!</v>
      </c>
      <c r="D2592" s="1597" t="e">
        <f>+SUMIF(#REF!,Final!A2592,#REF!)</f>
        <v>#REF!</v>
      </c>
      <c r="E2592" s="1643" t="e">
        <f>SUMIF(#REF!,Final!A2592,#REF!)</f>
        <v>#REF!</v>
      </c>
      <c r="F2592" s="1644" t="e">
        <f>SUMIF(#REF!,Final!A2592,#REF!)</f>
        <v>#REF!</v>
      </c>
      <c r="G2592" s="1597" t="e">
        <f t="shared" si="264"/>
        <v>#REF!</v>
      </c>
      <c r="H2592" s="1644" t="e">
        <f t="shared" si="265"/>
        <v>#REF!</v>
      </c>
      <c r="I2592" s="1597" t="e">
        <f t="shared" si="266"/>
        <v>#REF!</v>
      </c>
      <c r="J2592" s="1644" t="e">
        <f t="shared" si="267"/>
        <v>#REF!</v>
      </c>
      <c r="K2592" s="1539"/>
      <c r="L2592" s="1539"/>
      <c r="M2592" s="1545"/>
      <c r="N2592" s="1545"/>
      <c r="O2592" s="1539"/>
      <c r="P2592" s="1539"/>
      <c r="Q2592" s="1539"/>
      <c r="R2592" s="1539"/>
      <c r="S2592" s="1539"/>
      <c r="T2592" s="1539"/>
      <c r="U2592" s="1539"/>
      <c r="V2592" s="1539"/>
      <c r="W2592" s="1539"/>
      <c r="X2592" s="1539"/>
      <c r="Y2592" s="1539"/>
      <c r="Z2592" s="1539"/>
      <c r="AA2592" s="1539"/>
      <c r="AB2592" s="1539"/>
      <c r="AC2592" s="1539"/>
      <c r="AD2592" s="1539"/>
      <c r="AE2592" s="1539"/>
      <c r="AF2592" s="1539"/>
      <c r="AG2592" s="1539"/>
      <c r="AH2592" s="1539"/>
      <c r="AI2592" s="1539"/>
      <c r="AJ2592" s="1539"/>
      <c r="AK2592" s="1539"/>
      <c r="AL2592" s="1539"/>
      <c r="AM2592" s="1539"/>
      <c r="AN2592" s="1539"/>
      <c r="AO2592" s="1539"/>
      <c r="AP2592" s="1539"/>
      <c r="AQ2592" s="1539"/>
      <c r="AR2592" s="1539"/>
      <c r="AS2592" s="1539"/>
      <c r="AT2592" s="1539"/>
      <c r="AU2592" s="1539"/>
      <c r="AV2592" s="1539"/>
      <c r="AW2592" s="1539"/>
      <c r="AX2592" s="1539"/>
      <c r="AY2592" s="1539"/>
      <c r="AZ2592" s="1539"/>
      <c r="BA2592" s="1539"/>
      <c r="BB2592" s="1539"/>
      <c r="BC2592" s="1539"/>
      <c r="BD2592" s="1539"/>
      <c r="BE2592" s="1539"/>
      <c r="BF2592" s="1539"/>
      <c r="BG2592" s="1539"/>
      <c r="BH2592" s="1539"/>
      <c r="BI2592" s="1539"/>
      <c r="BJ2592" s="1539"/>
      <c r="BK2592" s="1539"/>
      <c r="BL2592" s="1539"/>
      <c r="BM2592" s="1539"/>
      <c r="BN2592" s="1539"/>
      <c r="BO2592" s="1539"/>
      <c r="BP2592" s="1539"/>
      <c r="BQ2592" s="1539"/>
      <c r="BR2592" s="1539"/>
      <c r="BS2592" s="1539"/>
      <c r="BT2592" s="1539"/>
      <c r="BU2592" s="1539"/>
      <c r="BV2592" s="1539"/>
      <c r="BW2592" s="1539"/>
      <c r="BX2592" s="1539"/>
      <c r="BY2592" s="1539"/>
      <c r="BZ2592" s="1539"/>
      <c r="CA2592" s="1539"/>
      <c r="CB2592" s="1539"/>
      <c r="CC2592" s="1539"/>
      <c r="CD2592" s="1539"/>
      <c r="CE2592" s="1539"/>
      <c r="CF2592" s="1539"/>
      <c r="CG2592" s="1539"/>
      <c r="CH2592" s="1539"/>
      <c r="CI2592" s="1539"/>
      <c r="CJ2592" s="1539"/>
      <c r="CK2592" s="1539"/>
      <c r="CL2592" s="1539"/>
      <c r="CM2592" s="1539"/>
      <c r="CN2592" s="1539"/>
      <c r="CO2592" s="1539"/>
    </row>
    <row r="2593" spans="1:93" ht="15.5">
      <c r="A2593" s="1598"/>
      <c r="B2593" s="1599" t="s">
        <v>2992</v>
      </c>
      <c r="C2593" s="1643" t="e">
        <f>+SUMIF(#REF!,Final!A2593,#REF!)</f>
        <v>#REF!</v>
      </c>
      <c r="D2593" s="1597" t="e">
        <f>+SUMIF(#REF!,Final!A2593,#REF!)</f>
        <v>#REF!</v>
      </c>
      <c r="E2593" s="1643" t="e">
        <f>SUMIF(#REF!,Final!A2593,#REF!)</f>
        <v>#REF!</v>
      </c>
      <c r="F2593" s="1644" t="e">
        <f>SUMIF(#REF!,Final!A2593,#REF!)</f>
        <v>#REF!</v>
      </c>
      <c r="G2593" s="1597" t="e">
        <f t="shared" si="264"/>
        <v>#REF!</v>
      </c>
      <c r="H2593" s="1644" t="e">
        <f t="shared" si="265"/>
        <v>#REF!</v>
      </c>
      <c r="I2593" s="1597" t="e">
        <f t="shared" si="266"/>
        <v>#REF!</v>
      </c>
      <c r="J2593" s="1644" t="e">
        <f t="shared" si="267"/>
        <v>#REF!</v>
      </c>
      <c r="M2593" s="1545"/>
      <c r="N2593" s="1545"/>
    </row>
    <row r="2594" spans="1:93" ht="15.5">
      <c r="A2594" s="1598">
        <v>61.401000000000003</v>
      </c>
      <c r="B2594" s="1599" t="s">
        <v>2993</v>
      </c>
      <c r="C2594" s="1643" t="e">
        <f>+SUMIF(#REF!,Final!A2594,#REF!)</f>
        <v>#REF!</v>
      </c>
      <c r="D2594" s="1597" t="e">
        <f>+SUMIF(#REF!,Final!A2594,#REF!)</f>
        <v>#REF!</v>
      </c>
      <c r="E2594" s="1643" t="e">
        <f>SUMIF(#REF!,Final!A2594,#REF!)</f>
        <v>#REF!</v>
      </c>
      <c r="F2594" s="1644" t="e">
        <f>SUMIF(#REF!,Final!A2594,#REF!)</f>
        <v>#REF!</v>
      </c>
      <c r="G2594" s="1597" t="e">
        <f t="shared" si="264"/>
        <v>#REF!</v>
      </c>
      <c r="H2594" s="1644" t="e">
        <f t="shared" si="265"/>
        <v>#REF!</v>
      </c>
      <c r="I2594" s="1597" t="e">
        <f t="shared" si="266"/>
        <v>#REF!</v>
      </c>
      <c r="J2594" s="1644" t="e">
        <f t="shared" si="267"/>
        <v>#REF!</v>
      </c>
      <c r="M2594" s="1545"/>
      <c r="N2594" s="1545"/>
    </row>
    <row r="2595" spans="1:93" s="1552" customFormat="1" ht="15.5">
      <c r="A2595" s="1598"/>
      <c r="B2595" s="1599" t="s">
        <v>1747</v>
      </c>
      <c r="C2595" s="1643" t="e">
        <f>+SUMIF(#REF!,Final!A2595,#REF!)</f>
        <v>#REF!</v>
      </c>
      <c r="D2595" s="1597" t="e">
        <f>+SUMIF(#REF!,Final!A2595,#REF!)</f>
        <v>#REF!</v>
      </c>
      <c r="E2595" s="1643" t="e">
        <f>SUMIF(#REF!,Final!A2595,#REF!)</f>
        <v>#REF!</v>
      </c>
      <c r="F2595" s="1644" t="e">
        <f>SUMIF(#REF!,Final!A2595,#REF!)</f>
        <v>#REF!</v>
      </c>
      <c r="G2595" s="1597" t="e">
        <f t="shared" si="264"/>
        <v>#REF!</v>
      </c>
      <c r="H2595" s="1644" t="e">
        <f t="shared" si="265"/>
        <v>#REF!</v>
      </c>
      <c r="I2595" s="1597" t="e">
        <f t="shared" si="266"/>
        <v>#REF!</v>
      </c>
      <c r="J2595" s="1644" t="e">
        <f t="shared" si="267"/>
        <v>#REF!</v>
      </c>
      <c r="K2595" s="1539"/>
      <c r="L2595" s="1539"/>
      <c r="M2595" s="1545"/>
      <c r="N2595" s="1545"/>
      <c r="O2595" s="1539"/>
      <c r="P2595" s="1539"/>
      <c r="Q2595" s="1539"/>
      <c r="R2595" s="1539"/>
      <c r="S2595" s="1539"/>
      <c r="T2595" s="1539"/>
      <c r="U2595" s="1539"/>
      <c r="V2595" s="1539"/>
      <c r="W2595" s="1539"/>
      <c r="X2595" s="1539"/>
      <c r="Y2595" s="1539"/>
      <c r="Z2595" s="1539"/>
      <c r="AA2595" s="1539"/>
      <c r="AB2595" s="1539"/>
      <c r="AC2595" s="1539"/>
      <c r="AD2595" s="1539"/>
      <c r="AE2595" s="1539"/>
      <c r="AF2595" s="1539"/>
      <c r="AG2595" s="1539"/>
      <c r="AH2595" s="1539"/>
      <c r="AI2595" s="1539"/>
      <c r="AJ2595" s="1539"/>
      <c r="AK2595" s="1539"/>
      <c r="AL2595" s="1539"/>
      <c r="AM2595" s="1539"/>
      <c r="AN2595" s="1539"/>
      <c r="AO2595" s="1539"/>
      <c r="AP2595" s="1539"/>
      <c r="AQ2595" s="1539"/>
      <c r="AR2595" s="1539"/>
      <c r="AS2595" s="1539"/>
      <c r="AT2595" s="1539"/>
      <c r="AU2595" s="1539"/>
      <c r="AV2595" s="1539"/>
      <c r="AW2595" s="1539"/>
      <c r="AX2595" s="1539"/>
      <c r="AY2595" s="1539"/>
      <c r="AZ2595" s="1539"/>
      <c r="BA2595" s="1539"/>
      <c r="BB2595" s="1539"/>
      <c r="BC2595" s="1539"/>
      <c r="BD2595" s="1539"/>
      <c r="BE2595" s="1539"/>
      <c r="BF2595" s="1539"/>
      <c r="BG2595" s="1539"/>
      <c r="BH2595" s="1539"/>
      <c r="BI2595" s="1539"/>
      <c r="BJ2595" s="1539"/>
      <c r="BK2595" s="1539"/>
      <c r="BL2595" s="1539"/>
      <c r="BM2595" s="1539"/>
      <c r="BN2595" s="1539"/>
      <c r="BO2595" s="1539"/>
      <c r="BP2595" s="1539"/>
      <c r="BQ2595" s="1539"/>
      <c r="BR2595" s="1539"/>
      <c r="BS2595" s="1539"/>
      <c r="BT2595" s="1539"/>
      <c r="BU2595" s="1539"/>
      <c r="BV2595" s="1539"/>
      <c r="BW2595" s="1539"/>
      <c r="BX2595" s="1539"/>
      <c r="BY2595" s="1539"/>
      <c r="BZ2595" s="1539"/>
      <c r="CA2595" s="1539"/>
      <c r="CB2595" s="1539"/>
      <c r="CC2595" s="1539"/>
      <c r="CD2595" s="1539"/>
      <c r="CE2595" s="1539"/>
      <c r="CF2595" s="1539"/>
      <c r="CG2595" s="1539"/>
      <c r="CH2595" s="1539"/>
      <c r="CI2595" s="1539"/>
      <c r="CJ2595" s="1539"/>
      <c r="CK2595" s="1539"/>
      <c r="CL2595" s="1539"/>
      <c r="CM2595" s="1539"/>
      <c r="CN2595" s="1539"/>
      <c r="CO2595" s="1539"/>
    </row>
    <row r="2596" spans="1:93" s="1552" customFormat="1" ht="15.5">
      <c r="A2596" s="1598"/>
      <c r="B2596" s="1599" t="s">
        <v>1760</v>
      </c>
      <c r="C2596" s="1643" t="e">
        <f>+SUMIF(#REF!,Final!A2596,#REF!)</f>
        <v>#REF!</v>
      </c>
      <c r="D2596" s="1597" t="e">
        <f>+SUMIF(#REF!,Final!A2596,#REF!)</f>
        <v>#REF!</v>
      </c>
      <c r="E2596" s="1643" t="e">
        <f>SUMIF(#REF!,Final!A2596,#REF!)</f>
        <v>#REF!</v>
      </c>
      <c r="F2596" s="1644" t="e">
        <f>SUMIF(#REF!,Final!A2596,#REF!)</f>
        <v>#REF!</v>
      </c>
      <c r="G2596" s="1597" t="e">
        <f t="shared" si="264"/>
        <v>#REF!</v>
      </c>
      <c r="H2596" s="1644" t="e">
        <f t="shared" si="265"/>
        <v>#REF!</v>
      </c>
      <c r="I2596" s="1597" t="e">
        <f t="shared" si="266"/>
        <v>#REF!</v>
      </c>
      <c r="J2596" s="1644" t="e">
        <f t="shared" si="267"/>
        <v>#REF!</v>
      </c>
      <c r="K2596" s="1539"/>
      <c r="L2596" s="1539"/>
      <c r="M2596" s="1545"/>
      <c r="N2596" s="1545"/>
      <c r="O2596" s="1539"/>
      <c r="P2596" s="1539"/>
      <c r="Q2596" s="1539"/>
      <c r="R2596" s="1539"/>
      <c r="S2596" s="1539"/>
      <c r="T2596" s="1539"/>
      <c r="U2596" s="1539"/>
      <c r="V2596" s="1539"/>
      <c r="W2596" s="1539"/>
      <c r="X2596" s="1539"/>
      <c r="Y2596" s="1539"/>
      <c r="Z2596" s="1539"/>
      <c r="AA2596" s="1539"/>
      <c r="AB2596" s="1539"/>
      <c r="AC2596" s="1539"/>
      <c r="AD2596" s="1539"/>
      <c r="AE2596" s="1539"/>
      <c r="AF2596" s="1539"/>
      <c r="AG2596" s="1539"/>
      <c r="AH2596" s="1539"/>
      <c r="AI2596" s="1539"/>
      <c r="AJ2596" s="1539"/>
      <c r="AK2596" s="1539"/>
      <c r="AL2596" s="1539"/>
      <c r="AM2596" s="1539"/>
      <c r="AN2596" s="1539"/>
      <c r="AO2596" s="1539"/>
      <c r="AP2596" s="1539"/>
      <c r="AQ2596" s="1539"/>
      <c r="AR2596" s="1539"/>
      <c r="AS2596" s="1539"/>
      <c r="AT2596" s="1539"/>
      <c r="AU2596" s="1539"/>
      <c r="AV2596" s="1539"/>
      <c r="AW2596" s="1539"/>
      <c r="AX2596" s="1539"/>
      <c r="AY2596" s="1539"/>
      <c r="AZ2596" s="1539"/>
      <c r="BA2596" s="1539"/>
      <c r="BB2596" s="1539"/>
      <c r="BC2596" s="1539"/>
      <c r="BD2596" s="1539"/>
      <c r="BE2596" s="1539"/>
      <c r="BF2596" s="1539"/>
      <c r="BG2596" s="1539"/>
      <c r="BH2596" s="1539"/>
      <c r="BI2596" s="1539"/>
      <c r="BJ2596" s="1539"/>
      <c r="BK2596" s="1539"/>
      <c r="BL2596" s="1539"/>
      <c r="BM2596" s="1539"/>
      <c r="BN2596" s="1539"/>
      <c r="BO2596" s="1539"/>
      <c r="BP2596" s="1539"/>
      <c r="BQ2596" s="1539"/>
      <c r="BR2596" s="1539"/>
      <c r="BS2596" s="1539"/>
      <c r="BT2596" s="1539"/>
      <c r="BU2596" s="1539"/>
      <c r="BV2596" s="1539"/>
      <c r="BW2596" s="1539"/>
      <c r="BX2596" s="1539"/>
      <c r="BY2596" s="1539"/>
      <c r="BZ2596" s="1539"/>
      <c r="CA2596" s="1539"/>
      <c r="CB2596" s="1539"/>
      <c r="CC2596" s="1539"/>
      <c r="CD2596" s="1539"/>
      <c r="CE2596" s="1539"/>
      <c r="CF2596" s="1539"/>
      <c r="CG2596" s="1539"/>
      <c r="CH2596" s="1539"/>
      <c r="CI2596" s="1539"/>
      <c r="CJ2596" s="1539"/>
      <c r="CK2596" s="1539"/>
      <c r="CL2596" s="1539"/>
      <c r="CM2596" s="1539"/>
      <c r="CN2596" s="1539"/>
      <c r="CO2596" s="1539"/>
    </row>
    <row r="2597" spans="1:93" s="1542" customFormat="1" ht="15.5">
      <c r="A2597" s="1598" t="s">
        <v>2577</v>
      </c>
      <c r="B2597" s="1599" t="s">
        <v>2994</v>
      </c>
      <c r="C2597" s="1643" t="e">
        <f>+SUMIF(#REF!,Final!A2597,#REF!)</f>
        <v>#REF!</v>
      </c>
      <c r="D2597" s="1597" t="e">
        <f>+SUMIF(#REF!,Final!A2597,#REF!)</f>
        <v>#REF!</v>
      </c>
      <c r="E2597" s="1643" t="e">
        <f>SUMIF(#REF!,Final!A2597,#REF!)</f>
        <v>#REF!</v>
      </c>
      <c r="F2597" s="1644" t="e">
        <f>SUMIF(#REF!,Final!A2597,#REF!)</f>
        <v>#REF!</v>
      </c>
      <c r="G2597" s="1597" t="e">
        <f t="shared" si="264"/>
        <v>#REF!</v>
      </c>
      <c r="H2597" s="1644" t="e">
        <f t="shared" si="265"/>
        <v>#REF!</v>
      </c>
      <c r="I2597" s="1597" t="e">
        <f t="shared" si="266"/>
        <v>#REF!</v>
      </c>
      <c r="J2597" s="1644" t="e">
        <f t="shared" si="267"/>
        <v>#REF!</v>
      </c>
      <c r="K2597" s="1539"/>
      <c r="L2597" s="1539"/>
      <c r="M2597" s="1545"/>
      <c r="N2597" s="1545"/>
      <c r="O2597" s="1539"/>
      <c r="P2597" s="1539"/>
      <c r="Q2597" s="1539"/>
      <c r="R2597" s="1539"/>
      <c r="S2597" s="1539"/>
      <c r="T2597" s="1539"/>
      <c r="U2597" s="1539"/>
      <c r="V2597" s="1539"/>
      <c r="W2597" s="1539"/>
      <c r="X2597" s="1539"/>
      <c r="Y2597" s="1539"/>
      <c r="Z2597" s="1539"/>
      <c r="AA2597" s="1539"/>
      <c r="AB2597" s="1539"/>
      <c r="AC2597" s="1539"/>
      <c r="AD2597" s="1539"/>
      <c r="AE2597" s="1539"/>
      <c r="AF2597" s="1539"/>
      <c r="AG2597" s="1539"/>
      <c r="AH2597" s="1539"/>
      <c r="AI2597" s="1539"/>
      <c r="AJ2597" s="1539"/>
      <c r="AK2597" s="1539"/>
      <c r="AL2597" s="1539"/>
      <c r="AM2597" s="1539"/>
      <c r="AN2597" s="1539"/>
      <c r="AO2597" s="1539"/>
      <c r="AP2597" s="1539"/>
      <c r="AQ2597" s="1539"/>
      <c r="AR2597" s="1539"/>
      <c r="AS2597" s="1539"/>
      <c r="AT2597" s="1539"/>
      <c r="AU2597" s="1539"/>
      <c r="AV2597" s="1539"/>
      <c r="AW2597" s="1539"/>
      <c r="AX2597" s="1539"/>
      <c r="AY2597" s="1539"/>
      <c r="AZ2597" s="1539"/>
      <c r="BA2597" s="1539"/>
      <c r="BB2597" s="1539"/>
      <c r="BC2597" s="1539"/>
      <c r="BD2597" s="1539"/>
      <c r="BE2597" s="1539"/>
      <c r="BF2597" s="1539"/>
      <c r="BG2597" s="1539"/>
      <c r="BH2597" s="1539"/>
      <c r="BI2597" s="1539"/>
      <c r="BJ2597" s="1539"/>
      <c r="BK2597" s="1539"/>
      <c r="BL2597" s="1539"/>
      <c r="BM2597" s="1539"/>
      <c r="BN2597" s="1539"/>
      <c r="BO2597" s="1539"/>
      <c r="BP2597" s="1539"/>
      <c r="BQ2597" s="1539"/>
      <c r="BR2597" s="1539"/>
      <c r="BS2597" s="1539"/>
      <c r="BT2597" s="1539"/>
      <c r="BU2597" s="1539"/>
      <c r="BV2597" s="1539"/>
      <c r="BW2597" s="1539"/>
      <c r="BX2597" s="1539"/>
      <c r="BY2597" s="1539"/>
      <c r="BZ2597" s="1539"/>
      <c r="CA2597" s="1539"/>
      <c r="CB2597" s="1539"/>
      <c r="CC2597" s="1539"/>
      <c r="CD2597" s="1539"/>
      <c r="CE2597" s="1539"/>
      <c r="CF2597" s="1539"/>
      <c r="CG2597" s="1539"/>
      <c r="CH2597" s="1539"/>
      <c r="CI2597" s="1539"/>
      <c r="CJ2597" s="1539"/>
      <c r="CK2597" s="1539"/>
      <c r="CL2597" s="1539"/>
      <c r="CM2597" s="1539"/>
      <c r="CN2597" s="1539"/>
      <c r="CO2597" s="1539"/>
    </row>
    <row r="2598" spans="1:93" s="1542" customFormat="1" ht="15.5">
      <c r="A2598" s="1598">
        <v>61.500999999999998</v>
      </c>
      <c r="B2598" s="1599" t="s">
        <v>666</v>
      </c>
      <c r="C2598" s="1643" t="e">
        <f>+SUMIF(#REF!,Final!A2598,#REF!)</f>
        <v>#REF!</v>
      </c>
      <c r="D2598" s="1597" t="e">
        <f>+SUMIF(#REF!,Final!A2598,#REF!)</f>
        <v>#REF!</v>
      </c>
      <c r="E2598" s="1643" t="e">
        <f>SUMIF(#REF!,Final!A2598,#REF!)</f>
        <v>#REF!</v>
      </c>
      <c r="F2598" s="1644" t="e">
        <f>SUMIF(#REF!,Final!A2598,#REF!)</f>
        <v>#REF!</v>
      </c>
      <c r="G2598" s="1597" t="e">
        <f t="shared" si="264"/>
        <v>#REF!</v>
      </c>
      <c r="H2598" s="1644" t="e">
        <f t="shared" si="265"/>
        <v>#REF!</v>
      </c>
      <c r="I2598" s="1597" t="e">
        <f t="shared" si="266"/>
        <v>#REF!</v>
      </c>
      <c r="J2598" s="1644" t="e">
        <f t="shared" si="267"/>
        <v>#REF!</v>
      </c>
      <c r="K2598" s="1539"/>
      <c r="L2598" s="1539"/>
      <c r="M2598" s="1545"/>
      <c r="N2598" s="1545"/>
      <c r="O2598" s="1539"/>
      <c r="P2598" s="1539"/>
      <c r="Q2598" s="1539"/>
      <c r="R2598" s="1539"/>
      <c r="S2598" s="1539"/>
      <c r="T2598" s="1539"/>
      <c r="U2598" s="1539"/>
      <c r="V2598" s="1539"/>
      <c r="W2598" s="1539"/>
      <c r="X2598" s="1539"/>
      <c r="Y2598" s="1539"/>
      <c r="Z2598" s="1539"/>
      <c r="AA2598" s="1539"/>
      <c r="AB2598" s="1539"/>
      <c r="AC2598" s="1539"/>
      <c r="AD2598" s="1539"/>
      <c r="AE2598" s="1539"/>
      <c r="AF2598" s="1539"/>
      <c r="AG2598" s="1539"/>
      <c r="AH2598" s="1539"/>
      <c r="AI2598" s="1539"/>
      <c r="AJ2598" s="1539"/>
      <c r="AK2598" s="1539"/>
      <c r="AL2598" s="1539"/>
      <c r="AM2598" s="1539"/>
      <c r="AN2598" s="1539"/>
      <c r="AO2598" s="1539"/>
      <c r="AP2598" s="1539"/>
      <c r="AQ2598" s="1539"/>
      <c r="AR2598" s="1539"/>
      <c r="AS2598" s="1539"/>
      <c r="AT2598" s="1539"/>
      <c r="AU2598" s="1539"/>
      <c r="AV2598" s="1539"/>
      <c r="AW2598" s="1539"/>
      <c r="AX2598" s="1539"/>
      <c r="AY2598" s="1539"/>
      <c r="AZ2598" s="1539"/>
      <c r="BA2598" s="1539"/>
      <c r="BB2598" s="1539"/>
      <c r="BC2598" s="1539"/>
      <c r="BD2598" s="1539"/>
      <c r="BE2598" s="1539"/>
      <c r="BF2598" s="1539"/>
      <c r="BG2598" s="1539"/>
      <c r="BH2598" s="1539"/>
      <c r="BI2598" s="1539"/>
      <c r="BJ2598" s="1539"/>
      <c r="BK2598" s="1539"/>
      <c r="BL2598" s="1539"/>
      <c r="BM2598" s="1539"/>
      <c r="BN2598" s="1539"/>
      <c r="BO2598" s="1539"/>
      <c r="BP2598" s="1539"/>
      <c r="BQ2598" s="1539"/>
      <c r="BR2598" s="1539"/>
      <c r="BS2598" s="1539"/>
      <c r="BT2598" s="1539"/>
      <c r="BU2598" s="1539"/>
      <c r="BV2598" s="1539"/>
      <c r="BW2598" s="1539"/>
      <c r="BX2598" s="1539"/>
      <c r="BY2598" s="1539"/>
      <c r="BZ2598" s="1539"/>
      <c r="CA2598" s="1539"/>
      <c r="CB2598" s="1539"/>
      <c r="CC2598" s="1539"/>
      <c r="CD2598" s="1539"/>
      <c r="CE2598" s="1539"/>
      <c r="CF2598" s="1539"/>
      <c r="CG2598" s="1539"/>
      <c r="CH2598" s="1539"/>
      <c r="CI2598" s="1539"/>
      <c r="CJ2598" s="1539"/>
      <c r="CK2598" s="1539"/>
      <c r="CL2598" s="1539"/>
      <c r="CM2598" s="1539"/>
      <c r="CN2598" s="1539"/>
      <c r="CO2598" s="1539"/>
    </row>
    <row r="2599" spans="1:93" s="1542" customFormat="1" ht="15.5">
      <c r="A2599" s="1598">
        <v>61.502000000000002</v>
      </c>
      <c r="B2599" s="1599" t="s">
        <v>1335</v>
      </c>
      <c r="C2599" s="1643" t="e">
        <f>+SUMIF(#REF!,Final!A2599,#REF!)</f>
        <v>#REF!</v>
      </c>
      <c r="D2599" s="1597" t="e">
        <f>+SUMIF(#REF!,Final!A2599,#REF!)</f>
        <v>#REF!</v>
      </c>
      <c r="E2599" s="1643" t="e">
        <f>SUMIF(#REF!,Final!A2599,#REF!)</f>
        <v>#REF!</v>
      </c>
      <c r="F2599" s="1644" t="e">
        <f>SUMIF(#REF!,Final!A2599,#REF!)</f>
        <v>#REF!</v>
      </c>
      <c r="G2599" s="1597" t="e">
        <f t="shared" si="264"/>
        <v>#REF!</v>
      </c>
      <c r="H2599" s="1644" t="e">
        <f t="shared" si="265"/>
        <v>#REF!</v>
      </c>
      <c r="I2599" s="1597" t="e">
        <f t="shared" si="266"/>
        <v>#REF!</v>
      </c>
      <c r="J2599" s="1644" t="e">
        <f t="shared" si="267"/>
        <v>#REF!</v>
      </c>
      <c r="K2599" s="1539"/>
      <c r="L2599" s="1539"/>
      <c r="M2599" s="1545"/>
      <c r="N2599" s="1545"/>
      <c r="O2599" s="1539"/>
      <c r="P2599" s="1539"/>
      <c r="Q2599" s="1539"/>
      <c r="R2599" s="1539"/>
      <c r="S2599" s="1539"/>
      <c r="T2599" s="1539"/>
      <c r="U2599" s="1539"/>
      <c r="V2599" s="1539"/>
      <c r="W2599" s="1539"/>
      <c r="X2599" s="1539"/>
      <c r="Y2599" s="1539"/>
      <c r="Z2599" s="1539"/>
      <c r="AA2599" s="1539"/>
      <c r="AB2599" s="1539"/>
      <c r="AC2599" s="1539"/>
      <c r="AD2599" s="1539"/>
      <c r="AE2599" s="1539"/>
      <c r="AF2599" s="1539"/>
      <c r="AG2599" s="1539"/>
      <c r="AH2599" s="1539"/>
      <c r="AI2599" s="1539"/>
      <c r="AJ2599" s="1539"/>
      <c r="AK2599" s="1539"/>
      <c r="AL2599" s="1539"/>
      <c r="AM2599" s="1539"/>
      <c r="AN2599" s="1539"/>
      <c r="AO2599" s="1539"/>
      <c r="AP2599" s="1539"/>
      <c r="AQ2599" s="1539"/>
      <c r="AR2599" s="1539"/>
      <c r="AS2599" s="1539"/>
      <c r="AT2599" s="1539"/>
      <c r="AU2599" s="1539"/>
      <c r="AV2599" s="1539"/>
      <c r="AW2599" s="1539"/>
      <c r="AX2599" s="1539"/>
      <c r="AY2599" s="1539"/>
      <c r="AZ2599" s="1539"/>
      <c r="BA2599" s="1539"/>
      <c r="BB2599" s="1539"/>
      <c r="BC2599" s="1539"/>
      <c r="BD2599" s="1539"/>
      <c r="BE2599" s="1539"/>
      <c r="BF2599" s="1539"/>
      <c r="BG2599" s="1539"/>
      <c r="BH2599" s="1539"/>
      <c r="BI2599" s="1539"/>
      <c r="BJ2599" s="1539"/>
      <c r="BK2599" s="1539"/>
      <c r="BL2599" s="1539"/>
      <c r="BM2599" s="1539"/>
      <c r="BN2599" s="1539"/>
      <c r="BO2599" s="1539"/>
      <c r="BP2599" s="1539"/>
      <c r="BQ2599" s="1539"/>
      <c r="BR2599" s="1539"/>
      <c r="BS2599" s="1539"/>
      <c r="BT2599" s="1539"/>
      <c r="BU2599" s="1539"/>
      <c r="BV2599" s="1539"/>
      <c r="BW2599" s="1539"/>
      <c r="BX2599" s="1539"/>
      <c r="BY2599" s="1539"/>
      <c r="BZ2599" s="1539"/>
      <c r="CA2599" s="1539"/>
      <c r="CB2599" s="1539"/>
      <c r="CC2599" s="1539"/>
      <c r="CD2599" s="1539"/>
      <c r="CE2599" s="1539"/>
      <c r="CF2599" s="1539"/>
      <c r="CG2599" s="1539"/>
      <c r="CH2599" s="1539"/>
      <c r="CI2599" s="1539"/>
      <c r="CJ2599" s="1539"/>
      <c r="CK2599" s="1539"/>
      <c r="CL2599" s="1539"/>
      <c r="CM2599" s="1539"/>
      <c r="CN2599" s="1539"/>
      <c r="CO2599" s="1539"/>
    </row>
    <row r="2600" spans="1:93" ht="15.5">
      <c r="A2600" s="1598">
        <v>61.503</v>
      </c>
      <c r="B2600" s="1599" t="s">
        <v>1899</v>
      </c>
      <c r="C2600" s="1643" t="e">
        <f>+SUMIF(#REF!,Final!A2600,#REF!)</f>
        <v>#REF!</v>
      </c>
      <c r="D2600" s="1597" t="e">
        <f>+SUMIF(#REF!,Final!A2600,#REF!)</f>
        <v>#REF!</v>
      </c>
      <c r="E2600" s="1643" t="e">
        <f>SUMIF(#REF!,Final!A2600,#REF!)</f>
        <v>#REF!</v>
      </c>
      <c r="F2600" s="1644" t="e">
        <f>SUMIF(#REF!,Final!A2600,#REF!)</f>
        <v>#REF!</v>
      </c>
      <c r="G2600" s="1597" t="e">
        <f t="shared" si="264"/>
        <v>#REF!</v>
      </c>
      <c r="H2600" s="1644" t="e">
        <f t="shared" si="265"/>
        <v>#REF!</v>
      </c>
      <c r="I2600" s="1597" t="e">
        <f t="shared" si="266"/>
        <v>#REF!</v>
      </c>
      <c r="J2600" s="1644" t="e">
        <f t="shared" si="267"/>
        <v>#REF!</v>
      </c>
      <c r="M2600" s="1545"/>
      <c r="N2600" s="1545"/>
    </row>
    <row r="2601" spans="1:93" ht="15.5">
      <c r="A2601" s="1598">
        <v>61.503999999999998</v>
      </c>
      <c r="B2601" s="1599" t="s">
        <v>1900</v>
      </c>
      <c r="C2601" s="1643" t="e">
        <f>+SUMIF(#REF!,Final!A2601,#REF!)</f>
        <v>#REF!</v>
      </c>
      <c r="D2601" s="1597" t="e">
        <f>+SUMIF(#REF!,Final!A2601,#REF!)</f>
        <v>#REF!</v>
      </c>
      <c r="E2601" s="1643" t="e">
        <f>SUMIF(#REF!,Final!A2601,#REF!)</f>
        <v>#REF!</v>
      </c>
      <c r="F2601" s="1644" t="e">
        <f>SUMIF(#REF!,Final!A2601,#REF!)</f>
        <v>#REF!</v>
      </c>
      <c r="G2601" s="1597" t="e">
        <f t="shared" si="264"/>
        <v>#REF!</v>
      </c>
      <c r="H2601" s="1644" t="e">
        <f t="shared" si="265"/>
        <v>#REF!</v>
      </c>
      <c r="I2601" s="1597" t="e">
        <f t="shared" si="266"/>
        <v>#REF!</v>
      </c>
      <c r="J2601" s="1644" t="e">
        <f t="shared" si="267"/>
        <v>#REF!</v>
      </c>
      <c r="M2601" s="1545"/>
      <c r="N2601" s="1545"/>
    </row>
    <row r="2602" spans="1:93" ht="15.5">
      <c r="A2602" s="1598">
        <v>61.505000000000003</v>
      </c>
      <c r="B2602" s="1599" t="s">
        <v>890</v>
      </c>
      <c r="C2602" s="1643" t="e">
        <f>+SUMIF(#REF!,Final!A2602,#REF!)</f>
        <v>#REF!</v>
      </c>
      <c r="D2602" s="1597" t="e">
        <f>+SUMIF(#REF!,Final!A2602,#REF!)</f>
        <v>#REF!</v>
      </c>
      <c r="E2602" s="1643" t="e">
        <f>SUMIF(#REF!,Final!A2602,#REF!)</f>
        <v>#REF!</v>
      </c>
      <c r="F2602" s="1644" t="e">
        <f>SUMIF(#REF!,Final!A2602,#REF!)</f>
        <v>#REF!</v>
      </c>
      <c r="G2602" s="1597" t="e">
        <f t="shared" si="264"/>
        <v>#REF!</v>
      </c>
      <c r="H2602" s="1644" t="e">
        <f t="shared" si="265"/>
        <v>#REF!</v>
      </c>
      <c r="I2602" s="1597" t="e">
        <f t="shared" si="266"/>
        <v>#REF!</v>
      </c>
      <c r="J2602" s="1644" t="e">
        <f t="shared" si="267"/>
        <v>#REF!</v>
      </c>
      <c r="M2602" s="1545"/>
      <c r="N2602" s="1545"/>
    </row>
    <row r="2603" spans="1:93" ht="15.5">
      <c r="A2603" s="1598">
        <v>61.506</v>
      </c>
      <c r="B2603" s="1599" t="s">
        <v>892</v>
      </c>
      <c r="C2603" s="1643" t="e">
        <f>+SUMIF(#REF!,Final!A2603,#REF!)</f>
        <v>#REF!</v>
      </c>
      <c r="D2603" s="1597" t="e">
        <f>+SUMIF(#REF!,Final!A2603,#REF!)</f>
        <v>#REF!</v>
      </c>
      <c r="E2603" s="1643" t="e">
        <f>SUMIF(#REF!,Final!A2603,#REF!)</f>
        <v>#REF!</v>
      </c>
      <c r="F2603" s="1644" t="e">
        <f>SUMIF(#REF!,Final!A2603,#REF!)</f>
        <v>#REF!</v>
      </c>
      <c r="G2603" s="1597" t="e">
        <f t="shared" si="264"/>
        <v>#REF!</v>
      </c>
      <c r="H2603" s="1644" t="e">
        <f t="shared" si="265"/>
        <v>#REF!</v>
      </c>
      <c r="I2603" s="1597" t="e">
        <f t="shared" si="266"/>
        <v>#REF!</v>
      </c>
      <c r="J2603" s="1644" t="e">
        <f t="shared" si="267"/>
        <v>#REF!</v>
      </c>
      <c r="M2603" s="1545"/>
      <c r="N2603" s="1545"/>
    </row>
    <row r="2604" spans="1:93" s="1542" customFormat="1" ht="15.5">
      <c r="A2604" s="1598">
        <v>61.506999999999998</v>
      </c>
      <c r="B2604" s="1599" t="s">
        <v>893</v>
      </c>
      <c r="C2604" s="1643" t="e">
        <f>+SUMIF(#REF!,Final!A2604,#REF!)</f>
        <v>#REF!</v>
      </c>
      <c r="D2604" s="1597" t="e">
        <f>+SUMIF(#REF!,Final!A2604,#REF!)</f>
        <v>#REF!</v>
      </c>
      <c r="E2604" s="1643" t="e">
        <f>SUMIF(#REF!,Final!A2604,#REF!)</f>
        <v>#REF!</v>
      </c>
      <c r="F2604" s="1644" t="e">
        <f>SUMIF(#REF!,Final!A2604,#REF!)</f>
        <v>#REF!</v>
      </c>
      <c r="G2604" s="1597" t="e">
        <f t="shared" si="264"/>
        <v>#REF!</v>
      </c>
      <c r="H2604" s="1644" t="e">
        <f t="shared" si="265"/>
        <v>#REF!</v>
      </c>
      <c r="I2604" s="1597" t="e">
        <f t="shared" si="266"/>
        <v>#REF!</v>
      </c>
      <c r="J2604" s="1644" t="e">
        <f t="shared" si="267"/>
        <v>#REF!</v>
      </c>
      <c r="K2604" s="1539"/>
      <c r="L2604" s="1539"/>
      <c r="M2604" s="1545"/>
      <c r="N2604" s="1545"/>
      <c r="O2604" s="1539"/>
      <c r="P2604" s="1539"/>
      <c r="Q2604" s="1539"/>
      <c r="R2604" s="1539"/>
      <c r="S2604" s="1539"/>
      <c r="T2604" s="1539"/>
      <c r="U2604" s="1539"/>
      <c r="V2604" s="1539"/>
      <c r="W2604" s="1539"/>
      <c r="X2604" s="1539"/>
      <c r="Y2604" s="1539"/>
      <c r="Z2604" s="1539"/>
      <c r="AA2604" s="1539"/>
      <c r="AB2604" s="1539"/>
      <c r="AC2604" s="1539"/>
      <c r="AD2604" s="1539"/>
      <c r="AE2604" s="1539"/>
      <c r="AF2604" s="1539"/>
      <c r="AG2604" s="1539"/>
      <c r="AH2604" s="1539"/>
      <c r="AI2604" s="1539"/>
      <c r="AJ2604" s="1539"/>
      <c r="AK2604" s="1539"/>
      <c r="AL2604" s="1539"/>
      <c r="AM2604" s="1539"/>
      <c r="AN2604" s="1539"/>
      <c r="AO2604" s="1539"/>
      <c r="AP2604" s="1539"/>
      <c r="AQ2604" s="1539"/>
      <c r="AR2604" s="1539"/>
      <c r="AS2604" s="1539"/>
      <c r="AT2604" s="1539"/>
      <c r="AU2604" s="1539"/>
      <c r="AV2604" s="1539"/>
      <c r="AW2604" s="1539"/>
      <c r="AX2604" s="1539"/>
      <c r="AY2604" s="1539"/>
      <c r="AZ2604" s="1539"/>
      <c r="BA2604" s="1539"/>
      <c r="BB2604" s="1539"/>
      <c r="BC2604" s="1539"/>
      <c r="BD2604" s="1539"/>
      <c r="BE2604" s="1539"/>
      <c r="BF2604" s="1539"/>
      <c r="BG2604" s="1539"/>
      <c r="BH2604" s="1539"/>
      <c r="BI2604" s="1539"/>
      <c r="BJ2604" s="1539"/>
      <c r="BK2604" s="1539"/>
      <c r="BL2604" s="1539"/>
      <c r="BM2604" s="1539"/>
      <c r="BN2604" s="1539"/>
      <c r="BO2604" s="1539"/>
      <c r="BP2604" s="1539"/>
      <c r="BQ2604" s="1539"/>
      <c r="BR2604" s="1539"/>
      <c r="BS2604" s="1539"/>
      <c r="BT2604" s="1539"/>
      <c r="BU2604" s="1539"/>
      <c r="BV2604" s="1539"/>
      <c r="BW2604" s="1539"/>
      <c r="BX2604" s="1539"/>
      <c r="BY2604" s="1539"/>
      <c r="BZ2604" s="1539"/>
      <c r="CA2604" s="1539"/>
      <c r="CB2604" s="1539"/>
      <c r="CC2604" s="1539"/>
      <c r="CD2604" s="1539"/>
      <c r="CE2604" s="1539"/>
      <c r="CF2604" s="1539"/>
      <c r="CG2604" s="1539"/>
      <c r="CH2604" s="1539"/>
      <c r="CI2604" s="1539"/>
      <c r="CJ2604" s="1539"/>
      <c r="CK2604" s="1539"/>
      <c r="CL2604" s="1539"/>
      <c r="CM2604" s="1539"/>
      <c r="CN2604" s="1539"/>
      <c r="CO2604" s="1539"/>
    </row>
    <row r="2605" spans="1:93" ht="15.5">
      <c r="A2605" s="1598">
        <v>61.508000000000003</v>
      </c>
      <c r="B2605" s="1599" t="s">
        <v>539</v>
      </c>
      <c r="C2605" s="1643" t="e">
        <f>+SUMIF(#REF!,Final!A2605,#REF!)</f>
        <v>#REF!</v>
      </c>
      <c r="D2605" s="1597" t="e">
        <f>+SUMIF(#REF!,Final!A2605,#REF!)</f>
        <v>#REF!</v>
      </c>
      <c r="E2605" s="1643" t="e">
        <f>SUMIF(#REF!,Final!A2605,#REF!)</f>
        <v>#REF!</v>
      </c>
      <c r="F2605" s="1644" t="e">
        <f>SUMIF(#REF!,Final!A2605,#REF!)</f>
        <v>#REF!</v>
      </c>
      <c r="G2605" s="1597" t="e">
        <f t="shared" si="264"/>
        <v>#REF!</v>
      </c>
      <c r="H2605" s="1644" t="e">
        <f t="shared" si="265"/>
        <v>#REF!</v>
      </c>
      <c r="I2605" s="1597" t="e">
        <f t="shared" si="266"/>
        <v>#REF!</v>
      </c>
      <c r="J2605" s="1644" t="e">
        <f t="shared" si="267"/>
        <v>#REF!</v>
      </c>
      <c r="M2605" s="1545"/>
      <c r="N2605" s="1545"/>
    </row>
    <row r="2606" spans="1:93" ht="15.5">
      <c r="A2606" s="1598">
        <v>61.509</v>
      </c>
      <c r="B2606" s="1599" t="s">
        <v>540</v>
      </c>
      <c r="C2606" s="1643" t="e">
        <f>+SUMIF(#REF!,Final!A2606,#REF!)</f>
        <v>#REF!</v>
      </c>
      <c r="D2606" s="1597" t="e">
        <f>+SUMIF(#REF!,Final!A2606,#REF!)</f>
        <v>#REF!</v>
      </c>
      <c r="E2606" s="1643" t="e">
        <f>SUMIF(#REF!,Final!A2606,#REF!)</f>
        <v>#REF!</v>
      </c>
      <c r="F2606" s="1644" t="e">
        <f>SUMIF(#REF!,Final!A2606,#REF!)</f>
        <v>#REF!</v>
      </c>
      <c r="G2606" s="1597" t="e">
        <f t="shared" si="264"/>
        <v>#REF!</v>
      </c>
      <c r="H2606" s="1644" t="e">
        <f t="shared" si="265"/>
        <v>#REF!</v>
      </c>
      <c r="I2606" s="1597" t="e">
        <f t="shared" si="266"/>
        <v>#REF!</v>
      </c>
      <c r="J2606" s="1644" t="e">
        <f t="shared" si="267"/>
        <v>#REF!</v>
      </c>
      <c r="M2606" s="1545"/>
      <c r="N2606" s="1545"/>
    </row>
    <row r="2607" spans="1:93" ht="15.5">
      <c r="A2607" s="1598">
        <v>61.51</v>
      </c>
      <c r="B2607" s="1599" t="s">
        <v>1901</v>
      </c>
      <c r="C2607" s="1643" t="e">
        <f>+SUMIF(#REF!,Final!A2607,#REF!)</f>
        <v>#REF!</v>
      </c>
      <c r="D2607" s="1597" t="e">
        <f>+SUMIF(#REF!,Final!A2607,#REF!)</f>
        <v>#REF!</v>
      </c>
      <c r="E2607" s="1643" t="e">
        <f>SUMIF(#REF!,Final!A2607,#REF!)</f>
        <v>#REF!</v>
      </c>
      <c r="F2607" s="1644" t="e">
        <f>SUMIF(#REF!,Final!A2607,#REF!)</f>
        <v>#REF!</v>
      </c>
      <c r="G2607" s="1597" t="e">
        <f t="shared" si="264"/>
        <v>#REF!</v>
      </c>
      <c r="H2607" s="1644" t="e">
        <f t="shared" si="265"/>
        <v>#REF!</v>
      </c>
      <c r="I2607" s="1597" t="e">
        <f t="shared" si="266"/>
        <v>#REF!</v>
      </c>
      <c r="J2607" s="1644" t="e">
        <f t="shared" si="267"/>
        <v>#REF!</v>
      </c>
      <c r="M2607" s="1545"/>
      <c r="N2607" s="1545"/>
    </row>
    <row r="2608" spans="1:93" ht="15.5">
      <c r="A2608" s="1598">
        <v>61.511000000000003</v>
      </c>
      <c r="B2608" s="1599" t="s">
        <v>1902</v>
      </c>
      <c r="C2608" s="1643" t="e">
        <f>+SUMIF(#REF!,Final!A2608,#REF!)</f>
        <v>#REF!</v>
      </c>
      <c r="D2608" s="1597" t="e">
        <f>+SUMIF(#REF!,Final!A2608,#REF!)</f>
        <v>#REF!</v>
      </c>
      <c r="E2608" s="1643" t="e">
        <f>SUMIF(#REF!,Final!A2608,#REF!)</f>
        <v>#REF!</v>
      </c>
      <c r="F2608" s="1644" t="e">
        <f>SUMIF(#REF!,Final!A2608,#REF!)</f>
        <v>#REF!</v>
      </c>
      <c r="G2608" s="1597" t="e">
        <f t="shared" si="264"/>
        <v>#REF!</v>
      </c>
      <c r="H2608" s="1644" t="e">
        <f t="shared" si="265"/>
        <v>#REF!</v>
      </c>
      <c r="I2608" s="1597" t="e">
        <f t="shared" si="266"/>
        <v>#REF!</v>
      </c>
      <c r="J2608" s="1644" t="e">
        <f t="shared" si="267"/>
        <v>#REF!</v>
      </c>
      <c r="M2608" s="1545"/>
      <c r="N2608" s="1545"/>
    </row>
    <row r="2609" spans="1:93" ht="15.5">
      <c r="A2609" s="1598">
        <v>61.512</v>
      </c>
      <c r="B2609" s="1599" t="s">
        <v>2740</v>
      </c>
      <c r="C2609" s="1643" t="e">
        <f>+SUMIF(#REF!,Final!A2609,#REF!)</f>
        <v>#REF!</v>
      </c>
      <c r="D2609" s="1597" t="e">
        <f>+SUMIF(#REF!,Final!A2609,#REF!)</f>
        <v>#REF!</v>
      </c>
      <c r="E2609" s="1643" t="e">
        <f>SUMIF(#REF!,Final!A2609,#REF!)</f>
        <v>#REF!</v>
      </c>
      <c r="F2609" s="1644" t="e">
        <f>SUMIF(#REF!,Final!A2609,#REF!)</f>
        <v>#REF!</v>
      </c>
      <c r="G2609" s="1597" t="e">
        <f t="shared" si="264"/>
        <v>#REF!</v>
      </c>
      <c r="H2609" s="1644" t="e">
        <f t="shared" si="265"/>
        <v>#REF!</v>
      </c>
      <c r="I2609" s="1597" t="e">
        <f t="shared" si="266"/>
        <v>#REF!</v>
      </c>
      <c r="J2609" s="1644" t="e">
        <f t="shared" si="267"/>
        <v>#REF!</v>
      </c>
      <c r="M2609" s="1545"/>
      <c r="N2609" s="1545"/>
    </row>
    <row r="2610" spans="1:93" ht="15.5">
      <c r="A2610" s="1598">
        <v>61.512999999999998</v>
      </c>
      <c r="B2610" s="1599" t="s">
        <v>2741</v>
      </c>
      <c r="C2610" s="1643" t="e">
        <f>+SUMIF(#REF!,Final!A2610,#REF!)</f>
        <v>#REF!</v>
      </c>
      <c r="D2610" s="1597" t="e">
        <f>+SUMIF(#REF!,Final!A2610,#REF!)</f>
        <v>#REF!</v>
      </c>
      <c r="E2610" s="1643" t="e">
        <f>SUMIF(#REF!,Final!A2610,#REF!)</f>
        <v>#REF!</v>
      </c>
      <c r="F2610" s="1644" t="e">
        <f>SUMIF(#REF!,Final!A2610,#REF!)</f>
        <v>#REF!</v>
      </c>
      <c r="G2610" s="1597" t="e">
        <f t="shared" si="264"/>
        <v>#REF!</v>
      </c>
      <c r="H2610" s="1644" t="e">
        <f t="shared" si="265"/>
        <v>#REF!</v>
      </c>
      <c r="I2610" s="1597" t="e">
        <f t="shared" si="266"/>
        <v>#REF!</v>
      </c>
      <c r="J2610" s="1644" t="e">
        <f t="shared" si="267"/>
        <v>#REF!</v>
      </c>
      <c r="M2610" s="1545"/>
      <c r="N2610" s="1545"/>
    </row>
    <row r="2611" spans="1:93" ht="15.5">
      <c r="A2611" s="1598">
        <v>61.514000000000003</v>
      </c>
      <c r="B2611" s="1599" t="s">
        <v>2742</v>
      </c>
      <c r="C2611" s="1643" t="e">
        <f>+SUMIF(#REF!,Final!A2611,#REF!)</f>
        <v>#REF!</v>
      </c>
      <c r="D2611" s="1597" t="e">
        <f>+SUMIF(#REF!,Final!A2611,#REF!)</f>
        <v>#REF!</v>
      </c>
      <c r="E2611" s="1643" t="e">
        <f>SUMIF(#REF!,Final!A2611,#REF!)</f>
        <v>#REF!</v>
      </c>
      <c r="F2611" s="1644" t="e">
        <f>SUMIF(#REF!,Final!A2611,#REF!)</f>
        <v>#REF!</v>
      </c>
      <c r="G2611" s="1597" t="e">
        <f t="shared" si="264"/>
        <v>#REF!</v>
      </c>
      <c r="H2611" s="1644" t="e">
        <f t="shared" si="265"/>
        <v>#REF!</v>
      </c>
      <c r="I2611" s="1597" t="e">
        <f t="shared" si="266"/>
        <v>#REF!</v>
      </c>
      <c r="J2611" s="1644" t="e">
        <f t="shared" si="267"/>
        <v>#REF!</v>
      </c>
      <c r="M2611" s="1545"/>
      <c r="N2611" s="1545"/>
    </row>
    <row r="2612" spans="1:93" ht="15.5">
      <c r="A2612" s="1598">
        <v>61.515000000000001</v>
      </c>
      <c r="B2612" s="1599" t="s">
        <v>669</v>
      </c>
      <c r="C2612" s="1643" t="e">
        <f>+SUMIF(#REF!,Final!A2612,#REF!)</f>
        <v>#REF!</v>
      </c>
      <c r="D2612" s="1597" t="e">
        <f>+SUMIF(#REF!,Final!A2612,#REF!)</f>
        <v>#REF!</v>
      </c>
      <c r="E2612" s="1643" t="e">
        <f>SUMIF(#REF!,Final!A2612,#REF!)</f>
        <v>#REF!</v>
      </c>
      <c r="F2612" s="1644" t="e">
        <f>SUMIF(#REF!,Final!A2612,#REF!)</f>
        <v>#REF!</v>
      </c>
      <c r="G2612" s="1597" t="e">
        <f t="shared" si="264"/>
        <v>#REF!</v>
      </c>
      <c r="H2612" s="1644" t="e">
        <f t="shared" si="265"/>
        <v>#REF!</v>
      </c>
      <c r="I2612" s="1597" t="e">
        <f t="shared" si="266"/>
        <v>#REF!</v>
      </c>
      <c r="J2612" s="1644" t="e">
        <f t="shared" si="267"/>
        <v>#REF!</v>
      </c>
      <c r="M2612" s="1545"/>
      <c r="N2612" s="1545"/>
    </row>
    <row r="2613" spans="1:93" s="1543" customFormat="1" ht="15.5">
      <c r="A2613" s="1598">
        <v>61.515999999999998</v>
      </c>
      <c r="B2613" s="1599" t="s">
        <v>423</v>
      </c>
      <c r="C2613" s="1643" t="e">
        <f>+SUMIF(#REF!,Final!A2613,#REF!)</f>
        <v>#REF!</v>
      </c>
      <c r="D2613" s="1597" t="e">
        <f>+SUMIF(#REF!,Final!A2613,#REF!)</f>
        <v>#REF!</v>
      </c>
      <c r="E2613" s="1643" t="e">
        <f>SUMIF(#REF!,Final!A2613,#REF!)</f>
        <v>#REF!</v>
      </c>
      <c r="F2613" s="1644" t="e">
        <f>SUMIF(#REF!,Final!A2613,#REF!)</f>
        <v>#REF!</v>
      </c>
      <c r="G2613" s="1597" t="e">
        <f t="shared" si="264"/>
        <v>#REF!</v>
      </c>
      <c r="H2613" s="1644" t="e">
        <f t="shared" si="265"/>
        <v>#REF!</v>
      </c>
      <c r="I2613" s="1597" t="e">
        <f t="shared" si="266"/>
        <v>#REF!</v>
      </c>
      <c r="J2613" s="1644" t="e">
        <f t="shared" si="267"/>
        <v>#REF!</v>
      </c>
      <c r="K2613" s="1539"/>
      <c r="L2613" s="1539"/>
      <c r="M2613" s="1545"/>
      <c r="N2613" s="1545"/>
      <c r="O2613" s="1539"/>
      <c r="P2613" s="1539"/>
      <c r="Q2613" s="1539"/>
      <c r="R2613" s="1539"/>
      <c r="S2613" s="1539"/>
      <c r="T2613" s="1539"/>
      <c r="U2613" s="1539"/>
      <c r="V2613" s="1539"/>
      <c r="W2613" s="1539"/>
      <c r="X2613" s="1539"/>
      <c r="Y2613" s="1539"/>
      <c r="Z2613" s="1539"/>
      <c r="AA2613" s="1539"/>
      <c r="AB2613" s="1539"/>
      <c r="AC2613" s="1539"/>
      <c r="AD2613" s="1539"/>
      <c r="AE2613" s="1539"/>
      <c r="AF2613" s="1539"/>
      <c r="AG2613" s="1539"/>
      <c r="AH2613" s="1539"/>
      <c r="AI2613" s="1539"/>
      <c r="AJ2613" s="1539"/>
      <c r="AK2613" s="1539"/>
      <c r="AL2613" s="1539"/>
      <c r="AM2613" s="1539"/>
      <c r="AN2613" s="1539"/>
      <c r="AO2613" s="1539"/>
      <c r="AP2613" s="1539"/>
      <c r="AQ2613" s="1539"/>
      <c r="AR2613" s="1539"/>
      <c r="AS2613" s="1539"/>
      <c r="AT2613" s="1539"/>
      <c r="AU2613" s="1539"/>
      <c r="AV2613" s="1539"/>
      <c r="AW2613" s="1539"/>
      <c r="AX2613" s="1539"/>
      <c r="AY2613" s="1539"/>
      <c r="AZ2613" s="1539"/>
      <c r="BA2613" s="1539"/>
      <c r="BB2613" s="1539"/>
      <c r="BC2613" s="1539"/>
      <c r="BD2613" s="1539"/>
      <c r="BE2613" s="1539"/>
      <c r="BF2613" s="1539"/>
      <c r="BG2613" s="1539"/>
      <c r="BH2613" s="1539"/>
      <c r="BI2613" s="1539"/>
      <c r="BJ2613" s="1539"/>
      <c r="BK2613" s="1539"/>
      <c r="BL2613" s="1539"/>
      <c r="BM2613" s="1539"/>
      <c r="BN2613" s="1539"/>
      <c r="BO2613" s="1539"/>
      <c r="BP2613" s="1539"/>
      <c r="BQ2613" s="1539"/>
      <c r="BR2613" s="1539"/>
      <c r="BS2613" s="1539"/>
      <c r="BT2613" s="1539"/>
      <c r="BU2613" s="1539"/>
      <c r="BV2613" s="1539"/>
      <c r="BW2613" s="1539"/>
      <c r="BX2613" s="1539"/>
      <c r="BY2613" s="1539"/>
      <c r="BZ2613" s="1539"/>
      <c r="CA2613" s="1539"/>
      <c r="CB2613" s="1539"/>
      <c r="CC2613" s="1539"/>
      <c r="CD2613" s="1539"/>
      <c r="CE2613" s="1539"/>
      <c r="CF2613" s="1539"/>
      <c r="CG2613" s="1539"/>
      <c r="CH2613" s="1539"/>
      <c r="CI2613" s="1539"/>
      <c r="CJ2613" s="1539"/>
      <c r="CK2613" s="1539"/>
      <c r="CL2613" s="1539"/>
      <c r="CM2613" s="1539"/>
      <c r="CN2613" s="1539"/>
      <c r="CO2613" s="1539"/>
    </row>
    <row r="2614" spans="1:93" s="1543" customFormat="1" ht="15.5">
      <c r="A2614" s="1817">
        <v>61.600999999999999</v>
      </c>
      <c r="B2614" s="1812" t="s">
        <v>5428</v>
      </c>
      <c r="C2614" s="1643" t="e">
        <f>+SUMIF(#REF!,Final!A2614,#REF!)</f>
        <v>#REF!</v>
      </c>
      <c r="D2614" s="1597" t="e">
        <f>+SUMIF(#REF!,Final!A2614,#REF!)</f>
        <v>#REF!</v>
      </c>
      <c r="E2614" s="1643" t="e">
        <f>SUMIF(#REF!,Final!A2614,#REF!)</f>
        <v>#REF!</v>
      </c>
      <c r="F2614" s="1644" t="e">
        <f>SUMIF(#REF!,Final!A2614,#REF!)</f>
        <v>#REF!</v>
      </c>
      <c r="G2614" s="1597" t="e">
        <f t="shared" ref="G2614" si="268">C2614+E2614</f>
        <v>#REF!</v>
      </c>
      <c r="H2614" s="1644" t="e">
        <f t="shared" ref="H2614" si="269">D2614+F2614</f>
        <v>#REF!</v>
      </c>
      <c r="I2614" s="1597" t="e">
        <f t="shared" ref="I2614" si="270">IF(G2614&gt;H2614,G2614-H2614,0)</f>
        <v>#REF!</v>
      </c>
      <c r="J2614" s="1644" t="e">
        <f t="shared" ref="J2614" si="271">IF(H2614&gt;G2614,H2614-G2614,0)</f>
        <v>#REF!</v>
      </c>
      <c r="K2614" s="1539"/>
      <c r="L2614" s="1539"/>
      <c r="M2614" s="1545"/>
      <c r="N2614" s="1545"/>
      <c r="O2614" s="1539"/>
      <c r="P2614" s="1539"/>
      <c r="Q2614" s="1539"/>
      <c r="R2614" s="1539"/>
      <c r="S2614" s="1539"/>
      <c r="T2614" s="1539"/>
      <c r="U2614" s="1539"/>
      <c r="V2614" s="1539"/>
      <c r="W2614" s="1539"/>
      <c r="X2614" s="1539"/>
      <c r="Y2614" s="1539"/>
      <c r="Z2614" s="1539"/>
      <c r="AA2614" s="1539"/>
      <c r="AB2614" s="1539"/>
      <c r="AC2614" s="1539"/>
      <c r="AD2614" s="1539"/>
      <c r="AE2614" s="1539"/>
      <c r="AF2614" s="1539"/>
      <c r="AG2614" s="1539"/>
      <c r="AH2614" s="1539"/>
      <c r="AI2614" s="1539"/>
      <c r="AJ2614" s="1539"/>
      <c r="AK2614" s="1539"/>
      <c r="AL2614" s="1539"/>
      <c r="AM2614" s="1539"/>
      <c r="AN2614" s="1539"/>
      <c r="AO2614" s="1539"/>
      <c r="AP2614" s="1539"/>
      <c r="AQ2614" s="1539"/>
      <c r="AR2614" s="1539"/>
      <c r="AS2614" s="1539"/>
      <c r="AT2614" s="1539"/>
      <c r="AU2614" s="1539"/>
      <c r="AV2614" s="1539"/>
      <c r="AW2614" s="1539"/>
      <c r="AX2614" s="1539"/>
      <c r="AY2614" s="1539"/>
      <c r="AZ2614" s="1539"/>
      <c r="BA2614" s="1539"/>
      <c r="BB2614" s="1539"/>
      <c r="BC2614" s="1539"/>
      <c r="BD2614" s="1539"/>
      <c r="BE2614" s="1539"/>
      <c r="BF2614" s="1539"/>
      <c r="BG2614" s="1539"/>
      <c r="BH2614" s="1539"/>
      <c r="BI2614" s="1539"/>
      <c r="BJ2614" s="1539"/>
      <c r="BK2614" s="1539"/>
      <c r="BL2614" s="1539"/>
      <c r="BM2614" s="1539"/>
      <c r="BN2614" s="1539"/>
      <c r="BO2614" s="1539"/>
      <c r="BP2614" s="1539"/>
      <c r="BQ2614" s="1539"/>
      <c r="BR2614" s="1539"/>
      <c r="BS2614" s="1539"/>
      <c r="BT2614" s="1539"/>
      <c r="BU2614" s="1539"/>
      <c r="BV2614" s="1539"/>
      <c r="BW2614" s="1539"/>
      <c r="BX2614" s="1539"/>
      <c r="BY2614" s="1539"/>
      <c r="BZ2614" s="1539"/>
      <c r="CA2614" s="1539"/>
      <c r="CB2614" s="1539"/>
      <c r="CC2614" s="1539"/>
      <c r="CD2614" s="1539"/>
      <c r="CE2614" s="1539"/>
      <c r="CF2614" s="1539"/>
      <c r="CG2614" s="1539"/>
      <c r="CH2614" s="1539"/>
      <c r="CI2614" s="1539"/>
      <c r="CJ2614" s="1539"/>
      <c r="CK2614" s="1539"/>
      <c r="CL2614" s="1539"/>
      <c r="CM2614" s="1539"/>
      <c r="CN2614" s="1539"/>
      <c r="CO2614" s="1539"/>
    </row>
    <row r="2615" spans="1:93" s="1543" customFormat="1" ht="15.5">
      <c r="A2615" s="1598">
        <v>61.517000000000003</v>
      </c>
      <c r="B2615" s="1599" t="s">
        <v>1905</v>
      </c>
      <c r="C2615" s="1643" t="e">
        <f>+SUMIF(#REF!,Final!A2615,#REF!)</f>
        <v>#REF!</v>
      </c>
      <c r="D2615" s="1597" t="e">
        <f>+SUMIF(#REF!,Final!A2615,#REF!)</f>
        <v>#REF!</v>
      </c>
      <c r="E2615" s="1643" t="e">
        <f>SUMIF(#REF!,Final!A2615,#REF!)</f>
        <v>#REF!</v>
      </c>
      <c r="F2615" s="1644" t="e">
        <f>SUMIF(#REF!,Final!A2615,#REF!)</f>
        <v>#REF!</v>
      </c>
      <c r="G2615" s="1597" t="e">
        <f t="shared" si="264"/>
        <v>#REF!</v>
      </c>
      <c r="H2615" s="1644" t="e">
        <f t="shared" si="265"/>
        <v>#REF!</v>
      </c>
      <c r="I2615" s="1597" t="e">
        <f t="shared" si="266"/>
        <v>#REF!</v>
      </c>
      <c r="J2615" s="1644" t="e">
        <f t="shared" si="267"/>
        <v>#REF!</v>
      </c>
      <c r="K2615" s="1539"/>
      <c r="L2615" s="1539"/>
      <c r="M2615" s="1545"/>
      <c r="N2615" s="1545"/>
      <c r="O2615" s="1539"/>
      <c r="P2615" s="1539"/>
      <c r="Q2615" s="1539"/>
      <c r="R2615" s="1539"/>
      <c r="S2615" s="1539"/>
      <c r="T2615" s="1539"/>
      <c r="U2615" s="1539"/>
      <c r="V2615" s="1539"/>
      <c r="W2615" s="1539"/>
      <c r="X2615" s="1539"/>
      <c r="Y2615" s="1539"/>
      <c r="Z2615" s="1539"/>
      <c r="AA2615" s="1539"/>
      <c r="AB2615" s="1539"/>
      <c r="AC2615" s="1539"/>
      <c r="AD2615" s="1539"/>
      <c r="AE2615" s="1539"/>
      <c r="AF2615" s="1539"/>
      <c r="AG2615" s="1539"/>
      <c r="AH2615" s="1539"/>
      <c r="AI2615" s="1539"/>
      <c r="AJ2615" s="1539"/>
      <c r="AK2615" s="1539"/>
      <c r="AL2615" s="1539"/>
      <c r="AM2615" s="1539"/>
      <c r="AN2615" s="1539"/>
      <c r="AO2615" s="1539"/>
      <c r="AP2615" s="1539"/>
      <c r="AQ2615" s="1539"/>
      <c r="AR2615" s="1539"/>
      <c r="AS2615" s="1539"/>
      <c r="AT2615" s="1539"/>
      <c r="AU2615" s="1539"/>
      <c r="AV2615" s="1539"/>
      <c r="AW2615" s="1539"/>
      <c r="AX2615" s="1539"/>
      <c r="AY2615" s="1539"/>
      <c r="AZ2615" s="1539"/>
      <c r="BA2615" s="1539"/>
      <c r="BB2615" s="1539"/>
      <c r="BC2615" s="1539"/>
      <c r="BD2615" s="1539"/>
      <c r="BE2615" s="1539"/>
      <c r="BF2615" s="1539"/>
      <c r="BG2615" s="1539"/>
      <c r="BH2615" s="1539"/>
      <c r="BI2615" s="1539"/>
      <c r="BJ2615" s="1539"/>
      <c r="BK2615" s="1539"/>
      <c r="BL2615" s="1539"/>
      <c r="BM2615" s="1539"/>
      <c r="BN2615" s="1539"/>
      <c r="BO2615" s="1539"/>
      <c r="BP2615" s="1539"/>
      <c r="BQ2615" s="1539"/>
      <c r="BR2615" s="1539"/>
      <c r="BS2615" s="1539"/>
      <c r="BT2615" s="1539"/>
      <c r="BU2615" s="1539"/>
      <c r="BV2615" s="1539"/>
      <c r="BW2615" s="1539"/>
      <c r="BX2615" s="1539"/>
      <c r="BY2615" s="1539"/>
      <c r="BZ2615" s="1539"/>
      <c r="CA2615" s="1539"/>
      <c r="CB2615" s="1539"/>
      <c r="CC2615" s="1539"/>
      <c r="CD2615" s="1539"/>
      <c r="CE2615" s="1539"/>
      <c r="CF2615" s="1539"/>
      <c r="CG2615" s="1539"/>
      <c r="CH2615" s="1539"/>
      <c r="CI2615" s="1539"/>
      <c r="CJ2615" s="1539"/>
      <c r="CK2615" s="1539"/>
      <c r="CL2615" s="1539"/>
      <c r="CM2615" s="1539"/>
      <c r="CN2615" s="1539"/>
      <c r="CO2615" s="1539"/>
    </row>
    <row r="2616" spans="1:93" s="1552" customFormat="1" ht="15.5">
      <c r="A2616" s="1598"/>
      <c r="B2616" s="1599" t="s">
        <v>1747</v>
      </c>
      <c r="C2616" s="1643" t="e">
        <f>+SUMIF(#REF!,Final!A2616,#REF!)</f>
        <v>#REF!</v>
      </c>
      <c r="D2616" s="1597" t="e">
        <f>+SUMIF(#REF!,Final!A2616,#REF!)</f>
        <v>#REF!</v>
      </c>
      <c r="E2616" s="1643" t="e">
        <f>SUMIF(#REF!,Final!A2616,#REF!)</f>
        <v>#REF!</v>
      </c>
      <c r="F2616" s="1644" t="e">
        <f>SUMIF(#REF!,Final!A2616,#REF!)</f>
        <v>#REF!</v>
      </c>
      <c r="G2616" s="1597" t="e">
        <f t="shared" si="264"/>
        <v>#REF!</v>
      </c>
      <c r="H2616" s="1644" t="e">
        <f t="shared" si="265"/>
        <v>#REF!</v>
      </c>
      <c r="I2616" s="1597" t="e">
        <f t="shared" si="266"/>
        <v>#REF!</v>
      </c>
      <c r="J2616" s="1644" t="e">
        <f t="shared" si="267"/>
        <v>#REF!</v>
      </c>
      <c r="K2616" s="1539"/>
      <c r="L2616" s="1539"/>
      <c r="M2616" s="1545"/>
      <c r="N2616" s="1545"/>
      <c r="O2616" s="1539"/>
      <c r="P2616" s="1539"/>
      <c r="Q2616" s="1539"/>
      <c r="R2616" s="1539"/>
      <c r="S2616" s="1539"/>
      <c r="T2616" s="1539"/>
      <c r="U2616" s="1539"/>
      <c r="V2616" s="1539"/>
      <c r="W2616" s="1539"/>
      <c r="X2616" s="1539"/>
      <c r="Y2616" s="1539"/>
      <c r="Z2616" s="1539"/>
      <c r="AA2616" s="1539"/>
      <c r="AB2616" s="1539"/>
      <c r="AC2616" s="1539"/>
      <c r="AD2616" s="1539"/>
      <c r="AE2616" s="1539"/>
      <c r="AF2616" s="1539"/>
      <c r="AG2616" s="1539"/>
      <c r="AH2616" s="1539"/>
      <c r="AI2616" s="1539"/>
      <c r="AJ2616" s="1539"/>
      <c r="AK2616" s="1539"/>
      <c r="AL2616" s="1539"/>
      <c r="AM2616" s="1539"/>
      <c r="AN2616" s="1539"/>
      <c r="AO2616" s="1539"/>
      <c r="AP2616" s="1539"/>
      <c r="AQ2616" s="1539"/>
      <c r="AR2616" s="1539"/>
      <c r="AS2616" s="1539"/>
      <c r="AT2616" s="1539"/>
      <c r="AU2616" s="1539"/>
      <c r="AV2616" s="1539"/>
      <c r="AW2616" s="1539"/>
      <c r="AX2616" s="1539"/>
      <c r="AY2616" s="1539"/>
      <c r="AZ2616" s="1539"/>
      <c r="BA2616" s="1539"/>
      <c r="BB2616" s="1539"/>
      <c r="BC2616" s="1539"/>
      <c r="BD2616" s="1539"/>
      <c r="BE2616" s="1539"/>
      <c r="BF2616" s="1539"/>
      <c r="BG2616" s="1539"/>
      <c r="BH2616" s="1539"/>
      <c r="BI2616" s="1539"/>
      <c r="BJ2616" s="1539"/>
      <c r="BK2616" s="1539"/>
      <c r="BL2616" s="1539"/>
      <c r="BM2616" s="1539"/>
      <c r="BN2616" s="1539"/>
      <c r="BO2616" s="1539"/>
      <c r="BP2616" s="1539"/>
      <c r="BQ2616" s="1539"/>
      <c r="BR2616" s="1539"/>
      <c r="BS2616" s="1539"/>
      <c r="BT2616" s="1539"/>
      <c r="BU2616" s="1539"/>
      <c r="BV2616" s="1539"/>
      <c r="BW2616" s="1539"/>
      <c r="BX2616" s="1539"/>
      <c r="BY2616" s="1539"/>
      <c r="BZ2616" s="1539"/>
      <c r="CA2616" s="1539"/>
      <c r="CB2616" s="1539"/>
      <c r="CC2616" s="1539"/>
      <c r="CD2616" s="1539"/>
      <c r="CE2616" s="1539"/>
      <c r="CF2616" s="1539"/>
      <c r="CG2616" s="1539"/>
      <c r="CH2616" s="1539"/>
      <c r="CI2616" s="1539"/>
      <c r="CJ2616" s="1539"/>
      <c r="CK2616" s="1539"/>
      <c r="CL2616" s="1539"/>
      <c r="CM2616" s="1539"/>
      <c r="CN2616" s="1539"/>
      <c r="CO2616" s="1539"/>
    </row>
    <row r="2617" spans="1:93" s="1552" customFormat="1" ht="15.5">
      <c r="A2617" s="1598"/>
      <c r="B2617" s="1599" t="s">
        <v>1760</v>
      </c>
      <c r="C2617" s="1643" t="e">
        <f>+SUMIF(#REF!,Final!A2617,#REF!)</f>
        <v>#REF!</v>
      </c>
      <c r="D2617" s="1597" t="e">
        <f>+SUMIF(#REF!,Final!A2617,#REF!)</f>
        <v>#REF!</v>
      </c>
      <c r="E2617" s="1643" t="e">
        <f>SUMIF(#REF!,Final!A2617,#REF!)</f>
        <v>#REF!</v>
      </c>
      <c r="F2617" s="1644" t="e">
        <f>SUMIF(#REF!,Final!A2617,#REF!)</f>
        <v>#REF!</v>
      </c>
      <c r="G2617" s="1597" t="e">
        <f t="shared" si="264"/>
        <v>#REF!</v>
      </c>
      <c r="H2617" s="1644" t="e">
        <f t="shared" si="265"/>
        <v>#REF!</v>
      </c>
      <c r="I2617" s="1597" t="e">
        <f t="shared" si="266"/>
        <v>#REF!</v>
      </c>
      <c r="J2617" s="1644" t="e">
        <f t="shared" si="267"/>
        <v>#REF!</v>
      </c>
      <c r="K2617" s="1539"/>
      <c r="L2617" s="1539"/>
      <c r="M2617" s="1545"/>
      <c r="N2617" s="1545"/>
      <c r="O2617" s="1539"/>
      <c r="P2617" s="1539"/>
      <c r="Q2617" s="1539"/>
      <c r="R2617" s="1539"/>
      <c r="S2617" s="1539"/>
      <c r="T2617" s="1539"/>
      <c r="U2617" s="1539"/>
      <c r="V2617" s="1539"/>
      <c r="W2617" s="1539"/>
      <c r="X2617" s="1539"/>
      <c r="Y2617" s="1539"/>
      <c r="Z2617" s="1539"/>
      <c r="AA2617" s="1539"/>
      <c r="AB2617" s="1539"/>
      <c r="AC2617" s="1539"/>
      <c r="AD2617" s="1539"/>
      <c r="AE2617" s="1539"/>
      <c r="AF2617" s="1539"/>
      <c r="AG2617" s="1539"/>
      <c r="AH2617" s="1539"/>
      <c r="AI2617" s="1539"/>
      <c r="AJ2617" s="1539"/>
      <c r="AK2617" s="1539"/>
      <c r="AL2617" s="1539"/>
      <c r="AM2617" s="1539"/>
      <c r="AN2617" s="1539"/>
      <c r="AO2617" s="1539"/>
      <c r="AP2617" s="1539"/>
      <c r="AQ2617" s="1539"/>
      <c r="AR2617" s="1539"/>
      <c r="AS2617" s="1539"/>
      <c r="AT2617" s="1539"/>
      <c r="AU2617" s="1539"/>
      <c r="AV2617" s="1539"/>
      <c r="AW2617" s="1539"/>
      <c r="AX2617" s="1539"/>
      <c r="AY2617" s="1539"/>
      <c r="AZ2617" s="1539"/>
      <c r="BA2617" s="1539"/>
      <c r="BB2617" s="1539"/>
      <c r="BC2617" s="1539"/>
      <c r="BD2617" s="1539"/>
      <c r="BE2617" s="1539"/>
      <c r="BF2617" s="1539"/>
      <c r="BG2617" s="1539"/>
      <c r="BH2617" s="1539"/>
      <c r="BI2617" s="1539"/>
      <c r="BJ2617" s="1539"/>
      <c r="BK2617" s="1539"/>
      <c r="BL2617" s="1539"/>
      <c r="BM2617" s="1539"/>
      <c r="BN2617" s="1539"/>
      <c r="BO2617" s="1539"/>
      <c r="BP2617" s="1539"/>
      <c r="BQ2617" s="1539"/>
      <c r="BR2617" s="1539"/>
      <c r="BS2617" s="1539"/>
      <c r="BT2617" s="1539"/>
      <c r="BU2617" s="1539"/>
      <c r="BV2617" s="1539"/>
      <c r="BW2617" s="1539"/>
      <c r="BX2617" s="1539"/>
      <c r="BY2617" s="1539"/>
      <c r="BZ2617" s="1539"/>
      <c r="CA2617" s="1539"/>
      <c r="CB2617" s="1539"/>
      <c r="CC2617" s="1539"/>
      <c r="CD2617" s="1539"/>
      <c r="CE2617" s="1539"/>
      <c r="CF2617" s="1539"/>
      <c r="CG2617" s="1539"/>
      <c r="CH2617" s="1539"/>
      <c r="CI2617" s="1539"/>
      <c r="CJ2617" s="1539"/>
      <c r="CK2617" s="1539"/>
      <c r="CL2617" s="1539"/>
      <c r="CM2617" s="1539"/>
      <c r="CN2617" s="1539"/>
      <c r="CO2617" s="1539"/>
    </row>
    <row r="2618" spans="1:93" s="1542" customFormat="1" ht="15.5">
      <c r="A2618" s="1598" t="s">
        <v>2594</v>
      </c>
      <c r="B2618" s="1599" t="s">
        <v>2995</v>
      </c>
      <c r="C2618" s="1643" t="e">
        <f>+SUMIF(#REF!,Final!A2618,#REF!)</f>
        <v>#REF!</v>
      </c>
      <c r="D2618" s="1597" t="e">
        <f>+SUMIF(#REF!,Final!A2618,#REF!)</f>
        <v>#REF!</v>
      </c>
      <c r="E2618" s="1643" t="e">
        <f>SUMIF(#REF!,Final!A2618,#REF!)</f>
        <v>#REF!</v>
      </c>
      <c r="F2618" s="1644" t="e">
        <f>SUMIF(#REF!,Final!A2618,#REF!)</f>
        <v>#REF!</v>
      </c>
      <c r="G2618" s="1597" t="e">
        <f t="shared" si="264"/>
        <v>#REF!</v>
      </c>
      <c r="H2618" s="1644" t="e">
        <f t="shared" si="265"/>
        <v>#REF!</v>
      </c>
      <c r="I2618" s="1597" t="e">
        <f t="shared" si="266"/>
        <v>#REF!</v>
      </c>
      <c r="J2618" s="1644" t="e">
        <f t="shared" si="267"/>
        <v>#REF!</v>
      </c>
      <c r="K2618" s="1539"/>
      <c r="L2618" s="1539"/>
      <c r="M2618" s="1545"/>
      <c r="N2618" s="1545"/>
      <c r="O2618" s="1539"/>
      <c r="P2618" s="1539"/>
      <c r="Q2618" s="1539"/>
      <c r="R2618" s="1539"/>
      <c r="S2618" s="1539"/>
      <c r="T2618" s="1539"/>
      <c r="U2618" s="1539"/>
      <c r="V2618" s="1539"/>
      <c r="W2618" s="1539"/>
      <c r="X2618" s="1539"/>
      <c r="Y2618" s="1539"/>
      <c r="Z2618" s="1539"/>
      <c r="AA2618" s="1539"/>
      <c r="AB2618" s="1539"/>
      <c r="AC2618" s="1539"/>
      <c r="AD2618" s="1539"/>
      <c r="AE2618" s="1539"/>
      <c r="AF2618" s="1539"/>
      <c r="AG2618" s="1539"/>
      <c r="AH2618" s="1539"/>
      <c r="AI2618" s="1539"/>
      <c r="AJ2618" s="1539"/>
      <c r="AK2618" s="1539"/>
      <c r="AL2618" s="1539"/>
      <c r="AM2618" s="1539"/>
      <c r="AN2618" s="1539"/>
      <c r="AO2618" s="1539"/>
      <c r="AP2618" s="1539"/>
      <c r="AQ2618" s="1539"/>
      <c r="AR2618" s="1539"/>
      <c r="AS2618" s="1539"/>
      <c r="AT2618" s="1539"/>
      <c r="AU2618" s="1539"/>
      <c r="AV2618" s="1539"/>
      <c r="AW2618" s="1539"/>
      <c r="AX2618" s="1539"/>
      <c r="AY2618" s="1539"/>
      <c r="AZ2618" s="1539"/>
      <c r="BA2618" s="1539"/>
      <c r="BB2618" s="1539"/>
      <c r="BC2618" s="1539"/>
      <c r="BD2618" s="1539"/>
      <c r="BE2618" s="1539"/>
      <c r="BF2618" s="1539"/>
      <c r="BG2618" s="1539"/>
      <c r="BH2618" s="1539"/>
      <c r="BI2618" s="1539"/>
      <c r="BJ2618" s="1539"/>
      <c r="BK2618" s="1539"/>
      <c r="BL2618" s="1539"/>
      <c r="BM2618" s="1539"/>
      <c r="BN2618" s="1539"/>
      <c r="BO2618" s="1539"/>
      <c r="BP2618" s="1539"/>
      <c r="BQ2618" s="1539"/>
      <c r="BR2618" s="1539"/>
      <c r="BS2618" s="1539"/>
      <c r="BT2618" s="1539"/>
      <c r="BU2618" s="1539"/>
      <c r="BV2618" s="1539"/>
      <c r="BW2618" s="1539"/>
      <c r="BX2618" s="1539"/>
      <c r="BY2618" s="1539"/>
      <c r="BZ2618" s="1539"/>
      <c r="CA2618" s="1539"/>
      <c r="CB2618" s="1539"/>
      <c r="CC2618" s="1539"/>
      <c r="CD2618" s="1539"/>
      <c r="CE2618" s="1539"/>
      <c r="CF2618" s="1539"/>
      <c r="CG2618" s="1539"/>
      <c r="CH2618" s="1539"/>
      <c r="CI2618" s="1539"/>
      <c r="CJ2618" s="1539"/>
      <c r="CK2618" s="1539"/>
      <c r="CL2618" s="1539"/>
      <c r="CM2618" s="1539"/>
      <c r="CN2618" s="1539"/>
      <c r="CO2618" s="1539"/>
    </row>
    <row r="2619" spans="1:93" ht="15.5">
      <c r="A2619" s="1598">
        <v>61.540999999999997</v>
      </c>
      <c r="B2619" s="1599" t="s">
        <v>666</v>
      </c>
      <c r="C2619" s="1643" t="e">
        <f>+SUMIF(#REF!,Final!A2619,#REF!)</f>
        <v>#REF!</v>
      </c>
      <c r="D2619" s="1597" t="e">
        <f>+SUMIF(#REF!,Final!A2619,#REF!)</f>
        <v>#REF!</v>
      </c>
      <c r="E2619" s="1643" t="e">
        <f>SUMIF(#REF!,Final!A2619,#REF!)</f>
        <v>#REF!</v>
      </c>
      <c r="F2619" s="1644" t="e">
        <f>SUMIF(#REF!,Final!A2619,#REF!)</f>
        <v>#REF!</v>
      </c>
      <c r="G2619" s="1597" t="e">
        <f t="shared" si="264"/>
        <v>#REF!</v>
      </c>
      <c r="H2619" s="1644" t="e">
        <f t="shared" si="265"/>
        <v>#REF!</v>
      </c>
      <c r="I2619" s="1597" t="e">
        <f t="shared" si="266"/>
        <v>#REF!</v>
      </c>
      <c r="J2619" s="1644" t="e">
        <f t="shared" si="267"/>
        <v>#REF!</v>
      </c>
      <c r="M2619" s="1545"/>
      <c r="N2619" s="1545"/>
    </row>
    <row r="2620" spans="1:93" ht="15.5">
      <c r="A2620" s="1598">
        <v>61.542000000000002</v>
      </c>
      <c r="B2620" s="1599" t="s">
        <v>1335</v>
      </c>
      <c r="C2620" s="1643" t="e">
        <f>+SUMIF(#REF!,Final!A2620,#REF!)</f>
        <v>#REF!</v>
      </c>
      <c r="D2620" s="1597" t="e">
        <f>+SUMIF(#REF!,Final!A2620,#REF!)</f>
        <v>#REF!</v>
      </c>
      <c r="E2620" s="1643" t="e">
        <f>SUMIF(#REF!,Final!A2620,#REF!)</f>
        <v>#REF!</v>
      </c>
      <c r="F2620" s="1644" t="e">
        <f>SUMIF(#REF!,Final!A2620,#REF!)</f>
        <v>#REF!</v>
      </c>
      <c r="G2620" s="1597" t="e">
        <f t="shared" si="264"/>
        <v>#REF!</v>
      </c>
      <c r="H2620" s="1644" t="e">
        <f t="shared" si="265"/>
        <v>#REF!</v>
      </c>
      <c r="I2620" s="1597" t="e">
        <f t="shared" si="266"/>
        <v>#REF!</v>
      </c>
      <c r="J2620" s="1644" t="e">
        <f t="shared" si="267"/>
        <v>#REF!</v>
      </c>
      <c r="M2620" s="1545"/>
      <c r="N2620" s="1545"/>
    </row>
    <row r="2621" spans="1:93" ht="15.5">
      <c r="A2621" s="1598">
        <v>61.542999999999999</v>
      </c>
      <c r="B2621" s="1599" t="s">
        <v>1899</v>
      </c>
      <c r="C2621" s="1643" t="e">
        <f>+SUMIF(#REF!,Final!A2621,#REF!)</f>
        <v>#REF!</v>
      </c>
      <c r="D2621" s="1597" t="e">
        <f>+SUMIF(#REF!,Final!A2621,#REF!)</f>
        <v>#REF!</v>
      </c>
      <c r="E2621" s="1643" t="e">
        <f>SUMIF(#REF!,Final!A2621,#REF!)</f>
        <v>#REF!</v>
      </c>
      <c r="F2621" s="1644" t="e">
        <f>SUMIF(#REF!,Final!A2621,#REF!)</f>
        <v>#REF!</v>
      </c>
      <c r="G2621" s="1597" t="e">
        <f t="shared" si="264"/>
        <v>#REF!</v>
      </c>
      <c r="H2621" s="1644" t="e">
        <f t="shared" si="265"/>
        <v>#REF!</v>
      </c>
      <c r="I2621" s="1597" t="e">
        <f t="shared" si="266"/>
        <v>#REF!</v>
      </c>
      <c r="J2621" s="1644" t="e">
        <f t="shared" si="267"/>
        <v>#REF!</v>
      </c>
      <c r="M2621" s="1545"/>
      <c r="N2621" s="1545"/>
    </row>
    <row r="2622" spans="1:93" s="1542" customFormat="1" ht="15.5">
      <c r="A2622" s="1598">
        <v>61.543999999999997</v>
      </c>
      <c r="B2622" s="1599" t="s">
        <v>1900</v>
      </c>
      <c r="C2622" s="1643" t="e">
        <f>+SUMIF(#REF!,Final!A2622,#REF!)</f>
        <v>#REF!</v>
      </c>
      <c r="D2622" s="1597" t="e">
        <f>+SUMIF(#REF!,Final!A2622,#REF!)</f>
        <v>#REF!</v>
      </c>
      <c r="E2622" s="1643" t="e">
        <f>SUMIF(#REF!,Final!A2622,#REF!)</f>
        <v>#REF!</v>
      </c>
      <c r="F2622" s="1644" t="e">
        <f>SUMIF(#REF!,Final!A2622,#REF!)</f>
        <v>#REF!</v>
      </c>
      <c r="G2622" s="1597" t="e">
        <f t="shared" si="264"/>
        <v>#REF!</v>
      </c>
      <c r="H2622" s="1644" t="e">
        <f t="shared" si="265"/>
        <v>#REF!</v>
      </c>
      <c r="I2622" s="1597" t="e">
        <f t="shared" si="266"/>
        <v>#REF!</v>
      </c>
      <c r="J2622" s="1644" t="e">
        <f t="shared" si="267"/>
        <v>#REF!</v>
      </c>
      <c r="K2622" s="1539"/>
      <c r="L2622" s="1539"/>
      <c r="M2622" s="1545"/>
      <c r="N2622" s="1545"/>
      <c r="O2622" s="1539"/>
      <c r="P2622" s="1539"/>
      <c r="Q2622" s="1539"/>
      <c r="R2622" s="1539"/>
      <c r="S2622" s="1539"/>
      <c r="T2622" s="1539"/>
      <c r="U2622" s="1539"/>
      <c r="V2622" s="1539"/>
      <c r="W2622" s="1539"/>
      <c r="X2622" s="1539"/>
      <c r="Y2622" s="1539"/>
      <c r="Z2622" s="1539"/>
      <c r="AA2622" s="1539"/>
      <c r="AB2622" s="1539"/>
      <c r="AC2622" s="1539"/>
      <c r="AD2622" s="1539"/>
      <c r="AE2622" s="1539"/>
      <c r="AF2622" s="1539"/>
      <c r="AG2622" s="1539"/>
      <c r="AH2622" s="1539"/>
      <c r="AI2622" s="1539"/>
      <c r="AJ2622" s="1539"/>
      <c r="AK2622" s="1539"/>
      <c r="AL2622" s="1539"/>
      <c r="AM2622" s="1539"/>
      <c r="AN2622" s="1539"/>
      <c r="AO2622" s="1539"/>
      <c r="AP2622" s="1539"/>
      <c r="AQ2622" s="1539"/>
      <c r="AR2622" s="1539"/>
      <c r="AS2622" s="1539"/>
      <c r="AT2622" s="1539"/>
      <c r="AU2622" s="1539"/>
      <c r="AV2622" s="1539"/>
      <c r="AW2622" s="1539"/>
      <c r="AX2622" s="1539"/>
      <c r="AY2622" s="1539"/>
      <c r="AZ2622" s="1539"/>
      <c r="BA2622" s="1539"/>
      <c r="BB2622" s="1539"/>
      <c r="BC2622" s="1539"/>
      <c r="BD2622" s="1539"/>
      <c r="BE2622" s="1539"/>
      <c r="BF2622" s="1539"/>
      <c r="BG2622" s="1539"/>
      <c r="BH2622" s="1539"/>
      <c r="BI2622" s="1539"/>
      <c r="BJ2622" s="1539"/>
      <c r="BK2622" s="1539"/>
      <c r="BL2622" s="1539"/>
      <c r="BM2622" s="1539"/>
      <c r="BN2622" s="1539"/>
      <c r="BO2622" s="1539"/>
      <c r="BP2622" s="1539"/>
      <c r="BQ2622" s="1539"/>
      <c r="BR2622" s="1539"/>
      <c r="BS2622" s="1539"/>
      <c r="BT2622" s="1539"/>
      <c r="BU2622" s="1539"/>
      <c r="BV2622" s="1539"/>
      <c r="BW2622" s="1539"/>
      <c r="BX2622" s="1539"/>
      <c r="BY2622" s="1539"/>
      <c r="BZ2622" s="1539"/>
      <c r="CA2622" s="1539"/>
      <c r="CB2622" s="1539"/>
      <c r="CC2622" s="1539"/>
      <c r="CD2622" s="1539"/>
      <c r="CE2622" s="1539"/>
      <c r="CF2622" s="1539"/>
      <c r="CG2622" s="1539"/>
      <c r="CH2622" s="1539"/>
      <c r="CI2622" s="1539"/>
      <c r="CJ2622" s="1539"/>
      <c r="CK2622" s="1539"/>
      <c r="CL2622" s="1539"/>
      <c r="CM2622" s="1539"/>
      <c r="CN2622" s="1539"/>
      <c r="CO2622" s="1539"/>
    </row>
    <row r="2623" spans="1:93" ht="15.5">
      <c r="A2623" s="1598">
        <v>61.545000000000002</v>
      </c>
      <c r="B2623" s="1599" t="s">
        <v>890</v>
      </c>
      <c r="C2623" s="1643" t="e">
        <f>+SUMIF(#REF!,Final!A2623,#REF!)</f>
        <v>#REF!</v>
      </c>
      <c r="D2623" s="1597" t="e">
        <f>+SUMIF(#REF!,Final!A2623,#REF!)</f>
        <v>#REF!</v>
      </c>
      <c r="E2623" s="1643" t="e">
        <f>SUMIF(#REF!,Final!A2623,#REF!)</f>
        <v>#REF!</v>
      </c>
      <c r="F2623" s="1644" t="e">
        <f>SUMIF(#REF!,Final!A2623,#REF!)</f>
        <v>#REF!</v>
      </c>
      <c r="G2623" s="1597" t="e">
        <f t="shared" si="264"/>
        <v>#REF!</v>
      </c>
      <c r="H2623" s="1644" t="e">
        <f t="shared" si="265"/>
        <v>#REF!</v>
      </c>
      <c r="I2623" s="1597" t="e">
        <f t="shared" si="266"/>
        <v>#REF!</v>
      </c>
      <c r="J2623" s="1644" t="e">
        <f t="shared" si="267"/>
        <v>#REF!</v>
      </c>
      <c r="M2623" s="1545"/>
      <c r="N2623" s="1545"/>
    </row>
    <row r="2624" spans="1:93" ht="15.5">
      <c r="A2624" s="1598">
        <v>61.545999999999999</v>
      </c>
      <c r="B2624" s="1599" t="s">
        <v>892</v>
      </c>
      <c r="C2624" s="1643" t="e">
        <f>+SUMIF(#REF!,Final!A2624,#REF!)</f>
        <v>#REF!</v>
      </c>
      <c r="D2624" s="1597" t="e">
        <f>+SUMIF(#REF!,Final!A2624,#REF!)</f>
        <v>#REF!</v>
      </c>
      <c r="E2624" s="1643" t="e">
        <f>SUMIF(#REF!,Final!A2624,#REF!)</f>
        <v>#REF!</v>
      </c>
      <c r="F2624" s="1644" t="e">
        <f>SUMIF(#REF!,Final!A2624,#REF!)</f>
        <v>#REF!</v>
      </c>
      <c r="G2624" s="1597" t="e">
        <f t="shared" si="264"/>
        <v>#REF!</v>
      </c>
      <c r="H2624" s="1644" t="e">
        <f t="shared" si="265"/>
        <v>#REF!</v>
      </c>
      <c r="I2624" s="1597" t="e">
        <f t="shared" si="266"/>
        <v>#REF!</v>
      </c>
      <c r="J2624" s="1644" t="e">
        <f t="shared" si="267"/>
        <v>#REF!</v>
      </c>
      <c r="M2624" s="1545"/>
      <c r="N2624" s="1545"/>
    </row>
    <row r="2625" spans="1:93" ht="15.5">
      <c r="A2625" s="1598">
        <v>61.546999999999997</v>
      </c>
      <c r="B2625" s="1599" t="s">
        <v>893</v>
      </c>
      <c r="C2625" s="1643" t="e">
        <f>+SUMIF(#REF!,Final!A2625,#REF!)</f>
        <v>#REF!</v>
      </c>
      <c r="D2625" s="1597" t="e">
        <f>+SUMIF(#REF!,Final!A2625,#REF!)</f>
        <v>#REF!</v>
      </c>
      <c r="E2625" s="1643" t="e">
        <f>SUMIF(#REF!,Final!A2625,#REF!)</f>
        <v>#REF!</v>
      </c>
      <c r="F2625" s="1644" t="e">
        <f>SUMIF(#REF!,Final!A2625,#REF!)</f>
        <v>#REF!</v>
      </c>
      <c r="G2625" s="1597" t="e">
        <f t="shared" si="264"/>
        <v>#REF!</v>
      </c>
      <c r="H2625" s="1644" t="e">
        <f t="shared" si="265"/>
        <v>#REF!</v>
      </c>
      <c r="I2625" s="1597" t="e">
        <f t="shared" si="266"/>
        <v>#REF!</v>
      </c>
      <c r="J2625" s="1644" t="e">
        <f t="shared" si="267"/>
        <v>#REF!</v>
      </c>
      <c r="M2625" s="1545"/>
      <c r="N2625" s="1545"/>
    </row>
    <row r="2626" spans="1:93" s="1542" customFormat="1" ht="15.5">
      <c r="A2626" s="1598">
        <v>61.548000000000002</v>
      </c>
      <c r="B2626" s="1599" t="s">
        <v>539</v>
      </c>
      <c r="C2626" s="1643" t="e">
        <f>+SUMIF(#REF!,Final!A2626,#REF!)</f>
        <v>#REF!</v>
      </c>
      <c r="D2626" s="1597" t="e">
        <f>+SUMIF(#REF!,Final!A2626,#REF!)</f>
        <v>#REF!</v>
      </c>
      <c r="E2626" s="1643" t="e">
        <f>SUMIF(#REF!,Final!A2626,#REF!)</f>
        <v>#REF!</v>
      </c>
      <c r="F2626" s="1644" t="e">
        <f>SUMIF(#REF!,Final!A2626,#REF!)</f>
        <v>#REF!</v>
      </c>
      <c r="G2626" s="1597" t="e">
        <f t="shared" si="264"/>
        <v>#REF!</v>
      </c>
      <c r="H2626" s="1644" t="e">
        <f t="shared" si="265"/>
        <v>#REF!</v>
      </c>
      <c r="I2626" s="1597" t="e">
        <f t="shared" si="266"/>
        <v>#REF!</v>
      </c>
      <c r="J2626" s="1644" t="e">
        <f t="shared" si="267"/>
        <v>#REF!</v>
      </c>
      <c r="K2626" s="1539"/>
      <c r="L2626" s="1539"/>
      <c r="M2626" s="1545"/>
      <c r="N2626" s="1545"/>
      <c r="O2626" s="1539"/>
      <c r="P2626" s="1539"/>
      <c r="Q2626" s="1539"/>
      <c r="R2626" s="1539"/>
      <c r="S2626" s="1539"/>
      <c r="T2626" s="1539"/>
      <c r="U2626" s="1539"/>
      <c r="V2626" s="1539"/>
      <c r="W2626" s="1539"/>
      <c r="X2626" s="1539"/>
      <c r="Y2626" s="1539"/>
      <c r="Z2626" s="1539"/>
      <c r="AA2626" s="1539"/>
      <c r="AB2626" s="1539"/>
      <c r="AC2626" s="1539"/>
      <c r="AD2626" s="1539"/>
      <c r="AE2626" s="1539"/>
      <c r="AF2626" s="1539"/>
      <c r="AG2626" s="1539"/>
      <c r="AH2626" s="1539"/>
      <c r="AI2626" s="1539"/>
      <c r="AJ2626" s="1539"/>
      <c r="AK2626" s="1539"/>
      <c r="AL2626" s="1539"/>
      <c r="AM2626" s="1539"/>
      <c r="AN2626" s="1539"/>
      <c r="AO2626" s="1539"/>
      <c r="AP2626" s="1539"/>
      <c r="AQ2626" s="1539"/>
      <c r="AR2626" s="1539"/>
      <c r="AS2626" s="1539"/>
      <c r="AT2626" s="1539"/>
      <c r="AU2626" s="1539"/>
      <c r="AV2626" s="1539"/>
      <c r="AW2626" s="1539"/>
      <c r="AX2626" s="1539"/>
      <c r="AY2626" s="1539"/>
      <c r="AZ2626" s="1539"/>
      <c r="BA2626" s="1539"/>
      <c r="BB2626" s="1539"/>
      <c r="BC2626" s="1539"/>
      <c r="BD2626" s="1539"/>
      <c r="BE2626" s="1539"/>
      <c r="BF2626" s="1539"/>
      <c r="BG2626" s="1539"/>
      <c r="BH2626" s="1539"/>
      <c r="BI2626" s="1539"/>
      <c r="BJ2626" s="1539"/>
      <c r="BK2626" s="1539"/>
      <c r="BL2626" s="1539"/>
      <c r="BM2626" s="1539"/>
      <c r="BN2626" s="1539"/>
      <c r="BO2626" s="1539"/>
      <c r="BP2626" s="1539"/>
      <c r="BQ2626" s="1539"/>
      <c r="BR2626" s="1539"/>
      <c r="BS2626" s="1539"/>
      <c r="BT2626" s="1539"/>
      <c r="BU2626" s="1539"/>
      <c r="BV2626" s="1539"/>
      <c r="BW2626" s="1539"/>
      <c r="BX2626" s="1539"/>
      <c r="BY2626" s="1539"/>
      <c r="BZ2626" s="1539"/>
      <c r="CA2626" s="1539"/>
      <c r="CB2626" s="1539"/>
      <c r="CC2626" s="1539"/>
      <c r="CD2626" s="1539"/>
      <c r="CE2626" s="1539"/>
      <c r="CF2626" s="1539"/>
      <c r="CG2626" s="1539"/>
      <c r="CH2626" s="1539"/>
      <c r="CI2626" s="1539"/>
      <c r="CJ2626" s="1539"/>
      <c r="CK2626" s="1539"/>
      <c r="CL2626" s="1539"/>
      <c r="CM2626" s="1539"/>
      <c r="CN2626" s="1539"/>
      <c r="CO2626" s="1539"/>
    </row>
    <row r="2627" spans="1:93" s="1542" customFormat="1" ht="15.5">
      <c r="A2627" s="1598">
        <v>61.548999999999999</v>
      </c>
      <c r="B2627" s="1599" t="s">
        <v>540</v>
      </c>
      <c r="C2627" s="1643" t="e">
        <f>+SUMIF(#REF!,Final!A2627,#REF!)</f>
        <v>#REF!</v>
      </c>
      <c r="D2627" s="1597" t="e">
        <f>+SUMIF(#REF!,Final!A2627,#REF!)</f>
        <v>#REF!</v>
      </c>
      <c r="E2627" s="1643" t="e">
        <f>SUMIF(#REF!,Final!A2627,#REF!)</f>
        <v>#REF!</v>
      </c>
      <c r="F2627" s="1644" t="e">
        <f>SUMIF(#REF!,Final!A2627,#REF!)</f>
        <v>#REF!</v>
      </c>
      <c r="G2627" s="1597" t="e">
        <f t="shared" si="264"/>
        <v>#REF!</v>
      </c>
      <c r="H2627" s="1644" t="e">
        <f t="shared" si="265"/>
        <v>#REF!</v>
      </c>
      <c r="I2627" s="1597" t="e">
        <f t="shared" si="266"/>
        <v>#REF!</v>
      </c>
      <c r="J2627" s="1644" t="e">
        <f t="shared" si="267"/>
        <v>#REF!</v>
      </c>
      <c r="K2627" s="1539"/>
      <c r="L2627" s="1539"/>
      <c r="M2627" s="1545"/>
      <c r="N2627" s="1545"/>
      <c r="O2627" s="1539"/>
      <c r="P2627" s="1539"/>
      <c r="Q2627" s="1539"/>
      <c r="R2627" s="1539"/>
      <c r="S2627" s="1539"/>
      <c r="T2627" s="1539"/>
      <c r="U2627" s="1539"/>
      <c r="V2627" s="1539"/>
      <c r="W2627" s="1539"/>
      <c r="X2627" s="1539"/>
      <c r="Y2627" s="1539"/>
      <c r="Z2627" s="1539"/>
      <c r="AA2627" s="1539"/>
      <c r="AB2627" s="1539"/>
      <c r="AC2627" s="1539"/>
      <c r="AD2627" s="1539"/>
      <c r="AE2627" s="1539"/>
      <c r="AF2627" s="1539"/>
      <c r="AG2627" s="1539"/>
      <c r="AH2627" s="1539"/>
      <c r="AI2627" s="1539"/>
      <c r="AJ2627" s="1539"/>
      <c r="AK2627" s="1539"/>
      <c r="AL2627" s="1539"/>
      <c r="AM2627" s="1539"/>
      <c r="AN2627" s="1539"/>
      <c r="AO2627" s="1539"/>
      <c r="AP2627" s="1539"/>
      <c r="AQ2627" s="1539"/>
      <c r="AR2627" s="1539"/>
      <c r="AS2627" s="1539"/>
      <c r="AT2627" s="1539"/>
      <c r="AU2627" s="1539"/>
      <c r="AV2627" s="1539"/>
      <c r="AW2627" s="1539"/>
      <c r="AX2627" s="1539"/>
      <c r="AY2627" s="1539"/>
      <c r="AZ2627" s="1539"/>
      <c r="BA2627" s="1539"/>
      <c r="BB2627" s="1539"/>
      <c r="BC2627" s="1539"/>
      <c r="BD2627" s="1539"/>
      <c r="BE2627" s="1539"/>
      <c r="BF2627" s="1539"/>
      <c r="BG2627" s="1539"/>
      <c r="BH2627" s="1539"/>
      <c r="BI2627" s="1539"/>
      <c r="BJ2627" s="1539"/>
      <c r="BK2627" s="1539"/>
      <c r="BL2627" s="1539"/>
      <c r="BM2627" s="1539"/>
      <c r="BN2627" s="1539"/>
      <c r="BO2627" s="1539"/>
      <c r="BP2627" s="1539"/>
      <c r="BQ2627" s="1539"/>
      <c r="BR2627" s="1539"/>
      <c r="BS2627" s="1539"/>
      <c r="BT2627" s="1539"/>
      <c r="BU2627" s="1539"/>
      <c r="BV2627" s="1539"/>
      <c r="BW2627" s="1539"/>
      <c r="BX2627" s="1539"/>
      <c r="BY2627" s="1539"/>
      <c r="BZ2627" s="1539"/>
      <c r="CA2627" s="1539"/>
      <c r="CB2627" s="1539"/>
      <c r="CC2627" s="1539"/>
      <c r="CD2627" s="1539"/>
      <c r="CE2627" s="1539"/>
      <c r="CF2627" s="1539"/>
      <c r="CG2627" s="1539"/>
      <c r="CH2627" s="1539"/>
      <c r="CI2627" s="1539"/>
      <c r="CJ2627" s="1539"/>
      <c r="CK2627" s="1539"/>
      <c r="CL2627" s="1539"/>
      <c r="CM2627" s="1539"/>
      <c r="CN2627" s="1539"/>
      <c r="CO2627" s="1539"/>
    </row>
    <row r="2628" spans="1:93" ht="15.5">
      <c r="A2628" s="1598">
        <v>61.55</v>
      </c>
      <c r="B2628" s="1599" t="s">
        <v>1901</v>
      </c>
      <c r="C2628" s="1643" t="e">
        <f>+SUMIF(#REF!,Final!A2628,#REF!)</f>
        <v>#REF!</v>
      </c>
      <c r="D2628" s="1597" t="e">
        <f>+SUMIF(#REF!,Final!A2628,#REF!)</f>
        <v>#REF!</v>
      </c>
      <c r="E2628" s="1643" t="e">
        <f>SUMIF(#REF!,Final!A2628,#REF!)</f>
        <v>#REF!</v>
      </c>
      <c r="F2628" s="1644" t="e">
        <f>SUMIF(#REF!,Final!A2628,#REF!)</f>
        <v>#REF!</v>
      </c>
      <c r="G2628" s="1597" t="e">
        <f t="shared" si="264"/>
        <v>#REF!</v>
      </c>
      <c r="H2628" s="1644" t="e">
        <f t="shared" si="265"/>
        <v>#REF!</v>
      </c>
      <c r="I2628" s="1597" t="e">
        <f t="shared" si="266"/>
        <v>#REF!</v>
      </c>
      <c r="J2628" s="1644" t="e">
        <f t="shared" si="267"/>
        <v>#REF!</v>
      </c>
      <c r="M2628" s="1545"/>
      <c r="N2628" s="1545"/>
    </row>
    <row r="2629" spans="1:93" ht="15.5">
      <c r="A2629" s="1598">
        <v>61.551000000000002</v>
      </c>
      <c r="B2629" s="1599" t="s">
        <v>1902</v>
      </c>
      <c r="C2629" s="1643" t="e">
        <f>+SUMIF(#REF!,Final!A2629,#REF!)</f>
        <v>#REF!</v>
      </c>
      <c r="D2629" s="1597" t="e">
        <f>+SUMIF(#REF!,Final!A2629,#REF!)</f>
        <v>#REF!</v>
      </c>
      <c r="E2629" s="1643" t="e">
        <f>SUMIF(#REF!,Final!A2629,#REF!)</f>
        <v>#REF!</v>
      </c>
      <c r="F2629" s="1644" t="e">
        <f>SUMIF(#REF!,Final!A2629,#REF!)</f>
        <v>#REF!</v>
      </c>
      <c r="G2629" s="1597" t="e">
        <f t="shared" si="264"/>
        <v>#REF!</v>
      </c>
      <c r="H2629" s="1644" t="e">
        <f t="shared" si="265"/>
        <v>#REF!</v>
      </c>
      <c r="I2629" s="1597" t="e">
        <f t="shared" si="266"/>
        <v>#REF!</v>
      </c>
      <c r="J2629" s="1644" t="e">
        <f t="shared" si="267"/>
        <v>#REF!</v>
      </c>
      <c r="M2629" s="1545"/>
      <c r="N2629" s="1545"/>
    </row>
    <row r="2630" spans="1:93" ht="15.5">
      <c r="A2630" s="1598">
        <v>61.552</v>
      </c>
      <c r="B2630" s="1599" t="s">
        <v>2740</v>
      </c>
      <c r="C2630" s="1643" t="e">
        <f>+SUMIF(#REF!,Final!A2630,#REF!)</f>
        <v>#REF!</v>
      </c>
      <c r="D2630" s="1597" t="e">
        <f>+SUMIF(#REF!,Final!A2630,#REF!)</f>
        <v>#REF!</v>
      </c>
      <c r="E2630" s="1643" t="e">
        <f>SUMIF(#REF!,Final!A2630,#REF!)</f>
        <v>#REF!</v>
      </c>
      <c r="F2630" s="1644" t="e">
        <f>SUMIF(#REF!,Final!A2630,#REF!)</f>
        <v>#REF!</v>
      </c>
      <c r="G2630" s="1597" t="e">
        <f t="shared" si="264"/>
        <v>#REF!</v>
      </c>
      <c r="H2630" s="1644" t="e">
        <f t="shared" si="265"/>
        <v>#REF!</v>
      </c>
      <c r="I2630" s="1597" t="e">
        <f t="shared" si="266"/>
        <v>#REF!</v>
      </c>
      <c r="J2630" s="1644" t="e">
        <f t="shared" si="267"/>
        <v>#REF!</v>
      </c>
      <c r="M2630" s="1545"/>
      <c r="N2630" s="1545"/>
    </row>
    <row r="2631" spans="1:93" ht="15.5">
      <c r="A2631" s="1598">
        <v>61.552999999999997</v>
      </c>
      <c r="B2631" s="1599" t="s">
        <v>2741</v>
      </c>
      <c r="C2631" s="1643" t="e">
        <f>+SUMIF(#REF!,Final!A2631,#REF!)</f>
        <v>#REF!</v>
      </c>
      <c r="D2631" s="1597" t="e">
        <f>+SUMIF(#REF!,Final!A2631,#REF!)</f>
        <v>#REF!</v>
      </c>
      <c r="E2631" s="1643" t="e">
        <f>SUMIF(#REF!,Final!A2631,#REF!)</f>
        <v>#REF!</v>
      </c>
      <c r="F2631" s="1644" t="e">
        <f>SUMIF(#REF!,Final!A2631,#REF!)</f>
        <v>#REF!</v>
      </c>
      <c r="G2631" s="1597" t="e">
        <f t="shared" ref="G2631:G2697" si="272">C2631+E2631</f>
        <v>#REF!</v>
      </c>
      <c r="H2631" s="1644" t="e">
        <f t="shared" ref="H2631:H2697" si="273">D2631+F2631</f>
        <v>#REF!</v>
      </c>
      <c r="I2631" s="1597" t="e">
        <f t="shared" ref="I2631:I2697" si="274">IF(G2631&gt;H2631,G2631-H2631,0)</f>
        <v>#REF!</v>
      </c>
      <c r="J2631" s="1644" t="e">
        <f t="shared" ref="J2631:J2697" si="275">IF(H2631&gt;G2631,H2631-G2631,0)</f>
        <v>#REF!</v>
      </c>
      <c r="M2631" s="1545"/>
      <c r="N2631" s="1545"/>
    </row>
    <row r="2632" spans="1:93" ht="15.5">
      <c r="A2632" s="1598">
        <v>61.554000000000002</v>
      </c>
      <c r="B2632" s="1599" t="s">
        <v>2742</v>
      </c>
      <c r="C2632" s="1643" t="e">
        <f>+SUMIF(#REF!,Final!A2632,#REF!)</f>
        <v>#REF!</v>
      </c>
      <c r="D2632" s="1597" t="e">
        <f>+SUMIF(#REF!,Final!A2632,#REF!)</f>
        <v>#REF!</v>
      </c>
      <c r="E2632" s="1643" t="e">
        <f>SUMIF(#REF!,Final!A2632,#REF!)</f>
        <v>#REF!</v>
      </c>
      <c r="F2632" s="1644" t="e">
        <f>SUMIF(#REF!,Final!A2632,#REF!)</f>
        <v>#REF!</v>
      </c>
      <c r="G2632" s="1597" t="e">
        <f t="shared" si="272"/>
        <v>#REF!</v>
      </c>
      <c r="H2632" s="1644" t="e">
        <f t="shared" si="273"/>
        <v>#REF!</v>
      </c>
      <c r="I2632" s="1597" t="e">
        <f t="shared" si="274"/>
        <v>#REF!</v>
      </c>
      <c r="J2632" s="1644" t="e">
        <f t="shared" si="275"/>
        <v>#REF!</v>
      </c>
      <c r="M2632" s="1545"/>
      <c r="N2632" s="1545"/>
    </row>
    <row r="2633" spans="1:93" ht="15.5">
      <c r="A2633" s="1598">
        <v>61.555</v>
      </c>
      <c r="B2633" s="1599" t="s">
        <v>669</v>
      </c>
      <c r="C2633" s="1643" t="e">
        <f>+SUMIF(#REF!,Final!A2633,#REF!)</f>
        <v>#REF!</v>
      </c>
      <c r="D2633" s="1597" t="e">
        <f>+SUMIF(#REF!,Final!A2633,#REF!)</f>
        <v>#REF!</v>
      </c>
      <c r="E2633" s="1643" t="e">
        <f>SUMIF(#REF!,Final!A2633,#REF!)</f>
        <v>#REF!</v>
      </c>
      <c r="F2633" s="1644" t="e">
        <f>SUMIF(#REF!,Final!A2633,#REF!)</f>
        <v>#REF!</v>
      </c>
      <c r="G2633" s="1597" t="e">
        <f t="shared" si="272"/>
        <v>#REF!</v>
      </c>
      <c r="H2633" s="1644" t="e">
        <f t="shared" si="273"/>
        <v>#REF!</v>
      </c>
      <c r="I2633" s="1597" t="e">
        <f t="shared" si="274"/>
        <v>#REF!</v>
      </c>
      <c r="J2633" s="1644" t="e">
        <f t="shared" si="275"/>
        <v>#REF!</v>
      </c>
      <c r="M2633" s="1545"/>
      <c r="N2633" s="1545"/>
    </row>
    <row r="2634" spans="1:93" s="1543" customFormat="1" ht="15.5">
      <c r="A2634" s="1598">
        <v>61.555999999999997</v>
      </c>
      <c r="B2634" s="1599" t="s">
        <v>423</v>
      </c>
      <c r="C2634" s="1643" t="e">
        <f>+SUMIF(#REF!,Final!A2634,#REF!)</f>
        <v>#REF!</v>
      </c>
      <c r="D2634" s="1597" t="e">
        <f>+SUMIF(#REF!,Final!A2634,#REF!)</f>
        <v>#REF!</v>
      </c>
      <c r="E2634" s="1643" t="e">
        <f>SUMIF(#REF!,Final!A2634,#REF!)</f>
        <v>#REF!</v>
      </c>
      <c r="F2634" s="1644" t="e">
        <f>SUMIF(#REF!,Final!A2634,#REF!)</f>
        <v>#REF!</v>
      </c>
      <c r="G2634" s="1597" t="e">
        <f t="shared" si="272"/>
        <v>#REF!</v>
      </c>
      <c r="H2634" s="1644" t="e">
        <f t="shared" si="273"/>
        <v>#REF!</v>
      </c>
      <c r="I2634" s="1597" t="e">
        <f t="shared" si="274"/>
        <v>#REF!</v>
      </c>
      <c r="J2634" s="1644" t="e">
        <f t="shared" si="275"/>
        <v>#REF!</v>
      </c>
      <c r="K2634" s="1539"/>
      <c r="L2634" s="1539"/>
      <c r="M2634" s="1545"/>
      <c r="N2634" s="1545"/>
      <c r="O2634" s="1539"/>
      <c r="P2634" s="1539"/>
      <c r="Q2634" s="1539"/>
      <c r="R2634" s="1539"/>
      <c r="S2634" s="1539"/>
      <c r="T2634" s="1539"/>
      <c r="U2634" s="1539"/>
      <c r="V2634" s="1539"/>
      <c r="W2634" s="1539"/>
      <c r="X2634" s="1539"/>
      <c r="Y2634" s="1539"/>
      <c r="Z2634" s="1539"/>
      <c r="AA2634" s="1539"/>
      <c r="AB2634" s="1539"/>
      <c r="AC2634" s="1539"/>
      <c r="AD2634" s="1539"/>
      <c r="AE2634" s="1539"/>
      <c r="AF2634" s="1539"/>
      <c r="AG2634" s="1539"/>
      <c r="AH2634" s="1539"/>
      <c r="AI2634" s="1539"/>
      <c r="AJ2634" s="1539"/>
      <c r="AK2634" s="1539"/>
      <c r="AL2634" s="1539"/>
      <c r="AM2634" s="1539"/>
      <c r="AN2634" s="1539"/>
      <c r="AO2634" s="1539"/>
      <c r="AP2634" s="1539"/>
      <c r="AQ2634" s="1539"/>
      <c r="AR2634" s="1539"/>
      <c r="AS2634" s="1539"/>
      <c r="AT2634" s="1539"/>
      <c r="AU2634" s="1539"/>
      <c r="AV2634" s="1539"/>
      <c r="AW2634" s="1539"/>
      <c r="AX2634" s="1539"/>
      <c r="AY2634" s="1539"/>
      <c r="AZ2634" s="1539"/>
      <c r="BA2634" s="1539"/>
      <c r="BB2634" s="1539"/>
      <c r="BC2634" s="1539"/>
      <c r="BD2634" s="1539"/>
      <c r="BE2634" s="1539"/>
      <c r="BF2634" s="1539"/>
      <c r="BG2634" s="1539"/>
      <c r="BH2634" s="1539"/>
      <c r="BI2634" s="1539"/>
      <c r="BJ2634" s="1539"/>
      <c r="BK2634" s="1539"/>
      <c r="BL2634" s="1539"/>
      <c r="BM2634" s="1539"/>
      <c r="BN2634" s="1539"/>
      <c r="BO2634" s="1539"/>
      <c r="BP2634" s="1539"/>
      <c r="BQ2634" s="1539"/>
      <c r="BR2634" s="1539"/>
      <c r="BS2634" s="1539"/>
      <c r="BT2634" s="1539"/>
      <c r="BU2634" s="1539"/>
      <c r="BV2634" s="1539"/>
      <c r="BW2634" s="1539"/>
      <c r="BX2634" s="1539"/>
      <c r="BY2634" s="1539"/>
      <c r="BZ2634" s="1539"/>
      <c r="CA2634" s="1539"/>
      <c r="CB2634" s="1539"/>
      <c r="CC2634" s="1539"/>
      <c r="CD2634" s="1539"/>
      <c r="CE2634" s="1539"/>
      <c r="CF2634" s="1539"/>
      <c r="CG2634" s="1539"/>
      <c r="CH2634" s="1539"/>
      <c r="CI2634" s="1539"/>
      <c r="CJ2634" s="1539"/>
      <c r="CK2634" s="1539"/>
      <c r="CL2634" s="1539"/>
      <c r="CM2634" s="1539"/>
      <c r="CN2634" s="1539"/>
      <c r="CO2634" s="1539"/>
    </row>
    <row r="2635" spans="1:93" s="1543" customFormat="1" ht="15.5">
      <c r="A2635" s="1817">
        <v>61.651000000000003</v>
      </c>
      <c r="B2635" s="1812" t="s">
        <v>5429</v>
      </c>
      <c r="C2635" s="1643" t="e">
        <f>+SUMIF(#REF!,Final!A2635,#REF!)</f>
        <v>#REF!</v>
      </c>
      <c r="D2635" s="1597" t="e">
        <f>+SUMIF(#REF!,Final!A2635,#REF!)</f>
        <v>#REF!</v>
      </c>
      <c r="E2635" s="1643" t="e">
        <f>SUMIF(#REF!,Final!A2635,#REF!)</f>
        <v>#REF!</v>
      </c>
      <c r="F2635" s="1644" t="e">
        <f>SUMIF(#REF!,Final!A2635,#REF!)</f>
        <v>#REF!</v>
      </c>
      <c r="G2635" s="1597" t="e">
        <f t="shared" ref="G2635" si="276">C2635+E2635</f>
        <v>#REF!</v>
      </c>
      <c r="H2635" s="1644" t="e">
        <f t="shared" ref="H2635" si="277">D2635+F2635</f>
        <v>#REF!</v>
      </c>
      <c r="I2635" s="1597" t="e">
        <f t="shared" ref="I2635" si="278">IF(G2635&gt;H2635,G2635-H2635,0)</f>
        <v>#REF!</v>
      </c>
      <c r="J2635" s="1644" t="e">
        <f t="shared" ref="J2635" si="279">IF(H2635&gt;G2635,H2635-G2635,0)</f>
        <v>#REF!</v>
      </c>
      <c r="K2635" s="1539"/>
      <c r="L2635" s="1539"/>
      <c r="M2635" s="1545"/>
      <c r="N2635" s="1545"/>
      <c r="O2635" s="1539"/>
      <c r="P2635" s="1539"/>
      <c r="Q2635" s="1539"/>
      <c r="R2635" s="1539"/>
      <c r="S2635" s="1539"/>
      <c r="T2635" s="1539"/>
      <c r="U2635" s="1539"/>
      <c r="V2635" s="1539"/>
      <c r="W2635" s="1539"/>
      <c r="X2635" s="1539"/>
      <c r="Y2635" s="1539"/>
      <c r="Z2635" s="1539"/>
      <c r="AA2635" s="1539"/>
      <c r="AB2635" s="1539"/>
      <c r="AC2635" s="1539"/>
      <c r="AD2635" s="1539"/>
      <c r="AE2635" s="1539"/>
      <c r="AF2635" s="1539"/>
      <c r="AG2635" s="1539"/>
      <c r="AH2635" s="1539"/>
      <c r="AI2635" s="1539"/>
      <c r="AJ2635" s="1539"/>
      <c r="AK2635" s="1539"/>
      <c r="AL2635" s="1539"/>
      <c r="AM2635" s="1539"/>
      <c r="AN2635" s="1539"/>
      <c r="AO2635" s="1539"/>
      <c r="AP2635" s="1539"/>
      <c r="AQ2635" s="1539"/>
      <c r="AR2635" s="1539"/>
      <c r="AS2635" s="1539"/>
      <c r="AT2635" s="1539"/>
      <c r="AU2635" s="1539"/>
      <c r="AV2635" s="1539"/>
      <c r="AW2635" s="1539"/>
      <c r="AX2635" s="1539"/>
      <c r="AY2635" s="1539"/>
      <c r="AZ2635" s="1539"/>
      <c r="BA2635" s="1539"/>
      <c r="BB2635" s="1539"/>
      <c r="BC2635" s="1539"/>
      <c r="BD2635" s="1539"/>
      <c r="BE2635" s="1539"/>
      <c r="BF2635" s="1539"/>
      <c r="BG2635" s="1539"/>
      <c r="BH2635" s="1539"/>
      <c r="BI2635" s="1539"/>
      <c r="BJ2635" s="1539"/>
      <c r="BK2635" s="1539"/>
      <c r="BL2635" s="1539"/>
      <c r="BM2635" s="1539"/>
      <c r="BN2635" s="1539"/>
      <c r="BO2635" s="1539"/>
      <c r="BP2635" s="1539"/>
      <c r="BQ2635" s="1539"/>
      <c r="BR2635" s="1539"/>
      <c r="BS2635" s="1539"/>
      <c r="BT2635" s="1539"/>
      <c r="BU2635" s="1539"/>
      <c r="BV2635" s="1539"/>
      <c r="BW2635" s="1539"/>
      <c r="BX2635" s="1539"/>
      <c r="BY2635" s="1539"/>
      <c r="BZ2635" s="1539"/>
      <c r="CA2635" s="1539"/>
      <c r="CB2635" s="1539"/>
      <c r="CC2635" s="1539"/>
      <c r="CD2635" s="1539"/>
      <c r="CE2635" s="1539"/>
      <c r="CF2635" s="1539"/>
      <c r="CG2635" s="1539"/>
      <c r="CH2635" s="1539"/>
      <c r="CI2635" s="1539"/>
      <c r="CJ2635" s="1539"/>
      <c r="CK2635" s="1539"/>
      <c r="CL2635" s="1539"/>
      <c r="CM2635" s="1539"/>
      <c r="CN2635" s="1539"/>
      <c r="CO2635" s="1539"/>
    </row>
    <row r="2636" spans="1:93" s="1543" customFormat="1" ht="15.5">
      <c r="A2636" s="1598">
        <v>61.557000000000002</v>
      </c>
      <c r="B2636" s="1599" t="s">
        <v>1905</v>
      </c>
      <c r="C2636" s="1643" t="e">
        <f>+SUMIF(#REF!,Final!A2636,#REF!)</f>
        <v>#REF!</v>
      </c>
      <c r="D2636" s="1597" t="e">
        <f>+SUMIF(#REF!,Final!A2636,#REF!)</f>
        <v>#REF!</v>
      </c>
      <c r="E2636" s="1643" t="e">
        <f>SUMIF(#REF!,Final!A2636,#REF!)</f>
        <v>#REF!</v>
      </c>
      <c r="F2636" s="1644" t="e">
        <f>SUMIF(#REF!,Final!A2636,#REF!)</f>
        <v>#REF!</v>
      </c>
      <c r="G2636" s="1597" t="e">
        <f t="shared" si="272"/>
        <v>#REF!</v>
      </c>
      <c r="H2636" s="1644" t="e">
        <f t="shared" si="273"/>
        <v>#REF!</v>
      </c>
      <c r="I2636" s="1597" t="e">
        <f t="shared" si="274"/>
        <v>#REF!</v>
      </c>
      <c r="J2636" s="1644" t="e">
        <f t="shared" si="275"/>
        <v>#REF!</v>
      </c>
      <c r="K2636" s="1539"/>
      <c r="L2636" s="1539"/>
      <c r="M2636" s="1545"/>
      <c r="N2636" s="1545"/>
      <c r="O2636" s="1539"/>
      <c r="P2636" s="1539"/>
      <c r="Q2636" s="1539"/>
      <c r="R2636" s="1539"/>
      <c r="S2636" s="1539"/>
      <c r="T2636" s="1539"/>
      <c r="U2636" s="1539"/>
      <c r="V2636" s="1539"/>
      <c r="W2636" s="1539"/>
      <c r="X2636" s="1539"/>
      <c r="Y2636" s="1539"/>
      <c r="Z2636" s="1539"/>
      <c r="AA2636" s="1539"/>
      <c r="AB2636" s="1539"/>
      <c r="AC2636" s="1539"/>
      <c r="AD2636" s="1539"/>
      <c r="AE2636" s="1539"/>
      <c r="AF2636" s="1539"/>
      <c r="AG2636" s="1539"/>
      <c r="AH2636" s="1539"/>
      <c r="AI2636" s="1539"/>
      <c r="AJ2636" s="1539"/>
      <c r="AK2636" s="1539"/>
      <c r="AL2636" s="1539"/>
      <c r="AM2636" s="1539"/>
      <c r="AN2636" s="1539"/>
      <c r="AO2636" s="1539"/>
      <c r="AP2636" s="1539"/>
      <c r="AQ2636" s="1539"/>
      <c r="AR2636" s="1539"/>
      <c r="AS2636" s="1539"/>
      <c r="AT2636" s="1539"/>
      <c r="AU2636" s="1539"/>
      <c r="AV2636" s="1539"/>
      <c r="AW2636" s="1539"/>
      <c r="AX2636" s="1539"/>
      <c r="AY2636" s="1539"/>
      <c r="AZ2636" s="1539"/>
      <c r="BA2636" s="1539"/>
      <c r="BB2636" s="1539"/>
      <c r="BC2636" s="1539"/>
      <c r="BD2636" s="1539"/>
      <c r="BE2636" s="1539"/>
      <c r="BF2636" s="1539"/>
      <c r="BG2636" s="1539"/>
      <c r="BH2636" s="1539"/>
      <c r="BI2636" s="1539"/>
      <c r="BJ2636" s="1539"/>
      <c r="BK2636" s="1539"/>
      <c r="BL2636" s="1539"/>
      <c r="BM2636" s="1539"/>
      <c r="BN2636" s="1539"/>
      <c r="BO2636" s="1539"/>
      <c r="BP2636" s="1539"/>
      <c r="BQ2636" s="1539"/>
      <c r="BR2636" s="1539"/>
      <c r="BS2636" s="1539"/>
      <c r="BT2636" s="1539"/>
      <c r="BU2636" s="1539"/>
      <c r="BV2636" s="1539"/>
      <c r="BW2636" s="1539"/>
      <c r="BX2636" s="1539"/>
      <c r="BY2636" s="1539"/>
      <c r="BZ2636" s="1539"/>
      <c r="CA2636" s="1539"/>
      <c r="CB2636" s="1539"/>
      <c r="CC2636" s="1539"/>
      <c r="CD2636" s="1539"/>
      <c r="CE2636" s="1539"/>
      <c r="CF2636" s="1539"/>
      <c r="CG2636" s="1539"/>
      <c r="CH2636" s="1539"/>
      <c r="CI2636" s="1539"/>
      <c r="CJ2636" s="1539"/>
      <c r="CK2636" s="1539"/>
      <c r="CL2636" s="1539"/>
      <c r="CM2636" s="1539"/>
      <c r="CN2636" s="1539"/>
      <c r="CO2636" s="1539"/>
    </row>
    <row r="2637" spans="1:93" s="1552" customFormat="1" ht="15.5">
      <c r="A2637" s="1598"/>
      <c r="B2637" s="1599" t="s">
        <v>1747</v>
      </c>
      <c r="C2637" s="1643" t="e">
        <f>+SUMIF(#REF!,Final!A2637,#REF!)</f>
        <v>#REF!</v>
      </c>
      <c r="D2637" s="1597" t="e">
        <f>+SUMIF(#REF!,Final!A2637,#REF!)</f>
        <v>#REF!</v>
      </c>
      <c r="E2637" s="1643" t="e">
        <f>SUMIF(#REF!,Final!A2637,#REF!)</f>
        <v>#REF!</v>
      </c>
      <c r="F2637" s="1644" t="e">
        <f>SUMIF(#REF!,Final!A2637,#REF!)</f>
        <v>#REF!</v>
      </c>
      <c r="G2637" s="1597" t="e">
        <f t="shared" si="272"/>
        <v>#REF!</v>
      </c>
      <c r="H2637" s="1644" t="e">
        <f t="shared" si="273"/>
        <v>#REF!</v>
      </c>
      <c r="I2637" s="1597" t="e">
        <f t="shared" si="274"/>
        <v>#REF!</v>
      </c>
      <c r="J2637" s="1644" t="e">
        <f t="shared" si="275"/>
        <v>#REF!</v>
      </c>
      <c r="K2637" s="1539"/>
      <c r="L2637" s="1539"/>
      <c r="M2637" s="1545"/>
      <c r="N2637" s="1545"/>
      <c r="O2637" s="1539"/>
      <c r="P2637" s="1539"/>
      <c r="Q2637" s="1539"/>
      <c r="R2637" s="1539"/>
      <c r="S2637" s="1539"/>
      <c r="T2637" s="1539"/>
      <c r="U2637" s="1539"/>
      <c r="V2637" s="1539"/>
      <c r="W2637" s="1539"/>
      <c r="X2637" s="1539"/>
      <c r="Y2637" s="1539"/>
      <c r="Z2637" s="1539"/>
      <c r="AA2637" s="1539"/>
      <c r="AB2637" s="1539"/>
      <c r="AC2637" s="1539"/>
      <c r="AD2637" s="1539"/>
      <c r="AE2637" s="1539"/>
      <c r="AF2637" s="1539"/>
      <c r="AG2637" s="1539"/>
      <c r="AH2637" s="1539"/>
      <c r="AI2637" s="1539"/>
      <c r="AJ2637" s="1539"/>
      <c r="AK2637" s="1539"/>
      <c r="AL2637" s="1539"/>
      <c r="AM2637" s="1539"/>
      <c r="AN2637" s="1539"/>
      <c r="AO2637" s="1539"/>
      <c r="AP2637" s="1539"/>
      <c r="AQ2637" s="1539"/>
      <c r="AR2637" s="1539"/>
      <c r="AS2637" s="1539"/>
      <c r="AT2637" s="1539"/>
      <c r="AU2637" s="1539"/>
      <c r="AV2637" s="1539"/>
      <c r="AW2637" s="1539"/>
      <c r="AX2637" s="1539"/>
      <c r="AY2637" s="1539"/>
      <c r="AZ2637" s="1539"/>
      <c r="BA2637" s="1539"/>
      <c r="BB2637" s="1539"/>
      <c r="BC2637" s="1539"/>
      <c r="BD2637" s="1539"/>
      <c r="BE2637" s="1539"/>
      <c r="BF2637" s="1539"/>
      <c r="BG2637" s="1539"/>
      <c r="BH2637" s="1539"/>
      <c r="BI2637" s="1539"/>
      <c r="BJ2637" s="1539"/>
      <c r="BK2637" s="1539"/>
      <c r="BL2637" s="1539"/>
      <c r="BM2637" s="1539"/>
      <c r="BN2637" s="1539"/>
      <c r="BO2637" s="1539"/>
      <c r="BP2637" s="1539"/>
      <c r="BQ2637" s="1539"/>
      <c r="BR2637" s="1539"/>
      <c r="BS2637" s="1539"/>
      <c r="BT2637" s="1539"/>
      <c r="BU2637" s="1539"/>
      <c r="BV2637" s="1539"/>
      <c r="BW2637" s="1539"/>
      <c r="BX2637" s="1539"/>
      <c r="BY2637" s="1539"/>
      <c r="BZ2637" s="1539"/>
      <c r="CA2637" s="1539"/>
      <c r="CB2637" s="1539"/>
      <c r="CC2637" s="1539"/>
      <c r="CD2637" s="1539"/>
      <c r="CE2637" s="1539"/>
      <c r="CF2637" s="1539"/>
      <c r="CG2637" s="1539"/>
      <c r="CH2637" s="1539"/>
      <c r="CI2637" s="1539"/>
      <c r="CJ2637" s="1539"/>
      <c r="CK2637" s="1539"/>
      <c r="CL2637" s="1539"/>
      <c r="CM2637" s="1539"/>
      <c r="CN2637" s="1539"/>
      <c r="CO2637" s="1539"/>
    </row>
    <row r="2638" spans="1:93" s="1552" customFormat="1" ht="15.5">
      <c r="A2638" s="1598"/>
      <c r="B2638" s="1599"/>
      <c r="C2638" s="1643" t="e">
        <f>+SUMIF(#REF!,Final!A2638,#REF!)</f>
        <v>#REF!</v>
      </c>
      <c r="D2638" s="1597" t="e">
        <f>+SUMIF(#REF!,Final!A2638,#REF!)</f>
        <v>#REF!</v>
      </c>
      <c r="E2638" s="1643" t="e">
        <f>SUMIF(#REF!,Final!A2638,#REF!)</f>
        <v>#REF!</v>
      </c>
      <c r="F2638" s="1644" t="e">
        <f>SUMIF(#REF!,Final!A2638,#REF!)</f>
        <v>#REF!</v>
      </c>
      <c r="G2638" s="1597" t="e">
        <f t="shared" si="272"/>
        <v>#REF!</v>
      </c>
      <c r="H2638" s="1644" t="e">
        <f t="shared" si="273"/>
        <v>#REF!</v>
      </c>
      <c r="I2638" s="1597" t="e">
        <f t="shared" si="274"/>
        <v>#REF!</v>
      </c>
      <c r="J2638" s="1644" t="e">
        <f t="shared" si="275"/>
        <v>#REF!</v>
      </c>
      <c r="K2638" s="1539"/>
      <c r="L2638" s="1539"/>
      <c r="M2638" s="1545"/>
      <c r="N2638" s="1545"/>
      <c r="O2638" s="1539"/>
      <c r="P2638" s="1539"/>
      <c r="Q2638" s="1539"/>
      <c r="R2638" s="1539"/>
      <c r="S2638" s="1539"/>
      <c r="T2638" s="1539"/>
      <c r="U2638" s="1539"/>
      <c r="V2638" s="1539"/>
      <c r="W2638" s="1539"/>
      <c r="X2638" s="1539"/>
      <c r="Y2638" s="1539"/>
      <c r="Z2638" s="1539"/>
      <c r="AA2638" s="1539"/>
      <c r="AB2638" s="1539"/>
      <c r="AC2638" s="1539"/>
      <c r="AD2638" s="1539"/>
      <c r="AE2638" s="1539"/>
      <c r="AF2638" s="1539"/>
      <c r="AG2638" s="1539"/>
      <c r="AH2638" s="1539"/>
      <c r="AI2638" s="1539"/>
      <c r="AJ2638" s="1539"/>
      <c r="AK2638" s="1539"/>
      <c r="AL2638" s="1539"/>
      <c r="AM2638" s="1539"/>
      <c r="AN2638" s="1539"/>
      <c r="AO2638" s="1539"/>
      <c r="AP2638" s="1539"/>
      <c r="AQ2638" s="1539"/>
      <c r="AR2638" s="1539"/>
      <c r="AS2638" s="1539"/>
      <c r="AT2638" s="1539"/>
      <c r="AU2638" s="1539"/>
      <c r="AV2638" s="1539"/>
      <c r="AW2638" s="1539"/>
      <c r="AX2638" s="1539"/>
      <c r="AY2638" s="1539"/>
      <c r="AZ2638" s="1539"/>
      <c r="BA2638" s="1539"/>
      <c r="BB2638" s="1539"/>
      <c r="BC2638" s="1539"/>
      <c r="BD2638" s="1539"/>
      <c r="BE2638" s="1539"/>
      <c r="BF2638" s="1539"/>
      <c r="BG2638" s="1539"/>
      <c r="BH2638" s="1539"/>
      <c r="BI2638" s="1539"/>
      <c r="BJ2638" s="1539"/>
      <c r="BK2638" s="1539"/>
      <c r="BL2638" s="1539"/>
      <c r="BM2638" s="1539"/>
      <c r="BN2638" s="1539"/>
      <c r="BO2638" s="1539"/>
      <c r="BP2638" s="1539"/>
      <c r="BQ2638" s="1539"/>
      <c r="BR2638" s="1539"/>
      <c r="BS2638" s="1539"/>
      <c r="BT2638" s="1539"/>
      <c r="BU2638" s="1539"/>
      <c r="BV2638" s="1539"/>
      <c r="BW2638" s="1539"/>
      <c r="BX2638" s="1539"/>
      <c r="BY2638" s="1539"/>
      <c r="BZ2638" s="1539"/>
      <c r="CA2638" s="1539"/>
      <c r="CB2638" s="1539"/>
      <c r="CC2638" s="1539"/>
      <c r="CD2638" s="1539"/>
      <c r="CE2638" s="1539"/>
      <c r="CF2638" s="1539"/>
      <c r="CG2638" s="1539"/>
      <c r="CH2638" s="1539"/>
      <c r="CI2638" s="1539"/>
      <c r="CJ2638" s="1539"/>
      <c r="CK2638" s="1539"/>
      <c r="CL2638" s="1539"/>
      <c r="CM2638" s="1539"/>
      <c r="CN2638" s="1539"/>
      <c r="CO2638" s="1539"/>
    </row>
    <row r="2639" spans="1:93" s="1542" customFormat="1" ht="15.5">
      <c r="A2639" s="1598">
        <v>22</v>
      </c>
      <c r="B2639" s="1599" t="s">
        <v>3001</v>
      </c>
      <c r="C2639" s="1643" t="e">
        <f>+SUMIF(#REF!,Final!A2639,#REF!)</f>
        <v>#REF!</v>
      </c>
      <c r="D2639" s="1597" t="e">
        <f>+SUMIF(#REF!,Final!A2639,#REF!)</f>
        <v>#REF!</v>
      </c>
      <c r="E2639" s="1643" t="e">
        <f>SUMIF(#REF!,Final!A2639,#REF!)</f>
        <v>#REF!</v>
      </c>
      <c r="F2639" s="1644" t="e">
        <f>SUMIF(#REF!,Final!A2639,#REF!)</f>
        <v>#REF!</v>
      </c>
      <c r="G2639" s="1597" t="e">
        <f t="shared" si="272"/>
        <v>#REF!</v>
      </c>
      <c r="H2639" s="1644" t="e">
        <f t="shared" si="273"/>
        <v>#REF!</v>
      </c>
      <c r="I2639" s="1597" t="e">
        <f t="shared" si="274"/>
        <v>#REF!</v>
      </c>
      <c r="J2639" s="1644" t="e">
        <f t="shared" si="275"/>
        <v>#REF!</v>
      </c>
      <c r="K2639" s="1539"/>
      <c r="L2639" s="1539"/>
      <c r="M2639" s="1545"/>
      <c r="N2639" s="1545"/>
      <c r="O2639" s="1539"/>
      <c r="P2639" s="1539"/>
      <c r="Q2639" s="1539"/>
      <c r="R2639" s="1539"/>
      <c r="S2639" s="1539"/>
      <c r="T2639" s="1539"/>
      <c r="U2639" s="1539"/>
      <c r="V2639" s="1539"/>
      <c r="W2639" s="1539"/>
      <c r="X2639" s="1539"/>
      <c r="Y2639" s="1539"/>
      <c r="Z2639" s="1539"/>
      <c r="AA2639" s="1539"/>
      <c r="AB2639" s="1539"/>
      <c r="AC2639" s="1539"/>
      <c r="AD2639" s="1539"/>
      <c r="AE2639" s="1539"/>
      <c r="AF2639" s="1539"/>
      <c r="AG2639" s="1539"/>
      <c r="AH2639" s="1539"/>
      <c r="AI2639" s="1539"/>
      <c r="AJ2639" s="1539"/>
      <c r="AK2639" s="1539"/>
      <c r="AL2639" s="1539"/>
      <c r="AM2639" s="1539"/>
      <c r="AN2639" s="1539"/>
      <c r="AO2639" s="1539"/>
      <c r="AP2639" s="1539"/>
      <c r="AQ2639" s="1539"/>
      <c r="AR2639" s="1539"/>
      <c r="AS2639" s="1539"/>
      <c r="AT2639" s="1539"/>
      <c r="AU2639" s="1539"/>
      <c r="AV2639" s="1539"/>
      <c r="AW2639" s="1539"/>
      <c r="AX2639" s="1539"/>
      <c r="AY2639" s="1539"/>
      <c r="AZ2639" s="1539"/>
      <c r="BA2639" s="1539"/>
      <c r="BB2639" s="1539"/>
      <c r="BC2639" s="1539"/>
      <c r="BD2639" s="1539"/>
      <c r="BE2639" s="1539"/>
      <c r="BF2639" s="1539"/>
      <c r="BG2639" s="1539"/>
      <c r="BH2639" s="1539"/>
      <c r="BI2639" s="1539"/>
      <c r="BJ2639" s="1539"/>
      <c r="BK2639" s="1539"/>
      <c r="BL2639" s="1539"/>
      <c r="BM2639" s="1539"/>
      <c r="BN2639" s="1539"/>
      <c r="BO2639" s="1539"/>
      <c r="BP2639" s="1539"/>
      <c r="BQ2639" s="1539"/>
      <c r="BR2639" s="1539"/>
      <c r="BS2639" s="1539"/>
      <c r="BT2639" s="1539"/>
      <c r="BU2639" s="1539"/>
      <c r="BV2639" s="1539"/>
      <c r="BW2639" s="1539"/>
      <c r="BX2639" s="1539"/>
      <c r="BY2639" s="1539"/>
      <c r="BZ2639" s="1539"/>
      <c r="CA2639" s="1539"/>
      <c r="CB2639" s="1539"/>
      <c r="CC2639" s="1539"/>
      <c r="CD2639" s="1539"/>
      <c r="CE2639" s="1539"/>
      <c r="CF2639" s="1539"/>
      <c r="CG2639" s="1539"/>
      <c r="CH2639" s="1539"/>
      <c r="CI2639" s="1539"/>
      <c r="CJ2639" s="1539"/>
      <c r="CK2639" s="1539"/>
      <c r="CL2639" s="1539"/>
      <c r="CM2639" s="1539"/>
      <c r="CN2639" s="1539"/>
      <c r="CO2639" s="1539"/>
    </row>
    <row r="2640" spans="1:93" s="1542" customFormat="1" ht="15.5">
      <c r="A2640" s="1598" t="s">
        <v>1102</v>
      </c>
      <c r="B2640" s="1599" t="s">
        <v>3002</v>
      </c>
      <c r="C2640" s="1643" t="e">
        <f>+SUMIF(#REF!,Final!A2640,#REF!)</f>
        <v>#REF!</v>
      </c>
      <c r="D2640" s="1597" t="e">
        <f>+SUMIF(#REF!,Final!A2640,#REF!)</f>
        <v>#REF!</v>
      </c>
      <c r="E2640" s="1643" t="e">
        <f>SUMIF(#REF!,Final!A2640,#REF!)</f>
        <v>#REF!</v>
      </c>
      <c r="F2640" s="1644" t="e">
        <f>SUMIF(#REF!,Final!A2640,#REF!)</f>
        <v>#REF!</v>
      </c>
      <c r="G2640" s="1597" t="e">
        <f t="shared" si="272"/>
        <v>#REF!</v>
      </c>
      <c r="H2640" s="1644" t="e">
        <f t="shared" si="273"/>
        <v>#REF!</v>
      </c>
      <c r="I2640" s="1597" t="e">
        <f t="shared" si="274"/>
        <v>#REF!</v>
      </c>
      <c r="J2640" s="1644" t="e">
        <f t="shared" si="275"/>
        <v>#REF!</v>
      </c>
      <c r="K2640" s="1539"/>
      <c r="L2640" s="1539"/>
      <c r="M2640" s="1545"/>
      <c r="N2640" s="1545"/>
      <c r="O2640" s="1539"/>
      <c r="P2640" s="1539"/>
      <c r="Q2640" s="1539"/>
      <c r="R2640" s="1539"/>
      <c r="S2640" s="1539"/>
      <c r="T2640" s="1539"/>
      <c r="U2640" s="1539"/>
      <c r="V2640" s="1539"/>
      <c r="W2640" s="1539"/>
      <c r="X2640" s="1539"/>
      <c r="Y2640" s="1539"/>
      <c r="Z2640" s="1539"/>
      <c r="AA2640" s="1539"/>
      <c r="AB2640" s="1539"/>
      <c r="AC2640" s="1539"/>
      <c r="AD2640" s="1539"/>
      <c r="AE2640" s="1539"/>
      <c r="AF2640" s="1539"/>
      <c r="AG2640" s="1539"/>
      <c r="AH2640" s="1539"/>
      <c r="AI2640" s="1539"/>
      <c r="AJ2640" s="1539"/>
      <c r="AK2640" s="1539"/>
      <c r="AL2640" s="1539"/>
      <c r="AM2640" s="1539"/>
      <c r="AN2640" s="1539"/>
      <c r="AO2640" s="1539"/>
      <c r="AP2640" s="1539"/>
      <c r="AQ2640" s="1539"/>
      <c r="AR2640" s="1539"/>
      <c r="AS2640" s="1539"/>
      <c r="AT2640" s="1539"/>
      <c r="AU2640" s="1539"/>
      <c r="AV2640" s="1539"/>
      <c r="AW2640" s="1539"/>
      <c r="AX2640" s="1539"/>
      <c r="AY2640" s="1539"/>
      <c r="AZ2640" s="1539"/>
      <c r="BA2640" s="1539"/>
      <c r="BB2640" s="1539"/>
      <c r="BC2640" s="1539"/>
      <c r="BD2640" s="1539"/>
      <c r="BE2640" s="1539"/>
      <c r="BF2640" s="1539"/>
      <c r="BG2640" s="1539"/>
      <c r="BH2640" s="1539"/>
      <c r="BI2640" s="1539"/>
      <c r="BJ2640" s="1539"/>
      <c r="BK2640" s="1539"/>
      <c r="BL2640" s="1539"/>
      <c r="BM2640" s="1539"/>
      <c r="BN2640" s="1539"/>
      <c r="BO2640" s="1539"/>
      <c r="BP2640" s="1539"/>
      <c r="BQ2640" s="1539"/>
      <c r="BR2640" s="1539"/>
      <c r="BS2640" s="1539"/>
      <c r="BT2640" s="1539"/>
      <c r="BU2640" s="1539"/>
      <c r="BV2640" s="1539"/>
      <c r="BW2640" s="1539"/>
      <c r="BX2640" s="1539"/>
      <c r="BY2640" s="1539"/>
      <c r="BZ2640" s="1539"/>
      <c r="CA2640" s="1539"/>
      <c r="CB2640" s="1539"/>
      <c r="CC2640" s="1539"/>
      <c r="CD2640" s="1539"/>
      <c r="CE2640" s="1539"/>
      <c r="CF2640" s="1539"/>
      <c r="CG2640" s="1539"/>
      <c r="CH2640" s="1539"/>
      <c r="CI2640" s="1539"/>
      <c r="CJ2640" s="1539"/>
      <c r="CK2640" s="1539"/>
      <c r="CL2640" s="1539"/>
      <c r="CM2640" s="1539"/>
      <c r="CN2640" s="1539"/>
      <c r="CO2640" s="1539"/>
    </row>
    <row r="2641" spans="1:93" ht="15.5">
      <c r="A2641" s="1598">
        <v>61.61</v>
      </c>
      <c r="B2641" s="1599" t="s">
        <v>3003</v>
      </c>
      <c r="C2641" s="1643" t="e">
        <f>+SUMIF(#REF!,Final!A2641,#REF!)</f>
        <v>#REF!</v>
      </c>
      <c r="D2641" s="1597" t="e">
        <f>+SUMIF(#REF!,Final!A2641,#REF!)</f>
        <v>#REF!</v>
      </c>
      <c r="E2641" s="1643" t="e">
        <f>SUMIF(#REF!,Final!A2641,#REF!)</f>
        <v>#REF!</v>
      </c>
      <c r="F2641" s="1644" t="e">
        <f>SUMIF(#REF!,Final!A2641,#REF!)</f>
        <v>#REF!</v>
      </c>
      <c r="G2641" s="1597" t="e">
        <f t="shared" si="272"/>
        <v>#REF!</v>
      </c>
      <c r="H2641" s="1644" t="e">
        <f t="shared" si="273"/>
        <v>#REF!</v>
      </c>
      <c r="I2641" s="1597" t="e">
        <f t="shared" si="274"/>
        <v>#REF!</v>
      </c>
      <c r="J2641" s="1644" t="e">
        <f t="shared" si="275"/>
        <v>#REF!</v>
      </c>
      <c r="M2641" s="1545"/>
      <c r="N2641" s="1545"/>
    </row>
    <row r="2642" spans="1:93" ht="15.5">
      <c r="A2642" s="1598">
        <v>61.72</v>
      </c>
      <c r="B2642" s="1599" t="s">
        <v>3508</v>
      </c>
      <c r="C2642" s="1643" t="e">
        <f>+SUMIF(#REF!,Final!A2642,#REF!)</f>
        <v>#REF!</v>
      </c>
      <c r="D2642" s="1597" t="e">
        <f>+SUMIF(#REF!,Final!A2642,#REF!)</f>
        <v>#REF!</v>
      </c>
      <c r="E2642" s="1643" t="e">
        <f>SUMIF(#REF!,Final!A2642,#REF!)</f>
        <v>#REF!</v>
      </c>
      <c r="F2642" s="1644" t="e">
        <f>SUMIF(#REF!,Final!A2642,#REF!)</f>
        <v>#REF!</v>
      </c>
      <c r="G2642" s="1597" t="e">
        <f t="shared" si="272"/>
        <v>#REF!</v>
      </c>
      <c r="H2642" s="1644" t="e">
        <f t="shared" si="273"/>
        <v>#REF!</v>
      </c>
      <c r="I2642" s="1597" t="e">
        <f t="shared" si="274"/>
        <v>#REF!</v>
      </c>
      <c r="J2642" s="1644" t="e">
        <f t="shared" si="275"/>
        <v>#REF!</v>
      </c>
      <c r="M2642" s="1545"/>
      <c r="N2642" s="1545"/>
    </row>
    <row r="2643" spans="1:93" s="1552" customFormat="1" ht="15.5">
      <c r="A2643" s="1598"/>
      <c r="B2643" s="1599" t="s">
        <v>1747</v>
      </c>
      <c r="C2643" s="1643" t="e">
        <f>+SUMIF(#REF!,Final!A2643,#REF!)</f>
        <v>#REF!</v>
      </c>
      <c r="D2643" s="1597" t="e">
        <f>+SUMIF(#REF!,Final!A2643,#REF!)</f>
        <v>#REF!</v>
      </c>
      <c r="E2643" s="1643" t="e">
        <f>SUMIF(#REF!,Final!A2643,#REF!)</f>
        <v>#REF!</v>
      </c>
      <c r="F2643" s="1644" t="e">
        <f>SUMIF(#REF!,Final!A2643,#REF!)</f>
        <v>#REF!</v>
      </c>
      <c r="G2643" s="1597" t="e">
        <f t="shared" si="272"/>
        <v>#REF!</v>
      </c>
      <c r="H2643" s="1644" t="e">
        <f t="shared" si="273"/>
        <v>#REF!</v>
      </c>
      <c r="I2643" s="1597" t="e">
        <f t="shared" si="274"/>
        <v>#REF!</v>
      </c>
      <c r="J2643" s="1644" t="e">
        <f t="shared" si="275"/>
        <v>#REF!</v>
      </c>
      <c r="K2643" s="1539"/>
      <c r="L2643" s="1539"/>
      <c r="M2643" s="1545"/>
      <c r="N2643" s="1545"/>
      <c r="O2643" s="1539"/>
      <c r="P2643" s="1539"/>
      <c r="Q2643" s="1539"/>
      <c r="R2643" s="1539"/>
      <c r="S2643" s="1539"/>
      <c r="T2643" s="1539"/>
      <c r="U2643" s="1539"/>
      <c r="V2643" s="1539"/>
      <c r="W2643" s="1539"/>
      <c r="X2643" s="1539"/>
      <c r="Y2643" s="1539"/>
      <c r="Z2643" s="1539"/>
      <c r="AA2643" s="1539"/>
      <c r="AB2643" s="1539"/>
      <c r="AC2643" s="1539"/>
      <c r="AD2643" s="1539"/>
      <c r="AE2643" s="1539"/>
      <c r="AF2643" s="1539"/>
      <c r="AG2643" s="1539"/>
      <c r="AH2643" s="1539"/>
      <c r="AI2643" s="1539"/>
      <c r="AJ2643" s="1539"/>
      <c r="AK2643" s="1539"/>
      <c r="AL2643" s="1539"/>
      <c r="AM2643" s="1539"/>
      <c r="AN2643" s="1539"/>
      <c r="AO2643" s="1539"/>
      <c r="AP2643" s="1539"/>
      <c r="AQ2643" s="1539"/>
      <c r="AR2643" s="1539"/>
      <c r="AS2643" s="1539"/>
      <c r="AT2643" s="1539"/>
      <c r="AU2643" s="1539"/>
      <c r="AV2643" s="1539"/>
      <c r="AW2643" s="1539"/>
      <c r="AX2643" s="1539"/>
      <c r="AY2643" s="1539"/>
      <c r="AZ2643" s="1539"/>
      <c r="BA2643" s="1539"/>
      <c r="BB2643" s="1539"/>
      <c r="BC2643" s="1539"/>
      <c r="BD2643" s="1539"/>
      <c r="BE2643" s="1539"/>
      <c r="BF2643" s="1539"/>
      <c r="BG2643" s="1539"/>
      <c r="BH2643" s="1539"/>
      <c r="BI2643" s="1539"/>
      <c r="BJ2643" s="1539"/>
      <c r="BK2643" s="1539"/>
      <c r="BL2643" s="1539"/>
      <c r="BM2643" s="1539"/>
      <c r="BN2643" s="1539"/>
      <c r="BO2643" s="1539"/>
      <c r="BP2643" s="1539"/>
      <c r="BQ2643" s="1539"/>
      <c r="BR2643" s="1539"/>
      <c r="BS2643" s="1539"/>
      <c r="BT2643" s="1539"/>
      <c r="BU2643" s="1539"/>
      <c r="BV2643" s="1539"/>
      <c r="BW2643" s="1539"/>
      <c r="BX2643" s="1539"/>
      <c r="BY2643" s="1539"/>
      <c r="BZ2643" s="1539"/>
      <c r="CA2643" s="1539"/>
      <c r="CB2643" s="1539"/>
      <c r="CC2643" s="1539"/>
      <c r="CD2643" s="1539"/>
      <c r="CE2643" s="1539"/>
      <c r="CF2643" s="1539"/>
      <c r="CG2643" s="1539"/>
      <c r="CH2643" s="1539"/>
      <c r="CI2643" s="1539"/>
      <c r="CJ2643" s="1539"/>
      <c r="CK2643" s="1539"/>
      <c r="CL2643" s="1539"/>
      <c r="CM2643" s="1539"/>
      <c r="CN2643" s="1539"/>
      <c r="CO2643" s="1539"/>
    </row>
    <row r="2644" spans="1:93" s="1552" customFormat="1" ht="15.5">
      <c r="A2644" s="1598"/>
      <c r="B2644" s="1599" t="s">
        <v>1760</v>
      </c>
      <c r="C2644" s="1643" t="e">
        <f>+SUMIF(#REF!,Final!A2644,#REF!)</f>
        <v>#REF!</v>
      </c>
      <c r="D2644" s="1597" t="e">
        <f>+SUMIF(#REF!,Final!A2644,#REF!)</f>
        <v>#REF!</v>
      </c>
      <c r="E2644" s="1643" t="e">
        <f>SUMIF(#REF!,Final!A2644,#REF!)</f>
        <v>#REF!</v>
      </c>
      <c r="F2644" s="1644" t="e">
        <f>SUMIF(#REF!,Final!A2644,#REF!)</f>
        <v>#REF!</v>
      </c>
      <c r="G2644" s="1597" t="e">
        <f t="shared" si="272"/>
        <v>#REF!</v>
      </c>
      <c r="H2644" s="1644" t="e">
        <f t="shared" si="273"/>
        <v>#REF!</v>
      </c>
      <c r="I2644" s="1597" t="e">
        <f t="shared" si="274"/>
        <v>#REF!</v>
      </c>
      <c r="J2644" s="1644" t="e">
        <f t="shared" si="275"/>
        <v>#REF!</v>
      </c>
      <c r="K2644" s="1539"/>
      <c r="L2644" s="1539"/>
      <c r="M2644" s="1545"/>
      <c r="N2644" s="1545"/>
      <c r="O2644" s="1539"/>
      <c r="P2644" s="1539"/>
      <c r="Q2644" s="1539"/>
      <c r="R2644" s="1539"/>
      <c r="S2644" s="1539"/>
      <c r="T2644" s="1539"/>
      <c r="U2644" s="1539"/>
      <c r="V2644" s="1539"/>
      <c r="W2644" s="1539"/>
      <c r="X2644" s="1539"/>
      <c r="Y2644" s="1539"/>
      <c r="Z2644" s="1539"/>
      <c r="AA2644" s="1539"/>
      <c r="AB2644" s="1539"/>
      <c r="AC2644" s="1539"/>
      <c r="AD2644" s="1539"/>
      <c r="AE2644" s="1539"/>
      <c r="AF2644" s="1539"/>
      <c r="AG2644" s="1539"/>
      <c r="AH2644" s="1539"/>
      <c r="AI2644" s="1539"/>
      <c r="AJ2644" s="1539"/>
      <c r="AK2644" s="1539"/>
      <c r="AL2644" s="1539"/>
      <c r="AM2644" s="1539"/>
      <c r="AN2644" s="1539"/>
      <c r="AO2644" s="1539"/>
      <c r="AP2644" s="1539"/>
      <c r="AQ2644" s="1539"/>
      <c r="AR2644" s="1539"/>
      <c r="AS2644" s="1539"/>
      <c r="AT2644" s="1539"/>
      <c r="AU2644" s="1539"/>
      <c r="AV2644" s="1539"/>
      <c r="AW2644" s="1539"/>
      <c r="AX2644" s="1539"/>
      <c r="AY2644" s="1539"/>
      <c r="AZ2644" s="1539"/>
      <c r="BA2644" s="1539"/>
      <c r="BB2644" s="1539"/>
      <c r="BC2644" s="1539"/>
      <c r="BD2644" s="1539"/>
      <c r="BE2644" s="1539"/>
      <c r="BF2644" s="1539"/>
      <c r="BG2644" s="1539"/>
      <c r="BH2644" s="1539"/>
      <c r="BI2644" s="1539"/>
      <c r="BJ2644" s="1539"/>
      <c r="BK2644" s="1539"/>
      <c r="BL2644" s="1539"/>
      <c r="BM2644" s="1539"/>
      <c r="BN2644" s="1539"/>
      <c r="BO2644" s="1539"/>
      <c r="BP2644" s="1539"/>
      <c r="BQ2644" s="1539"/>
      <c r="BR2644" s="1539"/>
      <c r="BS2644" s="1539"/>
      <c r="BT2644" s="1539"/>
      <c r="BU2644" s="1539"/>
      <c r="BV2644" s="1539"/>
      <c r="BW2644" s="1539"/>
      <c r="BX2644" s="1539"/>
      <c r="BY2644" s="1539"/>
      <c r="BZ2644" s="1539"/>
      <c r="CA2644" s="1539"/>
      <c r="CB2644" s="1539"/>
      <c r="CC2644" s="1539"/>
      <c r="CD2644" s="1539"/>
      <c r="CE2644" s="1539"/>
      <c r="CF2644" s="1539"/>
      <c r="CG2644" s="1539"/>
      <c r="CH2644" s="1539"/>
      <c r="CI2644" s="1539"/>
      <c r="CJ2644" s="1539"/>
      <c r="CK2644" s="1539"/>
      <c r="CL2644" s="1539"/>
      <c r="CM2644" s="1539"/>
      <c r="CN2644" s="1539"/>
      <c r="CO2644" s="1539"/>
    </row>
    <row r="2645" spans="1:93" s="1542" customFormat="1" ht="15.5">
      <c r="A2645" s="1598" t="s">
        <v>543</v>
      </c>
      <c r="B2645" s="1599" t="s">
        <v>3004</v>
      </c>
      <c r="C2645" s="1643" t="e">
        <f>+SUMIF(#REF!,Final!A2645,#REF!)</f>
        <v>#REF!</v>
      </c>
      <c r="D2645" s="1597" t="e">
        <f>+SUMIF(#REF!,Final!A2645,#REF!)</f>
        <v>#REF!</v>
      </c>
      <c r="E2645" s="1643" t="e">
        <f>SUMIF(#REF!,Final!A2645,#REF!)</f>
        <v>#REF!</v>
      </c>
      <c r="F2645" s="1644" t="e">
        <f>SUMIF(#REF!,Final!A2645,#REF!)</f>
        <v>#REF!</v>
      </c>
      <c r="G2645" s="1597" t="e">
        <f t="shared" si="272"/>
        <v>#REF!</v>
      </c>
      <c r="H2645" s="1644" t="e">
        <f t="shared" si="273"/>
        <v>#REF!</v>
      </c>
      <c r="I2645" s="1597" t="e">
        <f t="shared" si="274"/>
        <v>#REF!</v>
      </c>
      <c r="J2645" s="1644" t="e">
        <f t="shared" si="275"/>
        <v>#REF!</v>
      </c>
      <c r="K2645" s="1539"/>
      <c r="L2645" s="1539"/>
      <c r="M2645" s="1545"/>
      <c r="N2645" s="1545"/>
      <c r="O2645" s="1539"/>
      <c r="P2645" s="1539"/>
      <c r="Q2645" s="1539"/>
      <c r="R2645" s="1539"/>
      <c r="S2645" s="1539"/>
      <c r="T2645" s="1539"/>
      <c r="U2645" s="1539"/>
      <c r="V2645" s="1539"/>
      <c r="W2645" s="1539"/>
      <c r="X2645" s="1539"/>
      <c r="Y2645" s="1539"/>
      <c r="Z2645" s="1539"/>
      <c r="AA2645" s="1539"/>
      <c r="AB2645" s="1539"/>
      <c r="AC2645" s="1539"/>
      <c r="AD2645" s="1539"/>
      <c r="AE2645" s="1539"/>
      <c r="AF2645" s="1539"/>
      <c r="AG2645" s="1539"/>
      <c r="AH2645" s="1539"/>
      <c r="AI2645" s="1539"/>
      <c r="AJ2645" s="1539"/>
      <c r="AK2645" s="1539"/>
      <c r="AL2645" s="1539"/>
      <c r="AM2645" s="1539"/>
      <c r="AN2645" s="1539"/>
      <c r="AO2645" s="1539"/>
      <c r="AP2645" s="1539"/>
      <c r="AQ2645" s="1539"/>
      <c r="AR2645" s="1539"/>
      <c r="AS2645" s="1539"/>
      <c r="AT2645" s="1539"/>
      <c r="AU2645" s="1539"/>
      <c r="AV2645" s="1539"/>
      <c r="AW2645" s="1539"/>
      <c r="AX2645" s="1539"/>
      <c r="AY2645" s="1539"/>
      <c r="AZ2645" s="1539"/>
      <c r="BA2645" s="1539"/>
      <c r="BB2645" s="1539"/>
      <c r="BC2645" s="1539"/>
      <c r="BD2645" s="1539"/>
      <c r="BE2645" s="1539"/>
      <c r="BF2645" s="1539"/>
      <c r="BG2645" s="1539"/>
      <c r="BH2645" s="1539"/>
      <c r="BI2645" s="1539"/>
      <c r="BJ2645" s="1539"/>
      <c r="BK2645" s="1539"/>
      <c r="BL2645" s="1539"/>
      <c r="BM2645" s="1539"/>
      <c r="BN2645" s="1539"/>
      <c r="BO2645" s="1539"/>
      <c r="BP2645" s="1539"/>
      <c r="BQ2645" s="1539"/>
      <c r="BR2645" s="1539"/>
      <c r="BS2645" s="1539"/>
      <c r="BT2645" s="1539"/>
      <c r="BU2645" s="1539"/>
      <c r="BV2645" s="1539"/>
      <c r="BW2645" s="1539"/>
      <c r="BX2645" s="1539"/>
      <c r="BY2645" s="1539"/>
      <c r="BZ2645" s="1539"/>
      <c r="CA2645" s="1539"/>
      <c r="CB2645" s="1539"/>
      <c r="CC2645" s="1539"/>
      <c r="CD2645" s="1539"/>
      <c r="CE2645" s="1539"/>
      <c r="CF2645" s="1539"/>
      <c r="CG2645" s="1539"/>
      <c r="CH2645" s="1539"/>
      <c r="CI2645" s="1539"/>
      <c r="CJ2645" s="1539"/>
      <c r="CK2645" s="1539"/>
      <c r="CL2645" s="1539"/>
      <c r="CM2645" s="1539"/>
      <c r="CN2645" s="1539"/>
      <c r="CO2645" s="1539"/>
    </row>
    <row r="2646" spans="1:93" ht="15.5">
      <c r="A2646" s="1598">
        <v>61.902999999999999</v>
      </c>
      <c r="B2646" s="1599" t="s">
        <v>3005</v>
      </c>
      <c r="C2646" s="1643" t="e">
        <f>+SUMIF(#REF!,Final!A2646,#REF!)</f>
        <v>#REF!</v>
      </c>
      <c r="D2646" s="1597" t="e">
        <f>+SUMIF(#REF!,Final!A2646,#REF!)</f>
        <v>#REF!</v>
      </c>
      <c r="E2646" s="1643" t="e">
        <f>SUMIF(#REF!,Final!A2646,#REF!)</f>
        <v>#REF!</v>
      </c>
      <c r="F2646" s="1644" t="e">
        <f>SUMIF(#REF!,Final!A2646,#REF!)</f>
        <v>#REF!</v>
      </c>
      <c r="G2646" s="1597" t="e">
        <f t="shared" si="272"/>
        <v>#REF!</v>
      </c>
      <c r="H2646" s="1644" t="e">
        <f t="shared" si="273"/>
        <v>#REF!</v>
      </c>
      <c r="I2646" s="1597" t="e">
        <f t="shared" si="274"/>
        <v>#REF!</v>
      </c>
      <c r="J2646" s="1644" t="e">
        <f t="shared" si="275"/>
        <v>#REF!</v>
      </c>
      <c r="M2646" s="1545"/>
      <c r="N2646" s="1545"/>
    </row>
    <row r="2647" spans="1:93" ht="15.5">
      <c r="A2647" s="1598">
        <v>61.811</v>
      </c>
      <c r="B2647" s="1599" t="s">
        <v>4676</v>
      </c>
      <c r="C2647" s="1643" t="e">
        <f>+SUMIF(#REF!,Final!A2647,#REF!)</f>
        <v>#REF!</v>
      </c>
      <c r="D2647" s="1597" t="e">
        <f>+SUMIF(#REF!,Final!A2647,#REF!)</f>
        <v>#REF!</v>
      </c>
      <c r="E2647" s="1643" t="e">
        <f>SUMIF(#REF!,Final!A2647,#REF!)</f>
        <v>#REF!</v>
      </c>
      <c r="F2647" s="1644" t="e">
        <f>SUMIF(#REF!,Final!A2647,#REF!)</f>
        <v>#REF!</v>
      </c>
      <c r="G2647" s="1597" t="e">
        <f t="shared" si="272"/>
        <v>#REF!</v>
      </c>
      <c r="H2647" s="1644" t="e">
        <f t="shared" si="273"/>
        <v>#REF!</v>
      </c>
      <c r="I2647" s="1597" t="e">
        <f t="shared" si="274"/>
        <v>#REF!</v>
      </c>
      <c r="J2647" s="1644" t="e">
        <f t="shared" si="275"/>
        <v>#REF!</v>
      </c>
      <c r="M2647" s="1545"/>
      <c r="N2647" s="1545"/>
    </row>
    <row r="2648" spans="1:93" ht="15.5">
      <c r="A2648" s="1598">
        <v>61.904000000000003</v>
      </c>
      <c r="B2648" s="1599" t="s">
        <v>3006</v>
      </c>
      <c r="C2648" s="1643" t="e">
        <f>+SUMIF(#REF!,Final!A2648,#REF!)</f>
        <v>#REF!</v>
      </c>
      <c r="D2648" s="1597" t="e">
        <f>+SUMIF(#REF!,Final!A2648,#REF!)</f>
        <v>#REF!</v>
      </c>
      <c r="E2648" s="1643" t="e">
        <f>SUMIF(#REF!,Final!A2648,#REF!)</f>
        <v>#REF!</v>
      </c>
      <c r="F2648" s="1644" t="e">
        <f>SUMIF(#REF!,Final!A2648,#REF!)</f>
        <v>#REF!</v>
      </c>
      <c r="G2648" s="1597" t="e">
        <f t="shared" si="272"/>
        <v>#REF!</v>
      </c>
      <c r="H2648" s="1644" t="e">
        <f t="shared" si="273"/>
        <v>#REF!</v>
      </c>
      <c r="I2648" s="1597" t="e">
        <f t="shared" si="274"/>
        <v>#REF!</v>
      </c>
      <c r="J2648" s="1644" t="e">
        <f t="shared" si="275"/>
        <v>#REF!</v>
      </c>
      <c r="M2648" s="1545"/>
      <c r="N2648" s="1545"/>
    </row>
    <row r="2649" spans="1:93" ht="15.5">
      <c r="A2649" s="1598">
        <v>61.905999999999999</v>
      </c>
      <c r="B2649" s="1599" t="s">
        <v>3007</v>
      </c>
      <c r="C2649" s="1643" t="e">
        <f>+SUMIF(#REF!,Final!A2649,#REF!)</f>
        <v>#REF!</v>
      </c>
      <c r="D2649" s="1597" t="e">
        <f>+SUMIF(#REF!,Final!A2649,#REF!)</f>
        <v>#REF!</v>
      </c>
      <c r="E2649" s="1643" t="e">
        <f>SUMIF(#REF!,Final!A2649,#REF!)</f>
        <v>#REF!</v>
      </c>
      <c r="F2649" s="1644" t="e">
        <f>SUMIF(#REF!,Final!A2649,#REF!)</f>
        <v>#REF!</v>
      </c>
      <c r="G2649" s="1597" t="e">
        <f t="shared" si="272"/>
        <v>#REF!</v>
      </c>
      <c r="H2649" s="1644" t="e">
        <f t="shared" si="273"/>
        <v>#REF!</v>
      </c>
      <c r="I2649" s="1597" t="e">
        <f t="shared" si="274"/>
        <v>#REF!</v>
      </c>
      <c r="J2649" s="1644" t="e">
        <f t="shared" si="275"/>
        <v>#REF!</v>
      </c>
      <c r="M2649" s="1545"/>
      <c r="N2649" s="1545"/>
    </row>
    <row r="2650" spans="1:93" ht="15.5">
      <c r="A2650" s="1598">
        <v>61.911000000000001</v>
      </c>
      <c r="B2650" s="1599" t="s">
        <v>4751</v>
      </c>
      <c r="C2650" s="1643" t="e">
        <f>+SUMIF(#REF!,Final!A2650,#REF!)</f>
        <v>#REF!</v>
      </c>
      <c r="D2650" s="1597" t="e">
        <f>+SUMIF(#REF!,Final!A2650,#REF!)</f>
        <v>#REF!</v>
      </c>
      <c r="E2650" s="1643" t="e">
        <f>SUMIF(#REF!,Final!A2650,#REF!)</f>
        <v>#REF!</v>
      </c>
      <c r="F2650" s="1644" t="e">
        <f>SUMIF(#REF!,Final!A2650,#REF!)</f>
        <v>#REF!</v>
      </c>
      <c r="G2650" s="1597" t="e">
        <f t="shared" si="272"/>
        <v>#REF!</v>
      </c>
      <c r="H2650" s="1644" t="e">
        <f t="shared" si="273"/>
        <v>#REF!</v>
      </c>
      <c r="I2650" s="1597" t="e">
        <f t="shared" si="274"/>
        <v>#REF!</v>
      </c>
      <c r="J2650" s="1644" t="e">
        <f t="shared" si="275"/>
        <v>#REF!</v>
      </c>
      <c r="M2650" s="1545"/>
      <c r="N2650" s="1545"/>
    </row>
    <row r="2651" spans="1:93" ht="15.5">
      <c r="A2651" s="1600">
        <v>61.99</v>
      </c>
      <c r="B2651" s="1599" t="s">
        <v>3008</v>
      </c>
      <c r="C2651" s="1643" t="e">
        <f>+SUMIF(#REF!,Final!A2651,#REF!)</f>
        <v>#REF!</v>
      </c>
      <c r="D2651" s="1597" t="e">
        <f>+SUMIF(#REF!,Final!A2651,#REF!)</f>
        <v>#REF!</v>
      </c>
      <c r="E2651" s="1643" t="e">
        <f>SUMIF(#REF!,Final!A2651,#REF!)</f>
        <v>#REF!</v>
      </c>
      <c r="F2651" s="1644" t="e">
        <f>SUMIF(#REF!,Final!A2651,#REF!)</f>
        <v>#REF!</v>
      </c>
      <c r="G2651" s="1597" t="e">
        <f t="shared" si="272"/>
        <v>#REF!</v>
      </c>
      <c r="H2651" s="1644" t="e">
        <f t="shared" si="273"/>
        <v>#REF!</v>
      </c>
      <c r="I2651" s="1597" t="e">
        <f t="shared" si="274"/>
        <v>#REF!</v>
      </c>
      <c r="J2651" s="1644" t="e">
        <f t="shared" si="275"/>
        <v>#REF!</v>
      </c>
      <c r="M2651" s="1545"/>
      <c r="N2651" s="1545"/>
    </row>
    <row r="2652" spans="1:93" ht="15.5">
      <c r="A2652" s="1598">
        <v>61.991</v>
      </c>
      <c r="B2652" s="1599" t="s">
        <v>4752</v>
      </c>
      <c r="C2652" s="1643" t="e">
        <f>+SUMIF(#REF!,Final!A2652,#REF!)</f>
        <v>#REF!</v>
      </c>
      <c r="D2652" s="1597" t="e">
        <f>+SUMIF(#REF!,Final!A2652,#REF!)</f>
        <v>#REF!</v>
      </c>
      <c r="E2652" s="1643" t="e">
        <f>SUMIF(#REF!,Final!A2652,#REF!)</f>
        <v>#REF!</v>
      </c>
      <c r="F2652" s="1644" t="e">
        <f>SUMIF(#REF!,Final!A2652,#REF!)</f>
        <v>#REF!</v>
      </c>
      <c r="G2652" s="1597" t="e">
        <f t="shared" si="272"/>
        <v>#REF!</v>
      </c>
      <c r="H2652" s="1644" t="e">
        <f t="shared" si="273"/>
        <v>#REF!</v>
      </c>
      <c r="I2652" s="1597" t="e">
        <f t="shared" si="274"/>
        <v>#REF!</v>
      </c>
      <c r="J2652" s="1644" t="e">
        <f t="shared" si="275"/>
        <v>#REF!</v>
      </c>
      <c r="M2652" s="1545"/>
      <c r="N2652" s="1545"/>
    </row>
    <row r="2653" spans="1:93" s="1552" customFormat="1" ht="15.5">
      <c r="A2653" s="1598"/>
      <c r="B2653" s="1599" t="s">
        <v>1747</v>
      </c>
      <c r="C2653" s="1643" t="e">
        <f>+SUMIF(#REF!,Final!A2653,#REF!)</f>
        <v>#REF!</v>
      </c>
      <c r="D2653" s="1597" t="e">
        <f>+SUMIF(#REF!,Final!A2653,#REF!)</f>
        <v>#REF!</v>
      </c>
      <c r="E2653" s="1643" t="e">
        <f>SUMIF(#REF!,Final!A2653,#REF!)</f>
        <v>#REF!</v>
      </c>
      <c r="F2653" s="1644" t="e">
        <f>SUMIF(#REF!,Final!A2653,#REF!)</f>
        <v>#REF!</v>
      </c>
      <c r="G2653" s="1597" t="e">
        <f t="shared" si="272"/>
        <v>#REF!</v>
      </c>
      <c r="H2653" s="1644" t="e">
        <f t="shared" si="273"/>
        <v>#REF!</v>
      </c>
      <c r="I2653" s="1597" t="e">
        <f t="shared" si="274"/>
        <v>#REF!</v>
      </c>
      <c r="J2653" s="1644" t="e">
        <f t="shared" si="275"/>
        <v>#REF!</v>
      </c>
      <c r="K2653" s="1539"/>
      <c r="L2653" s="1539"/>
      <c r="M2653" s="1545"/>
      <c r="N2653" s="1545"/>
      <c r="O2653" s="1539"/>
      <c r="P2653" s="1539"/>
      <c r="Q2653" s="1539"/>
      <c r="R2653" s="1539"/>
      <c r="S2653" s="1539"/>
      <c r="T2653" s="1539"/>
      <c r="U2653" s="1539"/>
      <c r="V2653" s="1539"/>
      <c r="W2653" s="1539"/>
      <c r="X2653" s="1539"/>
      <c r="Y2653" s="1539"/>
      <c r="Z2653" s="1539"/>
      <c r="AA2653" s="1539"/>
      <c r="AB2653" s="1539"/>
      <c r="AC2653" s="1539"/>
      <c r="AD2653" s="1539"/>
      <c r="AE2653" s="1539"/>
      <c r="AF2653" s="1539"/>
      <c r="AG2653" s="1539"/>
      <c r="AH2653" s="1539"/>
      <c r="AI2653" s="1539"/>
      <c r="AJ2653" s="1539"/>
      <c r="AK2653" s="1539"/>
      <c r="AL2653" s="1539"/>
      <c r="AM2653" s="1539"/>
      <c r="AN2653" s="1539"/>
      <c r="AO2653" s="1539"/>
      <c r="AP2653" s="1539"/>
      <c r="AQ2653" s="1539"/>
      <c r="AR2653" s="1539"/>
      <c r="AS2653" s="1539"/>
      <c r="AT2653" s="1539"/>
      <c r="AU2653" s="1539"/>
      <c r="AV2653" s="1539"/>
      <c r="AW2653" s="1539"/>
      <c r="AX2653" s="1539"/>
      <c r="AY2653" s="1539"/>
      <c r="AZ2653" s="1539"/>
      <c r="BA2653" s="1539"/>
      <c r="BB2653" s="1539"/>
      <c r="BC2653" s="1539"/>
      <c r="BD2653" s="1539"/>
      <c r="BE2653" s="1539"/>
      <c r="BF2653" s="1539"/>
      <c r="BG2653" s="1539"/>
      <c r="BH2653" s="1539"/>
      <c r="BI2653" s="1539"/>
      <c r="BJ2653" s="1539"/>
      <c r="BK2653" s="1539"/>
      <c r="BL2653" s="1539"/>
      <c r="BM2653" s="1539"/>
      <c r="BN2653" s="1539"/>
      <c r="BO2653" s="1539"/>
      <c r="BP2653" s="1539"/>
      <c r="BQ2653" s="1539"/>
      <c r="BR2653" s="1539"/>
      <c r="BS2653" s="1539"/>
      <c r="BT2653" s="1539"/>
      <c r="BU2653" s="1539"/>
      <c r="BV2653" s="1539"/>
      <c r="BW2653" s="1539"/>
      <c r="BX2653" s="1539"/>
      <c r="BY2653" s="1539"/>
      <c r="BZ2653" s="1539"/>
      <c r="CA2653" s="1539"/>
      <c r="CB2653" s="1539"/>
      <c r="CC2653" s="1539"/>
      <c r="CD2653" s="1539"/>
      <c r="CE2653" s="1539"/>
      <c r="CF2653" s="1539"/>
      <c r="CG2653" s="1539"/>
      <c r="CH2653" s="1539"/>
      <c r="CI2653" s="1539"/>
      <c r="CJ2653" s="1539"/>
      <c r="CK2653" s="1539"/>
      <c r="CL2653" s="1539"/>
      <c r="CM2653" s="1539"/>
      <c r="CN2653" s="1539"/>
      <c r="CO2653" s="1539"/>
    </row>
    <row r="2654" spans="1:93" s="1552" customFormat="1" ht="15.5">
      <c r="A2654" s="1598"/>
      <c r="B2654" s="1599" t="s">
        <v>1760</v>
      </c>
      <c r="C2654" s="1643" t="e">
        <f>+SUMIF(#REF!,Final!A2654,#REF!)</f>
        <v>#REF!</v>
      </c>
      <c r="D2654" s="1597" t="e">
        <f>+SUMIF(#REF!,Final!A2654,#REF!)</f>
        <v>#REF!</v>
      </c>
      <c r="E2654" s="1643" t="e">
        <f>SUMIF(#REF!,Final!A2654,#REF!)</f>
        <v>#REF!</v>
      </c>
      <c r="F2654" s="1644" t="e">
        <f>SUMIF(#REF!,Final!A2654,#REF!)</f>
        <v>#REF!</v>
      </c>
      <c r="G2654" s="1597" t="e">
        <f t="shared" si="272"/>
        <v>#REF!</v>
      </c>
      <c r="H2654" s="1644" t="e">
        <f t="shared" si="273"/>
        <v>#REF!</v>
      </c>
      <c r="I2654" s="1597" t="e">
        <f t="shared" si="274"/>
        <v>#REF!</v>
      </c>
      <c r="J2654" s="1644" t="e">
        <f t="shared" si="275"/>
        <v>#REF!</v>
      </c>
      <c r="K2654" s="1539"/>
      <c r="L2654" s="1539"/>
      <c r="M2654" s="1545"/>
      <c r="N2654" s="1545"/>
      <c r="O2654" s="1539"/>
      <c r="P2654" s="1539"/>
      <c r="Q2654" s="1539"/>
      <c r="R2654" s="1539"/>
      <c r="S2654" s="1539"/>
      <c r="T2654" s="1539"/>
      <c r="U2654" s="1539"/>
      <c r="V2654" s="1539"/>
      <c r="W2654" s="1539"/>
      <c r="X2654" s="1539"/>
      <c r="Y2654" s="1539"/>
      <c r="Z2654" s="1539"/>
      <c r="AA2654" s="1539"/>
      <c r="AB2654" s="1539"/>
      <c r="AC2654" s="1539"/>
      <c r="AD2654" s="1539"/>
      <c r="AE2654" s="1539"/>
      <c r="AF2654" s="1539"/>
      <c r="AG2654" s="1539"/>
      <c r="AH2654" s="1539"/>
      <c r="AI2654" s="1539"/>
      <c r="AJ2654" s="1539"/>
      <c r="AK2654" s="1539"/>
      <c r="AL2654" s="1539"/>
      <c r="AM2654" s="1539"/>
      <c r="AN2654" s="1539"/>
      <c r="AO2654" s="1539"/>
      <c r="AP2654" s="1539"/>
      <c r="AQ2654" s="1539"/>
      <c r="AR2654" s="1539"/>
      <c r="AS2654" s="1539"/>
      <c r="AT2654" s="1539"/>
      <c r="AU2654" s="1539"/>
      <c r="AV2654" s="1539"/>
      <c r="AW2654" s="1539"/>
      <c r="AX2654" s="1539"/>
      <c r="AY2654" s="1539"/>
      <c r="AZ2654" s="1539"/>
      <c r="BA2654" s="1539"/>
      <c r="BB2654" s="1539"/>
      <c r="BC2654" s="1539"/>
      <c r="BD2654" s="1539"/>
      <c r="BE2654" s="1539"/>
      <c r="BF2654" s="1539"/>
      <c r="BG2654" s="1539"/>
      <c r="BH2654" s="1539"/>
      <c r="BI2654" s="1539"/>
      <c r="BJ2654" s="1539"/>
      <c r="BK2654" s="1539"/>
      <c r="BL2654" s="1539"/>
      <c r="BM2654" s="1539"/>
      <c r="BN2654" s="1539"/>
      <c r="BO2654" s="1539"/>
      <c r="BP2654" s="1539"/>
      <c r="BQ2654" s="1539"/>
      <c r="BR2654" s="1539"/>
      <c r="BS2654" s="1539"/>
      <c r="BT2654" s="1539"/>
      <c r="BU2654" s="1539"/>
      <c r="BV2654" s="1539"/>
      <c r="BW2654" s="1539"/>
      <c r="BX2654" s="1539"/>
      <c r="BY2654" s="1539"/>
      <c r="BZ2654" s="1539"/>
      <c r="CA2654" s="1539"/>
      <c r="CB2654" s="1539"/>
      <c r="CC2654" s="1539"/>
      <c r="CD2654" s="1539"/>
      <c r="CE2654" s="1539"/>
      <c r="CF2654" s="1539"/>
      <c r="CG2654" s="1539"/>
      <c r="CH2654" s="1539"/>
      <c r="CI2654" s="1539"/>
      <c r="CJ2654" s="1539"/>
      <c r="CK2654" s="1539"/>
      <c r="CL2654" s="1539"/>
      <c r="CM2654" s="1539"/>
      <c r="CN2654" s="1539"/>
      <c r="CO2654" s="1539"/>
    </row>
    <row r="2655" spans="1:93" s="1552" customFormat="1" ht="15.5">
      <c r="A2655" s="1598"/>
      <c r="B2655" s="1599"/>
      <c r="C2655" s="1643" t="e">
        <f>+SUMIF(#REF!,Final!A2655,#REF!)</f>
        <v>#REF!</v>
      </c>
      <c r="D2655" s="1597" t="e">
        <f>+SUMIF(#REF!,Final!A2655,#REF!)</f>
        <v>#REF!</v>
      </c>
      <c r="E2655" s="1643" t="e">
        <f>SUMIF(#REF!,Final!A2655,#REF!)</f>
        <v>#REF!</v>
      </c>
      <c r="F2655" s="1644" t="e">
        <f>SUMIF(#REF!,Final!A2655,#REF!)</f>
        <v>#REF!</v>
      </c>
      <c r="G2655" s="1597" t="e">
        <f t="shared" si="272"/>
        <v>#REF!</v>
      </c>
      <c r="H2655" s="1644" t="e">
        <f t="shared" si="273"/>
        <v>#REF!</v>
      </c>
      <c r="I2655" s="1597" t="e">
        <f t="shared" si="274"/>
        <v>#REF!</v>
      </c>
      <c r="J2655" s="1644" t="e">
        <f t="shared" si="275"/>
        <v>#REF!</v>
      </c>
      <c r="K2655" s="1539"/>
      <c r="L2655" s="1539"/>
      <c r="M2655" s="1545"/>
      <c r="N2655" s="1545"/>
      <c r="O2655" s="1539"/>
      <c r="P2655" s="1539"/>
      <c r="Q2655" s="1539"/>
      <c r="R2655" s="1539"/>
      <c r="S2655" s="1539"/>
      <c r="T2655" s="1539"/>
      <c r="U2655" s="1539"/>
      <c r="V2655" s="1539"/>
      <c r="W2655" s="1539"/>
      <c r="X2655" s="1539"/>
      <c r="Y2655" s="1539"/>
      <c r="Z2655" s="1539"/>
      <c r="AA2655" s="1539"/>
      <c r="AB2655" s="1539"/>
      <c r="AC2655" s="1539"/>
      <c r="AD2655" s="1539"/>
      <c r="AE2655" s="1539"/>
      <c r="AF2655" s="1539"/>
      <c r="AG2655" s="1539"/>
      <c r="AH2655" s="1539"/>
      <c r="AI2655" s="1539"/>
      <c r="AJ2655" s="1539"/>
      <c r="AK2655" s="1539"/>
      <c r="AL2655" s="1539"/>
      <c r="AM2655" s="1539"/>
      <c r="AN2655" s="1539"/>
      <c r="AO2655" s="1539"/>
      <c r="AP2655" s="1539"/>
      <c r="AQ2655" s="1539"/>
      <c r="AR2655" s="1539"/>
      <c r="AS2655" s="1539"/>
      <c r="AT2655" s="1539"/>
      <c r="AU2655" s="1539"/>
      <c r="AV2655" s="1539"/>
      <c r="AW2655" s="1539"/>
      <c r="AX2655" s="1539"/>
      <c r="AY2655" s="1539"/>
      <c r="AZ2655" s="1539"/>
      <c r="BA2655" s="1539"/>
      <c r="BB2655" s="1539"/>
      <c r="BC2655" s="1539"/>
      <c r="BD2655" s="1539"/>
      <c r="BE2655" s="1539"/>
      <c r="BF2655" s="1539"/>
      <c r="BG2655" s="1539"/>
      <c r="BH2655" s="1539"/>
      <c r="BI2655" s="1539"/>
      <c r="BJ2655" s="1539"/>
      <c r="BK2655" s="1539"/>
      <c r="BL2655" s="1539"/>
      <c r="BM2655" s="1539"/>
      <c r="BN2655" s="1539"/>
      <c r="BO2655" s="1539"/>
      <c r="BP2655" s="1539"/>
      <c r="BQ2655" s="1539"/>
      <c r="BR2655" s="1539"/>
      <c r="BS2655" s="1539"/>
      <c r="BT2655" s="1539"/>
      <c r="BU2655" s="1539"/>
      <c r="BV2655" s="1539"/>
      <c r="BW2655" s="1539"/>
      <c r="BX2655" s="1539"/>
      <c r="BY2655" s="1539"/>
      <c r="BZ2655" s="1539"/>
      <c r="CA2655" s="1539"/>
      <c r="CB2655" s="1539"/>
      <c r="CC2655" s="1539"/>
      <c r="CD2655" s="1539"/>
      <c r="CE2655" s="1539"/>
      <c r="CF2655" s="1539"/>
      <c r="CG2655" s="1539"/>
      <c r="CH2655" s="1539"/>
      <c r="CI2655" s="1539"/>
      <c r="CJ2655" s="1539"/>
      <c r="CK2655" s="1539"/>
      <c r="CL2655" s="1539"/>
      <c r="CM2655" s="1539"/>
      <c r="CN2655" s="1539"/>
      <c r="CO2655" s="1539"/>
    </row>
    <row r="2656" spans="1:93" s="1552" customFormat="1" ht="15.5">
      <c r="A2656" s="1598"/>
      <c r="B2656" s="1599" t="s">
        <v>3509</v>
      </c>
      <c r="C2656" s="1643" t="e">
        <f>+SUMIF(#REF!,Final!A2656,#REF!)</f>
        <v>#REF!</v>
      </c>
      <c r="D2656" s="1597" t="e">
        <f>+SUMIF(#REF!,Final!A2656,#REF!)</f>
        <v>#REF!</v>
      </c>
      <c r="E2656" s="1643" t="e">
        <f>SUMIF(#REF!,Final!A2656,#REF!)</f>
        <v>#REF!</v>
      </c>
      <c r="F2656" s="1644" t="e">
        <f>SUMIF(#REF!,Final!A2656,#REF!)</f>
        <v>#REF!</v>
      </c>
      <c r="G2656" s="1597" t="e">
        <f t="shared" si="272"/>
        <v>#REF!</v>
      </c>
      <c r="H2656" s="1644" t="e">
        <f t="shared" si="273"/>
        <v>#REF!</v>
      </c>
      <c r="I2656" s="1597" t="e">
        <f t="shared" si="274"/>
        <v>#REF!</v>
      </c>
      <c r="J2656" s="1644" t="e">
        <f t="shared" si="275"/>
        <v>#REF!</v>
      </c>
      <c r="K2656" s="1539"/>
      <c r="L2656" s="1539"/>
      <c r="M2656" s="1545"/>
      <c r="N2656" s="1545"/>
      <c r="O2656" s="1539"/>
      <c r="P2656" s="1539"/>
      <c r="Q2656" s="1539"/>
      <c r="R2656" s="1539"/>
      <c r="S2656" s="1539"/>
      <c r="T2656" s="1539"/>
      <c r="U2656" s="1539"/>
      <c r="V2656" s="1539"/>
      <c r="W2656" s="1539"/>
      <c r="X2656" s="1539"/>
      <c r="Y2656" s="1539"/>
      <c r="Z2656" s="1539"/>
      <c r="AA2656" s="1539"/>
      <c r="AB2656" s="1539"/>
      <c r="AC2656" s="1539"/>
      <c r="AD2656" s="1539"/>
      <c r="AE2656" s="1539"/>
      <c r="AF2656" s="1539"/>
      <c r="AG2656" s="1539"/>
      <c r="AH2656" s="1539"/>
      <c r="AI2656" s="1539"/>
      <c r="AJ2656" s="1539"/>
      <c r="AK2656" s="1539"/>
      <c r="AL2656" s="1539"/>
      <c r="AM2656" s="1539"/>
      <c r="AN2656" s="1539"/>
      <c r="AO2656" s="1539"/>
      <c r="AP2656" s="1539"/>
      <c r="AQ2656" s="1539"/>
      <c r="AR2656" s="1539"/>
      <c r="AS2656" s="1539"/>
      <c r="AT2656" s="1539"/>
      <c r="AU2656" s="1539"/>
      <c r="AV2656" s="1539"/>
      <c r="AW2656" s="1539"/>
      <c r="AX2656" s="1539"/>
      <c r="AY2656" s="1539"/>
      <c r="AZ2656" s="1539"/>
      <c r="BA2656" s="1539"/>
      <c r="BB2656" s="1539"/>
      <c r="BC2656" s="1539"/>
      <c r="BD2656" s="1539"/>
      <c r="BE2656" s="1539"/>
      <c r="BF2656" s="1539"/>
      <c r="BG2656" s="1539"/>
      <c r="BH2656" s="1539"/>
      <c r="BI2656" s="1539"/>
      <c r="BJ2656" s="1539"/>
      <c r="BK2656" s="1539"/>
      <c r="BL2656" s="1539"/>
      <c r="BM2656" s="1539"/>
      <c r="BN2656" s="1539"/>
      <c r="BO2656" s="1539"/>
      <c r="BP2656" s="1539"/>
      <c r="BQ2656" s="1539"/>
      <c r="BR2656" s="1539"/>
      <c r="BS2656" s="1539"/>
      <c r="BT2656" s="1539"/>
      <c r="BU2656" s="1539"/>
      <c r="BV2656" s="1539"/>
      <c r="BW2656" s="1539"/>
      <c r="BX2656" s="1539"/>
      <c r="BY2656" s="1539"/>
      <c r="BZ2656" s="1539"/>
      <c r="CA2656" s="1539"/>
      <c r="CB2656" s="1539"/>
      <c r="CC2656" s="1539"/>
      <c r="CD2656" s="1539"/>
      <c r="CE2656" s="1539"/>
      <c r="CF2656" s="1539"/>
      <c r="CG2656" s="1539"/>
      <c r="CH2656" s="1539"/>
      <c r="CI2656" s="1539"/>
      <c r="CJ2656" s="1539"/>
      <c r="CK2656" s="1539"/>
      <c r="CL2656" s="1539"/>
      <c r="CM2656" s="1539"/>
      <c r="CN2656" s="1539"/>
      <c r="CO2656" s="1539"/>
    </row>
    <row r="2657" spans="1:93" s="1542" customFormat="1" ht="15.5">
      <c r="A2657" s="1598" t="s">
        <v>544</v>
      </c>
      <c r="B2657" s="1599" t="s">
        <v>3011</v>
      </c>
      <c r="C2657" s="1643" t="e">
        <f>+SUMIF(#REF!,Final!A2657,#REF!)</f>
        <v>#REF!</v>
      </c>
      <c r="D2657" s="1597" t="e">
        <f>+SUMIF(#REF!,Final!A2657,#REF!)</f>
        <v>#REF!</v>
      </c>
      <c r="E2657" s="1643" t="e">
        <f>SUMIF(#REF!,Final!A2657,#REF!)</f>
        <v>#REF!</v>
      </c>
      <c r="F2657" s="1644" t="e">
        <f>SUMIF(#REF!,Final!A2657,#REF!)</f>
        <v>#REF!</v>
      </c>
      <c r="G2657" s="1597" t="e">
        <f t="shared" si="272"/>
        <v>#REF!</v>
      </c>
      <c r="H2657" s="1644" t="e">
        <f t="shared" si="273"/>
        <v>#REF!</v>
      </c>
      <c r="I2657" s="1597" t="e">
        <f t="shared" si="274"/>
        <v>#REF!</v>
      </c>
      <c r="J2657" s="1644" t="e">
        <f t="shared" si="275"/>
        <v>#REF!</v>
      </c>
      <c r="K2657" s="1539"/>
      <c r="L2657" s="1539"/>
      <c r="M2657" s="1545"/>
      <c r="N2657" s="1545"/>
      <c r="O2657" s="1539"/>
      <c r="P2657" s="1539"/>
      <c r="Q2657" s="1539"/>
      <c r="R2657" s="1539"/>
      <c r="S2657" s="1539"/>
      <c r="T2657" s="1539"/>
      <c r="U2657" s="1539"/>
      <c r="V2657" s="1539"/>
      <c r="W2657" s="1539"/>
      <c r="X2657" s="1539"/>
      <c r="Y2657" s="1539"/>
      <c r="Z2657" s="1539"/>
      <c r="AA2657" s="1539"/>
      <c r="AB2657" s="1539"/>
      <c r="AC2657" s="1539"/>
      <c r="AD2657" s="1539"/>
      <c r="AE2657" s="1539"/>
      <c r="AF2657" s="1539"/>
      <c r="AG2657" s="1539"/>
      <c r="AH2657" s="1539"/>
      <c r="AI2657" s="1539"/>
      <c r="AJ2657" s="1539"/>
      <c r="AK2657" s="1539"/>
      <c r="AL2657" s="1539"/>
      <c r="AM2657" s="1539"/>
      <c r="AN2657" s="1539"/>
      <c r="AO2657" s="1539"/>
      <c r="AP2657" s="1539"/>
      <c r="AQ2657" s="1539"/>
      <c r="AR2657" s="1539"/>
      <c r="AS2657" s="1539"/>
      <c r="AT2657" s="1539"/>
      <c r="AU2657" s="1539"/>
      <c r="AV2657" s="1539"/>
      <c r="AW2657" s="1539"/>
      <c r="AX2657" s="1539"/>
      <c r="AY2657" s="1539"/>
      <c r="AZ2657" s="1539"/>
      <c r="BA2657" s="1539"/>
      <c r="BB2657" s="1539"/>
      <c r="BC2657" s="1539"/>
      <c r="BD2657" s="1539"/>
      <c r="BE2657" s="1539"/>
      <c r="BF2657" s="1539"/>
      <c r="BG2657" s="1539"/>
      <c r="BH2657" s="1539"/>
      <c r="BI2657" s="1539"/>
      <c r="BJ2657" s="1539"/>
      <c r="BK2657" s="1539"/>
      <c r="BL2657" s="1539"/>
      <c r="BM2657" s="1539"/>
      <c r="BN2657" s="1539"/>
      <c r="BO2657" s="1539"/>
      <c r="BP2657" s="1539"/>
      <c r="BQ2657" s="1539"/>
      <c r="BR2657" s="1539"/>
      <c r="BS2657" s="1539"/>
      <c r="BT2657" s="1539"/>
      <c r="BU2657" s="1539"/>
      <c r="BV2657" s="1539"/>
      <c r="BW2657" s="1539"/>
      <c r="BX2657" s="1539"/>
      <c r="BY2657" s="1539"/>
      <c r="BZ2657" s="1539"/>
      <c r="CA2657" s="1539"/>
      <c r="CB2657" s="1539"/>
      <c r="CC2657" s="1539"/>
      <c r="CD2657" s="1539"/>
      <c r="CE2657" s="1539"/>
      <c r="CF2657" s="1539"/>
      <c r="CG2657" s="1539"/>
      <c r="CH2657" s="1539"/>
      <c r="CI2657" s="1539"/>
      <c r="CJ2657" s="1539"/>
      <c r="CK2657" s="1539"/>
      <c r="CL2657" s="1539"/>
      <c r="CM2657" s="1539"/>
      <c r="CN2657" s="1539"/>
      <c r="CO2657" s="1539"/>
    </row>
    <row r="2658" spans="1:93" s="1542" customFormat="1" ht="15.5">
      <c r="A2658" s="1598" t="s">
        <v>1762</v>
      </c>
      <c r="B2658" s="1599" t="s">
        <v>3012</v>
      </c>
      <c r="C2658" s="1643" t="e">
        <f>+SUMIF(#REF!,Final!A2658,#REF!)</f>
        <v>#REF!</v>
      </c>
      <c r="D2658" s="1597" t="e">
        <f>+SUMIF(#REF!,Final!A2658,#REF!)</f>
        <v>#REF!</v>
      </c>
      <c r="E2658" s="1643" t="e">
        <f>SUMIF(#REF!,Final!A2658,#REF!)</f>
        <v>#REF!</v>
      </c>
      <c r="F2658" s="1644" t="e">
        <f>SUMIF(#REF!,Final!A2658,#REF!)</f>
        <v>#REF!</v>
      </c>
      <c r="G2658" s="1597" t="e">
        <f t="shared" si="272"/>
        <v>#REF!</v>
      </c>
      <c r="H2658" s="1644" t="e">
        <f t="shared" si="273"/>
        <v>#REF!</v>
      </c>
      <c r="I2658" s="1597" t="e">
        <f t="shared" si="274"/>
        <v>#REF!</v>
      </c>
      <c r="J2658" s="1644" t="e">
        <f t="shared" si="275"/>
        <v>#REF!</v>
      </c>
      <c r="K2658" s="1539"/>
      <c r="L2658" s="1539"/>
      <c r="M2658" s="1545"/>
      <c r="N2658" s="1545"/>
      <c r="O2658" s="1539"/>
      <c r="P2658" s="1539"/>
      <c r="Q2658" s="1539"/>
      <c r="R2658" s="1539"/>
      <c r="S2658" s="1539"/>
      <c r="T2658" s="1539"/>
      <c r="U2658" s="1539"/>
      <c r="V2658" s="1539"/>
      <c r="W2658" s="1539"/>
      <c r="X2658" s="1539"/>
      <c r="Y2658" s="1539"/>
      <c r="Z2658" s="1539"/>
      <c r="AA2658" s="1539"/>
      <c r="AB2658" s="1539"/>
      <c r="AC2658" s="1539"/>
      <c r="AD2658" s="1539"/>
      <c r="AE2658" s="1539"/>
      <c r="AF2658" s="1539"/>
      <c r="AG2658" s="1539"/>
      <c r="AH2658" s="1539"/>
      <c r="AI2658" s="1539"/>
      <c r="AJ2658" s="1539"/>
      <c r="AK2658" s="1539"/>
      <c r="AL2658" s="1539"/>
      <c r="AM2658" s="1539"/>
      <c r="AN2658" s="1539"/>
      <c r="AO2658" s="1539"/>
      <c r="AP2658" s="1539"/>
      <c r="AQ2658" s="1539"/>
      <c r="AR2658" s="1539"/>
      <c r="AS2658" s="1539"/>
      <c r="AT2658" s="1539"/>
      <c r="AU2658" s="1539"/>
      <c r="AV2658" s="1539"/>
      <c r="AW2658" s="1539"/>
      <c r="AX2658" s="1539"/>
      <c r="AY2658" s="1539"/>
      <c r="AZ2658" s="1539"/>
      <c r="BA2658" s="1539"/>
      <c r="BB2658" s="1539"/>
      <c r="BC2658" s="1539"/>
      <c r="BD2658" s="1539"/>
      <c r="BE2658" s="1539"/>
      <c r="BF2658" s="1539"/>
      <c r="BG2658" s="1539"/>
      <c r="BH2658" s="1539"/>
      <c r="BI2658" s="1539"/>
      <c r="BJ2658" s="1539"/>
      <c r="BK2658" s="1539"/>
      <c r="BL2658" s="1539"/>
      <c r="BM2658" s="1539"/>
      <c r="BN2658" s="1539"/>
      <c r="BO2658" s="1539"/>
      <c r="BP2658" s="1539"/>
      <c r="BQ2658" s="1539"/>
      <c r="BR2658" s="1539"/>
      <c r="BS2658" s="1539"/>
      <c r="BT2658" s="1539"/>
      <c r="BU2658" s="1539"/>
      <c r="BV2658" s="1539"/>
      <c r="BW2658" s="1539"/>
      <c r="BX2658" s="1539"/>
      <c r="BY2658" s="1539"/>
      <c r="BZ2658" s="1539"/>
      <c r="CA2658" s="1539"/>
      <c r="CB2658" s="1539"/>
      <c r="CC2658" s="1539"/>
      <c r="CD2658" s="1539"/>
      <c r="CE2658" s="1539"/>
      <c r="CF2658" s="1539"/>
      <c r="CG2658" s="1539"/>
      <c r="CH2658" s="1539"/>
      <c r="CI2658" s="1539"/>
      <c r="CJ2658" s="1539"/>
      <c r="CK2658" s="1539"/>
      <c r="CL2658" s="1539"/>
      <c r="CM2658" s="1539"/>
      <c r="CN2658" s="1539"/>
      <c r="CO2658" s="1539"/>
    </row>
    <row r="2659" spans="1:93" ht="15.5">
      <c r="A2659" s="1598">
        <v>62.210999999999999</v>
      </c>
      <c r="B2659" s="1599" t="s">
        <v>3013</v>
      </c>
      <c r="C2659" s="1643" t="e">
        <f>+SUMIF(#REF!,Final!A2659,#REF!)</f>
        <v>#REF!</v>
      </c>
      <c r="D2659" s="1597" t="e">
        <f>+SUMIF(#REF!,Final!A2659,#REF!)</f>
        <v>#REF!</v>
      </c>
      <c r="E2659" s="1643" t="e">
        <f>SUMIF(#REF!,Final!A2659,#REF!)</f>
        <v>#REF!</v>
      </c>
      <c r="F2659" s="1644" t="e">
        <f>SUMIF(#REF!,Final!A2659,#REF!)</f>
        <v>#REF!</v>
      </c>
      <c r="G2659" s="1597" t="e">
        <f t="shared" si="272"/>
        <v>#REF!</v>
      </c>
      <c r="H2659" s="1644" t="e">
        <f t="shared" si="273"/>
        <v>#REF!</v>
      </c>
      <c r="I2659" s="1597" t="e">
        <f t="shared" si="274"/>
        <v>#REF!</v>
      </c>
      <c r="J2659" s="1644" t="e">
        <f t="shared" si="275"/>
        <v>#REF!</v>
      </c>
      <c r="M2659" s="1545"/>
      <c r="N2659" s="1545"/>
    </row>
    <row r="2660" spans="1:93" ht="15.5">
      <c r="A2660" s="1598">
        <v>62.212000000000003</v>
      </c>
      <c r="B2660" s="1599" t="s">
        <v>3014</v>
      </c>
      <c r="C2660" s="1643" t="e">
        <f>+SUMIF(#REF!,Final!A2660,#REF!)</f>
        <v>#REF!</v>
      </c>
      <c r="D2660" s="1597" t="e">
        <f>+SUMIF(#REF!,Final!A2660,#REF!)</f>
        <v>#REF!</v>
      </c>
      <c r="E2660" s="1643" t="e">
        <f>SUMIF(#REF!,Final!A2660,#REF!)</f>
        <v>#REF!</v>
      </c>
      <c r="F2660" s="1644" t="e">
        <f>SUMIF(#REF!,Final!A2660,#REF!)</f>
        <v>#REF!</v>
      </c>
      <c r="G2660" s="1597" t="e">
        <f t="shared" si="272"/>
        <v>#REF!</v>
      </c>
      <c r="H2660" s="1644" t="e">
        <f t="shared" si="273"/>
        <v>#REF!</v>
      </c>
      <c r="I2660" s="1597" t="e">
        <f t="shared" si="274"/>
        <v>#REF!</v>
      </c>
      <c r="J2660" s="1644" t="e">
        <f t="shared" si="275"/>
        <v>#REF!</v>
      </c>
      <c r="M2660" s="1545"/>
      <c r="N2660" s="1545"/>
    </row>
    <row r="2661" spans="1:93" ht="15.5">
      <c r="A2661" s="1598">
        <v>62.213000000000001</v>
      </c>
      <c r="B2661" s="1599" t="s">
        <v>3015</v>
      </c>
      <c r="C2661" s="1643" t="e">
        <f>+SUMIF(#REF!,Final!A2661,#REF!)</f>
        <v>#REF!</v>
      </c>
      <c r="D2661" s="1597" t="e">
        <f>+SUMIF(#REF!,Final!A2661,#REF!)</f>
        <v>#REF!</v>
      </c>
      <c r="E2661" s="1643" t="e">
        <f>SUMIF(#REF!,Final!A2661,#REF!)</f>
        <v>#REF!</v>
      </c>
      <c r="F2661" s="1644" t="e">
        <f>SUMIF(#REF!,Final!A2661,#REF!)</f>
        <v>#REF!</v>
      </c>
      <c r="G2661" s="1597" t="e">
        <f t="shared" si="272"/>
        <v>#REF!</v>
      </c>
      <c r="H2661" s="1644" t="e">
        <f t="shared" si="273"/>
        <v>#REF!</v>
      </c>
      <c r="I2661" s="1597" t="e">
        <f t="shared" si="274"/>
        <v>#REF!</v>
      </c>
      <c r="J2661" s="1644" t="e">
        <f t="shared" si="275"/>
        <v>#REF!</v>
      </c>
      <c r="M2661" s="1545"/>
      <c r="N2661" s="1545"/>
    </row>
    <row r="2662" spans="1:93" ht="15.5">
      <c r="A2662" s="1598">
        <v>62.213999999999999</v>
      </c>
      <c r="B2662" s="1599" t="s">
        <v>3016</v>
      </c>
      <c r="C2662" s="1643" t="e">
        <f>+SUMIF(#REF!,Final!A2662,#REF!)</f>
        <v>#REF!</v>
      </c>
      <c r="D2662" s="1597" t="e">
        <f>+SUMIF(#REF!,Final!A2662,#REF!)</f>
        <v>#REF!</v>
      </c>
      <c r="E2662" s="1643" t="e">
        <f>SUMIF(#REF!,Final!A2662,#REF!)</f>
        <v>#REF!</v>
      </c>
      <c r="F2662" s="1644" t="e">
        <f>SUMIF(#REF!,Final!A2662,#REF!)</f>
        <v>#REF!</v>
      </c>
      <c r="G2662" s="1597" t="e">
        <f t="shared" si="272"/>
        <v>#REF!</v>
      </c>
      <c r="H2662" s="1644" t="e">
        <f t="shared" si="273"/>
        <v>#REF!</v>
      </c>
      <c r="I2662" s="1597" t="e">
        <f t="shared" si="274"/>
        <v>#REF!</v>
      </c>
      <c r="J2662" s="1644" t="e">
        <f t="shared" si="275"/>
        <v>#REF!</v>
      </c>
      <c r="M2662" s="1545"/>
      <c r="N2662" s="1545"/>
    </row>
    <row r="2663" spans="1:93" ht="15.5">
      <c r="A2663" s="1598">
        <v>62.215000000000003</v>
      </c>
      <c r="B2663" s="1599" t="s">
        <v>3017</v>
      </c>
      <c r="C2663" s="1643" t="e">
        <f>+SUMIF(#REF!,Final!A2663,#REF!)</f>
        <v>#REF!</v>
      </c>
      <c r="D2663" s="1597" t="e">
        <f>+SUMIF(#REF!,Final!A2663,#REF!)</f>
        <v>#REF!</v>
      </c>
      <c r="E2663" s="1643" t="e">
        <f>SUMIF(#REF!,Final!A2663,#REF!)</f>
        <v>#REF!</v>
      </c>
      <c r="F2663" s="1644" t="e">
        <f>SUMIF(#REF!,Final!A2663,#REF!)</f>
        <v>#REF!</v>
      </c>
      <c r="G2663" s="1597" t="e">
        <f t="shared" si="272"/>
        <v>#REF!</v>
      </c>
      <c r="H2663" s="1644" t="e">
        <f t="shared" si="273"/>
        <v>#REF!</v>
      </c>
      <c r="I2663" s="1597" t="e">
        <f t="shared" si="274"/>
        <v>#REF!</v>
      </c>
      <c r="J2663" s="1644" t="e">
        <f t="shared" si="275"/>
        <v>#REF!</v>
      </c>
      <c r="M2663" s="1545"/>
      <c r="N2663" s="1545"/>
    </row>
    <row r="2664" spans="1:93" s="1552" customFormat="1" ht="15.5">
      <c r="A2664" s="1598"/>
      <c r="B2664" s="1599" t="s">
        <v>1747</v>
      </c>
      <c r="C2664" s="1643" t="e">
        <f>+SUMIF(#REF!,Final!A2664,#REF!)</f>
        <v>#REF!</v>
      </c>
      <c r="D2664" s="1597" t="e">
        <f>+SUMIF(#REF!,Final!A2664,#REF!)</f>
        <v>#REF!</v>
      </c>
      <c r="E2664" s="1643" t="e">
        <f>SUMIF(#REF!,Final!A2664,#REF!)</f>
        <v>#REF!</v>
      </c>
      <c r="F2664" s="1644" t="e">
        <f>SUMIF(#REF!,Final!A2664,#REF!)</f>
        <v>#REF!</v>
      </c>
      <c r="G2664" s="1597" t="e">
        <f t="shared" si="272"/>
        <v>#REF!</v>
      </c>
      <c r="H2664" s="1644" t="e">
        <f t="shared" si="273"/>
        <v>#REF!</v>
      </c>
      <c r="I2664" s="1597" t="e">
        <f t="shared" si="274"/>
        <v>#REF!</v>
      </c>
      <c r="J2664" s="1644" t="e">
        <f t="shared" si="275"/>
        <v>#REF!</v>
      </c>
      <c r="K2664" s="1539"/>
      <c r="L2664" s="1539"/>
      <c r="M2664" s="1545"/>
      <c r="N2664" s="1545"/>
      <c r="O2664" s="1539"/>
      <c r="P2664" s="1539"/>
      <c r="Q2664" s="1539"/>
      <c r="R2664" s="1539"/>
      <c r="S2664" s="1539"/>
      <c r="T2664" s="1539"/>
      <c r="U2664" s="1539"/>
      <c r="V2664" s="1539"/>
      <c r="W2664" s="1539"/>
      <c r="X2664" s="1539"/>
      <c r="Y2664" s="1539"/>
      <c r="Z2664" s="1539"/>
      <c r="AA2664" s="1539"/>
      <c r="AB2664" s="1539"/>
      <c r="AC2664" s="1539"/>
      <c r="AD2664" s="1539"/>
      <c r="AE2664" s="1539"/>
      <c r="AF2664" s="1539"/>
      <c r="AG2664" s="1539"/>
      <c r="AH2664" s="1539"/>
      <c r="AI2664" s="1539"/>
      <c r="AJ2664" s="1539"/>
      <c r="AK2664" s="1539"/>
      <c r="AL2664" s="1539"/>
      <c r="AM2664" s="1539"/>
      <c r="AN2664" s="1539"/>
      <c r="AO2664" s="1539"/>
      <c r="AP2664" s="1539"/>
      <c r="AQ2664" s="1539"/>
      <c r="AR2664" s="1539"/>
      <c r="AS2664" s="1539"/>
      <c r="AT2664" s="1539"/>
      <c r="AU2664" s="1539"/>
      <c r="AV2664" s="1539"/>
      <c r="AW2664" s="1539"/>
      <c r="AX2664" s="1539"/>
      <c r="AY2664" s="1539"/>
      <c r="AZ2664" s="1539"/>
      <c r="BA2664" s="1539"/>
      <c r="BB2664" s="1539"/>
      <c r="BC2664" s="1539"/>
      <c r="BD2664" s="1539"/>
      <c r="BE2664" s="1539"/>
      <c r="BF2664" s="1539"/>
      <c r="BG2664" s="1539"/>
      <c r="BH2664" s="1539"/>
      <c r="BI2664" s="1539"/>
      <c r="BJ2664" s="1539"/>
      <c r="BK2664" s="1539"/>
      <c r="BL2664" s="1539"/>
      <c r="BM2664" s="1539"/>
      <c r="BN2664" s="1539"/>
      <c r="BO2664" s="1539"/>
      <c r="BP2664" s="1539"/>
      <c r="BQ2664" s="1539"/>
      <c r="BR2664" s="1539"/>
      <c r="BS2664" s="1539"/>
      <c r="BT2664" s="1539"/>
      <c r="BU2664" s="1539"/>
      <c r="BV2664" s="1539"/>
      <c r="BW2664" s="1539"/>
      <c r="BX2664" s="1539"/>
      <c r="BY2664" s="1539"/>
      <c r="BZ2664" s="1539"/>
      <c r="CA2664" s="1539"/>
      <c r="CB2664" s="1539"/>
      <c r="CC2664" s="1539"/>
      <c r="CD2664" s="1539"/>
      <c r="CE2664" s="1539"/>
      <c r="CF2664" s="1539"/>
      <c r="CG2664" s="1539"/>
      <c r="CH2664" s="1539"/>
      <c r="CI2664" s="1539"/>
      <c r="CJ2664" s="1539"/>
      <c r="CK2664" s="1539"/>
      <c r="CL2664" s="1539"/>
      <c r="CM2664" s="1539"/>
      <c r="CN2664" s="1539"/>
      <c r="CO2664" s="1539"/>
    </row>
    <row r="2665" spans="1:93" s="1552" customFormat="1" ht="15.5">
      <c r="A2665" s="1598"/>
      <c r="B2665" s="1599" t="s">
        <v>1760</v>
      </c>
      <c r="C2665" s="1643" t="e">
        <f>+SUMIF(#REF!,Final!A2665,#REF!)</f>
        <v>#REF!</v>
      </c>
      <c r="D2665" s="1597" t="e">
        <f>+SUMIF(#REF!,Final!A2665,#REF!)</f>
        <v>#REF!</v>
      </c>
      <c r="E2665" s="1643" t="e">
        <f>SUMIF(#REF!,Final!A2665,#REF!)</f>
        <v>#REF!</v>
      </c>
      <c r="F2665" s="1644" t="e">
        <f>SUMIF(#REF!,Final!A2665,#REF!)</f>
        <v>#REF!</v>
      </c>
      <c r="G2665" s="1597" t="e">
        <f t="shared" si="272"/>
        <v>#REF!</v>
      </c>
      <c r="H2665" s="1644" t="e">
        <f t="shared" si="273"/>
        <v>#REF!</v>
      </c>
      <c r="I2665" s="1597" t="e">
        <f t="shared" si="274"/>
        <v>#REF!</v>
      </c>
      <c r="J2665" s="1644" t="e">
        <f t="shared" si="275"/>
        <v>#REF!</v>
      </c>
      <c r="K2665" s="1539"/>
      <c r="L2665" s="1539"/>
      <c r="M2665" s="1545"/>
      <c r="N2665" s="1545"/>
      <c r="O2665" s="1539"/>
      <c r="P2665" s="1539"/>
      <c r="Q2665" s="1539"/>
      <c r="R2665" s="1539"/>
      <c r="S2665" s="1539"/>
      <c r="T2665" s="1539"/>
      <c r="U2665" s="1539"/>
      <c r="V2665" s="1539"/>
      <c r="W2665" s="1539"/>
      <c r="X2665" s="1539"/>
      <c r="Y2665" s="1539"/>
      <c r="Z2665" s="1539"/>
      <c r="AA2665" s="1539"/>
      <c r="AB2665" s="1539"/>
      <c r="AC2665" s="1539"/>
      <c r="AD2665" s="1539"/>
      <c r="AE2665" s="1539"/>
      <c r="AF2665" s="1539"/>
      <c r="AG2665" s="1539"/>
      <c r="AH2665" s="1539"/>
      <c r="AI2665" s="1539"/>
      <c r="AJ2665" s="1539"/>
      <c r="AK2665" s="1539"/>
      <c r="AL2665" s="1539"/>
      <c r="AM2665" s="1539"/>
      <c r="AN2665" s="1539"/>
      <c r="AO2665" s="1539"/>
      <c r="AP2665" s="1539"/>
      <c r="AQ2665" s="1539"/>
      <c r="AR2665" s="1539"/>
      <c r="AS2665" s="1539"/>
      <c r="AT2665" s="1539"/>
      <c r="AU2665" s="1539"/>
      <c r="AV2665" s="1539"/>
      <c r="AW2665" s="1539"/>
      <c r="AX2665" s="1539"/>
      <c r="AY2665" s="1539"/>
      <c r="AZ2665" s="1539"/>
      <c r="BA2665" s="1539"/>
      <c r="BB2665" s="1539"/>
      <c r="BC2665" s="1539"/>
      <c r="BD2665" s="1539"/>
      <c r="BE2665" s="1539"/>
      <c r="BF2665" s="1539"/>
      <c r="BG2665" s="1539"/>
      <c r="BH2665" s="1539"/>
      <c r="BI2665" s="1539"/>
      <c r="BJ2665" s="1539"/>
      <c r="BK2665" s="1539"/>
      <c r="BL2665" s="1539"/>
      <c r="BM2665" s="1539"/>
      <c r="BN2665" s="1539"/>
      <c r="BO2665" s="1539"/>
      <c r="BP2665" s="1539"/>
      <c r="BQ2665" s="1539"/>
      <c r="BR2665" s="1539"/>
      <c r="BS2665" s="1539"/>
      <c r="BT2665" s="1539"/>
      <c r="BU2665" s="1539"/>
      <c r="BV2665" s="1539"/>
      <c r="BW2665" s="1539"/>
      <c r="BX2665" s="1539"/>
      <c r="BY2665" s="1539"/>
      <c r="BZ2665" s="1539"/>
      <c r="CA2665" s="1539"/>
      <c r="CB2665" s="1539"/>
      <c r="CC2665" s="1539"/>
      <c r="CD2665" s="1539"/>
      <c r="CE2665" s="1539"/>
      <c r="CF2665" s="1539"/>
      <c r="CG2665" s="1539"/>
      <c r="CH2665" s="1539"/>
      <c r="CI2665" s="1539"/>
      <c r="CJ2665" s="1539"/>
      <c r="CK2665" s="1539"/>
      <c r="CL2665" s="1539"/>
      <c r="CM2665" s="1539"/>
      <c r="CN2665" s="1539"/>
      <c r="CO2665" s="1539"/>
    </row>
    <row r="2666" spans="1:93" s="1542" customFormat="1" ht="15.5">
      <c r="A2666" s="1598" t="s">
        <v>1768</v>
      </c>
      <c r="B2666" s="1599" t="s">
        <v>3009</v>
      </c>
      <c r="C2666" s="1643" t="e">
        <f>+SUMIF(#REF!,Final!A2666,#REF!)</f>
        <v>#REF!</v>
      </c>
      <c r="D2666" s="1597" t="e">
        <f>+SUMIF(#REF!,Final!A2666,#REF!)</f>
        <v>#REF!</v>
      </c>
      <c r="E2666" s="1643" t="e">
        <f>SUMIF(#REF!,Final!A2666,#REF!)</f>
        <v>#REF!</v>
      </c>
      <c r="F2666" s="1644" t="e">
        <f>SUMIF(#REF!,Final!A2666,#REF!)</f>
        <v>#REF!</v>
      </c>
      <c r="G2666" s="1597" t="e">
        <f t="shared" si="272"/>
        <v>#REF!</v>
      </c>
      <c r="H2666" s="1644" t="e">
        <f t="shared" si="273"/>
        <v>#REF!</v>
      </c>
      <c r="I2666" s="1597" t="e">
        <f t="shared" si="274"/>
        <v>#REF!</v>
      </c>
      <c r="J2666" s="1644" t="e">
        <f t="shared" si="275"/>
        <v>#REF!</v>
      </c>
      <c r="K2666" s="1539"/>
      <c r="L2666" s="1539"/>
      <c r="M2666" s="1545"/>
      <c r="N2666" s="1545"/>
      <c r="O2666" s="1539"/>
      <c r="P2666" s="1539"/>
      <c r="Q2666" s="1539"/>
      <c r="R2666" s="1539"/>
      <c r="S2666" s="1539"/>
      <c r="T2666" s="1539"/>
      <c r="U2666" s="1539"/>
      <c r="V2666" s="1539"/>
      <c r="W2666" s="1539"/>
      <c r="X2666" s="1539"/>
      <c r="Y2666" s="1539"/>
      <c r="Z2666" s="1539"/>
      <c r="AA2666" s="1539"/>
      <c r="AB2666" s="1539"/>
      <c r="AC2666" s="1539"/>
      <c r="AD2666" s="1539"/>
      <c r="AE2666" s="1539"/>
      <c r="AF2666" s="1539"/>
      <c r="AG2666" s="1539"/>
      <c r="AH2666" s="1539"/>
      <c r="AI2666" s="1539"/>
      <c r="AJ2666" s="1539"/>
      <c r="AK2666" s="1539"/>
      <c r="AL2666" s="1539"/>
      <c r="AM2666" s="1539"/>
      <c r="AN2666" s="1539"/>
      <c r="AO2666" s="1539"/>
      <c r="AP2666" s="1539"/>
      <c r="AQ2666" s="1539"/>
      <c r="AR2666" s="1539"/>
      <c r="AS2666" s="1539"/>
      <c r="AT2666" s="1539"/>
      <c r="AU2666" s="1539"/>
      <c r="AV2666" s="1539"/>
      <c r="AW2666" s="1539"/>
      <c r="AX2666" s="1539"/>
      <c r="AY2666" s="1539"/>
      <c r="AZ2666" s="1539"/>
      <c r="BA2666" s="1539"/>
      <c r="BB2666" s="1539"/>
      <c r="BC2666" s="1539"/>
      <c r="BD2666" s="1539"/>
      <c r="BE2666" s="1539"/>
      <c r="BF2666" s="1539"/>
      <c r="BG2666" s="1539"/>
      <c r="BH2666" s="1539"/>
      <c r="BI2666" s="1539"/>
      <c r="BJ2666" s="1539"/>
      <c r="BK2666" s="1539"/>
      <c r="BL2666" s="1539"/>
      <c r="BM2666" s="1539"/>
      <c r="BN2666" s="1539"/>
      <c r="BO2666" s="1539"/>
      <c r="BP2666" s="1539"/>
      <c r="BQ2666" s="1539"/>
      <c r="BR2666" s="1539"/>
      <c r="BS2666" s="1539"/>
      <c r="BT2666" s="1539"/>
      <c r="BU2666" s="1539"/>
      <c r="BV2666" s="1539"/>
      <c r="BW2666" s="1539"/>
      <c r="BX2666" s="1539"/>
      <c r="BY2666" s="1539"/>
      <c r="BZ2666" s="1539"/>
      <c r="CA2666" s="1539"/>
      <c r="CB2666" s="1539"/>
      <c r="CC2666" s="1539"/>
      <c r="CD2666" s="1539"/>
      <c r="CE2666" s="1539"/>
      <c r="CF2666" s="1539"/>
      <c r="CG2666" s="1539"/>
      <c r="CH2666" s="1539"/>
      <c r="CI2666" s="1539"/>
      <c r="CJ2666" s="1539"/>
      <c r="CK2666" s="1539"/>
      <c r="CL2666" s="1539"/>
      <c r="CM2666" s="1539"/>
      <c r="CN2666" s="1539"/>
      <c r="CO2666" s="1539"/>
    </row>
    <row r="2667" spans="1:93" ht="15.5">
      <c r="A2667" s="1598">
        <v>62.228000000000002</v>
      </c>
      <c r="B2667" s="1599" t="s">
        <v>3010</v>
      </c>
      <c r="C2667" s="1643" t="e">
        <f>+SUMIF(#REF!,Final!A2667,#REF!)</f>
        <v>#REF!</v>
      </c>
      <c r="D2667" s="1597" t="e">
        <f>+SUMIF(#REF!,Final!A2667,#REF!)</f>
        <v>#REF!</v>
      </c>
      <c r="E2667" s="1643" t="e">
        <f>SUMIF(#REF!,Final!A2667,#REF!)</f>
        <v>#REF!</v>
      </c>
      <c r="F2667" s="1644" t="e">
        <f>SUMIF(#REF!,Final!A2667,#REF!)</f>
        <v>#REF!</v>
      </c>
      <c r="G2667" s="1597" t="e">
        <f t="shared" si="272"/>
        <v>#REF!</v>
      </c>
      <c r="H2667" s="1644" t="e">
        <f t="shared" si="273"/>
        <v>#REF!</v>
      </c>
      <c r="I2667" s="1597" t="e">
        <f t="shared" si="274"/>
        <v>#REF!</v>
      </c>
      <c r="J2667" s="1644" t="e">
        <f t="shared" si="275"/>
        <v>#REF!</v>
      </c>
      <c r="M2667" s="1545"/>
      <c r="N2667" s="1545"/>
    </row>
    <row r="2668" spans="1:93" ht="16.5">
      <c r="A2668" s="1691">
        <v>62.234999999999999</v>
      </c>
      <c r="B2668" s="1713" t="s">
        <v>5017</v>
      </c>
      <c r="C2668" s="1643" t="e">
        <f>+SUMIF(#REF!,Final!A2668,#REF!)</f>
        <v>#REF!</v>
      </c>
      <c r="D2668" s="1597" t="e">
        <f>+SUMIF(#REF!,Final!A2668,#REF!)</f>
        <v>#REF!</v>
      </c>
      <c r="E2668" s="1643" t="e">
        <f>SUMIF(#REF!,Final!A2668,#REF!)</f>
        <v>#REF!</v>
      </c>
      <c r="F2668" s="1644" t="e">
        <f>SUMIF(#REF!,Final!A2668,#REF!)</f>
        <v>#REF!</v>
      </c>
      <c r="G2668" s="1597" t="e">
        <f t="shared" si="272"/>
        <v>#REF!</v>
      </c>
      <c r="H2668" s="1644" t="e">
        <f t="shared" si="273"/>
        <v>#REF!</v>
      </c>
      <c r="I2668" s="1597" t="e">
        <f t="shared" si="274"/>
        <v>#REF!</v>
      </c>
      <c r="J2668" s="1644" t="e">
        <f t="shared" si="275"/>
        <v>#REF!</v>
      </c>
      <c r="M2668" s="1545"/>
      <c r="N2668" s="1545"/>
    </row>
    <row r="2669" spans="1:93" ht="16.5">
      <c r="A2669" s="1695">
        <v>62.235999999999997</v>
      </c>
      <c r="B2669" s="1713" t="s">
        <v>5018</v>
      </c>
      <c r="C2669" s="1643" t="e">
        <f>+SUMIF(#REF!,Final!A2669,#REF!)</f>
        <v>#REF!</v>
      </c>
      <c r="D2669" s="1597" t="e">
        <f>+SUMIF(#REF!,Final!A2669,#REF!)</f>
        <v>#REF!</v>
      </c>
      <c r="E2669" s="1643" t="e">
        <f>SUMIF(#REF!,Final!A2669,#REF!)</f>
        <v>#REF!</v>
      </c>
      <c r="F2669" s="1644" t="e">
        <f>SUMIF(#REF!,Final!A2669,#REF!)</f>
        <v>#REF!</v>
      </c>
      <c r="G2669" s="1597" t="e">
        <f t="shared" si="272"/>
        <v>#REF!</v>
      </c>
      <c r="H2669" s="1644" t="e">
        <f t="shared" si="273"/>
        <v>#REF!</v>
      </c>
      <c r="I2669" s="1597" t="e">
        <f t="shared" si="274"/>
        <v>#REF!</v>
      </c>
      <c r="J2669" s="1644" t="e">
        <f t="shared" si="275"/>
        <v>#REF!</v>
      </c>
      <c r="M2669" s="1545"/>
      <c r="N2669" s="1545"/>
    </row>
    <row r="2670" spans="1:93" s="1552" customFormat="1" ht="15.5">
      <c r="A2670" s="1598"/>
      <c r="B2670" s="1599" t="s">
        <v>1747</v>
      </c>
      <c r="C2670" s="1643" t="e">
        <f>+SUMIF(#REF!,Final!A2670,#REF!)</f>
        <v>#REF!</v>
      </c>
      <c r="D2670" s="1597" t="e">
        <f>+SUMIF(#REF!,Final!A2670,#REF!)</f>
        <v>#REF!</v>
      </c>
      <c r="E2670" s="1643" t="e">
        <f>SUMIF(#REF!,Final!A2670,#REF!)</f>
        <v>#REF!</v>
      </c>
      <c r="F2670" s="1644" t="e">
        <f>SUMIF(#REF!,Final!A2670,#REF!)</f>
        <v>#REF!</v>
      </c>
      <c r="G2670" s="1597" t="e">
        <f t="shared" si="272"/>
        <v>#REF!</v>
      </c>
      <c r="H2670" s="1644" t="e">
        <f t="shared" si="273"/>
        <v>#REF!</v>
      </c>
      <c r="I2670" s="1597" t="e">
        <f t="shared" si="274"/>
        <v>#REF!</v>
      </c>
      <c r="J2670" s="1644" t="e">
        <f t="shared" si="275"/>
        <v>#REF!</v>
      </c>
      <c r="K2670" s="1539"/>
      <c r="L2670" s="1539"/>
      <c r="M2670" s="1545"/>
      <c r="N2670" s="1545"/>
      <c r="O2670" s="1539"/>
      <c r="P2670" s="1539"/>
      <c r="Q2670" s="1539"/>
      <c r="R2670" s="1539"/>
      <c r="S2670" s="1539"/>
      <c r="T2670" s="1539"/>
      <c r="U2670" s="1539"/>
      <c r="V2670" s="1539"/>
      <c r="W2670" s="1539"/>
      <c r="X2670" s="1539"/>
      <c r="Y2670" s="1539"/>
      <c r="Z2670" s="1539"/>
      <c r="AA2670" s="1539"/>
      <c r="AB2670" s="1539"/>
      <c r="AC2670" s="1539"/>
      <c r="AD2670" s="1539"/>
      <c r="AE2670" s="1539"/>
      <c r="AF2670" s="1539"/>
      <c r="AG2670" s="1539"/>
      <c r="AH2670" s="1539"/>
      <c r="AI2670" s="1539"/>
      <c r="AJ2670" s="1539"/>
      <c r="AK2670" s="1539"/>
      <c r="AL2670" s="1539"/>
      <c r="AM2670" s="1539"/>
      <c r="AN2670" s="1539"/>
      <c r="AO2670" s="1539"/>
      <c r="AP2670" s="1539"/>
      <c r="AQ2670" s="1539"/>
      <c r="AR2670" s="1539"/>
      <c r="AS2670" s="1539"/>
      <c r="AT2670" s="1539"/>
      <c r="AU2670" s="1539"/>
      <c r="AV2670" s="1539"/>
      <c r="AW2670" s="1539"/>
      <c r="AX2670" s="1539"/>
      <c r="AY2670" s="1539"/>
      <c r="AZ2670" s="1539"/>
      <c r="BA2670" s="1539"/>
      <c r="BB2670" s="1539"/>
      <c r="BC2670" s="1539"/>
      <c r="BD2670" s="1539"/>
      <c r="BE2670" s="1539"/>
      <c r="BF2670" s="1539"/>
      <c r="BG2670" s="1539"/>
      <c r="BH2670" s="1539"/>
      <c r="BI2670" s="1539"/>
      <c r="BJ2670" s="1539"/>
      <c r="BK2670" s="1539"/>
      <c r="BL2670" s="1539"/>
      <c r="BM2670" s="1539"/>
      <c r="BN2670" s="1539"/>
      <c r="BO2670" s="1539"/>
      <c r="BP2670" s="1539"/>
      <c r="BQ2670" s="1539"/>
      <c r="BR2670" s="1539"/>
      <c r="BS2670" s="1539"/>
      <c r="BT2670" s="1539"/>
      <c r="BU2670" s="1539"/>
      <c r="BV2670" s="1539"/>
      <c r="BW2670" s="1539"/>
      <c r="BX2670" s="1539"/>
      <c r="BY2670" s="1539"/>
      <c r="BZ2670" s="1539"/>
      <c r="CA2670" s="1539"/>
      <c r="CB2670" s="1539"/>
      <c r="CC2670" s="1539"/>
      <c r="CD2670" s="1539"/>
      <c r="CE2670" s="1539"/>
      <c r="CF2670" s="1539"/>
      <c r="CG2670" s="1539"/>
      <c r="CH2670" s="1539"/>
      <c r="CI2670" s="1539"/>
      <c r="CJ2670" s="1539"/>
      <c r="CK2670" s="1539"/>
      <c r="CL2670" s="1539"/>
      <c r="CM2670" s="1539"/>
      <c r="CN2670" s="1539"/>
      <c r="CO2670" s="1539"/>
    </row>
    <row r="2671" spans="1:93" s="1552" customFormat="1" ht="15.5">
      <c r="A2671" s="1598"/>
      <c r="B2671" s="1599" t="s">
        <v>1760</v>
      </c>
      <c r="C2671" s="1643" t="e">
        <f>+SUMIF(#REF!,Final!A2671,#REF!)</f>
        <v>#REF!</v>
      </c>
      <c r="D2671" s="1597" t="e">
        <f>+SUMIF(#REF!,Final!A2671,#REF!)</f>
        <v>#REF!</v>
      </c>
      <c r="E2671" s="1643" t="e">
        <f>SUMIF(#REF!,Final!A2671,#REF!)</f>
        <v>#REF!</v>
      </c>
      <c r="F2671" s="1644" t="e">
        <f>SUMIF(#REF!,Final!A2671,#REF!)</f>
        <v>#REF!</v>
      </c>
      <c r="G2671" s="1597" t="e">
        <f t="shared" si="272"/>
        <v>#REF!</v>
      </c>
      <c r="H2671" s="1644" t="e">
        <f t="shared" si="273"/>
        <v>#REF!</v>
      </c>
      <c r="I2671" s="1597" t="e">
        <f t="shared" si="274"/>
        <v>#REF!</v>
      </c>
      <c r="J2671" s="1644" t="e">
        <f t="shared" si="275"/>
        <v>#REF!</v>
      </c>
      <c r="K2671" s="1539"/>
      <c r="L2671" s="1539"/>
      <c r="M2671" s="1545"/>
      <c r="N2671" s="1545"/>
      <c r="O2671" s="1539"/>
      <c r="P2671" s="1539"/>
      <c r="Q2671" s="1539"/>
      <c r="R2671" s="1539"/>
      <c r="S2671" s="1539"/>
      <c r="T2671" s="1539"/>
      <c r="U2671" s="1539"/>
      <c r="V2671" s="1539"/>
      <c r="W2671" s="1539"/>
      <c r="X2671" s="1539"/>
      <c r="Y2671" s="1539"/>
      <c r="Z2671" s="1539"/>
      <c r="AA2671" s="1539"/>
      <c r="AB2671" s="1539"/>
      <c r="AC2671" s="1539"/>
      <c r="AD2671" s="1539"/>
      <c r="AE2671" s="1539"/>
      <c r="AF2671" s="1539"/>
      <c r="AG2671" s="1539"/>
      <c r="AH2671" s="1539"/>
      <c r="AI2671" s="1539"/>
      <c r="AJ2671" s="1539"/>
      <c r="AK2671" s="1539"/>
      <c r="AL2671" s="1539"/>
      <c r="AM2671" s="1539"/>
      <c r="AN2671" s="1539"/>
      <c r="AO2671" s="1539"/>
      <c r="AP2671" s="1539"/>
      <c r="AQ2671" s="1539"/>
      <c r="AR2671" s="1539"/>
      <c r="AS2671" s="1539"/>
      <c r="AT2671" s="1539"/>
      <c r="AU2671" s="1539"/>
      <c r="AV2671" s="1539"/>
      <c r="AW2671" s="1539"/>
      <c r="AX2671" s="1539"/>
      <c r="AY2671" s="1539"/>
      <c r="AZ2671" s="1539"/>
      <c r="BA2671" s="1539"/>
      <c r="BB2671" s="1539"/>
      <c r="BC2671" s="1539"/>
      <c r="BD2671" s="1539"/>
      <c r="BE2671" s="1539"/>
      <c r="BF2671" s="1539"/>
      <c r="BG2671" s="1539"/>
      <c r="BH2671" s="1539"/>
      <c r="BI2671" s="1539"/>
      <c r="BJ2671" s="1539"/>
      <c r="BK2671" s="1539"/>
      <c r="BL2671" s="1539"/>
      <c r="BM2671" s="1539"/>
      <c r="BN2671" s="1539"/>
      <c r="BO2671" s="1539"/>
      <c r="BP2671" s="1539"/>
      <c r="BQ2671" s="1539"/>
      <c r="BR2671" s="1539"/>
      <c r="BS2671" s="1539"/>
      <c r="BT2671" s="1539"/>
      <c r="BU2671" s="1539"/>
      <c r="BV2671" s="1539"/>
      <c r="BW2671" s="1539"/>
      <c r="BX2671" s="1539"/>
      <c r="BY2671" s="1539"/>
      <c r="BZ2671" s="1539"/>
      <c r="CA2671" s="1539"/>
      <c r="CB2671" s="1539"/>
      <c r="CC2671" s="1539"/>
      <c r="CD2671" s="1539"/>
      <c r="CE2671" s="1539"/>
      <c r="CF2671" s="1539"/>
      <c r="CG2671" s="1539"/>
      <c r="CH2671" s="1539"/>
      <c r="CI2671" s="1539"/>
      <c r="CJ2671" s="1539"/>
      <c r="CK2671" s="1539"/>
      <c r="CL2671" s="1539"/>
      <c r="CM2671" s="1539"/>
      <c r="CN2671" s="1539"/>
      <c r="CO2671" s="1539"/>
    </row>
    <row r="2672" spans="1:93" ht="15.5">
      <c r="A2672" s="1598"/>
      <c r="B2672" s="1599" t="s">
        <v>4675</v>
      </c>
      <c r="C2672" s="1643" t="e">
        <f>+SUMIF(#REF!,Final!A2672,#REF!)</f>
        <v>#REF!</v>
      </c>
      <c r="D2672" s="1597" t="e">
        <f>+SUMIF(#REF!,Final!A2672,#REF!)</f>
        <v>#REF!</v>
      </c>
      <c r="E2672" s="1643" t="e">
        <f>SUMIF(#REF!,Final!A2672,#REF!)</f>
        <v>#REF!</v>
      </c>
      <c r="F2672" s="1644" t="e">
        <f>SUMIF(#REF!,Final!A2672,#REF!)</f>
        <v>#REF!</v>
      </c>
      <c r="G2672" s="1597" t="e">
        <f t="shared" si="272"/>
        <v>#REF!</v>
      </c>
      <c r="H2672" s="1644" t="e">
        <f t="shared" si="273"/>
        <v>#REF!</v>
      </c>
      <c r="I2672" s="1597" t="e">
        <f t="shared" si="274"/>
        <v>#REF!</v>
      </c>
      <c r="J2672" s="1644" t="e">
        <f t="shared" si="275"/>
        <v>#REF!</v>
      </c>
      <c r="M2672" s="1545"/>
      <c r="N2672" s="1545"/>
    </row>
    <row r="2673" spans="1:93" ht="15.5">
      <c r="A2673" s="1598">
        <v>62.252000000000002</v>
      </c>
      <c r="B2673" s="1599" t="s">
        <v>4675</v>
      </c>
      <c r="C2673" s="1643" t="e">
        <f>+SUMIF(#REF!,Final!A2673,#REF!)</f>
        <v>#REF!</v>
      </c>
      <c r="D2673" s="1597" t="e">
        <f>+SUMIF(#REF!,Final!A2673,#REF!)</f>
        <v>#REF!</v>
      </c>
      <c r="E2673" s="1643" t="e">
        <f>SUMIF(#REF!,Final!A2673,#REF!)</f>
        <v>#REF!</v>
      </c>
      <c r="F2673" s="1644" t="e">
        <f>SUMIF(#REF!,Final!A2673,#REF!)</f>
        <v>#REF!</v>
      </c>
      <c r="G2673" s="1597" t="e">
        <f t="shared" si="272"/>
        <v>#REF!</v>
      </c>
      <c r="H2673" s="1644" t="e">
        <f t="shared" si="273"/>
        <v>#REF!</v>
      </c>
      <c r="I2673" s="1597" t="e">
        <f t="shared" si="274"/>
        <v>#REF!</v>
      </c>
      <c r="J2673" s="1644" t="e">
        <f t="shared" si="275"/>
        <v>#REF!</v>
      </c>
      <c r="M2673" s="1545"/>
      <c r="N2673" s="1545"/>
    </row>
    <row r="2674" spans="1:93" s="1552" customFormat="1" ht="15.5">
      <c r="A2674" s="1598"/>
      <c r="B2674" s="1599"/>
      <c r="C2674" s="1643" t="e">
        <f>+SUMIF(#REF!,Final!A2674,#REF!)</f>
        <v>#REF!</v>
      </c>
      <c r="D2674" s="1597" t="e">
        <f>+SUMIF(#REF!,Final!A2674,#REF!)</f>
        <v>#REF!</v>
      </c>
      <c r="E2674" s="1643" t="e">
        <f>SUMIF(#REF!,Final!A2674,#REF!)</f>
        <v>#REF!</v>
      </c>
      <c r="F2674" s="1644" t="e">
        <f>SUMIF(#REF!,Final!A2674,#REF!)</f>
        <v>#REF!</v>
      </c>
      <c r="G2674" s="1597" t="e">
        <f t="shared" si="272"/>
        <v>#REF!</v>
      </c>
      <c r="H2674" s="1644" t="e">
        <f t="shared" si="273"/>
        <v>#REF!</v>
      </c>
      <c r="I2674" s="1597" t="e">
        <f t="shared" si="274"/>
        <v>#REF!</v>
      </c>
      <c r="J2674" s="1644" t="e">
        <f t="shared" si="275"/>
        <v>#REF!</v>
      </c>
      <c r="K2674" s="1539"/>
      <c r="L2674" s="1539"/>
      <c r="M2674" s="1545"/>
      <c r="N2674" s="1545"/>
      <c r="O2674" s="1539"/>
      <c r="P2674" s="1539"/>
      <c r="Q2674" s="1539"/>
      <c r="R2674" s="1539"/>
      <c r="S2674" s="1539"/>
      <c r="T2674" s="1539"/>
      <c r="U2674" s="1539"/>
      <c r="V2674" s="1539"/>
      <c r="W2674" s="1539"/>
      <c r="X2674" s="1539"/>
      <c r="Y2674" s="1539"/>
      <c r="Z2674" s="1539"/>
      <c r="AA2674" s="1539"/>
      <c r="AB2674" s="1539"/>
      <c r="AC2674" s="1539"/>
      <c r="AD2674" s="1539"/>
      <c r="AE2674" s="1539"/>
      <c r="AF2674" s="1539"/>
      <c r="AG2674" s="1539"/>
      <c r="AH2674" s="1539"/>
      <c r="AI2674" s="1539"/>
      <c r="AJ2674" s="1539"/>
      <c r="AK2674" s="1539"/>
      <c r="AL2674" s="1539"/>
      <c r="AM2674" s="1539"/>
      <c r="AN2674" s="1539"/>
      <c r="AO2674" s="1539"/>
      <c r="AP2674" s="1539"/>
      <c r="AQ2674" s="1539"/>
      <c r="AR2674" s="1539"/>
      <c r="AS2674" s="1539"/>
      <c r="AT2674" s="1539"/>
      <c r="AU2674" s="1539"/>
      <c r="AV2674" s="1539"/>
      <c r="AW2674" s="1539"/>
      <c r="AX2674" s="1539"/>
      <c r="AY2674" s="1539"/>
      <c r="AZ2674" s="1539"/>
      <c r="BA2674" s="1539"/>
      <c r="BB2674" s="1539"/>
      <c r="BC2674" s="1539"/>
      <c r="BD2674" s="1539"/>
      <c r="BE2674" s="1539"/>
      <c r="BF2674" s="1539"/>
      <c r="BG2674" s="1539"/>
      <c r="BH2674" s="1539"/>
      <c r="BI2674" s="1539"/>
      <c r="BJ2674" s="1539"/>
      <c r="BK2674" s="1539"/>
      <c r="BL2674" s="1539"/>
      <c r="BM2674" s="1539"/>
      <c r="BN2674" s="1539"/>
      <c r="BO2674" s="1539"/>
      <c r="BP2674" s="1539"/>
      <c r="BQ2674" s="1539"/>
      <c r="BR2674" s="1539"/>
      <c r="BS2674" s="1539"/>
      <c r="BT2674" s="1539"/>
      <c r="BU2674" s="1539"/>
      <c r="BV2674" s="1539"/>
      <c r="BW2674" s="1539"/>
      <c r="BX2674" s="1539"/>
      <c r="BY2674" s="1539"/>
      <c r="BZ2674" s="1539"/>
      <c r="CA2674" s="1539"/>
      <c r="CB2674" s="1539"/>
      <c r="CC2674" s="1539"/>
      <c r="CD2674" s="1539"/>
      <c r="CE2674" s="1539"/>
      <c r="CF2674" s="1539"/>
      <c r="CG2674" s="1539"/>
      <c r="CH2674" s="1539"/>
      <c r="CI2674" s="1539"/>
      <c r="CJ2674" s="1539"/>
      <c r="CK2674" s="1539"/>
      <c r="CL2674" s="1539"/>
      <c r="CM2674" s="1539"/>
      <c r="CN2674" s="1539"/>
      <c r="CO2674" s="1539"/>
    </row>
    <row r="2675" spans="1:93" s="1552" customFormat="1" ht="15.5">
      <c r="A2675" s="1598"/>
      <c r="B2675" s="1599"/>
      <c r="C2675" s="1643" t="e">
        <f>+SUMIF(#REF!,Final!A2675,#REF!)</f>
        <v>#REF!</v>
      </c>
      <c r="D2675" s="1597" t="e">
        <f>+SUMIF(#REF!,Final!A2675,#REF!)</f>
        <v>#REF!</v>
      </c>
      <c r="E2675" s="1643" t="e">
        <f>SUMIF(#REF!,Final!A2675,#REF!)</f>
        <v>#REF!</v>
      </c>
      <c r="F2675" s="1644" t="e">
        <f>SUMIF(#REF!,Final!A2675,#REF!)</f>
        <v>#REF!</v>
      </c>
      <c r="G2675" s="1597" t="e">
        <f t="shared" si="272"/>
        <v>#REF!</v>
      </c>
      <c r="H2675" s="1644" t="e">
        <f t="shared" si="273"/>
        <v>#REF!</v>
      </c>
      <c r="I2675" s="1597" t="e">
        <f t="shared" si="274"/>
        <v>#REF!</v>
      </c>
      <c r="J2675" s="1644" t="e">
        <f t="shared" si="275"/>
        <v>#REF!</v>
      </c>
      <c r="K2675" s="1539"/>
      <c r="L2675" s="1539"/>
      <c r="M2675" s="1545"/>
      <c r="N2675" s="1545"/>
      <c r="O2675" s="1539"/>
      <c r="P2675" s="1539"/>
      <c r="Q2675" s="1539"/>
      <c r="R2675" s="1539"/>
      <c r="S2675" s="1539"/>
      <c r="T2675" s="1539"/>
      <c r="U2675" s="1539"/>
      <c r="V2675" s="1539"/>
      <c r="W2675" s="1539"/>
      <c r="X2675" s="1539"/>
      <c r="Y2675" s="1539"/>
      <c r="Z2675" s="1539"/>
      <c r="AA2675" s="1539"/>
      <c r="AB2675" s="1539"/>
      <c r="AC2675" s="1539"/>
      <c r="AD2675" s="1539"/>
      <c r="AE2675" s="1539"/>
      <c r="AF2675" s="1539"/>
      <c r="AG2675" s="1539"/>
      <c r="AH2675" s="1539"/>
      <c r="AI2675" s="1539"/>
      <c r="AJ2675" s="1539"/>
      <c r="AK2675" s="1539"/>
      <c r="AL2675" s="1539"/>
      <c r="AM2675" s="1539"/>
      <c r="AN2675" s="1539"/>
      <c r="AO2675" s="1539"/>
      <c r="AP2675" s="1539"/>
      <c r="AQ2675" s="1539"/>
      <c r="AR2675" s="1539"/>
      <c r="AS2675" s="1539"/>
      <c r="AT2675" s="1539"/>
      <c r="AU2675" s="1539"/>
      <c r="AV2675" s="1539"/>
      <c r="AW2675" s="1539"/>
      <c r="AX2675" s="1539"/>
      <c r="AY2675" s="1539"/>
      <c r="AZ2675" s="1539"/>
      <c r="BA2675" s="1539"/>
      <c r="BB2675" s="1539"/>
      <c r="BC2675" s="1539"/>
      <c r="BD2675" s="1539"/>
      <c r="BE2675" s="1539"/>
      <c r="BF2675" s="1539"/>
      <c r="BG2675" s="1539"/>
      <c r="BH2675" s="1539"/>
      <c r="BI2675" s="1539"/>
      <c r="BJ2675" s="1539"/>
      <c r="BK2675" s="1539"/>
      <c r="BL2675" s="1539"/>
      <c r="BM2675" s="1539"/>
      <c r="BN2675" s="1539"/>
      <c r="BO2675" s="1539"/>
      <c r="BP2675" s="1539"/>
      <c r="BQ2675" s="1539"/>
      <c r="BR2675" s="1539"/>
      <c r="BS2675" s="1539"/>
      <c r="BT2675" s="1539"/>
      <c r="BU2675" s="1539"/>
      <c r="BV2675" s="1539"/>
      <c r="BW2675" s="1539"/>
      <c r="BX2675" s="1539"/>
      <c r="BY2675" s="1539"/>
      <c r="BZ2675" s="1539"/>
      <c r="CA2675" s="1539"/>
      <c r="CB2675" s="1539"/>
      <c r="CC2675" s="1539"/>
      <c r="CD2675" s="1539"/>
      <c r="CE2675" s="1539"/>
      <c r="CF2675" s="1539"/>
      <c r="CG2675" s="1539"/>
      <c r="CH2675" s="1539"/>
      <c r="CI2675" s="1539"/>
      <c r="CJ2675" s="1539"/>
      <c r="CK2675" s="1539"/>
      <c r="CL2675" s="1539"/>
      <c r="CM2675" s="1539"/>
      <c r="CN2675" s="1539"/>
      <c r="CO2675" s="1539"/>
    </row>
    <row r="2676" spans="1:93" s="1542" customFormat="1" ht="15.5">
      <c r="A2676" s="1598">
        <v>20</v>
      </c>
      <c r="B2676" s="1599" t="s">
        <v>2918</v>
      </c>
      <c r="C2676" s="1643" t="e">
        <f>+SUMIF(#REF!,Final!A2676,#REF!)</f>
        <v>#REF!</v>
      </c>
      <c r="D2676" s="1597" t="e">
        <f>+SUMIF(#REF!,Final!A2676,#REF!)</f>
        <v>#REF!</v>
      </c>
      <c r="E2676" s="1643" t="e">
        <f>SUMIF(#REF!,Final!A2676,#REF!)</f>
        <v>#REF!</v>
      </c>
      <c r="F2676" s="1644" t="e">
        <f>SUMIF(#REF!,Final!A2676,#REF!)</f>
        <v>#REF!</v>
      </c>
      <c r="G2676" s="1597" t="e">
        <f t="shared" si="272"/>
        <v>#REF!</v>
      </c>
      <c r="H2676" s="1644" t="e">
        <f t="shared" si="273"/>
        <v>#REF!</v>
      </c>
      <c r="I2676" s="1597" t="e">
        <f t="shared" si="274"/>
        <v>#REF!</v>
      </c>
      <c r="J2676" s="1644" t="e">
        <f t="shared" si="275"/>
        <v>#REF!</v>
      </c>
      <c r="K2676" s="1539"/>
      <c r="L2676" s="1539"/>
      <c r="M2676" s="1545"/>
      <c r="N2676" s="1545"/>
      <c r="O2676" s="1539"/>
      <c r="P2676" s="1539"/>
      <c r="Q2676" s="1539"/>
      <c r="R2676" s="1539"/>
      <c r="S2676" s="1539"/>
      <c r="T2676" s="1539"/>
      <c r="U2676" s="1539"/>
      <c r="V2676" s="1539"/>
      <c r="W2676" s="1539"/>
      <c r="X2676" s="1539"/>
      <c r="Y2676" s="1539"/>
      <c r="Z2676" s="1539"/>
      <c r="AA2676" s="1539"/>
      <c r="AB2676" s="1539"/>
      <c r="AC2676" s="1539"/>
      <c r="AD2676" s="1539"/>
      <c r="AE2676" s="1539"/>
      <c r="AF2676" s="1539"/>
      <c r="AG2676" s="1539"/>
      <c r="AH2676" s="1539"/>
      <c r="AI2676" s="1539"/>
      <c r="AJ2676" s="1539"/>
      <c r="AK2676" s="1539"/>
      <c r="AL2676" s="1539"/>
      <c r="AM2676" s="1539"/>
      <c r="AN2676" s="1539"/>
      <c r="AO2676" s="1539"/>
      <c r="AP2676" s="1539"/>
      <c r="AQ2676" s="1539"/>
      <c r="AR2676" s="1539"/>
      <c r="AS2676" s="1539"/>
      <c r="AT2676" s="1539"/>
      <c r="AU2676" s="1539"/>
      <c r="AV2676" s="1539"/>
      <c r="AW2676" s="1539"/>
      <c r="AX2676" s="1539"/>
      <c r="AY2676" s="1539"/>
      <c r="AZ2676" s="1539"/>
      <c r="BA2676" s="1539"/>
      <c r="BB2676" s="1539"/>
      <c r="BC2676" s="1539"/>
      <c r="BD2676" s="1539"/>
      <c r="BE2676" s="1539"/>
      <c r="BF2676" s="1539"/>
      <c r="BG2676" s="1539"/>
      <c r="BH2676" s="1539"/>
      <c r="BI2676" s="1539"/>
      <c r="BJ2676" s="1539"/>
      <c r="BK2676" s="1539"/>
      <c r="BL2676" s="1539"/>
      <c r="BM2676" s="1539"/>
      <c r="BN2676" s="1539"/>
      <c r="BO2676" s="1539"/>
      <c r="BP2676" s="1539"/>
      <c r="BQ2676" s="1539"/>
      <c r="BR2676" s="1539"/>
      <c r="BS2676" s="1539"/>
      <c r="BT2676" s="1539"/>
      <c r="BU2676" s="1539"/>
      <c r="BV2676" s="1539"/>
      <c r="BW2676" s="1539"/>
      <c r="BX2676" s="1539"/>
      <c r="BY2676" s="1539"/>
      <c r="BZ2676" s="1539"/>
      <c r="CA2676" s="1539"/>
      <c r="CB2676" s="1539"/>
      <c r="CC2676" s="1539"/>
      <c r="CD2676" s="1539"/>
      <c r="CE2676" s="1539"/>
      <c r="CF2676" s="1539"/>
      <c r="CG2676" s="1539"/>
      <c r="CH2676" s="1539"/>
      <c r="CI2676" s="1539"/>
      <c r="CJ2676" s="1539"/>
      <c r="CK2676" s="1539"/>
      <c r="CL2676" s="1539"/>
      <c r="CM2676" s="1539"/>
      <c r="CN2676" s="1539"/>
      <c r="CO2676" s="1539"/>
    </row>
    <row r="2677" spans="1:93" s="1542" customFormat="1" ht="15.5">
      <c r="A2677" s="1598" t="s">
        <v>2603</v>
      </c>
      <c r="B2677" s="1599" t="s">
        <v>2996</v>
      </c>
      <c r="C2677" s="1643" t="e">
        <f>+SUMIF(#REF!,Final!A2677,#REF!)</f>
        <v>#REF!</v>
      </c>
      <c r="D2677" s="1597" t="e">
        <f>+SUMIF(#REF!,Final!A2677,#REF!)</f>
        <v>#REF!</v>
      </c>
      <c r="E2677" s="1643" t="e">
        <f>SUMIF(#REF!,Final!A2677,#REF!)</f>
        <v>#REF!</v>
      </c>
      <c r="F2677" s="1644" t="e">
        <f>SUMIF(#REF!,Final!A2677,#REF!)</f>
        <v>#REF!</v>
      </c>
      <c r="G2677" s="1597" t="e">
        <f t="shared" si="272"/>
        <v>#REF!</v>
      </c>
      <c r="H2677" s="1644" t="e">
        <f t="shared" si="273"/>
        <v>#REF!</v>
      </c>
      <c r="I2677" s="1597" t="e">
        <f t="shared" si="274"/>
        <v>#REF!</v>
      </c>
      <c r="J2677" s="1644" t="e">
        <f t="shared" si="275"/>
        <v>#REF!</v>
      </c>
      <c r="K2677" s="1539"/>
      <c r="L2677" s="1539"/>
      <c r="M2677" s="1545"/>
      <c r="N2677" s="1545"/>
      <c r="O2677" s="1539"/>
      <c r="P2677" s="1539"/>
      <c r="Q2677" s="1539"/>
      <c r="R2677" s="1539"/>
      <c r="S2677" s="1539"/>
      <c r="T2677" s="1539"/>
      <c r="U2677" s="1539"/>
      <c r="V2677" s="1539"/>
      <c r="W2677" s="1539"/>
      <c r="X2677" s="1539"/>
      <c r="Y2677" s="1539"/>
      <c r="Z2677" s="1539"/>
      <c r="AA2677" s="1539"/>
      <c r="AB2677" s="1539"/>
      <c r="AC2677" s="1539"/>
      <c r="AD2677" s="1539"/>
      <c r="AE2677" s="1539"/>
      <c r="AF2677" s="1539"/>
      <c r="AG2677" s="1539"/>
      <c r="AH2677" s="1539"/>
      <c r="AI2677" s="1539"/>
      <c r="AJ2677" s="1539"/>
      <c r="AK2677" s="1539"/>
      <c r="AL2677" s="1539"/>
      <c r="AM2677" s="1539"/>
      <c r="AN2677" s="1539"/>
      <c r="AO2677" s="1539"/>
      <c r="AP2677" s="1539"/>
      <c r="AQ2677" s="1539"/>
      <c r="AR2677" s="1539"/>
      <c r="AS2677" s="1539"/>
      <c r="AT2677" s="1539"/>
      <c r="AU2677" s="1539"/>
      <c r="AV2677" s="1539"/>
      <c r="AW2677" s="1539"/>
      <c r="AX2677" s="1539"/>
      <c r="AY2677" s="1539"/>
      <c r="AZ2677" s="1539"/>
      <c r="BA2677" s="1539"/>
      <c r="BB2677" s="1539"/>
      <c r="BC2677" s="1539"/>
      <c r="BD2677" s="1539"/>
      <c r="BE2677" s="1539"/>
      <c r="BF2677" s="1539"/>
      <c r="BG2677" s="1539"/>
      <c r="BH2677" s="1539"/>
      <c r="BI2677" s="1539"/>
      <c r="BJ2677" s="1539"/>
      <c r="BK2677" s="1539"/>
      <c r="BL2677" s="1539"/>
      <c r="BM2677" s="1539"/>
      <c r="BN2677" s="1539"/>
      <c r="BO2677" s="1539"/>
      <c r="BP2677" s="1539"/>
      <c r="BQ2677" s="1539"/>
      <c r="BR2677" s="1539"/>
      <c r="BS2677" s="1539"/>
      <c r="BT2677" s="1539"/>
      <c r="BU2677" s="1539"/>
      <c r="BV2677" s="1539"/>
      <c r="BW2677" s="1539"/>
      <c r="BX2677" s="1539"/>
      <c r="BY2677" s="1539"/>
      <c r="BZ2677" s="1539"/>
      <c r="CA2677" s="1539"/>
      <c r="CB2677" s="1539"/>
      <c r="CC2677" s="1539"/>
      <c r="CD2677" s="1539"/>
      <c r="CE2677" s="1539"/>
      <c r="CF2677" s="1539"/>
      <c r="CG2677" s="1539"/>
      <c r="CH2677" s="1539"/>
      <c r="CI2677" s="1539"/>
      <c r="CJ2677" s="1539"/>
      <c r="CK2677" s="1539"/>
      <c r="CL2677" s="1539"/>
      <c r="CM2677" s="1539"/>
      <c r="CN2677" s="1539"/>
      <c r="CO2677" s="1539"/>
    </row>
    <row r="2678" spans="1:93" ht="15.5">
      <c r="A2678" s="1600">
        <v>62.25</v>
      </c>
      <c r="B2678" s="1599" t="s">
        <v>2997</v>
      </c>
      <c r="C2678" s="1643" t="e">
        <f>+SUMIF(#REF!,Final!A2678,#REF!)</f>
        <v>#REF!</v>
      </c>
      <c r="D2678" s="1597" t="e">
        <f>+SUMIF(#REF!,Final!A2678,#REF!)</f>
        <v>#REF!</v>
      </c>
      <c r="E2678" s="1643" t="e">
        <f>SUMIF(#REF!,Final!A2678,#REF!)</f>
        <v>#REF!</v>
      </c>
      <c r="F2678" s="1644" t="e">
        <f>SUMIF(#REF!,Final!A2678,#REF!)</f>
        <v>#REF!</v>
      </c>
      <c r="G2678" s="1597" t="e">
        <f t="shared" si="272"/>
        <v>#REF!</v>
      </c>
      <c r="H2678" s="1644" t="e">
        <f t="shared" si="273"/>
        <v>#REF!</v>
      </c>
      <c r="I2678" s="1597" t="e">
        <f t="shared" si="274"/>
        <v>#REF!</v>
      </c>
      <c r="J2678" s="1644" t="e">
        <f t="shared" si="275"/>
        <v>#REF!</v>
      </c>
      <c r="M2678" s="1545"/>
      <c r="N2678" s="1545"/>
    </row>
    <row r="2679" spans="1:93" ht="15.5">
      <c r="A2679" s="1598">
        <v>62.265000000000001</v>
      </c>
      <c r="B2679" s="1599" t="s">
        <v>4677</v>
      </c>
      <c r="C2679" s="1643" t="e">
        <f>+SUMIF(#REF!,Final!A2679,#REF!)</f>
        <v>#REF!</v>
      </c>
      <c r="D2679" s="1597" t="e">
        <f>+SUMIF(#REF!,Final!A2679,#REF!)</f>
        <v>#REF!</v>
      </c>
      <c r="E2679" s="1643" t="e">
        <f>SUMIF(#REF!,Final!A2679,#REF!)</f>
        <v>#REF!</v>
      </c>
      <c r="F2679" s="1644" t="e">
        <f>SUMIF(#REF!,Final!A2679,#REF!)</f>
        <v>#REF!</v>
      </c>
      <c r="G2679" s="1597" t="e">
        <f t="shared" si="272"/>
        <v>#REF!</v>
      </c>
      <c r="H2679" s="1644" t="e">
        <f t="shared" si="273"/>
        <v>#REF!</v>
      </c>
      <c r="I2679" s="1597" t="e">
        <f t="shared" si="274"/>
        <v>#REF!</v>
      </c>
      <c r="J2679" s="1644" t="e">
        <f t="shared" si="275"/>
        <v>#REF!</v>
      </c>
      <c r="M2679" s="1545"/>
      <c r="N2679" s="1545"/>
    </row>
    <row r="2680" spans="1:93" s="1552" customFormat="1" ht="15.5">
      <c r="A2680" s="1598"/>
      <c r="B2680" s="1599" t="s">
        <v>1747</v>
      </c>
      <c r="C2680" s="1643" t="e">
        <f>+SUMIF(#REF!,Final!A2680,#REF!)</f>
        <v>#REF!</v>
      </c>
      <c r="D2680" s="1597" t="e">
        <f>+SUMIF(#REF!,Final!A2680,#REF!)</f>
        <v>#REF!</v>
      </c>
      <c r="E2680" s="1643" t="e">
        <f>SUMIF(#REF!,Final!A2680,#REF!)</f>
        <v>#REF!</v>
      </c>
      <c r="F2680" s="1644" t="e">
        <f>SUMIF(#REF!,Final!A2680,#REF!)</f>
        <v>#REF!</v>
      </c>
      <c r="G2680" s="1597" t="e">
        <f t="shared" si="272"/>
        <v>#REF!</v>
      </c>
      <c r="H2680" s="1644" t="e">
        <f t="shared" si="273"/>
        <v>#REF!</v>
      </c>
      <c r="I2680" s="1597" t="e">
        <f t="shared" si="274"/>
        <v>#REF!</v>
      </c>
      <c r="J2680" s="1644" t="e">
        <f t="shared" si="275"/>
        <v>#REF!</v>
      </c>
      <c r="K2680" s="1539"/>
      <c r="L2680" s="1539"/>
      <c r="M2680" s="1545"/>
      <c r="N2680" s="1545"/>
      <c r="O2680" s="1539"/>
      <c r="P2680" s="1539"/>
      <c r="Q2680" s="1539"/>
      <c r="R2680" s="1539"/>
      <c r="S2680" s="1539"/>
      <c r="T2680" s="1539"/>
      <c r="U2680" s="1539"/>
      <c r="V2680" s="1539"/>
      <c r="W2680" s="1539"/>
      <c r="X2680" s="1539"/>
      <c r="Y2680" s="1539"/>
      <c r="Z2680" s="1539"/>
      <c r="AA2680" s="1539"/>
      <c r="AB2680" s="1539"/>
      <c r="AC2680" s="1539"/>
      <c r="AD2680" s="1539"/>
      <c r="AE2680" s="1539"/>
      <c r="AF2680" s="1539"/>
      <c r="AG2680" s="1539"/>
      <c r="AH2680" s="1539"/>
      <c r="AI2680" s="1539"/>
      <c r="AJ2680" s="1539"/>
      <c r="AK2680" s="1539"/>
      <c r="AL2680" s="1539"/>
      <c r="AM2680" s="1539"/>
      <c r="AN2680" s="1539"/>
      <c r="AO2680" s="1539"/>
      <c r="AP2680" s="1539"/>
      <c r="AQ2680" s="1539"/>
      <c r="AR2680" s="1539"/>
      <c r="AS2680" s="1539"/>
      <c r="AT2680" s="1539"/>
      <c r="AU2680" s="1539"/>
      <c r="AV2680" s="1539"/>
      <c r="AW2680" s="1539"/>
      <c r="AX2680" s="1539"/>
      <c r="AY2680" s="1539"/>
      <c r="AZ2680" s="1539"/>
      <c r="BA2680" s="1539"/>
      <c r="BB2680" s="1539"/>
      <c r="BC2680" s="1539"/>
      <c r="BD2680" s="1539"/>
      <c r="BE2680" s="1539"/>
      <c r="BF2680" s="1539"/>
      <c r="BG2680" s="1539"/>
      <c r="BH2680" s="1539"/>
      <c r="BI2680" s="1539"/>
      <c r="BJ2680" s="1539"/>
      <c r="BK2680" s="1539"/>
      <c r="BL2680" s="1539"/>
      <c r="BM2680" s="1539"/>
      <c r="BN2680" s="1539"/>
      <c r="BO2680" s="1539"/>
      <c r="BP2680" s="1539"/>
      <c r="BQ2680" s="1539"/>
      <c r="BR2680" s="1539"/>
      <c r="BS2680" s="1539"/>
      <c r="BT2680" s="1539"/>
      <c r="BU2680" s="1539"/>
      <c r="BV2680" s="1539"/>
      <c r="BW2680" s="1539"/>
      <c r="BX2680" s="1539"/>
      <c r="BY2680" s="1539"/>
      <c r="BZ2680" s="1539"/>
      <c r="CA2680" s="1539"/>
      <c r="CB2680" s="1539"/>
      <c r="CC2680" s="1539"/>
      <c r="CD2680" s="1539"/>
      <c r="CE2680" s="1539"/>
      <c r="CF2680" s="1539"/>
      <c r="CG2680" s="1539"/>
      <c r="CH2680" s="1539"/>
      <c r="CI2680" s="1539"/>
      <c r="CJ2680" s="1539"/>
      <c r="CK2680" s="1539"/>
      <c r="CL2680" s="1539"/>
      <c r="CM2680" s="1539"/>
      <c r="CN2680" s="1539"/>
      <c r="CO2680" s="1539"/>
    </row>
    <row r="2681" spans="1:93" s="1552" customFormat="1" ht="15.5">
      <c r="A2681" s="1598"/>
      <c r="B2681" s="1599" t="s">
        <v>1760</v>
      </c>
      <c r="C2681" s="1643" t="e">
        <f>+SUMIF(#REF!,Final!A2681,#REF!)</f>
        <v>#REF!</v>
      </c>
      <c r="D2681" s="1597" t="e">
        <f>+SUMIF(#REF!,Final!A2681,#REF!)</f>
        <v>#REF!</v>
      </c>
      <c r="E2681" s="1643" t="e">
        <f>SUMIF(#REF!,Final!A2681,#REF!)</f>
        <v>#REF!</v>
      </c>
      <c r="F2681" s="1644" t="e">
        <f>SUMIF(#REF!,Final!A2681,#REF!)</f>
        <v>#REF!</v>
      </c>
      <c r="G2681" s="1597" t="e">
        <f t="shared" si="272"/>
        <v>#REF!</v>
      </c>
      <c r="H2681" s="1644" t="e">
        <f t="shared" si="273"/>
        <v>#REF!</v>
      </c>
      <c r="I2681" s="1597" t="e">
        <f t="shared" si="274"/>
        <v>#REF!</v>
      </c>
      <c r="J2681" s="1644" t="e">
        <f t="shared" si="275"/>
        <v>#REF!</v>
      </c>
      <c r="K2681" s="1539"/>
      <c r="L2681" s="1539"/>
      <c r="M2681" s="1545"/>
      <c r="N2681" s="1545"/>
      <c r="O2681" s="1539"/>
      <c r="P2681" s="1539"/>
      <c r="Q2681" s="1539"/>
      <c r="R2681" s="1539"/>
      <c r="S2681" s="1539"/>
      <c r="T2681" s="1539"/>
      <c r="U2681" s="1539"/>
      <c r="V2681" s="1539"/>
      <c r="W2681" s="1539"/>
      <c r="X2681" s="1539"/>
      <c r="Y2681" s="1539"/>
      <c r="Z2681" s="1539"/>
      <c r="AA2681" s="1539"/>
      <c r="AB2681" s="1539"/>
      <c r="AC2681" s="1539"/>
      <c r="AD2681" s="1539"/>
      <c r="AE2681" s="1539"/>
      <c r="AF2681" s="1539"/>
      <c r="AG2681" s="1539"/>
      <c r="AH2681" s="1539"/>
      <c r="AI2681" s="1539"/>
      <c r="AJ2681" s="1539"/>
      <c r="AK2681" s="1539"/>
      <c r="AL2681" s="1539"/>
      <c r="AM2681" s="1539"/>
      <c r="AN2681" s="1539"/>
      <c r="AO2681" s="1539"/>
      <c r="AP2681" s="1539"/>
      <c r="AQ2681" s="1539"/>
      <c r="AR2681" s="1539"/>
      <c r="AS2681" s="1539"/>
      <c r="AT2681" s="1539"/>
      <c r="AU2681" s="1539"/>
      <c r="AV2681" s="1539"/>
      <c r="AW2681" s="1539"/>
      <c r="AX2681" s="1539"/>
      <c r="AY2681" s="1539"/>
      <c r="AZ2681" s="1539"/>
      <c r="BA2681" s="1539"/>
      <c r="BB2681" s="1539"/>
      <c r="BC2681" s="1539"/>
      <c r="BD2681" s="1539"/>
      <c r="BE2681" s="1539"/>
      <c r="BF2681" s="1539"/>
      <c r="BG2681" s="1539"/>
      <c r="BH2681" s="1539"/>
      <c r="BI2681" s="1539"/>
      <c r="BJ2681" s="1539"/>
      <c r="BK2681" s="1539"/>
      <c r="BL2681" s="1539"/>
      <c r="BM2681" s="1539"/>
      <c r="BN2681" s="1539"/>
      <c r="BO2681" s="1539"/>
      <c r="BP2681" s="1539"/>
      <c r="BQ2681" s="1539"/>
      <c r="BR2681" s="1539"/>
      <c r="BS2681" s="1539"/>
      <c r="BT2681" s="1539"/>
      <c r="BU2681" s="1539"/>
      <c r="BV2681" s="1539"/>
      <c r="BW2681" s="1539"/>
      <c r="BX2681" s="1539"/>
      <c r="BY2681" s="1539"/>
      <c r="BZ2681" s="1539"/>
      <c r="CA2681" s="1539"/>
      <c r="CB2681" s="1539"/>
      <c r="CC2681" s="1539"/>
      <c r="CD2681" s="1539"/>
      <c r="CE2681" s="1539"/>
      <c r="CF2681" s="1539"/>
      <c r="CG2681" s="1539"/>
      <c r="CH2681" s="1539"/>
      <c r="CI2681" s="1539"/>
      <c r="CJ2681" s="1539"/>
      <c r="CK2681" s="1539"/>
      <c r="CL2681" s="1539"/>
      <c r="CM2681" s="1539"/>
      <c r="CN2681" s="1539"/>
      <c r="CO2681" s="1539"/>
    </row>
    <row r="2682" spans="1:93" s="1542" customFormat="1" ht="15.5">
      <c r="A2682" s="1598">
        <v>20</v>
      </c>
      <c r="B2682" s="1599" t="s">
        <v>2918</v>
      </c>
      <c r="C2682" s="1643" t="e">
        <f>+SUMIF(#REF!,Final!A2682,#REF!)</f>
        <v>#REF!</v>
      </c>
      <c r="D2682" s="1597" t="e">
        <f>+SUMIF(#REF!,Final!A2682,#REF!)</f>
        <v>#REF!</v>
      </c>
      <c r="E2682" s="1643" t="e">
        <f>SUMIF(#REF!,Final!A2682,#REF!)</f>
        <v>#REF!</v>
      </c>
      <c r="F2682" s="1644" t="e">
        <f>SUMIF(#REF!,Final!A2682,#REF!)</f>
        <v>#REF!</v>
      </c>
      <c r="G2682" s="1597" t="e">
        <f t="shared" si="272"/>
        <v>#REF!</v>
      </c>
      <c r="H2682" s="1644" t="e">
        <f t="shared" si="273"/>
        <v>#REF!</v>
      </c>
      <c r="I2682" s="1597" t="e">
        <f t="shared" si="274"/>
        <v>#REF!</v>
      </c>
      <c r="J2682" s="1644" t="e">
        <f t="shared" si="275"/>
        <v>#REF!</v>
      </c>
      <c r="K2682" s="1539"/>
      <c r="L2682" s="1539"/>
      <c r="M2682" s="1545"/>
      <c r="N2682" s="1545"/>
      <c r="O2682" s="1539"/>
      <c r="P2682" s="1539"/>
      <c r="Q2682" s="1539"/>
      <c r="R2682" s="1539"/>
      <c r="S2682" s="1539"/>
      <c r="T2682" s="1539"/>
      <c r="U2682" s="1539"/>
      <c r="V2682" s="1539"/>
      <c r="W2682" s="1539"/>
      <c r="X2682" s="1539"/>
      <c r="Y2682" s="1539"/>
      <c r="Z2682" s="1539"/>
      <c r="AA2682" s="1539"/>
      <c r="AB2682" s="1539"/>
      <c r="AC2682" s="1539"/>
      <c r="AD2682" s="1539"/>
      <c r="AE2682" s="1539"/>
      <c r="AF2682" s="1539"/>
      <c r="AG2682" s="1539"/>
      <c r="AH2682" s="1539"/>
      <c r="AI2682" s="1539"/>
      <c r="AJ2682" s="1539"/>
      <c r="AK2682" s="1539"/>
      <c r="AL2682" s="1539"/>
      <c r="AM2682" s="1539"/>
      <c r="AN2682" s="1539"/>
      <c r="AO2682" s="1539"/>
      <c r="AP2682" s="1539"/>
      <c r="AQ2682" s="1539"/>
      <c r="AR2682" s="1539"/>
      <c r="AS2682" s="1539"/>
      <c r="AT2682" s="1539"/>
      <c r="AU2682" s="1539"/>
      <c r="AV2682" s="1539"/>
      <c r="AW2682" s="1539"/>
      <c r="AX2682" s="1539"/>
      <c r="AY2682" s="1539"/>
      <c r="AZ2682" s="1539"/>
      <c r="BA2682" s="1539"/>
      <c r="BB2682" s="1539"/>
      <c r="BC2682" s="1539"/>
      <c r="BD2682" s="1539"/>
      <c r="BE2682" s="1539"/>
      <c r="BF2682" s="1539"/>
      <c r="BG2682" s="1539"/>
      <c r="BH2682" s="1539"/>
      <c r="BI2682" s="1539"/>
      <c r="BJ2682" s="1539"/>
      <c r="BK2682" s="1539"/>
      <c r="BL2682" s="1539"/>
      <c r="BM2682" s="1539"/>
      <c r="BN2682" s="1539"/>
      <c r="BO2682" s="1539"/>
      <c r="BP2682" s="1539"/>
      <c r="BQ2682" s="1539"/>
      <c r="BR2682" s="1539"/>
      <c r="BS2682" s="1539"/>
      <c r="BT2682" s="1539"/>
      <c r="BU2682" s="1539"/>
      <c r="BV2682" s="1539"/>
      <c r="BW2682" s="1539"/>
      <c r="BX2682" s="1539"/>
      <c r="BY2682" s="1539"/>
      <c r="BZ2682" s="1539"/>
      <c r="CA2682" s="1539"/>
      <c r="CB2682" s="1539"/>
      <c r="CC2682" s="1539"/>
      <c r="CD2682" s="1539"/>
      <c r="CE2682" s="1539"/>
      <c r="CF2682" s="1539"/>
      <c r="CG2682" s="1539"/>
      <c r="CH2682" s="1539"/>
      <c r="CI2682" s="1539"/>
      <c r="CJ2682" s="1539"/>
      <c r="CK2682" s="1539"/>
      <c r="CL2682" s="1539"/>
      <c r="CM2682" s="1539"/>
      <c r="CN2682" s="1539"/>
      <c r="CO2682" s="1539"/>
    </row>
    <row r="2683" spans="1:93" s="1542" customFormat="1" ht="15.5">
      <c r="A2683" s="1598" t="s">
        <v>2998</v>
      </c>
      <c r="B2683" s="1599" t="s">
        <v>2999</v>
      </c>
      <c r="C2683" s="1643" t="e">
        <f>+SUMIF(#REF!,Final!A2683,#REF!)</f>
        <v>#REF!</v>
      </c>
      <c r="D2683" s="1597" t="e">
        <f>+SUMIF(#REF!,Final!A2683,#REF!)</f>
        <v>#REF!</v>
      </c>
      <c r="E2683" s="1643" t="e">
        <f>SUMIF(#REF!,Final!A2683,#REF!)</f>
        <v>#REF!</v>
      </c>
      <c r="F2683" s="1644" t="e">
        <f>SUMIF(#REF!,Final!A2683,#REF!)</f>
        <v>#REF!</v>
      </c>
      <c r="G2683" s="1597" t="e">
        <f t="shared" si="272"/>
        <v>#REF!</v>
      </c>
      <c r="H2683" s="1644" t="e">
        <f t="shared" si="273"/>
        <v>#REF!</v>
      </c>
      <c r="I2683" s="1597" t="e">
        <f t="shared" si="274"/>
        <v>#REF!</v>
      </c>
      <c r="J2683" s="1644" t="e">
        <f t="shared" si="275"/>
        <v>#REF!</v>
      </c>
      <c r="K2683" s="1539"/>
      <c r="L2683" s="1539"/>
      <c r="M2683" s="1545"/>
      <c r="N2683" s="1545"/>
      <c r="O2683" s="1539"/>
      <c r="P2683" s="1539"/>
      <c r="Q2683" s="1539"/>
      <c r="R2683" s="1539"/>
      <c r="S2683" s="1539"/>
      <c r="T2683" s="1539"/>
      <c r="U2683" s="1539"/>
      <c r="V2683" s="1539"/>
      <c r="W2683" s="1539"/>
      <c r="X2683" s="1539"/>
      <c r="Y2683" s="1539"/>
      <c r="Z2683" s="1539"/>
      <c r="AA2683" s="1539"/>
      <c r="AB2683" s="1539"/>
      <c r="AC2683" s="1539"/>
      <c r="AD2683" s="1539"/>
      <c r="AE2683" s="1539"/>
      <c r="AF2683" s="1539"/>
      <c r="AG2683" s="1539"/>
      <c r="AH2683" s="1539"/>
      <c r="AI2683" s="1539"/>
      <c r="AJ2683" s="1539"/>
      <c r="AK2683" s="1539"/>
      <c r="AL2683" s="1539"/>
      <c r="AM2683" s="1539"/>
      <c r="AN2683" s="1539"/>
      <c r="AO2683" s="1539"/>
      <c r="AP2683" s="1539"/>
      <c r="AQ2683" s="1539"/>
      <c r="AR2683" s="1539"/>
      <c r="AS2683" s="1539"/>
      <c r="AT2683" s="1539"/>
      <c r="AU2683" s="1539"/>
      <c r="AV2683" s="1539"/>
      <c r="AW2683" s="1539"/>
      <c r="AX2683" s="1539"/>
      <c r="AY2683" s="1539"/>
      <c r="AZ2683" s="1539"/>
      <c r="BA2683" s="1539"/>
      <c r="BB2683" s="1539"/>
      <c r="BC2683" s="1539"/>
      <c r="BD2683" s="1539"/>
      <c r="BE2683" s="1539"/>
      <c r="BF2683" s="1539"/>
      <c r="BG2683" s="1539"/>
      <c r="BH2683" s="1539"/>
      <c r="BI2683" s="1539"/>
      <c r="BJ2683" s="1539"/>
      <c r="BK2683" s="1539"/>
      <c r="BL2683" s="1539"/>
      <c r="BM2683" s="1539"/>
      <c r="BN2683" s="1539"/>
      <c r="BO2683" s="1539"/>
      <c r="BP2683" s="1539"/>
      <c r="BQ2683" s="1539"/>
      <c r="BR2683" s="1539"/>
      <c r="BS2683" s="1539"/>
      <c r="BT2683" s="1539"/>
      <c r="BU2683" s="1539"/>
      <c r="BV2683" s="1539"/>
      <c r="BW2683" s="1539"/>
      <c r="BX2683" s="1539"/>
      <c r="BY2683" s="1539"/>
      <c r="BZ2683" s="1539"/>
      <c r="CA2683" s="1539"/>
      <c r="CB2683" s="1539"/>
      <c r="CC2683" s="1539"/>
      <c r="CD2683" s="1539"/>
      <c r="CE2683" s="1539"/>
      <c r="CF2683" s="1539"/>
      <c r="CG2683" s="1539"/>
      <c r="CH2683" s="1539"/>
      <c r="CI2683" s="1539"/>
      <c r="CJ2683" s="1539"/>
      <c r="CK2683" s="1539"/>
      <c r="CL2683" s="1539"/>
      <c r="CM2683" s="1539"/>
      <c r="CN2683" s="1539"/>
      <c r="CO2683" s="1539"/>
    </row>
    <row r="2684" spans="1:93" ht="15.5">
      <c r="A2684" s="1598">
        <v>62.250999999999998</v>
      </c>
      <c r="B2684" s="1599" t="s">
        <v>3000</v>
      </c>
      <c r="C2684" s="1643" t="e">
        <f>+SUMIF(#REF!,Final!A2684,#REF!)</f>
        <v>#REF!</v>
      </c>
      <c r="D2684" s="1597" t="e">
        <f>+SUMIF(#REF!,Final!A2684,#REF!)</f>
        <v>#REF!</v>
      </c>
      <c r="E2684" s="1643" t="e">
        <f>SUMIF(#REF!,Final!A2684,#REF!)</f>
        <v>#REF!</v>
      </c>
      <c r="F2684" s="1644" t="e">
        <f>SUMIF(#REF!,Final!A2684,#REF!)</f>
        <v>#REF!</v>
      </c>
      <c r="G2684" s="1597" t="e">
        <f t="shared" si="272"/>
        <v>#REF!</v>
      </c>
      <c r="H2684" s="1644" t="e">
        <f t="shared" si="273"/>
        <v>#REF!</v>
      </c>
      <c r="I2684" s="1597" t="e">
        <f t="shared" si="274"/>
        <v>#REF!</v>
      </c>
      <c r="J2684" s="1644" t="e">
        <f t="shared" si="275"/>
        <v>#REF!</v>
      </c>
      <c r="M2684" s="1545"/>
      <c r="N2684" s="1545"/>
    </row>
    <row r="2685" spans="1:93" s="1552" customFormat="1" ht="15.5">
      <c r="A2685" s="1598"/>
      <c r="B2685" s="1599" t="s">
        <v>1747</v>
      </c>
      <c r="C2685" s="1643" t="e">
        <f>+SUMIF(#REF!,Final!A2685,#REF!)</f>
        <v>#REF!</v>
      </c>
      <c r="D2685" s="1597" t="e">
        <f>+SUMIF(#REF!,Final!A2685,#REF!)</f>
        <v>#REF!</v>
      </c>
      <c r="E2685" s="1643" t="e">
        <f>SUMIF(#REF!,Final!A2685,#REF!)</f>
        <v>#REF!</v>
      </c>
      <c r="F2685" s="1644" t="e">
        <f>SUMIF(#REF!,Final!A2685,#REF!)</f>
        <v>#REF!</v>
      </c>
      <c r="G2685" s="1597" t="e">
        <f t="shared" si="272"/>
        <v>#REF!</v>
      </c>
      <c r="H2685" s="1644" t="e">
        <f t="shared" si="273"/>
        <v>#REF!</v>
      </c>
      <c r="I2685" s="1597" t="e">
        <f t="shared" si="274"/>
        <v>#REF!</v>
      </c>
      <c r="J2685" s="1644" t="e">
        <f t="shared" si="275"/>
        <v>#REF!</v>
      </c>
      <c r="K2685" s="1539"/>
      <c r="L2685" s="1539"/>
      <c r="M2685" s="1545"/>
      <c r="N2685" s="1545"/>
      <c r="O2685" s="1539"/>
      <c r="P2685" s="1539"/>
      <c r="Q2685" s="1539"/>
      <c r="R2685" s="1539"/>
      <c r="S2685" s="1539"/>
      <c r="T2685" s="1539"/>
      <c r="U2685" s="1539"/>
      <c r="V2685" s="1539"/>
      <c r="W2685" s="1539"/>
      <c r="X2685" s="1539"/>
      <c r="Y2685" s="1539"/>
      <c r="Z2685" s="1539"/>
      <c r="AA2685" s="1539"/>
      <c r="AB2685" s="1539"/>
      <c r="AC2685" s="1539"/>
      <c r="AD2685" s="1539"/>
      <c r="AE2685" s="1539"/>
      <c r="AF2685" s="1539"/>
      <c r="AG2685" s="1539"/>
      <c r="AH2685" s="1539"/>
      <c r="AI2685" s="1539"/>
      <c r="AJ2685" s="1539"/>
      <c r="AK2685" s="1539"/>
      <c r="AL2685" s="1539"/>
      <c r="AM2685" s="1539"/>
      <c r="AN2685" s="1539"/>
      <c r="AO2685" s="1539"/>
      <c r="AP2685" s="1539"/>
      <c r="AQ2685" s="1539"/>
      <c r="AR2685" s="1539"/>
      <c r="AS2685" s="1539"/>
      <c r="AT2685" s="1539"/>
      <c r="AU2685" s="1539"/>
      <c r="AV2685" s="1539"/>
      <c r="AW2685" s="1539"/>
      <c r="AX2685" s="1539"/>
      <c r="AY2685" s="1539"/>
      <c r="AZ2685" s="1539"/>
      <c r="BA2685" s="1539"/>
      <c r="BB2685" s="1539"/>
      <c r="BC2685" s="1539"/>
      <c r="BD2685" s="1539"/>
      <c r="BE2685" s="1539"/>
      <c r="BF2685" s="1539"/>
      <c r="BG2685" s="1539"/>
      <c r="BH2685" s="1539"/>
      <c r="BI2685" s="1539"/>
      <c r="BJ2685" s="1539"/>
      <c r="BK2685" s="1539"/>
      <c r="BL2685" s="1539"/>
      <c r="BM2685" s="1539"/>
      <c r="BN2685" s="1539"/>
      <c r="BO2685" s="1539"/>
      <c r="BP2685" s="1539"/>
      <c r="BQ2685" s="1539"/>
      <c r="BR2685" s="1539"/>
      <c r="BS2685" s="1539"/>
      <c r="BT2685" s="1539"/>
      <c r="BU2685" s="1539"/>
      <c r="BV2685" s="1539"/>
      <c r="BW2685" s="1539"/>
      <c r="BX2685" s="1539"/>
      <c r="BY2685" s="1539"/>
      <c r="BZ2685" s="1539"/>
      <c r="CA2685" s="1539"/>
      <c r="CB2685" s="1539"/>
      <c r="CC2685" s="1539"/>
      <c r="CD2685" s="1539"/>
      <c r="CE2685" s="1539"/>
      <c r="CF2685" s="1539"/>
      <c r="CG2685" s="1539"/>
      <c r="CH2685" s="1539"/>
      <c r="CI2685" s="1539"/>
      <c r="CJ2685" s="1539"/>
      <c r="CK2685" s="1539"/>
      <c r="CL2685" s="1539"/>
      <c r="CM2685" s="1539"/>
      <c r="CN2685" s="1539"/>
      <c r="CO2685" s="1539"/>
    </row>
    <row r="2686" spans="1:93" s="1552" customFormat="1" ht="15.5">
      <c r="A2686" s="1598"/>
      <c r="B2686" s="1599" t="s">
        <v>1760</v>
      </c>
      <c r="C2686" s="1643" t="e">
        <f>+SUMIF(#REF!,Final!A2686,#REF!)</f>
        <v>#REF!</v>
      </c>
      <c r="D2686" s="1597" t="e">
        <f>+SUMIF(#REF!,Final!A2686,#REF!)</f>
        <v>#REF!</v>
      </c>
      <c r="E2686" s="1643" t="e">
        <f>SUMIF(#REF!,Final!A2686,#REF!)</f>
        <v>#REF!</v>
      </c>
      <c r="F2686" s="1644" t="e">
        <f>SUMIF(#REF!,Final!A2686,#REF!)</f>
        <v>#REF!</v>
      </c>
      <c r="G2686" s="1597" t="e">
        <f t="shared" si="272"/>
        <v>#REF!</v>
      </c>
      <c r="H2686" s="1644" t="e">
        <f t="shared" si="273"/>
        <v>#REF!</v>
      </c>
      <c r="I2686" s="1597" t="e">
        <f t="shared" si="274"/>
        <v>#REF!</v>
      </c>
      <c r="J2686" s="1644" t="e">
        <f t="shared" si="275"/>
        <v>#REF!</v>
      </c>
      <c r="K2686" s="1539"/>
      <c r="L2686" s="1539"/>
      <c r="M2686" s="1545"/>
      <c r="N2686" s="1545"/>
      <c r="O2686" s="1539"/>
      <c r="P2686" s="1539"/>
      <c r="Q2686" s="1539"/>
      <c r="R2686" s="1539"/>
      <c r="S2686" s="1539"/>
      <c r="T2686" s="1539"/>
      <c r="U2686" s="1539"/>
      <c r="V2686" s="1539"/>
      <c r="W2686" s="1539"/>
      <c r="X2686" s="1539"/>
      <c r="Y2686" s="1539"/>
      <c r="Z2686" s="1539"/>
      <c r="AA2686" s="1539"/>
      <c r="AB2686" s="1539"/>
      <c r="AC2686" s="1539"/>
      <c r="AD2686" s="1539"/>
      <c r="AE2686" s="1539"/>
      <c r="AF2686" s="1539"/>
      <c r="AG2686" s="1539"/>
      <c r="AH2686" s="1539"/>
      <c r="AI2686" s="1539"/>
      <c r="AJ2686" s="1539"/>
      <c r="AK2686" s="1539"/>
      <c r="AL2686" s="1539"/>
      <c r="AM2686" s="1539"/>
      <c r="AN2686" s="1539"/>
      <c r="AO2686" s="1539"/>
      <c r="AP2686" s="1539"/>
      <c r="AQ2686" s="1539"/>
      <c r="AR2686" s="1539"/>
      <c r="AS2686" s="1539"/>
      <c r="AT2686" s="1539"/>
      <c r="AU2686" s="1539"/>
      <c r="AV2686" s="1539"/>
      <c r="AW2686" s="1539"/>
      <c r="AX2686" s="1539"/>
      <c r="AY2686" s="1539"/>
      <c r="AZ2686" s="1539"/>
      <c r="BA2686" s="1539"/>
      <c r="BB2686" s="1539"/>
      <c r="BC2686" s="1539"/>
      <c r="BD2686" s="1539"/>
      <c r="BE2686" s="1539"/>
      <c r="BF2686" s="1539"/>
      <c r="BG2686" s="1539"/>
      <c r="BH2686" s="1539"/>
      <c r="BI2686" s="1539"/>
      <c r="BJ2686" s="1539"/>
      <c r="BK2686" s="1539"/>
      <c r="BL2686" s="1539"/>
      <c r="BM2686" s="1539"/>
      <c r="BN2686" s="1539"/>
      <c r="BO2686" s="1539"/>
      <c r="BP2686" s="1539"/>
      <c r="BQ2686" s="1539"/>
      <c r="BR2686" s="1539"/>
      <c r="BS2686" s="1539"/>
      <c r="BT2686" s="1539"/>
      <c r="BU2686" s="1539"/>
      <c r="BV2686" s="1539"/>
      <c r="BW2686" s="1539"/>
      <c r="BX2686" s="1539"/>
      <c r="BY2686" s="1539"/>
      <c r="BZ2686" s="1539"/>
      <c r="CA2686" s="1539"/>
      <c r="CB2686" s="1539"/>
      <c r="CC2686" s="1539"/>
      <c r="CD2686" s="1539"/>
      <c r="CE2686" s="1539"/>
      <c r="CF2686" s="1539"/>
      <c r="CG2686" s="1539"/>
      <c r="CH2686" s="1539"/>
      <c r="CI2686" s="1539"/>
      <c r="CJ2686" s="1539"/>
      <c r="CK2686" s="1539"/>
      <c r="CL2686" s="1539"/>
      <c r="CM2686" s="1539"/>
      <c r="CN2686" s="1539"/>
      <c r="CO2686" s="1539"/>
    </row>
    <row r="2687" spans="1:93" s="1542" customFormat="1" ht="15.5">
      <c r="A2687" s="1598">
        <v>22</v>
      </c>
      <c r="B2687" s="1599" t="s">
        <v>3001</v>
      </c>
      <c r="C2687" s="1643" t="e">
        <f>+SUMIF(#REF!,Final!A2687,#REF!)</f>
        <v>#REF!</v>
      </c>
      <c r="D2687" s="1597" t="e">
        <f>+SUMIF(#REF!,Final!A2687,#REF!)</f>
        <v>#REF!</v>
      </c>
      <c r="E2687" s="1643" t="e">
        <f>SUMIF(#REF!,Final!A2687,#REF!)</f>
        <v>#REF!</v>
      </c>
      <c r="F2687" s="1644" t="e">
        <f>SUMIF(#REF!,Final!A2687,#REF!)</f>
        <v>#REF!</v>
      </c>
      <c r="G2687" s="1597" t="e">
        <f t="shared" si="272"/>
        <v>#REF!</v>
      </c>
      <c r="H2687" s="1644" t="e">
        <f t="shared" si="273"/>
        <v>#REF!</v>
      </c>
      <c r="I2687" s="1597" t="e">
        <f t="shared" si="274"/>
        <v>#REF!</v>
      </c>
      <c r="J2687" s="1644" t="e">
        <f t="shared" si="275"/>
        <v>#REF!</v>
      </c>
      <c r="K2687" s="1539"/>
      <c r="L2687" s="1539"/>
      <c r="M2687" s="1545"/>
      <c r="N2687" s="1545"/>
      <c r="O2687" s="1539"/>
      <c r="P2687" s="1539"/>
      <c r="Q2687" s="1539"/>
      <c r="R2687" s="1539"/>
      <c r="S2687" s="1539"/>
      <c r="T2687" s="1539"/>
      <c r="U2687" s="1539"/>
      <c r="V2687" s="1539"/>
      <c r="W2687" s="1539"/>
      <c r="X2687" s="1539"/>
      <c r="Y2687" s="1539"/>
      <c r="Z2687" s="1539"/>
      <c r="AA2687" s="1539"/>
      <c r="AB2687" s="1539"/>
      <c r="AC2687" s="1539"/>
      <c r="AD2687" s="1539"/>
      <c r="AE2687" s="1539"/>
      <c r="AF2687" s="1539"/>
      <c r="AG2687" s="1539"/>
      <c r="AH2687" s="1539"/>
      <c r="AI2687" s="1539"/>
      <c r="AJ2687" s="1539"/>
      <c r="AK2687" s="1539"/>
      <c r="AL2687" s="1539"/>
      <c r="AM2687" s="1539"/>
      <c r="AN2687" s="1539"/>
      <c r="AO2687" s="1539"/>
      <c r="AP2687" s="1539"/>
      <c r="AQ2687" s="1539"/>
      <c r="AR2687" s="1539"/>
      <c r="AS2687" s="1539"/>
      <c r="AT2687" s="1539"/>
      <c r="AU2687" s="1539"/>
      <c r="AV2687" s="1539"/>
      <c r="AW2687" s="1539"/>
      <c r="AX2687" s="1539"/>
      <c r="AY2687" s="1539"/>
      <c r="AZ2687" s="1539"/>
      <c r="BA2687" s="1539"/>
      <c r="BB2687" s="1539"/>
      <c r="BC2687" s="1539"/>
      <c r="BD2687" s="1539"/>
      <c r="BE2687" s="1539"/>
      <c r="BF2687" s="1539"/>
      <c r="BG2687" s="1539"/>
      <c r="BH2687" s="1539"/>
      <c r="BI2687" s="1539"/>
      <c r="BJ2687" s="1539"/>
      <c r="BK2687" s="1539"/>
      <c r="BL2687" s="1539"/>
      <c r="BM2687" s="1539"/>
      <c r="BN2687" s="1539"/>
      <c r="BO2687" s="1539"/>
      <c r="BP2687" s="1539"/>
      <c r="BQ2687" s="1539"/>
      <c r="BR2687" s="1539"/>
      <c r="BS2687" s="1539"/>
      <c r="BT2687" s="1539"/>
      <c r="BU2687" s="1539"/>
      <c r="BV2687" s="1539"/>
      <c r="BW2687" s="1539"/>
      <c r="BX2687" s="1539"/>
      <c r="BY2687" s="1539"/>
      <c r="BZ2687" s="1539"/>
      <c r="CA2687" s="1539"/>
      <c r="CB2687" s="1539"/>
      <c r="CC2687" s="1539"/>
      <c r="CD2687" s="1539"/>
      <c r="CE2687" s="1539"/>
      <c r="CF2687" s="1539"/>
      <c r="CG2687" s="1539"/>
      <c r="CH2687" s="1539"/>
      <c r="CI2687" s="1539"/>
      <c r="CJ2687" s="1539"/>
      <c r="CK2687" s="1539"/>
      <c r="CL2687" s="1539"/>
      <c r="CM2687" s="1539"/>
      <c r="CN2687" s="1539"/>
      <c r="CO2687" s="1539"/>
    </row>
    <row r="2688" spans="1:93" s="1542" customFormat="1" ht="15.5">
      <c r="A2688" s="1598" t="s">
        <v>544</v>
      </c>
      <c r="B2688" s="1599" t="s">
        <v>3011</v>
      </c>
      <c r="C2688" s="1643" t="e">
        <f>+SUMIF(#REF!,Final!A2688,#REF!)</f>
        <v>#REF!</v>
      </c>
      <c r="D2688" s="1597" t="e">
        <f>+SUMIF(#REF!,Final!A2688,#REF!)</f>
        <v>#REF!</v>
      </c>
      <c r="E2688" s="1643" t="e">
        <f>SUMIF(#REF!,Final!A2688,#REF!)</f>
        <v>#REF!</v>
      </c>
      <c r="F2688" s="1644" t="e">
        <f>SUMIF(#REF!,Final!A2688,#REF!)</f>
        <v>#REF!</v>
      </c>
      <c r="G2688" s="1597" t="e">
        <f t="shared" si="272"/>
        <v>#REF!</v>
      </c>
      <c r="H2688" s="1644" t="e">
        <f t="shared" si="273"/>
        <v>#REF!</v>
      </c>
      <c r="I2688" s="1597" t="e">
        <f t="shared" si="274"/>
        <v>#REF!</v>
      </c>
      <c r="J2688" s="1644" t="e">
        <f t="shared" si="275"/>
        <v>#REF!</v>
      </c>
      <c r="K2688" s="1539"/>
      <c r="L2688" s="1539"/>
      <c r="M2688" s="1545"/>
      <c r="N2688" s="1545"/>
      <c r="O2688" s="1539"/>
      <c r="P2688" s="1539"/>
      <c r="Q2688" s="1539"/>
      <c r="R2688" s="1539"/>
      <c r="S2688" s="1539"/>
      <c r="T2688" s="1539"/>
      <c r="U2688" s="1539"/>
      <c r="V2688" s="1539"/>
      <c r="W2688" s="1539"/>
      <c r="X2688" s="1539"/>
      <c r="Y2688" s="1539"/>
      <c r="Z2688" s="1539"/>
      <c r="AA2688" s="1539"/>
      <c r="AB2688" s="1539"/>
      <c r="AC2688" s="1539"/>
      <c r="AD2688" s="1539"/>
      <c r="AE2688" s="1539"/>
      <c r="AF2688" s="1539"/>
      <c r="AG2688" s="1539"/>
      <c r="AH2688" s="1539"/>
      <c r="AI2688" s="1539"/>
      <c r="AJ2688" s="1539"/>
      <c r="AK2688" s="1539"/>
      <c r="AL2688" s="1539"/>
      <c r="AM2688" s="1539"/>
      <c r="AN2688" s="1539"/>
      <c r="AO2688" s="1539"/>
      <c r="AP2688" s="1539"/>
      <c r="AQ2688" s="1539"/>
      <c r="AR2688" s="1539"/>
      <c r="AS2688" s="1539"/>
      <c r="AT2688" s="1539"/>
      <c r="AU2688" s="1539"/>
      <c r="AV2688" s="1539"/>
      <c r="AW2688" s="1539"/>
      <c r="AX2688" s="1539"/>
      <c r="AY2688" s="1539"/>
      <c r="AZ2688" s="1539"/>
      <c r="BA2688" s="1539"/>
      <c r="BB2688" s="1539"/>
      <c r="BC2688" s="1539"/>
      <c r="BD2688" s="1539"/>
      <c r="BE2688" s="1539"/>
      <c r="BF2688" s="1539"/>
      <c r="BG2688" s="1539"/>
      <c r="BH2688" s="1539"/>
      <c r="BI2688" s="1539"/>
      <c r="BJ2688" s="1539"/>
      <c r="BK2688" s="1539"/>
      <c r="BL2688" s="1539"/>
      <c r="BM2688" s="1539"/>
      <c r="BN2688" s="1539"/>
      <c r="BO2688" s="1539"/>
      <c r="BP2688" s="1539"/>
      <c r="BQ2688" s="1539"/>
      <c r="BR2688" s="1539"/>
      <c r="BS2688" s="1539"/>
      <c r="BT2688" s="1539"/>
      <c r="BU2688" s="1539"/>
      <c r="BV2688" s="1539"/>
      <c r="BW2688" s="1539"/>
      <c r="BX2688" s="1539"/>
      <c r="BY2688" s="1539"/>
      <c r="BZ2688" s="1539"/>
      <c r="CA2688" s="1539"/>
      <c r="CB2688" s="1539"/>
      <c r="CC2688" s="1539"/>
      <c r="CD2688" s="1539"/>
      <c r="CE2688" s="1539"/>
      <c r="CF2688" s="1539"/>
      <c r="CG2688" s="1539"/>
      <c r="CH2688" s="1539"/>
      <c r="CI2688" s="1539"/>
      <c r="CJ2688" s="1539"/>
      <c r="CK2688" s="1539"/>
      <c r="CL2688" s="1539"/>
      <c r="CM2688" s="1539"/>
      <c r="CN2688" s="1539"/>
      <c r="CO2688" s="1539"/>
    </row>
    <row r="2689" spans="1:93" s="1542" customFormat="1" ht="15.5">
      <c r="A2689" s="1598" t="s">
        <v>1815</v>
      </c>
      <c r="B2689" s="1599" t="s">
        <v>3018</v>
      </c>
      <c r="C2689" s="1643" t="e">
        <f>+SUMIF(#REF!,Final!A2689,#REF!)</f>
        <v>#REF!</v>
      </c>
      <c r="D2689" s="1597" t="e">
        <f>+SUMIF(#REF!,Final!A2689,#REF!)</f>
        <v>#REF!</v>
      </c>
      <c r="E2689" s="1643" t="e">
        <f>SUMIF(#REF!,Final!A2689,#REF!)</f>
        <v>#REF!</v>
      </c>
      <c r="F2689" s="1644" t="e">
        <f>SUMIF(#REF!,Final!A2689,#REF!)</f>
        <v>#REF!</v>
      </c>
      <c r="G2689" s="1597" t="e">
        <f t="shared" si="272"/>
        <v>#REF!</v>
      </c>
      <c r="H2689" s="1644" t="e">
        <f t="shared" si="273"/>
        <v>#REF!</v>
      </c>
      <c r="I2689" s="1597" t="e">
        <f t="shared" si="274"/>
        <v>#REF!</v>
      </c>
      <c r="J2689" s="1644" t="e">
        <f t="shared" si="275"/>
        <v>#REF!</v>
      </c>
      <c r="K2689" s="1539"/>
      <c r="L2689" s="1539"/>
      <c r="M2689" s="1545"/>
      <c r="N2689" s="1545"/>
      <c r="O2689" s="1539"/>
      <c r="P2689" s="1539"/>
      <c r="Q2689" s="1539"/>
      <c r="R2689" s="1539"/>
      <c r="S2689" s="1539"/>
      <c r="T2689" s="1539"/>
      <c r="U2689" s="1539"/>
      <c r="V2689" s="1539"/>
      <c r="W2689" s="1539"/>
      <c r="X2689" s="1539"/>
      <c r="Y2689" s="1539"/>
      <c r="Z2689" s="1539"/>
      <c r="AA2689" s="1539"/>
      <c r="AB2689" s="1539"/>
      <c r="AC2689" s="1539"/>
      <c r="AD2689" s="1539"/>
      <c r="AE2689" s="1539"/>
      <c r="AF2689" s="1539"/>
      <c r="AG2689" s="1539"/>
      <c r="AH2689" s="1539"/>
      <c r="AI2689" s="1539"/>
      <c r="AJ2689" s="1539"/>
      <c r="AK2689" s="1539"/>
      <c r="AL2689" s="1539"/>
      <c r="AM2689" s="1539"/>
      <c r="AN2689" s="1539"/>
      <c r="AO2689" s="1539"/>
      <c r="AP2689" s="1539"/>
      <c r="AQ2689" s="1539"/>
      <c r="AR2689" s="1539"/>
      <c r="AS2689" s="1539"/>
      <c r="AT2689" s="1539"/>
      <c r="AU2689" s="1539"/>
      <c r="AV2689" s="1539"/>
      <c r="AW2689" s="1539"/>
      <c r="AX2689" s="1539"/>
      <c r="AY2689" s="1539"/>
      <c r="AZ2689" s="1539"/>
      <c r="BA2689" s="1539"/>
      <c r="BB2689" s="1539"/>
      <c r="BC2689" s="1539"/>
      <c r="BD2689" s="1539"/>
      <c r="BE2689" s="1539"/>
      <c r="BF2689" s="1539"/>
      <c r="BG2689" s="1539"/>
      <c r="BH2689" s="1539"/>
      <c r="BI2689" s="1539"/>
      <c r="BJ2689" s="1539"/>
      <c r="BK2689" s="1539"/>
      <c r="BL2689" s="1539"/>
      <c r="BM2689" s="1539"/>
      <c r="BN2689" s="1539"/>
      <c r="BO2689" s="1539"/>
      <c r="BP2689" s="1539"/>
      <c r="BQ2689" s="1539"/>
      <c r="BR2689" s="1539"/>
      <c r="BS2689" s="1539"/>
      <c r="BT2689" s="1539"/>
      <c r="BU2689" s="1539"/>
      <c r="BV2689" s="1539"/>
      <c r="BW2689" s="1539"/>
      <c r="BX2689" s="1539"/>
      <c r="BY2689" s="1539"/>
      <c r="BZ2689" s="1539"/>
      <c r="CA2689" s="1539"/>
      <c r="CB2689" s="1539"/>
      <c r="CC2689" s="1539"/>
      <c r="CD2689" s="1539"/>
      <c r="CE2689" s="1539"/>
      <c r="CF2689" s="1539"/>
      <c r="CG2689" s="1539"/>
      <c r="CH2689" s="1539"/>
      <c r="CI2689" s="1539"/>
      <c r="CJ2689" s="1539"/>
      <c r="CK2689" s="1539"/>
      <c r="CL2689" s="1539"/>
      <c r="CM2689" s="1539"/>
      <c r="CN2689" s="1539"/>
      <c r="CO2689" s="1539"/>
    </row>
    <row r="2690" spans="1:93" ht="15.5">
      <c r="A2690" s="1600">
        <v>62.33</v>
      </c>
      <c r="B2690" s="1599" t="s">
        <v>3019</v>
      </c>
      <c r="C2690" s="1643" t="e">
        <f>+SUMIF(#REF!,Final!A2690,#REF!)</f>
        <v>#REF!</v>
      </c>
      <c r="D2690" s="1597" t="e">
        <f>+SUMIF(#REF!,Final!A2690,#REF!)</f>
        <v>#REF!</v>
      </c>
      <c r="E2690" s="1643" t="e">
        <f>SUMIF(#REF!,Final!A2690,#REF!)</f>
        <v>#REF!</v>
      </c>
      <c r="F2690" s="1644" t="e">
        <f>SUMIF(#REF!,Final!A2690,#REF!)</f>
        <v>#REF!</v>
      </c>
      <c r="G2690" s="1597" t="e">
        <f t="shared" si="272"/>
        <v>#REF!</v>
      </c>
      <c r="H2690" s="1644" t="e">
        <f t="shared" si="273"/>
        <v>#REF!</v>
      </c>
      <c r="I2690" s="1597" t="e">
        <f t="shared" si="274"/>
        <v>#REF!</v>
      </c>
      <c r="J2690" s="1644" t="e">
        <f t="shared" si="275"/>
        <v>#REF!</v>
      </c>
      <c r="M2690" s="1545"/>
      <c r="N2690" s="1545"/>
    </row>
    <row r="2691" spans="1:93" ht="15.5">
      <c r="A2691" s="1600">
        <v>62.34</v>
      </c>
      <c r="B2691" s="1599" t="s">
        <v>3020</v>
      </c>
      <c r="C2691" s="1643" t="e">
        <f>+SUMIF(#REF!,Final!A2691,#REF!)</f>
        <v>#REF!</v>
      </c>
      <c r="D2691" s="1597" t="e">
        <f>+SUMIF(#REF!,Final!A2691,#REF!)</f>
        <v>#REF!</v>
      </c>
      <c r="E2691" s="1643" t="e">
        <f>SUMIF(#REF!,Final!A2691,#REF!)</f>
        <v>#REF!</v>
      </c>
      <c r="F2691" s="1644" t="e">
        <f>SUMIF(#REF!,Final!A2691,#REF!)</f>
        <v>#REF!</v>
      </c>
      <c r="G2691" s="1597" t="e">
        <f t="shared" si="272"/>
        <v>#REF!</v>
      </c>
      <c r="H2691" s="1644" t="e">
        <f t="shared" si="273"/>
        <v>#REF!</v>
      </c>
      <c r="I2691" s="1597" t="e">
        <f t="shared" si="274"/>
        <v>#REF!</v>
      </c>
      <c r="J2691" s="1644" t="e">
        <f t="shared" si="275"/>
        <v>#REF!</v>
      </c>
      <c r="M2691" s="1545"/>
      <c r="N2691" s="1545"/>
    </row>
    <row r="2692" spans="1:93" ht="15.5">
      <c r="A2692" s="1600">
        <v>62.41</v>
      </c>
      <c r="B2692" s="1599" t="s">
        <v>3021</v>
      </c>
      <c r="C2692" s="1643" t="e">
        <f>+SUMIF(#REF!,Final!A2692,#REF!)</f>
        <v>#REF!</v>
      </c>
      <c r="D2692" s="1597" t="e">
        <f>+SUMIF(#REF!,Final!A2692,#REF!)</f>
        <v>#REF!</v>
      </c>
      <c r="E2692" s="1643" t="e">
        <f>SUMIF(#REF!,Final!A2692,#REF!)</f>
        <v>#REF!</v>
      </c>
      <c r="F2692" s="1644" t="e">
        <f>SUMIF(#REF!,Final!A2692,#REF!)</f>
        <v>#REF!</v>
      </c>
      <c r="G2692" s="1597" t="e">
        <f t="shared" si="272"/>
        <v>#REF!</v>
      </c>
      <c r="H2692" s="1644" t="e">
        <f t="shared" si="273"/>
        <v>#REF!</v>
      </c>
      <c r="I2692" s="1597" t="e">
        <f t="shared" si="274"/>
        <v>#REF!</v>
      </c>
      <c r="J2692" s="1644" t="e">
        <f t="shared" si="275"/>
        <v>#REF!</v>
      </c>
      <c r="M2692" s="1545"/>
      <c r="N2692" s="1545"/>
    </row>
    <row r="2693" spans="1:93" s="1552" customFormat="1" ht="15.5">
      <c r="A2693" s="1598"/>
      <c r="B2693" s="1599" t="s">
        <v>1747</v>
      </c>
      <c r="C2693" s="1643" t="e">
        <f>+SUMIF(#REF!,Final!A2693,#REF!)</f>
        <v>#REF!</v>
      </c>
      <c r="D2693" s="1597" t="e">
        <f>+SUMIF(#REF!,Final!A2693,#REF!)</f>
        <v>#REF!</v>
      </c>
      <c r="E2693" s="1643" t="e">
        <f>SUMIF(#REF!,Final!A2693,#REF!)</f>
        <v>#REF!</v>
      </c>
      <c r="F2693" s="1644" t="e">
        <f>SUMIF(#REF!,Final!A2693,#REF!)</f>
        <v>#REF!</v>
      </c>
      <c r="G2693" s="1597" t="e">
        <f t="shared" si="272"/>
        <v>#REF!</v>
      </c>
      <c r="H2693" s="1644" t="e">
        <f t="shared" si="273"/>
        <v>#REF!</v>
      </c>
      <c r="I2693" s="1597" t="e">
        <f t="shared" si="274"/>
        <v>#REF!</v>
      </c>
      <c r="J2693" s="1644" t="e">
        <f t="shared" si="275"/>
        <v>#REF!</v>
      </c>
      <c r="K2693" s="1539"/>
      <c r="L2693" s="1539"/>
      <c r="M2693" s="1545"/>
      <c r="N2693" s="1545"/>
      <c r="O2693" s="1539"/>
      <c r="P2693" s="1539"/>
      <c r="Q2693" s="1539"/>
      <c r="R2693" s="1539"/>
      <c r="S2693" s="1539"/>
      <c r="T2693" s="1539"/>
      <c r="U2693" s="1539"/>
      <c r="V2693" s="1539"/>
      <c r="W2693" s="1539"/>
      <c r="X2693" s="1539"/>
      <c r="Y2693" s="1539"/>
      <c r="Z2693" s="1539"/>
      <c r="AA2693" s="1539"/>
      <c r="AB2693" s="1539"/>
      <c r="AC2693" s="1539"/>
      <c r="AD2693" s="1539"/>
      <c r="AE2693" s="1539"/>
      <c r="AF2693" s="1539"/>
      <c r="AG2693" s="1539"/>
      <c r="AH2693" s="1539"/>
      <c r="AI2693" s="1539"/>
      <c r="AJ2693" s="1539"/>
      <c r="AK2693" s="1539"/>
      <c r="AL2693" s="1539"/>
      <c r="AM2693" s="1539"/>
      <c r="AN2693" s="1539"/>
      <c r="AO2693" s="1539"/>
      <c r="AP2693" s="1539"/>
      <c r="AQ2693" s="1539"/>
      <c r="AR2693" s="1539"/>
      <c r="AS2693" s="1539"/>
      <c r="AT2693" s="1539"/>
      <c r="AU2693" s="1539"/>
      <c r="AV2693" s="1539"/>
      <c r="AW2693" s="1539"/>
      <c r="AX2693" s="1539"/>
      <c r="AY2693" s="1539"/>
      <c r="AZ2693" s="1539"/>
      <c r="BA2693" s="1539"/>
      <c r="BB2693" s="1539"/>
      <c r="BC2693" s="1539"/>
      <c r="BD2693" s="1539"/>
      <c r="BE2693" s="1539"/>
      <c r="BF2693" s="1539"/>
      <c r="BG2693" s="1539"/>
      <c r="BH2693" s="1539"/>
      <c r="BI2693" s="1539"/>
      <c r="BJ2693" s="1539"/>
      <c r="BK2693" s="1539"/>
      <c r="BL2693" s="1539"/>
      <c r="BM2693" s="1539"/>
      <c r="BN2693" s="1539"/>
      <c r="BO2693" s="1539"/>
      <c r="BP2693" s="1539"/>
      <c r="BQ2693" s="1539"/>
      <c r="BR2693" s="1539"/>
      <c r="BS2693" s="1539"/>
      <c r="BT2693" s="1539"/>
      <c r="BU2693" s="1539"/>
      <c r="BV2693" s="1539"/>
      <c r="BW2693" s="1539"/>
      <c r="BX2693" s="1539"/>
      <c r="BY2693" s="1539"/>
      <c r="BZ2693" s="1539"/>
      <c r="CA2693" s="1539"/>
      <c r="CB2693" s="1539"/>
      <c r="CC2693" s="1539"/>
      <c r="CD2693" s="1539"/>
      <c r="CE2693" s="1539"/>
      <c r="CF2693" s="1539"/>
      <c r="CG2693" s="1539"/>
      <c r="CH2693" s="1539"/>
      <c r="CI2693" s="1539"/>
      <c r="CJ2693" s="1539"/>
      <c r="CK2693" s="1539"/>
      <c r="CL2693" s="1539"/>
      <c r="CM2693" s="1539"/>
      <c r="CN2693" s="1539"/>
      <c r="CO2693" s="1539"/>
    </row>
    <row r="2694" spans="1:93" s="1552" customFormat="1" ht="15.5">
      <c r="A2694" s="1598"/>
      <c r="B2694" s="1599" t="s">
        <v>1760</v>
      </c>
      <c r="C2694" s="1643" t="e">
        <f>+SUMIF(#REF!,Final!A2694,#REF!)</f>
        <v>#REF!</v>
      </c>
      <c r="D2694" s="1597" t="e">
        <f>+SUMIF(#REF!,Final!A2694,#REF!)</f>
        <v>#REF!</v>
      </c>
      <c r="E2694" s="1643" t="e">
        <f>SUMIF(#REF!,Final!A2694,#REF!)</f>
        <v>#REF!</v>
      </c>
      <c r="F2694" s="1644" t="e">
        <f>SUMIF(#REF!,Final!A2694,#REF!)</f>
        <v>#REF!</v>
      </c>
      <c r="G2694" s="1597" t="e">
        <f t="shared" si="272"/>
        <v>#REF!</v>
      </c>
      <c r="H2694" s="1644" t="e">
        <f t="shared" si="273"/>
        <v>#REF!</v>
      </c>
      <c r="I2694" s="1597" t="e">
        <f t="shared" si="274"/>
        <v>#REF!</v>
      </c>
      <c r="J2694" s="1644" t="e">
        <f t="shared" si="275"/>
        <v>#REF!</v>
      </c>
      <c r="K2694" s="1539"/>
      <c r="L2694" s="1539"/>
      <c r="M2694" s="1545"/>
      <c r="N2694" s="1545"/>
      <c r="O2694" s="1539"/>
      <c r="P2694" s="1539"/>
      <c r="Q2694" s="1539"/>
      <c r="R2694" s="1539"/>
      <c r="S2694" s="1539"/>
      <c r="T2694" s="1539"/>
      <c r="U2694" s="1539"/>
      <c r="V2694" s="1539"/>
      <c r="W2694" s="1539"/>
      <c r="X2694" s="1539"/>
      <c r="Y2694" s="1539"/>
      <c r="Z2694" s="1539"/>
      <c r="AA2694" s="1539"/>
      <c r="AB2694" s="1539"/>
      <c r="AC2694" s="1539"/>
      <c r="AD2694" s="1539"/>
      <c r="AE2694" s="1539"/>
      <c r="AF2694" s="1539"/>
      <c r="AG2694" s="1539"/>
      <c r="AH2694" s="1539"/>
      <c r="AI2694" s="1539"/>
      <c r="AJ2694" s="1539"/>
      <c r="AK2694" s="1539"/>
      <c r="AL2694" s="1539"/>
      <c r="AM2694" s="1539"/>
      <c r="AN2694" s="1539"/>
      <c r="AO2694" s="1539"/>
      <c r="AP2694" s="1539"/>
      <c r="AQ2694" s="1539"/>
      <c r="AR2694" s="1539"/>
      <c r="AS2694" s="1539"/>
      <c r="AT2694" s="1539"/>
      <c r="AU2694" s="1539"/>
      <c r="AV2694" s="1539"/>
      <c r="AW2694" s="1539"/>
      <c r="AX2694" s="1539"/>
      <c r="AY2694" s="1539"/>
      <c r="AZ2694" s="1539"/>
      <c r="BA2694" s="1539"/>
      <c r="BB2694" s="1539"/>
      <c r="BC2694" s="1539"/>
      <c r="BD2694" s="1539"/>
      <c r="BE2694" s="1539"/>
      <c r="BF2694" s="1539"/>
      <c r="BG2694" s="1539"/>
      <c r="BH2694" s="1539"/>
      <c r="BI2694" s="1539"/>
      <c r="BJ2694" s="1539"/>
      <c r="BK2694" s="1539"/>
      <c r="BL2694" s="1539"/>
      <c r="BM2694" s="1539"/>
      <c r="BN2694" s="1539"/>
      <c r="BO2694" s="1539"/>
      <c r="BP2694" s="1539"/>
      <c r="BQ2694" s="1539"/>
      <c r="BR2694" s="1539"/>
      <c r="BS2694" s="1539"/>
      <c r="BT2694" s="1539"/>
      <c r="BU2694" s="1539"/>
      <c r="BV2694" s="1539"/>
      <c r="BW2694" s="1539"/>
      <c r="BX2694" s="1539"/>
      <c r="BY2694" s="1539"/>
      <c r="BZ2694" s="1539"/>
      <c r="CA2694" s="1539"/>
      <c r="CB2694" s="1539"/>
      <c r="CC2694" s="1539"/>
      <c r="CD2694" s="1539"/>
      <c r="CE2694" s="1539"/>
      <c r="CF2694" s="1539"/>
      <c r="CG2694" s="1539"/>
      <c r="CH2694" s="1539"/>
      <c r="CI2694" s="1539"/>
      <c r="CJ2694" s="1539"/>
      <c r="CK2694" s="1539"/>
      <c r="CL2694" s="1539"/>
      <c r="CM2694" s="1539"/>
      <c r="CN2694" s="1539"/>
      <c r="CO2694" s="1539"/>
    </row>
    <row r="2695" spans="1:93" s="1552" customFormat="1" ht="15.5">
      <c r="A2695" s="1529">
        <v>61.600999999999999</v>
      </c>
      <c r="B2695" s="1872" t="s">
        <v>5428</v>
      </c>
      <c r="C2695" s="1643" t="e">
        <f>+SUMIF(#REF!,Final!A2695,#REF!)</f>
        <v>#REF!</v>
      </c>
      <c r="D2695" s="1597" t="e">
        <f>+SUMIF(#REF!,Final!A2695,#REF!)</f>
        <v>#REF!</v>
      </c>
      <c r="E2695" s="1643" t="e">
        <f>SUMIF(#REF!,Final!A2695,#REF!)</f>
        <v>#REF!</v>
      </c>
      <c r="F2695" s="1644" t="e">
        <f>SUMIF(#REF!,Final!A2695,#REF!)</f>
        <v>#REF!</v>
      </c>
      <c r="G2695" s="1597" t="e">
        <f t="shared" ref="G2695:G2696" si="280">C2695+E2695</f>
        <v>#REF!</v>
      </c>
      <c r="H2695" s="1644" t="e">
        <f t="shared" ref="H2695:H2696" si="281">D2695+F2695</f>
        <v>#REF!</v>
      </c>
      <c r="I2695" s="1597" t="e">
        <f t="shared" ref="I2695:I2696" si="282">IF(G2695&gt;H2695,G2695-H2695,0)</f>
        <v>#REF!</v>
      </c>
      <c r="J2695" s="1644" t="e">
        <f t="shared" ref="J2695:J2696" si="283">IF(H2695&gt;G2695,H2695-G2695,0)</f>
        <v>#REF!</v>
      </c>
      <c r="K2695" s="1539"/>
      <c r="L2695" s="1539"/>
      <c r="M2695" s="1545"/>
      <c r="N2695" s="1545"/>
      <c r="O2695" s="1539"/>
      <c r="P2695" s="1539"/>
      <c r="Q2695" s="1539"/>
      <c r="R2695" s="1539"/>
      <c r="S2695" s="1539"/>
      <c r="T2695" s="1539"/>
      <c r="U2695" s="1539"/>
      <c r="V2695" s="1539"/>
      <c r="W2695" s="1539"/>
      <c r="X2695" s="1539"/>
      <c r="Y2695" s="1539"/>
      <c r="Z2695" s="1539"/>
      <c r="AA2695" s="1539"/>
      <c r="AB2695" s="1539"/>
      <c r="AC2695" s="1539"/>
      <c r="AD2695" s="1539"/>
      <c r="AE2695" s="1539"/>
      <c r="AF2695" s="1539"/>
      <c r="AG2695" s="1539"/>
      <c r="AH2695" s="1539"/>
      <c r="AI2695" s="1539"/>
      <c r="AJ2695" s="1539"/>
      <c r="AK2695" s="1539"/>
      <c r="AL2695" s="1539"/>
      <c r="AM2695" s="1539"/>
      <c r="AN2695" s="1539"/>
      <c r="AO2695" s="1539"/>
      <c r="AP2695" s="1539"/>
      <c r="AQ2695" s="1539"/>
      <c r="AR2695" s="1539"/>
      <c r="AS2695" s="1539"/>
      <c r="AT2695" s="1539"/>
      <c r="AU2695" s="1539"/>
      <c r="AV2695" s="1539"/>
      <c r="AW2695" s="1539"/>
      <c r="AX2695" s="1539"/>
      <c r="AY2695" s="1539"/>
      <c r="AZ2695" s="1539"/>
      <c r="BA2695" s="1539"/>
      <c r="BB2695" s="1539"/>
      <c r="BC2695" s="1539"/>
      <c r="BD2695" s="1539"/>
      <c r="BE2695" s="1539"/>
      <c r="BF2695" s="1539"/>
      <c r="BG2695" s="1539"/>
      <c r="BH2695" s="1539"/>
      <c r="BI2695" s="1539"/>
      <c r="BJ2695" s="1539"/>
      <c r="BK2695" s="1539"/>
      <c r="BL2695" s="1539"/>
      <c r="BM2695" s="1539"/>
      <c r="BN2695" s="1539"/>
      <c r="BO2695" s="1539"/>
      <c r="BP2695" s="1539"/>
      <c r="BQ2695" s="1539"/>
      <c r="BR2695" s="1539"/>
      <c r="BS2695" s="1539"/>
      <c r="BT2695" s="1539"/>
      <c r="BU2695" s="1539"/>
      <c r="BV2695" s="1539"/>
      <c r="BW2695" s="1539"/>
      <c r="BX2695" s="1539"/>
      <c r="BY2695" s="1539"/>
      <c r="BZ2695" s="1539"/>
      <c r="CA2695" s="1539"/>
      <c r="CB2695" s="1539"/>
      <c r="CC2695" s="1539"/>
      <c r="CD2695" s="1539"/>
      <c r="CE2695" s="1539"/>
      <c r="CF2695" s="1539"/>
      <c r="CG2695" s="1539"/>
      <c r="CH2695" s="1539"/>
      <c r="CI2695" s="1539"/>
      <c r="CJ2695" s="1539"/>
      <c r="CK2695" s="1539"/>
      <c r="CL2695" s="1539"/>
      <c r="CM2695" s="1539"/>
      <c r="CN2695" s="1539"/>
      <c r="CO2695" s="1539"/>
    </row>
    <row r="2696" spans="1:93" s="1552" customFormat="1" ht="15.5">
      <c r="A2696" s="1529">
        <v>61.651000000000003</v>
      </c>
      <c r="B2696" s="1872" t="s">
        <v>5429</v>
      </c>
      <c r="C2696" s="1643" t="e">
        <f>+SUMIF(#REF!,Final!A2696,#REF!)</f>
        <v>#REF!</v>
      </c>
      <c r="D2696" s="1597" t="e">
        <f>+SUMIF(#REF!,Final!A2696,#REF!)</f>
        <v>#REF!</v>
      </c>
      <c r="E2696" s="1643" t="e">
        <f>SUMIF(#REF!,Final!A2696,#REF!)</f>
        <v>#REF!</v>
      </c>
      <c r="F2696" s="1644" t="e">
        <f>SUMIF(#REF!,Final!A2696,#REF!)</f>
        <v>#REF!</v>
      </c>
      <c r="G2696" s="1597" t="e">
        <f t="shared" si="280"/>
        <v>#REF!</v>
      </c>
      <c r="H2696" s="1644" t="e">
        <f t="shared" si="281"/>
        <v>#REF!</v>
      </c>
      <c r="I2696" s="1597" t="e">
        <f t="shared" si="282"/>
        <v>#REF!</v>
      </c>
      <c r="J2696" s="1644" t="e">
        <f t="shared" si="283"/>
        <v>#REF!</v>
      </c>
      <c r="K2696" s="1539"/>
      <c r="L2696" s="1539"/>
      <c r="M2696" s="1545"/>
      <c r="N2696" s="1545"/>
      <c r="O2696" s="1539"/>
      <c r="P2696" s="1539"/>
      <c r="Q2696" s="1539"/>
      <c r="R2696" s="1539"/>
      <c r="S2696" s="1539"/>
      <c r="T2696" s="1539"/>
      <c r="U2696" s="1539"/>
      <c r="V2696" s="1539"/>
      <c r="W2696" s="1539"/>
      <c r="X2696" s="1539"/>
      <c r="Y2696" s="1539"/>
      <c r="Z2696" s="1539"/>
      <c r="AA2696" s="1539"/>
      <c r="AB2696" s="1539"/>
      <c r="AC2696" s="1539"/>
      <c r="AD2696" s="1539"/>
      <c r="AE2696" s="1539"/>
      <c r="AF2696" s="1539"/>
      <c r="AG2696" s="1539"/>
      <c r="AH2696" s="1539"/>
      <c r="AI2696" s="1539"/>
      <c r="AJ2696" s="1539"/>
      <c r="AK2696" s="1539"/>
      <c r="AL2696" s="1539"/>
      <c r="AM2696" s="1539"/>
      <c r="AN2696" s="1539"/>
      <c r="AO2696" s="1539"/>
      <c r="AP2696" s="1539"/>
      <c r="AQ2696" s="1539"/>
      <c r="AR2696" s="1539"/>
      <c r="AS2696" s="1539"/>
      <c r="AT2696" s="1539"/>
      <c r="AU2696" s="1539"/>
      <c r="AV2696" s="1539"/>
      <c r="AW2696" s="1539"/>
      <c r="AX2696" s="1539"/>
      <c r="AY2696" s="1539"/>
      <c r="AZ2696" s="1539"/>
      <c r="BA2696" s="1539"/>
      <c r="BB2696" s="1539"/>
      <c r="BC2696" s="1539"/>
      <c r="BD2696" s="1539"/>
      <c r="BE2696" s="1539"/>
      <c r="BF2696" s="1539"/>
      <c r="BG2696" s="1539"/>
      <c r="BH2696" s="1539"/>
      <c r="BI2696" s="1539"/>
      <c r="BJ2696" s="1539"/>
      <c r="BK2696" s="1539"/>
      <c r="BL2696" s="1539"/>
      <c r="BM2696" s="1539"/>
      <c r="BN2696" s="1539"/>
      <c r="BO2696" s="1539"/>
      <c r="BP2696" s="1539"/>
      <c r="BQ2696" s="1539"/>
      <c r="BR2696" s="1539"/>
      <c r="BS2696" s="1539"/>
      <c r="BT2696" s="1539"/>
      <c r="BU2696" s="1539"/>
      <c r="BV2696" s="1539"/>
      <c r="BW2696" s="1539"/>
      <c r="BX2696" s="1539"/>
      <c r="BY2696" s="1539"/>
      <c r="BZ2696" s="1539"/>
      <c r="CA2696" s="1539"/>
      <c r="CB2696" s="1539"/>
      <c r="CC2696" s="1539"/>
      <c r="CD2696" s="1539"/>
      <c r="CE2696" s="1539"/>
      <c r="CF2696" s="1539"/>
      <c r="CG2696" s="1539"/>
      <c r="CH2696" s="1539"/>
      <c r="CI2696" s="1539"/>
      <c r="CJ2696" s="1539"/>
      <c r="CK2696" s="1539"/>
      <c r="CL2696" s="1539"/>
      <c r="CM2696" s="1539"/>
      <c r="CN2696" s="1539"/>
      <c r="CO2696" s="1539"/>
    </row>
    <row r="2697" spans="1:93" s="1542" customFormat="1" ht="15.5">
      <c r="A2697" s="1598">
        <v>22</v>
      </c>
      <c r="B2697" s="1599" t="s">
        <v>3001</v>
      </c>
      <c r="C2697" s="1643" t="e">
        <f>+SUMIF(#REF!,Final!A2697,#REF!)</f>
        <v>#REF!</v>
      </c>
      <c r="D2697" s="1597" t="e">
        <f>+SUMIF(#REF!,Final!A2697,#REF!)</f>
        <v>#REF!</v>
      </c>
      <c r="E2697" s="1643" t="e">
        <f>SUMIF(#REF!,Final!A2697,#REF!)</f>
        <v>#REF!</v>
      </c>
      <c r="F2697" s="1644" t="e">
        <f>SUMIF(#REF!,Final!A2697,#REF!)</f>
        <v>#REF!</v>
      </c>
      <c r="G2697" s="1597" t="e">
        <f t="shared" si="272"/>
        <v>#REF!</v>
      </c>
      <c r="H2697" s="1644" t="e">
        <f t="shared" si="273"/>
        <v>#REF!</v>
      </c>
      <c r="I2697" s="1597" t="e">
        <f t="shared" si="274"/>
        <v>#REF!</v>
      </c>
      <c r="J2697" s="1644" t="e">
        <f t="shared" si="275"/>
        <v>#REF!</v>
      </c>
      <c r="K2697" s="1539"/>
      <c r="L2697" s="1539"/>
      <c r="M2697" s="1545"/>
      <c r="N2697" s="1545"/>
      <c r="O2697" s="1539"/>
      <c r="P2697" s="1539"/>
      <c r="Q2697" s="1539"/>
      <c r="R2697" s="1539"/>
      <c r="S2697" s="1539"/>
      <c r="T2697" s="1539"/>
      <c r="U2697" s="1539"/>
      <c r="V2697" s="1539"/>
      <c r="W2697" s="1539"/>
      <c r="X2697" s="1539"/>
      <c r="Y2697" s="1539"/>
      <c r="Z2697" s="1539"/>
      <c r="AA2697" s="1539"/>
      <c r="AB2697" s="1539"/>
      <c r="AC2697" s="1539"/>
      <c r="AD2697" s="1539"/>
      <c r="AE2697" s="1539"/>
      <c r="AF2697" s="1539"/>
      <c r="AG2697" s="1539"/>
      <c r="AH2697" s="1539"/>
      <c r="AI2697" s="1539"/>
      <c r="AJ2697" s="1539"/>
      <c r="AK2697" s="1539"/>
      <c r="AL2697" s="1539"/>
      <c r="AM2697" s="1539"/>
      <c r="AN2697" s="1539"/>
      <c r="AO2697" s="1539"/>
      <c r="AP2697" s="1539"/>
      <c r="AQ2697" s="1539"/>
      <c r="AR2697" s="1539"/>
      <c r="AS2697" s="1539"/>
      <c r="AT2697" s="1539"/>
      <c r="AU2697" s="1539"/>
      <c r="AV2697" s="1539"/>
      <c r="AW2697" s="1539"/>
      <c r="AX2697" s="1539"/>
      <c r="AY2697" s="1539"/>
      <c r="AZ2697" s="1539"/>
      <c r="BA2697" s="1539"/>
      <c r="BB2697" s="1539"/>
      <c r="BC2697" s="1539"/>
      <c r="BD2697" s="1539"/>
      <c r="BE2697" s="1539"/>
      <c r="BF2697" s="1539"/>
      <c r="BG2697" s="1539"/>
      <c r="BH2697" s="1539"/>
      <c r="BI2697" s="1539"/>
      <c r="BJ2697" s="1539"/>
      <c r="BK2697" s="1539"/>
      <c r="BL2697" s="1539"/>
      <c r="BM2697" s="1539"/>
      <c r="BN2697" s="1539"/>
      <c r="BO2697" s="1539"/>
      <c r="BP2697" s="1539"/>
      <c r="BQ2697" s="1539"/>
      <c r="BR2697" s="1539"/>
      <c r="BS2697" s="1539"/>
      <c r="BT2697" s="1539"/>
      <c r="BU2697" s="1539"/>
      <c r="BV2697" s="1539"/>
      <c r="BW2697" s="1539"/>
      <c r="BX2697" s="1539"/>
      <c r="BY2697" s="1539"/>
      <c r="BZ2697" s="1539"/>
      <c r="CA2697" s="1539"/>
      <c r="CB2697" s="1539"/>
      <c r="CC2697" s="1539"/>
      <c r="CD2697" s="1539"/>
      <c r="CE2697" s="1539"/>
      <c r="CF2697" s="1539"/>
      <c r="CG2697" s="1539"/>
      <c r="CH2697" s="1539"/>
      <c r="CI2697" s="1539"/>
      <c r="CJ2697" s="1539"/>
      <c r="CK2697" s="1539"/>
      <c r="CL2697" s="1539"/>
      <c r="CM2697" s="1539"/>
      <c r="CN2697" s="1539"/>
      <c r="CO2697" s="1539"/>
    </row>
    <row r="2698" spans="1:93" s="1542" customFormat="1" ht="15.5">
      <c r="A2698" s="1598" t="s">
        <v>544</v>
      </c>
      <c r="B2698" s="1599" t="s">
        <v>3011</v>
      </c>
      <c r="C2698" s="1643" t="e">
        <f>+SUMIF(#REF!,Final!A2698,#REF!)</f>
        <v>#REF!</v>
      </c>
      <c r="D2698" s="1597" t="e">
        <f>+SUMIF(#REF!,Final!A2698,#REF!)</f>
        <v>#REF!</v>
      </c>
      <c r="E2698" s="1643" t="e">
        <f>SUMIF(#REF!,Final!A2698,#REF!)</f>
        <v>#REF!</v>
      </c>
      <c r="F2698" s="1644" t="e">
        <f>SUMIF(#REF!,Final!A2698,#REF!)</f>
        <v>#REF!</v>
      </c>
      <c r="G2698" s="1597" t="e">
        <f t="shared" ref="G2698:G2769" si="284">C2698+E2698</f>
        <v>#REF!</v>
      </c>
      <c r="H2698" s="1644" t="e">
        <f t="shared" ref="H2698:H2769" si="285">D2698+F2698</f>
        <v>#REF!</v>
      </c>
      <c r="I2698" s="1597" t="e">
        <f t="shared" ref="I2698:I2769" si="286">IF(G2698&gt;H2698,G2698-H2698,0)</f>
        <v>#REF!</v>
      </c>
      <c r="J2698" s="1644" t="e">
        <f t="shared" ref="J2698:J2769" si="287">IF(H2698&gt;G2698,H2698-G2698,0)</f>
        <v>#REF!</v>
      </c>
      <c r="K2698" s="1539"/>
      <c r="L2698" s="1539"/>
      <c r="M2698" s="1545"/>
      <c r="N2698" s="1545"/>
      <c r="O2698" s="1539"/>
      <c r="P2698" s="1539"/>
      <c r="Q2698" s="1539"/>
      <c r="R2698" s="1539"/>
      <c r="S2698" s="1539"/>
      <c r="T2698" s="1539"/>
      <c r="U2698" s="1539"/>
      <c r="V2698" s="1539"/>
      <c r="W2698" s="1539"/>
      <c r="X2698" s="1539"/>
      <c r="Y2698" s="1539"/>
      <c r="Z2698" s="1539"/>
      <c r="AA2698" s="1539"/>
      <c r="AB2698" s="1539"/>
      <c r="AC2698" s="1539"/>
      <c r="AD2698" s="1539"/>
      <c r="AE2698" s="1539"/>
      <c r="AF2698" s="1539"/>
      <c r="AG2698" s="1539"/>
      <c r="AH2698" s="1539"/>
      <c r="AI2698" s="1539"/>
      <c r="AJ2698" s="1539"/>
      <c r="AK2698" s="1539"/>
      <c r="AL2698" s="1539"/>
      <c r="AM2698" s="1539"/>
      <c r="AN2698" s="1539"/>
      <c r="AO2698" s="1539"/>
      <c r="AP2698" s="1539"/>
      <c r="AQ2698" s="1539"/>
      <c r="AR2698" s="1539"/>
      <c r="AS2698" s="1539"/>
      <c r="AT2698" s="1539"/>
      <c r="AU2698" s="1539"/>
      <c r="AV2698" s="1539"/>
      <c r="AW2698" s="1539"/>
      <c r="AX2698" s="1539"/>
      <c r="AY2698" s="1539"/>
      <c r="AZ2698" s="1539"/>
      <c r="BA2698" s="1539"/>
      <c r="BB2698" s="1539"/>
      <c r="BC2698" s="1539"/>
      <c r="BD2698" s="1539"/>
      <c r="BE2698" s="1539"/>
      <c r="BF2698" s="1539"/>
      <c r="BG2698" s="1539"/>
      <c r="BH2698" s="1539"/>
      <c r="BI2698" s="1539"/>
      <c r="BJ2698" s="1539"/>
      <c r="BK2698" s="1539"/>
      <c r="BL2698" s="1539"/>
      <c r="BM2698" s="1539"/>
      <c r="BN2698" s="1539"/>
      <c r="BO2698" s="1539"/>
      <c r="BP2698" s="1539"/>
      <c r="BQ2698" s="1539"/>
      <c r="BR2698" s="1539"/>
      <c r="BS2698" s="1539"/>
      <c r="BT2698" s="1539"/>
      <c r="BU2698" s="1539"/>
      <c r="BV2698" s="1539"/>
      <c r="BW2698" s="1539"/>
      <c r="BX2698" s="1539"/>
      <c r="BY2698" s="1539"/>
      <c r="BZ2698" s="1539"/>
      <c r="CA2698" s="1539"/>
      <c r="CB2698" s="1539"/>
      <c r="CC2698" s="1539"/>
      <c r="CD2698" s="1539"/>
      <c r="CE2698" s="1539"/>
      <c r="CF2698" s="1539"/>
      <c r="CG2698" s="1539"/>
      <c r="CH2698" s="1539"/>
      <c r="CI2698" s="1539"/>
      <c r="CJ2698" s="1539"/>
      <c r="CK2698" s="1539"/>
      <c r="CL2698" s="1539"/>
      <c r="CM2698" s="1539"/>
      <c r="CN2698" s="1539"/>
      <c r="CO2698" s="1539"/>
    </row>
    <row r="2699" spans="1:93" s="1542" customFormat="1" ht="15.5">
      <c r="A2699" s="1598" t="s">
        <v>1818</v>
      </c>
      <c r="B2699" s="1599" t="s">
        <v>3022</v>
      </c>
      <c r="C2699" s="1643" t="e">
        <f>+SUMIF(#REF!,Final!A2699,#REF!)</f>
        <v>#REF!</v>
      </c>
      <c r="D2699" s="1597" t="e">
        <f>+SUMIF(#REF!,Final!A2699,#REF!)</f>
        <v>#REF!</v>
      </c>
      <c r="E2699" s="1643" t="e">
        <f>SUMIF(#REF!,Final!A2699,#REF!)</f>
        <v>#REF!</v>
      </c>
      <c r="F2699" s="1644" t="e">
        <f>SUMIF(#REF!,Final!A2699,#REF!)</f>
        <v>#REF!</v>
      </c>
      <c r="G2699" s="1597" t="e">
        <f t="shared" si="284"/>
        <v>#REF!</v>
      </c>
      <c r="H2699" s="1644" t="e">
        <f t="shared" si="285"/>
        <v>#REF!</v>
      </c>
      <c r="I2699" s="1597" t="e">
        <f t="shared" si="286"/>
        <v>#REF!</v>
      </c>
      <c r="J2699" s="1644" t="e">
        <f t="shared" si="287"/>
        <v>#REF!</v>
      </c>
      <c r="K2699" s="1539"/>
      <c r="L2699" s="1539"/>
      <c r="M2699" s="1545"/>
      <c r="N2699" s="1545"/>
      <c r="O2699" s="1539"/>
      <c r="P2699" s="1539"/>
      <c r="Q2699" s="1539"/>
      <c r="R2699" s="1539"/>
      <c r="S2699" s="1539"/>
      <c r="T2699" s="1539"/>
      <c r="U2699" s="1539"/>
      <c r="V2699" s="1539"/>
      <c r="W2699" s="1539"/>
      <c r="X2699" s="1539"/>
      <c r="Y2699" s="1539"/>
      <c r="Z2699" s="1539"/>
      <c r="AA2699" s="1539"/>
      <c r="AB2699" s="1539"/>
      <c r="AC2699" s="1539"/>
      <c r="AD2699" s="1539"/>
      <c r="AE2699" s="1539"/>
      <c r="AF2699" s="1539"/>
      <c r="AG2699" s="1539"/>
      <c r="AH2699" s="1539"/>
      <c r="AI2699" s="1539"/>
      <c r="AJ2699" s="1539"/>
      <c r="AK2699" s="1539"/>
      <c r="AL2699" s="1539"/>
      <c r="AM2699" s="1539"/>
      <c r="AN2699" s="1539"/>
      <c r="AO2699" s="1539"/>
      <c r="AP2699" s="1539"/>
      <c r="AQ2699" s="1539"/>
      <c r="AR2699" s="1539"/>
      <c r="AS2699" s="1539"/>
      <c r="AT2699" s="1539"/>
      <c r="AU2699" s="1539"/>
      <c r="AV2699" s="1539"/>
      <c r="AW2699" s="1539"/>
      <c r="AX2699" s="1539"/>
      <c r="AY2699" s="1539"/>
      <c r="AZ2699" s="1539"/>
      <c r="BA2699" s="1539"/>
      <c r="BB2699" s="1539"/>
      <c r="BC2699" s="1539"/>
      <c r="BD2699" s="1539"/>
      <c r="BE2699" s="1539"/>
      <c r="BF2699" s="1539"/>
      <c r="BG2699" s="1539"/>
      <c r="BH2699" s="1539"/>
      <c r="BI2699" s="1539"/>
      <c r="BJ2699" s="1539"/>
      <c r="BK2699" s="1539"/>
      <c r="BL2699" s="1539"/>
      <c r="BM2699" s="1539"/>
      <c r="BN2699" s="1539"/>
      <c r="BO2699" s="1539"/>
      <c r="BP2699" s="1539"/>
      <c r="BQ2699" s="1539"/>
      <c r="BR2699" s="1539"/>
      <c r="BS2699" s="1539"/>
      <c r="BT2699" s="1539"/>
      <c r="BU2699" s="1539"/>
      <c r="BV2699" s="1539"/>
      <c r="BW2699" s="1539"/>
      <c r="BX2699" s="1539"/>
      <c r="BY2699" s="1539"/>
      <c r="BZ2699" s="1539"/>
      <c r="CA2699" s="1539"/>
      <c r="CB2699" s="1539"/>
      <c r="CC2699" s="1539"/>
      <c r="CD2699" s="1539"/>
      <c r="CE2699" s="1539"/>
      <c r="CF2699" s="1539"/>
      <c r="CG2699" s="1539"/>
      <c r="CH2699" s="1539"/>
      <c r="CI2699" s="1539"/>
      <c r="CJ2699" s="1539"/>
      <c r="CK2699" s="1539"/>
      <c r="CL2699" s="1539"/>
      <c r="CM2699" s="1539"/>
      <c r="CN2699" s="1539"/>
      <c r="CO2699" s="1539"/>
    </row>
    <row r="2700" spans="1:93" s="1542" customFormat="1" ht="15.5">
      <c r="A2700" s="1598">
        <v>62.901000000000003</v>
      </c>
      <c r="B2700" s="1599" t="s">
        <v>3023</v>
      </c>
      <c r="C2700" s="1643" t="e">
        <f>+SUMIF(#REF!,Final!A2700,#REF!)</f>
        <v>#REF!</v>
      </c>
      <c r="D2700" s="1597" t="e">
        <f>+SUMIF(#REF!,Final!A2700,#REF!)</f>
        <v>#REF!</v>
      </c>
      <c r="E2700" s="1643" t="e">
        <f>SUMIF(#REF!,Final!A2700,#REF!)</f>
        <v>#REF!</v>
      </c>
      <c r="F2700" s="1644" t="e">
        <f>SUMIF(#REF!,Final!A2700,#REF!)</f>
        <v>#REF!</v>
      </c>
      <c r="G2700" s="1597" t="e">
        <f t="shared" si="284"/>
        <v>#REF!</v>
      </c>
      <c r="H2700" s="1644" t="e">
        <f t="shared" si="285"/>
        <v>#REF!</v>
      </c>
      <c r="I2700" s="1597" t="e">
        <f t="shared" si="286"/>
        <v>#REF!</v>
      </c>
      <c r="J2700" s="1644" t="e">
        <f t="shared" si="287"/>
        <v>#REF!</v>
      </c>
      <c r="K2700" s="1539"/>
      <c r="L2700" s="1539"/>
      <c r="M2700" s="1545"/>
      <c r="N2700" s="1545"/>
      <c r="O2700" s="1539"/>
      <c r="P2700" s="1539"/>
      <c r="Q2700" s="1539"/>
      <c r="R2700" s="1539"/>
      <c r="S2700" s="1539"/>
      <c r="T2700" s="1539"/>
      <c r="U2700" s="1539"/>
      <c r="V2700" s="1539"/>
      <c r="W2700" s="1539"/>
      <c r="X2700" s="1539"/>
      <c r="Y2700" s="1539"/>
      <c r="Z2700" s="1539"/>
      <c r="AA2700" s="1539"/>
      <c r="AB2700" s="1539"/>
      <c r="AC2700" s="1539"/>
      <c r="AD2700" s="1539"/>
      <c r="AE2700" s="1539"/>
      <c r="AF2700" s="1539"/>
      <c r="AG2700" s="1539"/>
      <c r="AH2700" s="1539"/>
      <c r="AI2700" s="1539"/>
      <c r="AJ2700" s="1539"/>
      <c r="AK2700" s="1539"/>
      <c r="AL2700" s="1539"/>
      <c r="AM2700" s="1539"/>
      <c r="AN2700" s="1539"/>
      <c r="AO2700" s="1539"/>
      <c r="AP2700" s="1539"/>
      <c r="AQ2700" s="1539"/>
      <c r="AR2700" s="1539"/>
      <c r="AS2700" s="1539"/>
      <c r="AT2700" s="1539"/>
      <c r="AU2700" s="1539"/>
      <c r="AV2700" s="1539"/>
      <c r="AW2700" s="1539"/>
      <c r="AX2700" s="1539"/>
      <c r="AY2700" s="1539"/>
      <c r="AZ2700" s="1539"/>
      <c r="BA2700" s="1539"/>
      <c r="BB2700" s="1539"/>
      <c r="BC2700" s="1539"/>
      <c r="BD2700" s="1539"/>
      <c r="BE2700" s="1539"/>
      <c r="BF2700" s="1539"/>
      <c r="BG2700" s="1539"/>
      <c r="BH2700" s="1539"/>
      <c r="BI2700" s="1539"/>
      <c r="BJ2700" s="1539"/>
      <c r="BK2700" s="1539"/>
      <c r="BL2700" s="1539"/>
      <c r="BM2700" s="1539"/>
      <c r="BN2700" s="1539"/>
      <c r="BO2700" s="1539"/>
      <c r="BP2700" s="1539"/>
      <c r="BQ2700" s="1539"/>
      <c r="BR2700" s="1539"/>
      <c r="BS2700" s="1539"/>
      <c r="BT2700" s="1539"/>
      <c r="BU2700" s="1539"/>
      <c r="BV2700" s="1539"/>
      <c r="BW2700" s="1539"/>
      <c r="BX2700" s="1539"/>
      <c r="BY2700" s="1539"/>
      <c r="BZ2700" s="1539"/>
      <c r="CA2700" s="1539"/>
      <c r="CB2700" s="1539"/>
      <c r="CC2700" s="1539"/>
      <c r="CD2700" s="1539"/>
      <c r="CE2700" s="1539"/>
      <c r="CF2700" s="1539"/>
      <c r="CG2700" s="1539"/>
      <c r="CH2700" s="1539"/>
      <c r="CI2700" s="1539"/>
      <c r="CJ2700" s="1539"/>
      <c r="CK2700" s="1539"/>
      <c r="CL2700" s="1539"/>
      <c r="CM2700" s="1539"/>
      <c r="CN2700" s="1539"/>
      <c r="CO2700" s="1539"/>
    </row>
    <row r="2701" spans="1:93" ht="15.5">
      <c r="A2701" s="1598">
        <v>62.902000000000001</v>
      </c>
      <c r="B2701" s="1599" t="s">
        <v>3024</v>
      </c>
      <c r="C2701" s="1643" t="e">
        <f>+SUMIF(#REF!,Final!A2701,#REF!)</f>
        <v>#REF!</v>
      </c>
      <c r="D2701" s="1597" t="e">
        <f>+SUMIF(#REF!,Final!A2701,#REF!)</f>
        <v>#REF!</v>
      </c>
      <c r="E2701" s="1643" t="e">
        <f>SUMIF(#REF!,Final!A2701,#REF!)</f>
        <v>#REF!</v>
      </c>
      <c r="F2701" s="1644" t="e">
        <f>SUMIF(#REF!,Final!A2701,#REF!)</f>
        <v>#REF!</v>
      </c>
      <c r="G2701" s="1597" t="e">
        <f t="shared" si="284"/>
        <v>#REF!</v>
      </c>
      <c r="H2701" s="1644" t="e">
        <f t="shared" si="285"/>
        <v>#REF!</v>
      </c>
      <c r="I2701" s="1597" t="e">
        <f t="shared" si="286"/>
        <v>#REF!</v>
      </c>
      <c r="J2701" s="1644" t="e">
        <f t="shared" si="287"/>
        <v>#REF!</v>
      </c>
      <c r="M2701" s="1545"/>
      <c r="N2701" s="1545"/>
    </row>
    <row r="2702" spans="1:93" ht="15.5">
      <c r="A2702" s="1598">
        <v>62.904000000000003</v>
      </c>
      <c r="B2702" s="1599" t="s">
        <v>3025</v>
      </c>
      <c r="C2702" s="1643" t="e">
        <f>+SUMIF(#REF!,Final!A2702,#REF!)</f>
        <v>#REF!</v>
      </c>
      <c r="D2702" s="1597" t="e">
        <f>+SUMIF(#REF!,Final!A2702,#REF!)</f>
        <v>#REF!</v>
      </c>
      <c r="E2702" s="1643" t="e">
        <f>SUMIF(#REF!,Final!A2702,#REF!)</f>
        <v>#REF!</v>
      </c>
      <c r="F2702" s="1644" t="e">
        <f>SUMIF(#REF!,Final!A2702,#REF!)</f>
        <v>#REF!</v>
      </c>
      <c r="G2702" s="1597" t="e">
        <f t="shared" si="284"/>
        <v>#REF!</v>
      </c>
      <c r="H2702" s="1644" t="e">
        <f t="shared" si="285"/>
        <v>#REF!</v>
      </c>
      <c r="I2702" s="1597" t="e">
        <f t="shared" si="286"/>
        <v>#REF!</v>
      </c>
      <c r="J2702" s="1644" t="e">
        <f t="shared" si="287"/>
        <v>#REF!</v>
      </c>
      <c r="M2702" s="1545"/>
      <c r="N2702" s="1545"/>
    </row>
    <row r="2703" spans="1:93" ht="15.5">
      <c r="A2703" s="1598">
        <v>62.905000000000001</v>
      </c>
      <c r="B2703" s="1599" t="s">
        <v>3026</v>
      </c>
      <c r="C2703" s="1643" t="e">
        <f>+SUMIF(#REF!,Final!A2703,#REF!)</f>
        <v>#REF!</v>
      </c>
      <c r="D2703" s="1597" t="e">
        <f>+SUMIF(#REF!,Final!A2703,#REF!)</f>
        <v>#REF!</v>
      </c>
      <c r="E2703" s="1643" t="e">
        <f>SUMIF(#REF!,Final!A2703,#REF!)</f>
        <v>#REF!</v>
      </c>
      <c r="F2703" s="1644" t="e">
        <f>SUMIF(#REF!,Final!A2703,#REF!)</f>
        <v>#REF!</v>
      </c>
      <c r="G2703" s="1597" t="e">
        <f t="shared" si="284"/>
        <v>#REF!</v>
      </c>
      <c r="H2703" s="1644" t="e">
        <f t="shared" si="285"/>
        <v>#REF!</v>
      </c>
      <c r="I2703" s="1597" t="e">
        <f t="shared" si="286"/>
        <v>#REF!</v>
      </c>
      <c r="J2703" s="1644" t="e">
        <f t="shared" si="287"/>
        <v>#REF!</v>
      </c>
      <c r="M2703" s="1545"/>
      <c r="N2703" s="1545"/>
    </row>
    <row r="2704" spans="1:93" ht="15.5">
      <c r="A2704" s="1598">
        <v>62.905999999999999</v>
      </c>
      <c r="B2704" s="1599" t="s">
        <v>3027</v>
      </c>
      <c r="C2704" s="1643" t="e">
        <f>+SUMIF(#REF!,Final!A2704,#REF!)</f>
        <v>#REF!</v>
      </c>
      <c r="D2704" s="1597" t="e">
        <f>+SUMIF(#REF!,Final!A2704,#REF!)</f>
        <v>#REF!</v>
      </c>
      <c r="E2704" s="1643" t="e">
        <f>SUMIF(#REF!,Final!A2704,#REF!)</f>
        <v>#REF!</v>
      </c>
      <c r="F2704" s="1644" t="e">
        <f>SUMIF(#REF!,Final!A2704,#REF!)</f>
        <v>#REF!</v>
      </c>
      <c r="G2704" s="1597" t="e">
        <f t="shared" si="284"/>
        <v>#REF!</v>
      </c>
      <c r="H2704" s="1644" t="e">
        <f t="shared" si="285"/>
        <v>#REF!</v>
      </c>
      <c r="I2704" s="1597" t="e">
        <f t="shared" si="286"/>
        <v>#REF!</v>
      </c>
      <c r="J2704" s="1644" t="e">
        <f t="shared" si="287"/>
        <v>#REF!</v>
      </c>
      <c r="M2704" s="1545"/>
      <c r="N2704" s="1545"/>
    </row>
    <row r="2705" spans="1:93" ht="15.5">
      <c r="A2705" s="1598">
        <v>62.906999999999996</v>
      </c>
      <c r="B2705" s="1599" t="s">
        <v>3028</v>
      </c>
      <c r="C2705" s="1643" t="e">
        <f>+SUMIF(#REF!,Final!A2705,#REF!)</f>
        <v>#REF!</v>
      </c>
      <c r="D2705" s="1597" t="e">
        <f>+SUMIF(#REF!,Final!A2705,#REF!)</f>
        <v>#REF!</v>
      </c>
      <c r="E2705" s="1643" t="e">
        <f>SUMIF(#REF!,Final!A2705,#REF!)</f>
        <v>#REF!</v>
      </c>
      <c r="F2705" s="1644" t="e">
        <f>SUMIF(#REF!,Final!A2705,#REF!)</f>
        <v>#REF!</v>
      </c>
      <c r="G2705" s="1597" t="e">
        <f t="shared" si="284"/>
        <v>#REF!</v>
      </c>
      <c r="H2705" s="1644" t="e">
        <f t="shared" si="285"/>
        <v>#REF!</v>
      </c>
      <c r="I2705" s="1597" t="e">
        <f t="shared" si="286"/>
        <v>#REF!</v>
      </c>
      <c r="J2705" s="1644" t="e">
        <f t="shared" si="287"/>
        <v>#REF!</v>
      </c>
      <c r="M2705" s="1545"/>
      <c r="N2705" s="1545"/>
    </row>
    <row r="2706" spans="1:93" ht="15.5">
      <c r="A2706" s="1598">
        <v>62.908000000000001</v>
      </c>
      <c r="B2706" s="1599" t="s">
        <v>3029</v>
      </c>
      <c r="C2706" s="1643" t="e">
        <f>+SUMIF(#REF!,Final!A2706,#REF!)</f>
        <v>#REF!</v>
      </c>
      <c r="D2706" s="1597" t="e">
        <f>+SUMIF(#REF!,Final!A2706,#REF!)</f>
        <v>#REF!</v>
      </c>
      <c r="E2706" s="1643" t="e">
        <f>SUMIF(#REF!,Final!A2706,#REF!)</f>
        <v>#REF!</v>
      </c>
      <c r="F2706" s="1644" t="e">
        <f>SUMIF(#REF!,Final!A2706,#REF!)</f>
        <v>#REF!</v>
      </c>
      <c r="G2706" s="1597" t="e">
        <f t="shared" si="284"/>
        <v>#REF!</v>
      </c>
      <c r="H2706" s="1644" t="e">
        <f t="shared" si="285"/>
        <v>#REF!</v>
      </c>
      <c r="I2706" s="1597" t="e">
        <f t="shared" si="286"/>
        <v>#REF!</v>
      </c>
      <c r="J2706" s="1644" t="e">
        <f t="shared" si="287"/>
        <v>#REF!</v>
      </c>
      <c r="M2706" s="1545"/>
      <c r="N2706" s="1545"/>
    </row>
    <row r="2707" spans="1:93" ht="15.5">
      <c r="A2707" s="1598">
        <v>62.911999999999999</v>
      </c>
      <c r="B2707" s="1599" t="s">
        <v>3030</v>
      </c>
      <c r="C2707" s="1643" t="e">
        <f>+SUMIF(#REF!,Final!A2707,#REF!)</f>
        <v>#REF!</v>
      </c>
      <c r="D2707" s="1597" t="e">
        <f>+SUMIF(#REF!,Final!A2707,#REF!)</f>
        <v>#REF!</v>
      </c>
      <c r="E2707" s="1643" t="e">
        <f>SUMIF(#REF!,Final!A2707,#REF!)</f>
        <v>#REF!</v>
      </c>
      <c r="F2707" s="1644" t="e">
        <f>SUMIF(#REF!,Final!A2707,#REF!)</f>
        <v>#REF!</v>
      </c>
      <c r="G2707" s="1597" t="e">
        <f t="shared" si="284"/>
        <v>#REF!</v>
      </c>
      <c r="H2707" s="1644" t="e">
        <f t="shared" si="285"/>
        <v>#REF!</v>
      </c>
      <c r="I2707" s="1597" t="e">
        <f t="shared" si="286"/>
        <v>#REF!</v>
      </c>
      <c r="J2707" s="1644" t="e">
        <f t="shared" si="287"/>
        <v>#REF!</v>
      </c>
      <c r="M2707" s="1545"/>
      <c r="N2707" s="1545"/>
    </row>
    <row r="2708" spans="1:93" ht="15.5">
      <c r="A2708" s="1598">
        <v>62.915999999999997</v>
      </c>
      <c r="B2708" s="1599" t="s">
        <v>3031</v>
      </c>
      <c r="C2708" s="1643" t="e">
        <f>+SUMIF(#REF!,Final!A2708,#REF!)</f>
        <v>#REF!</v>
      </c>
      <c r="D2708" s="1597" t="e">
        <f>+SUMIF(#REF!,Final!A2708,#REF!)</f>
        <v>#REF!</v>
      </c>
      <c r="E2708" s="1643" t="e">
        <f>SUMIF(#REF!,Final!A2708,#REF!)</f>
        <v>#REF!</v>
      </c>
      <c r="F2708" s="1644" t="e">
        <f>SUMIF(#REF!,Final!A2708,#REF!)</f>
        <v>#REF!</v>
      </c>
      <c r="G2708" s="1597" t="e">
        <f t="shared" si="284"/>
        <v>#REF!</v>
      </c>
      <c r="H2708" s="1644" t="e">
        <f t="shared" si="285"/>
        <v>#REF!</v>
      </c>
      <c r="I2708" s="1597" t="e">
        <f t="shared" si="286"/>
        <v>#REF!</v>
      </c>
      <c r="J2708" s="1644" t="e">
        <f t="shared" si="287"/>
        <v>#REF!</v>
      </c>
      <c r="M2708" s="1545"/>
      <c r="N2708" s="1545"/>
    </row>
    <row r="2709" spans="1:93" ht="15.5">
      <c r="A2709" s="1598">
        <v>62.917000000000002</v>
      </c>
      <c r="B2709" s="1599" t="s">
        <v>3032</v>
      </c>
      <c r="C2709" s="1643" t="e">
        <f>+SUMIF(#REF!,Final!A2709,#REF!)</f>
        <v>#REF!</v>
      </c>
      <c r="D2709" s="1597" t="e">
        <f>+SUMIF(#REF!,Final!A2709,#REF!)</f>
        <v>#REF!</v>
      </c>
      <c r="E2709" s="1643" t="e">
        <f>SUMIF(#REF!,Final!A2709,#REF!)</f>
        <v>#REF!</v>
      </c>
      <c r="F2709" s="1644" t="e">
        <f>SUMIF(#REF!,Final!A2709,#REF!)</f>
        <v>#REF!</v>
      </c>
      <c r="G2709" s="1597" t="e">
        <f t="shared" si="284"/>
        <v>#REF!</v>
      </c>
      <c r="H2709" s="1644" t="e">
        <f t="shared" si="285"/>
        <v>#REF!</v>
      </c>
      <c r="I2709" s="1597" t="e">
        <f t="shared" si="286"/>
        <v>#REF!</v>
      </c>
      <c r="J2709" s="1644" t="e">
        <f t="shared" si="287"/>
        <v>#REF!</v>
      </c>
      <c r="M2709" s="1545"/>
      <c r="N2709" s="1545"/>
    </row>
    <row r="2710" spans="1:93" ht="15.5">
      <c r="A2710" s="1598">
        <v>62.917999999999999</v>
      </c>
      <c r="B2710" s="1599" t="s">
        <v>3033</v>
      </c>
      <c r="C2710" s="1643" t="e">
        <f>+SUMIF(#REF!,Final!A2710,#REF!)</f>
        <v>#REF!</v>
      </c>
      <c r="D2710" s="1597" t="e">
        <f>+SUMIF(#REF!,Final!A2710,#REF!)</f>
        <v>#REF!</v>
      </c>
      <c r="E2710" s="1643" t="e">
        <f>SUMIF(#REF!,Final!A2710,#REF!)</f>
        <v>#REF!</v>
      </c>
      <c r="F2710" s="1644" t="e">
        <f>SUMIF(#REF!,Final!A2710,#REF!)</f>
        <v>#REF!</v>
      </c>
      <c r="G2710" s="1597" t="e">
        <f t="shared" si="284"/>
        <v>#REF!</v>
      </c>
      <c r="H2710" s="1644" t="e">
        <f t="shared" si="285"/>
        <v>#REF!</v>
      </c>
      <c r="I2710" s="1597" t="e">
        <f t="shared" si="286"/>
        <v>#REF!</v>
      </c>
      <c r="J2710" s="1644" t="e">
        <f t="shared" si="287"/>
        <v>#REF!</v>
      </c>
      <c r="M2710" s="1545"/>
      <c r="N2710" s="1545"/>
    </row>
    <row r="2711" spans="1:93" ht="15.5">
      <c r="A2711" s="1598">
        <v>62.918999999999997</v>
      </c>
      <c r="B2711" s="1599" t="s">
        <v>3034</v>
      </c>
      <c r="C2711" s="1643" t="e">
        <f>+SUMIF(#REF!,Final!A2711,#REF!)</f>
        <v>#REF!</v>
      </c>
      <c r="D2711" s="1597" t="e">
        <f>+SUMIF(#REF!,Final!A2711,#REF!)</f>
        <v>#REF!</v>
      </c>
      <c r="E2711" s="1643" t="e">
        <f>SUMIF(#REF!,Final!A2711,#REF!)</f>
        <v>#REF!</v>
      </c>
      <c r="F2711" s="1644" t="e">
        <f>SUMIF(#REF!,Final!A2711,#REF!)</f>
        <v>#REF!</v>
      </c>
      <c r="G2711" s="1597" t="e">
        <f t="shared" si="284"/>
        <v>#REF!</v>
      </c>
      <c r="H2711" s="1644" t="e">
        <f t="shared" si="285"/>
        <v>#REF!</v>
      </c>
      <c r="I2711" s="1597" t="e">
        <f t="shared" si="286"/>
        <v>#REF!</v>
      </c>
      <c r="J2711" s="1644" t="e">
        <f t="shared" si="287"/>
        <v>#REF!</v>
      </c>
      <c r="M2711" s="1545"/>
      <c r="N2711" s="1545"/>
    </row>
    <row r="2712" spans="1:93" ht="15.5">
      <c r="A2712" s="1598">
        <v>62.92</v>
      </c>
      <c r="B2712" s="1599" t="s">
        <v>3035</v>
      </c>
      <c r="C2712" s="1643" t="e">
        <f>+SUMIF(#REF!,Final!A2712,#REF!)</f>
        <v>#REF!</v>
      </c>
      <c r="D2712" s="1597" t="e">
        <f>+SUMIF(#REF!,Final!A2712,#REF!)</f>
        <v>#REF!</v>
      </c>
      <c r="E2712" s="1643" t="e">
        <f>SUMIF(#REF!,Final!A2712,#REF!)</f>
        <v>#REF!</v>
      </c>
      <c r="F2712" s="1644" t="e">
        <f>SUMIF(#REF!,Final!A2712,#REF!)</f>
        <v>#REF!</v>
      </c>
      <c r="G2712" s="1597" t="e">
        <f t="shared" si="284"/>
        <v>#REF!</v>
      </c>
      <c r="H2712" s="1644" t="e">
        <f t="shared" si="285"/>
        <v>#REF!</v>
      </c>
      <c r="I2712" s="1597" t="e">
        <f t="shared" si="286"/>
        <v>#REF!</v>
      </c>
      <c r="J2712" s="1644" t="e">
        <f t="shared" si="287"/>
        <v>#REF!</v>
      </c>
      <c r="M2712" s="1545"/>
      <c r="N2712" s="1545"/>
    </row>
    <row r="2713" spans="1:93" ht="15.5">
      <c r="A2713" s="1598">
        <v>62.923999999999999</v>
      </c>
      <c r="B2713" s="1599" t="s">
        <v>3036</v>
      </c>
      <c r="C2713" s="1643" t="e">
        <f>+SUMIF(#REF!,Final!A2713,#REF!)</f>
        <v>#REF!</v>
      </c>
      <c r="D2713" s="1597" t="e">
        <f>+SUMIF(#REF!,Final!A2713,#REF!)</f>
        <v>#REF!</v>
      </c>
      <c r="E2713" s="1643" t="e">
        <f>SUMIF(#REF!,Final!A2713,#REF!)</f>
        <v>#REF!</v>
      </c>
      <c r="F2713" s="1644" t="e">
        <f>SUMIF(#REF!,Final!A2713,#REF!)</f>
        <v>#REF!</v>
      </c>
      <c r="G2713" s="1597" t="e">
        <f t="shared" si="284"/>
        <v>#REF!</v>
      </c>
      <c r="H2713" s="1644" t="e">
        <f t="shared" si="285"/>
        <v>#REF!</v>
      </c>
      <c r="I2713" s="1597" t="e">
        <f t="shared" si="286"/>
        <v>#REF!</v>
      </c>
      <c r="J2713" s="1644" t="e">
        <f t="shared" si="287"/>
        <v>#REF!</v>
      </c>
      <c r="M2713" s="1545"/>
      <c r="N2713" s="1545"/>
    </row>
    <row r="2714" spans="1:93" ht="15.5">
      <c r="A2714" s="1598">
        <v>62.927</v>
      </c>
      <c r="B2714" s="1599" t="s">
        <v>3037</v>
      </c>
      <c r="C2714" s="1643" t="e">
        <f>+SUMIF(#REF!,Final!A2714,#REF!)</f>
        <v>#REF!</v>
      </c>
      <c r="D2714" s="1597" t="e">
        <f>+SUMIF(#REF!,Final!A2714,#REF!)</f>
        <v>#REF!</v>
      </c>
      <c r="E2714" s="1643" t="e">
        <f>SUMIF(#REF!,Final!A2714,#REF!)</f>
        <v>#REF!</v>
      </c>
      <c r="F2714" s="1644" t="e">
        <f>SUMIF(#REF!,Final!A2714,#REF!)</f>
        <v>#REF!</v>
      </c>
      <c r="G2714" s="1597" t="e">
        <f t="shared" si="284"/>
        <v>#REF!</v>
      </c>
      <c r="H2714" s="1644" t="e">
        <f t="shared" si="285"/>
        <v>#REF!</v>
      </c>
      <c r="I2714" s="1597" t="e">
        <f t="shared" si="286"/>
        <v>#REF!</v>
      </c>
      <c r="J2714" s="1644" t="e">
        <f t="shared" si="287"/>
        <v>#REF!</v>
      </c>
      <c r="M2714" s="1545"/>
      <c r="N2714" s="1545"/>
    </row>
    <row r="2715" spans="1:93" ht="15.5">
      <c r="A2715" s="1598">
        <v>62.927999999999997</v>
      </c>
      <c r="B2715" s="1599" t="s">
        <v>3038</v>
      </c>
      <c r="C2715" s="1643" t="e">
        <f>+SUMIF(#REF!,Final!A2715,#REF!)</f>
        <v>#REF!</v>
      </c>
      <c r="D2715" s="1597" t="e">
        <f>+SUMIF(#REF!,Final!A2715,#REF!)</f>
        <v>#REF!</v>
      </c>
      <c r="E2715" s="1643" t="e">
        <f>SUMIF(#REF!,Final!A2715,#REF!)</f>
        <v>#REF!</v>
      </c>
      <c r="F2715" s="1644" t="e">
        <f>SUMIF(#REF!,Final!A2715,#REF!)</f>
        <v>#REF!</v>
      </c>
      <c r="G2715" s="1597" t="e">
        <f t="shared" si="284"/>
        <v>#REF!</v>
      </c>
      <c r="H2715" s="1644" t="e">
        <f t="shared" si="285"/>
        <v>#REF!</v>
      </c>
      <c r="I2715" s="1597" t="e">
        <f t="shared" si="286"/>
        <v>#REF!</v>
      </c>
      <c r="J2715" s="1644" t="e">
        <f t="shared" si="287"/>
        <v>#REF!</v>
      </c>
      <c r="M2715" s="1545"/>
      <c r="N2715" s="1545"/>
    </row>
    <row r="2716" spans="1:93" ht="15.5">
      <c r="A2716" s="1598">
        <v>62.929000000000002</v>
      </c>
      <c r="B2716" s="1599" t="s">
        <v>3510</v>
      </c>
      <c r="C2716" s="1643" t="e">
        <f>+SUMIF(#REF!,Final!A2716,#REF!)</f>
        <v>#REF!</v>
      </c>
      <c r="D2716" s="1597" t="e">
        <f>+SUMIF(#REF!,Final!A2716,#REF!)</f>
        <v>#REF!</v>
      </c>
      <c r="E2716" s="1643" t="e">
        <f>SUMIF(#REF!,Final!A2716,#REF!)</f>
        <v>#REF!</v>
      </c>
      <c r="F2716" s="1644" t="e">
        <f>SUMIF(#REF!,Final!A2716,#REF!)</f>
        <v>#REF!</v>
      </c>
      <c r="G2716" s="1597" t="e">
        <f t="shared" si="284"/>
        <v>#REF!</v>
      </c>
      <c r="H2716" s="1644" t="e">
        <f t="shared" si="285"/>
        <v>#REF!</v>
      </c>
      <c r="I2716" s="1597" t="e">
        <f t="shared" si="286"/>
        <v>#REF!</v>
      </c>
      <c r="J2716" s="1644" t="e">
        <f t="shared" si="287"/>
        <v>#REF!</v>
      </c>
      <c r="M2716" s="1545"/>
      <c r="N2716" s="1545"/>
    </row>
    <row r="2717" spans="1:93" ht="15.5">
      <c r="A2717" s="1600">
        <v>62.93</v>
      </c>
      <c r="B2717" s="1599" t="s">
        <v>3511</v>
      </c>
      <c r="C2717" s="1643" t="e">
        <f>+SUMIF(#REF!,Final!A2717,#REF!)</f>
        <v>#REF!</v>
      </c>
      <c r="D2717" s="1597" t="e">
        <f>+SUMIF(#REF!,Final!A2717,#REF!)</f>
        <v>#REF!</v>
      </c>
      <c r="E2717" s="1643" t="e">
        <f>SUMIF(#REF!,Final!A2717,#REF!)</f>
        <v>#REF!</v>
      </c>
      <c r="F2717" s="1644" t="e">
        <f>SUMIF(#REF!,Final!A2717,#REF!)</f>
        <v>#REF!</v>
      </c>
      <c r="G2717" s="1597" t="e">
        <f t="shared" si="284"/>
        <v>#REF!</v>
      </c>
      <c r="H2717" s="1644" t="e">
        <f t="shared" si="285"/>
        <v>#REF!</v>
      </c>
      <c r="I2717" s="1597" t="e">
        <f t="shared" si="286"/>
        <v>#REF!</v>
      </c>
      <c r="J2717" s="1644" t="e">
        <f t="shared" si="287"/>
        <v>#REF!</v>
      </c>
      <c r="M2717" s="1545"/>
      <c r="N2717" s="1545"/>
    </row>
    <row r="2718" spans="1:93" ht="15.5">
      <c r="A2718" s="1598">
        <v>62.997999999999998</v>
      </c>
      <c r="B2718" s="1599" t="s">
        <v>4786</v>
      </c>
      <c r="C2718" s="1643" t="e">
        <f>+SUMIF(#REF!,Final!A2718,#REF!)</f>
        <v>#REF!</v>
      </c>
      <c r="D2718" s="1597" t="e">
        <f>+SUMIF(#REF!,Final!A2718,#REF!)</f>
        <v>#REF!</v>
      </c>
      <c r="E2718" s="1643" t="e">
        <f>SUMIF(#REF!,Final!A2718,#REF!)</f>
        <v>#REF!</v>
      </c>
      <c r="F2718" s="1644" t="e">
        <f>SUMIF(#REF!,Final!A2718,#REF!)</f>
        <v>#REF!</v>
      </c>
      <c r="G2718" s="1597" t="e">
        <f t="shared" si="284"/>
        <v>#REF!</v>
      </c>
      <c r="H2718" s="1644" t="e">
        <f t="shared" si="285"/>
        <v>#REF!</v>
      </c>
      <c r="I2718" s="1597" t="e">
        <f t="shared" si="286"/>
        <v>#REF!</v>
      </c>
      <c r="J2718" s="1644" t="e">
        <f t="shared" si="287"/>
        <v>#REF!</v>
      </c>
      <c r="M2718" s="1545"/>
      <c r="N2718" s="1545"/>
    </row>
    <row r="2719" spans="1:93" ht="15.5">
      <c r="A2719" s="1598">
        <v>62.999000000000002</v>
      </c>
      <c r="B2719" s="1599" t="s">
        <v>3039</v>
      </c>
      <c r="C2719" s="1643" t="e">
        <f>+SUMIF(#REF!,Final!A2719,#REF!)</f>
        <v>#REF!</v>
      </c>
      <c r="D2719" s="1597" t="e">
        <f>+SUMIF(#REF!,Final!A2719,#REF!)</f>
        <v>#REF!</v>
      </c>
      <c r="E2719" s="1643" t="e">
        <f>SUMIF(#REF!,Final!A2719,#REF!)</f>
        <v>#REF!</v>
      </c>
      <c r="F2719" s="1644" t="e">
        <f>SUMIF(#REF!,Final!A2719,#REF!)</f>
        <v>#REF!</v>
      </c>
      <c r="G2719" s="1597" t="e">
        <f t="shared" si="284"/>
        <v>#REF!</v>
      </c>
      <c r="H2719" s="1644" t="e">
        <f t="shared" si="285"/>
        <v>#REF!</v>
      </c>
      <c r="I2719" s="1597" t="e">
        <f t="shared" si="286"/>
        <v>#REF!</v>
      </c>
      <c r="J2719" s="1644" t="e">
        <f t="shared" si="287"/>
        <v>#REF!</v>
      </c>
      <c r="M2719" s="1545"/>
      <c r="N2719" s="1545"/>
    </row>
    <row r="2720" spans="1:93" s="1552" customFormat="1" ht="15.5">
      <c r="A2720" s="1598"/>
      <c r="B2720" s="1599" t="s">
        <v>1747</v>
      </c>
      <c r="C2720" s="1643" t="e">
        <f>+SUMIF(#REF!,Final!A2720,#REF!)</f>
        <v>#REF!</v>
      </c>
      <c r="D2720" s="1597" t="e">
        <f>+SUMIF(#REF!,Final!A2720,#REF!)</f>
        <v>#REF!</v>
      </c>
      <c r="E2720" s="1643" t="e">
        <f>SUMIF(#REF!,Final!A2720,#REF!)</f>
        <v>#REF!</v>
      </c>
      <c r="F2720" s="1644" t="e">
        <f>SUMIF(#REF!,Final!A2720,#REF!)</f>
        <v>#REF!</v>
      </c>
      <c r="G2720" s="1597" t="e">
        <f t="shared" si="284"/>
        <v>#REF!</v>
      </c>
      <c r="H2720" s="1644" t="e">
        <f t="shared" si="285"/>
        <v>#REF!</v>
      </c>
      <c r="I2720" s="1597" t="e">
        <f t="shared" si="286"/>
        <v>#REF!</v>
      </c>
      <c r="J2720" s="1644" t="e">
        <f t="shared" si="287"/>
        <v>#REF!</v>
      </c>
      <c r="K2720" s="1539"/>
      <c r="L2720" s="1539"/>
      <c r="M2720" s="1545"/>
      <c r="N2720" s="1545"/>
      <c r="O2720" s="1539"/>
      <c r="P2720" s="1539"/>
      <c r="Q2720" s="1539"/>
      <c r="R2720" s="1539"/>
      <c r="S2720" s="1539"/>
      <c r="T2720" s="1539"/>
      <c r="U2720" s="1539"/>
      <c r="V2720" s="1539"/>
      <c r="W2720" s="1539"/>
      <c r="X2720" s="1539"/>
      <c r="Y2720" s="1539"/>
      <c r="Z2720" s="1539"/>
      <c r="AA2720" s="1539"/>
      <c r="AB2720" s="1539"/>
      <c r="AC2720" s="1539"/>
      <c r="AD2720" s="1539"/>
      <c r="AE2720" s="1539"/>
      <c r="AF2720" s="1539"/>
      <c r="AG2720" s="1539"/>
      <c r="AH2720" s="1539"/>
      <c r="AI2720" s="1539"/>
      <c r="AJ2720" s="1539"/>
      <c r="AK2720" s="1539"/>
      <c r="AL2720" s="1539"/>
      <c r="AM2720" s="1539"/>
      <c r="AN2720" s="1539"/>
      <c r="AO2720" s="1539"/>
      <c r="AP2720" s="1539"/>
      <c r="AQ2720" s="1539"/>
      <c r="AR2720" s="1539"/>
      <c r="AS2720" s="1539"/>
      <c r="AT2720" s="1539"/>
      <c r="AU2720" s="1539"/>
      <c r="AV2720" s="1539"/>
      <c r="AW2720" s="1539"/>
      <c r="AX2720" s="1539"/>
      <c r="AY2720" s="1539"/>
      <c r="AZ2720" s="1539"/>
      <c r="BA2720" s="1539"/>
      <c r="BB2720" s="1539"/>
      <c r="BC2720" s="1539"/>
      <c r="BD2720" s="1539"/>
      <c r="BE2720" s="1539"/>
      <c r="BF2720" s="1539"/>
      <c r="BG2720" s="1539"/>
      <c r="BH2720" s="1539"/>
      <c r="BI2720" s="1539"/>
      <c r="BJ2720" s="1539"/>
      <c r="BK2720" s="1539"/>
      <c r="BL2720" s="1539"/>
      <c r="BM2720" s="1539"/>
      <c r="BN2720" s="1539"/>
      <c r="BO2720" s="1539"/>
      <c r="BP2720" s="1539"/>
      <c r="BQ2720" s="1539"/>
      <c r="BR2720" s="1539"/>
      <c r="BS2720" s="1539"/>
      <c r="BT2720" s="1539"/>
      <c r="BU2720" s="1539"/>
      <c r="BV2720" s="1539"/>
      <c r="BW2720" s="1539"/>
      <c r="BX2720" s="1539"/>
      <c r="BY2720" s="1539"/>
      <c r="BZ2720" s="1539"/>
      <c r="CA2720" s="1539"/>
      <c r="CB2720" s="1539"/>
      <c r="CC2720" s="1539"/>
      <c r="CD2720" s="1539"/>
      <c r="CE2720" s="1539"/>
      <c r="CF2720" s="1539"/>
      <c r="CG2720" s="1539"/>
      <c r="CH2720" s="1539"/>
      <c r="CI2720" s="1539"/>
      <c r="CJ2720" s="1539"/>
      <c r="CK2720" s="1539"/>
      <c r="CL2720" s="1539"/>
      <c r="CM2720" s="1539"/>
      <c r="CN2720" s="1539"/>
      <c r="CO2720" s="1539"/>
    </row>
    <row r="2721" spans="1:93" s="1552" customFormat="1" ht="15.5">
      <c r="A2721" s="1598"/>
      <c r="B2721" s="1599" t="s">
        <v>1760</v>
      </c>
      <c r="C2721" s="1643" t="e">
        <f>+SUMIF(#REF!,Final!A2721,#REF!)</f>
        <v>#REF!</v>
      </c>
      <c r="D2721" s="1597" t="e">
        <f>+SUMIF(#REF!,Final!A2721,#REF!)</f>
        <v>#REF!</v>
      </c>
      <c r="E2721" s="1643" t="e">
        <f>SUMIF(#REF!,Final!A2721,#REF!)</f>
        <v>#REF!</v>
      </c>
      <c r="F2721" s="1644" t="e">
        <f>SUMIF(#REF!,Final!A2721,#REF!)</f>
        <v>#REF!</v>
      </c>
      <c r="G2721" s="1597" t="e">
        <f t="shared" si="284"/>
        <v>#REF!</v>
      </c>
      <c r="H2721" s="1644" t="e">
        <f t="shared" si="285"/>
        <v>#REF!</v>
      </c>
      <c r="I2721" s="1597" t="e">
        <f t="shared" si="286"/>
        <v>#REF!</v>
      </c>
      <c r="J2721" s="1644" t="e">
        <f t="shared" si="287"/>
        <v>#REF!</v>
      </c>
      <c r="K2721" s="1539"/>
      <c r="L2721" s="1539"/>
      <c r="M2721" s="1545"/>
      <c r="N2721" s="1545"/>
      <c r="O2721" s="1539"/>
      <c r="P2721" s="1539"/>
      <c r="Q2721" s="1539"/>
      <c r="R2721" s="1539"/>
      <c r="S2721" s="1539"/>
      <c r="T2721" s="1539"/>
      <c r="U2721" s="1539"/>
      <c r="V2721" s="1539"/>
      <c r="W2721" s="1539"/>
      <c r="X2721" s="1539"/>
      <c r="Y2721" s="1539"/>
      <c r="Z2721" s="1539"/>
      <c r="AA2721" s="1539"/>
      <c r="AB2721" s="1539"/>
      <c r="AC2721" s="1539"/>
      <c r="AD2721" s="1539"/>
      <c r="AE2721" s="1539"/>
      <c r="AF2721" s="1539"/>
      <c r="AG2721" s="1539"/>
      <c r="AH2721" s="1539"/>
      <c r="AI2721" s="1539"/>
      <c r="AJ2721" s="1539"/>
      <c r="AK2721" s="1539"/>
      <c r="AL2721" s="1539"/>
      <c r="AM2721" s="1539"/>
      <c r="AN2721" s="1539"/>
      <c r="AO2721" s="1539"/>
      <c r="AP2721" s="1539"/>
      <c r="AQ2721" s="1539"/>
      <c r="AR2721" s="1539"/>
      <c r="AS2721" s="1539"/>
      <c r="AT2721" s="1539"/>
      <c r="AU2721" s="1539"/>
      <c r="AV2721" s="1539"/>
      <c r="AW2721" s="1539"/>
      <c r="AX2721" s="1539"/>
      <c r="AY2721" s="1539"/>
      <c r="AZ2721" s="1539"/>
      <c r="BA2721" s="1539"/>
      <c r="BB2721" s="1539"/>
      <c r="BC2721" s="1539"/>
      <c r="BD2721" s="1539"/>
      <c r="BE2721" s="1539"/>
      <c r="BF2721" s="1539"/>
      <c r="BG2721" s="1539"/>
      <c r="BH2721" s="1539"/>
      <c r="BI2721" s="1539"/>
      <c r="BJ2721" s="1539"/>
      <c r="BK2721" s="1539"/>
      <c r="BL2721" s="1539"/>
      <c r="BM2721" s="1539"/>
      <c r="BN2721" s="1539"/>
      <c r="BO2721" s="1539"/>
      <c r="BP2721" s="1539"/>
      <c r="BQ2721" s="1539"/>
      <c r="BR2721" s="1539"/>
      <c r="BS2721" s="1539"/>
      <c r="BT2721" s="1539"/>
      <c r="BU2721" s="1539"/>
      <c r="BV2721" s="1539"/>
      <c r="BW2721" s="1539"/>
      <c r="BX2721" s="1539"/>
      <c r="BY2721" s="1539"/>
      <c r="BZ2721" s="1539"/>
      <c r="CA2721" s="1539"/>
      <c r="CB2721" s="1539"/>
      <c r="CC2721" s="1539"/>
      <c r="CD2721" s="1539"/>
      <c r="CE2721" s="1539"/>
      <c r="CF2721" s="1539"/>
      <c r="CG2721" s="1539"/>
      <c r="CH2721" s="1539"/>
      <c r="CI2721" s="1539"/>
      <c r="CJ2721" s="1539"/>
      <c r="CK2721" s="1539"/>
      <c r="CL2721" s="1539"/>
      <c r="CM2721" s="1539"/>
      <c r="CN2721" s="1539"/>
      <c r="CO2721" s="1539"/>
    </row>
    <row r="2722" spans="1:93" s="1552" customFormat="1" ht="15.5">
      <c r="A2722" s="1882">
        <v>62.920999999999999</v>
      </c>
      <c r="B2722" s="1883" t="s">
        <v>5509</v>
      </c>
      <c r="C2722" s="1643" t="e">
        <f>+SUMIF(#REF!,Final!A2722,#REF!)</f>
        <v>#REF!</v>
      </c>
      <c r="D2722" s="1597" t="e">
        <f>+SUMIF(#REF!,Final!A2722,#REF!)</f>
        <v>#REF!</v>
      </c>
      <c r="E2722" s="1643" t="e">
        <f>SUMIF(#REF!,Final!A2722,#REF!)</f>
        <v>#REF!</v>
      </c>
      <c r="F2722" s="1644" t="e">
        <f>SUMIF(#REF!,Final!A2722,#REF!)</f>
        <v>#REF!</v>
      </c>
      <c r="G2722" s="1597" t="e">
        <f t="shared" ref="G2722:G2723" si="288">C2722+E2722</f>
        <v>#REF!</v>
      </c>
      <c r="H2722" s="1644" t="e">
        <f t="shared" ref="H2722:H2723" si="289">D2722+F2722</f>
        <v>#REF!</v>
      </c>
      <c r="I2722" s="1597" t="e">
        <f t="shared" ref="I2722:I2723" si="290">IF(G2722&gt;H2722,G2722-H2722,0)</f>
        <v>#REF!</v>
      </c>
      <c r="J2722" s="1644" t="e">
        <f t="shared" ref="J2722:J2723" si="291">IF(H2722&gt;G2722,H2722-G2722,0)</f>
        <v>#REF!</v>
      </c>
      <c r="K2722" s="1539"/>
      <c r="L2722" s="1539"/>
      <c r="M2722" s="1545"/>
      <c r="N2722" s="1545"/>
      <c r="O2722" s="1539"/>
      <c r="P2722" s="1539"/>
      <c r="Q2722" s="1539"/>
      <c r="R2722" s="1539"/>
      <c r="S2722" s="1539"/>
      <c r="T2722" s="1539"/>
      <c r="U2722" s="1539"/>
      <c r="V2722" s="1539"/>
      <c r="W2722" s="1539"/>
      <c r="X2722" s="1539"/>
      <c r="Y2722" s="1539"/>
      <c r="Z2722" s="1539"/>
      <c r="AA2722" s="1539"/>
      <c r="AB2722" s="1539"/>
      <c r="AC2722" s="1539"/>
      <c r="AD2722" s="1539"/>
      <c r="AE2722" s="1539"/>
      <c r="AF2722" s="1539"/>
      <c r="AG2722" s="1539"/>
      <c r="AH2722" s="1539"/>
      <c r="AI2722" s="1539"/>
      <c r="AJ2722" s="1539"/>
      <c r="AK2722" s="1539"/>
      <c r="AL2722" s="1539"/>
      <c r="AM2722" s="1539"/>
      <c r="AN2722" s="1539"/>
      <c r="AO2722" s="1539"/>
      <c r="AP2722" s="1539"/>
      <c r="AQ2722" s="1539"/>
      <c r="AR2722" s="1539"/>
      <c r="AS2722" s="1539"/>
      <c r="AT2722" s="1539"/>
      <c r="AU2722" s="1539"/>
      <c r="AV2722" s="1539"/>
      <c r="AW2722" s="1539"/>
      <c r="AX2722" s="1539"/>
      <c r="AY2722" s="1539"/>
      <c r="AZ2722" s="1539"/>
      <c r="BA2722" s="1539"/>
      <c r="BB2722" s="1539"/>
      <c r="BC2722" s="1539"/>
      <c r="BD2722" s="1539"/>
      <c r="BE2722" s="1539"/>
      <c r="BF2722" s="1539"/>
      <c r="BG2722" s="1539"/>
      <c r="BH2722" s="1539"/>
      <c r="BI2722" s="1539"/>
      <c r="BJ2722" s="1539"/>
      <c r="BK2722" s="1539"/>
      <c r="BL2722" s="1539"/>
      <c r="BM2722" s="1539"/>
      <c r="BN2722" s="1539"/>
      <c r="BO2722" s="1539"/>
      <c r="BP2722" s="1539"/>
      <c r="BQ2722" s="1539"/>
      <c r="BR2722" s="1539"/>
      <c r="BS2722" s="1539"/>
      <c r="BT2722" s="1539"/>
      <c r="BU2722" s="1539"/>
      <c r="BV2722" s="1539"/>
      <c r="BW2722" s="1539"/>
      <c r="BX2722" s="1539"/>
      <c r="BY2722" s="1539"/>
      <c r="BZ2722" s="1539"/>
      <c r="CA2722" s="1539"/>
      <c r="CB2722" s="1539"/>
      <c r="CC2722" s="1539"/>
      <c r="CD2722" s="1539"/>
      <c r="CE2722" s="1539"/>
      <c r="CF2722" s="1539"/>
      <c r="CG2722" s="1539"/>
      <c r="CH2722" s="1539"/>
      <c r="CI2722" s="1539"/>
      <c r="CJ2722" s="1539"/>
      <c r="CK2722" s="1539"/>
      <c r="CL2722" s="1539"/>
      <c r="CM2722" s="1539"/>
      <c r="CN2722" s="1539"/>
      <c r="CO2722" s="1539"/>
    </row>
    <row r="2723" spans="1:93" s="1552" customFormat="1" ht="15.5">
      <c r="A2723" s="1882">
        <v>62.921999999999997</v>
      </c>
      <c r="B2723" s="1883" t="s">
        <v>5510</v>
      </c>
      <c r="C2723" s="1643" t="e">
        <f>+SUMIF(#REF!,Final!A2723,#REF!)</f>
        <v>#REF!</v>
      </c>
      <c r="D2723" s="1597" t="e">
        <f>+SUMIF(#REF!,Final!A2723,#REF!)</f>
        <v>#REF!</v>
      </c>
      <c r="E2723" s="1643" t="e">
        <f>SUMIF(#REF!,Final!A2723,#REF!)</f>
        <v>#REF!</v>
      </c>
      <c r="F2723" s="1644" t="e">
        <f>SUMIF(#REF!,Final!A2723,#REF!)</f>
        <v>#REF!</v>
      </c>
      <c r="G2723" s="1597" t="e">
        <f t="shared" si="288"/>
        <v>#REF!</v>
      </c>
      <c r="H2723" s="1644" t="e">
        <f t="shared" si="289"/>
        <v>#REF!</v>
      </c>
      <c r="I2723" s="1597" t="e">
        <f t="shared" si="290"/>
        <v>#REF!</v>
      </c>
      <c r="J2723" s="1644" t="e">
        <f t="shared" si="291"/>
        <v>#REF!</v>
      </c>
      <c r="K2723" s="1539"/>
      <c r="L2723" s="1539"/>
      <c r="M2723" s="1545"/>
      <c r="N2723" s="1545"/>
      <c r="O2723" s="1539"/>
      <c r="P2723" s="1539"/>
      <c r="Q2723" s="1539"/>
      <c r="R2723" s="1539"/>
      <c r="S2723" s="1539"/>
      <c r="T2723" s="1539"/>
      <c r="U2723" s="1539"/>
      <c r="V2723" s="1539"/>
      <c r="W2723" s="1539"/>
      <c r="X2723" s="1539"/>
      <c r="Y2723" s="1539"/>
      <c r="Z2723" s="1539"/>
      <c r="AA2723" s="1539"/>
      <c r="AB2723" s="1539"/>
      <c r="AC2723" s="1539"/>
      <c r="AD2723" s="1539"/>
      <c r="AE2723" s="1539"/>
      <c r="AF2723" s="1539"/>
      <c r="AG2723" s="1539"/>
      <c r="AH2723" s="1539"/>
      <c r="AI2723" s="1539"/>
      <c r="AJ2723" s="1539"/>
      <c r="AK2723" s="1539"/>
      <c r="AL2723" s="1539"/>
      <c r="AM2723" s="1539"/>
      <c r="AN2723" s="1539"/>
      <c r="AO2723" s="1539"/>
      <c r="AP2723" s="1539"/>
      <c r="AQ2723" s="1539"/>
      <c r="AR2723" s="1539"/>
      <c r="AS2723" s="1539"/>
      <c r="AT2723" s="1539"/>
      <c r="AU2723" s="1539"/>
      <c r="AV2723" s="1539"/>
      <c r="AW2723" s="1539"/>
      <c r="AX2723" s="1539"/>
      <c r="AY2723" s="1539"/>
      <c r="AZ2723" s="1539"/>
      <c r="BA2723" s="1539"/>
      <c r="BB2723" s="1539"/>
      <c r="BC2723" s="1539"/>
      <c r="BD2723" s="1539"/>
      <c r="BE2723" s="1539"/>
      <c r="BF2723" s="1539"/>
      <c r="BG2723" s="1539"/>
      <c r="BH2723" s="1539"/>
      <c r="BI2723" s="1539"/>
      <c r="BJ2723" s="1539"/>
      <c r="BK2723" s="1539"/>
      <c r="BL2723" s="1539"/>
      <c r="BM2723" s="1539"/>
      <c r="BN2723" s="1539"/>
      <c r="BO2723" s="1539"/>
      <c r="BP2723" s="1539"/>
      <c r="BQ2723" s="1539"/>
      <c r="BR2723" s="1539"/>
      <c r="BS2723" s="1539"/>
      <c r="BT2723" s="1539"/>
      <c r="BU2723" s="1539"/>
      <c r="BV2723" s="1539"/>
      <c r="BW2723" s="1539"/>
      <c r="BX2723" s="1539"/>
      <c r="BY2723" s="1539"/>
      <c r="BZ2723" s="1539"/>
      <c r="CA2723" s="1539"/>
      <c r="CB2723" s="1539"/>
      <c r="CC2723" s="1539"/>
      <c r="CD2723" s="1539"/>
      <c r="CE2723" s="1539"/>
      <c r="CF2723" s="1539"/>
      <c r="CG2723" s="1539"/>
      <c r="CH2723" s="1539"/>
      <c r="CI2723" s="1539"/>
      <c r="CJ2723" s="1539"/>
      <c r="CK2723" s="1539"/>
      <c r="CL2723" s="1539"/>
      <c r="CM2723" s="1539"/>
      <c r="CN2723" s="1539"/>
      <c r="CO2723" s="1539"/>
    </row>
    <row r="2724" spans="1:93" s="1552" customFormat="1" ht="15.5">
      <c r="A2724" s="1598"/>
      <c r="B2724" s="1599" t="s">
        <v>3512</v>
      </c>
      <c r="C2724" s="1643" t="e">
        <f>+SUMIF(#REF!,Final!A2724,#REF!)</f>
        <v>#REF!</v>
      </c>
      <c r="D2724" s="1597" t="e">
        <f>+SUMIF(#REF!,Final!A2724,#REF!)</f>
        <v>#REF!</v>
      </c>
      <c r="E2724" s="1643" t="e">
        <f>SUMIF(#REF!,Final!A2724,#REF!)</f>
        <v>#REF!</v>
      </c>
      <c r="F2724" s="1644" t="e">
        <f>SUMIF(#REF!,Final!A2724,#REF!)</f>
        <v>#REF!</v>
      </c>
      <c r="G2724" s="1597" t="e">
        <f t="shared" si="284"/>
        <v>#REF!</v>
      </c>
      <c r="H2724" s="1644" t="e">
        <f t="shared" si="285"/>
        <v>#REF!</v>
      </c>
      <c r="I2724" s="1597" t="e">
        <f t="shared" si="286"/>
        <v>#REF!</v>
      </c>
      <c r="J2724" s="1644" t="e">
        <f t="shared" si="287"/>
        <v>#REF!</v>
      </c>
      <c r="K2724" s="1539"/>
      <c r="L2724" s="1539"/>
      <c r="M2724" s="1545"/>
      <c r="N2724" s="1545"/>
      <c r="O2724" s="1539"/>
      <c r="P2724" s="1539"/>
      <c r="Q2724" s="1539"/>
      <c r="R2724" s="1539"/>
      <c r="S2724" s="1539"/>
      <c r="T2724" s="1539"/>
      <c r="U2724" s="1539"/>
      <c r="V2724" s="1539"/>
      <c r="W2724" s="1539"/>
      <c r="X2724" s="1539"/>
      <c r="Y2724" s="1539"/>
      <c r="Z2724" s="1539"/>
      <c r="AA2724" s="1539"/>
      <c r="AB2724" s="1539"/>
      <c r="AC2724" s="1539"/>
      <c r="AD2724" s="1539"/>
      <c r="AE2724" s="1539"/>
      <c r="AF2724" s="1539"/>
      <c r="AG2724" s="1539"/>
      <c r="AH2724" s="1539"/>
      <c r="AI2724" s="1539"/>
      <c r="AJ2724" s="1539"/>
      <c r="AK2724" s="1539"/>
      <c r="AL2724" s="1539"/>
      <c r="AM2724" s="1539"/>
      <c r="AN2724" s="1539"/>
      <c r="AO2724" s="1539"/>
      <c r="AP2724" s="1539"/>
      <c r="AQ2724" s="1539"/>
      <c r="AR2724" s="1539"/>
      <c r="AS2724" s="1539"/>
      <c r="AT2724" s="1539"/>
      <c r="AU2724" s="1539"/>
      <c r="AV2724" s="1539"/>
      <c r="AW2724" s="1539"/>
      <c r="AX2724" s="1539"/>
      <c r="AY2724" s="1539"/>
      <c r="AZ2724" s="1539"/>
      <c r="BA2724" s="1539"/>
      <c r="BB2724" s="1539"/>
      <c r="BC2724" s="1539"/>
      <c r="BD2724" s="1539"/>
      <c r="BE2724" s="1539"/>
      <c r="BF2724" s="1539"/>
      <c r="BG2724" s="1539"/>
      <c r="BH2724" s="1539"/>
      <c r="BI2724" s="1539"/>
      <c r="BJ2724" s="1539"/>
      <c r="BK2724" s="1539"/>
      <c r="BL2724" s="1539"/>
      <c r="BM2724" s="1539"/>
      <c r="BN2724" s="1539"/>
      <c r="BO2724" s="1539"/>
      <c r="BP2724" s="1539"/>
      <c r="BQ2724" s="1539"/>
      <c r="BR2724" s="1539"/>
      <c r="BS2724" s="1539"/>
      <c r="BT2724" s="1539"/>
      <c r="BU2724" s="1539"/>
      <c r="BV2724" s="1539"/>
      <c r="BW2724" s="1539"/>
      <c r="BX2724" s="1539"/>
      <c r="BY2724" s="1539"/>
      <c r="BZ2724" s="1539"/>
      <c r="CA2724" s="1539"/>
      <c r="CB2724" s="1539"/>
      <c r="CC2724" s="1539"/>
      <c r="CD2724" s="1539"/>
      <c r="CE2724" s="1539"/>
      <c r="CF2724" s="1539"/>
      <c r="CG2724" s="1539"/>
      <c r="CH2724" s="1539"/>
      <c r="CI2724" s="1539"/>
      <c r="CJ2724" s="1539"/>
      <c r="CK2724" s="1539"/>
      <c r="CL2724" s="1539"/>
      <c r="CM2724" s="1539"/>
      <c r="CN2724" s="1539"/>
      <c r="CO2724" s="1539"/>
    </row>
    <row r="2725" spans="1:93" s="1552" customFormat="1" ht="15.5">
      <c r="A2725" s="1598">
        <v>22</v>
      </c>
      <c r="B2725" s="1599" t="s">
        <v>3001</v>
      </c>
      <c r="C2725" s="1643" t="e">
        <f>+SUMIF(#REF!,Final!A2725,#REF!)</f>
        <v>#REF!</v>
      </c>
      <c r="D2725" s="1597" t="e">
        <f>+SUMIF(#REF!,Final!A2725,#REF!)</f>
        <v>#REF!</v>
      </c>
      <c r="E2725" s="1643" t="e">
        <f>SUMIF(#REF!,Final!A2725,#REF!)</f>
        <v>#REF!</v>
      </c>
      <c r="F2725" s="1644" t="e">
        <f>SUMIF(#REF!,Final!A2725,#REF!)</f>
        <v>#REF!</v>
      </c>
      <c r="G2725" s="1597" t="e">
        <f t="shared" si="284"/>
        <v>#REF!</v>
      </c>
      <c r="H2725" s="1644" t="e">
        <f t="shared" si="285"/>
        <v>#REF!</v>
      </c>
      <c r="I2725" s="1597" t="e">
        <f t="shared" si="286"/>
        <v>#REF!</v>
      </c>
      <c r="J2725" s="1644" t="e">
        <f t="shared" si="287"/>
        <v>#REF!</v>
      </c>
      <c r="K2725" s="1539"/>
      <c r="L2725" s="1539"/>
      <c r="M2725" s="1545"/>
      <c r="N2725" s="1545"/>
      <c r="O2725" s="1539"/>
      <c r="P2725" s="1539"/>
      <c r="Q2725" s="1539"/>
      <c r="R2725" s="1539"/>
      <c r="S2725" s="1539"/>
      <c r="T2725" s="1539"/>
      <c r="U2725" s="1539"/>
      <c r="V2725" s="1539"/>
      <c r="W2725" s="1539"/>
      <c r="X2725" s="1539"/>
      <c r="Y2725" s="1539"/>
      <c r="Z2725" s="1539"/>
      <c r="AA2725" s="1539"/>
      <c r="AB2725" s="1539"/>
      <c r="AC2725" s="1539"/>
      <c r="AD2725" s="1539"/>
      <c r="AE2725" s="1539"/>
      <c r="AF2725" s="1539"/>
      <c r="AG2725" s="1539"/>
      <c r="AH2725" s="1539"/>
      <c r="AI2725" s="1539"/>
      <c r="AJ2725" s="1539"/>
      <c r="AK2725" s="1539"/>
      <c r="AL2725" s="1539"/>
      <c r="AM2725" s="1539"/>
      <c r="AN2725" s="1539"/>
      <c r="AO2725" s="1539"/>
      <c r="AP2725" s="1539"/>
      <c r="AQ2725" s="1539"/>
      <c r="AR2725" s="1539"/>
      <c r="AS2725" s="1539"/>
      <c r="AT2725" s="1539"/>
      <c r="AU2725" s="1539"/>
      <c r="AV2725" s="1539"/>
      <c r="AW2725" s="1539"/>
      <c r="AX2725" s="1539"/>
      <c r="AY2725" s="1539"/>
      <c r="AZ2725" s="1539"/>
      <c r="BA2725" s="1539"/>
      <c r="BB2725" s="1539"/>
      <c r="BC2725" s="1539"/>
      <c r="BD2725" s="1539"/>
      <c r="BE2725" s="1539"/>
      <c r="BF2725" s="1539"/>
      <c r="BG2725" s="1539"/>
      <c r="BH2725" s="1539"/>
      <c r="BI2725" s="1539"/>
      <c r="BJ2725" s="1539"/>
      <c r="BK2725" s="1539"/>
      <c r="BL2725" s="1539"/>
      <c r="BM2725" s="1539"/>
      <c r="BN2725" s="1539"/>
      <c r="BO2725" s="1539"/>
      <c r="BP2725" s="1539"/>
      <c r="BQ2725" s="1539"/>
      <c r="BR2725" s="1539"/>
      <c r="BS2725" s="1539"/>
      <c r="BT2725" s="1539"/>
      <c r="BU2725" s="1539"/>
      <c r="BV2725" s="1539"/>
      <c r="BW2725" s="1539"/>
      <c r="BX2725" s="1539"/>
      <c r="BY2725" s="1539"/>
      <c r="BZ2725" s="1539"/>
      <c r="CA2725" s="1539"/>
      <c r="CB2725" s="1539"/>
      <c r="CC2725" s="1539"/>
      <c r="CD2725" s="1539"/>
      <c r="CE2725" s="1539"/>
      <c r="CF2725" s="1539"/>
      <c r="CG2725" s="1539"/>
      <c r="CH2725" s="1539"/>
      <c r="CI2725" s="1539"/>
      <c r="CJ2725" s="1539"/>
      <c r="CK2725" s="1539"/>
      <c r="CL2725" s="1539"/>
      <c r="CM2725" s="1539"/>
      <c r="CN2725" s="1539"/>
      <c r="CO2725" s="1539"/>
    </row>
    <row r="2726" spans="1:93" ht="15.5">
      <c r="A2726" s="1598" t="s">
        <v>3040</v>
      </c>
      <c r="B2726" s="1599" t="s">
        <v>3041</v>
      </c>
      <c r="C2726" s="1643" t="e">
        <f>+SUMIF(#REF!,Final!A2726,#REF!)</f>
        <v>#REF!</v>
      </c>
      <c r="D2726" s="1597" t="e">
        <f>+SUMIF(#REF!,Final!A2726,#REF!)</f>
        <v>#REF!</v>
      </c>
      <c r="E2726" s="1643" t="e">
        <f>SUMIF(#REF!,Final!A2726,#REF!)</f>
        <v>#REF!</v>
      </c>
      <c r="F2726" s="1644" t="e">
        <f>SUMIF(#REF!,Final!A2726,#REF!)</f>
        <v>#REF!</v>
      </c>
      <c r="G2726" s="1597" t="e">
        <f t="shared" si="284"/>
        <v>#REF!</v>
      </c>
      <c r="H2726" s="1644" t="e">
        <f t="shared" si="285"/>
        <v>#REF!</v>
      </c>
      <c r="I2726" s="1597" t="e">
        <f t="shared" si="286"/>
        <v>#REF!</v>
      </c>
      <c r="J2726" s="1644" t="e">
        <f t="shared" si="287"/>
        <v>#REF!</v>
      </c>
      <c r="M2726" s="1545"/>
      <c r="N2726" s="1545"/>
    </row>
    <row r="2727" spans="1:93" ht="15.5">
      <c r="A2727" s="1598"/>
      <c r="B2727" s="1599"/>
      <c r="C2727" s="1643" t="e">
        <f>+SUMIF(#REF!,Final!A2727,#REF!)</f>
        <v>#REF!</v>
      </c>
      <c r="D2727" s="1597" t="e">
        <f>+SUMIF(#REF!,Final!A2727,#REF!)</f>
        <v>#REF!</v>
      </c>
      <c r="E2727" s="1643" t="e">
        <f>SUMIF(#REF!,Final!A2727,#REF!)</f>
        <v>#REF!</v>
      </c>
      <c r="F2727" s="1644" t="e">
        <f>SUMIF(#REF!,Final!A2727,#REF!)</f>
        <v>#REF!</v>
      </c>
      <c r="G2727" s="1597" t="e">
        <f t="shared" si="284"/>
        <v>#REF!</v>
      </c>
      <c r="H2727" s="1644" t="e">
        <f t="shared" si="285"/>
        <v>#REF!</v>
      </c>
      <c r="I2727" s="1597" t="e">
        <f t="shared" si="286"/>
        <v>#REF!</v>
      </c>
      <c r="J2727" s="1644" t="e">
        <f t="shared" si="287"/>
        <v>#REF!</v>
      </c>
      <c r="M2727" s="1545"/>
      <c r="N2727" s="1545"/>
    </row>
    <row r="2728" spans="1:93" s="1542" customFormat="1" ht="15.5">
      <c r="A2728" s="1598">
        <v>41</v>
      </c>
      <c r="B2728" s="1599" t="s">
        <v>3513</v>
      </c>
      <c r="C2728" s="1643" t="e">
        <f>+SUMIF(#REF!,Final!A2728,#REF!)</f>
        <v>#REF!</v>
      </c>
      <c r="D2728" s="1597" t="e">
        <f>+SUMIF(#REF!,Final!A2728,#REF!)</f>
        <v>#REF!</v>
      </c>
      <c r="E2728" s="1643" t="e">
        <f>SUMIF(#REF!,Final!A2728,#REF!)</f>
        <v>#REF!</v>
      </c>
      <c r="F2728" s="1644" t="e">
        <f>SUMIF(#REF!,Final!A2728,#REF!)</f>
        <v>#REF!</v>
      </c>
      <c r="G2728" s="1597" t="e">
        <f t="shared" si="284"/>
        <v>#REF!</v>
      </c>
      <c r="H2728" s="1644" t="e">
        <f t="shared" si="285"/>
        <v>#REF!</v>
      </c>
      <c r="I2728" s="1597" t="e">
        <f t="shared" si="286"/>
        <v>#REF!</v>
      </c>
      <c r="J2728" s="1644" t="e">
        <f t="shared" si="287"/>
        <v>#REF!</v>
      </c>
      <c r="K2728" s="1539"/>
      <c r="L2728" s="1539"/>
      <c r="M2728" s="1545"/>
      <c r="N2728" s="1545"/>
      <c r="O2728" s="1539"/>
      <c r="P2728" s="1539"/>
      <c r="Q2728" s="1539"/>
      <c r="R2728" s="1539"/>
      <c r="S2728" s="1539"/>
      <c r="T2728" s="1539"/>
      <c r="U2728" s="1539"/>
      <c r="V2728" s="1539"/>
      <c r="W2728" s="1539"/>
      <c r="X2728" s="1539"/>
      <c r="Y2728" s="1539"/>
      <c r="Z2728" s="1539"/>
      <c r="AA2728" s="1539"/>
      <c r="AB2728" s="1539"/>
      <c r="AC2728" s="1539"/>
      <c r="AD2728" s="1539"/>
      <c r="AE2728" s="1539"/>
      <c r="AF2728" s="1539"/>
      <c r="AG2728" s="1539"/>
      <c r="AH2728" s="1539"/>
      <c r="AI2728" s="1539"/>
      <c r="AJ2728" s="1539"/>
      <c r="AK2728" s="1539"/>
      <c r="AL2728" s="1539"/>
      <c r="AM2728" s="1539"/>
      <c r="AN2728" s="1539"/>
      <c r="AO2728" s="1539"/>
      <c r="AP2728" s="1539"/>
      <c r="AQ2728" s="1539"/>
      <c r="AR2728" s="1539"/>
      <c r="AS2728" s="1539"/>
      <c r="AT2728" s="1539"/>
      <c r="AU2728" s="1539"/>
      <c r="AV2728" s="1539"/>
      <c r="AW2728" s="1539"/>
      <c r="AX2728" s="1539"/>
      <c r="AY2728" s="1539"/>
      <c r="AZ2728" s="1539"/>
      <c r="BA2728" s="1539"/>
      <c r="BB2728" s="1539"/>
      <c r="BC2728" s="1539"/>
      <c r="BD2728" s="1539"/>
      <c r="BE2728" s="1539"/>
      <c r="BF2728" s="1539"/>
      <c r="BG2728" s="1539"/>
      <c r="BH2728" s="1539"/>
      <c r="BI2728" s="1539"/>
      <c r="BJ2728" s="1539"/>
      <c r="BK2728" s="1539"/>
      <c r="BL2728" s="1539"/>
      <c r="BM2728" s="1539"/>
      <c r="BN2728" s="1539"/>
      <c r="BO2728" s="1539"/>
      <c r="BP2728" s="1539"/>
      <c r="BQ2728" s="1539"/>
      <c r="BR2728" s="1539"/>
      <c r="BS2728" s="1539"/>
      <c r="BT2728" s="1539"/>
      <c r="BU2728" s="1539"/>
      <c r="BV2728" s="1539"/>
      <c r="BW2728" s="1539"/>
      <c r="BX2728" s="1539"/>
      <c r="BY2728" s="1539"/>
      <c r="BZ2728" s="1539"/>
      <c r="CA2728" s="1539"/>
      <c r="CB2728" s="1539"/>
      <c r="CC2728" s="1539"/>
      <c r="CD2728" s="1539"/>
      <c r="CE2728" s="1539"/>
      <c r="CF2728" s="1539"/>
      <c r="CG2728" s="1539"/>
      <c r="CH2728" s="1539"/>
      <c r="CI2728" s="1539"/>
      <c r="CJ2728" s="1539"/>
      <c r="CK2728" s="1539"/>
      <c r="CL2728" s="1539"/>
      <c r="CM2728" s="1539"/>
      <c r="CN2728" s="1539"/>
      <c r="CO2728" s="1539"/>
    </row>
    <row r="2729" spans="1:93" s="1542" customFormat="1" ht="15.5">
      <c r="A2729" s="1598" t="s">
        <v>1102</v>
      </c>
      <c r="B2729" s="1599" t="s">
        <v>3514</v>
      </c>
      <c r="C2729" s="1643" t="e">
        <f>+SUMIF(#REF!,Final!A2729,#REF!)</f>
        <v>#REF!</v>
      </c>
      <c r="D2729" s="1597" t="e">
        <f>+SUMIF(#REF!,Final!A2729,#REF!)</f>
        <v>#REF!</v>
      </c>
      <c r="E2729" s="1643" t="e">
        <f>SUMIF(#REF!,Final!A2729,#REF!)</f>
        <v>#REF!</v>
      </c>
      <c r="F2729" s="1644" t="e">
        <f>SUMIF(#REF!,Final!A2729,#REF!)</f>
        <v>#REF!</v>
      </c>
      <c r="G2729" s="1597" t="e">
        <f t="shared" si="284"/>
        <v>#REF!</v>
      </c>
      <c r="H2729" s="1644" t="e">
        <f t="shared" si="285"/>
        <v>#REF!</v>
      </c>
      <c r="I2729" s="1597" t="e">
        <f t="shared" si="286"/>
        <v>#REF!</v>
      </c>
      <c r="J2729" s="1644" t="e">
        <f t="shared" si="287"/>
        <v>#REF!</v>
      </c>
      <c r="K2729" s="1539"/>
      <c r="L2729" s="1539"/>
      <c r="M2729" s="1545"/>
      <c r="N2729" s="1545"/>
      <c r="O2729" s="1539"/>
      <c r="P2729" s="1539"/>
      <c r="Q2729" s="1539"/>
      <c r="R2729" s="1539"/>
      <c r="S2729" s="1539"/>
      <c r="T2729" s="1539"/>
      <c r="U2729" s="1539"/>
      <c r="V2729" s="1539"/>
      <c r="W2729" s="1539"/>
      <c r="X2729" s="1539"/>
      <c r="Y2729" s="1539"/>
      <c r="Z2729" s="1539"/>
      <c r="AA2729" s="1539"/>
      <c r="AB2729" s="1539"/>
      <c r="AC2729" s="1539"/>
      <c r="AD2729" s="1539"/>
      <c r="AE2729" s="1539"/>
      <c r="AF2729" s="1539"/>
      <c r="AG2729" s="1539"/>
      <c r="AH2729" s="1539"/>
      <c r="AI2729" s="1539"/>
      <c r="AJ2729" s="1539"/>
      <c r="AK2729" s="1539"/>
      <c r="AL2729" s="1539"/>
      <c r="AM2729" s="1539"/>
      <c r="AN2729" s="1539"/>
      <c r="AO2729" s="1539"/>
      <c r="AP2729" s="1539"/>
      <c r="AQ2729" s="1539"/>
      <c r="AR2729" s="1539"/>
      <c r="AS2729" s="1539"/>
      <c r="AT2729" s="1539"/>
      <c r="AU2729" s="1539"/>
      <c r="AV2729" s="1539"/>
      <c r="AW2729" s="1539"/>
      <c r="AX2729" s="1539"/>
      <c r="AY2729" s="1539"/>
      <c r="AZ2729" s="1539"/>
      <c r="BA2729" s="1539"/>
      <c r="BB2729" s="1539"/>
      <c r="BC2729" s="1539"/>
      <c r="BD2729" s="1539"/>
      <c r="BE2729" s="1539"/>
      <c r="BF2729" s="1539"/>
      <c r="BG2729" s="1539"/>
      <c r="BH2729" s="1539"/>
      <c r="BI2729" s="1539"/>
      <c r="BJ2729" s="1539"/>
      <c r="BK2729" s="1539"/>
      <c r="BL2729" s="1539"/>
      <c r="BM2729" s="1539"/>
      <c r="BN2729" s="1539"/>
      <c r="BO2729" s="1539"/>
      <c r="BP2729" s="1539"/>
      <c r="BQ2729" s="1539"/>
      <c r="BR2729" s="1539"/>
      <c r="BS2729" s="1539"/>
      <c r="BT2729" s="1539"/>
      <c r="BU2729" s="1539"/>
      <c r="BV2729" s="1539"/>
      <c r="BW2729" s="1539"/>
      <c r="BX2729" s="1539"/>
      <c r="BY2729" s="1539"/>
      <c r="BZ2729" s="1539"/>
      <c r="CA2729" s="1539"/>
      <c r="CB2729" s="1539"/>
      <c r="CC2729" s="1539"/>
      <c r="CD2729" s="1539"/>
      <c r="CE2729" s="1539"/>
      <c r="CF2729" s="1539"/>
      <c r="CG2729" s="1539"/>
      <c r="CH2729" s="1539"/>
      <c r="CI2729" s="1539"/>
      <c r="CJ2729" s="1539"/>
      <c r="CK2729" s="1539"/>
      <c r="CL2729" s="1539"/>
      <c r="CM2729" s="1539"/>
      <c r="CN2729" s="1539"/>
      <c r="CO2729" s="1539"/>
    </row>
    <row r="2730" spans="1:93" ht="15.5">
      <c r="A2730" s="1598">
        <v>65.209999999999994</v>
      </c>
      <c r="B2730" s="1599" t="s">
        <v>3515</v>
      </c>
      <c r="C2730" s="1643" t="e">
        <f>+SUMIF(#REF!,Final!A2730,#REF!)</f>
        <v>#REF!</v>
      </c>
      <c r="D2730" s="1597" t="e">
        <f>+SUMIF(#REF!,Final!A2730,#REF!)</f>
        <v>#REF!</v>
      </c>
      <c r="E2730" s="1643" t="e">
        <f>SUMIF(#REF!,Final!A2730,#REF!)</f>
        <v>#REF!</v>
      </c>
      <c r="F2730" s="1644" t="e">
        <f>SUMIF(#REF!,Final!A2730,#REF!)</f>
        <v>#REF!</v>
      </c>
      <c r="G2730" s="1597" t="e">
        <f t="shared" si="284"/>
        <v>#REF!</v>
      </c>
      <c r="H2730" s="1644" t="e">
        <f t="shared" si="285"/>
        <v>#REF!</v>
      </c>
      <c r="I2730" s="1597" t="e">
        <f t="shared" si="286"/>
        <v>#REF!</v>
      </c>
      <c r="J2730" s="1644" t="e">
        <f t="shared" si="287"/>
        <v>#REF!</v>
      </c>
      <c r="M2730" s="1545"/>
      <c r="N2730" s="1545"/>
    </row>
    <row r="2731" spans="1:93" s="1554" customFormat="1" ht="15.5">
      <c r="A2731" s="1598">
        <v>65.22</v>
      </c>
      <c r="B2731" s="1599" t="s">
        <v>3516</v>
      </c>
      <c r="C2731" s="1643" t="e">
        <f>+SUMIF(#REF!,Final!A2731,#REF!)</f>
        <v>#REF!</v>
      </c>
      <c r="D2731" s="1597" t="e">
        <f>+SUMIF(#REF!,Final!A2731,#REF!)</f>
        <v>#REF!</v>
      </c>
      <c r="E2731" s="1643" t="e">
        <f>SUMIF(#REF!,Final!A2731,#REF!)</f>
        <v>#REF!</v>
      </c>
      <c r="F2731" s="1644" t="e">
        <f>SUMIF(#REF!,Final!A2731,#REF!)</f>
        <v>#REF!</v>
      </c>
      <c r="G2731" s="1597" t="e">
        <f t="shared" si="284"/>
        <v>#REF!</v>
      </c>
      <c r="H2731" s="1644" t="e">
        <f t="shared" si="285"/>
        <v>#REF!</v>
      </c>
      <c r="I2731" s="1597" t="e">
        <f t="shared" si="286"/>
        <v>#REF!</v>
      </c>
      <c r="J2731" s="1644" t="e">
        <f t="shared" si="287"/>
        <v>#REF!</v>
      </c>
      <c r="K2731" s="1539"/>
      <c r="L2731" s="1539"/>
      <c r="M2731" s="1545"/>
      <c r="N2731" s="1545"/>
      <c r="O2731" s="1607"/>
      <c r="P2731" s="1607"/>
      <c r="Q2731" s="1607"/>
      <c r="R2731" s="1607"/>
      <c r="S2731" s="1607"/>
      <c r="T2731" s="1607"/>
      <c r="U2731" s="1607"/>
      <c r="V2731" s="1607"/>
      <c r="W2731" s="1607"/>
      <c r="X2731" s="1607"/>
      <c r="Y2731" s="1607"/>
      <c r="Z2731" s="1607"/>
      <c r="AA2731" s="1607"/>
      <c r="AB2731" s="1607"/>
      <c r="AC2731" s="1607"/>
      <c r="AD2731" s="1607"/>
      <c r="AE2731" s="1607"/>
      <c r="AF2731" s="1607"/>
      <c r="AG2731" s="1607"/>
      <c r="AH2731" s="1607"/>
      <c r="AI2731" s="1607"/>
      <c r="AJ2731" s="1607"/>
      <c r="AK2731" s="1607"/>
      <c r="AL2731" s="1607"/>
      <c r="AM2731" s="1607"/>
      <c r="AN2731" s="1607"/>
      <c r="AO2731" s="1607"/>
      <c r="AP2731" s="1607"/>
      <c r="AQ2731" s="1607"/>
      <c r="AR2731" s="1607"/>
      <c r="AS2731" s="1607"/>
      <c r="AT2731" s="1607"/>
      <c r="AU2731" s="1607"/>
      <c r="AV2731" s="1607"/>
      <c r="AW2731" s="1607"/>
      <c r="AX2731" s="1607"/>
      <c r="AY2731" s="1607"/>
      <c r="AZ2731" s="1607"/>
      <c r="BA2731" s="1607"/>
      <c r="BB2731" s="1607"/>
      <c r="BC2731" s="1607"/>
      <c r="BD2731" s="1607"/>
      <c r="BE2731" s="1607"/>
      <c r="BF2731" s="1607"/>
      <c r="BG2731" s="1607"/>
      <c r="BH2731" s="1607"/>
      <c r="BI2731" s="1607"/>
      <c r="BJ2731" s="1607"/>
      <c r="BK2731" s="1607"/>
      <c r="BL2731" s="1607"/>
      <c r="BM2731" s="1607"/>
      <c r="BN2731" s="1607"/>
      <c r="BO2731" s="1607"/>
      <c r="BP2731" s="1607"/>
      <c r="BQ2731" s="1607"/>
      <c r="BR2731" s="1607"/>
      <c r="BS2731" s="1607"/>
      <c r="BT2731" s="1607"/>
      <c r="BU2731" s="1607"/>
      <c r="BV2731" s="1607"/>
      <c r="BW2731" s="1607"/>
      <c r="BX2731" s="1607"/>
      <c r="BY2731" s="1607"/>
      <c r="BZ2731" s="1607"/>
      <c r="CA2731" s="1607"/>
      <c r="CB2731" s="1607"/>
      <c r="CC2731" s="1607"/>
      <c r="CD2731" s="1607"/>
      <c r="CE2731" s="1607"/>
      <c r="CF2731" s="1607"/>
      <c r="CG2731" s="1607"/>
      <c r="CH2731" s="1607"/>
      <c r="CI2731" s="1607"/>
      <c r="CJ2731" s="1607"/>
      <c r="CK2731" s="1607"/>
      <c r="CL2731" s="1607"/>
      <c r="CM2731" s="1607"/>
      <c r="CN2731" s="1607"/>
      <c r="CO2731" s="1607"/>
    </row>
    <row r="2732" spans="1:93" s="1552" customFormat="1" ht="15.5">
      <c r="A2732" s="1598"/>
      <c r="B2732" s="1599" t="s">
        <v>1747</v>
      </c>
      <c r="C2732" s="1643" t="e">
        <f>+SUMIF(#REF!,Final!A2732,#REF!)</f>
        <v>#REF!</v>
      </c>
      <c r="D2732" s="1597" t="e">
        <f>+SUMIF(#REF!,Final!A2732,#REF!)</f>
        <v>#REF!</v>
      </c>
      <c r="E2732" s="1643" t="e">
        <f>SUMIF(#REF!,Final!A2732,#REF!)</f>
        <v>#REF!</v>
      </c>
      <c r="F2732" s="1644" t="e">
        <f>SUMIF(#REF!,Final!A2732,#REF!)</f>
        <v>#REF!</v>
      </c>
      <c r="G2732" s="1597" t="e">
        <f t="shared" si="284"/>
        <v>#REF!</v>
      </c>
      <c r="H2732" s="1644" t="e">
        <f t="shared" si="285"/>
        <v>#REF!</v>
      </c>
      <c r="I2732" s="1597" t="e">
        <f t="shared" si="286"/>
        <v>#REF!</v>
      </c>
      <c r="J2732" s="1644" t="e">
        <f t="shared" si="287"/>
        <v>#REF!</v>
      </c>
      <c r="K2732" s="1539"/>
      <c r="L2732" s="1539"/>
      <c r="M2732" s="1545"/>
      <c r="N2732" s="1545"/>
      <c r="O2732" s="1539"/>
      <c r="P2732" s="1539"/>
      <c r="Q2732" s="1539"/>
      <c r="R2732" s="1539"/>
      <c r="S2732" s="1539"/>
      <c r="T2732" s="1539"/>
      <c r="U2732" s="1539"/>
      <c r="V2732" s="1539"/>
      <c r="W2732" s="1539"/>
      <c r="X2732" s="1539"/>
      <c r="Y2732" s="1539"/>
      <c r="Z2732" s="1539"/>
      <c r="AA2732" s="1539"/>
      <c r="AB2732" s="1539"/>
      <c r="AC2732" s="1539"/>
      <c r="AD2732" s="1539"/>
      <c r="AE2732" s="1539"/>
      <c r="AF2732" s="1539"/>
      <c r="AG2732" s="1539"/>
      <c r="AH2732" s="1539"/>
      <c r="AI2732" s="1539"/>
      <c r="AJ2732" s="1539"/>
      <c r="AK2732" s="1539"/>
      <c r="AL2732" s="1539"/>
      <c r="AM2732" s="1539"/>
      <c r="AN2732" s="1539"/>
      <c r="AO2732" s="1539"/>
      <c r="AP2732" s="1539"/>
      <c r="AQ2732" s="1539"/>
      <c r="AR2732" s="1539"/>
      <c r="AS2732" s="1539"/>
      <c r="AT2732" s="1539"/>
      <c r="AU2732" s="1539"/>
      <c r="AV2732" s="1539"/>
      <c r="AW2732" s="1539"/>
      <c r="AX2732" s="1539"/>
      <c r="AY2732" s="1539"/>
      <c r="AZ2732" s="1539"/>
      <c r="BA2732" s="1539"/>
      <c r="BB2732" s="1539"/>
      <c r="BC2732" s="1539"/>
      <c r="BD2732" s="1539"/>
      <c r="BE2732" s="1539"/>
      <c r="BF2732" s="1539"/>
      <c r="BG2732" s="1539"/>
      <c r="BH2732" s="1539"/>
      <c r="BI2732" s="1539"/>
      <c r="BJ2732" s="1539"/>
      <c r="BK2732" s="1539"/>
      <c r="BL2732" s="1539"/>
      <c r="BM2732" s="1539"/>
      <c r="BN2732" s="1539"/>
      <c r="BO2732" s="1539"/>
      <c r="BP2732" s="1539"/>
      <c r="BQ2732" s="1539"/>
      <c r="BR2732" s="1539"/>
      <c r="BS2732" s="1539"/>
      <c r="BT2732" s="1539"/>
      <c r="BU2732" s="1539"/>
      <c r="BV2732" s="1539"/>
      <c r="BW2732" s="1539"/>
      <c r="BX2732" s="1539"/>
      <c r="BY2732" s="1539"/>
      <c r="BZ2732" s="1539"/>
      <c r="CA2732" s="1539"/>
      <c r="CB2732" s="1539"/>
      <c r="CC2732" s="1539"/>
      <c r="CD2732" s="1539"/>
      <c r="CE2732" s="1539"/>
      <c r="CF2732" s="1539"/>
      <c r="CG2732" s="1539"/>
      <c r="CH2732" s="1539"/>
      <c r="CI2732" s="1539"/>
      <c r="CJ2732" s="1539"/>
      <c r="CK2732" s="1539"/>
      <c r="CL2732" s="1539"/>
      <c r="CM2732" s="1539"/>
      <c r="CN2732" s="1539"/>
      <c r="CO2732" s="1539"/>
    </row>
    <row r="2733" spans="1:93" s="1552" customFormat="1" ht="15.5">
      <c r="A2733" s="1598"/>
      <c r="B2733" s="1599" t="s">
        <v>1760</v>
      </c>
      <c r="C2733" s="1643" t="e">
        <f>+SUMIF(#REF!,Final!A2733,#REF!)</f>
        <v>#REF!</v>
      </c>
      <c r="D2733" s="1597" t="e">
        <f>+SUMIF(#REF!,Final!A2733,#REF!)</f>
        <v>#REF!</v>
      </c>
      <c r="E2733" s="1643" t="e">
        <f>SUMIF(#REF!,Final!A2733,#REF!)</f>
        <v>#REF!</v>
      </c>
      <c r="F2733" s="1644" t="e">
        <f>SUMIF(#REF!,Final!A2733,#REF!)</f>
        <v>#REF!</v>
      </c>
      <c r="G2733" s="1597" t="e">
        <f t="shared" si="284"/>
        <v>#REF!</v>
      </c>
      <c r="H2733" s="1644" t="e">
        <f t="shared" si="285"/>
        <v>#REF!</v>
      </c>
      <c r="I2733" s="1597" t="e">
        <f t="shared" si="286"/>
        <v>#REF!</v>
      </c>
      <c r="J2733" s="1644" t="e">
        <f t="shared" si="287"/>
        <v>#REF!</v>
      </c>
      <c r="K2733" s="1539"/>
      <c r="L2733" s="1539"/>
      <c r="M2733" s="1545"/>
      <c r="N2733" s="1545"/>
      <c r="O2733" s="1539"/>
      <c r="P2733" s="1539"/>
      <c r="Q2733" s="1539"/>
      <c r="R2733" s="1539"/>
      <c r="S2733" s="1539"/>
      <c r="T2733" s="1539"/>
      <c r="U2733" s="1539"/>
      <c r="V2733" s="1539"/>
      <c r="W2733" s="1539"/>
      <c r="X2733" s="1539"/>
      <c r="Y2733" s="1539"/>
      <c r="Z2733" s="1539"/>
      <c r="AA2733" s="1539"/>
      <c r="AB2733" s="1539"/>
      <c r="AC2733" s="1539"/>
      <c r="AD2733" s="1539"/>
      <c r="AE2733" s="1539"/>
      <c r="AF2733" s="1539"/>
      <c r="AG2733" s="1539"/>
      <c r="AH2733" s="1539"/>
      <c r="AI2733" s="1539"/>
      <c r="AJ2733" s="1539"/>
      <c r="AK2733" s="1539"/>
      <c r="AL2733" s="1539"/>
      <c r="AM2733" s="1539"/>
      <c r="AN2733" s="1539"/>
      <c r="AO2733" s="1539"/>
      <c r="AP2733" s="1539"/>
      <c r="AQ2733" s="1539"/>
      <c r="AR2733" s="1539"/>
      <c r="AS2733" s="1539"/>
      <c r="AT2733" s="1539"/>
      <c r="AU2733" s="1539"/>
      <c r="AV2733" s="1539"/>
      <c r="AW2733" s="1539"/>
      <c r="AX2733" s="1539"/>
      <c r="AY2733" s="1539"/>
      <c r="AZ2733" s="1539"/>
      <c r="BA2733" s="1539"/>
      <c r="BB2733" s="1539"/>
      <c r="BC2733" s="1539"/>
      <c r="BD2733" s="1539"/>
      <c r="BE2733" s="1539"/>
      <c r="BF2733" s="1539"/>
      <c r="BG2733" s="1539"/>
      <c r="BH2733" s="1539"/>
      <c r="BI2733" s="1539"/>
      <c r="BJ2733" s="1539"/>
      <c r="BK2733" s="1539"/>
      <c r="BL2733" s="1539"/>
      <c r="BM2733" s="1539"/>
      <c r="BN2733" s="1539"/>
      <c r="BO2733" s="1539"/>
      <c r="BP2733" s="1539"/>
      <c r="BQ2733" s="1539"/>
      <c r="BR2733" s="1539"/>
      <c r="BS2733" s="1539"/>
      <c r="BT2733" s="1539"/>
      <c r="BU2733" s="1539"/>
      <c r="BV2733" s="1539"/>
      <c r="BW2733" s="1539"/>
      <c r="BX2733" s="1539"/>
      <c r="BY2733" s="1539"/>
      <c r="BZ2733" s="1539"/>
      <c r="CA2733" s="1539"/>
      <c r="CB2733" s="1539"/>
      <c r="CC2733" s="1539"/>
      <c r="CD2733" s="1539"/>
      <c r="CE2733" s="1539"/>
      <c r="CF2733" s="1539"/>
      <c r="CG2733" s="1539"/>
      <c r="CH2733" s="1539"/>
      <c r="CI2733" s="1539"/>
      <c r="CJ2733" s="1539"/>
      <c r="CK2733" s="1539"/>
      <c r="CL2733" s="1539"/>
      <c r="CM2733" s="1539"/>
      <c r="CN2733" s="1539"/>
      <c r="CO2733" s="1539"/>
    </row>
    <row r="2734" spans="1:93" s="1542" customFormat="1" ht="15.5">
      <c r="A2734" s="1598" t="s">
        <v>543</v>
      </c>
      <c r="B2734" s="1599" t="s">
        <v>1605</v>
      </c>
      <c r="C2734" s="1643" t="e">
        <f>+SUMIF(#REF!,Final!A2734,#REF!)</f>
        <v>#REF!</v>
      </c>
      <c r="D2734" s="1597" t="e">
        <f>+SUMIF(#REF!,Final!A2734,#REF!)</f>
        <v>#REF!</v>
      </c>
      <c r="E2734" s="1643" t="e">
        <f>SUMIF(#REF!,Final!A2734,#REF!)</f>
        <v>#REF!</v>
      </c>
      <c r="F2734" s="1644" t="e">
        <f>SUMIF(#REF!,Final!A2734,#REF!)</f>
        <v>#REF!</v>
      </c>
      <c r="G2734" s="1597" t="e">
        <f t="shared" si="284"/>
        <v>#REF!</v>
      </c>
      <c r="H2734" s="1644" t="e">
        <f t="shared" si="285"/>
        <v>#REF!</v>
      </c>
      <c r="I2734" s="1597" t="e">
        <f t="shared" si="286"/>
        <v>#REF!</v>
      </c>
      <c r="J2734" s="1644" t="e">
        <f t="shared" si="287"/>
        <v>#REF!</v>
      </c>
      <c r="K2734" s="1539"/>
      <c r="L2734" s="1539"/>
      <c r="M2734" s="1545"/>
      <c r="N2734" s="1545"/>
      <c r="O2734" s="1539"/>
      <c r="P2734" s="1539"/>
      <c r="Q2734" s="1539"/>
      <c r="R2734" s="1539"/>
      <c r="S2734" s="1539"/>
      <c r="T2734" s="1539"/>
      <c r="U2734" s="1539"/>
      <c r="V2734" s="1539"/>
      <c r="W2734" s="1539"/>
      <c r="X2734" s="1539"/>
      <c r="Y2734" s="1539"/>
      <c r="Z2734" s="1539"/>
      <c r="AA2734" s="1539"/>
      <c r="AB2734" s="1539"/>
      <c r="AC2734" s="1539"/>
      <c r="AD2734" s="1539"/>
      <c r="AE2734" s="1539"/>
      <c r="AF2734" s="1539"/>
      <c r="AG2734" s="1539"/>
      <c r="AH2734" s="1539"/>
      <c r="AI2734" s="1539"/>
      <c r="AJ2734" s="1539"/>
      <c r="AK2734" s="1539"/>
      <c r="AL2734" s="1539"/>
      <c r="AM2734" s="1539"/>
      <c r="AN2734" s="1539"/>
      <c r="AO2734" s="1539"/>
      <c r="AP2734" s="1539"/>
      <c r="AQ2734" s="1539"/>
      <c r="AR2734" s="1539"/>
      <c r="AS2734" s="1539"/>
      <c r="AT2734" s="1539"/>
      <c r="AU2734" s="1539"/>
      <c r="AV2734" s="1539"/>
      <c r="AW2734" s="1539"/>
      <c r="AX2734" s="1539"/>
      <c r="AY2734" s="1539"/>
      <c r="AZ2734" s="1539"/>
      <c r="BA2734" s="1539"/>
      <c r="BB2734" s="1539"/>
      <c r="BC2734" s="1539"/>
      <c r="BD2734" s="1539"/>
      <c r="BE2734" s="1539"/>
      <c r="BF2734" s="1539"/>
      <c r="BG2734" s="1539"/>
      <c r="BH2734" s="1539"/>
      <c r="BI2734" s="1539"/>
      <c r="BJ2734" s="1539"/>
      <c r="BK2734" s="1539"/>
      <c r="BL2734" s="1539"/>
      <c r="BM2734" s="1539"/>
      <c r="BN2734" s="1539"/>
      <c r="BO2734" s="1539"/>
      <c r="BP2734" s="1539"/>
      <c r="BQ2734" s="1539"/>
      <c r="BR2734" s="1539"/>
      <c r="BS2734" s="1539"/>
      <c r="BT2734" s="1539"/>
      <c r="BU2734" s="1539"/>
      <c r="BV2734" s="1539"/>
      <c r="BW2734" s="1539"/>
      <c r="BX2734" s="1539"/>
      <c r="BY2734" s="1539"/>
      <c r="BZ2734" s="1539"/>
      <c r="CA2734" s="1539"/>
      <c r="CB2734" s="1539"/>
      <c r="CC2734" s="1539"/>
      <c r="CD2734" s="1539"/>
      <c r="CE2734" s="1539"/>
      <c r="CF2734" s="1539"/>
      <c r="CG2734" s="1539"/>
      <c r="CH2734" s="1539"/>
      <c r="CI2734" s="1539"/>
      <c r="CJ2734" s="1539"/>
      <c r="CK2734" s="1539"/>
      <c r="CL2734" s="1539"/>
      <c r="CM2734" s="1539"/>
      <c r="CN2734" s="1539"/>
      <c r="CO2734" s="1539"/>
    </row>
    <row r="2735" spans="1:93" ht="15.5">
      <c r="A2735" s="1598">
        <v>65.41</v>
      </c>
      <c r="B2735" s="1599" t="s">
        <v>3517</v>
      </c>
      <c r="C2735" s="1643" t="e">
        <f>+SUMIF(#REF!,Final!A2735,#REF!)</f>
        <v>#REF!</v>
      </c>
      <c r="D2735" s="1597" t="e">
        <f>+SUMIF(#REF!,Final!A2735,#REF!)</f>
        <v>#REF!</v>
      </c>
      <c r="E2735" s="1643" t="e">
        <f>SUMIF(#REF!,Final!A2735,#REF!)</f>
        <v>#REF!</v>
      </c>
      <c r="F2735" s="1644" t="e">
        <f>SUMIF(#REF!,Final!A2735,#REF!)</f>
        <v>#REF!</v>
      </c>
      <c r="G2735" s="1597" t="e">
        <f t="shared" si="284"/>
        <v>#REF!</v>
      </c>
      <c r="H2735" s="1644" t="e">
        <f t="shared" si="285"/>
        <v>#REF!</v>
      </c>
      <c r="I2735" s="1597" t="e">
        <f t="shared" si="286"/>
        <v>#REF!</v>
      </c>
      <c r="J2735" s="1644" t="e">
        <f t="shared" si="287"/>
        <v>#REF!</v>
      </c>
      <c r="M2735" s="1545"/>
      <c r="N2735" s="1545"/>
    </row>
    <row r="2736" spans="1:93" s="1552" customFormat="1" ht="15.5">
      <c r="A2736" s="1598"/>
      <c r="B2736" s="1599" t="s">
        <v>1747</v>
      </c>
      <c r="C2736" s="1643" t="e">
        <f>+SUMIF(#REF!,Final!A2736,#REF!)</f>
        <v>#REF!</v>
      </c>
      <c r="D2736" s="1597" t="e">
        <f>+SUMIF(#REF!,Final!A2736,#REF!)</f>
        <v>#REF!</v>
      </c>
      <c r="E2736" s="1643" t="e">
        <f>SUMIF(#REF!,Final!A2736,#REF!)</f>
        <v>#REF!</v>
      </c>
      <c r="F2736" s="1644" t="e">
        <f>SUMIF(#REF!,Final!A2736,#REF!)</f>
        <v>#REF!</v>
      </c>
      <c r="G2736" s="1597" t="e">
        <f t="shared" si="284"/>
        <v>#REF!</v>
      </c>
      <c r="H2736" s="1644" t="e">
        <f t="shared" si="285"/>
        <v>#REF!</v>
      </c>
      <c r="I2736" s="1597" t="e">
        <f t="shared" si="286"/>
        <v>#REF!</v>
      </c>
      <c r="J2736" s="1644" t="e">
        <f t="shared" si="287"/>
        <v>#REF!</v>
      </c>
      <c r="K2736" s="1539"/>
      <c r="L2736" s="1539"/>
      <c r="M2736" s="1545"/>
      <c r="N2736" s="1545"/>
      <c r="O2736" s="1539"/>
      <c r="P2736" s="1539"/>
      <c r="Q2736" s="1539"/>
      <c r="R2736" s="1539"/>
      <c r="S2736" s="1539"/>
      <c r="T2736" s="1539"/>
      <c r="U2736" s="1539"/>
      <c r="V2736" s="1539"/>
      <c r="W2736" s="1539"/>
      <c r="X2736" s="1539"/>
      <c r="Y2736" s="1539"/>
      <c r="Z2736" s="1539"/>
      <c r="AA2736" s="1539"/>
      <c r="AB2736" s="1539"/>
      <c r="AC2736" s="1539"/>
      <c r="AD2736" s="1539"/>
      <c r="AE2736" s="1539"/>
      <c r="AF2736" s="1539"/>
      <c r="AG2736" s="1539"/>
      <c r="AH2736" s="1539"/>
      <c r="AI2736" s="1539"/>
      <c r="AJ2736" s="1539"/>
      <c r="AK2736" s="1539"/>
      <c r="AL2736" s="1539"/>
      <c r="AM2736" s="1539"/>
      <c r="AN2736" s="1539"/>
      <c r="AO2736" s="1539"/>
      <c r="AP2736" s="1539"/>
      <c r="AQ2736" s="1539"/>
      <c r="AR2736" s="1539"/>
      <c r="AS2736" s="1539"/>
      <c r="AT2736" s="1539"/>
      <c r="AU2736" s="1539"/>
      <c r="AV2736" s="1539"/>
      <c r="AW2736" s="1539"/>
      <c r="AX2736" s="1539"/>
      <c r="AY2736" s="1539"/>
      <c r="AZ2736" s="1539"/>
      <c r="BA2736" s="1539"/>
      <c r="BB2736" s="1539"/>
      <c r="BC2736" s="1539"/>
      <c r="BD2736" s="1539"/>
      <c r="BE2736" s="1539"/>
      <c r="BF2736" s="1539"/>
      <c r="BG2736" s="1539"/>
      <c r="BH2736" s="1539"/>
      <c r="BI2736" s="1539"/>
      <c r="BJ2736" s="1539"/>
      <c r="BK2736" s="1539"/>
      <c r="BL2736" s="1539"/>
      <c r="BM2736" s="1539"/>
      <c r="BN2736" s="1539"/>
      <c r="BO2736" s="1539"/>
      <c r="BP2736" s="1539"/>
      <c r="BQ2736" s="1539"/>
      <c r="BR2736" s="1539"/>
      <c r="BS2736" s="1539"/>
      <c r="BT2736" s="1539"/>
      <c r="BU2736" s="1539"/>
      <c r="BV2736" s="1539"/>
      <c r="BW2736" s="1539"/>
      <c r="BX2736" s="1539"/>
      <c r="BY2736" s="1539"/>
      <c r="BZ2736" s="1539"/>
      <c r="CA2736" s="1539"/>
      <c r="CB2736" s="1539"/>
      <c r="CC2736" s="1539"/>
      <c r="CD2736" s="1539"/>
      <c r="CE2736" s="1539"/>
      <c r="CF2736" s="1539"/>
      <c r="CG2736" s="1539"/>
      <c r="CH2736" s="1539"/>
      <c r="CI2736" s="1539"/>
      <c r="CJ2736" s="1539"/>
      <c r="CK2736" s="1539"/>
      <c r="CL2736" s="1539"/>
      <c r="CM2736" s="1539"/>
      <c r="CN2736" s="1539"/>
      <c r="CO2736" s="1539"/>
    </row>
    <row r="2737" spans="1:93" s="1552" customFormat="1" ht="15.5">
      <c r="A2737" s="1598"/>
      <c r="B2737" s="1599" t="s">
        <v>1760</v>
      </c>
      <c r="C2737" s="1643" t="e">
        <f>+SUMIF(#REF!,Final!A2737,#REF!)</f>
        <v>#REF!</v>
      </c>
      <c r="D2737" s="1597" t="e">
        <f>+SUMIF(#REF!,Final!A2737,#REF!)</f>
        <v>#REF!</v>
      </c>
      <c r="E2737" s="1643" t="e">
        <f>SUMIF(#REF!,Final!A2737,#REF!)</f>
        <v>#REF!</v>
      </c>
      <c r="F2737" s="1644" t="e">
        <f>SUMIF(#REF!,Final!A2737,#REF!)</f>
        <v>#REF!</v>
      </c>
      <c r="G2737" s="1597" t="e">
        <f t="shared" si="284"/>
        <v>#REF!</v>
      </c>
      <c r="H2737" s="1644" t="e">
        <f t="shared" si="285"/>
        <v>#REF!</v>
      </c>
      <c r="I2737" s="1597" t="e">
        <f t="shared" si="286"/>
        <v>#REF!</v>
      </c>
      <c r="J2737" s="1644" t="e">
        <f t="shared" si="287"/>
        <v>#REF!</v>
      </c>
      <c r="K2737" s="1539"/>
      <c r="L2737" s="1539"/>
      <c r="M2737" s="1545"/>
      <c r="N2737" s="1545"/>
      <c r="O2737" s="1539"/>
      <c r="P2737" s="1539"/>
      <c r="Q2737" s="1539"/>
      <c r="R2737" s="1539"/>
      <c r="S2737" s="1539"/>
      <c r="T2737" s="1539"/>
      <c r="U2737" s="1539"/>
      <c r="V2737" s="1539"/>
      <c r="W2737" s="1539"/>
      <c r="X2737" s="1539"/>
      <c r="Y2737" s="1539"/>
      <c r="Z2737" s="1539"/>
      <c r="AA2737" s="1539"/>
      <c r="AB2737" s="1539"/>
      <c r="AC2737" s="1539"/>
      <c r="AD2737" s="1539"/>
      <c r="AE2737" s="1539"/>
      <c r="AF2737" s="1539"/>
      <c r="AG2737" s="1539"/>
      <c r="AH2737" s="1539"/>
      <c r="AI2737" s="1539"/>
      <c r="AJ2737" s="1539"/>
      <c r="AK2737" s="1539"/>
      <c r="AL2737" s="1539"/>
      <c r="AM2737" s="1539"/>
      <c r="AN2737" s="1539"/>
      <c r="AO2737" s="1539"/>
      <c r="AP2737" s="1539"/>
      <c r="AQ2737" s="1539"/>
      <c r="AR2737" s="1539"/>
      <c r="AS2737" s="1539"/>
      <c r="AT2737" s="1539"/>
      <c r="AU2737" s="1539"/>
      <c r="AV2737" s="1539"/>
      <c r="AW2737" s="1539"/>
      <c r="AX2737" s="1539"/>
      <c r="AY2737" s="1539"/>
      <c r="AZ2737" s="1539"/>
      <c r="BA2737" s="1539"/>
      <c r="BB2737" s="1539"/>
      <c r="BC2737" s="1539"/>
      <c r="BD2737" s="1539"/>
      <c r="BE2737" s="1539"/>
      <c r="BF2737" s="1539"/>
      <c r="BG2737" s="1539"/>
      <c r="BH2737" s="1539"/>
      <c r="BI2737" s="1539"/>
      <c r="BJ2737" s="1539"/>
      <c r="BK2737" s="1539"/>
      <c r="BL2737" s="1539"/>
      <c r="BM2737" s="1539"/>
      <c r="BN2737" s="1539"/>
      <c r="BO2737" s="1539"/>
      <c r="BP2737" s="1539"/>
      <c r="BQ2737" s="1539"/>
      <c r="BR2737" s="1539"/>
      <c r="BS2737" s="1539"/>
      <c r="BT2737" s="1539"/>
      <c r="BU2737" s="1539"/>
      <c r="BV2737" s="1539"/>
      <c r="BW2737" s="1539"/>
      <c r="BX2737" s="1539"/>
      <c r="BY2737" s="1539"/>
      <c r="BZ2737" s="1539"/>
      <c r="CA2737" s="1539"/>
      <c r="CB2737" s="1539"/>
      <c r="CC2737" s="1539"/>
      <c r="CD2737" s="1539"/>
      <c r="CE2737" s="1539"/>
      <c r="CF2737" s="1539"/>
      <c r="CG2737" s="1539"/>
      <c r="CH2737" s="1539"/>
      <c r="CI2737" s="1539"/>
      <c r="CJ2737" s="1539"/>
      <c r="CK2737" s="1539"/>
      <c r="CL2737" s="1539"/>
      <c r="CM2737" s="1539"/>
      <c r="CN2737" s="1539"/>
      <c r="CO2737" s="1539"/>
    </row>
    <row r="2738" spans="1:93" s="1542" customFormat="1" ht="15.5">
      <c r="A2738" s="1598" t="s">
        <v>544</v>
      </c>
      <c r="B2738" s="1599" t="s">
        <v>3518</v>
      </c>
      <c r="C2738" s="1643" t="e">
        <f>+SUMIF(#REF!,Final!A2738,#REF!)</f>
        <v>#REF!</v>
      </c>
      <c r="D2738" s="1597" t="e">
        <f>+SUMIF(#REF!,Final!A2738,#REF!)</f>
        <v>#REF!</v>
      </c>
      <c r="E2738" s="1643" t="e">
        <f>SUMIF(#REF!,Final!A2738,#REF!)</f>
        <v>#REF!</v>
      </c>
      <c r="F2738" s="1644" t="e">
        <f>SUMIF(#REF!,Final!A2738,#REF!)</f>
        <v>#REF!</v>
      </c>
      <c r="G2738" s="1597" t="e">
        <f t="shared" si="284"/>
        <v>#REF!</v>
      </c>
      <c r="H2738" s="1644" t="e">
        <f t="shared" si="285"/>
        <v>#REF!</v>
      </c>
      <c r="I2738" s="1597" t="e">
        <f t="shared" si="286"/>
        <v>#REF!</v>
      </c>
      <c r="J2738" s="1644" t="e">
        <f t="shared" si="287"/>
        <v>#REF!</v>
      </c>
      <c r="K2738" s="1539"/>
      <c r="L2738" s="1539"/>
      <c r="M2738" s="1545"/>
      <c r="N2738" s="1545"/>
      <c r="O2738" s="1539"/>
      <c r="P2738" s="1539"/>
      <c r="Q2738" s="1539"/>
      <c r="R2738" s="1539"/>
      <c r="S2738" s="1539"/>
      <c r="T2738" s="1539"/>
      <c r="U2738" s="1539"/>
      <c r="V2738" s="1539"/>
      <c r="W2738" s="1539"/>
      <c r="X2738" s="1539"/>
      <c r="Y2738" s="1539"/>
      <c r="Z2738" s="1539"/>
      <c r="AA2738" s="1539"/>
      <c r="AB2738" s="1539"/>
      <c r="AC2738" s="1539"/>
      <c r="AD2738" s="1539"/>
      <c r="AE2738" s="1539"/>
      <c r="AF2738" s="1539"/>
      <c r="AG2738" s="1539"/>
      <c r="AH2738" s="1539"/>
      <c r="AI2738" s="1539"/>
      <c r="AJ2738" s="1539"/>
      <c r="AK2738" s="1539"/>
      <c r="AL2738" s="1539"/>
      <c r="AM2738" s="1539"/>
      <c r="AN2738" s="1539"/>
      <c r="AO2738" s="1539"/>
      <c r="AP2738" s="1539"/>
      <c r="AQ2738" s="1539"/>
      <c r="AR2738" s="1539"/>
      <c r="AS2738" s="1539"/>
      <c r="AT2738" s="1539"/>
      <c r="AU2738" s="1539"/>
      <c r="AV2738" s="1539"/>
      <c r="AW2738" s="1539"/>
      <c r="AX2738" s="1539"/>
      <c r="AY2738" s="1539"/>
      <c r="AZ2738" s="1539"/>
      <c r="BA2738" s="1539"/>
      <c r="BB2738" s="1539"/>
      <c r="BC2738" s="1539"/>
      <c r="BD2738" s="1539"/>
      <c r="BE2738" s="1539"/>
      <c r="BF2738" s="1539"/>
      <c r="BG2738" s="1539"/>
      <c r="BH2738" s="1539"/>
      <c r="BI2738" s="1539"/>
      <c r="BJ2738" s="1539"/>
      <c r="BK2738" s="1539"/>
      <c r="BL2738" s="1539"/>
      <c r="BM2738" s="1539"/>
      <c r="BN2738" s="1539"/>
      <c r="BO2738" s="1539"/>
      <c r="BP2738" s="1539"/>
      <c r="BQ2738" s="1539"/>
      <c r="BR2738" s="1539"/>
      <c r="BS2738" s="1539"/>
      <c r="BT2738" s="1539"/>
      <c r="BU2738" s="1539"/>
      <c r="BV2738" s="1539"/>
      <c r="BW2738" s="1539"/>
      <c r="BX2738" s="1539"/>
      <c r="BY2738" s="1539"/>
      <c r="BZ2738" s="1539"/>
      <c r="CA2738" s="1539"/>
      <c r="CB2738" s="1539"/>
      <c r="CC2738" s="1539"/>
      <c r="CD2738" s="1539"/>
      <c r="CE2738" s="1539"/>
      <c r="CF2738" s="1539"/>
      <c r="CG2738" s="1539"/>
      <c r="CH2738" s="1539"/>
      <c r="CI2738" s="1539"/>
      <c r="CJ2738" s="1539"/>
      <c r="CK2738" s="1539"/>
      <c r="CL2738" s="1539"/>
      <c r="CM2738" s="1539"/>
      <c r="CN2738" s="1539"/>
      <c r="CO2738" s="1539"/>
    </row>
    <row r="2739" spans="1:93" ht="15.5">
      <c r="A2739" s="1598">
        <v>65.510000000000005</v>
      </c>
      <c r="B2739" s="1599" t="s">
        <v>3519</v>
      </c>
      <c r="C2739" s="1643" t="e">
        <f>+SUMIF(#REF!,Final!A2739,#REF!)</f>
        <v>#REF!</v>
      </c>
      <c r="D2739" s="1597" t="e">
        <f>+SUMIF(#REF!,Final!A2739,#REF!)</f>
        <v>#REF!</v>
      </c>
      <c r="E2739" s="1643" t="e">
        <f>SUMIF(#REF!,Final!A2739,#REF!)</f>
        <v>#REF!</v>
      </c>
      <c r="F2739" s="1644" t="e">
        <f>SUMIF(#REF!,Final!A2739,#REF!)</f>
        <v>#REF!</v>
      </c>
      <c r="G2739" s="1597" t="e">
        <f t="shared" si="284"/>
        <v>#REF!</v>
      </c>
      <c r="H2739" s="1644" t="e">
        <f t="shared" si="285"/>
        <v>#REF!</v>
      </c>
      <c r="I2739" s="1597" t="e">
        <f t="shared" si="286"/>
        <v>#REF!</v>
      </c>
      <c r="J2739" s="1644" t="e">
        <f t="shared" si="287"/>
        <v>#REF!</v>
      </c>
      <c r="M2739" s="1545"/>
      <c r="N2739" s="1545"/>
    </row>
    <row r="2740" spans="1:93" ht="15.5">
      <c r="A2740" s="1598">
        <v>65.81</v>
      </c>
      <c r="B2740" s="1599" t="s">
        <v>3520</v>
      </c>
      <c r="C2740" s="1643" t="e">
        <f>+SUMIF(#REF!,Final!A2740,#REF!)</f>
        <v>#REF!</v>
      </c>
      <c r="D2740" s="1597" t="e">
        <f>+SUMIF(#REF!,Final!A2740,#REF!)</f>
        <v>#REF!</v>
      </c>
      <c r="E2740" s="1643" t="e">
        <f>SUMIF(#REF!,Final!A2740,#REF!)</f>
        <v>#REF!</v>
      </c>
      <c r="F2740" s="1644" t="e">
        <f>SUMIF(#REF!,Final!A2740,#REF!)</f>
        <v>#REF!</v>
      </c>
      <c r="G2740" s="1597" t="e">
        <f t="shared" si="284"/>
        <v>#REF!</v>
      </c>
      <c r="H2740" s="1644" t="e">
        <f t="shared" si="285"/>
        <v>#REF!</v>
      </c>
      <c r="I2740" s="1597" t="e">
        <f t="shared" si="286"/>
        <v>#REF!</v>
      </c>
      <c r="J2740" s="1644" t="e">
        <f t="shared" si="287"/>
        <v>#REF!</v>
      </c>
      <c r="M2740" s="1545"/>
      <c r="N2740" s="1545"/>
    </row>
    <row r="2741" spans="1:93" ht="15.5">
      <c r="A2741" s="1598">
        <v>65.91</v>
      </c>
      <c r="B2741" s="1599" t="s">
        <v>3521</v>
      </c>
      <c r="C2741" s="1643" t="e">
        <f>+SUMIF(#REF!,Final!A2741,#REF!)</f>
        <v>#REF!</v>
      </c>
      <c r="D2741" s="1597" t="e">
        <f>+SUMIF(#REF!,Final!A2741,#REF!)</f>
        <v>#REF!</v>
      </c>
      <c r="E2741" s="1643" t="e">
        <f>SUMIF(#REF!,Final!A2741,#REF!)</f>
        <v>#REF!</v>
      </c>
      <c r="F2741" s="1644" t="e">
        <f>SUMIF(#REF!,Final!A2741,#REF!)</f>
        <v>#REF!</v>
      </c>
      <c r="G2741" s="1597" t="e">
        <f t="shared" si="284"/>
        <v>#REF!</v>
      </c>
      <c r="H2741" s="1644" t="e">
        <f t="shared" si="285"/>
        <v>#REF!</v>
      </c>
      <c r="I2741" s="1597" t="e">
        <f t="shared" si="286"/>
        <v>#REF!</v>
      </c>
      <c r="J2741" s="1644" t="e">
        <f t="shared" si="287"/>
        <v>#REF!</v>
      </c>
      <c r="M2741" s="1545"/>
      <c r="N2741" s="1545"/>
    </row>
    <row r="2742" spans="1:93" s="1552" customFormat="1" ht="15.5">
      <c r="A2742" s="1598"/>
      <c r="B2742" s="1599" t="s">
        <v>1747</v>
      </c>
      <c r="C2742" s="1643" t="e">
        <f>+SUMIF(#REF!,Final!A2742,#REF!)</f>
        <v>#REF!</v>
      </c>
      <c r="D2742" s="1597" t="e">
        <f>+SUMIF(#REF!,Final!A2742,#REF!)</f>
        <v>#REF!</v>
      </c>
      <c r="E2742" s="1643" t="e">
        <f>SUMIF(#REF!,Final!A2742,#REF!)</f>
        <v>#REF!</v>
      </c>
      <c r="F2742" s="1644" t="e">
        <f>SUMIF(#REF!,Final!A2742,#REF!)</f>
        <v>#REF!</v>
      </c>
      <c r="G2742" s="1597" t="e">
        <f t="shared" si="284"/>
        <v>#REF!</v>
      </c>
      <c r="H2742" s="1644" t="e">
        <f t="shared" si="285"/>
        <v>#REF!</v>
      </c>
      <c r="I2742" s="1597" t="e">
        <f t="shared" si="286"/>
        <v>#REF!</v>
      </c>
      <c r="J2742" s="1644" t="e">
        <f t="shared" si="287"/>
        <v>#REF!</v>
      </c>
      <c r="K2742" s="1539"/>
      <c r="L2742" s="1539"/>
      <c r="M2742" s="1545"/>
      <c r="N2742" s="1545"/>
      <c r="O2742" s="1539"/>
      <c r="P2742" s="1539"/>
      <c r="Q2742" s="1539"/>
      <c r="R2742" s="1539"/>
      <c r="S2742" s="1539"/>
      <c r="T2742" s="1539"/>
      <c r="U2742" s="1539"/>
      <c r="V2742" s="1539"/>
      <c r="W2742" s="1539"/>
      <c r="X2742" s="1539"/>
      <c r="Y2742" s="1539"/>
      <c r="Z2742" s="1539"/>
      <c r="AA2742" s="1539"/>
      <c r="AB2742" s="1539"/>
      <c r="AC2742" s="1539"/>
      <c r="AD2742" s="1539"/>
      <c r="AE2742" s="1539"/>
      <c r="AF2742" s="1539"/>
      <c r="AG2742" s="1539"/>
      <c r="AH2742" s="1539"/>
      <c r="AI2742" s="1539"/>
      <c r="AJ2742" s="1539"/>
      <c r="AK2742" s="1539"/>
      <c r="AL2742" s="1539"/>
      <c r="AM2742" s="1539"/>
      <c r="AN2742" s="1539"/>
      <c r="AO2742" s="1539"/>
      <c r="AP2742" s="1539"/>
      <c r="AQ2742" s="1539"/>
      <c r="AR2742" s="1539"/>
      <c r="AS2742" s="1539"/>
      <c r="AT2742" s="1539"/>
      <c r="AU2742" s="1539"/>
      <c r="AV2742" s="1539"/>
      <c r="AW2742" s="1539"/>
      <c r="AX2742" s="1539"/>
      <c r="AY2742" s="1539"/>
      <c r="AZ2742" s="1539"/>
      <c r="BA2742" s="1539"/>
      <c r="BB2742" s="1539"/>
      <c r="BC2742" s="1539"/>
      <c r="BD2742" s="1539"/>
      <c r="BE2742" s="1539"/>
      <c r="BF2742" s="1539"/>
      <c r="BG2742" s="1539"/>
      <c r="BH2742" s="1539"/>
      <c r="BI2742" s="1539"/>
      <c r="BJ2742" s="1539"/>
      <c r="BK2742" s="1539"/>
      <c r="BL2742" s="1539"/>
      <c r="BM2742" s="1539"/>
      <c r="BN2742" s="1539"/>
      <c r="BO2742" s="1539"/>
      <c r="BP2742" s="1539"/>
      <c r="BQ2742" s="1539"/>
      <c r="BR2742" s="1539"/>
      <c r="BS2742" s="1539"/>
      <c r="BT2742" s="1539"/>
      <c r="BU2742" s="1539"/>
      <c r="BV2742" s="1539"/>
      <c r="BW2742" s="1539"/>
      <c r="BX2742" s="1539"/>
      <c r="BY2742" s="1539"/>
      <c r="BZ2742" s="1539"/>
      <c r="CA2742" s="1539"/>
      <c r="CB2742" s="1539"/>
      <c r="CC2742" s="1539"/>
      <c r="CD2742" s="1539"/>
      <c r="CE2742" s="1539"/>
      <c r="CF2742" s="1539"/>
      <c r="CG2742" s="1539"/>
      <c r="CH2742" s="1539"/>
      <c r="CI2742" s="1539"/>
      <c r="CJ2742" s="1539"/>
      <c r="CK2742" s="1539"/>
      <c r="CL2742" s="1539"/>
      <c r="CM2742" s="1539"/>
      <c r="CN2742" s="1539"/>
      <c r="CO2742" s="1539"/>
    </row>
    <row r="2743" spans="1:93" s="1552" customFormat="1" ht="15.5">
      <c r="A2743" s="1598"/>
      <c r="B2743" s="1599" t="s">
        <v>1760</v>
      </c>
      <c r="C2743" s="1643" t="e">
        <f>+SUMIF(#REF!,Final!A2743,#REF!)</f>
        <v>#REF!</v>
      </c>
      <c r="D2743" s="1597" t="e">
        <f>+SUMIF(#REF!,Final!A2743,#REF!)</f>
        <v>#REF!</v>
      </c>
      <c r="E2743" s="1643" t="e">
        <f>SUMIF(#REF!,Final!A2743,#REF!)</f>
        <v>#REF!</v>
      </c>
      <c r="F2743" s="1644" t="e">
        <f>SUMIF(#REF!,Final!A2743,#REF!)</f>
        <v>#REF!</v>
      </c>
      <c r="G2743" s="1597" t="e">
        <f t="shared" si="284"/>
        <v>#REF!</v>
      </c>
      <c r="H2743" s="1644" t="e">
        <f t="shared" si="285"/>
        <v>#REF!</v>
      </c>
      <c r="I2743" s="1597" t="e">
        <f t="shared" si="286"/>
        <v>#REF!</v>
      </c>
      <c r="J2743" s="1644" t="e">
        <f t="shared" si="287"/>
        <v>#REF!</v>
      </c>
      <c r="K2743" s="1539"/>
      <c r="L2743" s="1539"/>
      <c r="M2743" s="1545"/>
      <c r="N2743" s="1545"/>
      <c r="O2743" s="1539"/>
      <c r="P2743" s="1539"/>
      <c r="Q2743" s="1539"/>
      <c r="R2743" s="1539"/>
      <c r="S2743" s="1539"/>
      <c r="T2743" s="1539"/>
      <c r="U2743" s="1539"/>
      <c r="V2743" s="1539"/>
      <c r="W2743" s="1539"/>
      <c r="X2743" s="1539"/>
      <c r="Y2743" s="1539"/>
      <c r="Z2743" s="1539"/>
      <c r="AA2743" s="1539"/>
      <c r="AB2743" s="1539"/>
      <c r="AC2743" s="1539"/>
      <c r="AD2743" s="1539"/>
      <c r="AE2743" s="1539"/>
      <c r="AF2743" s="1539"/>
      <c r="AG2743" s="1539"/>
      <c r="AH2743" s="1539"/>
      <c r="AI2743" s="1539"/>
      <c r="AJ2743" s="1539"/>
      <c r="AK2743" s="1539"/>
      <c r="AL2743" s="1539"/>
      <c r="AM2743" s="1539"/>
      <c r="AN2743" s="1539"/>
      <c r="AO2743" s="1539"/>
      <c r="AP2743" s="1539"/>
      <c r="AQ2743" s="1539"/>
      <c r="AR2743" s="1539"/>
      <c r="AS2743" s="1539"/>
      <c r="AT2743" s="1539"/>
      <c r="AU2743" s="1539"/>
      <c r="AV2743" s="1539"/>
      <c r="AW2743" s="1539"/>
      <c r="AX2743" s="1539"/>
      <c r="AY2743" s="1539"/>
      <c r="AZ2743" s="1539"/>
      <c r="BA2743" s="1539"/>
      <c r="BB2743" s="1539"/>
      <c r="BC2743" s="1539"/>
      <c r="BD2743" s="1539"/>
      <c r="BE2743" s="1539"/>
      <c r="BF2743" s="1539"/>
      <c r="BG2743" s="1539"/>
      <c r="BH2743" s="1539"/>
      <c r="BI2743" s="1539"/>
      <c r="BJ2743" s="1539"/>
      <c r="BK2743" s="1539"/>
      <c r="BL2743" s="1539"/>
      <c r="BM2743" s="1539"/>
      <c r="BN2743" s="1539"/>
      <c r="BO2743" s="1539"/>
      <c r="BP2743" s="1539"/>
      <c r="BQ2743" s="1539"/>
      <c r="BR2743" s="1539"/>
      <c r="BS2743" s="1539"/>
      <c r="BT2743" s="1539"/>
      <c r="BU2743" s="1539"/>
      <c r="BV2743" s="1539"/>
      <c r="BW2743" s="1539"/>
      <c r="BX2743" s="1539"/>
      <c r="BY2743" s="1539"/>
      <c r="BZ2743" s="1539"/>
      <c r="CA2743" s="1539"/>
      <c r="CB2743" s="1539"/>
      <c r="CC2743" s="1539"/>
      <c r="CD2743" s="1539"/>
      <c r="CE2743" s="1539"/>
      <c r="CF2743" s="1539"/>
      <c r="CG2743" s="1539"/>
      <c r="CH2743" s="1539"/>
      <c r="CI2743" s="1539"/>
      <c r="CJ2743" s="1539"/>
      <c r="CK2743" s="1539"/>
      <c r="CL2743" s="1539"/>
      <c r="CM2743" s="1539"/>
      <c r="CN2743" s="1539"/>
      <c r="CO2743" s="1539"/>
    </row>
    <row r="2744" spans="1:93" s="1552" customFormat="1" ht="15.5">
      <c r="A2744" s="1598"/>
      <c r="B2744" s="1599" t="s">
        <v>3522</v>
      </c>
      <c r="C2744" s="1643" t="e">
        <f>+SUMIF(#REF!,Final!A2744,#REF!)</f>
        <v>#REF!</v>
      </c>
      <c r="D2744" s="1597" t="e">
        <f>+SUMIF(#REF!,Final!A2744,#REF!)</f>
        <v>#REF!</v>
      </c>
      <c r="E2744" s="1643" t="e">
        <f>SUMIF(#REF!,Final!A2744,#REF!)</f>
        <v>#REF!</v>
      </c>
      <c r="F2744" s="1644" t="e">
        <f>SUMIF(#REF!,Final!A2744,#REF!)</f>
        <v>#REF!</v>
      </c>
      <c r="G2744" s="1597" t="e">
        <f t="shared" si="284"/>
        <v>#REF!</v>
      </c>
      <c r="H2744" s="1644" t="e">
        <f t="shared" si="285"/>
        <v>#REF!</v>
      </c>
      <c r="I2744" s="1597" t="e">
        <f t="shared" si="286"/>
        <v>#REF!</v>
      </c>
      <c r="J2744" s="1644" t="e">
        <f t="shared" si="287"/>
        <v>#REF!</v>
      </c>
      <c r="K2744" s="1539"/>
      <c r="L2744" s="1539"/>
      <c r="M2744" s="1545"/>
      <c r="N2744" s="1545"/>
      <c r="O2744" s="1539"/>
      <c r="P2744" s="1539"/>
      <c r="Q2744" s="1539"/>
      <c r="R2744" s="1539"/>
      <c r="S2744" s="1539"/>
      <c r="T2744" s="1539"/>
      <c r="U2744" s="1539"/>
      <c r="V2744" s="1539"/>
      <c r="W2744" s="1539"/>
      <c r="X2744" s="1539"/>
      <c r="Y2744" s="1539"/>
      <c r="Z2744" s="1539"/>
      <c r="AA2744" s="1539"/>
      <c r="AB2744" s="1539"/>
      <c r="AC2744" s="1539"/>
      <c r="AD2744" s="1539"/>
      <c r="AE2744" s="1539"/>
      <c r="AF2744" s="1539"/>
      <c r="AG2744" s="1539"/>
      <c r="AH2744" s="1539"/>
      <c r="AI2744" s="1539"/>
      <c r="AJ2744" s="1539"/>
      <c r="AK2744" s="1539"/>
      <c r="AL2744" s="1539"/>
      <c r="AM2744" s="1539"/>
      <c r="AN2744" s="1539"/>
      <c r="AO2744" s="1539"/>
      <c r="AP2744" s="1539"/>
      <c r="AQ2744" s="1539"/>
      <c r="AR2744" s="1539"/>
      <c r="AS2744" s="1539"/>
      <c r="AT2744" s="1539"/>
      <c r="AU2744" s="1539"/>
      <c r="AV2744" s="1539"/>
      <c r="AW2744" s="1539"/>
      <c r="AX2744" s="1539"/>
      <c r="AY2744" s="1539"/>
      <c r="AZ2744" s="1539"/>
      <c r="BA2744" s="1539"/>
      <c r="BB2744" s="1539"/>
      <c r="BC2744" s="1539"/>
      <c r="BD2744" s="1539"/>
      <c r="BE2744" s="1539"/>
      <c r="BF2744" s="1539"/>
      <c r="BG2744" s="1539"/>
      <c r="BH2744" s="1539"/>
      <c r="BI2744" s="1539"/>
      <c r="BJ2744" s="1539"/>
      <c r="BK2744" s="1539"/>
      <c r="BL2744" s="1539"/>
      <c r="BM2744" s="1539"/>
      <c r="BN2744" s="1539"/>
      <c r="BO2744" s="1539"/>
      <c r="BP2744" s="1539"/>
      <c r="BQ2744" s="1539"/>
      <c r="BR2744" s="1539"/>
      <c r="BS2744" s="1539"/>
      <c r="BT2744" s="1539"/>
      <c r="BU2744" s="1539"/>
      <c r="BV2744" s="1539"/>
      <c r="BW2744" s="1539"/>
      <c r="BX2744" s="1539"/>
      <c r="BY2744" s="1539"/>
      <c r="BZ2744" s="1539"/>
      <c r="CA2744" s="1539"/>
      <c r="CB2744" s="1539"/>
      <c r="CC2744" s="1539"/>
      <c r="CD2744" s="1539"/>
      <c r="CE2744" s="1539"/>
      <c r="CF2744" s="1539"/>
      <c r="CG2744" s="1539"/>
      <c r="CH2744" s="1539"/>
      <c r="CI2744" s="1539"/>
      <c r="CJ2744" s="1539"/>
      <c r="CK2744" s="1539"/>
      <c r="CL2744" s="1539"/>
      <c r="CM2744" s="1539"/>
      <c r="CN2744" s="1539"/>
      <c r="CO2744" s="1539"/>
    </row>
    <row r="2745" spans="1:93" s="1553" customFormat="1" ht="15.5">
      <c r="A2745" s="1598"/>
      <c r="B2745" s="1599" t="s">
        <v>185</v>
      </c>
      <c r="C2745" s="1643" t="e">
        <f>+SUMIF(#REF!,Final!A2745,#REF!)</f>
        <v>#REF!</v>
      </c>
      <c r="D2745" s="1597" t="e">
        <f>+SUMIF(#REF!,Final!A2745,#REF!)</f>
        <v>#REF!</v>
      </c>
      <c r="E2745" s="1643" t="e">
        <f>SUMIF(#REF!,Final!A2745,#REF!)</f>
        <v>#REF!</v>
      </c>
      <c r="F2745" s="1644" t="e">
        <f>SUMIF(#REF!,Final!A2745,#REF!)</f>
        <v>#REF!</v>
      </c>
      <c r="G2745" s="1597" t="e">
        <f t="shared" si="284"/>
        <v>#REF!</v>
      </c>
      <c r="H2745" s="1644" t="e">
        <f t="shared" si="285"/>
        <v>#REF!</v>
      </c>
      <c r="I2745" s="1597" t="e">
        <f t="shared" si="286"/>
        <v>#REF!</v>
      </c>
      <c r="J2745" s="1644" t="e">
        <f t="shared" si="287"/>
        <v>#REF!</v>
      </c>
      <c r="K2745" s="1539"/>
      <c r="L2745" s="1539"/>
      <c r="M2745" s="1545"/>
      <c r="N2745" s="1545"/>
      <c r="O2745" s="1539"/>
      <c r="P2745" s="1539"/>
      <c r="Q2745" s="1539"/>
      <c r="R2745" s="1539"/>
      <c r="S2745" s="1539"/>
      <c r="T2745" s="1539"/>
      <c r="U2745" s="1539"/>
      <c r="V2745" s="1539"/>
      <c r="W2745" s="1539"/>
      <c r="X2745" s="1539"/>
      <c r="Y2745" s="1539"/>
      <c r="Z2745" s="1539"/>
      <c r="AA2745" s="1539"/>
      <c r="AB2745" s="1539"/>
      <c r="AC2745" s="1539"/>
      <c r="AD2745" s="1539"/>
      <c r="AE2745" s="1539"/>
      <c r="AF2745" s="1539"/>
      <c r="AG2745" s="1539"/>
      <c r="AH2745" s="1539"/>
      <c r="AI2745" s="1539"/>
      <c r="AJ2745" s="1539"/>
      <c r="AK2745" s="1539"/>
      <c r="AL2745" s="1539"/>
      <c r="AM2745" s="1539"/>
      <c r="AN2745" s="1539"/>
      <c r="AO2745" s="1539"/>
      <c r="AP2745" s="1539"/>
      <c r="AQ2745" s="1539"/>
      <c r="AR2745" s="1539"/>
      <c r="AS2745" s="1539"/>
      <c r="AT2745" s="1539"/>
      <c r="AU2745" s="1539"/>
      <c r="AV2745" s="1539"/>
      <c r="AW2745" s="1539"/>
      <c r="AX2745" s="1539"/>
      <c r="AY2745" s="1539"/>
      <c r="AZ2745" s="1539"/>
      <c r="BA2745" s="1539"/>
      <c r="BB2745" s="1539"/>
      <c r="BC2745" s="1539"/>
      <c r="BD2745" s="1539"/>
      <c r="BE2745" s="1539"/>
      <c r="BF2745" s="1539"/>
      <c r="BG2745" s="1539"/>
      <c r="BH2745" s="1539"/>
      <c r="BI2745" s="1539"/>
      <c r="BJ2745" s="1539"/>
      <c r="BK2745" s="1539"/>
      <c r="BL2745" s="1539"/>
      <c r="BM2745" s="1539"/>
      <c r="BN2745" s="1539"/>
      <c r="BO2745" s="1539"/>
      <c r="BP2745" s="1539"/>
      <c r="BQ2745" s="1539"/>
      <c r="BR2745" s="1539"/>
      <c r="BS2745" s="1539"/>
      <c r="BT2745" s="1539"/>
      <c r="BU2745" s="1539"/>
      <c r="BV2745" s="1539"/>
      <c r="BW2745" s="1539"/>
      <c r="BX2745" s="1539"/>
      <c r="BY2745" s="1539"/>
      <c r="BZ2745" s="1539"/>
      <c r="CA2745" s="1539"/>
      <c r="CB2745" s="1539"/>
      <c r="CC2745" s="1539"/>
      <c r="CD2745" s="1539"/>
      <c r="CE2745" s="1539"/>
      <c r="CF2745" s="1539"/>
      <c r="CG2745" s="1539"/>
      <c r="CH2745" s="1539"/>
      <c r="CI2745" s="1539"/>
      <c r="CJ2745" s="1539"/>
      <c r="CK2745" s="1539"/>
      <c r="CL2745" s="1539"/>
      <c r="CM2745" s="1539"/>
      <c r="CN2745" s="1539"/>
      <c r="CO2745" s="1539"/>
    </row>
    <row r="2746" spans="1:93" s="1542" customFormat="1" ht="15.5">
      <c r="A2746" s="1598">
        <v>23</v>
      </c>
      <c r="B2746" s="1599" t="s">
        <v>3523</v>
      </c>
      <c r="C2746" s="1643" t="e">
        <f>+SUMIF(#REF!,Final!A2746,#REF!)</f>
        <v>#REF!</v>
      </c>
      <c r="D2746" s="1597" t="e">
        <f>+SUMIF(#REF!,Final!A2746,#REF!)</f>
        <v>#REF!</v>
      </c>
      <c r="E2746" s="1643" t="e">
        <f>SUMIF(#REF!,Final!A2746,#REF!)</f>
        <v>#REF!</v>
      </c>
      <c r="F2746" s="1644" t="e">
        <f>SUMIF(#REF!,Final!A2746,#REF!)</f>
        <v>#REF!</v>
      </c>
      <c r="G2746" s="1597" t="e">
        <f t="shared" si="284"/>
        <v>#REF!</v>
      </c>
      <c r="H2746" s="1644" t="e">
        <f t="shared" si="285"/>
        <v>#REF!</v>
      </c>
      <c r="I2746" s="1597" t="e">
        <f t="shared" si="286"/>
        <v>#REF!</v>
      </c>
      <c r="J2746" s="1644" t="e">
        <f t="shared" si="287"/>
        <v>#REF!</v>
      </c>
      <c r="K2746" s="1539"/>
      <c r="L2746" s="1539"/>
      <c r="M2746" s="1545"/>
      <c r="N2746" s="1545"/>
      <c r="O2746" s="1539"/>
      <c r="P2746" s="1539"/>
      <c r="Q2746" s="1539"/>
      <c r="R2746" s="1539"/>
      <c r="S2746" s="1539"/>
      <c r="T2746" s="1539"/>
      <c r="U2746" s="1539"/>
      <c r="V2746" s="1539"/>
      <c r="W2746" s="1539"/>
      <c r="X2746" s="1539"/>
      <c r="Y2746" s="1539"/>
      <c r="Z2746" s="1539"/>
      <c r="AA2746" s="1539"/>
      <c r="AB2746" s="1539"/>
      <c r="AC2746" s="1539"/>
      <c r="AD2746" s="1539"/>
      <c r="AE2746" s="1539"/>
      <c r="AF2746" s="1539"/>
      <c r="AG2746" s="1539"/>
      <c r="AH2746" s="1539"/>
      <c r="AI2746" s="1539"/>
      <c r="AJ2746" s="1539"/>
      <c r="AK2746" s="1539"/>
      <c r="AL2746" s="1539"/>
      <c r="AM2746" s="1539"/>
      <c r="AN2746" s="1539"/>
      <c r="AO2746" s="1539"/>
      <c r="AP2746" s="1539"/>
      <c r="AQ2746" s="1539"/>
      <c r="AR2746" s="1539"/>
      <c r="AS2746" s="1539"/>
      <c r="AT2746" s="1539"/>
      <c r="AU2746" s="1539"/>
      <c r="AV2746" s="1539"/>
      <c r="AW2746" s="1539"/>
      <c r="AX2746" s="1539"/>
      <c r="AY2746" s="1539"/>
      <c r="AZ2746" s="1539"/>
      <c r="BA2746" s="1539"/>
      <c r="BB2746" s="1539"/>
      <c r="BC2746" s="1539"/>
      <c r="BD2746" s="1539"/>
      <c r="BE2746" s="1539"/>
      <c r="BF2746" s="1539"/>
      <c r="BG2746" s="1539"/>
      <c r="BH2746" s="1539"/>
      <c r="BI2746" s="1539"/>
      <c r="BJ2746" s="1539"/>
      <c r="BK2746" s="1539"/>
      <c r="BL2746" s="1539"/>
      <c r="BM2746" s="1539"/>
      <c r="BN2746" s="1539"/>
      <c r="BO2746" s="1539"/>
      <c r="BP2746" s="1539"/>
      <c r="BQ2746" s="1539"/>
      <c r="BR2746" s="1539"/>
      <c r="BS2746" s="1539"/>
      <c r="BT2746" s="1539"/>
      <c r="BU2746" s="1539"/>
      <c r="BV2746" s="1539"/>
      <c r="BW2746" s="1539"/>
      <c r="BX2746" s="1539"/>
      <c r="BY2746" s="1539"/>
      <c r="BZ2746" s="1539"/>
      <c r="CA2746" s="1539"/>
      <c r="CB2746" s="1539"/>
      <c r="CC2746" s="1539"/>
      <c r="CD2746" s="1539"/>
      <c r="CE2746" s="1539"/>
      <c r="CF2746" s="1539"/>
      <c r="CG2746" s="1539"/>
      <c r="CH2746" s="1539"/>
      <c r="CI2746" s="1539"/>
      <c r="CJ2746" s="1539"/>
      <c r="CK2746" s="1539"/>
      <c r="CL2746" s="1539"/>
      <c r="CM2746" s="1539"/>
      <c r="CN2746" s="1539"/>
      <c r="CO2746" s="1539"/>
    </row>
    <row r="2747" spans="1:93" s="1542" customFormat="1" ht="15.5">
      <c r="A2747" s="1598" t="s">
        <v>1762</v>
      </c>
      <c r="B2747" s="1599" t="s">
        <v>3524</v>
      </c>
      <c r="C2747" s="1643" t="e">
        <f>+SUMIF(#REF!,Final!A2747,#REF!)</f>
        <v>#REF!</v>
      </c>
      <c r="D2747" s="1597" t="e">
        <f>+SUMIF(#REF!,Final!A2747,#REF!)</f>
        <v>#REF!</v>
      </c>
      <c r="E2747" s="1643" t="e">
        <f>SUMIF(#REF!,Final!A2747,#REF!)</f>
        <v>#REF!</v>
      </c>
      <c r="F2747" s="1644" t="e">
        <f>SUMIF(#REF!,Final!A2747,#REF!)</f>
        <v>#REF!</v>
      </c>
      <c r="G2747" s="1597" t="e">
        <f t="shared" si="284"/>
        <v>#REF!</v>
      </c>
      <c r="H2747" s="1644" t="e">
        <f t="shared" si="285"/>
        <v>#REF!</v>
      </c>
      <c r="I2747" s="1597" t="e">
        <f t="shared" si="286"/>
        <v>#REF!</v>
      </c>
      <c r="J2747" s="1644" t="e">
        <f t="shared" si="287"/>
        <v>#REF!</v>
      </c>
      <c r="K2747" s="1539"/>
      <c r="L2747" s="1539"/>
      <c r="M2747" s="1545"/>
      <c r="N2747" s="1545"/>
      <c r="O2747" s="1539"/>
      <c r="P2747" s="1539"/>
      <c r="Q2747" s="1539"/>
      <c r="R2747" s="1539"/>
      <c r="S2747" s="1539"/>
      <c r="T2747" s="1539"/>
      <c r="U2747" s="1539"/>
      <c r="V2747" s="1539"/>
      <c r="W2747" s="1539"/>
      <c r="X2747" s="1539"/>
      <c r="Y2747" s="1539"/>
      <c r="Z2747" s="1539"/>
      <c r="AA2747" s="1539"/>
      <c r="AB2747" s="1539"/>
      <c r="AC2747" s="1539"/>
      <c r="AD2747" s="1539"/>
      <c r="AE2747" s="1539"/>
      <c r="AF2747" s="1539"/>
      <c r="AG2747" s="1539"/>
      <c r="AH2747" s="1539"/>
      <c r="AI2747" s="1539"/>
      <c r="AJ2747" s="1539"/>
      <c r="AK2747" s="1539"/>
      <c r="AL2747" s="1539"/>
      <c r="AM2747" s="1539"/>
      <c r="AN2747" s="1539"/>
      <c r="AO2747" s="1539"/>
      <c r="AP2747" s="1539"/>
      <c r="AQ2747" s="1539"/>
      <c r="AR2747" s="1539"/>
      <c r="AS2747" s="1539"/>
      <c r="AT2747" s="1539"/>
      <c r="AU2747" s="1539"/>
      <c r="AV2747" s="1539"/>
      <c r="AW2747" s="1539"/>
      <c r="AX2747" s="1539"/>
      <c r="AY2747" s="1539"/>
      <c r="AZ2747" s="1539"/>
      <c r="BA2747" s="1539"/>
      <c r="BB2747" s="1539"/>
      <c r="BC2747" s="1539"/>
      <c r="BD2747" s="1539"/>
      <c r="BE2747" s="1539"/>
      <c r="BF2747" s="1539"/>
      <c r="BG2747" s="1539"/>
      <c r="BH2747" s="1539"/>
      <c r="BI2747" s="1539"/>
      <c r="BJ2747" s="1539"/>
      <c r="BK2747" s="1539"/>
      <c r="BL2747" s="1539"/>
      <c r="BM2747" s="1539"/>
      <c r="BN2747" s="1539"/>
      <c r="BO2747" s="1539"/>
      <c r="BP2747" s="1539"/>
      <c r="BQ2747" s="1539"/>
      <c r="BR2747" s="1539"/>
      <c r="BS2747" s="1539"/>
      <c r="BT2747" s="1539"/>
      <c r="BU2747" s="1539"/>
      <c r="BV2747" s="1539"/>
      <c r="BW2747" s="1539"/>
      <c r="BX2747" s="1539"/>
      <c r="BY2747" s="1539"/>
      <c r="BZ2747" s="1539"/>
      <c r="CA2747" s="1539"/>
      <c r="CB2747" s="1539"/>
      <c r="CC2747" s="1539"/>
      <c r="CD2747" s="1539"/>
      <c r="CE2747" s="1539"/>
      <c r="CF2747" s="1539"/>
      <c r="CG2747" s="1539"/>
      <c r="CH2747" s="1539"/>
      <c r="CI2747" s="1539"/>
      <c r="CJ2747" s="1539"/>
      <c r="CK2747" s="1539"/>
      <c r="CL2747" s="1539"/>
      <c r="CM2747" s="1539"/>
      <c r="CN2747" s="1539"/>
      <c r="CO2747" s="1539"/>
    </row>
    <row r="2748" spans="1:93" s="1542" customFormat="1" ht="15.5">
      <c r="A2748" s="1598">
        <v>70.108000000000004</v>
      </c>
      <c r="B2748" s="1599" t="s">
        <v>3525</v>
      </c>
      <c r="C2748" s="1643" t="e">
        <f>+SUMIF(#REF!,Final!A2748,#REF!)</f>
        <v>#REF!</v>
      </c>
      <c r="D2748" s="1597" t="e">
        <f>+SUMIF(#REF!,Final!A2748,#REF!)</f>
        <v>#REF!</v>
      </c>
      <c r="E2748" s="1643" t="e">
        <f>SUMIF(#REF!,Final!A2748,#REF!)</f>
        <v>#REF!</v>
      </c>
      <c r="F2748" s="1644" t="e">
        <f>SUMIF(#REF!,Final!A2748,#REF!)</f>
        <v>#REF!</v>
      </c>
      <c r="G2748" s="1597" t="e">
        <f t="shared" si="284"/>
        <v>#REF!</v>
      </c>
      <c r="H2748" s="1644" t="e">
        <f t="shared" si="285"/>
        <v>#REF!</v>
      </c>
      <c r="I2748" s="1597" t="e">
        <f t="shared" si="286"/>
        <v>#REF!</v>
      </c>
      <c r="J2748" s="1644" t="e">
        <f t="shared" si="287"/>
        <v>#REF!</v>
      </c>
      <c r="K2748" s="1539"/>
      <c r="L2748" s="1539"/>
      <c r="M2748" s="1545"/>
      <c r="N2748" s="1545"/>
      <c r="O2748" s="1539"/>
      <c r="P2748" s="1539"/>
      <c r="Q2748" s="1539"/>
      <c r="R2748" s="1539"/>
      <c r="S2748" s="1539"/>
      <c r="T2748" s="1539"/>
      <c r="U2748" s="1539"/>
      <c r="V2748" s="1539"/>
      <c r="W2748" s="1539"/>
      <c r="X2748" s="1539"/>
      <c r="Y2748" s="1539"/>
      <c r="Z2748" s="1539"/>
      <c r="AA2748" s="1539"/>
      <c r="AB2748" s="1539"/>
      <c r="AC2748" s="1539"/>
      <c r="AD2748" s="1539"/>
      <c r="AE2748" s="1539"/>
      <c r="AF2748" s="1539"/>
      <c r="AG2748" s="1539"/>
      <c r="AH2748" s="1539"/>
      <c r="AI2748" s="1539"/>
      <c r="AJ2748" s="1539"/>
      <c r="AK2748" s="1539"/>
      <c r="AL2748" s="1539"/>
      <c r="AM2748" s="1539"/>
      <c r="AN2748" s="1539"/>
      <c r="AO2748" s="1539"/>
      <c r="AP2748" s="1539"/>
      <c r="AQ2748" s="1539"/>
      <c r="AR2748" s="1539"/>
      <c r="AS2748" s="1539"/>
      <c r="AT2748" s="1539"/>
      <c r="AU2748" s="1539"/>
      <c r="AV2748" s="1539"/>
      <c r="AW2748" s="1539"/>
      <c r="AX2748" s="1539"/>
      <c r="AY2748" s="1539"/>
      <c r="AZ2748" s="1539"/>
      <c r="BA2748" s="1539"/>
      <c r="BB2748" s="1539"/>
      <c r="BC2748" s="1539"/>
      <c r="BD2748" s="1539"/>
      <c r="BE2748" s="1539"/>
      <c r="BF2748" s="1539"/>
      <c r="BG2748" s="1539"/>
      <c r="BH2748" s="1539"/>
      <c r="BI2748" s="1539"/>
      <c r="BJ2748" s="1539"/>
      <c r="BK2748" s="1539"/>
      <c r="BL2748" s="1539"/>
      <c r="BM2748" s="1539"/>
      <c r="BN2748" s="1539"/>
      <c r="BO2748" s="1539"/>
      <c r="BP2748" s="1539"/>
      <c r="BQ2748" s="1539"/>
      <c r="BR2748" s="1539"/>
      <c r="BS2748" s="1539"/>
      <c r="BT2748" s="1539"/>
      <c r="BU2748" s="1539"/>
      <c r="BV2748" s="1539"/>
      <c r="BW2748" s="1539"/>
      <c r="BX2748" s="1539"/>
      <c r="BY2748" s="1539"/>
      <c r="BZ2748" s="1539"/>
      <c r="CA2748" s="1539"/>
      <c r="CB2748" s="1539"/>
      <c r="CC2748" s="1539"/>
      <c r="CD2748" s="1539"/>
      <c r="CE2748" s="1539"/>
      <c r="CF2748" s="1539"/>
      <c r="CG2748" s="1539"/>
      <c r="CH2748" s="1539"/>
      <c r="CI2748" s="1539"/>
      <c r="CJ2748" s="1539"/>
      <c r="CK2748" s="1539"/>
      <c r="CL2748" s="1539"/>
      <c r="CM2748" s="1539"/>
      <c r="CN2748" s="1539"/>
      <c r="CO2748" s="1539"/>
    </row>
    <row r="2749" spans="1:93" s="1542" customFormat="1" ht="15.5">
      <c r="A2749" s="1598">
        <v>70.108999999999995</v>
      </c>
      <c r="B2749" s="1599" t="s">
        <v>3526</v>
      </c>
      <c r="C2749" s="1643" t="e">
        <f>+SUMIF(#REF!,Final!A2749,#REF!)</f>
        <v>#REF!</v>
      </c>
      <c r="D2749" s="1597" t="e">
        <f>+SUMIF(#REF!,Final!A2749,#REF!)</f>
        <v>#REF!</v>
      </c>
      <c r="E2749" s="1643" t="e">
        <f>SUMIF(#REF!,Final!A2749,#REF!)</f>
        <v>#REF!</v>
      </c>
      <c r="F2749" s="1644" t="e">
        <f>SUMIF(#REF!,Final!A2749,#REF!)</f>
        <v>#REF!</v>
      </c>
      <c r="G2749" s="1597" t="e">
        <f t="shared" si="284"/>
        <v>#REF!</v>
      </c>
      <c r="H2749" s="1644" t="e">
        <f t="shared" si="285"/>
        <v>#REF!</v>
      </c>
      <c r="I2749" s="1597" t="e">
        <f t="shared" si="286"/>
        <v>#REF!</v>
      </c>
      <c r="J2749" s="1644" t="e">
        <f t="shared" si="287"/>
        <v>#REF!</v>
      </c>
      <c r="K2749" s="1539"/>
      <c r="L2749" s="1539"/>
      <c r="M2749" s="1545"/>
      <c r="N2749" s="1545"/>
      <c r="O2749" s="1539"/>
      <c r="P2749" s="1539"/>
      <c r="Q2749" s="1539"/>
      <c r="R2749" s="1539"/>
      <c r="S2749" s="1539"/>
      <c r="T2749" s="1539"/>
      <c r="U2749" s="1539"/>
      <c r="V2749" s="1539"/>
      <c r="W2749" s="1539"/>
      <c r="X2749" s="1539"/>
      <c r="Y2749" s="1539"/>
      <c r="Z2749" s="1539"/>
      <c r="AA2749" s="1539"/>
      <c r="AB2749" s="1539"/>
      <c r="AC2749" s="1539"/>
      <c r="AD2749" s="1539"/>
      <c r="AE2749" s="1539"/>
      <c r="AF2749" s="1539"/>
      <c r="AG2749" s="1539"/>
      <c r="AH2749" s="1539"/>
      <c r="AI2749" s="1539"/>
      <c r="AJ2749" s="1539"/>
      <c r="AK2749" s="1539"/>
      <c r="AL2749" s="1539"/>
      <c r="AM2749" s="1539"/>
      <c r="AN2749" s="1539"/>
      <c r="AO2749" s="1539"/>
      <c r="AP2749" s="1539"/>
      <c r="AQ2749" s="1539"/>
      <c r="AR2749" s="1539"/>
      <c r="AS2749" s="1539"/>
      <c r="AT2749" s="1539"/>
      <c r="AU2749" s="1539"/>
      <c r="AV2749" s="1539"/>
      <c r="AW2749" s="1539"/>
      <c r="AX2749" s="1539"/>
      <c r="AY2749" s="1539"/>
      <c r="AZ2749" s="1539"/>
      <c r="BA2749" s="1539"/>
      <c r="BB2749" s="1539"/>
      <c r="BC2749" s="1539"/>
      <c r="BD2749" s="1539"/>
      <c r="BE2749" s="1539"/>
      <c r="BF2749" s="1539"/>
      <c r="BG2749" s="1539"/>
      <c r="BH2749" s="1539"/>
      <c r="BI2749" s="1539"/>
      <c r="BJ2749" s="1539"/>
      <c r="BK2749" s="1539"/>
      <c r="BL2749" s="1539"/>
      <c r="BM2749" s="1539"/>
      <c r="BN2749" s="1539"/>
      <c r="BO2749" s="1539"/>
      <c r="BP2749" s="1539"/>
      <c r="BQ2749" s="1539"/>
      <c r="BR2749" s="1539"/>
      <c r="BS2749" s="1539"/>
      <c r="BT2749" s="1539"/>
      <c r="BU2749" s="1539"/>
      <c r="BV2749" s="1539"/>
      <c r="BW2749" s="1539"/>
      <c r="BX2749" s="1539"/>
      <c r="BY2749" s="1539"/>
      <c r="BZ2749" s="1539"/>
      <c r="CA2749" s="1539"/>
      <c r="CB2749" s="1539"/>
      <c r="CC2749" s="1539"/>
      <c r="CD2749" s="1539"/>
      <c r="CE2749" s="1539"/>
      <c r="CF2749" s="1539"/>
      <c r="CG2749" s="1539"/>
      <c r="CH2749" s="1539"/>
      <c r="CI2749" s="1539"/>
      <c r="CJ2749" s="1539"/>
      <c r="CK2749" s="1539"/>
      <c r="CL2749" s="1539"/>
      <c r="CM2749" s="1539"/>
      <c r="CN2749" s="1539"/>
      <c r="CO2749" s="1539"/>
    </row>
    <row r="2750" spans="1:93" s="1542" customFormat="1" ht="15.5">
      <c r="A2750" s="1598">
        <v>70.11</v>
      </c>
      <c r="B2750" s="1599" t="s">
        <v>3527</v>
      </c>
      <c r="C2750" s="1643" t="e">
        <f>+SUMIF(#REF!,Final!A2750,#REF!)</f>
        <v>#REF!</v>
      </c>
      <c r="D2750" s="1597" t="e">
        <f>+SUMIF(#REF!,Final!A2750,#REF!)</f>
        <v>#REF!</v>
      </c>
      <c r="E2750" s="1643" t="e">
        <f>SUMIF(#REF!,Final!A2750,#REF!)</f>
        <v>#REF!</v>
      </c>
      <c r="F2750" s="1644" t="e">
        <f>SUMIF(#REF!,Final!A2750,#REF!)</f>
        <v>#REF!</v>
      </c>
      <c r="G2750" s="1597" t="e">
        <f t="shared" si="284"/>
        <v>#REF!</v>
      </c>
      <c r="H2750" s="1644" t="e">
        <f t="shared" si="285"/>
        <v>#REF!</v>
      </c>
      <c r="I2750" s="1597" t="e">
        <f t="shared" si="286"/>
        <v>#REF!</v>
      </c>
      <c r="J2750" s="1644" t="e">
        <f t="shared" si="287"/>
        <v>#REF!</v>
      </c>
      <c r="K2750" s="1539"/>
      <c r="L2750" s="1539"/>
      <c r="M2750" s="1545"/>
      <c r="N2750" s="1545"/>
      <c r="O2750" s="1539"/>
      <c r="P2750" s="1539"/>
      <c r="Q2750" s="1539"/>
      <c r="R2750" s="1539"/>
      <c r="S2750" s="1539"/>
      <c r="T2750" s="1539"/>
      <c r="U2750" s="1539"/>
      <c r="V2750" s="1539"/>
      <c r="W2750" s="1539"/>
      <c r="X2750" s="1539"/>
      <c r="Y2750" s="1539"/>
      <c r="Z2750" s="1539"/>
      <c r="AA2750" s="1539"/>
      <c r="AB2750" s="1539"/>
      <c r="AC2750" s="1539"/>
      <c r="AD2750" s="1539"/>
      <c r="AE2750" s="1539"/>
      <c r="AF2750" s="1539"/>
      <c r="AG2750" s="1539"/>
      <c r="AH2750" s="1539"/>
      <c r="AI2750" s="1539"/>
      <c r="AJ2750" s="1539"/>
      <c r="AK2750" s="1539"/>
      <c r="AL2750" s="1539"/>
      <c r="AM2750" s="1539"/>
      <c r="AN2750" s="1539"/>
      <c r="AO2750" s="1539"/>
      <c r="AP2750" s="1539"/>
      <c r="AQ2750" s="1539"/>
      <c r="AR2750" s="1539"/>
      <c r="AS2750" s="1539"/>
      <c r="AT2750" s="1539"/>
      <c r="AU2750" s="1539"/>
      <c r="AV2750" s="1539"/>
      <c r="AW2750" s="1539"/>
      <c r="AX2750" s="1539"/>
      <c r="AY2750" s="1539"/>
      <c r="AZ2750" s="1539"/>
      <c r="BA2750" s="1539"/>
      <c r="BB2750" s="1539"/>
      <c r="BC2750" s="1539"/>
      <c r="BD2750" s="1539"/>
      <c r="BE2750" s="1539"/>
      <c r="BF2750" s="1539"/>
      <c r="BG2750" s="1539"/>
      <c r="BH2750" s="1539"/>
      <c r="BI2750" s="1539"/>
      <c r="BJ2750" s="1539"/>
      <c r="BK2750" s="1539"/>
      <c r="BL2750" s="1539"/>
      <c r="BM2750" s="1539"/>
      <c r="BN2750" s="1539"/>
      <c r="BO2750" s="1539"/>
      <c r="BP2750" s="1539"/>
      <c r="BQ2750" s="1539"/>
      <c r="BR2750" s="1539"/>
      <c r="BS2750" s="1539"/>
      <c r="BT2750" s="1539"/>
      <c r="BU2750" s="1539"/>
      <c r="BV2750" s="1539"/>
      <c r="BW2750" s="1539"/>
      <c r="BX2750" s="1539"/>
      <c r="BY2750" s="1539"/>
      <c r="BZ2750" s="1539"/>
      <c r="CA2750" s="1539"/>
      <c r="CB2750" s="1539"/>
      <c r="CC2750" s="1539"/>
      <c r="CD2750" s="1539"/>
      <c r="CE2750" s="1539"/>
      <c r="CF2750" s="1539"/>
      <c r="CG2750" s="1539"/>
      <c r="CH2750" s="1539"/>
      <c r="CI2750" s="1539"/>
      <c r="CJ2750" s="1539"/>
      <c r="CK2750" s="1539"/>
      <c r="CL2750" s="1539"/>
      <c r="CM2750" s="1539"/>
      <c r="CN2750" s="1539"/>
      <c r="CO2750" s="1539"/>
    </row>
    <row r="2751" spans="1:93" s="1552" customFormat="1" ht="15.5">
      <c r="A2751" s="1598"/>
      <c r="B2751" s="1599" t="s">
        <v>1747</v>
      </c>
      <c r="C2751" s="1643" t="e">
        <f>+SUMIF(#REF!,Final!A2751,#REF!)</f>
        <v>#REF!</v>
      </c>
      <c r="D2751" s="1597" t="e">
        <f>+SUMIF(#REF!,Final!A2751,#REF!)</f>
        <v>#REF!</v>
      </c>
      <c r="E2751" s="1643" t="e">
        <f>SUMIF(#REF!,Final!A2751,#REF!)</f>
        <v>#REF!</v>
      </c>
      <c r="F2751" s="1644" t="e">
        <f>SUMIF(#REF!,Final!A2751,#REF!)</f>
        <v>#REF!</v>
      </c>
      <c r="G2751" s="1597" t="e">
        <f t="shared" si="284"/>
        <v>#REF!</v>
      </c>
      <c r="H2751" s="1644" t="e">
        <f t="shared" si="285"/>
        <v>#REF!</v>
      </c>
      <c r="I2751" s="1597" t="e">
        <f t="shared" si="286"/>
        <v>#REF!</v>
      </c>
      <c r="J2751" s="1644" t="e">
        <f t="shared" si="287"/>
        <v>#REF!</v>
      </c>
      <c r="K2751" s="1539"/>
      <c r="L2751" s="1539"/>
      <c r="M2751" s="1545"/>
      <c r="N2751" s="1545"/>
      <c r="O2751" s="1539"/>
      <c r="P2751" s="1539"/>
      <c r="Q2751" s="1539"/>
      <c r="R2751" s="1539"/>
      <c r="S2751" s="1539"/>
      <c r="T2751" s="1539"/>
      <c r="U2751" s="1539"/>
      <c r="V2751" s="1539"/>
      <c r="W2751" s="1539"/>
      <c r="X2751" s="1539"/>
      <c r="Y2751" s="1539"/>
      <c r="Z2751" s="1539"/>
      <c r="AA2751" s="1539"/>
      <c r="AB2751" s="1539"/>
      <c r="AC2751" s="1539"/>
      <c r="AD2751" s="1539"/>
      <c r="AE2751" s="1539"/>
      <c r="AF2751" s="1539"/>
      <c r="AG2751" s="1539"/>
      <c r="AH2751" s="1539"/>
      <c r="AI2751" s="1539"/>
      <c r="AJ2751" s="1539"/>
      <c r="AK2751" s="1539"/>
      <c r="AL2751" s="1539"/>
      <c r="AM2751" s="1539"/>
      <c r="AN2751" s="1539"/>
      <c r="AO2751" s="1539"/>
      <c r="AP2751" s="1539"/>
      <c r="AQ2751" s="1539"/>
      <c r="AR2751" s="1539"/>
      <c r="AS2751" s="1539"/>
      <c r="AT2751" s="1539"/>
      <c r="AU2751" s="1539"/>
      <c r="AV2751" s="1539"/>
      <c r="AW2751" s="1539"/>
      <c r="AX2751" s="1539"/>
      <c r="AY2751" s="1539"/>
      <c r="AZ2751" s="1539"/>
      <c r="BA2751" s="1539"/>
      <c r="BB2751" s="1539"/>
      <c r="BC2751" s="1539"/>
      <c r="BD2751" s="1539"/>
      <c r="BE2751" s="1539"/>
      <c r="BF2751" s="1539"/>
      <c r="BG2751" s="1539"/>
      <c r="BH2751" s="1539"/>
      <c r="BI2751" s="1539"/>
      <c r="BJ2751" s="1539"/>
      <c r="BK2751" s="1539"/>
      <c r="BL2751" s="1539"/>
      <c r="BM2751" s="1539"/>
      <c r="BN2751" s="1539"/>
      <c r="BO2751" s="1539"/>
      <c r="BP2751" s="1539"/>
      <c r="BQ2751" s="1539"/>
      <c r="BR2751" s="1539"/>
      <c r="BS2751" s="1539"/>
      <c r="BT2751" s="1539"/>
      <c r="BU2751" s="1539"/>
      <c r="BV2751" s="1539"/>
      <c r="BW2751" s="1539"/>
      <c r="BX2751" s="1539"/>
      <c r="BY2751" s="1539"/>
      <c r="BZ2751" s="1539"/>
      <c r="CA2751" s="1539"/>
      <c r="CB2751" s="1539"/>
      <c r="CC2751" s="1539"/>
      <c r="CD2751" s="1539"/>
      <c r="CE2751" s="1539"/>
      <c r="CF2751" s="1539"/>
      <c r="CG2751" s="1539"/>
      <c r="CH2751" s="1539"/>
      <c r="CI2751" s="1539"/>
      <c r="CJ2751" s="1539"/>
      <c r="CK2751" s="1539"/>
      <c r="CL2751" s="1539"/>
      <c r="CM2751" s="1539"/>
      <c r="CN2751" s="1539"/>
      <c r="CO2751" s="1539"/>
    </row>
    <row r="2752" spans="1:93" s="1552" customFormat="1" ht="15.5">
      <c r="A2752" s="1598"/>
      <c r="B2752" s="1599" t="s">
        <v>1760</v>
      </c>
      <c r="C2752" s="1643" t="e">
        <f>+SUMIF(#REF!,Final!A2752,#REF!)</f>
        <v>#REF!</v>
      </c>
      <c r="D2752" s="1597" t="e">
        <f>+SUMIF(#REF!,Final!A2752,#REF!)</f>
        <v>#REF!</v>
      </c>
      <c r="E2752" s="1643" t="e">
        <f>SUMIF(#REF!,Final!A2752,#REF!)</f>
        <v>#REF!</v>
      </c>
      <c r="F2752" s="1644" t="e">
        <f>SUMIF(#REF!,Final!A2752,#REF!)</f>
        <v>#REF!</v>
      </c>
      <c r="G2752" s="1597" t="e">
        <f t="shared" si="284"/>
        <v>#REF!</v>
      </c>
      <c r="H2752" s="1644" t="e">
        <f t="shared" si="285"/>
        <v>#REF!</v>
      </c>
      <c r="I2752" s="1597" t="e">
        <f t="shared" si="286"/>
        <v>#REF!</v>
      </c>
      <c r="J2752" s="1644" t="e">
        <f t="shared" si="287"/>
        <v>#REF!</v>
      </c>
      <c r="K2752" s="1539"/>
      <c r="L2752" s="1539"/>
      <c r="M2752" s="1545"/>
      <c r="N2752" s="1545"/>
      <c r="O2752" s="1539"/>
      <c r="P2752" s="1539"/>
      <c r="Q2752" s="1539"/>
      <c r="R2752" s="1539"/>
      <c r="S2752" s="1539"/>
      <c r="T2752" s="1539"/>
      <c r="U2752" s="1539"/>
      <c r="V2752" s="1539"/>
      <c r="W2752" s="1539"/>
      <c r="X2752" s="1539"/>
      <c r="Y2752" s="1539"/>
      <c r="Z2752" s="1539"/>
      <c r="AA2752" s="1539"/>
      <c r="AB2752" s="1539"/>
      <c r="AC2752" s="1539"/>
      <c r="AD2752" s="1539"/>
      <c r="AE2752" s="1539"/>
      <c r="AF2752" s="1539"/>
      <c r="AG2752" s="1539"/>
      <c r="AH2752" s="1539"/>
      <c r="AI2752" s="1539"/>
      <c r="AJ2752" s="1539"/>
      <c r="AK2752" s="1539"/>
      <c r="AL2752" s="1539"/>
      <c r="AM2752" s="1539"/>
      <c r="AN2752" s="1539"/>
      <c r="AO2752" s="1539"/>
      <c r="AP2752" s="1539"/>
      <c r="AQ2752" s="1539"/>
      <c r="AR2752" s="1539"/>
      <c r="AS2752" s="1539"/>
      <c r="AT2752" s="1539"/>
      <c r="AU2752" s="1539"/>
      <c r="AV2752" s="1539"/>
      <c r="AW2752" s="1539"/>
      <c r="AX2752" s="1539"/>
      <c r="AY2752" s="1539"/>
      <c r="AZ2752" s="1539"/>
      <c r="BA2752" s="1539"/>
      <c r="BB2752" s="1539"/>
      <c r="BC2752" s="1539"/>
      <c r="BD2752" s="1539"/>
      <c r="BE2752" s="1539"/>
      <c r="BF2752" s="1539"/>
      <c r="BG2752" s="1539"/>
      <c r="BH2752" s="1539"/>
      <c r="BI2752" s="1539"/>
      <c r="BJ2752" s="1539"/>
      <c r="BK2752" s="1539"/>
      <c r="BL2752" s="1539"/>
      <c r="BM2752" s="1539"/>
      <c r="BN2752" s="1539"/>
      <c r="BO2752" s="1539"/>
      <c r="BP2752" s="1539"/>
      <c r="BQ2752" s="1539"/>
      <c r="BR2752" s="1539"/>
      <c r="BS2752" s="1539"/>
      <c r="BT2752" s="1539"/>
      <c r="BU2752" s="1539"/>
      <c r="BV2752" s="1539"/>
      <c r="BW2752" s="1539"/>
      <c r="BX2752" s="1539"/>
      <c r="BY2752" s="1539"/>
      <c r="BZ2752" s="1539"/>
      <c r="CA2752" s="1539"/>
      <c r="CB2752" s="1539"/>
      <c r="CC2752" s="1539"/>
      <c r="CD2752" s="1539"/>
      <c r="CE2752" s="1539"/>
      <c r="CF2752" s="1539"/>
      <c r="CG2752" s="1539"/>
      <c r="CH2752" s="1539"/>
      <c r="CI2752" s="1539"/>
      <c r="CJ2752" s="1539"/>
      <c r="CK2752" s="1539"/>
      <c r="CL2752" s="1539"/>
      <c r="CM2752" s="1539"/>
      <c r="CN2752" s="1539"/>
      <c r="CO2752" s="1539"/>
    </row>
    <row r="2753" spans="1:93" s="1542" customFormat="1" ht="15.5">
      <c r="A2753" s="1598" t="s">
        <v>1768</v>
      </c>
      <c r="B2753" s="1599" t="s">
        <v>3528</v>
      </c>
      <c r="C2753" s="1643" t="e">
        <f>+SUMIF(#REF!,Final!A2753,#REF!)</f>
        <v>#REF!</v>
      </c>
      <c r="D2753" s="1597" t="e">
        <f>+SUMIF(#REF!,Final!A2753,#REF!)</f>
        <v>#REF!</v>
      </c>
      <c r="E2753" s="1643" t="e">
        <f>SUMIF(#REF!,Final!A2753,#REF!)</f>
        <v>#REF!</v>
      </c>
      <c r="F2753" s="1644" t="e">
        <f>SUMIF(#REF!,Final!A2753,#REF!)</f>
        <v>#REF!</v>
      </c>
      <c r="G2753" s="1597" t="e">
        <f t="shared" si="284"/>
        <v>#REF!</v>
      </c>
      <c r="H2753" s="1644" t="e">
        <f t="shared" si="285"/>
        <v>#REF!</v>
      </c>
      <c r="I2753" s="1597" t="e">
        <f t="shared" si="286"/>
        <v>#REF!</v>
      </c>
      <c r="J2753" s="1644" t="e">
        <f t="shared" si="287"/>
        <v>#REF!</v>
      </c>
      <c r="K2753" s="1539"/>
      <c r="L2753" s="1539"/>
      <c r="M2753" s="1545"/>
      <c r="N2753" s="1545"/>
      <c r="O2753" s="1539"/>
      <c r="P2753" s="1539"/>
      <c r="Q2753" s="1539"/>
      <c r="R2753" s="1539"/>
      <c r="S2753" s="1539"/>
      <c r="T2753" s="1539"/>
      <c r="U2753" s="1539"/>
      <c r="V2753" s="1539"/>
      <c r="W2753" s="1539"/>
      <c r="X2753" s="1539"/>
      <c r="Y2753" s="1539"/>
      <c r="Z2753" s="1539"/>
      <c r="AA2753" s="1539"/>
      <c r="AB2753" s="1539"/>
      <c r="AC2753" s="1539"/>
      <c r="AD2753" s="1539"/>
      <c r="AE2753" s="1539"/>
      <c r="AF2753" s="1539"/>
      <c r="AG2753" s="1539"/>
      <c r="AH2753" s="1539"/>
      <c r="AI2753" s="1539"/>
      <c r="AJ2753" s="1539"/>
      <c r="AK2753" s="1539"/>
      <c r="AL2753" s="1539"/>
      <c r="AM2753" s="1539"/>
      <c r="AN2753" s="1539"/>
      <c r="AO2753" s="1539"/>
      <c r="AP2753" s="1539"/>
      <c r="AQ2753" s="1539"/>
      <c r="AR2753" s="1539"/>
      <c r="AS2753" s="1539"/>
      <c r="AT2753" s="1539"/>
      <c r="AU2753" s="1539"/>
      <c r="AV2753" s="1539"/>
      <c r="AW2753" s="1539"/>
      <c r="AX2753" s="1539"/>
      <c r="AY2753" s="1539"/>
      <c r="AZ2753" s="1539"/>
      <c r="BA2753" s="1539"/>
      <c r="BB2753" s="1539"/>
      <c r="BC2753" s="1539"/>
      <c r="BD2753" s="1539"/>
      <c r="BE2753" s="1539"/>
      <c r="BF2753" s="1539"/>
      <c r="BG2753" s="1539"/>
      <c r="BH2753" s="1539"/>
      <c r="BI2753" s="1539"/>
      <c r="BJ2753" s="1539"/>
      <c r="BK2753" s="1539"/>
      <c r="BL2753" s="1539"/>
      <c r="BM2753" s="1539"/>
      <c r="BN2753" s="1539"/>
      <c r="BO2753" s="1539"/>
      <c r="BP2753" s="1539"/>
      <c r="BQ2753" s="1539"/>
      <c r="BR2753" s="1539"/>
      <c r="BS2753" s="1539"/>
      <c r="BT2753" s="1539"/>
      <c r="BU2753" s="1539"/>
      <c r="BV2753" s="1539"/>
      <c r="BW2753" s="1539"/>
      <c r="BX2753" s="1539"/>
      <c r="BY2753" s="1539"/>
      <c r="BZ2753" s="1539"/>
      <c r="CA2753" s="1539"/>
      <c r="CB2753" s="1539"/>
      <c r="CC2753" s="1539"/>
      <c r="CD2753" s="1539"/>
      <c r="CE2753" s="1539"/>
      <c r="CF2753" s="1539"/>
      <c r="CG2753" s="1539"/>
      <c r="CH2753" s="1539"/>
      <c r="CI2753" s="1539"/>
      <c r="CJ2753" s="1539"/>
      <c r="CK2753" s="1539"/>
      <c r="CL2753" s="1539"/>
      <c r="CM2753" s="1539"/>
      <c r="CN2753" s="1539"/>
      <c r="CO2753" s="1539"/>
    </row>
    <row r="2754" spans="1:93" ht="15.5">
      <c r="A2754" s="1598">
        <v>70.510000000000005</v>
      </c>
      <c r="B2754" s="1599" t="s">
        <v>3529</v>
      </c>
      <c r="C2754" s="1643" t="e">
        <f>+SUMIF(#REF!,Final!A2754,#REF!)</f>
        <v>#REF!</v>
      </c>
      <c r="D2754" s="1597" t="e">
        <f>+SUMIF(#REF!,Final!A2754,#REF!)</f>
        <v>#REF!</v>
      </c>
      <c r="E2754" s="1643" t="e">
        <f>SUMIF(#REF!,Final!A2754,#REF!)</f>
        <v>#REF!</v>
      </c>
      <c r="F2754" s="1644" t="e">
        <f>SUMIF(#REF!,Final!A2754,#REF!)</f>
        <v>#REF!</v>
      </c>
      <c r="G2754" s="1597" t="e">
        <f t="shared" si="284"/>
        <v>#REF!</v>
      </c>
      <c r="H2754" s="1644" t="e">
        <f t="shared" si="285"/>
        <v>#REF!</v>
      </c>
      <c r="I2754" s="1597" t="e">
        <f t="shared" si="286"/>
        <v>#REF!</v>
      </c>
      <c r="J2754" s="1644" t="e">
        <f t="shared" si="287"/>
        <v>#REF!</v>
      </c>
      <c r="M2754" s="1545"/>
      <c r="N2754" s="1545"/>
    </row>
    <row r="2755" spans="1:93" s="1552" customFormat="1" ht="15.5">
      <c r="A2755" s="1598"/>
      <c r="B2755" s="1599" t="s">
        <v>1747</v>
      </c>
      <c r="C2755" s="1643" t="e">
        <f>+SUMIF(#REF!,Final!A2755,#REF!)</f>
        <v>#REF!</v>
      </c>
      <c r="D2755" s="1597" t="e">
        <f>+SUMIF(#REF!,Final!A2755,#REF!)</f>
        <v>#REF!</v>
      </c>
      <c r="E2755" s="1643" t="e">
        <f>SUMIF(#REF!,Final!A2755,#REF!)</f>
        <v>#REF!</v>
      </c>
      <c r="F2755" s="1644" t="e">
        <f>SUMIF(#REF!,Final!A2755,#REF!)</f>
        <v>#REF!</v>
      </c>
      <c r="G2755" s="1597" t="e">
        <f t="shared" si="284"/>
        <v>#REF!</v>
      </c>
      <c r="H2755" s="1644" t="e">
        <f t="shared" si="285"/>
        <v>#REF!</v>
      </c>
      <c r="I2755" s="1597" t="e">
        <f t="shared" si="286"/>
        <v>#REF!</v>
      </c>
      <c r="J2755" s="1644" t="e">
        <f t="shared" si="287"/>
        <v>#REF!</v>
      </c>
      <c r="K2755" s="1539"/>
      <c r="L2755" s="1539"/>
      <c r="M2755" s="1545"/>
      <c r="N2755" s="1545"/>
      <c r="O2755" s="1539"/>
      <c r="P2755" s="1539"/>
      <c r="Q2755" s="1539"/>
      <c r="R2755" s="1539"/>
      <c r="S2755" s="1539"/>
      <c r="T2755" s="1539"/>
      <c r="U2755" s="1539"/>
      <c r="V2755" s="1539"/>
      <c r="W2755" s="1539"/>
      <c r="X2755" s="1539"/>
      <c r="Y2755" s="1539"/>
      <c r="Z2755" s="1539"/>
      <c r="AA2755" s="1539"/>
      <c r="AB2755" s="1539"/>
      <c r="AC2755" s="1539"/>
      <c r="AD2755" s="1539"/>
      <c r="AE2755" s="1539"/>
      <c r="AF2755" s="1539"/>
      <c r="AG2755" s="1539"/>
      <c r="AH2755" s="1539"/>
      <c r="AI2755" s="1539"/>
      <c r="AJ2755" s="1539"/>
      <c r="AK2755" s="1539"/>
      <c r="AL2755" s="1539"/>
      <c r="AM2755" s="1539"/>
      <c r="AN2755" s="1539"/>
      <c r="AO2755" s="1539"/>
      <c r="AP2755" s="1539"/>
      <c r="AQ2755" s="1539"/>
      <c r="AR2755" s="1539"/>
      <c r="AS2755" s="1539"/>
      <c r="AT2755" s="1539"/>
      <c r="AU2755" s="1539"/>
      <c r="AV2755" s="1539"/>
      <c r="AW2755" s="1539"/>
      <c r="AX2755" s="1539"/>
      <c r="AY2755" s="1539"/>
      <c r="AZ2755" s="1539"/>
      <c r="BA2755" s="1539"/>
      <c r="BB2755" s="1539"/>
      <c r="BC2755" s="1539"/>
      <c r="BD2755" s="1539"/>
      <c r="BE2755" s="1539"/>
      <c r="BF2755" s="1539"/>
      <c r="BG2755" s="1539"/>
      <c r="BH2755" s="1539"/>
      <c r="BI2755" s="1539"/>
      <c r="BJ2755" s="1539"/>
      <c r="BK2755" s="1539"/>
      <c r="BL2755" s="1539"/>
      <c r="BM2755" s="1539"/>
      <c r="BN2755" s="1539"/>
      <c r="BO2755" s="1539"/>
      <c r="BP2755" s="1539"/>
      <c r="BQ2755" s="1539"/>
      <c r="BR2755" s="1539"/>
      <c r="BS2755" s="1539"/>
      <c r="BT2755" s="1539"/>
      <c r="BU2755" s="1539"/>
      <c r="BV2755" s="1539"/>
      <c r="BW2755" s="1539"/>
      <c r="BX2755" s="1539"/>
      <c r="BY2755" s="1539"/>
      <c r="BZ2755" s="1539"/>
      <c r="CA2755" s="1539"/>
      <c r="CB2755" s="1539"/>
      <c r="CC2755" s="1539"/>
      <c r="CD2755" s="1539"/>
      <c r="CE2755" s="1539"/>
      <c r="CF2755" s="1539"/>
      <c r="CG2755" s="1539"/>
      <c r="CH2755" s="1539"/>
      <c r="CI2755" s="1539"/>
      <c r="CJ2755" s="1539"/>
      <c r="CK2755" s="1539"/>
      <c r="CL2755" s="1539"/>
      <c r="CM2755" s="1539"/>
      <c r="CN2755" s="1539"/>
      <c r="CO2755" s="1539"/>
    </row>
    <row r="2756" spans="1:93" s="1552" customFormat="1" ht="15.5">
      <c r="A2756" s="1598"/>
      <c r="B2756" s="1599" t="s">
        <v>1760</v>
      </c>
      <c r="C2756" s="1643" t="e">
        <f>+SUMIF(#REF!,Final!A2756,#REF!)</f>
        <v>#REF!</v>
      </c>
      <c r="D2756" s="1597" t="e">
        <f>+SUMIF(#REF!,Final!A2756,#REF!)</f>
        <v>#REF!</v>
      </c>
      <c r="E2756" s="1643" t="e">
        <f>SUMIF(#REF!,Final!A2756,#REF!)</f>
        <v>#REF!</v>
      </c>
      <c r="F2756" s="1644" t="e">
        <f>SUMIF(#REF!,Final!A2756,#REF!)</f>
        <v>#REF!</v>
      </c>
      <c r="G2756" s="1597" t="e">
        <f t="shared" si="284"/>
        <v>#REF!</v>
      </c>
      <c r="H2756" s="1644" t="e">
        <f t="shared" si="285"/>
        <v>#REF!</v>
      </c>
      <c r="I2756" s="1597" t="e">
        <f t="shared" si="286"/>
        <v>#REF!</v>
      </c>
      <c r="J2756" s="1644" t="e">
        <f t="shared" si="287"/>
        <v>#REF!</v>
      </c>
      <c r="K2756" s="1539"/>
      <c r="L2756" s="1539"/>
      <c r="M2756" s="1545"/>
      <c r="N2756" s="1545"/>
      <c r="O2756" s="1539"/>
      <c r="P2756" s="1539"/>
      <c r="Q2756" s="1539"/>
      <c r="R2756" s="1539"/>
      <c r="S2756" s="1539"/>
      <c r="T2756" s="1539"/>
      <c r="U2756" s="1539"/>
      <c r="V2756" s="1539"/>
      <c r="W2756" s="1539"/>
      <c r="X2756" s="1539"/>
      <c r="Y2756" s="1539"/>
      <c r="Z2756" s="1539"/>
      <c r="AA2756" s="1539"/>
      <c r="AB2756" s="1539"/>
      <c r="AC2756" s="1539"/>
      <c r="AD2756" s="1539"/>
      <c r="AE2756" s="1539"/>
      <c r="AF2756" s="1539"/>
      <c r="AG2756" s="1539"/>
      <c r="AH2756" s="1539"/>
      <c r="AI2756" s="1539"/>
      <c r="AJ2756" s="1539"/>
      <c r="AK2756" s="1539"/>
      <c r="AL2756" s="1539"/>
      <c r="AM2756" s="1539"/>
      <c r="AN2756" s="1539"/>
      <c r="AO2756" s="1539"/>
      <c r="AP2756" s="1539"/>
      <c r="AQ2756" s="1539"/>
      <c r="AR2756" s="1539"/>
      <c r="AS2756" s="1539"/>
      <c r="AT2756" s="1539"/>
      <c r="AU2756" s="1539"/>
      <c r="AV2756" s="1539"/>
      <c r="AW2756" s="1539"/>
      <c r="AX2756" s="1539"/>
      <c r="AY2756" s="1539"/>
      <c r="AZ2756" s="1539"/>
      <c r="BA2756" s="1539"/>
      <c r="BB2756" s="1539"/>
      <c r="BC2756" s="1539"/>
      <c r="BD2756" s="1539"/>
      <c r="BE2756" s="1539"/>
      <c r="BF2756" s="1539"/>
      <c r="BG2756" s="1539"/>
      <c r="BH2756" s="1539"/>
      <c r="BI2756" s="1539"/>
      <c r="BJ2756" s="1539"/>
      <c r="BK2756" s="1539"/>
      <c r="BL2756" s="1539"/>
      <c r="BM2756" s="1539"/>
      <c r="BN2756" s="1539"/>
      <c r="BO2756" s="1539"/>
      <c r="BP2756" s="1539"/>
      <c r="BQ2756" s="1539"/>
      <c r="BR2756" s="1539"/>
      <c r="BS2756" s="1539"/>
      <c r="BT2756" s="1539"/>
      <c r="BU2756" s="1539"/>
      <c r="BV2756" s="1539"/>
      <c r="BW2756" s="1539"/>
      <c r="BX2756" s="1539"/>
      <c r="BY2756" s="1539"/>
      <c r="BZ2756" s="1539"/>
      <c r="CA2756" s="1539"/>
      <c r="CB2756" s="1539"/>
      <c r="CC2756" s="1539"/>
      <c r="CD2756" s="1539"/>
      <c r="CE2756" s="1539"/>
      <c r="CF2756" s="1539"/>
      <c r="CG2756" s="1539"/>
      <c r="CH2756" s="1539"/>
      <c r="CI2756" s="1539"/>
      <c r="CJ2756" s="1539"/>
      <c r="CK2756" s="1539"/>
      <c r="CL2756" s="1539"/>
      <c r="CM2756" s="1539"/>
      <c r="CN2756" s="1539"/>
      <c r="CO2756" s="1539"/>
    </row>
    <row r="2757" spans="1:93" s="1552" customFormat="1" ht="15.5">
      <c r="A2757" s="1598"/>
      <c r="B2757" s="1599" t="s">
        <v>3530</v>
      </c>
      <c r="C2757" s="1643" t="e">
        <f>+SUMIF(#REF!,Final!A2757,#REF!)</f>
        <v>#REF!</v>
      </c>
      <c r="D2757" s="1597" t="e">
        <f>+SUMIF(#REF!,Final!A2757,#REF!)</f>
        <v>#REF!</v>
      </c>
      <c r="E2757" s="1643" t="e">
        <f>SUMIF(#REF!,Final!A2757,#REF!)</f>
        <v>#REF!</v>
      </c>
      <c r="F2757" s="1644" t="e">
        <f>SUMIF(#REF!,Final!A2757,#REF!)</f>
        <v>#REF!</v>
      </c>
      <c r="G2757" s="1597" t="e">
        <f t="shared" si="284"/>
        <v>#REF!</v>
      </c>
      <c r="H2757" s="1644" t="e">
        <f t="shared" si="285"/>
        <v>#REF!</v>
      </c>
      <c r="I2757" s="1597" t="e">
        <f t="shared" si="286"/>
        <v>#REF!</v>
      </c>
      <c r="J2757" s="1644" t="e">
        <f t="shared" si="287"/>
        <v>#REF!</v>
      </c>
      <c r="K2757" s="1539"/>
      <c r="L2757" s="1539"/>
      <c r="M2757" s="1545"/>
      <c r="N2757" s="1545"/>
      <c r="O2757" s="1539"/>
      <c r="P2757" s="1539"/>
      <c r="Q2757" s="1539"/>
      <c r="R2757" s="1539"/>
      <c r="S2757" s="1539"/>
      <c r="T2757" s="1539"/>
      <c r="U2757" s="1539"/>
      <c r="V2757" s="1539"/>
      <c r="W2757" s="1539"/>
      <c r="X2757" s="1539"/>
      <c r="Y2757" s="1539"/>
      <c r="Z2757" s="1539"/>
      <c r="AA2757" s="1539"/>
      <c r="AB2757" s="1539"/>
      <c r="AC2757" s="1539"/>
      <c r="AD2757" s="1539"/>
      <c r="AE2757" s="1539"/>
      <c r="AF2757" s="1539"/>
      <c r="AG2757" s="1539"/>
      <c r="AH2757" s="1539"/>
      <c r="AI2757" s="1539"/>
      <c r="AJ2757" s="1539"/>
      <c r="AK2757" s="1539"/>
      <c r="AL2757" s="1539"/>
      <c r="AM2757" s="1539"/>
      <c r="AN2757" s="1539"/>
      <c r="AO2757" s="1539"/>
      <c r="AP2757" s="1539"/>
      <c r="AQ2757" s="1539"/>
      <c r="AR2757" s="1539"/>
      <c r="AS2757" s="1539"/>
      <c r="AT2757" s="1539"/>
      <c r="AU2757" s="1539"/>
      <c r="AV2757" s="1539"/>
      <c r="AW2757" s="1539"/>
      <c r="AX2757" s="1539"/>
      <c r="AY2757" s="1539"/>
      <c r="AZ2757" s="1539"/>
      <c r="BA2757" s="1539"/>
      <c r="BB2757" s="1539"/>
      <c r="BC2757" s="1539"/>
      <c r="BD2757" s="1539"/>
      <c r="BE2757" s="1539"/>
      <c r="BF2757" s="1539"/>
      <c r="BG2757" s="1539"/>
      <c r="BH2757" s="1539"/>
      <c r="BI2757" s="1539"/>
      <c r="BJ2757" s="1539"/>
      <c r="BK2757" s="1539"/>
      <c r="BL2757" s="1539"/>
      <c r="BM2757" s="1539"/>
      <c r="BN2757" s="1539"/>
      <c r="BO2757" s="1539"/>
      <c r="BP2757" s="1539"/>
      <c r="BQ2757" s="1539"/>
      <c r="BR2757" s="1539"/>
      <c r="BS2757" s="1539"/>
      <c r="BT2757" s="1539"/>
      <c r="BU2757" s="1539"/>
      <c r="BV2757" s="1539"/>
      <c r="BW2757" s="1539"/>
      <c r="BX2757" s="1539"/>
      <c r="BY2757" s="1539"/>
      <c r="BZ2757" s="1539"/>
      <c r="CA2757" s="1539"/>
      <c r="CB2757" s="1539"/>
      <c r="CC2757" s="1539"/>
      <c r="CD2757" s="1539"/>
      <c r="CE2757" s="1539"/>
      <c r="CF2757" s="1539"/>
      <c r="CG2757" s="1539"/>
      <c r="CH2757" s="1539"/>
      <c r="CI2757" s="1539"/>
      <c r="CJ2757" s="1539"/>
      <c r="CK2757" s="1539"/>
      <c r="CL2757" s="1539"/>
      <c r="CM2757" s="1539"/>
      <c r="CN2757" s="1539"/>
      <c r="CO2757" s="1539"/>
    </row>
    <row r="2758" spans="1:93" s="1542" customFormat="1" ht="15.5">
      <c r="A2758" s="1598">
        <v>24</v>
      </c>
      <c r="B2758" s="1599" t="s">
        <v>3042</v>
      </c>
      <c r="C2758" s="1643" t="e">
        <f>+SUMIF(#REF!,Final!A2758,#REF!)</f>
        <v>#REF!</v>
      </c>
      <c r="D2758" s="1597" t="e">
        <f>+SUMIF(#REF!,Final!A2758,#REF!)</f>
        <v>#REF!</v>
      </c>
      <c r="E2758" s="1643" t="e">
        <f>SUMIF(#REF!,Final!A2758,#REF!)</f>
        <v>#REF!</v>
      </c>
      <c r="F2758" s="1644" t="e">
        <f>SUMIF(#REF!,Final!A2758,#REF!)</f>
        <v>#REF!</v>
      </c>
      <c r="G2758" s="1597" t="e">
        <f t="shared" si="284"/>
        <v>#REF!</v>
      </c>
      <c r="H2758" s="1644" t="e">
        <f t="shared" si="285"/>
        <v>#REF!</v>
      </c>
      <c r="I2758" s="1597" t="e">
        <f t="shared" si="286"/>
        <v>#REF!</v>
      </c>
      <c r="J2758" s="1644" t="e">
        <f t="shared" si="287"/>
        <v>#REF!</v>
      </c>
      <c r="K2758" s="1539"/>
      <c r="L2758" s="1539"/>
      <c r="M2758" s="1545"/>
      <c r="N2758" s="1545"/>
      <c r="O2758" s="1539"/>
      <c r="P2758" s="1539"/>
      <c r="Q2758" s="1539"/>
      <c r="R2758" s="1539"/>
      <c r="S2758" s="1539"/>
      <c r="T2758" s="1539"/>
      <c r="U2758" s="1539"/>
      <c r="V2758" s="1539"/>
      <c r="W2758" s="1539"/>
      <c r="X2758" s="1539"/>
      <c r="Y2758" s="1539"/>
      <c r="Z2758" s="1539"/>
      <c r="AA2758" s="1539"/>
      <c r="AB2758" s="1539"/>
      <c r="AC2758" s="1539"/>
      <c r="AD2758" s="1539"/>
      <c r="AE2758" s="1539"/>
      <c r="AF2758" s="1539"/>
      <c r="AG2758" s="1539"/>
      <c r="AH2758" s="1539"/>
      <c r="AI2758" s="1539"/>
      <c r="AJ2758" s="1539"/>
      <c r="AK2758" s="1539"/>
      <c r="AL2758" s="1539"/>
      <c r="AM2758" s="1539"/>
      <c r="AN2758" s="1539"/>
      <c r="AO2758" s="1539"/>
      <c r="AP2758" s="1539"/>
      <c r="AQ2758" s="1539"/>
      <c r="AR2758" s="1539"/>
      <c r="AS2758" s="1539"/>
      <c r="AT2758" s="1539"/>
      <c r="AU2758" s="1539"/>
      <c r="AV2758" s="1539"/>
      <c r="AW2758" s="1539"/>
      <c r="AX2758" s="1539"/>
      <c r="AY2758" s="1539"/>
      <c r="AZ2758" s="1539"/>
      <c r="BA2758" s="1539"/>
      <c r="BB2758" s="1539"/>
      <c r="BC2758" s="1539"/>
      <c r="BD2758" s="1539"/>
      <c r="BE2758" s="1539"/>
      <c r="BF2758" s="1539"/>
      <c r="BG2758" s="1539"/>
      <c r="BH2758" s="1539"/>
      <c r="BI2758" s="1539"/>
      <c r="BJ2758" s="1539"/>
      <c r="BK2758" s="1539"/>
      <c r="BL2758" s="1539"/>
      <c r="BM2758" s="1539"/>
      <c r="BN2758" s="1539"/>
      <c r="BO2758" s="1539"/>
      <c r="BP2758" s="1539"/>
      <c r="BQ2758" s="1539"/>
      <c r="BR2758" s="1539"/>
      <c r="BS2758" s="1539"/>
      <c r="BT2758" s="1539"/>
      <c r="BU2758" s="1539"/>
      <c r="BV2758" s="1539"/>
      <c r="BW2758" s="1539"/>
      <c r="BX2758" s="1539"/>
      <c r="BY2758" s="1539"/>
      <c r="BZ2758" s="1539"/>
      <c r="CA2758" s="1539"/>
      <c r="CB2758" s="1539"/>
      <c r="CC2758" s="1539"/>
      <c r="CD2758" s="1539"/>
      <c r="CE2758" s="1539"/>
      <c r="CF2758" s="1539"/>
      <c r="CG2758" s="1539"/>
      <c r="CH2758" s="1539"/>
      <c r="CI2758" s="1539"/>
      <c r="CJ2758" s="1539"/>
      <c r="CK2758" s="1539"/>
      <c r="CL2758" s="1539"/>
      <c r="CM2758" s="1539"/>
      <c r="CN2758" s="1539"/>
      <c r="CO2758" s="1539"/>
    </row>
    <row r="2759" spans="1:93" s="1542" customFormat="1" ht="15.5">
      <c r="A2759" s="1598" t="s">
        <v>543</v>
      </c>
      <c r="B2759" s="1599" t="s">
        <v>3043</v>
      </c>
      <c r="C2759" s="1643" t="e">
        <f>+SUMIF(#REF!,Final!A2759,#REF!)</f>
        <v>#REF!</v>
      </c>
      <c r="D2759" s="1597" t="e">
        <f>+SUMIF(#REF!,Final!A2759,#REF!)</f>
        <v>#REF!</v>
      </c>
      <c r="E2759" s="1643" t="e">
        <f>SUMIF(#REF!,Final!A2759,#REF!)</f>
        <v>#REF!</v>
      </c>
      <c r="F2759" s="1644" t="e">
        <f>SUMIF(#REF!,Final!A2759,#REF!)</f>
        <v>#REF!</v>
      </c>
      <c r="G2759" s="1597" t="e">
        <f t="shared" si="284"/>
        <v>#REF!</v>
      </c>
      <c r="H2759" s="1644" t="e">
        <f t="shared" si="285"/>
        <v>#REF!</v>
      </c>
      <c r="I2759" s="1597" t="e">
        <f t="shared" si="286"/>
        <v>#REF!</v>
      </c>
      <c r="J2759" s="1644" t="e">
        <f t="shared" si="287"/>
        <v>#REF!</v>
      </c>
      <c r="K2759" s="1539"/>
      <c r="L2759" s="1539"/>
      <c r="M2759" s="1545"/>
      <c r="N2759" s="1545"/>
      <c r="O2759" s="1539"/>
      <c r="P2759" s="1539"/>
      <c r="Q2759" s="1539"/>
      <c r="R2759" s="1539"/>
      <c r="S2759" s="1539"/>
      <c r="T2759" s="1539"/>
      <c r="U2759" s="1539"/>
      <c r="V2759" s="1539"/>
      <c r="W2759" s="1539"/>
      <c r="X2759" s="1539"/>
      <c r="Y2759" s="1539"/>
      <c r="Z2759" s="1539"/>
      <c r="AA2759" s="1539"/>
      <c r="AB2759" s="1539"/>
      <c r="AC2759" s="1539"/>
      <c r="AD2759" s="1539"/>
      <c r="AE2759" s="1539"/>
      <c r="AF2759" s="1539"/>
      <c r="AG2759" s="1539"/>
      <c r="AH2759" s="1539"/>
      <c r="AI2759" s="1539"/>
      <c r="AJ2759" s="1539"/>
      <c r="AK2759" s="1539"/>
      <c r="AL2759" s="1539"/>
      <c r="AM2759" s="1539"/>
      <c r="AN2759" s="1539"/>
      <c r="AO2759" s="1539"/>
      <c r="AP2759" s="1539"/>
      <c r="AQ2759" s="1539"/>
      <c r="AR2759" s="1539"/>
      <c r="AS2759" s="1539"/>
      <c r="AT2759" s="1539"/>
      <c r="AU2759" s="1539"/>
      <c r="AV2759" s="1539"/>
      <c r="AW2759" s="1539"/>
      <c r="AX2759" s="1539"/>
      <c r="AY2759" s="1539"/>
      <c r="AZ2759" s="1539"/>
      <c r="BA2759" s="1539"/>
      <c r="BB2759" s="1539"/>
      <c r="BC2759" s="1539"/>
      <c r="BD2759" s="1539"/>
      <c r="BE2759" s="1539"/>
      <c r="BF2759" s="1539"/>
      <c r="BG2759" s="1539"/>
      <c r="BH2759" s="1539"/>
      <c r="BI2759" s="1539"/>
      <c r="BJ2759" s="1539"/>
      <c r="BK2759" s="1539"/>
      <c r="BL2759" s="1539"/>
      <c r="BM2759" s="1539"/>
      <c r="BN2759" s="1539"/>
      <c r="BO2759" s="1539"/>
      <c r="BP2759" s="1539"/>
      <c r="BQ2759" s="1539"/>
      <c r="BR2759" s="1539"/>
      <c r="BS2759" s="1539"/>
      <c r="BT2759" s="1539"/>
      <c r="BU2759" s="1539"/>
      <c r="BV2759" s="1539"/>
      <c r="BW2759" s="1539"/>
      <c r="BX2759" s="1539"/>
      <c r="BY2759" s="1539"/>
      <c r="BZ2759" s="1539"/>
      <c r="CA2759" s="1539"/>
      <c r="CB2759" s="1539"/>
      <c r="CC2759" s="1539"/>
      <c r="CD2759" s="1539"/>
      <c r="CE2759" s="1539"/>
      <c r="CF2759" s="1539"/>
      <c r="CG2759" s="1539"/>
      <c r="CH2759" s="1539"/>
      <c r="CI2759" s="1539"/>
      <c r="CJ2759" s="1539"/>
      <c r="CK2759" s="1539"/>
      <c r="CL2759" s="1539"/>
      <c r="CM2759" s="1539"/>
      <c r="CN2759" s="1539"/>
      <c r="CO2759" s="1539"/>
    </row>
    <row r="2760" spans="1:93" s="1542" customFormat="1" ht="15.5">
      <c r="A2760" s="1598" t="s">
        <v>1762</v>
      </c>
      <c r="B2760" s="1599" t="s">
        <v>3044</v>
      </c>
      <c r="C2760" s="1643" t="e">
        <f>+SUMIF(#REF!,Final!A2760,#REF!)</f>
        <v>#REF!</v>
      </c>
      <c r="D2760" s="1597" t="e">
        <f>+SUMIF(#REF!,Final!A2760,#REF!)</f>
        <v>#REF!</v>
      </c>
      <c r="E2760" s="1643" t="e">
        <f>SUMIF(#REF!,Final!A2760,#REF!)</f>
        <v>#REF!</v>
      </c>
      <c r="F2760" s="1644" t="e">
        <f>SUMIF(#REF!,Final!A2760,#REF!)</f>
        <v>#REF!</v>
      </c>
      <c r="G2760" s="1597" t="e">
        <f t="shared" si="284"/>
        <v>#REF!</v>
      </c>
      <c r="H2760" s="1644" t="e">
        <f t="shared" si="285"/>
        <v>#REF!</v>
      </c>
      <c r="I2760" s="1597" t="e">
        <f t="shared" si="286"/>
        <v>#REF!</v>
      </c>
      <c r="J2760" s="1644" t="e">
        <f t="shared" si="287"/>
        <v>#REF!</v>
      </c>
      <c r="K2760" s="1539"/>
      <c r="L2760" s="1539"/>
      <c r="M2760" s="1545"/>
      <c r="N2760" s="1545"/>
      <c r="O2760" s="1539"/>
      <c r="P2760" s="1539"/>
      <c r="Q2760" s="1539"/>
      <c r="R2760" s="1539"/>
      <c r="S2760" s="1539"/>
      <c r="T2760" s="1539"/>
      <c r="U2760" s="1539"/>
      <c r="V2760" s="1539"/>
      <c r="W2760" s="1539"/>
      <c r="X2760" s="1539"/>
      <c r="Y2760" s="1539"/>
      <c r="Z2760" s="1539"/>
      <c r="AA2760" s="1539"/>
      <c r="AB2760" s="1539"/>
      <c r="AC2760" s="1539"/>
      <c r="AD2760" s="1539"/>
      <c r="AE2760" s="1539"/>
      <c r="AF2760" s="1539"/>
      <c r="AG2760" s="1539"/>
      <c r="AH2760" s="1539"/>
      <c r="AI2760" s="1539"/>
      <c r="AJ2760" s="1539"/>
      <c r="AK2760" s="1539"/>
      <c r="AL2760" s="1539"/>
      <c r="AM2760" s="1539"/>
      <c r="AN2760" s="1539"/>
      <c r="AO2760" s="1539"/>
      <c r="AP2760" s="1539"/>
      <c r="AQ2760" s="1539"/>
      <c r="AR2760" s="1539"/>
      <c r="AS2760" s="1539"/>
      <c r="AT2760" s="1539"/>
      <c r="AU2760" s="1539"/>
      <c r="AV2760" s="1539"/>
      <c r="AW2760" s="1539"/>
      <c r="AX2760" s="1539"/>
      <c r="AY2760" s="1539"/>
      <c r="AZ2760" s="1539"/>
      <c r="BA2760" s="1539"/>
      <c r="BB2760" s="1539"/>
      <c r="BC2760" s="1539"/>
      <c r="BD2760" s="1539"/>
      <c r="BE2760" s="1539"/>
      <c r="BF2760" s="1539"/>
      <c r="BG2760" s="1539"/>
      <c r="BH2760" s="1539"/>
      <c r="BI2760" s="1539"/>
      <c r="BJ2760" s="1539"/>
      <c r="BK2760" s="1539"/>
      <c r="BL2760" s="1539"/>
      <c r="BM2760" s="1539"/>
      <c r="BN2760" s="1539"/>
      <c r="BO2760" s="1539"/>
      <c r="BP2760" s="1539"/>
      <c r="BQ2760" s="1539"/>
      <c r="BR2760" s="1539"/>
      <c r="BS2760" s="1539"/>
      <c r="BT2760" s="1539"/>
      <c r="BU2760" s="1539"/>
      <c r="BV2760" s="1539"/>
      <c r="BW2760" s="1539"/>
      <c r="BX2760" s="1539"/>
      <c r="BY2760" s="1539"/>
      <c r="BZ2760" s="1539"/>
      <c r="CA2760" s="1539"/>
      <c r="CB2760" s="1539"/>
      <c r="CC2760" s="1539"/>
      <c r="CD2760" s="1539"/>
      <c r="CE2760" s="1539"/>
      <c r="CF2760" s="1539"/>
      <c r="CG2760" s="1539"/>
      <c r="CH2760" s="1539"/>
      <c r="CI2760" s="1539"/>
      <c r="CJ2760" s="1539"/>
      <c r="CK2760" s="1539"/>
      <c r="CL2760" s="1539"/>
      <c r="CM2760" s="1539"/>
      <c r="CN2760" s="1539"/>
      <c r="CO2760" s="1539"/>
    </row>
    <row r="2761" spans="1:93" s="1542" customFormat="1" ht="15.5">
      <c r="A2761" s="1797">
        <v>74.122</v>
      </c>
      <c r="B2761" s="1798" t="s">
        <v>5317</v>
      </c>
      <c r="C2761" s="1643" t="e">
        <f>+SUMIF(#REF!,Final!A2761,#REF!)</f>
        <v>#REF!</v>
      </c>
      <c r="D2761" s="1597" t="e">
        <f>+SUMIF(#REF!,Final!A2761,#REF!)</f>
        <v>#REF!</v>
      </c>
      <c r="E2761" s="1643" t="e">
        <f>SUMIF(#REF!,Final!A2761,#REF!)</f>
        <v>#REF!</v>
      </c>
      <c r="F2761" s="1644" t="e">
        <f>SUMIF(#REF!,Final!A2761,#REF!)</f>
        <v>#REF!</v>
      </c>
      <c r="G2761" s="1597" t="e">
        <f t="shared" ref="G2761:G2766" si="292">C2761+E2761</f>
        <v>#REF!</v>
      </c>
      <c r="H2761" s="1644" t="e">
        <f t="shared" ref="H2761:H2766" si="293">D2761+F2761</f>
        <v>#REF!</v>
      </c>
      <c r="I2761" s="1597" t="e">
        <f t="shared" ref="I2761:I2766" si="294">IF(G2761&gt;H2761,G2761-H2761,0)</f>
        <v>#REF!</v>
      </c>
      <c r="J2761" s="1644" t="e">
        <f t="shared" ref="J2761:J2766" si="295">IF(H2761&gt;G2761,H2761-G2761,0)</f>
        <v>#REF!</v>
      </c>
      <c r="K2761" s="1539"/>
      <c r="L2761" s="1539"/>
      <c r="M2761" s="1545"/>
      <c r="N2761" s="1545"/>
      <c r="O2761" s="1539"/>
      <c r="P2761" s="1539"/>
      <c r="Q2761" s="1539"/>
      <c r="R2761" s="1539"/>
      <c r="S2761" s="1539"/>
      <c r="T2761" s="1539"/>
      <c r="U2761" s="1539"/>
      <c r="V2761" s="1539"/>
      <c r="W2761" s="1539"/>
      <c r="X2761" s="1539"/>
      <c r="Y2761" s="1539"/>
      <c r="Z2761" s="1539"/>
      <c r="AA2761" s="1539"/>
      <c r="AB2761" s="1539"/>
      <c r="AC2761" s="1539"/>
      <c r="AD2761" s="1539"/>
      <c r="AE2761" s="1539"/>
      <c r="AF2761" s="1539"/>
      <c r="AG2761" s="1539"/>
      <c r="AH2761" s="1539"/>
      <c r="AI2761" s="1539"/>
      <c r="AJ2761" s="1539"/>
      <c r="AK2761" s="1539"/>
      <c r="AL2761" s="1539"/>
      <c r="AM2761" s="1539"/>
      <c r="AN2761" s="1539"/>
      <c r="AO2761" s="1539"/>
      <c r="AP2761" s="1539"/>
      <c r="AQ2761" s="1539"/>
      <c r="AR2761" s="1539"/>
      <c r="AS2761" s="1539"/>
      <c r="AT2761" s="1539"/>
      <c r="AU2761" s="1539"/>
      <c r="AV2761" s="1539"/>
      <c r="AW2761" s="1539"/>
      <c r="AX2761" s="1539"/>
      <c r="AY2761" s="1539"/>
      <c r="AZ2761" s="1539"/>
      <c r="BA2761" s="1539"/>
      <c r="BB2761" s="1539"/>
      <c r="BC2761" s="1539"/>
      <c r="BD2761" s="1539"/>
      <c r="BE2761" s="1539"/>
      <c r="BF2761" s="1539"/>
      <c r="BG2761" s="1539"/>
      <c r="BH2761" s="1539"/>
      <c r="BI2761" s="1539"/>
      <c r="BJ2761" s="1539"/>
      <c r="BK2761" s="1539"/>
      <c r="BL2761" s="1539"/>
      <c r="BM2761" s="1539"/>
      <c r="BN2761" s="1539"/>
      <c r="BO2761" s="1539"/>
      <c r="BP2761" s="1539"/>
      <c r="BQ2761" s="1539"/>
      <c r="BR2761" s="1539"/>
      <c r="BS2761" s="1539"/>
      <c r="BT2761" s="1539"/>
      <c r="BU2761" s="1539"/>
      <c r="BV2761" s="1539"/>
      <c r="BW2761" s="1539"/>
      <c r="BX2761" s="1539"/>
      <c r="BY2761" s="1539"/>
      <c r="BZ2761" s="1539"/>
      <c r="CA2761" s="1539"/>
      <c r="CB2761" s="1539"/>
      <c r="CC2761" s="1539"/>
      <c r="CD2761" s="1539"/>
      <c r="CE2761" s="1539"/>
      <c r="CF2761" s="1539"/>
      <c r="CG2761" s="1539"/>
      <c r="CH2761" s="1539"/>
      <c r="CI2761" s="1539"/>
      <c r="CJ2761" s="1539"/>
      <c r="CK2761" s="1539"/>
      <c r="CL2761" s="1539"/>
      <c r="CM2761" s="1539"/>
      <c r="CN2761" s="1539"/>
      <c r="CO2761" s="1539"/>
    </row>
    <row r="2762" spans="1:93" s="1542" customFormat="1" ht="15.5">
      <c r="A2762" s="1797">
        <v>74.123999999999995</v>
      </c>
      <c r="B2762" s="1798" t="s">
        <v>5318</v>
      </c>
      <c r="C2762" s="1643" t="e">
        <f>+SUMIF(#REF!,Final!A2762,#REF!)</f>
        <v>#REF!</v>
      </c>
      <c r="D2762" s="1597" t="e">
        <f>+SUMIF(#REF!,Final!A2762,#REF!)</f>
        <v>#REF!</v>
      </c>
      <c r="E2762" s="1643" t="e">
        <f>SUMIF(#REF!,Final!A2762,#REF!)</f>
        <v>#REF!</v>
      </c>
      <c r="F2762" s="1644" t="e">
        <f>SUMIF(#REF!,Final!A2762,#REF!)</f>
        <v>#REF!</v>
      </c>
      <c r="G2762" s="1597" t="e">
        <f t="shared" si="292"/>
        <v>#REF!</v>
      </c>
      <c r="H2762" s="1644" t="e">
        <f t="shared" si="293"/>
        <v>#REF!</v>
      </c>
      <c r="I2762" s="1597" t="e">
        <f t="shared" si="294"/>
        <v>#REF!</v>
      </c>
      <c r="J2762" s="1644" t="e">
        <f t="shared" si="295"/>
        <v>#REF!</v>
      </c>
      <c r="K2762" s="1539"/>
      <c r="L2762" s="1539"/>
      <c r="M2762" s="1545"/>
      <c r="N2762" s="1545"/>
      <c r="O2762" s="1539"/>
      <c r="P2762" s="1539"/>
      <c r="Q2762" s="1539"/>
      <c r="R2762" s="1539"/>
      <c r="S2762" s="1539"/>
      <c r="T2762" s="1539"/>
      <c r="U2762" s="1539"/>
      <c r="V2762" s="1539"/>
      <c r="W2762" s="1539"/>
      <c r="X2762" s="1539"/>
      <c r="Y2762" s="1539"/>
      <c r="Z2762" s="1539"/>
      <c r="AA2762" s="1539"/>
      <c r="AB2762" s="1539"/>
      <c r="AC2762" s="1539"/>
      <c r="AD2762" s="1539"/>
      <c r="AE2762" s="1539"/>
      <c r="AF2762" s="1539"/>
      <c r="AG2762" s="1539"/>
      <c r="AH2762" s="1539"/>
      <c r="AI2762" s="1539"/>
      <c r="AJ2762" s="1539"/>
      <c r="AK2762" s="1539"/>
      <c r="AL2762" s="1539"/>
      <c r="AM2762" s="1539"/>
      <c r="AN2762" s="1539"/>
      <c r="AO2762" s="1539"/>
      <c r="AP2762" s="1539"/>
      <c r="AQ2762" s="1539"/>
      <c r="AR2762" s="1539"/>
      <c r="AS2762" s="1539"/>
      <c r="AT2762" s="1539"/>
      <c r="AU2762" s="1539"/>
      <c r="AV2762" s="1539"/>
      <c r="AW2762" s="1539"/>
      <c r="AX2762" s="1539"/>
      <c r="AY2762" s="1539"/>
      <c r="AZ2762" s="1539"/>
      <c r="BA2762" s="1539"/>
      <c r="BB2762" s="1539"/>
      <c r="BC2762" s="1539"/>
      <c r="BD2762" s="1539"/>
      <c r="BE2762" s="1539"/>
      <c r="BF2762" s="1539"/>
      <c r="BG2762" s="1539"/>
      <c r="BH2762" s="1539"/>
      <c r="BI2762" s="1539"/>
      <c r="BJ2762" s="1539"/>
      <c r="BK2762" s="1539"/>
      <c r="BL2762" s="1539"/>
      <c r="BM2762" s="1539"/>
      <c r="BN2762" s="1539"/>
      <c r="BO2762" s="1539"/>
      <c r="BP2762" s="1539"/>
      <c r="BQ2762" s="1539"/>
      <c r="BR2762" s="1539"/>
      <c r="BS2762" s="1539"/>
      <c r="BT2762" s="1539"/>
      <c r="BU2762" s="1539"/>
      <c r="BV2762" s="1539"/>
      <c r="BW2762" s="1539"/>
      <c r="BX2762" s="1539"/>
      <c r="BY2762" s="1539"/>
      <c r="BZ2762" s="1539"/>
      <c r="CA2762" s="1539"/>
      <c r="CB2762" s="1539"/>
      <c r="CC2762" s="1539"/>
      <c r="CD2762" s="1539"/>
      <c r="CE2762" s="1539"/>
      <c r="CF2762" s="1539"/>
      <c r="CG2762" s="1539"/>
      <c r="CH2762" s="1539"/>
      <c r="CI2762" s="1539"/>
      <c r="CJ2762" s="1539"/>
      <c r="CK2762" s="1539"/>
      <c r="CL2762" s="1539"/>
      <c r="CM2762" s="1539"/>
      <c r="CN2762" s="1539"/>
      <c r="CO2762" s="1539"/>
    </row>
    <row r="2763" spans="1:93" s="1542" customFormat="1" ht="15.5">
      <c r="A2763" s="1797">
        <v>74.125</v>
      </c>
      <c r="B2763" s="1798" t="s">
        <v>5319</v>
      </c>
      <c r="C2763" s="1643" t="e">
        <f>+SUMIF(#REF!,Final!A2763,#REF!)</f>
        <v>#REF!</v>
      </c>
      <c r="D2763" s="1597" t="e">
        <f>+SUMIF(#REF!,Final!A2763,#REF!)</f>
        <v>#REF!</v>
      </c>
      <c r="E2763" s="1643" t="e">
        <f>SUMIF(#REF!,Final!A2763,#REF!)</f>
        <v>#REF!</v>
      </c>
      <c r="F2763" s="1644" t="e">
        <f>SUMIF(#REF!,Final!A2763,#REF!)</f>
        <v>#REF!</v>
      </c>
      <c r="G2763" s="1597" t="e">
        <f t="shared" si="292"/>
        <v>#REF!</v>
      </c>
      <c r="H2763" s="1644" t="e">
        <f t="shared" si="293"/>
        <v>#REF!</v>
      </c>
      <c r="I2763" s="1597" t="e">
        <f t="shared" si="294"/>
        <v>#REF!</v>
      </c>
      <c r="J2763" s="1644" t="e">
        <f t="shared" si="295"/>
        <v>#REF!</v>
      </c>
      <c r="K2763" s="1539"/>
      <c r="L2763" s="1539"/>
      <c r="M2763" s="1545"/>
      <c r="N2763" s="1545"/>
      <c r="O2763" s="1539"/>
      <c r="P2763" s="1539"/>
      <c r="Q2763" s="1539"/>
      <c r="R2763" s="1539"/>
      <c r="S2763" s="1539"/>
      <c r="T2763" s="1539"/>
      <c r="U2763" s="1539"/>
      <c r="V2763" s="1539"/>
      <c r="W2763" s="1539"/>
      <c r="X2763" s="1539"/>
      <c r="Y2763" s="1539"/>
      <c r="Z2763" s="1539"/>
      <c r="AA2763" s="1539"/>
      <c r="AB2763" s="1539"/>
      <c r="AC2763" s="1539"/>
      <c r="AD2763" s="1539"/>
      <c r="AE2763" s="1539"/>
      <c r="AF2763" s="1539"/>
      <c r="AG2763" s="1539"/>
      <c r="AH2763" s="1539"/>
      <c r="AI2763" s="1539"/>
      <c r="AJ2763" s="1539"/>
      <c r="AK2763" s="1539"/>
      <c r="AL2763" s="1539"/>
      <c r="AM2763" s="1539"/>
      <c r="AN2763" s="1539"/>
      <c r="AO2763" s="1539"/>
      <c r="AP2763" s="1539"/>
      <c r="AQ2763" s="1539"/>
      <c r="AR2763" s="1539"/>
      <c r="AS2763" s="1539"/>
      <c r="AT2763" s="1539"/>
      <c r="AU2763" s="1539"/>
      <c r="AV2763" s="1539"/>
      <c r="AW2763" s="1539"/>
      <c r="AX2763" s="1539"/>
      <c r="AY2763" s="1539"/>
      <c r="AZ2763" s="1539"/>
      <c r="BA2763" s="1539"/>
      <c r="BB2763" s="1539"/>
      <c r="BC2763" s="1539"/>
      <c r="BD2763" s="1539"/>
      <c r="BE2763" s="1539"/>
      <c r="BF2763" s="1539"/>
      <c r="BG2763" s="1539"/>
      <c r="BH2763" s="1539"/>
      <c r="BI2763" s="1539"/>
      <c r="BJ2763" s="1539"/>
      <c r="BK2763" s="1539"/>
      <c r="BL2763" s="1539"/>
      <c r="BM2763" s="1539"/>
      <c r="BN2763" s="1539"/>
      <c r="BO2763" s="1539"/>
      <c r="BP2763" s="1539"/>
      <c r="BQ2763" s="1539"/>
      <c r="BR2763" s="1539"/>
      <c r="BS2763" s="1539"/>
      <c r="BT2763" s="1539"/>
      <c r="BU2763" s="1539"/>
      <c r="BV2763" s="1539"/>
      <c r="BW2763" s="1539"/>
      <c r="BX2763" s="1539"/>
      <c r="BY2763" s="1539"/>
      <c r="BZ2763" s="1539"/>
      <c r="CA2763" s="1539"/>
      <c r="CB2763" s="1539"/>
      <c r="CC2763" s="1539"/>
      <c r="CD2763" s="1539"/>
      <c r="CE2763" s="1539"/>
      <c r="CF2763" s="1539"/>
      <c r="CG2763" s="1539"/>
      <c r="CH2763" s="1539"/>
      <c r="CI2763" s="1539"/>
      <c r="CJ2763" s="1539"/>
      <c r="CK2763" s="1539"/>
      <c r="CL2763" s="1539"/>
      <c r="CM2763" s="1539"/>
      <c r="CN2763" s="1539"/>
      <c r="CO2763" s="1539"/>
    </row>
    <row r="2764" spans="1:93" s="1542" customFormat="1" ht="15.5">
      <c r="A2764" s="1797">
        <v>74.126000000000005</v>
      </c>
      <c r="B2764" s="1798" t="s">
        <v>5320</v>
      </c>
      <c r="C2764" s="1643" t="e">
        <f>+SUMIF(#REF!,Final!A2764,#REF!)</f>
        <v>#REF!</v>
      </c>
      <c r="D2764" s="1597" t="e">
        <f>+SUMIF(#REF!,Final!A2764,#REF!)</f>
        <v>#REF!</v>
      </c>
      <c r="E2764" s="1643" t="e">
        <f>SUMIF(#REF!,Final!A2764,#REF!)</f>
        <v>#REF!</v>
      </c>
      <c r="F2764" s="1644" t="e">
        <f>SUMIF(#REF!,Final!A2764,#REF!)</f>
        <v>#REF!</v>
      </c>
      <c r="G2764" s="1597" t="e">
        <f t="shared" si="292"/>
        <v>#REF!</v>
      </c>
      <c r="H2764" s="1644" t="e">
        <f t="shared" si="293"/>
        <v>#REF!</v>
      </c>
      <c r="I2764" s="1597" t="e">
        <f t="shared" si="294"/>
        <v>#REF!</v>
      </c>
      <c r="J2764" s="1644" t="e">
        <f t="shared" si="295"/>
        <v>#REF!</v>
      </c>
      <c r="K2764" s="1539"/>
      <c r="L2764" s="1539"/>
      <c r="M2764" s="1545"/>
      <c r="N2764" s="1545"/>
      <c r="O2764" s="1539"/>
      <c r="P2764" s="1539"/>
      <c r="Q2764" s="1539"/>
      <c r="R2764" s="1539"/>
      <c r="S2764" s="1539"/>
      <c r="T2764" s="1539"/>
      <c r="U2764" s="1539"/>
      <c r="V2764" s="1539"/>
      <c r="W2764" s="1539"/>
      <c r="X2764" s="1539"/>
      <c r="Y2764" s="1539"/>
      <c r="Z2764" s="1539"/>
      <c r="AA2764" s="1539"/>
      <c r="AB2764" s="1539"/>
      <c r="AC2764" s="1539"/>
      <c r="AD2764" s="1539"/>
      <c r="AE2764" s="1539"/>
      <c r="AF2764" s="1539"/>
      <c r="AG2764" s="1539"/>
      <c r="AH2764" s="1539"/>
      <c r="AI2764" s="1539"/>
      <c r="AJ2764" s="1539"/>
      <c r="AK2764" s="1539"/>
      <c r="AL2764" s="1539"/>
      <c r="AM2764" s="1539"/>
      <c r="AN2764" s="1539"/>
      <c r="AO2764" s="1539"/>
      <c r="AP2764" s="1539"/>
      <c r="AQ2764" s="1539"/>
      <c r="AR2764" s="1539"/>
      <c r="AS2764" s="1539"/>
      <c r="AT2764" s="1539"/>
      <c r="AU2764" s="1539"/>
      <c r="AV2764" s="1539"/>
      <c r="AW2764" s="1539"/>
      <c r="AX2764" s="1539"/>
      <c r="AY2764" s="1539"/>
      <c r="AZ2764" s="1539"/>
      <c r="BA2764" s="1539"/>
      <c r="BB2764" s="1539"/>
      <c r="BC2764" s="1539"/>
      <c r="BD2764" s="1539"/>
      <c r="BE2764" s="1539"/>
      <c r="BF2764" s="1539"/>
      <c r="BG2764" s="1539"/>
      <c r="BH2764" s="1539"/>
      <c r="BI2764" s="1539"/>
      <c r="BJ2764" s="1539"/>
      <c r="BK2764" s="1539"/>
      <c r="BL2764" s="1539"/>
      <c r="BM2764" s="1539"/>
      <c r="BN2764" s="1539"/>
      <c r="BO2764" s="1539"/>
      <c r="BP2764" s="1539"/>
      <c r="BQ2764" s="1539"/>
      <c r="BR2764" s="1539"/>
      <c r="BS2764" s="1539"/>
      <c r="BT2764" s="1539"/>
      <c r="BU2764" s="1539"/>
      <c r="BV2764" s="1539"/>
      <c r="BW2764" s="1539"/>
      <c r="BX2764" s="1539"/>
      <c r="BY2764" s="1539"/>
      <c r="BZ2764" s="1539"/>
      <c r="CA2764" s="1539"/>
      <c r="CB2764" s="1539"/>
      <c r="CC2764" s="1539"/>
      <c r="CD2764" s="1539"/>
      <c r="CE2764" s="1539"/>
      <c r="CF2764" s="1539"/>
      <c r="CG2764" s="1539"/>
      <c r="CH2764" s="1539"/>
      <c r="CI2764" s="1539"/>
      <c r="CJ2764" s="1539"/>
      <c r="CK2764" s="1539"/>
      <c r="CL2764" s="1539"/>
      <c r="CM2764" s="1539"/>
      <c r="CN2764" s="1539"/>
      <c r="CO2764" s="1539"/>
    </row>
    <row r="2765" spans="1:93" s="1542" customFormat="1" ht="15.5">
      <c r="A2765" s="1797">
        <v>74.126999999999995</v>
      </c>
      <c r="B2765" s="1798" t="s">
        <v>5321</v>
      </c>
      <c r="C2765" s="1643" t="e">
        <f>+SUMIF(#REF!,Final!A2765,#REF!)</f>
        <v>#REF!</v>
      </c>
      <c r="D2765" s="1597" t="e">
        <f>+SUMIF(#REF!,Final!A2765,#REF!)</f>
        <v>#REF!</v>
      </c>
      <c r="E2765" s="1643" t="e">
        <f>SUMIF(#REF!,Final!A2765,#REF!)</f>
        <v>#REF!</v>
      </c>
      <c r="F2765" s="1644" t="e">
        <f>SUMIF(#REF!,Final!A2765,#REF!)</f>
        <v>#REF!</v>
      </c>
      <c r="G2765" s="1597" t="e">
        <f t="shared" si="292"/>
        <v>#REF!</v>
      </c>
      <c r="H2765" s="1644" t="e">
        <f t="shared" si="293"/>
        <v>#REF!</v>
      </c>
      <c r="I2765" s="1597" t="e">
        <f t="shared" si="294"/>
        <v>#REF!</v>
      </c>
      <c r="J2765" s="1644" t="e">
        <f t="shared" si="295"/>
        <v>#REF!</v>
      </c>
      <c r="K2765" s="1539"/>
      <c r="L2765" s="1539"/>
      <c r="M2765" s="1545"/>
      <c r="N2765" s="1545"/>
      <c r="O2765" s="1539"/>
      <c r="P2765" s="1539"/>
      <c r="Q2765" s="1539"/>
      <c r="R2765" s="1539"/>
      <c r="S2765" s="1539"/>
      <c r="T2765" s="1539"/>
      <c r="U2765" s="1539"/>
      <c r="V2765" s="1539"/>
      <c r="W2765" s="1539"/>
      <c r="X2765" s="1539"/>
      <c r="Y2765" s="1539"/>
      <c r="Z2765" s="1539"/>
      <c r="AA2765" s="1539"/>
      <c r="AB2765" s="1539"/>
      <c r="AC2765" s="1539"/>
      <c r="AD2765" s="1539"/>
      <c r="AE2765" s="1539"/>
      <c r="AF2765" s="1539"/>
      <c r="AG2765" s="1539"/>
      <c r="AH2765" s="1539"/>
      <c r="AI2765" s="1539"/>
      <c r="AJ2765" s="1539"/>
      <c r="AK2765" s="1539"/>
      <c r="AL2765" s="1539"/>
      <c r="AM2765" s="1539"/>
      <c r="AN2765" s="1539"/>
      <c r="AO2765" s="1539"/>
      <c r="AP2765" s="1539"/>
      <c r="AQ2765" s="1539"/>
      <c r="AR2765" s="1539"/>
      <c r="AS2765" s="1539"/>
      <c r="AT2765" s="1539"/>
      <c r="AU2765" s="1539"/>
      <c r="AV2765" s="1539"/>
      <c r="AW2765" s="1539"/>
      <c r="AX2765" s="1539"/>
      <c r="AY2765" s="1539"/>
      <c r="AZ2765" s="1539"/>
      <c r="BA2765" s="1539"/>
      <c r="BB2765" s="1539"/>
      <c r="BC2765" s="1539"/>
      <c r="BD2765" s="1539"/>
      <c r="BE2765" s="1539"/>
      <c r="BF2765" s="1539"/>
      <c r="BG2765" s="1539"/>
      <c r="BH2765" s="1539"/>
      <c r="BI2765" s="1539"/>
      <c r="BJ2765" s="1539"/>
      <c r="BK2765" s="1539"/>
      <c r="BL2765" s="1539"/>
      <c r="BM2765" s="1539"/>
      <c r="BN2765" s="1539"/>
      <c r="BO2765" s="1539"/>
      <c r="BP2765" s="1539"/>
      <c r="BQ2765" s="1539"/>
      <c r="BR2765" s="1539"/>
      <c r="BS2765" s="1539"/>
      <c r="BT2765" s="1539"/>
      <c r="BU2765" s="1539"/>
      <c r="BV2765" s="1539"/>
      <c r="BW2765" s="1539"/>
      <c r="BX2765" s="1539"/>
      <c r="BY2765" s="1539"/>
      <c r="BZ2765" s="1539"/>
      <c r="CA2765" s="1539"/>
      <c r="CB2765" s="1539"/>
      <c r="CC2765" s="1539"/>
      <c r="CD2765" s="1539"/>
      <c r="CE2765" s="1539"/>
      <c r="CF2765" s="1539"/>
      <c r="CG2765" s="1539"/>
      <c r="CH2765" s="1539"/>
      <c r="CI2765" s="1539"/>
      <c r="CJ2765" s="1539"/>
      <c r="CK2765" s="1539"/>
      <c r="CL2765" s="1539"/>
      <c r="CM2765" s="1539"/>
      <c r="CN2765" s="1539"/>
      <c r="CO2765" s="1539"/>
    </row>
    <row r="2766" spans="1:93" s="1542" customFormat="1" ht="15.5">
      <c r="A2766" s="1797">
        <v>74.123000000000005</v>
      </c>
      <c r="B2766" s="1798" t="s">
        <v>5322</v>
      </c>
      <c r="C2766" s="1643" t="e">
        <f>+SUMIF(#REF!,Final!A2766,#REF!)</f>
        <v>#REF!</v>
      </c>
      <c r="D2766" s="1597" t="e">
        <f>+SUMIF(#REF!,Final!A2766,#REF!)</f>
        <v>#REF!</v>
      </c>
      <c r="E2766" s="1643" t="e">
        <f>SUMIF(#REF!,Final!A2766,#REF!)</f>
        <v>#REF!</v>
      </c>
      <c r="F2766" s="1644" t="e">
        <f>SUMIF(#REF!,Final!A2766,#REF!)</f>
        <v>#REF!</v>
      </c>
      <c r="G2766" s="1597" t="e">
        <f t="shared" si="292"/>
        <v>#REF!</v>
      </c>
      <c r="H2766" s="1644" t="e">
        <f t="shared" si="293"/>
        <v>#REF!</v>
      </c>
      <c r="I2766" s="1597" t="e">
        <f t="shared" si="294"/>
        <v>#REF!</v>
      </c>
      <c r="J2766" s="1644" t="e">
        <f t="shared" si="295"/>
        <v>#REF!</v>
      </c>
      <c r="K2766" s="1539"/>
      <c r="L2766" s="1539"/>
      <c r="M2766" s="1545"/>
      <c r="N2766" s="1545"/>
      <c r="O2766" s="1539"/>
      <c r="P2766" s="1539"/>
      <c r="Q2766" s="1539"/>
      <c r="R2766" s="1539"/>
      <c r="S2766" s="1539"/>
      <c r="T2766" s="1539"/>
      <c r="U2766" s="1539"/>
      <c r="V2766" s="1539"/>
      <c r="W2766" s="1539"/>
      <c r="X2766" s="1539"/>
      <c r="Y2766" s="1539"/>
      <c r="Z2766" s="1539"/>
      <c r="AA2766" s="1539"/>
      <c r="AB2766" s="1539"/>
      <c r="AC2766" s="1539"/>
      <c r="AD2766" s="1539"/>
      <c r="AE2766" s="1539"/>
      <c r="AF2766" s="1539"/>
      <c r="AG2766" s="1539"/>
      <c r="AH2766" s="1539"/>
      <c r="AI2766" s="1539"/>
      <c r="AJ2766" s="1539"/>
      <c r="AK2766" s="1539"/>
      <c r="AL2766" s="1539"/>
      <c r="AM2766" s="1539"/>
      <c r="AN2766" s="1539"/>
      <c r="AO2766" s="1539"/>
      <c r="AP2766" s="1539"/>
      <c r="AQ2766" s="1539"/>
      <c r="AR2766" s="1539"/>
      <c r="AS2766" s="1539"/>
      <c r="AT2766" s="1539"/>
      <c r="AU2766" s="1539"/>
      <c r="AV2766" s="1539"/>
      <c r="AW2766" s="1539"/>
      <c r="AX2766" s="1539"/>
      <c r="AY2766" s="1539"/>
      <c r="AZ2766" s="1539"/>
      <c r="BA2766" s="1539"/>
      <c r="BB2766" s="1539"/>
      <c r="BC2766" s="1539"/>
      <c r="BD2766" s="1539"/>
      <c r="BE2766" s="1539"/>
      <c r="BF2766" s="1539"/>
      <c r="BG2766" s="1539"/>
      <c r="BH2766" s="1539"/>
      <c r="BI2766" s="1539"/>
      <c r="BJ2766" s="1539"/>
      <c r="BK2766" s="1539"/>
      <c r="BL2766" s="1539"/>
      <c r="BM2766" s="1539"/>
      <c r="BN2766" s="1539"/>
      <c r="BO2766" s="1539"/>
      <c r="BP2766" s="1539"/>
      <c r="BQ2766" s="1539"/>
      <c r="BR2766" s="1539"/>
      <c r="BS2766" s="1539"/>
      <c r="BT2766" s="1539"/>
      <c r="BU2766" s="1539"/>
      <c r="BV2766" s="1539"/>
      <c r="BW2766" s="1539"/>
      <c r="BX2766" s="1539"/>
      <c r="BY2766" s="1539"/>
      <c r="BZ2766" s="1539"/>
      <c r="CA2766" s="1539"/>
      <c r="CB2766" s="1539"/>
      <c r="CC2766" s="1539"/>
      <c r="CD2766" s="1539"/>
      <c r="CE2766" s="1539"/>
      <c r="CF2766" s="1539"/>
      <c r="CG2766" s="1539"/>
      <c r="CH2766" s="1539"/>
      <c r="CI2766" s="1539"/>
      <c r="CJ2766" s="1539"/>
      <c r="CK2766" s="1539"/>
      <c r="CL2766" s="1539"/>
      <c r="CM2766" s="1539"/>
      <c r="CN2766" s="1539"/>
      <c r="CO2766" s="1539"/>
    </row>
    <row r="2767" spans="1:93" ht="15.5">
      <c r="A2767" s="1598">
        <v>74.128</v>
      </c>
      <c r="B2767" s="1599" t="s">
        <v>3045</v>
      </c>
      <c r="C2767" s="1643" t="e">
        <f>+SUMIF(#REF!,Final!A2767,#REF!)</f>
        <v>#REF!</v>
      </c>
      <c r="D2767" s="1597" t="e">
        <f>+SUMIF(#REF!,Final!A2767,#REF!)</f>
        <v>#REF!</v>
      </c>
      <c r="E2767" s="1643" t="e">
        <f>SUMIF(#REF!,Final!A2767,#REF!)</f>
        <v>#REF!</v>
      </c>
      <c r="F2767" s="1644" t="e">
        <f>SUMIF(#REF!,Final!A2767,#REF!)</f>
        <v>#REF!</v>
      </c>
      <c r="G2767" s="1597" t="e">
        <f t="shared" si="284"/>
        <v>#REF!</v>
      </c>
      <c r="H2767" s="1644" t="e">
        <f t="shared" si="285"/>
        <v>#REF!</v>
      </c>
      <c r="I2767" s="1597" t="e">
        <f t="shared" si="286"/>
        <v>#REF!</v>
      </c>
      <c r="J2767" s="1644" t="e">
        <f t="shared" si="287"/>
        <v>#REF!</v>
      </c>
      <c r="M2767" s="1545"/>
      <c r="N2767" s="1545"/>
    </row>
    <row r="2768" spans="1:93" ht="15.5">
      <c r="A2768" s="1598">
        <v>74.129000000000005</v>
      </c>
      <c r="B2768" s="1599" t="s">
        <v>3046</v>
      </c>
      <c r="C2768" s="1643" t="e">
        <f>+SUMIF(#REF!,Final!A2768,#REF!)</f>
        <v>#REF!</v>
      </c>
      <c r="D2768" s="1597" t="e">
        <f>+SUMIF(#REF!,Final!A2768,#REF!)</f>
        <v>#REF!</v>
      </c>
      <c r="E2768" s="1643" t="e">
        <f>SUMIF(#REF!,Final!A2768,#REF!)</f>
        <v>#REF!</v>
      </c>
      <c r="F2768" s="1644" t="e">
        <f>SUMIF(#REF!,Final!A2768,#REF!)</f>
        <v>#REF!</v>
      </c>
      <c r="G2768" s="1597" t="e">
        <f t="shared" si="284"/>
        <v>#REF!</v>
      </c>
      <c r="H2768" s="1644" t="e">
        <f t="shared" si="285"/>
        <v>#REF!</v>
      </c>
      <c r="I2768" s="1597" t="e">
        <f t="shared" si="286"/>
        <v>#REF!</v>
      </c>
      <c r="J2768" s="1644" t="e">
        <f t="shared" si="287"/>
        <v>#REF!</v>
      </c>
      <c r="M2768" s="1545"/>
      <c r="N2768" s="1545"/>
    </row>
    <row r="2769" spans="1:14" ht="15.5">
      <c r="A2769" s="1598">
        <v>74.13</v>
      </c>
      <c r="B2769" s="1599" t="s">
        <v>3047</v>
      </c>
      <c r="C2769" s="1643" t="e">
        <f>+SUMIF(#REF!,Final!A2769,#REF!)</f>
        <v>#REF!</v>
      </c>
      <c r="D2769" s="1597" t="e">
        <f>+SUMIF(#REF!,Final!A2769,#REF!)</f>
        <v>#REF!</v>
      </c>
      <c r="E2769" s="1643" t="e">
        <f>SUMIF(#REF!,Final!A2769,#REF!)</f>
        <v>#REF!</v>
      </c>
      <c r="F2769" s="1644" t="e">
        <f>SUMIF(#REF!,Final!A2769,#REF!)</f>
        <v>#REF!</v>
      </c>
      <c r="G2769" s="1597" t="e">
        <f t="shared" si="284"/>
        <v>#REF!</v>
      </c>
      <c r="H2769" s="1644" t="e">
        <f t="shared" si="285"/>
        <v>#REF!</v>
      </c>
      <c r="I2769" s="1597" t="e">
        <f t="shared" si="286"/>
        <v>#REF!</v>
      </c>
      <c r="J2769" s="1644" t="e">
        <f t="shared" si="287"/>
        <v>#REF!</v>
      </c>
      <c r="M2769" s="1545"/>
      <c r="N2769" s="1545"/>
    </row>
    <row r="2770" spans="1:14" ht="15.5">
      <c r="A2770" s="1598">
        <v>74.131</v>
      </c>
      <c r="B2770" s="1599" t="s">
        <v>3048</v>
      </c>
      <c r="C2770" s="1643" t="e">
        <f>+SUMIF(#REF!,Final!A2770,#REF!)</f>
        <v>#REF!</v>
      </c>
      <c r="D2770" s="1597" t="e">
        <f>+SUMIF(#REF!,Final!A2770,#REF!)</f>
        <v>#REF!</v>
      </c>
      <c r="E2770" s="1643" t="e">
        <f>SUMIF(#REF!,Final!A2770,#REF!)</f>
        <v>#REF!</v>
      </c>
      <c r="F2770" s="1644" t="e">
        <f>SUMIF(#REF!,Final!A2770,#REF!)</f>
        <v>#REF!</v>
      </c>
      <c r="G2770" s="1597" t="e">
        <f t="shared" ref="G2770:G2847" si="296">C2770+E2770</f>
        <v>#REF!</v>
      </c>
      <c r="H2770" s="1644" t="e">
        <f t="shared" ref="H2770:H2847" si="297">D2770+F2770</f>
        <v>#REF!</v>
      </c>
      <c r="I2770" s="1597" t="e">
        <f t="shared" ref="I2770:I2847" si="298">IF(G2770&gt;H2770,G2770-H2770,0)</f>
        <v>#REF!</v>
      </c>
      <c r="J2770" s="1644" t="e">
        <f t="shared" ref="J2770:J2847" si="299">IF(H2770&gt;G2770,H2770-G2770,0)</f>
        <v>#REF!</v>
      </c>
      <c r="M2770" s="1545"/>
      <c r="N2770" s="1545"/>
    </row>
    <row r="2771" spans="1:14" ht="15.5">
      <c r="A2771" s="1598">
        <v>74.132000000000005</v>
      </c>
      <c r="B2771" s="1599" t="s">
        <v>3049</v>
      </c>
      <c r="C2771" s="1643" t="e">
        <f>+SUMIF(#REF!,Final!A2771,#REF!)</f>
        <v>#REF!</v>
      </c>
      <c r="D2771" s="1597" t="e">
        <f>+SUMIF(#REF!,Final!A2771,#REF!)</f>
        <v>#REF!</v>
      </c>
      <c r="E2771" s="1643" t="e">
        <f>SUMIF(#REF!,Final!A2771,#REF!)</f>
        <v>#REF!</v>
      </c>
      <c r="F2771" s="1644" t="e">
        <f>SUMIF(#REF!,Final!A2771,#REF!)</f>
        <v>#REF!</v>
      </c>
      <c r="G2771" s="1597" t="e">
        <f t="shared" si="296"/>
        <v>#REF!</v>
      </c>
      <c r="H2771" s="1644" t="e">
        <f t="shared" si="297"/>
        <v>#REF!</v>
      </c>
      <c r="I2771" s="1597" t="e">
        <f t="shared" si="298"/>
        <v>#REF!</v>
      </c>
      <c r="J2771" s="1644" t="e">
        <f t="shared" si="299"/>
        <v>#REF!</v>
      </c>
      <c r="M2771" s="1545"/>
      <c r="N2771" s="1545"/>
    </row>
    <row r="2772" spans="1:14" ht="15.5">
      <c r="A2772" s="1598">
        <v>74.132999999999996</v>
      </c>
      <c r="B2772" s="1599" t="s">
        <v>3050</v>
      </c>
      <c r="C2772" s="1643" t="e">
        <f>+SUMIF(#REF!,Final!A2772,#REF!)</f>
        <v>#REF!</v>
      </c>
      <c r="D2772" s="1597" t="e">
        <f>+SUMIF(#REF!,Final!A2772,#REF!)</f>
        <v>#REF!</v>
      </c>
      <c r="E2772" s="1643" t="e">
        <f>SUMIF(#REF!,Final!A2772,#REF!)</f>
        <v>#REF!</v>
      </c>
      <c r="F2772" s="1644" t="e">
        <f>SUMIF(#REF!,Final!A2772,#REF!)</f>
        <v>#REF!</v>
      </c>
      <c r="G2772" s="1597" t="e">
        <f t="shared" si="296"/>
        <v>#REF!</v>
      </c>
      <c r="H2772" s="1644" t="e">
        <f t="shared" si="297"/>
        <v>#REF!</v>
      </c>
      <c r="I2772" s="1597" t="e">
        <f t="shared" si="298"/>
        <v>#REF!</v>
      </c>
      <c r="J2772" s="1644" t="e">
        <f t="shared" si="299"/>
        <v>#REF!</v>
      </c>
      <c r="M2772" s="1545"/>
      <c r="N2772" s="1545"/>
    </row>
    <row r="2773" spans="1:14" ht="15.5">
      <c r="A2773" s="1598">
        <v>74.134</v>
      </c>
      <c r="B2773" s="1599" t="s">
        <v>3051</v>
      </c>
      <c r="C2773" s="1643" t="e">
        <f>+SUMIF(#REF!,Final!A2773,#REF!)</f>
        <v>#REF!</v>
      </c>
      <c r="D2773" s="1597" t="e">
        <f>+SUMIF(#REF!,Final!A2773,#REF!)</f>
        <v>#REF!</v>
      </c>
      <c r="E2773" s="1643" t="e">
        <f>SUMIF(#REF!,Final!A2773,#REF!)</f>
        <v>#REF!</v>
      </c>
      <c r="F2773" s="1644" t="e">
        <f>SUMIF(#REF!,Final!A2773,#REF!)</f>
        <v>#REF!</v>
      </c>
      <c r="G2773" s="1597" t="e">
        <f t="shared" si="296"/>
        <v>#REF!</v>
      </c>
      <c r="H2773" s="1644" t="e">
        <f t="shared" si="297"/>
        <v>#REF!</v>
      </c>
      <c r="I2773" s="1597" t="e">
        <f t="shared" si="298"/>
        <v>#REF!</v>
      </c>
      <c r="J2773" s="1644" t="e">
        <f t="shared" si="299"/>
        <v>#REF!</v>
      </c>
      <c r="M2773" s="1545"/>
      <c r="N2773" s="1545"/>
    </row>
    <row r="2774" spans="1:14" ht="15.5">
      <c r="A2774" s="1598">
        <v>74.135999999999996</v>
      </c>
      <c r="B2774" s="1599" t="s">
        <v>3052</v>
      </c>
      <c r="C2774" s="1643" t="e">
        <f>+SUMIF(#REF!,Final!A2774,#REF!)</f>
        <v>#REF!</v>
      </c>
      <c r="D2774" s="1597" t="e">
        <f>+SUMIF(#REF!,Final!A2774,#REF!)</f>
        <v>#REF!</v>
      </c>
      <c r="E2774" s="1643" t="e">
        <f>SUMIF(#REF!,Final!A2774,#REF!)</f>
        <v>#REF!</v>
      </c>
      <c r="F2774" s="1644" t="e">
        <f>SUMIF(#REF!,Final!A2774,#REF!)</f>
        <v>#REF!</v>
      </c>
      <c r="G2774" s="1597" t="e">
        <f t="shared" si="296"/>
        <v>#REF!</v>
      </c>
      <c r="H2774" s="1644" t="e">
        <f t="shared" si="297"/>
        <v>#REF!</v>
      </c>
      <c r="I2774" s="1597" t="e">
        <f t="shared" si="298"/>
        <v>#REF!</v>
      </c>
      <c r="J2774" s="1644" t="e">
        <f t="shared" si="299"/>
        <v>#REF!</v>
      </c>
      <c r="M2774" s="1545"/>
      <c r="N2774" s="1545"/>
    </row>
    <row r="2775" spans="1:14" ht="15.5">
      <c r="A2775" s="1598">
        <v>74.137</v>
      </c>
      <c r="B2775" s="1599" t="s">
        <v>3053</v>
      </c>
      <c r="C2775" s="1643" t="e">
        <f>+SUMIF(#REF!,Final!A2775,#REF!)</f>
        <v>#REF!</v>
      </c>
      <c r="D2775" s="1597" t="e">
        <f>+SUMIF(#REF!,Final!A2775,#REF!)</f>
        <v>#REF!</v>
      </c>
      <c r="E2775" s="1643" t="e">
        <f>SUMIF(#REF!,Final!A2775,#REF!)</f>
        <v>#REF!</v>
      </c>
      <c r="F2775" s="1644" t="e">
        <f>SUMIF(#REF!,Final!A2775,#REF!)</f>
        <v>#REF!</v>
      </c>
      <c r="G2775" s="1597" t="e">
        <f t="shared" si="296"/>
        <v>#REF!</v>
      </c>
      <c r="H2775" s="1644" t="e">
        <f t="shared" si="297"/>
        <v>#REF!</v>
      </c>
      <c r="I2775" s="1597" t="e">
        <f t="shared" si="298"/>
        <v>#REF!</v>
      </c>
      <c r="J2775" s="1644" t="e">
        <f t="shared" si="299"/>
        <v>#REF!</v>
      </c>
      <c r="M2775" s="1545"/>
      <c r="N2775" s="1545"/>
    </row>
    <row r="2776" spans="1:14" ht="15.5">
      <c r="A2776" s="1598">
        <v>74.138999999999996</v>
      </c>
      <c r="B2776" s="1599" t="s">
        <v>3054</v>
      </c>
      <c r="C2776" s="1643" t="e">
        <f>+SUMIF(#REF!,Final!A2776,#REF!)</f>
        <v>#REF!</v>
      </c>
      <c r="D2776" s="1597" t="e">
        <f>+SUMIF(#REF!,Final!A2776,#REF!)</f>
        <v>#REF!</v>
      </c>
      <c r="E2776" s="1643" t="e">
        <f>SUMIF(#REF!,Final!A2776,#REF!)</f>
        <v>#REF!</v>
      </c>
      <c r="F2776" s="1644" t="e">
        <f>SUMIF(#REF!,Final!A2776,#REF!)</f>
        <v>#REF!</v>
      </c>
      <c r="G2776" s="1597" t="e">
        <f t="shared" si="296"/>
        <v>#REF!</v>
      </c>
      <c r="H2776" s="1644" t="e">
        <f t="shared" si="297"/>
        <v>#REF!</v>
      </c>
      <c r="I2776" s="1597" t="e">
        <f t="shared" si="298"/>
        <v>#REF!</v>
      </c>
      <c r="J2776" s="1644" t="e">
        <f t="shared" si="299"/>
        <v>#REF!</v>
      </c>
      <c r="M2776" s="1545"/>
      <c r="N2776" s="1545"/>
    </row>
    <row r="2777" spans="1:14" ht="15.5">
      <c r="A2777" s="1598">
        <v>74.143000000000001</v>
      </c>
      <c r="B2777" s="1599" t="s">
        <v>3055</v>
      </c>
      <c r="C2777" s="1643" t="e">
        <f>+SUMIF(#REF!,Final!A2777,#REF!)</f>
        <v>#REF!</v>
      </c>
      <c r="D2777" s="1597" t="e">
        <f>+SUMIF(#REF!,Final!A2777,#REF!)</f>
        <v>#REF!</v>
      </c>
      <c r="E2777" s="1643" t="e">
        <f>SUMIF(#REF!,Final!A2777,#REF!)</f>
        <v>#REF!</v>
      </c>
      <c r="F2777" s="1644" t="e">
        <f>SUMIF(#REF!,Final!A2777,#REF!)</f>
        <v>#REF!</v>
      </c>
      <c r="G2777" s="1597" t="e">
        <f t="shared" si="296"/>
        <v>#REF!</v>
      </c>
      <c r="H2777" s="1644" t="e">
        <f t="shared" si="297"/>
        <v>#REF!</v>
      </c>
      <c r="I2777" s="1597" t="e">
        <f t="shared" si="298"/>
        <v>#REF!</v>
      </c>
      <c r="J2777" s="1644" t="e">
        <f t="shared" si="299"/>
        <v>#REF!</v>
      </c>
      <c r="M2777" s="1545"/>
      <c r="N2777" s="1545"/>
    </row>
    <row r="2778" spans="1:14" ht="15.5">
      <c r="A2778" s="1598">
        <v>74.144000000000005</v>
      </c>
      <c r="B2778" s="1599" t="s">
        <v>3056</v>
      </c>
      <c r="C2778" s="1643" t="e">
        <f>+SUMIF(#REF!,Final!A2778,#REF!)</f>
        <v>#REF!</v>
      </c>
      <c r="D2778" s="1597" t="e">
        <f>+SUMIF(#REF!,Final!A2778,#REF!)</f>
        <v>#REF!</v>
      </c>
      <c r="E2778" s="1643" t="e">
        <f>SUMIF(#REF!,Final!A2778,#REF!)</f>
        <v>#REF!</v>
      </c>
      <c r="F2778" s="1644" t="e">
        <f>SUMIF(#REF!,Final!A2778,#REF!)</f>
        <v>#REF!</v>
      </c>
      <c r="G2778" s="1597" t="e">
        <f t="shared" si="296"/>
        <v>#REF!</v>
      </c>
      <c r="H2778" s="1644" t="e">
        <f t="shared" si="297"/>
        <v>#REF!</v>
      </c>
      <c r="I2778" s="1597" t="e">
        <f t="shared" si="298"/>
        <v>#REF!</v>
      </c>
      <c r="J2778" s="1644" t="e">
        <f t="shared" si="299"/>
        <v>#REF!</v>
      </c>
      <c r="M2778" s="1545"/>
      <c r="N2778" s="1545"/>
    </row>
    <row r="2779" spans="1:14" ht="15.5">
      <c r="A2779" s="1598">
        <v>74.144999999999996</v>
      </c>
      <c r="B2779" s="1599" t="s">
        <v>3057</v>
      </c>
      <c r="C2779" s="1643" t="e">
        <f>+SUMIF(#REF!,Final!A2779,#REF!)</f>
        <v>#REF!</v>
      </c>
      <c r="D2779" s="1597" t="e">
        <f>+SUMIF(#REF!,Final!A2779,#REF!)</f>
        <v>#REF!</v>
      </c>
      <c r="E2779" s="1643" t="e">
        <f>SUMIF(#REF!,Final!A2779,#REF!)</f>
        <v>#REF!</v>
      </c>
      <c r="F2779" s="1644" t="e">
        <f>SUMIF(#REF!,Final!A2779,#REF!)</f>
        <v>#REF!</v>
      </c>
      <c r="G2779" s="1597" t="e">
        <f t="shared" si="296"/>
        <v>#REF!</v>
      </c>
      <c r="H2779" s="1644" t="e">
        <f t="shared" si="297"/>
        <v>#REF!</v>
      </c>
      <c r="I2779" s="1597" t="e">
        <f t="shared" si="298"/>
        <v>#REF!</v>
      </c>
      <c r="J2779" s="1644" t="e">
        <f t="shared" si="299"/>
        <v>#REF!</v>
      </c>
      <c r="M2779" s="1545"/>
      <c r="N2779" s="1545"/>
    </row>
    <row r="2780" spans="1:14" ht="15.5">
      <c r="A2780" s="1598">
        <v>74.146000000000001</v>
      </c>
      <c r="B2780" s="1599" t="s">
        <v>3944</v>
      </c>
      <c r="C2780" s="1643" t="e">
        <f>+SUMIF(#REF!,Final!A2780,#REF!)</f>
        <v>#REF!</v>
      </c>
      <c r="D2780" s="1597" t="e">
        <f>+SUMIF(#REF!,Final!A2780,#REF!)</f>
        <v>#REF!</v>
      </c>
      <c r="E2780" s="1643" t="e">
        <f>SUMIF(#REF!,Final!A2780,#REF!)</f>
        <v>#REF!</v>
      </c>
      <c r="F2780" s="1644" t="e">
        <f>SUMIF(#REF!,Final!A2780,#REF!)</f>
        <v>#REF!</v>
      </c>
      <c r="G2780" s="1597" t="e">
        <f t="shared" si="296"/>
        <v>#REF!</v>
      </c>
      <c r="H2780" s="1644" t="e">
        <f t="shared" si="297"/>
        <v>#REF!</v>
      </c>
      <c r="I2780" s="1597" t="e">
        <f t="shared" si="298"/>
        <v>#REF!</v>
      </c>
      <c r="J2780" s="1644" t="e">
        <f t="shared" si="299"/>
        <v>#REF!</v>
      </c>
      <c r="M2780" s="1545"/>
      <c r="N2780" s="1545"/>
    </row>
    <row r="2781" spans="1:14" ht="15.5">
      <c r="A2781" s="1598">
        <v>74.147000000000006</v>
      </c>
      <c r="B2781" s="1599" t="s">
        <v>3945</v>
      </c>
      <c r="C2781" s="1643" t="e">
        <f>+SUMIF(#REF!,Final!A2781,#REF!)</f>
        <v>#REF!</v>
      </c>
      <c r="D2781" s="1597" t="e">
        <f>+SUMIF(#REF!,Final!A2781,#REF!)</f>
        <v>#REF!</v>
      </c>
      <c r="E2781" s="1643" t="e">
        <f>SUMIF(#REF!,Final!A2781,#REF!)</f>
        <v>#REF!</v>
      </c>
      <c r="F2781" s="1644" t="e">
        <f>SUMIF(#REF!,Final!A2781,#REF!)</f>
        <v>#REF!</v>
      </c>
      <c r="G2781" s="1597" t="e">
        <f t="shared" si="296"/>
        <v>#REF!</v>
      </c>
      <c r="H2781" s="1644" t="e">
        <f t="shared" si="297"/>
        <v>#REF!</v>
      </c>
      <c r="I2781" s="1597" t="e">
        <f t="shared" si="298"/>
        <v>#REF!</v>
      </c>
      <c r="J2781" s="1644" t="e">
        <f t="shared" si="299"/>
        <v>#REF!</v>
      </c>
      <c r="M2781" s="1545"/>
      <c r="N2781" s="1545"/>
    </row>
    <row r="2782" spans="1:14" ht="15.5">
      <c r="A2782" s="1598">
        <v>74.150999999999996</v>
      </c>
      <c r="B2782" s="1599" t="s">
        <v>3058</v>
      </c>
      <c r="C2782" s="1643" t="e">
        <f>+SUMIF(#REF!,Final!A2782,#REF!)</f>
        <v>#REF!</v>
      </c>
      <c r="D2782" s="1597" t="e">
        <f>+SUMIF(#REF!,Final!A2782,#REF!)</f>
        <v>#REF!</v>
      </c>
      <c r="E2782" s="1643" t="e">
        <f>SUMIF(#REF!,Final!A2782,#REF!)</f>
        <v>#REF!</v>
      </c>
      <c r="F2782" s="1644" t="e">
        <f>SUMIF(#REF!,Final!A2782,#REF!)</f>
        <v>#REF!</v>
      </c>
      <c r="G2782" s="1597" t="e">
        <f t="shared" si="296"/>
        <v>#REF!</v>
      </c>
      <c r="H2782" s="1644" t="e">
        <f t="shared" si="297"/>
        <v>#REF!</v>
      </c>
      <c r="I2782" s="1597" t="e">
        <f t="shared" si="298"/>
        <v>#REF!</v>
      </c>
      <c r="J2782" s="1644" t="e">
        <f t="shared" si="299"/>
        <v>#REF!</v>
      </c>
      <c r="M2782" s="1545"/>
      <c r="N2782" s="1545"/>
    </row>
    <row r="2783" spans="1:14" ht="15.5">
      <c r="A2783" s="1598">
        <v>74.152000000000001</v>
      </c>
      <c r="B2783" s="1599" t="s">
        <v>3059</v>
      </c>
      <c r="C2783" s="1643" t="e">
        <f>+SUMIF(#REF!,Final!A2783,#REF!)</f>
        <v>#REF!</v>
      </c>
      <c r="D2783" s="1597" t="e">
        <f>+SUMIF(#REF!,Final!A2783,#REF!)</f>
        <v>#REF!</v>
      </c>
      <c r="E2783" s="1643" t="e">
        <f>SUMIF(#REF!,Final!A2783,#REF!)</f>
        <v>#REF!</v>
      </c>
      <c r="F2783" s="1644" t="e">
        <f>SUMIF(#REF!,Final!A2783,#REF!)</f>
        <v>#REF!</v>
      </c>
      <c r="G2783" s="1597" t="e">
        <f t="shared" si="296"/>
        <v>#REF!</v>
      </c>
      <c r="H2783" s="1644" t="e">
        <f t="shared" si="297"/>
        <v>#REF!</v>
      </c>
      <c r="I2783" s="1597" t="e">
        <f t="shared" si="298"/>
        <v>#REF!</v>
      </c>
      <c r="J2783" s="1644" t="e">
        <f t="shared" si="299"/>
        <v>#REF!</v>
      </c>
      <c r="M2783" s="1545"/>
      <c r="N2783" s="1545"/>
    </row>
    <row r="2784" spans="1:14" ht="15.5">
      <c r="A2784" s="1598">
        <v>74.153000000000006</v>
      </c>
      <c r="B2784" s="1599" t="s">
        <v>3060</v>
      </c>
      <c r="C2784" s="1643" t="e">
        <f>+SUMIF(#REF!,Final!A2784,#REF!)</f>
        <v>#REF!</v>
      </c>
      <c r="D2784" s="1597" t="e">
        <f>+SUMIF(#REF!,Final!A2784,#REF!)</f>
        <v>#REF!</v>
      </c>
      <c r="E2784" s="1643" t="e">
        <f>SUMIF(#REF!,Final!A2784,#REF!)</f>
        <v>#REF!</v>
      </c>
      <c r="F2784" s="1644" t="e">
        <f>SUMIF(#REF!,Final!A2784,#REF!)</f>
        <v>#REF!</v>
      </c>
      <c r="G2784" s="1597" t="e">
        <f t="shared" si="296"/>
        <v>#REF!</v>
      </c>
      <c r="H2784" s="1644" t="e">
        <f t="shared" si="297"/>
        <v>#REF!</v>
      </c>
      <c r="I2784" s="1597" t="e">
        <f t="shared" si="298"/>
        <v>#REF!</v>
      </c>
      <c r="J2784" s="1644" t="e">
        <f t="shared" si="299"/>
        <v>#REF!</v>
      </c>
      <c r="M2784" s="1545"/>
      <c r="N2784" s="1545"/>
    </row>
    <row r="2785" spans="1:14" ht="15.5">
      <c r="A2785" s="1598">
        <v>74.153999999999996</v>
      </c>
      <c r="B2785" s="1599" t="s">
        <v>3061</v>
      </c>
      <c r="C2785" s="1643" t="e">
        <f>+SUMIF(#REF!,Final!A2785,#REF!)</f>
        <v>#REF!</v>
      </c>
      <c r="D2785" s="1597" t="e">
        <f>+SUMIF(#REF!,Final!A2785,#REF!)</f>
        <v>#REF!</v>
      </c>
      <c r="E2785" s="1643" t="e">
        <f>SUMIF(#REF!,Final!A2785,#REF!)</f>
        <v>#REF!</v>
      </c>
      <c r="F2785" s="1644" t="e">
        <f>SUMIF(#REF!,Final!A2785,#REF!)</f>
        <v>#REF!</v>
      </c>
      <c r="G2785" s="1597" t="e">
        <f t="shared" si="296"/>
        <v>#REF!</v>
      </c>
      <c r="H2785" s="1644" t="e">
        <f t="shared" si="297"/>
        <v>#REF!</v>
      </c>
      <c r="I2785" s="1597" t="e">
        <f t="shared" si="298"/>
        <v>#REF!</v>
      </c>
      <c r="J2785" s="1644" t="e">
        <f t="shared" si="299"/>
        <v>#REF!</v>
      </c>
      <c r="M2785" s="1545"/>
      <c r="N2785" s="1545"/>
    </row>
    <row r="2786" spans="1:14" ht="15.5">
      <c r="A2786" s="1598">
        <v>74.156000000000006</v>
      </c>
      <c r="B2786" s="1599" t="s">
        <v>4556</v>
      </c>
      <c r="C2786" s="1643" t="e">
        <f>+SUMIF(#REF!,Final!A2786,#REF!)</f>
        <v>#REF!</v>
      </c>
      <c r="D2786" s="1597" t="e">
        <f>+SUMIF(#REF!,Final!A2786,#REF!)</f>
        <v>#REF!</v>
      </c>
      <c r="E2786" s="1643" t="e">
        <f>SUMIF(#REF!,Final!A2786,#REF!)</f>
        <v>#REF!</v>
      </c>
      <c r="F2786" s="1644" t="e">
        <f>SUMIF(#REF!,Final!A2786,#REF!)</f>
        <v>#REF!</v>
      </c>
      <c r="G2786" s="1597" t="e">
        <f t="shared" si="296"/>
        <v>#REF!</v>
      </c>
      <c r="H2786" s="1644" t="e">
        <f t="shared" si="297"/>
        <v>#REF!</v>
      </c>
      <c r="I2786" s="1597" t="e">
        <f t="shared" si="298"/>
        <v>#REF!</v>
      </c>
      <c r="J2786" s="1644" t="e">
        <f t="shared" si="299"/>
        <v>#REF!</v>
      </c>
      <c r="M2786" s="1545"/>
      <c r="N2786" s="1545"/>
    </row>
    <row r="2787" spans="1:14" ht="15.5">
      <c r="A2787" s="1598">
        <v>74.156999999999996</v>
      </c>
      <c r="B2787" s="1599" t="s">
        <v>4557</v>
      </c>
      <c r="C2787" s="1643" t="e">
        <f>+SUMIF(#REF!,Final!A2787,#REF!)</f>
        <v>#REF!</v>
      </c>
      <c r="D2787" s="1597" t="e">
        <f>+SUMIF(#REF!,Final!A2787,#REF!)</f>
        <v>#REF!</v>
      </c>
      <c r="E2787" s="1643" t="e">
        <f>SUMIF(#REF!,Final!A2787,#REF!)</f>
        <v>#REF!</v>
      </c>
      <c r="F2787" s="1644" t="e">
        <f>SUMIF(#REF!,Final!A2787,#REF!)</f>
        <v>#REF!</v>
      </c>
      <c r="G2787" s="1597" t="e">
        <f t="shared" si="296"/>
        <v>#REF!</v>
      </c>
      <c r="H2787" s="1644" t="e">
        <f t="shared" si="297"/>
        <v>#REF!</v>
      </c>
      <c r="I2787" s="1597" t="e">
        <f t="shared" si="298"/>
        <v>#REF!</v>
      </c>
      <c r="J2787" s="1644" t="e">
        <f t="shared" si="299"/>
        <v>#REF!</v>
      </c>
      <c r="M2787" s="1545"/>
      <c r="N2787" s="1545"/>
    </row>
    <row r="2788" spans="1:14" ht="15.5">
      <c r="A2788" s="1684" t="s">
        <v>5019</v>
      </c>
      <c r="B2788" s="1703" t="s">
        <v>5020</v>
      </c>
      <c r="C2788" s="1643" t="e">
        <f>+SUMIF(#REF!,Final!A2788,#REF!)</f>
        <v>#REF!</v>
      </c>
      <c r="D2788" s="1597" t="e">
        <f>+SUMIF(#REF!,Final!A2788,#REF!)</f>
        <v>#REF!</v>
      </c>
      <c r="E2788" s="1643" t="e">
        <f>SUMIF(#REF!,Final!A2788,#REF!)</f>
        <v>#REF!</v>
      </c>
      <c r="F2788" s="1644" t="e">
        <f>SUMIF(#REF!,Final!A2788,#REF!)</f>
        <v>#REF!</v>
      </c>
      <c r="G2788" s="1597" t="e">
        <f t="shared" si="296"/>
        <v>#REF!</v>
      </c>
      <c r="H2788" s="1644" t="e">
        <f t="shared" si="297"/>
        <v>#REF!</v>
      </c>
      <c r="I2788" s="1597" t="e">
        <f t="shared" si="298"/>
        <v>#REF!</v>
      </c>
      <c r="J2788" s="1644" t="e">
        <f t="shared" si="299"/>
        <v>#REF!</v>
      </c>
      <c r="M2788" s="1545"/>
      <c r="N2788" s="1545"/>
    </row>
    <row r="2789" spans="1:14" ht="15.5">
      <c r="A2789" s="1684" t="s">
        <v>5021</v>
      </c>
      <c r="B2789" s="1703" t="s">
        <v>5022</v>
      </c>
      <c r="C2789" s="1643" t="e">
        <f>+SUMIF(#REF!,Final!A2789,#REF!)</f>
        <v>#REF!</v>
      </c>
      <c r="D2789" s="1597" t="e">
        <f>+SUMIF(#REF!,Final!A2789,#REF!)</f>
        <v>#REF!</v>
      </c>
      <c r="E2789" s="1643" t="e">
        <f>SUMIF(#REF!,Final!A2789,#REF!)</f>
        <v>#REF!</v>
      </c>
      <c r="F2789" s="1644" t="e">
        <f>SUMIF(#REF!,Final!A2789,#REF!)</f>
        <v>#REF!</v>
      </c>
      <c r="G2789" s="1597" t="e">
        <f t="shared" si="296"/>
        <v>#REF!</v>
      </c>
      <c r="H2789" s="1644" t="e">
        <f t="shared" si="297"/>
        <v>#REF!</v>
      </c>
      <c r="I2789" s="1597" t="e">
        <f t="shared" si="298"/>
        <v>#REF!</v>
      </c>
      <c r="J2789" s="1644" t="e">
        <f t="shared" si="299"/>
        <v>#REF!</v>
      </c>
      <c r="M2789" s="1545"/>
      <c r="N2789" s="1545"/>
    </row>
    <row r="2790" spans="1:14" ht="15.5">
      <c r="A2790" s="1796" t="s">
        <v>5271</v>
      </c>
      <c r="B2790" s="1795" t="s">
        <v>3944</v>
      </c>
      <c r="C2790" s="1643" t="e">
        <f>+SUMIF(#REF!,Final!A2790,#REF!)</f>
        <v>#REF!</v>
      </c>
      <c r="D2790" s="1597" t="e">
        <f>+SUMIF(#REF!,Final!A2790,#REF!)</f>
        <v>#REF!</v>
      </c>
      <c r="E2790" s="1643" t="e">
        <f>SUMIF(#REF!,Final!A2790,#REF!)</f>
        <v>#REF!</v>
      </c>
      <c r="F2790" s="1644" t="e">
        <f>SUMIF(#REF!,Final!A2790,#REF!)</f>
        <v>#REF!</v>
      </c>
      <c r="G2790" s="1597" t="e">
        <f t="shared" ref="G2790:G2791" si="300">C2790+E2790</f>
        <v>#REF!</v>
      </c>
      <c r="H2790" s="1644" t="e">
        <f t="shared" ref="H2790:H2791" si="301">D2790+F2790</f>
        <v>#REF!</v>
      </c>
      <c r="I2790" s="1597" t="e">
        <f t="shared" ref="I2790:I2791" si="302">IF(G2790&gt;H2790,G2790-H2790,0)</f>
        <v>#REF!</v>
      </c>
      <c r="J2790" s="1644" t="e">
        <f t="shared" ref="J2790:J2791" si="303">IF(H2790&gt;G2790,H2790-G2790,0)</f>
        <v>#REF!</v>
      </c>
      <c r="M2790" s="1545"/>
      <c r="N2790" s="1545"/>
    </row>
    <row r="2791" spans="1:14" ht="15.5">
      <c r="A2791" s="1796" t="s">
        <v>5272</v>
      </c>
      <c r="B2791" s="1795" t="s">
        <v>3945</v>
      </c>
      <c r="C2791" s="1643" t="e">
        <f>+SUMIF(#REF!,Final!A2791,#REF!)</f>
        <v>#REF!</v>
      </c>
      <c r="D2791" s="1597" t="e">
        <f>+SUMIF(#REF!,Final!A2791,#REF!)</f>
        <v>#REF!</v>
      </c>
      <c r="E2791" s="1643" t="e">
        <f>SUMIF(#REF!,Final!A2791,#REF!)</f>
        <v>#REF!</v>
      </c>
      <c r="F2791" s="1644" t="e">
        <f>SUMIF(#REF!,Final!A2791,#REF!)</f>
        <v>#REF!</v>
      </c>
      <c r="G2791" s="1597" t="e">
        <f t="shared" si="300"/>
        <v>#REF!</v>
      </c>
      <c r="H2791" s="1644" t="e">
        <f t="shared" si="301"/>
        <v>#REF!</v>
      </c>
      <c r="I2791" s="1597" t="e">
        <f t="shared" si="302"/>
        <v>#REF!</v>
      </c>
      <c r="J2791" s="1644" t="e">
        <f t="shared" si="303"/>
        <v>#REF!</v>
      </c>
      <c r="M2791" s="1545"/>
      <c r="N2791" s="1545"/>
    </row>
    <row r="2792" spans="1:14" ht="15.5">
      <c r="A2792" s="1598">
        <v>74.171999999999997</v>
      </c>
      <c r="B2792" s="1599" t="s">
        <v>4558</v>
      </c>
      <c r="C2792" s="1643" t="e">
        <f>+SUMIF(#REF!,Final!A2792,#REF!)</f>
        <v>#REF!</v>
      </c>
      <c r="D2792" s="1597" t="e">
        <f>+SUMIF(#REF!,Final!A2792,#REF!)</f>
        <v>#REF!</v>
      </c>
      <c r="E2792" s="1643" t="e">
        <f>SUMIF(#REF!,Final!A2792,#REF!)</f>
        <v>#REF!</v>
      </c>
      <c r="F2792" s="1644" t="e">
        <f>SUMIF(#REF!,Final!A2792,#REF!)</f>
        <v>#REF!</v>
      </c>
      <c r="G2792" s="1597" t="e">
        <f t="shared" si="296"/>
        <v>#REF!</v>
      </c>
      <c r="H2792" s="1644" t="e">
        <f t="shared" si="297"/>
        <v>#REF!</v>
      </c>
      <c r="I2792" s="1597" t="e">
        <f t="shared" si="298"/>
        <v>#REF!</v>
      </c>
      <c r="J2792" s="1644" t="e">
        <f t="shared" si="299"/>
        <v>#REF!</v>
      </c>
      <c r="M2792" s="1545"/>
      <c r="N2792" s="1545"/>
    </row>
    <row r="2793" spans="1:14" ht="15.5">
      <c r="A2793" s="1598">
        <v>74.173000000000002</v>
      </c>
      <c r="B2793" s="1599" t="s">
        <v>4559</v>
      </c>
      <c r="C2793" s="1643" t="e">
        <f>+SUMIF(#REF!,Final!A2793,#REF!)</f>
        <v>#REF!</v>
      </c>
      <c r="D2793" s="1597" t="e">
        <f>+SUMIF(#REF!,Final!A2793,#REF!)</f>
        <v>#REF!</v>
      </c>
      <c r="E2793" s="1643" t="e">
        <f>SUMIF(#REF!,Final!A2793,#REF!)</f>
        <v>#REF!</v>
      </c>
      <c r="F2793" s="1644" t="e">
        <f>SUMIF(#REF!,Final!A2793,#REF!)</f>
        <v>#REF!</v>
      </c>
      <c r="G2793" s="1597" t="e">
        <f t="shared" si="296"/>
        <v>#REF!</v>
      </c>
      <c r="H2793" s="1644" t="e">
        <f t="shared" si="297"/>
        <v>#REF!</v>
      </c>
      <c r="I2793" s="1597" t="e">
        <f t="shared" si="298"/>
        <v>#REF!</v>
      </c>
      <c r="J2793" s="1644" t="e">
        <f t="shared" si="299"/>
        <v>#REF!</v>
      </c>
      <c r="M2793" s="1545"/>
      <c r="N2793" s="1545"/>
    </row>
    <row r="2794" spans="1:14" ht="15.5">
      <c r="A2794" s="1598">
        <v>74.174000000000007</v>
      </c>
      <c r="B2794" s="1599" t="s">
        <v>4560</v>
      </c>
      <c r="C2794" s="1643" t="e">
        <f>+SUMIF(#REF!,Final!A2794,#REF!)</f>
        <v>#REF!</v>
      </c>
      <c r="D2794" s="1597" t="e">
        <f>+SUMIF(#REF!,Final!A2794,#REF!)</f>
        <v>#REF!</v>
      </c>
      <c r="E2794" s="1643" t="e">
        <f>SUMIF(#REF!,Final!A2794,#REF!)</f>
        <v>#REF!</v>
      </c>
      <c r="F2794" s="1644" t="e">
        <f>SUMIF(#REF!,Final!A2794,#REF!)</f>
        <v>#REF!</v>
      </c>
      <c r="G2794" s="1597" t="e">
        <f t="shared" si="296"/>
        <v>#REF!</v>
      </c>
      <c r="H2794" s="1644" t="e">
        <f t="shared" si="297"/>
        <v>#REF!</v>
      </c>
      <c r="I2794" s="1597" t="e">
        <f t="shared" si="298"/>
        <v>#REF!</v>
      </c>
      <c r="J2794" s="1644" t="e">
        <f t="shared" si="299"/>
        <v>#REF!</v>
      </c>
      <c r="M2794" s="1545"/>
      <c r="N2794" s="1545"/>
    </row>
    <row r="2795" spans="1:14" ht="15.5">
      <c r="A2795" s="1598">
        <v>74.174999999999997</v>
      </c>
      <c r="B2795" s="1599" t="s">
        <v>4561</v>
      </c>
      <c r="C2795" s="1643" t="e">
        <f>+SUMIF(#REF!,Final!A2795,#REF!)</f>
        <v>#REF!</v>
      </c>
      <c r="D2795" s="1597" t="e">
        <f>+SUMIF(#REF!,Final!A2795,#REF!)</f>
        <v>#REF!</v>
      </c>
      <c r="E2795" s="1643" t="e">
        <f>SUMIF(#REF!,Final!A2795,#REF!)</f>
        <v>#REF!</v>
      </c>
      <c r="F2795" s="1644" t="e">
        <f>SUMIF(#REF!,Final!A2795,#REF!)</f>
        <v>#REF!</v>
      </c>
      <c r="G2795" s="1597" t="e">
        <f t="shared" si="296"/>
        <v>#REF!</v>
      </c>
      <c r="H2795" s="1644" t="e">
        <f t="shared" si="297"/>
        <v>#REF!</v>
      </c>
      <c r="I2795" s="1597" t="e">
        <f t="shared" si="298"/>
        <v>#REF!</v>
      </c>
      <c r="J2795" s="1644" t="e">
        <f t="shared" si="299"/>
        <v>#REF!</v>
      </c>
      <c r="M2795" s="1545"/>
      <c r="N2795" s="1545"/>
    </row>
    <row r="2796" spans="1:14" ht="15.5">
      <c r="A2796" s="1598">
        <v>74.176000000000002</v>
      </c>
      <c r="B2796" s="1599" t="s">
        <v>4562</v>
      </c>
      <c r="C2796" s="1643" t="e">
        <f>+SUMIF(#REF!,Final!A2796,#REF!)</f>
        <v>#REF!</v>
      </c>
      <c r="D2796" s="1597" t="e">
        <f>+SUMIF(#REF!,Final!A2796,#REF!)</f>
        <v>#REF!</v>
      </c>
      <c r="E2796" s="1643" t="e">
        <f>SUMIF(#REF!,Final!A2796,#REF!)</f>
        <v>#REF!</v>
      </c>
      <c r="F2796" s="1644" t="e">
        <f>SUMIF(#REF!,Final!A2796,#REF!)</f>
        <v>#REF!</v>
      </c>
      <c r="G2796" s="1597" t="e">
        <f t="shared" si="296"/>
        <v>#REF!</v>
      </c>
      <c r="H2796" s="1644" t="e">
        <f t="shared" si="297"/>
        <v>#REF!</v>
      </c>
      <c r="I2796" s="1597" t="e">
        <f t="shared" si="298"/>
        <v>#REF!</v>
      </c>
      <c r="J2796" s="1644" t="e">
        <f t="shared" si="299"/>
        <v>#REF!</v>
      </c>
      <c r="M2796" s="1545"/>
      <c r="N2796" s="1545"/>
    </row>
    <row r="2797" spans="1:14" ht="15.5">
      <c r="A2797" s="1598">
        <v>74.177000000000007</v>
      </c>
      <c r="B2797" s="1599" t="s">
        <v>4563</v>
      </c>
      <c r="C2797" s="1643" t="e">
        <f>+SUMIF(#REF!,Final!A2797,#REF!)</f>
        <v>#REF!</v>
      </c>
      <c r="D2797" s="1597" t="e">
        <f>+SUMIF(#REF!,Final!A2797,#REF!)</f>
        <v>#REF!</v>
      </c>
      <c r="E2797" s="1643" t="e">
        <f>SUMIF(#REF!,Final!A2797,#REF!)</f>
        <v>#REF!</v>
      </c>
      <c r="F2797" s="1644" t="e">
        <f>SUMIF(#REF!,Final!A2797,#REF!)</f>
        <v>#REF!</v>
      </c>
      <c r="G2797" s="1597" t="e">
        <f t="shared" si="296"/>
        <v>#REF!</v>
      </c>
      <c r="H2797" s="1644" t="e">
        <f t="shared" si="297"/>
        <v>#REF!</v>
      </c>
      <c r="I2797" s="1597" t="e">
        <f t="shared" si="298"/>
        <v>#REF!</v>
      </c>
      <c r="J2797" s="1644" t="e">
        <f t="shared" si="299"/>
        <v>#REF!</v>
      </c>
      <c r="M2797" s="1545"/>
      <c r="N2797" s="1545"/>
    </row>
    <row r="2798" spans="1:14" ht="15.5">
      <c r="A2798" s="1684" t="s">
        <v>5023</v>
      </c>
      <c r="B2798" s="1703" t="s">
        <v>5024</v>
      </c>
      <c r="C2798" s="1643" t="e">
        <f>+SUMIF(#REF!,Final!A2798,#REF!)</f>
        <v>#REF!</v>
      </c>
      <c r="D2798" s="1597" t="e">
        <f>+SUMIF(#REF!,Final!A2798,#REF!)</f>
        <v>#REF!</v>
      </c>
      <c r="E2798" s="1643" t="e">
        <f>SUMIF(#REF!,Final!A2798,#REF!)</f>
        <v>#REF!</v>
      </c>
      <c r="F2798" s="1644" t="e">
        <f>SUMIF(#REF!,Final!A2798,#REF!)</f>
        <v>#REF!</v>
      </c>
      <c r="G2798" s="1597" t="e">
        <f t="shared" si="296"/>
        <v>#REF!</v>
      </c>
      <c r="H2798" s="1644" t="e">
        <f t="shared" si="297"/>
        <v>#REF!</v>
      </c>
      <c r="I2798" s="1597" t="e">
        <f t="shared" si="298"/>
        <v>#REF!</v>
      </c>
      <c r="J2798" s="1644" t="e">
        <f t="shared" si="299"/>
        <v>#REF!</v>
      </c>
      <c r="M2798" s="1545"/>
      <c r="N2798" s="1545"/>
    </row>
    <row r="2799" spans="1:14" ht="15.5">
      <c r="A2799" s="1684" t="s">
        <v>5025</v>
      </c>
      <c r="B2799" s="1703" t="s">
        <v>5026</v>
      </c>
      <c r="C2799" s="1643" t="e">
        <f>+SUMIF(#REF!,Final!A2799,#REF!)</f>
        <v>#REF!</v>
      </c>
      <c r="D2799" s="1597" t="e">
        <f>+SUMIF(#REF!,Final!A2799,#REF!)</f>
        <v>#REF!</v>
      </c>
      <c r="E2799" s="1643" t="e">
        <f>SUMIF(#REF!,Final!A2799,#REF!)</f>
        <v>#REF!</v>
      </c>
      <c r="F2799" s="1644" t="e">
        <f>SUMIF(#REF!,Final!A2799,#REF!)</f>
        <v>#REF!</v>
      </c>
      <c r="G2799" s="1597" t="e">
        <f t="shared" si="296"/>
        <v>#REF!</v>
      </c>
      <c r="H2799" s="1644" t="e">
        <f t="shared" si="297"/>
        <v>#REF!</v>
      </c>
      <c r="I2799" s="1597" t="e">
        <f t="shared" si="298"/>
        <v>#REF!</v>
      </c>
      <c r="J2799" s="1644" t="e">
        <f t="shared" si="299"/>
        <v>#REF!</v>
      </c>
      <c r="M2799" s="1545"/>
      <c r="N2799" s="1545"/>
    </row>
    <row r="2800" spans="1:14" ht="15.5">
      <c r="A2800" s="1684" t="s">
        <v>5027</v>
      </c>
      <c r="B2800" s="1703" t="s">
        <v>5028</v>
      </c>
      <c r="C2800" s="1643" t="e">
        <f>+SUMIF(#REF!,Final!A2800,#REF!)</f>
        <v>#REF!</v>
      </c>
      <c r="D2800" s="1597" t="e">
        <f>+SUMIF(#REF!,Final!A2800,#REF!)</f>
        <v>#REF!</v>
      </c>
      <c r="E2800" s="1643" t="e">
        <f>SUMIF(#REF!,Final!A2800,#REF!)</f>
        <v>#REF!</v>
      </c>
      <c r="F2800" s="1644" t="e">
        <f>SUMIF(#REF!,Final!A2800,#REF!)</f>
        <v>#REF!</v>
      </c>
      <c r="G2800" s="1597" t="e">
        <f t="shared" si="296"/>
        <v>#REF!</v>
      </c>
      <c r="H2800" s="1644" t="e">
        <f t="shared" si="297"/>
        <v>#REF!</v>
      </c>
      <c r="I2800" s="1597" t="e">
        <f t="shared" si="298"/>
        <v>#REF!</v>
      </c>
      <c r="J2800" s="1644" t="e">
        <f t="shared" si="299"/>
        <v>#REF!</v>
      </c>
      <c r="M2800" s="1545"/>
      <c r="N2800" s="1545"/>
    </row>
    <row r="2801" spans="1:14" ht="15.5">
      <c r="A2801" s="1684" t="s">
        <v>5029</v>
      </c>
      <c r="B2801" s="1703" t="s">
        <v>5030</v>
      </c>
      <c r="C2801" s="1643" t="e">
        <f>+SUMIF(#REF!,Final!A2801,#REF!)</f>
        <v>#REF!</v>
      </c>
      <c r="D2801" s="1597" t="e">
        <f>+SUMIF(#REF!,Final!A2801,#REF!)</f>
        <v>#REF!</v>
      </c>
      <c r="E2801" s="1643" t="e">
        <f>SUMIF(#REF!,Final!A2801,#REF!)</f>
        <v>#REF!</v>
      </c>
      <c r="F2801" s="1644" t="e">
        <f>SUMIF(#REF!,Final!A2801,#REF!)</f>
        <v>#REF!</v>
      </c>
      <c r="G2801" s="1597" t="e">
        <f t="shared" si="296"/>
        <v>#REF!</v>
      </c>
      <c r="H2801" s="1644" t="e">
        <f t="shared" si="297"/>
        <v>#REF!</v>
      </c>
      <c r="I2801" s="1597" t="e">
        <f t="shared" si="298"/>
        <v>#REF!</v>
      </c>
      <c r="J2801" s="1644" t="e">
        <f t="shared" si="299"/>
        <v>#REF!</v>
      </c>
      <c r="M2801" s="1545"/>
      <c r="N2801" s="1545"/>
    </row>
    <row r="2802" spans="1:14" ht="15.5">
      <c r="A2802" s="1684" t="s">
        <v>5031</v>
      </c>
      <c r="B2802" s="1703" t="s">
        <v>5032</v>
      </c>
      <c r="C2802" s="1643" t="e">
        <f>+SUMIF(#REF!,Final!A2802,#REF!)</f>
        <v>#REF!</v>
      </c>
      <c r="D2802" s="1597" t="e">
        <f>+SUMIF(#REF!,Final!A2802,#REF!)</f>
        <v>#REF!</v>
      </c>
      <c r="E2802" s="1643" t="e">
        <f>SUMIF(#REF!,Final!A2802,#REF!)</f>
        <v>#REF!</v>
      </c>
      <c r="F2802" s="1644" t="e">
        <f>SUMIF(#REF!,Final!A2802,#REF!)</f>
        <v>#REF!</v>
      </c>
      <c r="G2802" s="1597" t="e">
        <f t="shared" si="296"/>
        <v>#REF!</v>
      </c>
      <c r="H2802" s="1644" t="e">
        <f t="shared" si="297"/>
        <v>#REF!</v>
      </c>
      <c r="I2802" s="1597" t="e">
        <f t="shared" si="298"/>
        <v>#REF!</v>
      </c>
      <c r="J2802" s="1644" t="e">
        <f t="shared" si="299"/>
        <v>#REF!</v>
      </c>
      <c r="M2802" s="1545"/>
      <c r="N2802" s="1545"/>
    </row>
    <row r="2803" spans="1:14" ht="15.5">
      <c r="A2803" s="1786" t="s">
        <v>5273</v>
      </c>
      <c r="B2803" s="1787" t="s">
        <v>3979</v>
      </c>
      <c r="C2803" s="1643"/>
      <c r="D2803" s="1597"/>
      <c r="E2803" s="1643"/>
      <c r="F2803" s="1644"/>
      <c r="G2803" s="1597"/>
      <c r="H2803" s="1644"/>
      <c r="I2803" s="1597"/>
      <c r="J2803" s="1644"/>
      <c r="M2803" s="1545"/>
      <c r="N2803" s="1545"/>
    </row>
    <row r="2804" spans="1:14" ht="15.5">
      <c r="A2804" s="1786" t="s">
        <v>5274</v>
      </c>
      <c r="B2804" s="1787" t="s">
        <v>3981</v>
      </c>
      <c r="C2804" s="1643"/>
      <c r="D2804" s="1597"/>
      <c r="E2804" s="1643"/>
      <c r="F2804" s="1644"/>
      <c r="G2804" s="1597"/>
      <c r="H2804" s="1644"/>
      <c r="I2804" s="1597"/>
      <c r="J2804" s="1644"/>
      <c r="M2804" s="1545"/>
      <c r="N2804" s="1545"/>
    </row>
    <row r="2805" spans="1:14" ht="15.5">
      <c r="A2805" s="1786" t="s">
        <v>5275</v>
      </c>
      <c r="B2805" s="1787" t="s">
        <v>3982</v>
      </c>
      <c r="C2805" s="1643"/>
      <c r="D2805" s="1597"/>
      <c r="E2805" s="1643"/>
      <c r="F2805" s="1644"/>
      <c r="G2805" s="1597"/>
      <c r="H2805" s="1644"/>
      <c r="I2805" s="1597"/>
      <c r="J2805" s="1644"/>
      <c r="M2805" s="1545"/>
      <c r="N2805" s="1545"/>
    </row>
    <row r="2806" spans="1:14" ht="15.5">
      <c r="A2806" s="1786" t="s">
        <v>5276</v>
      </c>
      <c r="B2806" s="1787" t="s">
        <v>3983</v>
      </c>
      <c r="C2806" s="1643"/>
      <c r="D2806" s="1597"/>
      <c r="E2806" s="1643"/>
      <c r="F2806" s="1644"/>
      <c r="G2806" s="1597"/>
      <c r="H2806" s="1644"/>
      <c r="I2806" s="1597"/>
      <c r="J2806" s="1644"/>
      <c r="M2806" s="1545"/>
      <c r="N2806" s="1545"/>
    </row>
    <row r="2807" spans="1:14" ht="15.5">
      <c r="A2807" s="1786" t="s">
        <v>5277</v>
      </c>
      <c r="B2807" s="1787" t="s">
        <v>3986</v>
      </c>
      <c r="C2807" s="1643"/>
      <c r="D2807" s="1597"/>
      <c r="E2807" s="1643"/>
      <c r="F2807" s="1644"/>
      <c r="G2807" s="1597"/>
      <c r="H2807" s="1644"/>
      <c r="I2807" s="1597"/>
      <c r="J2807" s="1644"/>
      <c r="M2807" s="1545"/>
      <c r="N2807" s="1545"/>
    </row>
    <row r="2808" spans="1:14" ht="15.5">
      <c r="A2808" s="1598">
        <v>74.180999999999997</v>
      </c>
      <c r="B2808" s="1599" t="s">
        <v>4564</v>
      </c>
      <c r="C2808" s="1643" t="e">
        <f>+SUMIF(#REF!,Final!A2808,#REF!)</f>
        <v>#REF!</v>
      </c>
      <c r="D2808" s="1597" t="e">
        <f>+SUMIF(#REF!,Final!A2808,#REF!)</f>
        <v>#REF!</v>
      </c>
      <c r="E2808" s="1643" t="e">
        <f>SUMIF(#REF!,Final!A2808,#REF!)</f>
        <v>#REF!</v>
      </c>
      <c r="F2808" s="1644" t="e">
        <f>SUMIF(#REF!,Final!A2808,#REF!)</f>
        <v>#REF!</v>
      </c>
      <c r="G2808" s="1597" t="e">
        <f t="shared" si="296"/>
        <v>#REF!</v>
      </c>
      <c r="H2808" s="1644" t="e">
        <f t="shared" si="297"/>
        <v>#REF!</v>
      </c>
      <c r="I2808" s="1597" t="e">
        <f t="shared" si="298"/>
        <v>#REF!</v>
      </c>
      <c r="J2808" s="1644" t="e">
        <f t="shared" si="299"/>
        <v>#REF!</v>
      </c>
      <c r="M2808" s="1545"/>
      <c r="N2808" s="1545"/>
    </row>
    <row r="2809" spans="1:14" ht="15.5">
      <c r="A2809" s="1598">
        <v>74.180000000000007</v>
      </c>
      <c r="B2809" s="1599" t="s">
        <v>4565</v>
      </c>
      <c r="C2809" s="1643" t="e">
        <f>+SUMIF(#REF!,Final!A2809,#REF!)</f>
        <v>#REF!</v>
      </c>
      <c r="D2809" s="1597" t="e">
        <f>+SUMIF(#REF!,Final!A2809,#REF!)</f>
        <v>#REF!</v>
      </c>
      <c r="E2809" s="1643" t="e">
        <f>SUMIF(#REF!,Final!A2809,#REF!)</f>
        <v>#REF!</v>
      </c>
      <c r="F2809" s="1644" t="e">
        <f>SUMIF(#REF!,Final!A2809,#REF!)</f>
        <v>#REF!</v>
      </c>
      <c r="G2809" s="1597" t="e">
        <f t="shared" si="296"/>
        <v>#REF!</v>
      </c>
      <c r="H2809" s="1644" t="e">
        <f t="shared" si="297"/>
        <v>#REF!</v>
      </c>
      <c r="I2809" s="1597" t="e">
        <f t="shared" si="298"/>
        <v>#REF!</v>
      </c>
      <c r="J2809" s="1644" t="e">
        <f t="shared" si="299"/>
        <v>#REF!</v>
      </c>
      <c r="M2809" s="1545"/>
      <c r="N2809" s="1545"/>
    </row>
    <row r="2810" spans="1:14" ht="15.5">
      <c r="A2810" s="1598">
        <v>74.182000000000002</v>
      </c>
      <c r="B2810" s="1599" t="s">
        <v>4566</v>
      </c>
      <c r="C2810" s="1643" t="e">
        <f>+SUMIF(#REF!,Final!A2810,#REF!)</f>
        <v>#REF!</v>
      </c>
      <c r="D2810" s="1597" t="e">
        <f>+SUMIF(#REF!,Final!A2810,#REF!)</f>
        <v>#REF!</v>
      </c>
      <c r="E2810" s="1643" t="e">
        <f>SUMIF(#REF!,Final!A2810,#REF!)</f>
        <v>#REF!</v>
      </c>
      <c r="F2810" s="1644" t="e">
        <f>SUMIF(#REF!,Final!A2810,#REF!)</f>
        <v>#REF!</v>
      </c>
      <c r="G2810" s="1597" t="e">
        <f t="shared" si="296"/>
        <v>#REF!</v>
      </c>
      <c r="H2810" s="1644" t="e">
        <f t="shared" si="297"/>
        <v>#REF!</v>
      </c>
      <c r="I2810" s="1597" t="e">
        <f t="shared" si="298"/>
        <v>#REF!</v>
      </c>
      <c r="J2810" s="1644" t="e">
        <f t="shared" si="299"/>
        <v>#REF!</v>
      </c>
      <c r="M2810" s="1545"/>
      <c r="N2810" s="1545"/>
    </row>
    <row r="2811" spans="1:14" ht="15.5">
      <c r="A2811" s="1598">
        <v>74.183000000000007</v>
      </c>
      <c r="B2811" s="1599" t="s">
        <v>4567</v>
      </c>
      <c r="C2811" s="1643" t="e">
        <f>+SUMIF(#REF!,Final!A2811,#REF!)</f>
        <v>#REF!</v>
      </c>
      <c r="D2811" s="1597" t="e">
        <f>+SUMIF(#REF!,Final!A2811,#REF!)</f>
        <v>#REF!</v>
      </c>
      <c r="E2811" s="1643" t="e">
        <f>SUMIF(#REF!,Final!A2811,#REF!)</f>
        <v>#REF!</v>
      </c>
      <c r="F2811" s="1644" t="e">
        <f>SUMIF(#REF!,Final!A2811,#REF!)</f>
        <v>#REF!</v>
      </c>
      <c r="G2811" s="1597" t="e">
        <f t="shared" si="296"/>
        <v>#REF!</v>
      </c>
      <c r="H2811" s="1644" t="e">
        <f t="shared" si="297"/>
        <v>#REF!</v>
      </c>
      <c r="I2811" s="1597" t="e">
        <f t="shared" si="298"/>
        <v>#REF!</v>
      </c>
      <c r="J2811" s="1644" t="e">
        <f t="shared" si="299"/>
        <v>#REF!</v>
      </c>
      <c r="M2811" s="1545"/>
      <c r="N2811" s="1545"/>
    </row>
    <row r="2812" spans="1:14" ht="15.5">
      <c r="A2812" s="1598">
        <v>74.186999999999898</v>
      </c>
      <c r="B2812" s="1599" t="s">
        <v>4568</v>
      </c>
      <c r="C2812" s="1643" t="e">
        <f>+SUMIF(#REF!,Final!A2812,#REF!)</f>
        <v>#REF!</v>
      </c>
      <c r="D2812" s="1597" t="e">
        <f>+SUMIF(#REF!,Final!A2812,#REF!)</f>
        <v>#REF!</v>
      </c>
      <c r="E2812" s="1643" t="e">
        <f>SUMIF(#REF!,Final!A2812,#REF!)</f>
        <v>#REF!</v>
      </c>
      <c r="F2812" s="1644" t="e">
        <f>SUMIF(#REF!,Final!A2812,#REF!)</f>
        <v>#REF!</v>
      </c>
      <c r="G2812" s="1597" t="e">
        <f t="shared" si="296"/>
        <v>#REF!</v>
      </c>
      <c r="H2812" s="1644" t="e">
        <f t="shared" si="297"/>
        <v>#REF!</v>
      </c>
      <c r="I2812" s="1597" t="e">
        <f t="shared" si="298"/>
        <v>#REF!</v>
      </c>
      <c r="J2812" s="1644" t="e">
        <f t="shared" si="299"/>
        <v>#REF!</v>
      </c>
      <c r="M2812" s="1545"/>
      <c r="N2812" s="1545"/>
    </row>
    <row r="2813" spans="1:14" ht="15.5">
      <c r="A2813" s="1598">
        <v>74.188000000000002</v>
      </c>
      <c r="B2813" s="1599" t="s">
        <v>4569</v>
      </c>
      <c r="C2813" s="1643" t="e">
        <f>+SUMIF(#REF!,Final!A2813,#REF!)</f>
        <v>#REF!</v>
      </c>
      <c r="D2813" s="1597" t="e">
        <f>+SUMIF(#REF!,Final!A2813,#REF!)</f>
        <v>#REF!</v>
      </c>
      <c r="E2813" s="1643" t="e">
        <f>SUMIF(#REF!,Final!A2813,#REF!)</f>
        <v>#REF!</v>
      </c>
      <c r="F2813" s="1644" t="e">
        <f>SUMIF(#REF!,Final!A2813,#REF!)</f>
        <v>#REF!</v>
      </c>
      <c r="G2813" s="1597" t="e">
        <f t="shared" si="296"/>
        <v>#REF!</v>
      </c>
      <c r="H2813" s="1644" t="e">
        <f t="shared" si="297"/>
        <v>#REF!</v>
      </c>
      <c r="I2813" s="1597" t="e">
        <f t="shared" si="298"/>
        <v>#REF!</v>
      </c>
      <c r="J2813" s="1644" t="e">
        <f t="shared" si="299"/>
        <v>#REF!</v>
      </c>
      <c r="M2813" s="1545"/>
      <c r="N2813" s="1545"/>
    </row>
    <row r="2814" spans="1:14" ht="15.5">
      <c r="A2814" s="1598">
        <v>74.188999999999993</v>
      </c>
      <c r="B2814" s="1599" t="s">
        <v>4570</v>
      </c>
      <c r="C2814" s="1643" t="e">
        <f>+SUMIF(#REF!,Final!A2814,#REF!)</f>
        <v>#REF!</v>
      </c>
      <c r="D2814" s="1597" t="e">
        <f>+SUMIF(#REF!,Final!A2814,#REF!)</f>
        <v>#REF!</v>
      </c>
      <c r="E2814" s="1643" t="e">
        <f>SUMIF(#REF!,Final!A2814,#REF!)</f>
        <v>#REF!</v>
      </c>
      <c r="F2814" s="1644" t="e">
        <f>SUMIF(#REF!,Final!A2814,#REF!)</f>
        <v>#REF!</v>
      </c>
      <c r="G2814" s="1597" t="e">
        <f t="shared" si="296"/>
        <v>#REF!</v>
      </c>
      <c r="H2814" s="1644" t="e">
        <f t="shared" si="297"/>
        <v>#REF!</v>
      </c>
      <c r="I2814" s="1597" t="e">
        <f t="shared" si="298"/>
        <v>#REF!</v>
      </c>
      <c r="J2814" s="1644" t="e">
        <f t="shared" si="299"/>
        <v>#REF!</v>
      </c>
      <c r="M2814" s="1545"/>
      <c r="N2814" s="1545"/>
    </row>
    <row r="2815" spans="1:14" ht="15.5">
      <c r="A2815" s="1684" t="s">
        <v>5033</v>
      </c>
      <c r="B2815" s="1703" t="s">
        <v>5034</v>
      </c>
      <c r="C2815" s="1643" t="e">
        <f>+SUMIF(#REF!,Final!A2815,#REF!)</f>
        <v>#REF!</v>
      </c>
      <c r="D2815" s="1597" t="e">
        <f>+SUMIF(#REF!,Final!A2815,#REF!)</f>
        <v>#REF!</v>
      </c>
      <c r="E2815" s="1643" t="e">
        <f>SUMIF(#REF!,Final!A2815,#REF!)</f>
        <v>#REF!</v>
      </c>
      <c r="F2815" s="1644" t="e">
        <f>SUMIF(#REF!,Final!A2815,#REF!)</f>
        <v>#REF!</v>
      </c>
      <c r="G2815" s="1597" t="e">
        <f t="shared" si="296"/>
        <v>#REF!</v>
      </c>
      <c r="H2815" s="1644" t="e">
        <f t="shared" si="297"/>
        <v>#REF!</v>
      </c>
      <c r="I2815" s="1597" t="e">
        <f t="shared" si="298"/>
        <v>#REF!</v>
      </c>
      <c r="J2815" s="1644" t="e">
        <f t="shared" si="299"/>
        <v>#REF!</v>
      </c>
      <c r="M2815" s="1545"/>
      <c r="N2815" s="1545"/>
    </row>
    <row r="2816" spans="1:14" ht="15.5">
      <c r="A2816" s="1684" t="s">
        <v>5035</v>
      </c>
      <c r="B2816" s="1703" t="s">
        <v>5036</v>
      </c>
      <c r="C2816" s="1643" t="e">
        <f>+SUMIF(#REF!,Final!A2816,#REF!)</f>
        <v>#REF!</v>
      </c>
      <c r="D2816" s="1597" t="e">
        <f>+SUMIF(#REF!,Final!A2816,#REF!)</f>
        <v>#REF!</v>
      </c>
      <c r="E2816" s="1643" t="e">
        <f>SUMIF(#REF!,Final!A2816,#REF!)</f>
        <v>#REF!</v>
      </c>
      <c r="F2816" s="1644" t="e">
        <f>SUMIF(#REF!,Final!A2816,#REF!)</f>
        <v>#REF!</v>
      </c>
      <c r="G2816" s="1597" t="e">
        <f t="shared" si="296"/>
        <v>#REF!</v>
      </c>
      <c r="H2816" s="1644" t="e">
        <f t="shared" si="297"/>
        <v>#REF!</v>
      </c>
      <c r="I2816" s="1597" t="e">
        <f t="shared" si="298"/>
        <v>#REF!</v>
      </c>
      <c r="J2816" s="1644" t="e">
        <f t="shared" si="299"/>
        <v>#REF!</v>
      </c>
      <c r="M2816" s="1545"/>
      <c r="N2816" s="1545"/>
    </row>
    <row r="2817" spans="1:14" ht="15.5">
      <c r="A2817" s="1684" t="s">
        <v>5037</v>
      </c>
      <c r="B2817" s="1703" t="s">
        <v>5038</v>
      </c>
      <c r="C2817" s="1643" t="e">
        <f>+SUMIF(#REF!,Final!A2817,#REF!)</f>
        <v>#REF!</v>
      </c>
      <c r="D2817" s="1597" t="e">
        <f>+SUMIF(#REF!,Final!A2817,#REF!)</f>
        <v>#REF!</v>
      </c>
      <c r="E2817" s="1643" t="e">
        <f>SUMIF(#REF!,Final!A2817,#REF!)</f>
        <v>#REF!</v>
      </c>
      <c r="F2817" s="1644" t="e">
        <f>SUMIF(#REF!,Final!A2817,#REF!)</f>
        <v>#REF!</v>
      </c>
      <c r="G2817" s="1597" t="e">
        <f t="shared" si="296"/>
        <v>#REF!</v>
      </c>
      <c r="H2817" s="1644" t="e">
        <f t="shared" si="297"/>
        <v>#REF!</v>
      </c>
      <c r="I2817" s="1597" t="e">
        <f t="shared" si="298"/>
        <v>#REF!</v>
      </c>
      <c r="J2817" s="1644" t="e">
        <f t="shared" si="299"/>
        <v>#REF!</v>
      </c>
      <c r="M2817" s="1545"/>
      <c r="N2817" s="1545"/>
    </row>
    <row r="2818" spans="1:14" ht="15.5">
      <c r="A2818" s="1684" t="s">
        <v>5039</v>
      </c>
      <c r="B2818" s="1703" t="s">
        <v>5040</v>
      </c>
      <c r="C2818" s="1643" t="e">
        <f>+SUMIF(#REF!,Final!A2818,#REF!)</f>
        <v>#REF!</v>
      </c>
      <c r="D2818" s="1597" t="e">
        <f>+SUMIF(#REF!,Final!A2818,#REF!)</f>
        <v>#REF!</v>
      </c>
      <c r="E2818" s="1643" t="e">
        <f>SUMIF(#REF!,Final!A2818,#REF!)</f>
        <v>#REF!</v>
      </c>
      <c r="F2818" s="1644" t="e">
        <f>SUMIF(#REF!,Final!A2818,#REF!)</f>
        <v>#REF!</v>
      </c>
      <c r="G2818" s="1597" t="e">
        <f t="shared" si="296"/>
        <v>#REF!</v>
      </c>
      <c r="H2818" s="1644" t="e">
        <f t="shared" si="297"/>
        <v>#REF!</v>
      </c>
      <c r="I2818" s="1597" t="e">
        <f t="shared" si="298"/>
        <v>#REF!</v>
      </c>
      <c r="J2818" s="1644" t="e">
        <f t="shared" si="299"/>
        <v>#REF!</v>
      </c>
      <c r="M2818" s="1545"/>
      <c r="N2818" s="1545"/>
    </row>
    <row r="2819" spans="1:14" ht="15.5">
      <c r="A2819" s="1684" t="s">
        <v>5041</v>
      </c>
      <c r="B2819" s="1703" t="s">
        <v>5042</v>
      </c>
      <c r="C2819" s="1643" t="e">
        <f>+SUMIF(#REF!,Final!A2819,#REF!)</f>
        <v>#REF!</v>
      </c>
      <c r="D2819" s="1597" t="e">
        <f>+SUMIF(#REF!,Final!A2819,#REF!)</f>
        <v>#REF!</v>
      </c>
      <c r="E2819" s="1643" t="e">
        <f>SUMIF(#REF!,Final!A2819,#REF!)</f>
        <v>#REF!</v>
      </c>
      <c r="F2819" s="1644" t="e">
        <f>SUMIF(#REF!,Final!A2819,#REF!)</f>
        <v>#REF!</v>
      </c>
      <c r="G2819" s="1597" t="e">
        <f t="shared" si="296"/>
        <v>#REF!</v>
      </c>
      <c r="H2819" s="1644" t="e">
        <f t="shared" si="297"/>
        <v>#REF!</v>
      </c>
      <c r="I2819" s="1597" t="e">
        <f t="shared" si="298"/>
        <v>#REF!</v>
      </c>
      <c r="J2819" s="1644" t="e">
        <f t="shared" si="299"/>
        <v>#REF!</v>
      </c>
      <c r="M2819" s="1545"/>
      <c r="N2819" s="1545"/>
    </row>
    <row r="2820" spans="1:14" ht="15.5">
      <c r="A2820" s="1684" t="s">
        <v>5043</v>
      </c>
      <c r="B2820" s="1703" t="s">
        <v>5044</v>
      </c>
      <c r="C2820" s="1643" t="e">
        <f>+SUMIF(#REF!,Final!A2820,#REF!)</f>
        <v>#REF!</v>
      </c>
      <c r="D2820" s="1597" t="e">
        <f>+SUMIF(#REF!,Final!A2820,#REF!)</f>
        <v>#REF!</v>
      </c>
      <c r="E2820" s="1643" t="e">
        <f>SUMIF(#REF!,Final!A2820,#REF!)</f>
        <v>#REF!</v>
      </c>
      <c r="F2820" s="1644" t="e">
        <f>SUMIF(#REF!,Final!A2820,#REF!)</f>
        <v>#REF!</v>
      </c>
      <c r="G2820" s="1597" t="e">
        <f t="shared" si="296"/>
        <v>#REF!</v>
      </c>
      <c r="H2820" s="1644" t="e">
        <f t="shared" si="297"/>
        <v>#REF!</v>
      </c>
      <c r="I2820" s="1597" t="e">
        <f t="shared" si="298"/>
        <v>#REF!</v>
      </c>
      <c r="J2820" s="1644" t="e">
        <f t="shared" si="299"/>
        <v>#REF!</v>
      </c>
      <c r="M2820" s="1545"/>
      <c r="N2820" s="1545"/>
    </row>
    <row r="2821" spans="1:14" ht="15.5">
      <c r="A2821" s="1684" t="s">
        <v>5045</v>
      </c>
      <c r="B2821" s="1703" t="s">
        <v>5046</v>
      </c>
      <c r="C2821" s="1643" t="e">
        <f>+SUMIF(#REF!,Final!A2821,#REF!)</f>
        <v>#REF!</v>
      </c>
      <c r="D2821" s="1597" t="e">
        <f>+SUMIF(#REF!,Final!A2821,#REF!)</f>
        <v>#REF!</v>
      </c>
      <c r="E2821" s="1643" t="e">
        <f>SUMIF(#REF!,Final!A2821,#REF!)</f>
        <v>#REF!</v>
      </c>
      <c r="F2821" s="1644" t="e">
        <f>SUMIF(#REF!,Final!A2821,#REF!)</f>
        <v>#REF!</v>
      </c>
      <c r="G2821" s="1597" t="e">
        <f t="shared" si="296"/>
        <v>#REF!</v>
      </c>
      <c r="H2821" s="1644" t="e">
        <f t="shared" si="297"/>
        <v>#REF!</v>
      </c>
      <c r="I2821" s="1597" t="e">
        <f t="shared" si="298"/>
        <v>#REF!</v>
      </c>
      <c r="J2821" s="1644" t="e">
        <f t="shared" si="299"/>
        <v>#REF!</v>
      </c>
      <c r="M2821" s="1545"/>
      <c r="N2821" s="1545"/>
    </row>
    <row r="2822" spans="1:14" ht="15.5">
      <c r="A2822" s="1796" t="s">
        <v>5278</v>
      </c>
      <c r="B2822" s="1795" t="s">
        <v>5279</v>
      </c>
      <c r="C2822" s="1643" t="e">
        <f>+SUMIF(#REF!,Final!A2822,#REF!)</f>
        <v>#REF!</v>
      </c>
      <c r="D2822" s="1597" t="e">
        <f>+SUMIF(#REF!,Final!A2822,#REF!)</f>
        <v>#REF!</v>
      </c>
      <c r="E2822" s="1643" t="e">
        <f>SUMIF(#REF!,Final!A2822,#REF!)</f>
        <v>#REF!</v>
      </c>
      <c r="F2822" s="1644" t="e">
        <f>SUMIF(#REF!,Final!A2822,#REF!)</f>
        <v>#REF!</v>
      </c>
      <c r="G2822" s="1597" t="e">
        <f t="shared" ref="G2822:G2829" si="304">C2822+E2822</f>
        <v>#REF!</v>
      </c>
      <c r="H2822" s="1644" t="e">
        <f t="shared" ref="H2822:H2829" si="305">D2822+F2822</f>
        <v>#REF!</v>
      </c>
      <c r="I2822" s="1597" t="e">
        <f t="shared" ref="I2822:I2829" si="306">IF(G2822&gt;H2822,G2822-H2822,0)</f>
        <v>#REF!</v>
      </c>
      <c r="J2822" s="1644" t="e">
        <f t="shared" ref="J2822:J2829" si="307">IF(H2822&gt;G2822,H2822-G2822,0)</f>
        <v>#REF!</v>
      </c>
      <c r="M2822" s="1545"/>
      <c r="N2822" s="1545"/>
    </row>
    <row r="2823" spans="1:14" ht="15.5">
      <c r="A2823" s="1796" t="s">
        <v>5280</v>
      </c>
      <c r="B2823" s="1795" t="s">
        <v>5281</v>
      </c>
      <c r="C2823" s="1643" t="e">
        <f>+SUMIF(#REF!,Final!A2823,#REF!)</f>
        <v>#REF!</v>
      </c>
      <c r="D2823" s="1597" t="e">
        <f>+SUMIF(#REF!,Final!A2823,#REF!)</f>
        <v>#REF!</v>
      </c>
      <c r="E2823" s="1643" t="e">
        <f>SUMIF(#REF!,Final!A2823,#REF!)</f>
        <v>#REF!</v>
      </c>
      <c r="F2823" s="1644" t="e">
        <f>SUMIF(#REF!,Final!A2823,#REF!)</f>
        <v>#REF!</v>
      </c>
      <c r="G2823" s="1597" t="e">
        <f t="shared" si="304"/>
        <v>#REF!</v>
      </c>
      <c r="H2823" s="1644" t="e">
        <f t="shared" si="305"/>
        <v>#REF!</v>
      </c>
      <c r="I2823" s="1597" t="e">
        <f t="shared" si="306"/>
        <v>#REF!</v>
      </c>
      <c r="J2823" s="1644" t="e">
        <f t="shared" si="307"/>
        <v>#REF!</v>
      </c>
      <c r="M2823" s="1545"/>
      <c r="N2823" s="1545"/>
    </row>
    <row r="2824" spans="1:14" ht="15.5">
      <c r="A2824" s="1796" t="s">
        <v>5282</v>
      </c>
      <c r="B2824" s="1795" t="s">
        <v>5283</v>
      </c>
      <c r="C2824" s="1643" t="e">
        <f>+SUMIF(#REF!,Final!A2824,#REF!)</f>
        <v>#REF!</v>
      </c>
      <c r="D2824" s="1597" t="e">
        <f>+SUMIF(#REF!,Final!A2824,#REF!)</f>
        <v>#REF!</v>
      </c>
      <c r="E2824" s="1643" t="e">
        <f>SUMIF(#REF!,Final!A2824,#REF!)</f>
        <v>#REF!</v>
      </c>
      <c r="F2824" s="1644" t="e">
        <f>SUMIF(#REF!,Final!A2824,#REF!)</f>
        <v>#REF!</v>
      </c>
      <c r="G2824" s="1597" t="e">
        <f t="shared" si="304"/>
        <v>#REF!</v>
      </c>
      <c r="H2824" s="1644" t="e">
        <f t="shared" si="305"/>
        <v>#REF!</v>
      </c>
      <c r="I2824" s="1597" t="e">
        <f t="shared" si="306"/>
        <v>#REF!</v>
      </c>
      <c r="J2824" s="1644" t="e">
        <f t="shared" si="307"/>
        <v>#REF!</v>
      </c>
      <c r="M2824" s="1545"/>
      <c r="N2824" s="1545"/>
    </row>
    <row r="2825" spans="1:14" ht="15.5">
      <c r="A2825" s="1796" t="s">
        <v>5284</v>
      </c>
      <c r="B2825" s="1795" t="s">
        <v>5285</v>
      </c>
      <c r="C2825" s="1643" t="e">
        <f>+SUMIF(#REF!,Final!A2825,#REF!)</f>
        <v>#REF!</v>
      </c>
      <c r="D2825" s="1597" t="e">
        <f>+SUMIF(#REF!,Final!A2825,#REF!)</f>
        <v>#REF!</v>
      </c>
      <c r="E2825" s="1643" t="e">
        <f>SUMIF(#REF!,Final!A2825,#REF!)</f>
        <v>#REF!</v>
      </c>
      <c r="F2825" s="1644" t="e">
        <f>SUMIF(#REF!,Final!A2825,#REF!)</f>
        <v>#REF!</v>
      </c>
      <c r="G2825" s="1597" t="e">
        <f t="shared" si="304"/>
        <v>#REF!</v>
      </c>
      <c r="H2825" s="1644" t="e">
        <f t="shared" si="305"/>
        <v>#REF!</v>
      </c>
      <c r="I2825" s="1597" t="e">
        <f t="shared" si="306"/>
        <v>#REF!</v>
      </c>
      <c r="J2825" s="1644" t="e">
        <f t="shared" si="307"/>
        <v>#REF!</v>
      </c>
      <c r="M2825" s="1545"/>
      <c r="N2825" s="1545"/>
    </row>
    <row r="2826" spans="1:14" ht="15.5">
      <c r="A2826" s="1796" t="s">
        <v>5286</v>
      </c>
      <c r="B2826" s="1795" t="s">
        <v>3953</v>
      </c>
      <c r="C2826" s="1643" t="e">
        <f>+SUMIF(#REF!,Final!A2826,#REF!)</f>
        <v>#REF!</v>
      </c>
      <c r="D2826" s="1597" t="e">
        <f>+SUMIF(#REF!,Final!A2826,#REF!)</f>
        <v>#REF!</v>
      </c>
      <c r="E2826" s="1643" t="e">
        <f>SUMIF(#REF!,Final!A2826,#REF!)</f>
        <v>#REF!</v>
      </c>
      <c r="F2826" s="1644" t="e">
        <f>SUMIF(#REF!,Final!A2826,#REF!)</f>
        <v>#REF!</v>
      </c>
      <c r="G2826" s="1597" t="e">
        <f t="shared" si="304"/>
        <v>#REF!</v>
      </c>
      <c r="H2826" s="1644" t="e">
        <f t="shared" si="305"/>
        <v>#REF!</v>
      </c>
      <c r="I2826" s="1597" t="e">
        <f t="shared" si="306"/>
        <v>#REF!</v>
      </c>
      <c r="J2826" s="1644" t="e">
        <f t="shared" si="307"/>
        <v>#REF!</v>
      </c>
      <c r="M2826" s="1545"/>
      <c r="N2826" s="1545"/>
    </row>
    <row r="2827" spans="1:14" ht="15.5">
      <c r="A2827" s="1796" t="s">
        <v>5287</v>
      </c>
      <c r="B2827" s="1795" t="s">
        <v>3954</v>
      </c>
      <c r="C2827" s="1643" t="e">
        <f>+SUMIF(#REF!,Final!A2827,#REF!)</f>
        <v>#REF!</v>
      </c>
      <c r="D2827" s="1597" t="e">
        <f>+SUMIF(#REF!,Final!A2827,#REF!)</f>
        <v>#REF!</v>
      </c>
      <c r="E2827" s="1643" t="e">
        <f>SUMIF(#REF!,Final!A2827,#REF!)</f>
        <v>#REF!</v>
      </c>
      <c r="F2827" s="1644" t="e">
        <f>SUMIF(#REF!,Final!A2827,#REF!)</f>
        <v>#REF!</v>
      </c>
      <c r="G2827" s="1597" t="e">
        <f t="shared" si="304"/>
        <v>#REF!</v>
      </c>
      <c r="H2827" s="1644" t="e">
        <f t="shared" si="305"/>
        <v>#REF!</v>
      </c>
      <c r="I2827" s="1597" t="e">
        <f t="shared" si="306"/>
        <v>#REF!</v>
      </c>
      <c r="J2827" s="1644" t="e">
        <f t="shared" si="307"/>
        <v>#REF!</v>
      </c>
      <c r="M2827" s="1545"/>
      <c r="N2827" s="1545"/>
    </row>
    <row r="2828" spans="1:14" ht="15.5">
      <c r="A2828" s="1796" t="s">
        <v>5288</v>
      </c>
      <c r="B2828" s="1795" t="s">
        <v>3955</v>
      </c>
      <c r="C2828" s="1643" t="e">
        <f>+SUMIF(#REF!,Final!A2828,#REF!)</f>
        <v>#REF!</v>
      </c>
      <c r="D2828" s="1597" t="e">
        <f>+SUMIF(#REF!,Final!A2828,#REF!)</f>
        <v>#REF!</v>
      </c>
      <c r="E2828" s="1643" t="e">
        <f>SUMIF(#REF!,Final!A2828,#REF!)</f>
        <v>#REF!</v>
      </c>
      <c r="F2828" s="1644" t="e">
        <f>SUMIF(#REF!,Final!A2828,#REF!)</f>
        <v>#REF!</v>
      </c>
      <c r="G2828" s="1597" t="e">
        <f t="shared" si="304"/>
        <v>#REF!</v>
      </c>
      <c r="H2828" s="1644" t="e">
        <f t="shared" si="305"/>
        <v>#REF!</v>
      </c>
      <c r="I2828" s="1597" t="e">
        <f t="shared" si="306"/>
        <v>#REF!</v>
      </c>
      <c r="J2828" s="1644" t="e">
        <f t="shared" si="307"/>
        <v>#REF!</v>
      </c>
      <c r="M2828" s="1545"/>
      <c r="N2828" s="1545"/>
    </row>
    <row r="2829" spans="1:14" ht="15.5">
      <c r="A2829" s="1598">
        <v>74.19</v>
      </c>
      <c r="B2829" s="1599" t="s">
        <v>3946</v>
      </c>
      <c r="C2829" s="1643" t="e">
        <f>+SUMIF(#REF!,Final!A2829,#REF!)</f>
        <v>#REF!</v>
      </c>
      <c r="D2829" s="1597" t="e">
        <f>+SUMIF(#REF!,Final!A2829,#REF!)</f>
        <v>#REF!</v>
      </c>
      <c r="E2829" s="1643" t="e">
        <f>SUMIF(#REF!,Final!A2829,#REF!)</f>
        <v>#REF!</v>
      </c>
      <c r="F2829" s="1644" t="e">
        <f>SUMIF(#REF!,Final!A2829,#REF!)</f>
        <v>#REF!</v>
      </c>
      <c r="G2829" s="1597" t="e">
        <f t="shared" si="304"/>
        <v>#REF!</v>
      </c>
      <c r="H2829" s="1644" t="e">
        <f t="shared" si="305"/>
        <v>#REF!</v>
      </c>
      <c r="I2829" s="1597" t="e">
        <f t="shared" si="306"/>
        <v>#REF!</v>
      </c>
      <c r="J2829" s="1644" t="e">
        <f t="shared" si="307"/>
        <v>#REF!</v>
      </c>
      <c r="M2829" s="1545"/>
      <c r="N2829" s="1545"/>
    </row>
    <row r="2830" spans="1:14" ht="15.5">
      <c r="A2830" s="1598">
        <v>74.191000000000003</v>
      </c>
      <c r="B2830" s="1599" t="s">
        <v>3947</v>
      </c>
      <c r="C2830" s="1643" t="e">
        <f>+SUMIF(#REF!,Final!A2830,#REF!)</f>
        <v>#REF!</v>
      </c>
      <c r="D2830" s="1597" t="e">
        <f>+SUMIF(#REF!,Final!A2830,#REF!)</f>
        <v>#REF!</v>
      </c>
      <c r="E2830" s="1643" t="e">
        <f>SUMIF(#REF!,Final!A2830,#REF!)</f>
        <v>#REF!</v>
      </c>
      <c r="F2830" s="1644" t="e">
        <f>SUMIF(#REF!,Final!A2830,#REF!)</f>
        <v>#REF!</v>
      </c>
      <c r="G2830" s="1597" t="e">
        <f t="shared" si="296"/>
        <v>#REF!</v>
      </c>
      <c r="H2830" s="1644" t="e">
        <f t="shared" si="297"/>
        <v>#REF!</v>
      </c>
      <c r="I2830" s="1597" t="e">
        <f t="shared" si="298"/>
        <v>#REF!</v>
      </c>
      <c r="J2830" s="1644" t="e">
        <f t="shared" si="299"/>
        <v>#REF!</v>
      </c>
      <c r="M2830" s="1545"/>
      <c r="N2830" s="1545"/>
    </row>
    <row r="2831" spans="1:14" ht="15.5">
      <c r="A2831" s="1598">
        <v>74.191999999999993</v>
      </c>
      <c r="B2831" s="1599" t="s">
        <v>3948</v>
      </c>
      <c r="C2831" s="1643" t="e">
        <f>+SUMIF(#REF!,Final!A2831,#REF!)</f>
        <v>#REF!</v>
      </c>
      <c r="D2831" s="1597" t="e">
        <f>+SUMIF(#REF!,Final!A2831,#REF!)</f>
        <v>#REF!</v>
      </c>
      <c r="E2831" s="1643" t="e">
        <f>SUMIF(#REF!,Final!A2831,#REF!)</f>
        <v>#REF!</v>
      </c>
      <c r="F2831" s="1644" t="e">
        <f>SUMIF(#REF!,Final!A2831,#REF!)</f>
        <v>#REF!</v>
      </c>
      <c r="G2831" s="1597" t="e">
        <f t="shared" si="296"/>
        <v>#REF!</v>
      </c>
      <c r="H2831" s="1644" t="e">
        <f t="shared" si="297"/>
        <v>#REF!</v>
      </c>
      <c r="I2831" s="1597" t="e">
        <f t="shared" si="298"/>
        <v>#REF!</v>
      </c>
      <c r="J2831" s="1644" t="e">
        <f t="shared" si="299"/>
        <v>#REF!</v>
      </c>
      <c r="M2831" s="1545"/>
      <c r="N2831" s="1545"/>
    </row>
    <row r="2832" spans="1:14" ht="15.5">
      <c r="A2832" s="1598">
        <v>74.192999999999998</v>
      </c>
      <c r="B2832" s="1599" t="s">
        <v>3949</v>
      </c>
      <c r="C2832" s="1643" t="e">
        <f>+SUMIF(#REF!,Final!A2832,#REF!)</f>
        <v>#REF!</v>
      </c>
      <c r="D2832" s="1597" t="e">
        <f>+SUMIF(#REF!,Final!A2832,#REF!)</f>
        <v>#REF!</v>
      </c>
      <c r="E2832" s="1643" t="e">
        <f>SUMIF(#REF!,Final!A2832,#REF!)</f>
        <v>#REF!</v>
      </c>
      <c r="F2832" s="1644" t="e">
        <f>SUMIF(#REF!,Final!A2832,#REF!)</f>
        <v>#REF!</v>
      </c>
      <c r="G2832" s="1597" t="e">
        <f t="shared" si="296"/>
        <v>#REF!</v>
      </c>
      <c r="H2832" s="1644" t="e">
        <f t="shared" si="297"/>
        <v>#REF!</v>
      </c>
      <c r="I2832" s="1597" t="e">
        <f t="shared" si="298"/>
        <v>#REF!</v>
      </c>
      <c r="J2832" s="1644" t="e">
        <f t="shared" si="299"/>
        <v>#REF!</v>
      </c>
      <c r="M2832" s="1545"/>
      <c r="N2832" s="1545"/>
    </row>
    <row r="2833" spans="1:93" ht="15.5">
      <c r="A2833" s="1598">
        <v>74.194000000000003</v>
      </c>
      <c r="B2833" s="1599" t="s">
        <v>3950</v>
      </c>
      <c r="C2833" s="1643" t="e">
        <f>+SUMIF(#REF!,Final!A2833,#REF!)</f>
        <v>#REF!</v>
      </c>
      <c r="D2833" s="1597" t="e">
        <f>+SUMIF(#REF!,Final!A2833,#REF!)</f>
        <v>#REF!</v>
      </c>
      <c r="E2833" s="1643" t="e">
        <f>SUMIF(#REF!,Final!A2833,#REF!)</f>
        <v>#REF!</v>
      </c>
      <c r="F2833" s="1644" t="e">
        <f>SUMIF(#REF!,Final!A2833,#REF!)</f>
        <v>#REF!</v>
      </c>
      <c r="G2833" s="1597" t="e">
        <f t="shared" si="296"/>
        <v>#REF!</v>
      </c>
      <c r="H2833" s="1644" t="e">
        <f t="shared" si="297"/>
        <v>#REF!</v>
      </c>
      <c r="I2833" s="1597" t="e">
        <f t="shared" si="298"/>
        <v>#REF!</v>
      </c>
      <c r="J2833" s="1644" t="e">
        <f t="shared" si="299"/>
        <v>#REF!</v>
      </c>
      <c r="M2833" s="1545"/>
      <c r="N2833" s="1545"/>
    </row>
    <row r="2834" spans="1:93" ht="15.5">
      <c r="A2834" s="1598">
        <v>74.194999999999993</v>
      </c>
      <c r="B2834" s="1599" t="s">
        <v>3951</v>
      </c>
      <c r="C2834" s="1643" t="e">
        <f>+SUMIF(#REF!,Final!A2834,#REF!)</f>
        <v>#REF!</v>
      </c>
      <c r="D2834" s="1597" t="e">
        <f>+SUMIF(#REF!,Final!A2834,#REF!)</f>
        <v>#REF!</v>
      </c>
      <c r="E2834" s="1643" t="e">
        <f>SUMIF(#REF!,Final!A2834,#REF!)</f>
        <v>#REF!</v>
      </c>
      <c r="F2834" s="1644" t="e">
        <f>SUMIF(#REF!,Final!A2834,#REF!)</f>
        <v>#REF!</v>
      </c>
      <c r="G2834" s="1597" t="e">
        <f t="shared" si="296"/>
        <v>#REF!</v>
      </c>
      <c r="H2834" s="1644" t="e">
        <f t="shared" si="297"/>
        <v>#REF!</v>
      </c>
      <c r="I2834" s="1597" t="e">
        <f t="shared" si="298"/>
        <v>#REF!</v>
      </c>
      <c r="J2834" s="1644" t="e">
        <f t="shared" si="299"/>
        <v>#REF!</v>
      </c>
      <c r="M2834" s="1545"/>
      <c r="N2834" s="1545"/>
    </row>
    <row r="2835" spans="1:93" ht="15.5">
      <c r="A2835" s="1598">
        <v>74.195999999999998</v>
      </c>
      <c r="B2835" s="1599" t="s">
        <v>3952</v>
      </c>
      <c r="C2835" s="1643" t="e">
        <f>+SUMIF(#REF!,Final!A2835,#REF!)</f>
        <v>#REF!</v>
      </c>
      <c r="D2835" s="1597" t="e">
        <f>+SUMIF(#REF!,Final!A2835,#REF!)</f>
        <v>#REF!</v>
      </c>
      <c r="E2835" s="1643" t="e">
        <f>SUMIF(#REF!,Final!A2835,#REF!)</f>
        <v>#REF!</v>
      </c>
      <c r="F2835" s="1644" t="e">
        <f>SUMIF(#REF!,Final!A2835,#REF!)</f>
        <v>#REF!</v>
      </c>
      <c r="G2835" s="1597" t="e">
        <f t="shared" si="296"/>
        <v>#REF!</v>
      </c>
      <c r="H2835" s="1644" t="e">
        <f t="shared" si="297"/>
        <v>#REF!</v>
      </c>
      <c r="I2835" s="1597" t="e">
        <f t="shared" si="298"/>
        <v>#REF!</v>
      </c>
      <c r="J2835" s="1644" t="e">
        <f t="shared" si="299"/>
        <v>#REF!</v>
      </c>
      <c r="M2835" s="1545"/>
      <c r="N2835" s="1545"/>
    </row>
    <row r="2836" spans="1:93" ht="15.5">
      <c r="A2836" s="1598">
        <v>74.197000000000003</v>
      </c>
      <c r="B2836" s="1599" t="s">
        <v>3953</v>
      </c>
      <c r="C2836" s="1643" t="e">
        <f>+SUMIF(#REF!,Final!A2836,#REF!)</f>
        <v>#REF!</v>
      </c>
      <c r="D2836" s="1597" t="e">
        <f>+SUMIF(#REF!,Final!A2836,#REF!)</f>
        <v>#REF!</v>
      </c>
      <c r="E2836" s="1643" t="e">
        <f>SUMIF(#REF!,Final!A2836,#REF!)</f>
        <v>#REF!</v>
      </c>
      <c r="F2836" s="1644" t="e">
        <f>SUMIF(#REF!,Final!A2836,#REF!)</f>
        <v>#REF!</v>
      </c>
      <c r="G2836" s="1597" t="e">
        <f t="shared" si="296"/>
        <v>#REF!</v>
      </c>
      <c r="H2836" s="1644" t="e">
        <f t="shared" si="297"/>
        <v>#REF!</v>
      </c>
      <c r="I2836" s="1597" t="e">
        <f t="shared" si="298"/>
        <v>#REF!</v>
      </c>
      <c r="J2836" s="1644" t="e">
        <f t="shared" si="299"/>
        <v>#REF!</v>
      </c>
      <c r="M2836" s="1545"/>
      <c r="N2836" s="1545"/>
    </row>
    <row r="2837" spans="1:93" ht="15.5">
      <c r="A2837" s="1598">
        <v>74.197999999999993</v>
      </c>
      <c r="B2837" s="1599" t="s">
        <v>3954</v>
      </c>
      <c r="C2837" s="1643" t="e">
        <f>+SUMIF(#REF!,Final!A2837,#REF!)</f>
        <v>#REF!</v>
      </c>
      <c r="D2837" s="1597" t="e">
        <f>+SUMIF(#REF!,Final!A2837,#REF!)</f>
        <v>#REF!</v>
      </c>
      <c r="E2837" s="1643" t="e">
        <f>SUMIF(#REF!,Final!A2837,#REF!)</f>
        <v>#REF!</v>
      </c>
      <c r="F2837" s="1644" t="e">
        <f>SUMIF(#REF!,Final!A2837,#REF!)</f>
        <v>#REF!</v>
      </c>
      <c r="G2837" s="1597" t="e">
        <f t="shared" si="296"/>
        <v>#REF!</v>
      </c>
      <c r="H2837" s="1644" t="e">
        <f t="shared" si="297"/>
        <v>#REF!</v>
      </c>
      <c r="I2837" s="1597" t="e">
        <f t="shared" si="298"/>
        <v>#REF!</v>
      </c>
      <c r="J2837" s="1644" t="e">
        <f t="shared" si="299"/>
        <v>#REF!</v>
      </c>
      <c r="M2837" s="1545"/>
      <c r="N2837" s="1545"/>
    </row>
    <row r="2838" spans="1:93" ht="15.5">
      <c r="A2838" s="1598">
        <v>74.198999999999998</v>
      </c>
      <c r="B2838" s="1599" t="s">
        <v>3955</v>
      </c>
      <c r="C2838" s="1643" t="e">
        <f>+SUMIF(#REF!,Final!A2838,#REF!)</f>
        <v>#REF!</v>
      </c>
      <c r="D2838" s="1597" t="e">
        <f>+SUMIF(#REF!,Final!A2838,#REF!)</f>
        <v>#REF!</v>
      </c>
      <c r="E2838" s="1643" t="e">
        <f>SUMIF(#REF!,Final!A2838,#REF!)</f>
        <v>#REF!</v>
      </c>
      <c r="F2838" s="1644" t="e">
        <f>SUMIF(#REF!,Final!A2838,#REF!)</f>
        <v>#REF!</v>
      </c>
      <c r="G2838" s="1597" t="e">
        <f t="shared" si="296"/>
        <v>#REF!</v>
      </c>
      <c r="H2838" s="1644" t="e">
        <f t="shared" si="297"/>
        <v>#REF!</v>
      </c>
      <c r="I2838" s="1597" t="e">
        <f t="shared" si="298"/>
        <v>#REF!</v>
      </c>
      <c r="J2838" s="1644" t="e">
        <f t="shared" si="299"/>
        <v>#REF!</v>
      </c>
      <c r="M2838" s="1545"/>
      <c r="N2838" s="1545"/>
    </row>
    <row r="2839" spans="1:93" s="1552" customFormat="1" ht="15.5">
      <c r="A2839" s="1598"/>
      <c r="B2839" s="1599" t="s">
        <v>1747</v>
      </c>
      <c r="C2839" s="1643" t="e">
        <f>+SUMIF(#REF!,Final!A2839,#REF!)</f>
        <v>#REF!</v>
      </c>
      <c r="D2839" s="1597" t="e">
        <f>+SUMIF(#REF!,Final!A2839,#REF!)</f>
        <v>#REF!</v>
      </c>
      <c r="E2839" s="1643" t="e">
        <f>SUMIF(#REF!,Final!A2839,#REF!)</f>
        <v>#REF!</v>
      </c>
      <c r="F2839" s="1644" t="e">
        <f>SUMIF(#REF!,Final!A2839,#REF!)</f>
        <v>#REF!</v>
      </c>
      <c r="G2839" s="1597" t="e">
        <f t="shared" si="296"/>
        <v>#REF!</v>
      </c>
      <c r="H2839" s="1644" t="e">
        <f t="shared" si="297"/>
        <v>#REF!</v>
      </c>
      <c r="I2839" s="1597" t="e">
        <f t="shared" si="298"/>
        <v>#REF!</v>
      </c>
      <c r="J2839" s="1644" t="e">
        <f t="shared" si="299"/>
        <v>#REF!</v>
      </c>
      <c r="K2839" s="1539"/>
      <c r="L2839" s="1539"/>
      <c r="M2839" s="1545"/>
      <c r="N2839" s="1545"/>
      <c r="O2839" s="1539"/>
      <c r="P2839" s="1539"/>
      <c r="Q2839" s="1539"/>
      <c r="R2839" s="1539"/>
      <c r="S2839" s="1539"/>
      <c r="T2839" s="1539"/>
      <c r="U2839" s="1539"/>
      <c r="V2839" s="1539"/>
      <c r="W2839" s="1539"/>
      <c r="X2839" s="1539"/>
      <c r="Y2839" s="1539"/>
      <c r="Z2839" s="1539"/>
      <c r="AA2839" s="1539"/>
      <c r="AB2839" s="1539"/>
      <c r="AC2839" s="1539"/>
      <c r="AD2839" s="1539"/>
      <c r="AE2839" s="1539"/>
      <c r="AF2839" s="1539"/>
      <c r="AG2839" s="1539"/>
      <c r="AH2839" s="1539"/>
      <c r="AI2839" s="1539"/>
      <c r="AJ2839" s="1539"/>
      <c r="AK2839" s="1539"/>
      <c r="AL2839" s="1539"/>
      <c r="AM2839" s="1539"/>
      <c r="AN2839" s="1539"/>
      <c r="AO2839" s="1539"/>
      <c r="AP2839" s="1539"/>
      <c r="AQ2839" s="1539"/>
      <c r="AR2839" s="1539"/>
      <c r="AS2839" s="1539"/>
      <c r="AT2839" s="1539"/>
      <c r="AU2839" s="1539"/>
      <c r="AV2839" s="1539"/>
      <c r="AW2839" s="1539"/>
      <c r="AX2839" s="1539"/>
      <c r="AY2839" s="1539"/>
      <c r="AZ2839" s="1539"/>
      <c r="BA2839" s="1539"/>
      <c r="BB2839" s="1539"/>
      <c r="BC2839" s="1539"/>
      <c r="BD2839" s="1539"/>
      <c r="BE2839" s="1539"/>
      <c r="BF2839" s="1539"/>
      <c r="BG2839" s="1539"/>
      <c r="BH2839" s="1539"/>
      <c r="BI2839" s="1539"/>
      <c r="BJ2839" s="1539"/>
      <c r="BK2839" s="1539"/>
      <c r="BL2839" s="1539"/>
      <c r="BM2839" s="1539"/>
      <c r="BN2839" s="1539"/>
      <c r="BO2839" s="1539"/>
      <c r="BP2839" s="1539"/>
      <c r="BQ2839" s="1539"/>
      <c r="BR2839" s="1539"/>
      <c r="BS2839" s="1539"/>
      <c r="BT2839" s="1539"/>
      <c r="BU2839" s="1539"/>
      <c r="BV2839" s="1539"/>
      <c r="BW2839" s="1539"/>
      <c r="BX2839" s="1539"/>
      <c r="BY2839" s="1539"/>
      <c r="BZ2839" s="1539"/>
      <c r="CA2839" s="1539"/>
      <c r="CB2839" s="1539"/>
      <c r="CC2839" s="1539"/>
      <c r="CD2839" s="1539"/>
      <c r="CE2839" s="1539"/>
      <c r="CF2839" s="1539"/>
      <c r="CG2839" s="1539"/>
      <c r="CH2839" s="1539"/>
      <c r="CI2839" s="1539"/>
      <c r="CJ2839" s="1539"/>
      <c r="CK2839" s="1539"/>
      <c r="CL2839" s="1539"/>
      <c r="CM2839" s="1539"/>
      <c r="CN2839" s="1539"/>
      <c r="CO2839" s="1539"/>
    </row>
    <row r="2840" spans="1:93" s="1552" customFormat="1" ht="15.5">
      <c r="A2840" s="1598"/>
      <c r="B2840" s="1599" t="s">
        <v>1760</v>
      </c>
      <c r="C2840" s="1643" t="e">
        <f>+SUMIF(#REF!,Final!A2840,#REF!)</f>
        <v>#REF!</v>
      </c>
      <c r="D2840" s="1597" t="e">
        <f>+SUMIF(#REF!,Final!A2840,#REF!)</f>
        <v>#REF!</v>
      </c>
      <c r="E2840" s="1643" t="e">
        <f>SUMIF(#REF!,Final!A2840,#REF!)</f>
        <v>#REF!</v>
      </c>
      <c r="F2840" s="1644" t="e">
        <f>SUMIF(#REF!,Final!A2840,#REF!)</f>
        <v>#REF!</v>
      </c>
      <c r="G2840" s="1597" t="e">
        <f t="shared" si="296"/>
        <v>#REF!</v>
      </c>
      <c r="H2840" s="1644" t="e">
        <f t="shared" si="297"/>
        <v>#REF!</v>
      </c>
      <c r="I2840" s="1597" t="e">
        <f t="shared" si="298"/>
        <v>#REF!</v>
      </c>
      <c r="J2840" s="1644" t="e">
        <f t="shared" si="299"/>
        <v>#REF!</v>
      </c>
      <c r="K2840" s="1539"/>
      <c r="L2840" s="1539"/>
      <c r="M2840" s="1545"/>
      <c r="N2840" s="1545"/>
      <c r="O2840" s="1539"/>
      <c r="P2840" s="1539"/>
      <c r="Q2840" s="1539"/>
      <c r="R2840" s="1539"/>
      <c r="S2840" s="1539"/>
      <c r="T2840" s="1539"/>
      <c r="U2840" s="1539"/>
      <c r="V2840" s="1539"/>
      <c r="W2840" s="1539"/>
      <c r="X2840" s="1539"/>
      <c r="Y2840" s="1539"/>
      <c r="Z2840" s="1539"/>
      <c r="AA2840" s="1539"/>
      <c r="AB2840" s="1539"/>
      <c r="AC2840" s="1539"/>
      <c r="AD2840" s="1539"/>
      <c r="AE2840" s="1539"/>
      <c r="AF2840" s="1539"/>
      <c r="AG2840" s="1539"/>
      <c r="AH2840" s="1539"/>
      <c r="AI2840" s="1539"/>
      <c r="AJ2840" s="1539"/>
      <c r="AK2840" s="1539"/>
      <c r="AL2840" s="1539"/>
      <c r="AM2840" s="1539"/>
      <c r="AN2840" s="1539"/>
      <c r="AO2840" s="1539"/>
      <c r="AP2840" s="1539"/>
      <c r="AQ2840" s="1539"/>
      <c r="AR2840" s="1539"/>
      <c r="AS2840" s="1539"/>
      <c r="AT2840" s="1539"/>
      <c r="AU2840" s="1539"/>
      <c r="AV2840" s="1539"/>
      <c r="AW2840" s="1539"/>
      <c r="AX2840" s="1539"/>
      <c r="AY2840" s="1539"/>
      <c r="AZ2840" s="1539"/>
      <c r="BA2840" s="1539"/>
      <c r="BB2840" s="1539"/>
      <c r="BC2840" s="1539"/>
      <c r="BD2840" s="1539"/>
      <c r="BE2840" s="1539"/>
      <c r="BF2840" s="1539"/>
      <c r="BG2840" s="1539"/>
      <c r="BH2840" s="1539"/>
      <c r="BI2840" s="1539"/>
      <c r="BJ2840" s="1539"/>
      <c r="BK2840" s="1539"/>
      <c r="BL2840" s="1539"/>
      <c r="BM2840" s="1539"/>
      <c r="BN2840" s="1539"/>
      <c r="BO2840" s="1539"/>
      <c r="BP2840" s="1539"/>
      <c r="BQ2840" s="1539"/>
      <c r="BR2840" s="1539"/>
      <c r="BS2840" s="1539"/>
      <c r="BT2840" s="1539"/>
      <c r="BU2840" s="1539"/>
      <c r="BV2840" s="1539"/>
      <c r="BW2840" s="1539"/>
      <c r="BX2840" s="1539"/>
      <c r="BY2840" s="1539"/>
      <c r="BZ2840" s="1539"/>
      <c r="CA2840" s="1539"/>
      <c r="CB2840" s="1539"/>
      <c r="CC2840" s="1539"/>
      <c r="CD2840" s="1539"/>
      <c r="CE2840" s="1539"/>
      <c r="CF2840" s="1539"/>
      <c r="CG2840" s="1539"/>
      <c r="CH2840" s="1539"/>
      <c r="CI2840" s="1539"/>
      <c r="CJ2840" s="1539"/>
      <c r="CK2840" s="1539"/>
      <c r="CL2840" s="1539"/>
      <c r="CM2840" s="1539"/>
      <c r="CN2840" s="1539"/>
      <c r="CO2840" s="1539"/>
    </row>
    <row r="2841" spans="1:93" s="1542" customFormat="1" ht="15.5">
      <c r="A2841" s="1598" t="s">
        <v>1102</v>
      </c>
      <c r="B2841" s="1599" t="s">
        <v>3145</v>
      </c>
      <c r="C2841" s="1643" t="e">
        <f>+SUMIF(#REF!,Final!A2841,#REF!)</f>
        <v>#REF!</v>
      </c>
      <c r="D2841" s="1597" t="e">
        <f>+SUMIF(#REF!,Final!A2841,#REF!)</f>
        <v>#REF!</v>
      </c>
      <c r="E2841" s="1643" t="e">
        <f>SUMIF(#REF!,Final!A2841,#REF!)</f>
        <v>#REF!</v>
      </c>
      <c r="F2841" s="1644" t="e">
        <f>SUMIF(#REF!,Final!A2841,#REF!)</f>
        <v>#REF!</v>
      </c>
      <c r="G2841" s="1597" t="e">
        <f t="shared" si="296"/>
        <v>#REF!</v>
      </c>
      <c r="H2841" s="1644" t="e">
        <f t="shared" si="297"/>
        <v>#REF!</v>
      </c>
      <c r="I2841" s="1597" t="e">
        <f t="shared" si="298"/>
        <v>#REF!</v>
      </c>
      <c r="J2841" s="1644" t="e">
        <f t="shared" si="299"/>
        <v>#REF!</v>
      </c>
      <c r="K2841" s="1539"/>
      <c r="L2841" s="1539"/>
      <c r="M2841" s="1545"/>
      <c r="N2841" s="1545"/>
      <c r="O2841" s="1539"/>
      <c r="P2841" s="1539"/>
      <c r="Q2841" s="1539"/>
      <c r="R2841" s="1539"/>
      <c r="S2841" s="1539"/>
      <c r="T2841" s="1539"/>
      <c r="U2841" s="1539"/>
      <c r="V2841" s="1539"/>
      <c r="W2841" s="1539"/>
      <c r="X2841" s="1539"/>
      <c r="Y2841" s="1539"/>
      <c r="Z2841" s="1539"/>
      <c r="AA2841" s="1539"/>
      <c r="AB2841" s="1539"/>
      <c r="AC2841" s="1539"/>
      <c r="AD2841" s="1539"/>
      <c r="AE2841" s="1539"/>
      <c r="AF2841" s="1539"/>
      <c r="AG2841" s="1539"/>
      <c r="AH2841" s="1539"/>
      <c r="AI2841" s="1539"/>
      <c r="AJ2841" s="1539"/>
      <c r="AK2841" s="1539"/>
      <c r="AL2841" s="1539"/>
      <c r="AM2841" s="1539"/>
      <c r="AN2841" s="1539"/>
      <c r="AO2841" s="1539"/>
      <c r="AP2841" s="1539"/>
      <c r="AQ2841" s="1539"/>
      <c r="AR2841" s="1539"/>
      <c r="AS2841" s="1539"/>
      <c r="AT2841" s="1539"/>
      <c r="AU2841" s="1539"/>
      <c r="AV2841" s="1539"/>
      <c r="AW2841" s="1539"/>
      <c r="AX2841" s="1539"/>
      <c r="AY2841" s="1539"/>
      <c r="AZ2841" s="1539"/>
      <c r="BA2841" s="1539"/>
      <c r="BB2841" s="1539"/>
      <c r="BC2841" s="1539"/>
      <c r="BD2841" s="1539"/>
      <c r="BE2841" s="1539"/>
      <c r="BF2841" s="1539"/>
      <c r="BG2841" s="1539"/>
      <c r="BH2841" s="1539"/>
      <c r="BI2841" s="1539"/>
      <c r="BJ2841" s="1539"/>
      <c r="BK2841" s="1539"/>
      <c r="BL2841" s="1539"/>
      <c r="BM2841" s="1539"/>
      <c r="BN2841" s="1539"/>
      <c r="BO2841" s="1539"/>
      <c r="BP2841" s="1539"/>
      <c r="BQ2841" s="1539"/>
      <c r="BR2841" s="1539"/>
      <c r="BS2841" s="1539"/>
      <c r="BT2841" s="1539"/>
      <c r="BU2841" s="1539"/>
      <c r="BV2841" s="1539"/>
      <c r="BW2841" s="1539"/>
      <c r="BX2841" s="1539"/>
      <c r="BY2841" s="1539"/>
      <c r="BZ2841" s="1539"/>
      <c r="CA2841" s="1539"/>
      <c r="CB2841" s="1539"/>
      <c r="CC2841" s="1539"/>
      <c r="CD2841" s="1539"/>
      <c r="CE2841" s="1539"/>
      <c r="CF2841" s="1539"/>
      <c r="CG2841" s="1539"/>
      <c r="CH2841" s="1539"/>
      <c r="CI2841" s="1539"/>
      <c r="CJ2841" s="1539"/>
      <c r="CK2841" s="1539"/>
      <c r="CL2841" s="1539"/>
      <c r="CM2841" s="1539"/>
      <c r="CN2841" s="1539"/>
      <c r="CO2841" s="1539"/>
    </row>
    <row r="2842" spans="1:93" ht="15.5">
      <c r="A2842" s="1598">
        <v>74.216999999999999</v>
      </c>
      <c r="B2842" s="1599" t="s">
        <v>3146</v>
      </c>
      <c r="C2842" s="1643" t="e">
        <f>+SUMIF(#REF!,Final!A2842,#REF!)</f>
        <v>#REF!</v>
      </c>
      <c r="D2842" s="1597" t="e">
        <f>+SUMIF(#REF!,Final!A2842,#REF!)</f>
        <v>#REF!</v>
      </c>
      <c r="E2842" s="1643" t="e">
        <f>SUMIF(#REF!,Final!A2842,#REF!)</f>
        <v>#REF!</v>
      </c>
      <c r="F2842" s="1644" t="e">
        <f>SUMIF(#REF!,Final!A2842,#REF!)</f>
        <v>#REF!</v>
      </c>
      <c r="G2842" s="1597" t="e">
        <f t="shared" si="296"/>
        <v>#REF!</v>
      </c>
      <c r="H2842" s="1644" t="e">
        <f t="shared" si="297"/>
        <v>#REF!</v>
      </c>
      <c r="I2842" s="1597" t="e">
        <f t="shared" si="298"/>
        <v>#REF!</v>
      </c>
      <c r="J2842" s="1644" t="e">
        <f t="shared" si="299"/>
        <v>#REF!</v>
      </c>
      <c r="M2842" s="1545"/>
      <c r="N2842" s="1545"/>
    </row>
    <row r="2843" spans="1:93" ht="15.5">
      <c r="A2843" s="1598">
        <v>74.218000000000004</v>
      </c>
      <c r="B2843" s="1599" t="s">
        <v>3147</v>
      </c>
      <c r="C2843" s="1643" t="e">
        <f>+SUMIF(#REF!,Final!A2843,#REF!)</f>
        <v>#REF!</v>
      </c>
      <c r="D2843" s="1597" t="e">
        <f>+SUMIF(#REF!,Final!A2843,#REF!)</f>
        <v>#REF!</v>
      </c>
      <c r="E2843" s="1643" t="e">
        <f>SUMIF(#REF!,Final!A2843,#REF!)</f>
        <v>#REF!</v>
      </c>
      <c r="F2843" s="1644" t="e">
        <f>SUMIF(#REF!,Final!A2843,#REF!)</f>
        <v>#REF!</v>
      </c>
      <c r="G2843" s="1597" t="e">
        <f t="shared" si="296"/>
        <v>#REF!</v>
      </c>
      <c r="H2843" s="1644" t="e">
        <f t="shared" si="297"/>
        <v>#REF!</v>
      </c>
      <c r="I2843" s="1597" t="e">
        <f t="shared" si="298"/>
        <v>#REF!</v>
      </c>
      <c r="J2843" s="1644" t="e">
        <f t="shared" si="299"/>
        <v>#REF!</v>
      </c>
      <c r="M2843" s="1545"/>
      <c r="N2843" s="1545"/>
    </row>
    <row r="2844" spans="1:93" ht="15.5">
      <c r="A2844" s="1598">
        <v>74.22</v>
      </c>
      <c r="B2844" s="1599" t="s">
        <v>3148</v>
      </c>
      <c r="C2844" s="1643" t="e">
        <f>+SUMIF(#REF!,Final!A2844,#REF!)</f>
        <v>#REF!</v>
      </c>
      <c r="D2844" s="1597" t="e">
        <f>+SUMIF(#REF!,Final!A2844,#REF!)</f>
        <v>#REF!</v>
      </c>
      <c r="E2844" s="1643" t="e">
        <f>SUMIF(#REF!,Final!A2844,#REF!)</f>
        <v>#REF!</v>
      </c>
      <c r="F2844" s="1644" t="e">
        <f>SUMIF(#REF!,Final!A2844,#REF!)</f>
        <v>#REF!</v>
      </c>
      <c r="G2844" s="1597" t="e">
        <f t="shared" si="296"/>
        <v>#REF!</v>
      </c>
      <c r="H2844" s="1644" t="e">
        <f t="shared" si="297"/>
        <v>#REF!</v>
      </c>
      <c r="I2844" s="1597" t="e">
        <f t="shared" si="298"/>
        <v>#REF!</v>
      </c>
      <c r="J2844" s="1644" t="e">
        <f t="shared" si="299"/>
        <v>#REF!</v>
      </c>
      <c r="M2844" s="1545"/>
      <c r="N2844" s="1545"/>
    </row>
    <row r="2845" spans="1:93" ht="15.5">
      <c r="A2845" s="1598">
        <v>74.221000000000004</v>
      </c>
      <c r="B2845" s="1599" t="s">
        <v>3149</v>
      </c>
      <c r="C2845" s="1643" t="e">
        <f>+SUMIF(#REF!,Final!A2845,#REF!)</f>
        <v>#REF!</v>
      </c>
      <c r="D2845" s="1597" t="e">
        <f>+SUMIF(#REF!,Final!A2845,#REF!)</f>
        <v>#REF!</v>
      </c>
      <c r="E2845" s="1643" t="e">
        <f>SUMIF(#REF!,Final!A2845,#REF!)</f>
        <v>#REF!</v>
      </c>
      <c r="F2845" s="1644" t="e">
        <f>SUMIF(#REF!,Final!A2845,#REF!)</f>
        <v>#REF!</v>
      </c>
      <c r="G2845" s="1597" t="e">
        <f t="shared" si="296"/>
        <v>#REF!</v>
      </c>
      <c r="H2845" s="1644" t="e">
        <f t="shared" si="297"/>
        <v>#REF!</v>
      </c>
      <c r="I2845" s="1597" t="e">
        <f t="shared" si="298"/>
        <v>#REF!</v>
      </c>
      <c r="J2845" s="1644" t="e">
        <f t="shared" si="299"/>
        <v>#REF!</v>
      </c>
      <c r="M2845" s="1545"/>
      <c r="N2845" s="1545"/>
    </row>
    <row r="2846" spans="1:93" s="1542" customFormat="1" ht="15.5">
      <c r="A2846" s="1598">
        <v>74.228999999999999</v>
      </c>
      <c r="B2846" s="1599" t="s">
        <v>3150</v>
      </c>
      <c r="C2846" s="1643" t="e">
        <f>+SUMIF(#REF!,Final!A2846,#REF!)</f>
        <v>#REF!</v>
      </c>
      <c r="D2846" s="1597" t="e">
        <f>+SUMIF(#REF!,Final!A2846,#REF!)</f>
        <v>#REF!</v>
      </c>
      <c r="E2846" s="1643" t="e">
        <f>SUMIF(#REF!,Final!A2846,#REF!)</f>
        <v>#REF!</v>
      </c>
      <c r="F2846" s="1644" t="e">
        <f>SUMIF(#REF!,Final!A2846,#REF!)</f>
        <v>#REF!</v>
      </c>
      <c r="G2846" s="1597" t="e">
        <f t="shared" si="296"/>
        <v>#REF!</v>
      </c>
      <c r="H2846" s="1644" t="e">
        <f t="shared" si="297"/>
        <v>#REF!</v>
      </c>
      <c r="I2846" s="1597" t="e">
        <f t="shared" si="298"/>
        <v>#REF!</v>
      </c>
      <c r="J2846" s="1644" t="e">
        <f t="shared" si="299"/>
        <v>#REF!</v>
      </c>
      <c r="K2846" s="1539"/>
      <c r="L2846" s="1539"/>
      <c r="M2846" s="1545"/>
      <c r="N2846" s="1545"/>
      <c r="O2846" s="1539"/>
      <c r="P2846" s="1539"/>
      <c r="Q2846" s="1539"/>
      <c r="R2846" s="1539"/>
      <c r="S2846" s="1539"/>
      <c r="T2846" s="1539"/>
      <c r="U2846" s="1539"/>
      <c r="V2846" s="1539"/>
      <c r="W2846" s="1539"/>
      <c r="X2846" s="1539"/>
      <c r="Y2846" s="1539"/>
      <c r="Z2846" s="1539"/>
      <c r="AA2846" s="1539"/>
      <c r="AB2846" s="1539"/>
      <c r="AC2846" s="1539"/>
      <c r="AD2846" s="1539"/>
      <c r="AE2846" s="1539"/>
      <c r="AF2846" s="1539"/>
      <c r="AG2846" s="1539"/>
      <c r="AH2846" s="1539"/>
      <c r="AI2846" s="1539"/>
      <c r="AJ2846" s="1539"/>
      <c r="AK2846" s="1539"/>
      <c r="AL2846" s="1539"/>
      <c r="AM2846" s="1539"/>
      <c r="AN2846" s="1539"/>
      <c r="AO2846" s="1539"/>
      <c r="AP2846" s="1539"/>
      <c r="AQ2846" s="1539"/>
      <c r="AR2846" s="1539"/>
      <c r="AS2846" s="1539"/>
      <c r="AT2846" s="1539"/>
      <c r="AU2846" s="1539"/>
      <c r="AV2846" s="1539"/>
      <c r="AW2846" s="1539"/>
      <c r="AX2846" s="1539"/>
      <c r="AY2846" s="1539"/>
      <c r="AZ2846" s="1539"/>
      <c r="BA2846" s="1539"/>
      <c r="BB2846" s="1539"/>
      <c r="BC2846" s="1539"/>
      <c r="BD2846" s="1539"/>
      <c r="BE2846" s="1539"/>
      <c r="BF2846" s="1539"/>
      <c r="BG2846" s="1539"/>
      <c r="BH2846" s="1539"/>
      <c r="BI2846" s="1539"/>
      <c r="BJ2846" s="1539"/>
      <c r="BK2846" s="1539"/>
      <c r="BL2846" s="1539"/>
      <c r="BM2846" s="1539"/>
      <c r="BN2846" s="1539"/>
      <c r="BO2846" s="1539"/>
      <c r="BP2846" s="1539"/>
      <c r="BQ2846" s="1539"/>
      <c r="BR2846" s="1539"/>
      <c r="BS2846" s="1539"/>
      <c r="BT2846" s="1539"/>
      <c r="BU2846" s="1539"/>
      <c r="BV2846" s="1539"/>
      <c r="BW2846" s="1539"/>
      <c r="BX2846" s="1539"/>
      <c r="BY2846" s="1539"/>
      <c r="BZ2846" s="1539"/>
      <c r="CA2846" s="1539"/>
      <c r="CB2846" s="1539"/>
      <c r="CC2846" s="1539"/>
      <c r="CD2846" s="1539"/>
      <c r="CE2846" s="1539"/>
      <c r="CF2846" s="1539"/>
      <c r="CG2846" s="1539"/>
      <c r="CH2846" s="1539"/>
      <c r="CI2846" s="1539"/>
      <c r="CJ2846" s="1539"/>
      <c r="CK2846" s="1539"/>
      <c r="CL2846" s="1539"/>
      <c r="CM2846" s="1539"/>
      <c r="CN2846" s="1539"/>
      <c r="CO2846" s="1539"/>
    </row>
    <row r="2847" spans="1:93" ht="15.5">
      <c r="A2847" s="1598">
        <v>74.23</v>
      </c>
      <c r="B2847" s="1599" t="s">
        <v>3151</v>
      </c>
      <c r="C2847" s="1643" t="e">
        <f>+SUMIF(#REF!,Final!A2847,#REF!)</f>
        <v>#REF!</v>
      </c>
      <c r="D2847" s="1597" t="e">
        <f>+SUMIF(#REF!,Final!A2847,#REF!)</f>
        <v>#REF!</v>
      </c>
      <c r="E2847" s="1643" t="e">
        <f>SUMIF(#REF!,Final!A2847,#REF!)</f>
        <v>#REF!</v>
      </c>
      <c r="F2847" s="1644" t="e">
        <f>SUMIF(#REF!,Final!A2847,#REF!)</f>
        <v>#REF!</v>
      </c>
      <c r="G2847" s="1597" t="e">
        <f t="shared" si="296"/>
        <v>#REF!</v>
      </c>
      <c r="H2847" s="1644" t="e">
        <f t="shared" si="297"/>
        <v>#REF!</v>
      </c>
      <c r="I2847" s="1597" t="e">
        <f t="shared" si="298"/>
        <v>#REF!</v>
      </c>
      <c r="J2847" s="1644" t="e">
        <f t="shared" si="299"/>
        <v>#REF!</v>
      </c>
      <c r="M2847" s="1545"/>
      <c r="N2847" s="1545"/>
    </row>
    <row r="2848" spans="1:93" ht="15.5">
      <c r="A2848" s="1598">
        <v>74.290000000000006</v>
      </c>
      <c r="B2848" s="1599" t="s">
        <v>3956</v>
      </c>
      <c r="C2848" s="1643" t="e">
        <f>+SUMIF(#REF!,Final!A2848,#REF!)</f>
        <v>#REF!</v>
      </c>
      <c r="D2848" s="1597" t="e">
        <f>+SUMIF(#REF!,Final!A2848,#REF!)</f>
        <v>#REF!</v>
      </c>
      <c r="E2848" s="1643" t="e">
        <f>SUMIF(#REF!,Final!A2848,#REF!)</f>
        <v>#REF!</v>
      </c>
      <c r="F2848" s="1644" t="e">
        <f>SUMIF(#REF!,Final!A2848,#REF!)</f>
        <v>#REF!</v>
      </c>
      <c r="G2848" s="1597" t="e">
        <f t="shared" ref="G2848:G2919" si="308">C2848+E2848</f>
        <v>#REF!</v>
      </c>
      <c r="H2848" s="1644" t="e">
        <f t="shared" ref="H2848:H2919" si="309">D2848+F2848</f>
        <v>#REF!</v>
      </c>
      <c r="I2848" s="1597" t="e">
        <f t="shared" ref="I2848:I2919" si="310">IF(G2848&gt;H2848,G2848-H2848,0)</f>
        <v>#REF!</v>
      </c>
      <c r="J2848" s="1644" t="e">
        <f t="shared" ref="J2848:J2919" si="311">IF(H2848&gt;G2848,H2848-G2848,0)</f>
        <v>#REF!</v>
      </c>
      <c r="M2848" s="1545"/>
      <c r="N2848" s="1545"/>
    </row>
    <row r="2849" spans="1:93" ht="15.5">
      <c r="A2849" s="1598">
        <v>74.290999999999997</v>
      </c>
      <c r="B2849" s="1599" t="s">
        <v>3957</v>
      </c>
      <c r="C2849" s="1643" t="e">
        <f>+SUMIF(#REF!,Final!A2849,#REF!)</f>
        <v>#REF!</v>
      </c>
      <c r="D2849" s="1597" t="e">
        <f>+SUMIF(#REF!,Final!A2849,#REF!)</f>
        <v>#REF!</v>
      </c>
      <c r="E2849" s="1643" t="e">
        <f>SUMIF(#REF!,Final!A2849,#REF!)</f>
        <v>#REF!</v>
      </c>
      <c r="F2849" s="1644" t="e">
        <f>SUMIF(#REF!,Final!A2849,#REF!)</f>
        <v>#REF!</v>
      </c>
      <c r="G2849" s="1597" t="e">
        <f t="shared" si="308"/>
        <v>#REF!</v>
      </c>
      <c r="H2849" s="1644" t="e">
        <f t="shared" si="309"/>
        <v>#REF!</v>
      </c>
      <c r="I2849" s="1597" t="e">
        <f t="shared" si="310"/>
        <v>#REF!</v>
      </c>
      <c r="J2849" s="1644" t="e">
        <f t="shared" si="311"/>
        <v>#REF!</v>
      </c>
      <c r="M2849" s="1545"/>
      <c r="N2849" s="1545"/>
    </row>
    <row r="2850" spans="1:93" ht="15.5">
      <c r="A2850" s="1598">
        <v>74.292000000000002</v>
      </c>
      <c r="B2850" s="1599" t="s">
        <v>4571</v>
      </c>
      <c r="C2850" s="1643" t="e">
        <f>+SUMIF(#REF!,Final!A2850,#REF!)</f>
        <v>#REF!</v>
      </c>
      <c r="D2850" s="1597" t="e">
        <f>+SUMIF(#REF!,Final!A2850,#REF!)</f>
        <v>#REF!</v>
      </c>
      <c r="E2850" s="1643" t="e">
        <f>SUMIF(#REF!,Final!A2850,#REF!)</f>
        <v>#REF!</v>
      </c>
      <c r="F2850" s="1644" t="e">
        <f>SUMIF(#REF!,Final!A2850,#REF!)</f>
        <v>#REF!</v>
      </c>
      <c r="G2850" s="1597" t="e">
        <f t="shared" si="308"/>
        <v>#REF!</v>
      </c>
      <c r="H2850" s="1644" t="e">
        <f t="shared" si="309"/>
        <v>#REF!</v>
      </c>
      <c r="I2850" s="1597" t="e">
        <f t="shared" si="310"/>
        <v>#REF!</v>
      </c>
      <c r="J2850" s="1644" t="e">
        <f t="shared" si="311"/>
        <v>#REF!</v>
      </c>
      <c r="M2850" s="1545"/>
      <c r="N2850" s="1545"/>
    </row>
    <row r="2851" spans="1:93" ht="15.5">
      <c r="A2851" s="1598">
        <v>74.293000000000006</v>
      </c>
      <c r="B2851" s="1599" t="s">
        <v>4572</v>
      </c>
      <c r="C2851" s="1643" t="e">
        <f>+SUMIF(#REF!,Final!A2851,#REF!)</f>
        <v>#REF!</v>
      </c>
      <c r="D2851" s="1597" t="e">
        <f>+SUMIF(#REF!,Final!A2851,#REF!)</f>
        <v>#REF!</v>
      </c>
      <c r="E2851" s="1643" t="e">
        <f>SUMIF(#REF!,Final!A2851,#REF!)</f>
        <v>#REF!</v>
      </c>
      <c r="F2851" s="1644" t="e">
        <f>SUMIF(#REF!,Final!A2851,#REF!)</f>
        <v>#REF!</v>
      </c>
      <c r="G2851" s="1597" t="e">
        <f t="shared" si="308"/>
        <v>#REF!</v>
      </c>
      <c r="H2851" s="1644" t="e">
        <f t="shared" si="309"/>
        <v>#REF!</v>
      </c>
      <c r="I2851" s="1597" t="e">
        <f t="shared" si="310"/>
        <v>#REF!</v>
      </c>
      <c r="J2851" s="1644" t="e">
        <f t="shared" si="311"/>
        <v>#REF!</v>
      </c>
      <c r="M2851" s="1545"/>
      <c r="N2851" s="1545"/>
    </row>
    <row r="2852" spans="1:93" ht="15.5">
      <c r="A2852" s="1684" t="s">
        <v>5047</v>
      </c>
      <c r="B2852" s="1703" t="s">
        <v>5048</v>
      </c>
      <c r="C2852" s="1643" t="e">
        <f>+SUMIF(#REF!,Final!A2852,#REF!)</f>
        <v>#REF!</v>
      </c>
      <c r="D2852" s="1597" t="e">
        <f>+SUMIF(#REF!,Final!A2852,#REF!)</f>
        <v>#REF!</v>
      </c>
      <c r="E2852" s="1643" t="e">
        <f>SUMIF(#REF!,Final!A2852,#REF!)</f>
        <v>#REF!</v>
      </c>
      <c r="F2852" s="1644" t="e">
        <f>SUMIF(#REF!,Final!A2852,#REF!)</f>
        <v>#REF!</v>
      </c>
      <c r="G2852" s="1597" t="e">
        <f t="shared" si="308"/>
        <v>#REF!</v>
      </c>
      <c r="H2852" s="1644" t="e">
        <f t="shared" si="309"/>
        <v>#REF!</v>
      </c>
      <c r="I2852" s="1597" t="e">
        <f t="shared" si="310"/>
        <v>#REF!</v>
      </c>
      <c r="J2852" s="1644" t="e">
        <f t="shared" si="311"/>
        <v>#REF!</v>
      </c>
      <c r="M2852" s="1545"/>
      <c r="N2852" s="1545"/>
    </row>
    <row r="2853" spans="1:93" ht="15.5">
      <c r="A2853" s="1690" t="s">
        <v>5049</v>
      </c>
      <c r="B2853" s="1703" t="s">
        <v>5050</v>
      </c>
      <c r="C2853" s="1643" t="e">
        <f>+SUMIF(#REF!,Final!A2853,#REF!)</f>
        <v>#REF!</v>
      </c>
      <c r="D2853" s="1597" t="e">
        <f>+SUMIF(#REF!,Final!A2853,#REF!)</f>
        <v>#REF!</v>
      </c>
      <c r="E2853" s="1643" t="e">
        <f>SUMIF(#REF!,Final!A2853,#REF!)</f>
        <v>#REF!</v>
      </c>
      <c r="F2853" s="1644" t="e">
        <f>SUMIF(#REF!,Final!A2853,#REF!)</f>
        <v>#REF!</v>
      </c>
      <c r="G2853" s="1597" t="e">
        <f t="shared" si="308"/>
        <v>#REF!</v>
      </c>
      <c r="H2853" s="1644" t="e">
        <f t="shared" si="309"/>
        <v>#REF!</v>
      </c>
      <c r="I2853" s="1597" t="e">
        <f t="shared" si="310"/>
        <v>#REF!</v>
      </c>
      <c r="J2853" s="1644" t="e">
        <f t="shared" si="311"/>
        <v>#REF!</v>
      </c>
      <c r="M2853" s="1545"/>
      <c r="N2853" s="1545"/>
    </row>
    <row r="2854" spans="1:93" ht="15.5">
      <c r="A2854" s="1796" t="s">
        <v>5047</v>
      </c>
      <c r="B2854" s="1795" t="s">
        <v>3956</v>
      </c>
      <c r="C2854" s="1643" t="e">
        <f>+SUMIF(#REF!,Final!A2854,#REF!)</f>
        <v>#REF!</v>
      </c>
      <c r="D2854" s="1597" t="e">
        <f>+SUMIF(#REF!,Final!A2854,#REF!)</f>
        <v>#REF!</v>
      </c>
      <c r="E2854" s="1643" t="e">
        <f>SUMIF(#REF!,Final!A2854,#REF!)</f>
        <v>#REF!</v>
      </c>
      <c r="F2854" s="1644" t="e">
        <f>SUMIF(#REF!,Final!A2854,#REF!)</f>
        <v>#REF!</v>
      </c>
      <c r="G2854" s="1597" t="e">
        <f t="shared" ref="G2854:G2858" si="312">C2854+E2854</f>
        <v>#REF!</v>
      </c>
      <c r="H2854" s="1644" t="e">
        <f t="shared" ref="H2854:H2858" si="313">D2854+F2854</f>
        <v>#REF!</v>
      </c>
      <c r="I2854" s="1597" t="e">
        <f t="shared" ref="I2854:I2858" si="314">IF(G2854&gt;H2854,G2854-H2854,0)</f>
        <v>#REF!</v>
      </c>
      <c r="J2854" s="1644" t="e">
        <f t="shared" ref="J2854:J2858" si="315">IF(H2854&gt;G2854,H2854-G2854,0)</f>
        <v>#REF!</v>
      </c>
      <c r="M2854" s="1545"/>
      <c r="N2854" s="1545"/>
    </row>
    <row r="2855" spans="1:93" ht="15.5">
      <c r="A2855" s="1794" t="s">
        <v>5049</v>
      </c>
      <c r="B2855" s="1795" t="s">
        <v>3957</v>
      </c>
      <c r="C2855" s="1643" t="e">
        <f>+SUMIF(#REF!,Final!A2855,#REF!)</f>
        <v>#REF!</v>
      </c>
      <c r="D2855" s="1597" t="e">
        <f>+SUMIF(#REF!,Final!A2855,#REF!)</f>
        <v>#REF!</v>
      </c>
      <c r="E2855" s="1643" t="e">
        <f>SUMIF(#REF!,Final!A2855,#REF!)</f>
        <v>#REF!</v>
      </c>
      <c r="F2855" s="1644" t="e">
        <f>SUMIF(#REF!,Final!A2855,#REF!)</f>
        <v>#REF!</v>
      </c>
      <c r="G2855" s="1597" t="e">
        <f t="shared" si="312"/>
        <v>#REF!</v>
      </c>
      <c r="H2855" s="1644" t="e">
        <f t="shared" si="313"/>
        <v>#REF!</v>
      </c>
      <c r="I2855" s="1597" t="e">
        <f t="shared" si="314"/>
        <v>#REF!</v>
      </c>
      <c r="J2855" s="1644" t="e">
        <f t="shared" si="315"/>
        <v>#REF!</v>
      </c>
      <c r="M2855" s="1545"/>
      <c r="N2855" s="1545"/>
    </row>
    <row r="2856" spans="1:93" ht="15.5">
      <c r="A2856" s="1598">
        <v>74.311999999999998</v>
      </c>
      <c r="B2856" s="1599" t="s">
        <v>3152</v>
      </c>
      <c r="C2856" s="1643" t="e">
        <f>+SUMIF(#REF!,Final!A2856,#REF!)</f>
        <v>#REF!</v>
      </c>
      <c r="D2856" s="1597" t="e">
        <f>+SUMIF(#REF!,Final!A2856,#REF!)</f>
        <v>#REF!</v>
      </c>
      <c r="E2856" s="1643" t="e">
        <f>SUMIF(#REF!,Final!A2856,#REF!)</f>
        <v>#REF!</v>
      </c>
      <c r="F2856" s="1644" t="e">
        <f>SUMIF(#REF!,Final!A2856,#REF!)</f>
        <v>#REF!</v>
      </c>
      <c r="G2856" s="1597" t="e">
        <f t="shared" si="312"/>
        <v>#REF!</v>
      </c>
      <c r="H2856" s="1644" t="e">
        <f t="shared" si="313"/>
        <v>#REF!</v>
      </c>
      <c r="I2856" s="1597" t="e">
        <f t="shared" si="314"/>
        <v>#REF!</v>
      </c>
      <c r="J2856" s="1644" t="e">
        <f t="shared" si="315"/>
        <v>#REF!</v>
      </c>
      <c r="M2856" s="1545"/>
      <c r="N2856" s="1545"/>
    </row>
    <row r="2857" spans="1:93" ht="15.5">
      <c r="A2857" s="1598">
        <v>74.418000000000006</v>
      </c>
      <c r="B2857" s="1599" t="s">
        <v>3153</v>
      </c>
      <c r="C2857" s="1643" t="e">
        <f>+SUMIF(#REF!,Final!A2857,#REF!)</f>
        <v>#REF!</v>
      </c>
      <c r="D2857" s="1597" t="e">
        <f>+SUMIF(#REF!,Final!A2857,#REF!)</f>
        <v>#REF!</v>
      </c>
      <c r="E2857" s="1643" t="e">
        <f>SUMIF(#REF!,Final!A2857,#REF!)</f>
        <v>#REF!</v>
      </c>
      <c r="F2857" s="1644" t="e">
        <f>SUMIF(#REF!,Final!A2857,#REF!)</f>
        <v>#REF!</v>
      </c>
      <c r="G2857" s="1597" t="e">
        <f t="shared" si="312"/>
        <v>#REF!</v>
      </c>
      <c r="H2857" s="1644" t="e">
        <f t="shared" si="313"/>
        <v>#REF!</v>
      </c>
      <c r="I2857" s="1597" t="e">
        <f t="shared" si="314"/>
        <v>#REF!</v>
      </c>
      <c r="J2857" s="1644" t="e">
        <f t="shared" si="315"/>
        <v>#REF!</v>
      </c>
      <c r="M2857" s="1545"/>
      <c r="N2857" s="1545"/>
    </row>
    <row r="2858" spans="1:93" ht="15.5">
      <c r="A2858" s="1598">
        <v>74.421000000000006</v>
      </c>
      <c r="B2858" s="1599" t="s">
        <v>3154</v>
      </c>
      <c r="C2858" s="1643" t="e">
        <f>+SUMIF(#REF!,Final!A2858,#REF!)</f>
        <v>#REF!</v>
      </c>
      <c r="D2858" s="1597" t="e">
        <f>+SUMIF(#REF!,Final!A2858,#REF!)</f>
        <v>#REF!</v>
      </c>
      <c r="E2858" s="1643" t="e">
        <f>SUMIF(#REF!,Final!A2858,#REF!)</f>
        <v>#REF!</v>
      </c>
      <c r="F2858" s="1644" t="e">
        <f>SUMIF(#REF!,Final!A2858,#REF!)</f>
        <v>#REF!</v>
      </c>
      <c r="G2858" s="1597" t="e">
        <f t="shared" si="312"/>
        <v>#REF!</v>
      </c>
      <c r="H2858" s="1644" t="e">
        <f t="shared" si="313"/>
        <v>#REF!</v>
      </c>
      <c r="I2858" s="1597" t="e">
        <f t="shared" si="314"/>
        <v>#REF!</v>
      </c>
      <c r="J2858" s="1644" t="e">
        <f t="shared" si="315"/>
        <v>#REF!</v>
      </c>
      <c r="M2858" s="1545"/>
      <c r="N2858" s="1545"/>
    </row>
    <row r="2859" spans="1:93" s="1552" customFormat="1" ht="15.5">
      <c r="A2859" s="1598"/>
      <c r="B2859" s="1599" t="s">
        <v>1747</v>
      </c>
      <c r="C2859" s="1643" t="e">
        <f>+SUMIF(#REF!,Final!A2859,#REF!)</f>
        <v>#REF!</v>
      </c>
      <c r="D2859" s="1597" t="e">
        <f>+SUMIF(#REF!,Final!A2859,#REF!)</f>
        <v>#REF!</v>
      </c>
      <c r="E2859" s="1643" t="e">
        <f>SUMIF(#REF!,Final!A2859,#REF!)</f>
        <v>#REF!</v>
      </c>
      <c r="F2859" s="1644" t="e">
        <f>SUMIF(#REF!,Final!A2859,#REF!)</f>
        <v>#REF!</v>
      </c>
      <c r="G2859" s="1597" t="e">
        <f t="shared" si="308"/>
        <v>#REF!</v>
      </c>
      <c r="H2859" s="1644" t="e">
        <f t="shared" si="309"/>
        <v>#REF!</v>
      </c>
      <c r="I2859" s="1597" t="e">
        <f t="shared" si="310"/>
        <v>#REF!</v>
      </c>
      <c r="J2859" s="1644" t="e">
        <f t="shared" si="311"/>
        <v>#REF!</v>
      </c>
      <c r="K2859" s="1539"/>
      <c r="L2859" s="1539"/>
      <c r="M2859" s="1545"/>
      <c r="N2859" s="1545"/>
      <c r="O2859" s="1539"/>
      <c r="P2859" s="1539"/>
      <c r="Q2859" s="1539"/>
      <c r="R2859" s="1539"/>
      <c r="S2859" s="1539"/>
      <c r="T2859" s="1539"/>
      <c r="U2859" s="1539"/>
      <c r="V2859" s="1539"/>
      <c r="W2859" s="1539"/>
      <c r="X2859" s="1539"/>
      <c r="Y2859" s="1539"/>
      <c r="Z2859" s="1539"/>
      <c r="AA2859" s="1539"/>
      <c r="AB2859" s="1539"/>
      <c r="AC2859" s="1539"/>
      <c r="AD2859" s="1539"/>
      <c r="AE2859" s="1539"/>
      <c r="AF2859" s="1539"/>
      <c r="AG2859" s="1539"/>
      <c r="AH2859" s="1539"/>
      <c r="AI2859" s="1539"/>
      <c r="AJ2859" s="1539"/>
      <c r="AK2859" s="1539"/>
      <c r="AL2859" s="1539"/>
      <c r="AM2859" s="1539"/>
      <c r="AN2859" s="1539"/>
      <c r="AO2859" s="1539"/>
      <c r="AP2859" s="1539"/>
      <c r="AQ2859" s="1539"/>
      <c r="AR2859" s="1539"/>
      <c r="AS2859" s="1539"/>
      <c r="AT2859" s="1539"/>
      <c r="AU2859" s="1539"/>
      <c r="AV2859" s="1539"/>
      <c r="AW2859" s="1539"/>
      <c r="AX2859" s="1539"/>
      <c r="AY2859" s="1539"/>
      <c r="AZ2859" s="1539"/>
      <c r="BA2859" s="1539"/>
      <c r="BB2859" s="1539"/>
      <c r="BC2859" s="1539"/>
      <c r="BD2859" s="1539"/>
      <c r="BE2859" s="1539"/>
      <c r="BF2859" s="1539"/>
      <c r="BG2859" s="1539"/>
      <c r="BH2859" s="1539"/>
      <c r="BI2859" s="1539"/>
      <c r="BJ2859" s="1539"/>
      <c r="BK2859" s="1539"/>
      <c r="BL2859" s="1539"/>
      <c r="BM2859" s="1539"/>
      <c r="BN2859" s="1539"/>
      <c r="BO2859" s="1539"/>
      <c r="BP2859" s="1539"/>
      <c r="BQ2859" s="1539"/>
      <c r="BR2859" s="1539"/>
      <c r="BS2859" s="1539"/>
      <c r="BT2859" s="1539"/>
      <c r="BU2859" s="1539"/>
      <c r="BV2859" s="1539"/>
      <c r="BW2859" s="1539"/>
      <c r="BX2859" s="1539"/>
      <c r="BY2859" s="1539"/>
      <c r="BZ2859" s="1539"/>
      <c r="CA2859" s="1539"/>
      <c r="CB2859" s="1539"/>
      <c r="CC2859" s="1539"/>
      <c r="CD2859" s="1539"/>
      <c r="CE2859" s="1539"/>
      <c r="CF2859" s="1539"/>
      <c r="CG2859" s="1539"/>
      <c r="CH2859" s="1539"/>
      <c r="CI2859" s="1539"/>
      <c r="CJ2859" s="1539"/>
      <c r="CK2859" s="1539"/>
      <c r="CL2859" s="1539"/>
      <c r="CM2859" s="1539"/>
      <c r="CN2859" s="1539"/>
      <c r="CO2859" s="1539"/>
    </row>
    <row r="2860" spans="1:93" s="1552" customFormat="1" ht="15.5">
      <c r="A2860" s="1598"/>
      <c r="B2860" s="1599" t="s">
        <v>1760</v>
      </c>
      <c r="C2860" s="1643" t="e">
        <f>+SUMIF(#REF!,Final!A2860,#REF!)</f>
        <v>#REF!</v>
      </c>
      <c r="D2860" s="1597" t="e">
        <f>+SUMIF(#REF!,Final!A2860,#REF!)</f>
        <v>#REF!</v>
      </c>
      <c r="E2860" s="1643" t="e">
        <f>SUMIF(#REF!,Final!A2860,#REF!)</f>
        <v>#REF!</v>
      </c>
      <c r="F2860" s="1644" t="e">
        <f>SUMIF(#REF!,Final!A2860,#REF!)</f>
        <v>#REF!</v>
      </c>
      <c r="G2860" s="1597" t="e">
        <f t="shared" si="308"/>
        <v>#REF!</v>
      </c>
      <c r="H2860" s="1644" t="e">
        <f t="shared" si="309"/>
        <v>#REF!</v>
      </c>
      <c r="I2860" s="1597" t="e">
        <f t="shared" si="310"/>
        <v>#REF!</v>
      </c>
      <c r="J2860" s="1644" t="e">
        <f t="shared" si="311"/>
        <v>#REF!</v>
      </c>
      <c r="K2860" s="1539"/>
      <c r="L2860" s="1539"/>
      <c r="M2860" s="1545"/>
      <c r="N2860" s="1545"/>
      <c r="O2860" s="1539"/>
      <c r="P2860" s="1539"/>
      <c r="Q2860" s="1539"/>
      <c r="R2860" s="1539"/>
      <c r="S2860" s="1539"/>
      <c r="T2860" s="1539"/>
      <c r="U2860" s="1539"/>
      <c r="V2860" s="1539"/>
      <c r="W2860" s="1539"/>
      <c r="X2860" s="1539"/>
      <c r="Y2860" s="1539"/>
      <c r="Z2860" s="1539"/>
      <c r="AA2860" s="1539"/>
      <c r="AB2860" s="1539"/>
      <c r="AC2860" s="1539"/>
      <c r="AD2860" s="1539"/>
      <c r="AE2860" s="1539"/>
      <c r="AF2860" s="1539"/>
      <c r="AG2860" s="1539"/>
      <c r="AH2860" s="1539"/>
      <c r="AI2860" s="1539"/>
      <c r="AJ2860" s="1539"/>
      <c r="AK2860" s="1539"/>
      <c r="AL2860" s="1539"/>
      <c r="AM2860" s="1539"/>
      <c r="AN2860" s="1539"/>
      <c r="AO2860" s="1539"/>
      <c r="AP2860" s="1539"/>
      <c r="AQ2860" s="1539"/>
      <c r="AR2860" s="1539"/>
      <c r="AS2860" s="1539"/>
      <c r="AT2860" s="1539"/>
      <c r="AU2860" s="1539"/>
      <c r="AV2860" s="1539"/>
      <c r="AW2860" s="1539"/>
      <c r="AX2860" s="1539"/>
      <c r="AY2860" s="1539"/>
      <c r="AZ2860" s="1539"/>
      <c r="BA2860" s="1539"/>
      <c r="BB2860" s="1539"/>
      <c r="BC2860" s="1539"/>
      <c r="BD2860" s="1539"/>
      <c r="BE2860" s="1539"/>
      <c r="BF2860" s="1539"/>
      <c r="BG2860" s="1539"/>
      <c r="BH2860" s="1539"/>
      <c r="BI2860" s="1539"/>
      <c r="BJ2860" s="1539"/>
      <c r="BK2860" s="1539"/>
      <c r="BL2860" s="1539"/>
      <c r="BM2860" s="1539"/>
      <c r="BN2860" s="1539"/>
      <c r="BO2860" s="1539"/>
      <c r="BP2860" s="1539"/>
      <c r="BQ2860" s="1539"/>
      <c r="BR2860" s="1539"/>
      <c r="BS2860" s="1539"/>
      <c r="BT2860" s="1539"/>
      <c r="BU2860" s="1539"/>
      <c r="BV2860" s="1539"/>
      <c r="BW2860" s="1539"/>
      <c r="BX2860" s="1539"/>
      <c r="BY2860" s="1539"/>
      <c r="BZ2860" s="1539"/>
      <c r="CA2860" s="1539"/>
      <c r="CB2860" s="1539"/>
      <c r="CC2860" s="1539"/>
      <c r="CD2860" s="1539"/>
      <c r="CE2860" s="1539"/>
      <c r="CF2860" s="1539"/>
      <c r="CG2860" s="1539"/>
      <c r="CH2860" s="1539"/>
      <c r="CI2860" s="1539"/>
      <c r="CJ2860" s="1539"/>
      <c r="CK2860" s="1539"/>
      <c r="CL2860" s="1539"/>
      <c r="CM2860" s="1539"/>
      <c r="CN2860" s="1539"/>
      <c r="CO2860" s="1539"/>
    </row>
    <row r="2861" spans="1:93" s="1542" customFormat="1" ht="15.5">
      <c r="A2861" s="1598" t="s">
        <v>543</v>
      </c>
      <c r="B2861" s="1599" t="s">
        <v>3043</v>
      </c>
      <c r="C2861" s="1643" t="e">
        <f>+SUMIF(#REF!,Final!A2861,#REF!)</f>
        <v>#REF!</v>
      </c>
      <c r="D2861" s="1597" t="e">
        <f>+SUMIF(#REF!,Final!A2861,#REF!)</f>
        <v>#REF!</v>
      </c>
      <c r="E2861" s="1643" t="e">
        <f>SUMIF(#REF!,Final!A2861,#REF!)</f>
        <v>#REF!</v>
      </c>
      <c r="F2861" s="1644" t="e">
        <f>SUMIF(#REF!,Final!A2861,#REF!)</f>
        <v>#REF!</v>
      </c>
      <c r="G2861" s="1597" t="e">
        <f t="shared" si="308"/>
        <v>#REF!</v>
      </c>
      <c r="H2861" s="1644" t="e">
        <f t="shared" si="309"/>
        <v>#REF!</v>
      </c>
      <c r="I2861" s="1597" t="e">
        <f t="shared" si="310"/>
        <v>#REF!</v>
      </c>
      <c r="J2861" s="1644" t="e">
        <f t="shared" si="311"/>
        <v>#REF!</v>
      </c>
      <c r="K2861" s="1539"/>
      <c r="L2861" s="1539"/>
      <c r="M2861" s="1545"/>
      <c r="N2861" s="1545"/>
      <c r="O2861" s="1539"/>
      <c r="P2861" s="1539"/>
      <c r="Q2861" s="1539"/>
      <c r="R2861" s="1539"/>
      <c r="S2861" s="1539"/>
      <c r="T2861" s="1539"/>
      <c r="U2861" s="1539"/>
      <c r="V2861" s="1539"/>
      <c r="W2861" s="1539"/>
      <c r="X2861" s="1539"/>
      <c r="Y2861" s="1539"/>
      <c r="Z2861" s="1539"/>
      <c r="AA2861" s="1539"/>
      <c r="AB2861" s="1539"/>
      <c r="AC2861" s="1539"/>
      <c r="AD2861" s="1539"/>
      <c r="AE2861" s="1539"/>
      <c r="AF2861" s="1539"/>
      <c r="AG2861" s="1539"/>
      <c r="AH2861" s="1539"/>
      <c r="AI2861" s="1539"/>
      <c r="AJ2861" s="1539"/>
      <c r="AK2861" s="1539"/>
      <c r="AL2861" s="1539"/>
      <c r="AM2861" s="1539"/>
      <c r="AN2861" s="1539"/>
      <c r="AO2861" s="1539"/>
      <c r="AP2861" s="1539"/>
      <c r="AQ2861" s="1539"/>
      <c r="AR2861" s="1539"/>
      <c r="AS2861" s="1539"/>
      <c r="AT2861" s="1539"/>
      <c r="AU2861" s="1539"/>
      <c r="AV2861" s="1539"/>
      <c r="AW2861" s="1539"/>
      <c r="AX2861" s="1539"/>
      <c r="AY2861" s="1539"/>
      <c r="AZ2861" s="1539"/>
      <c r="BA2861" s="1539"/>
      <c r="BB2861" s="1539"/>
      <c r="BC2861" s="1539"/>
      <c r="BD2861" s="1539"/>
      <c r="BE2861" s="1539"/>
      <c r="BF2861" s="1539"/>
      <c r="BG2861" s="1539"/>
      <c r="BH2861" s="1539"/>
      <c r="BI2861" s="1539"/>
      <c r="BJ2861" s="1539"/>
      <c r="BK2861" s="1539"/>
      <c r="BL2861" s="1539"/>
      <c r="BM2861" s="1539"/>
      <c r="BN2861" s="1539"/>
      <c r="BO2861" s="1539"/>
      <c r="BP2861" s="1539"/>
      <c r="BQ2861" s="1539"/>
      <c r="BR2861" s="1539"/>
      <c r="BS2861" s="1539"/>
      <c r="BT2861" s="1539"/>
      <c r="BU2861" s="1539"/>
      <c r="BV2861" s="1539"/>
      <c r="BW2861" s="1539"/>
      <c r="BX2861" s="1539"/>
      <c r="BY2861" s="1539"/>
      <c r="BZ2861" s="1539"/>
      <c r="CA2861" s="1539"/>
      <c r="CB2861" s="1539"/>
      <c r="CC2861" s="1539"/>
      <c r="CD2861" s="1539"/>
      <c r="CE2861" s="1539"/>
      <c r="CF2861" s="1539"/>
      <c r="CG2861" s="1539"/>
      <c r="CH2861" s="1539"/>
      <c r="CI2861" s="1539"/>
      <c r="CJ2861" s="1539"/>
      <c r="CK2861" s="1539"/>
      <c r="CL2861" s="1539"/>
      <c r="CM2861" s="1539"/>
      <c r="CN2861" s="1539"/>
      <c r="CO2861" s="1539"/>
    </row>
    <row r="2862" spans="1:93" s="1542" customFormat="1" ht="15.5">
      <c r="A2862" s="1598" t="s">
        <v>1768</v>
      </c>
      <c r="B2862" s="1599" t="s">
        <v>3062</v>
      </c>
      <c r="C2862" s="1643" t="e">
        <f>+SUMIF(#REF!,Final!A2862,#REF!)</f>
        <v>#REF!</v>
      </c>
      <c r="D2862" s="1597" t="e">
        <f>+SUMIF(#REF!,Final!A2862,#REF!)</f>
        <v>#REF!</v>
      </c>
      <c r="E2862" s="1643" t="e">
        <f>SUMIF(#REF!,Final!A2862,#REF!)</f>
        <v>#REF!</v>
      </c>
      <c r="F2862" s="1644" t="e">
        <f>SUMIF(#REF!,Final!A2862,#REF!)</f>
        <v>#REF!</v>
      </c>
      <c r="G2862" s="1597" t="e">
        <f t="shared" si="308"/>
        <v>#REF!</v>
      </c>
      <c r="H2862" s="1644" t="e">
        <f t="shared" si="309"/>
        <v>#REF!</v>
      </c>
      <c r="I2862" s="1597" t="e">
        <f t="shared" si="310"/>
        <v>#REF!</v>
      </c>
      <c r="J2862" s="1644" t="e">
        <f t="shared" si="311"/>
        <v>#REF!</v>
      </c>
      <c r="K2862" s="1539"/>
      <c r="L2862" s="1539"/>
      <c r="M2862" s="1545"/>
      <c r="N2862" s="1545"/>
      <c r="O2862" s="1539"/>
      <c r="P2862" s="1539"/>
      <c r="Q2862" s="1539"/>
      <c r="R2862" s="1539"/>
      <c r="S2862" s="1539"/>
      <c r="T2862" s="1539"/>
      <c r="U2862" s="1539"/>
      <c r="V2862" s="1539"/>
      <c r="W2862" s="1539"/>
      <c r="X2862" s="1539"/>
      <c r="Y2862" s="1539"/>
      <c r="Z2862" s="1539"/>
      <c r="AA2862" s="1539"/>
      <c r="AB2862" s="1539"/>
      <c r="AC2862" s="1539"/>
      <c r="AD2862" s="1539"/>
      <c r="AE2862" s="1539"/>
      <c r="AF2862" s="1539"/>
      <c r="AG2862" s="1539"/>
      <c r="AH2862" s="1539"/>
      <c r="AI2862" s="1539"/>
      <c r="AJ2862" s="1539"/>
      <c r="AK2862" s="1539"/>
      <c r="AL2862" s="1539"/>
      <c r="AM2862" s="1539"/>
      <c r="AN2862" s="1539"/>
      <c r="AO2862" s="1539"/>
      <c r="AP2862" s="1539"/>
      <c r="AQ2862" s="1539"/>
      <c r="AR2862" s="1539"/>
      <c r="AS2862" s="1539"/>
      <c r="AT2862" s="1539"/>
      <c r="AU2862" s="1539"/>
      <c r="AV2862" s="1539"/>
      <c r="AW2862" s="1539"/>
      <c r="AX2862" s="1539"/>
      <c r="AY2862" s="1539"/>
      <c r="AZ2862" s="1539"/>
      <c r="BA2862" s="1539"/>
      <c r="BB2862" s="1539"/>
      <c r="BC2862" s="1539"/>
      <c r="BD2862" s="1539"/>
      <c r="BE2862" s="1539"/>
      <c r="BF2862" s="1539"/>
      <c r="BG2862" s="1539"/>
      <c r="BH2862" s="1539"/>
      <c r="BI2862" s="1539"/>
      <c r="BJ2862" s="1539"/>
      <c r="BK2862" s="1539"/>
      <c r="BL2862" s="1539"/>
      <c r="BM2862" s="1539"/>
      <c r="BN2862" s="1539"/>
      <c r="BO2862" s="1539"/>
      <c r="BP2862" s="1539"/>
      <c r="BQ2862" s="1539"/>
      <c r="BR2862" s="1539"/>
      <c r="BS2862" s="1539"/>
      <c r="BT2862" s="1539"/>
      <c r="BU2862" s="1539"/>
      <c r="BV2862" s="1539"/>
      <c r="BW2862" s="1539"/>
      <c r="BX2862" s="1539"/>
      <c r="BY2862" s="1539"/>
      <c r="BZ2862" s="1539"/>
      <c r="CA2862" s="1539"/>
      <c r="CB2862" s="1539"/>
      <c r="CC2862" s="1539"/>
      <c r="CD2862" s="1539"/>
      <c r="CE2862" s="1539"/>
      <c r="CF2862" s="1539"/>
      <c r="CG2862" s="1539"/>
      <c r="CH2862" s="1539"/>
      <c r="CI2862" s="1539"/>
      <c r="CJ2862" s="1539"/>
      <c r="CK2862" s="1539"/>
      <c r="CL2862" s="1539"/>
      <c r="CM2862" s="1539"/>
      <c r="CN2862" s="1539"/>
      <c r="CO2862" s="1539"/>
    </row>
    <row r="2863" spans="1:93" ht="15.5">
      <c r="A2863" s="1598">
        <v>74.504000000000005</v>
      </c>
      <c r="B2863" s="1599" t="s">
        <v>3063</v>
      </c>
      <c r="C2863" s="1643" t="e">
        <f>+SUMIF(#REF!,Final!A2863,#REF!)</f>
        <v>#REF!</v>
      </c>
      <c r="D2863" s="1597" t="e">
        <f>+SUMIF(#REF!,Final!A2863,#REF!)</f>
        <v>#REF!</v>
      </c>
      <c r="E2863" s="1643" t="e">
        <f>SUMIF(#REF!,Final!A2863,#REF!)</f>
        <v>#REF!</v>
      </c>
      <c r="F2863" s="1644" t="e">
        <f>SUMIF(#REF!,Final!A2863,#REF!)</f>
        <v>#REF!</v>
      </c>
      <c r="G2863" s="1597" t="e">
        <f t="shared" si="308"/>
        <v>#REF!</v>
      </c>
      <c r="H2863" s="1644" t="e">
        <f t="shared" si="309"/>
        <v>#REF!</v>
      </c>
      <c r="I2863" s="1597" t="e">
        <f t="shared" si="310"/>
        <v>#REF!</v>
      </c>
      <c r="J2863" s="1644" t="e">
        <f t="shared" si="311"/>
        <v>#REF!</v>
      </c>
      <c r="M2863" s="1545"/>
      <c r="N2863" s="1545"/>
    </row>
    <row r="2864" spans="1:93" ht="15.5">
      <c r="A2864" s="1598">
        <v>74.504999999999995</v>
      </c>
      <c r="B2864" s="1599" t="s">
        <v>3064</v>
      </c>
      <c r="C2864" s="1643" t="e">
        <f>+SUMIF(#REF!,Final!A2864,#REF!)</f>
        <v>#REF!</v>
      </c>
      <c r="D2864" s="1597" t="e">
        <f>+SUMIF(#REF!,Final!A2864,#REF!)</f>
        <v>#REF!</v>
      </c>
      <c r="E2864" s="1643" t="e">
        <f>SUMIF(#REF!,Final!A2864,#REF!)</f>
        <v>#REF!</v>
      </c>
      <c r="F2864" s="1644" t="e">
        <f>SUMIF(#REF!,Final!A2864,#REF!)</f>
        <v>#REF!</v>
      </c>
      <c r="G2864" s="1597" t="e">
        <f t="shared" si="308"/>
        <v>#REF!</v>
      </c>
      <c r="H2864" s="1644" t="e">
        <f t="shared" si="309"/>
        <v>#REF!</v>
      </c>
      <c r="I2864" s="1597" t="e">
        <f t="shared" si="310"/>
        <v>#REF!</v>
      </c>
      <c r="J2864" s="1644" t="e">
        <f t="shared" si="311"/>
        <v>#REF!</v>
      </c>
      <c r="M2864" s="1545"/>
      <c r="N2864" s="1545"/>
    </row>
    <row r="2865" spans="1:14" ht="15.5">
      <c r="A2865" s="1598">
        <v>74.506</v>
      </c>
      <c r="B2865" s="1599" t="s">
        <v>3065</v>
      </c>
      <c r="C2865" s="1643" t="e">
        <f>+SUMIF(#REF!,Final!A2865,#REF!)</f>
        <v>#REF!</v>
      </c>
      <c r="D2865" s="1597" t="e">
        <f>+SUMIF(#REF!,Final!A2865,#REF!)</f>
        <v>#REF!</v>
      </c>
      <c r="E2865" s="1643" t="e">
        <f>SUMIF(#REF!,Final!A2865,#REF!)</f>
        <v>#REF!</v>
      </c>
      <c r="F2865" s="1644" t="e">
        <f>SUMIF(#REF!,Final!A2865,#REF!)</f>
        <v>#REF!</v>
      </c>
      <c r="G2865" s="1597" t="e">
        <f t="shared" si="308"/>
        <v>#REF!</v>
      </c>
      <c r="H2865" s="1644" t="e">
        <f t="shared" si="309"/>
        <v>#REF!</v>
      </c>
      <c r="I2865" s="1597" t="e">
        <f t="shared" si="310"/>
        <v>#REF!</v>
      </c>
      <c r="J2865" s="1644" t="e">
        <f t="shared" si="311"/>
        <v>#REF!</v>
      </c>
      <c r="M2865" s="1545"/>
      <c r="N2865" s="1545"/>
    </row>
    <row r="2866" spans="1:14" ht="15.5">
      <c r="A2866" s="1598">
        <v>74.507000000000005</v>
      </c>
      <c r="B2866" s="1599" t="s">
        <v>3066</v>
      </c>
      <c r="C2866" s="1643" t="e">
        <f>+SUMIF(#REF!,Final!A2866,#REF!)</f>
        <v>#REF!</v>
      </c>
      <c r="D2866" s="1597" t="e">
        <f>+SUMIF(#REF!,Final!A2866,#REF!)</f>
        <v>#REF!</v>
      </c>
      <c r="E2866" s="1643" t="e">
        <f>SUMIF(#REF!,Final!A2866,#REF!)</f>
        <v>#REF!</v>
      </c>
      <c r="F2866" s="1644" t="e">
        <f>SUMIF(#REF!,Final!A2866,#REF!)</f>
        <v>#REF!</v>
      </c>
      <c r="G2866" s="1597" t="e">
        <f t="shared" si="308"/>
        <v>#REF!</v>
      </c>
      <c r="H2866" s="1644" t="e">
        <f t="shared" si="309"/>
        <v>#REF!</v>
      </c>
      <c r="I2866" s="1597" t="e">
        <f t="shared" si="310"/>
        <v>#REF!</v>
      </c>
      <c r="J2866" s="1644" t="e">
        <f t="shared" si="311"/>
        <v>#REF!</v>
      </c>
      <c r="M2866" s="1545"/>
      <c r="N2866" s="1545"/>
    </row>
    <row r="2867" spans="1:14" ht="15.5">
      <c r="A2867" s="1598">
        <v>74.507999999999996</v>
      </c>
      <c r="B2867" s="1599" t="s">
        <v>3067</v>
      </c>
      <c r="C2867" s="1643" t="e">
        <f>+SUMIF(#REF!,Final!A2867,#REF!)</f>
        <v>#REF!</v>
      </c>
      <c r="D2867" s="1597" t="e">
        <f>+SUMIF(#REF!,Final!A2867,#REF!)</f>
        <v>#REF!</v>
      </c>
      <c r="E2867" s="1643" t="e">
        <f>SUMIF(#REF!,Final!A2867,#REF!)</f>
        <v>#REF!</v>
      </c>
      <c r="F2867" s="1644" t="e">
        <f>SUMIF(#REF!,Final!A2867,#REF!)</f>
        <v>#REF!</v>
      </c>
      <c r="G2867" s="1597" t="e">
        <f t="shared" si="308"/>
        <v>#REF!</v>
      </c>
      <c r="H2867" s="1644" t="e">
        <f t="shared" si="309"/>
        <v>#REF!</v>
      </c>
      <c r="I2867" s="1597" t="e">
        <f t="shared" si="310"/>
        <v>#REF!</v>
      </c>
      <c r="J2867" s="1644" t="e">
        <f t="shared" si="311"/>
        <v>#REF!</v>
      </c>
      <c r="M2867" s="1545"/>
      <c r="N2867" s="1545"/>
    </row>
    <row r="2868" spans="1:14" ht="15.5">
      <c r="A2868" s="1598">
        <v>74.509</v>
      </c>
      <c r="B2868" s="1599" t="s">
        <v>3068</v>
      </c>
      <c r="C2868" s="1643" t="e">
        <f>+SUMIF(#REF!,Final!A2868,#REF!)</f>
        <v>#REF!</v>
      </c>
      <c r="D2868" s="1597" t="e">
        <f>+SUMIF(#REF!,Final!A2868,#REF!)</f>
        <v>#REF!</v>
      </c>
      <c r="E2868" s="1643" t="e">
        <f>SUMIF(#REF!,Final!A2868,#REF!)</f>
        <v>#REF!</v>
      </c>
      <c r="F2868" s="1644" t="e">
        <f>SUMIF(#REF!,Final!A2868,#REF!)</f>
        <v>#REF!</v>
      </c>
      <c r="G2868" s="1597" t="e">
        <f t="shared" si="308"/>
        <v>#REF!</v>
      </c>
      <c r="H2868" s="1644" t="e">
        <f t="shared" si="309"/>
        <v>#REF!</v>
      </c>
      <c r="I2868" s="1597" t="e">
        <f t="shared" si="310"/>
        <v>#REF!</v>
      </c>
      <c r="J2868" s="1644" t="e">
        <f t="shared" si="311"/>
        <v>#REF!</v>
      </c>
      <c r="M2868" s="1545"/>
      <c r="N2868" s="1545"/>
    </row>
    <row r="2869" spans="1:14" ht="15.5">
      <c r="A2869" s="1598">
        <v>74.510000000000005</v>
      </c>
      <c r="B2869" s="1599" t="s">
        <v>3069</v>
      </c>
      <c r="C2869" s="1643" t="e">
        <f>+SUMIF(#REF!,Final!A2869,#REF!)</f>
        <v>#REF!</v>
      </c>
      <c r="D2869" s="1597" t="e">
        <f>+SUMIF(#REF!,Final!A2869,#REF!)</f>
        <v>#REF!</v>
      </c>
      <c r="E2869" s="1643" t="e">
        <f>SUMIF(#REF!,Final!A2869,#REF!)</f>
        <v>#REF!</v>
      </c>
      <c r="F2869" s="1644" t="e">
        <f>SUMIF(#REF!,Final!A2869,#REF!)</f>
        <v>#REF!</v>
      </c>
      <c r="G2869" s="1597" t="e">
        <f t="shared" si="308"/>
        <v>#REF!</v>
      </c>
      <c r="H2869" s="1644" t="e">
        <f t="shared" si="309"/>
        <v>#REF!</v>
      </c>
      <c r="I2869" s="1597" t="e">
        <f t="shared" si="310"/>
        <v>#REF!</v>
      </c>
      <c r="J2869" s="1644" t="e">
        <f t="shared" si="311"/>
        <v>#REF!</v>
      </c>
      <c r="M2869" s="1545"/>
      <c r="N2869" s="1545"/>
    </row>
    <row r="2870" spans="1:14" ht="15.5">
      <c r="A2870" s="1598">
        <v>74.510999999999996</v>
      </c>
      <c r="B2870" s="1599" t="s">
        <v>3070</v>
      </c>
      <c r="C2870" s="1643" t="e">
        <f>+SUMIF(#REF!,Final!A2870,#REF!)</f>
        <v>#REF!</v>
      </c>
      <c r="D2870" s="1597" t="e">
        <f>+SUMIF(#REF!,Final!A2870,#REF!)</f>
        <v>#REF!</v>
      </c>
      <c r="E2870" s="1643" t="e">
        <f>SUMIF(#REF!,Final!A2870,#REF!)</f>
        <v>#REF!</v>
      </c>
      <c r="F2870" s="1644" t="e">
        <f>SUMIF(#REF!,Final!A2870,#REF!)</f>
        <v>#REF!</v>
      </c>
      <c r="G2870" s="1597" t="e">
        <f t="shared" si="308"/>
        <v>#REF!</v>
      </c>
      <c r="H2870" s="1644" t="e">
        <f t="shared" si="309"/>
        <v>#REF!</v>
      </c>
      <c r="I2870" s="1597" t="e">
        <f t="shared" si="310"/>
        <v>#REF!</v>
      </c>
      <c r="J2870" s="1644" t="e">
        <f t="shared" si="311"/>
        <v>#REF!</v>
      </c>
      <c r="M2870" s="1545"/>
      <c r="N2870" s="1545"/>
    </row>
    <row r="2871" spans="1:14" ht="15.5">
      <c r="A2871" s="1598">
        <v>74.512</v>
      </c>
      <c r="B2871" s="1599" t="s">
        <v>3071</v>
      </c>
      <c r="C2871" s="1643" t="e">
        <f>+SUMIF(#REF!,Final!A2871,#REF!)</f>
        <v>#REF!</v>
      </c>
      <c r="D2871" s="1597" t="e">
        <f>+SUMIF(#REF!,Final!A2871,#REF!)</f>
        <v>#REF!</v>
      </c>
      <c r="E2871" s="1643" t="e">
        <f>SUMIF(#REF!,Final!A2871,#REF!)</f>
        <v>#REF!</v>
      </c>
      <c r="F2871" s="1644" t="e">
        <f>SUMIF(#REF!,Final!A2871,#REF!)</f>
        <v>#REF!</v>
      </c>
      <c r="G2871" s="1597" t="e">
        <f t="shared" si="308"/>
        <v>#REF!</v>
      </c>
      <c r="H2871" s="1644" t="e">
        <f t="shared" si="309"/>
        <v>#REF!</v>
      </c>
      <c r="I2871" s="1597" t="e">
        <f t="shared" si="310"/>
        <v>#REF!</v>
      </c>
      <c r="J2871" s="1644" t="e">
        <f t="shared" si="311"/>
        <v>#REF!</v>
      </c>
      <c r="M2871" s="1545"/>
      <c r="N2871" s="1545"/>
    </row>
    <row r="2872" spans="1:14" ht="15.5">
      <c r="A2872" s="1598">
        <v>74.519000000000005</v>
      </c>
      <c r="B2872" s="1599" t="s">
        <v>3072</v>
      </c>
      <c r="C2872" s="1643" t="e">
        <f>+SUMIF(#REF!,Final!A2872,#REF!)</f>
        <v>#REF!</v>
      </c>
      <c r="D2872" s="1597" t="e">
        <f>+SUMIF(#REF!,Final!A2872,#REF!)</f>
        <v>#REF!</v>
      </c>
      <c r="E2872" s="1643" t="e">
        <f>SUMIF(#REF!,Final!A2872,#REF!)</f>
        <v>#REF!</v>
      </c>
      <c r="F2872" s="1644" t="e">
        <f>SUMIF(#REF!,Final!A2872,#REF!)</f>
        <v>#REF!</v>
      </c>
      <c r="G2872" s="1597" t="e">
        <f t="shared" si="308"/>
        <v>#REF!</v>
      </c>
      <c r="H2872" s="1644" t="e">
        <f t="shared" si="309"/>
        <v>#REF!</v>
      </c>
      <c r="I2872" s="1597" t="e">
        <f t="shared" si="310"/>
        <v>#REF!</v>
      </c>
      <c r="J2872" s="1644" t="e">
        <f t="shared" si="311"/>
        <v>#REF!</v>
      </c>
      <c r="M2872" s="1545"/>
      <c r="N2872" s="1545"/>
    </row>
    <row r="2873" spans="1:14" ht="15.5">
      <c r="A2873" s="1598">
        <v>74.521000000000001</v>
      </c>
      <c r="B2873" s="1599" t="s">
        <v>3073</v>
      </c>
      <c r="C2873" s="1643" t="e">
        <f>+SUMIF(#REF!,Final!A2873,#REF!)</f>
        <v>#REF!</v>
      </c>
      <c r="D2873" s="1597" t="e">
        <f>+SUMIF(#REF!,Final!A2873,#REF!)</f>
        <v>#REF!</v>
      </c>
      <c r="E2873" s="1643" t="e">
        <f>SUMIF(#REF!,Final!A2873,#REF!)</f>
        <v>#REF!</v>
      </c>
      <c r="F2873" s="1644" t="e">
        <f>SUMIF(#REF!,Final!A2873,#REF!)</f>
        <v>#REF!</v>
      </c>
      <c r="G2873" s="1597" t="e">
        <f t="shared" si="308"/>
        <v>#REF!</v>
      </c>
      <c r="H2873" s="1644" t="e">
        <f t="shared" si="309"/>
        <v>#REF!</v>
      </c>
      <c r="I2873" s="1597" t="e">
        <f t="shared" si="310"/>
        <v>#REF!</v>
      </c>
      <c r="J2873" s="1644" t="e">
        <f t="shared" si="311"/>
        <v>#REF!</v>
      </c>
      <c r="M2873" s="1545"/>
      <c r="N2873" s="1545"/>
    </row>
    <row r="2874" spans="1:14" ht="15.5">
      <c r="A2874" s="1598">
        <v>74.525000000000006</v>
      </c>
      <c r="B2874" s="1599" t="s">
        <v>3074</v>
      </c>
      <c r="C2874" s="1643" t="e">
        <f>+SUMIF(#REF!,Final!A2874,#REF!)</f>
        <v>#REF!</v>
      </c>
      <c r="D2874" s="1597" t="e">
        <f>+SUMIF(#REF!,Final!A2874,#REF!)</f>
        <v>#REF!</v>
      </c>
      <c r="E2874" s="1643" t="e">
        <f>SUMIF(#REF!,Final!A2874,#REF!)</f>
        <v>#REF!</v>
      </c>
      <c r="F2874" s="1644" t="e">
        <f>SUMIF(#REF!,Final!A2874,#REF!)</f>
        <v>#REF!</v>
      </c>
      <c r="G2874" s="1597" t="e">
        <f t="shared" si="308"/>
        <v>#REF!</v>
      </c>
      <c r="H2874" s="1644" t="e">
        <f t="shared" si="309"/>
        <v>#REF!</v>
      </c>
      <c r="I2874" s="1597" t="e">
        <f t="shared" si="310"/>
        <v>#REF!</v>
      </c>
      <c r="J2874" s="1644" t="e">
        <f t="shared" si="311"/>
        <v>#REF!</v>
      </c>
      <c r="M2874" s="1545"/>
      <c r="N2874" s="1545"/>
    </row>
    <row r="2875" spans="1:14" ht="15.5">
      <c r="A2875" s="1598">
        <v>74.528000000000006</v>
      </c>
      <c r="B2875" s="1599" t="s">
        <v>3075</v>
      </c>
      <c r="C2875" s="1643" t="e">
        <f>+SUMIF(#REF!,Final!A2875,#REF!)</f>
        <v>#REF!</v>
      </c>
      <c r="D2875" s="1597" t="e">
        <f>+SUMIF(#REF!,Final!A2875,#REF!)</f>
        <v>#REF!</v>
      </c>
      <c r="E2875" s="1643" t="e">
        <f>SUMIF(#REF!,Final!A2875,#REF!)</f>
        <v>#REF!</v>
      </c>
      <c r="F2875" s="1644" t="e">
        <f>SUMIF(#REF!,Final!A2875,#REF!)</f>
        <v>#REF!</v>
      </c>
      <c r="G2875" s="1597" t="e">
        <f t="shared" si="308"/>
        <v>#REF!</v>
      </c>
      <c r="H2875" s="1644" t="e">
        <f t="shared" si="309"/>
        <v>#REF!</v>
      </c>
      <c r="I2875" s="1597" t="e">
        <f t="shared" si="310"/>
        <v>#REF!</v>
      </c>
      <c r="J2875" s="1644" t="e">
        <f t="shared" si="311"/>
        <v>#REF!</v>
      </c>
      <c r="M2875" s="1545"/>
      <c r="N2875" s="1545"/>
    </row>
    <row r="2876" spans="1:14" ht="15.5">
      <c r="A2876" s="1598">
        <v>74.528999999999996</v>
      </c>
      <c r="B2876" s="1599" t="s">
        <v>3076</v>
      </c>
      <c r="C2876" s="1643" t="e">
        <f>+SUMIF(#REF!,Final!A2876,#REF!)</f>
        <v>#REF!</v>
      </c>
      <c r="D2876" s="1597" t="e">
        <f>+SUMIF(#REF!,Final!A2876,#REF!)</f>
        <v>#REF!</v>
      </c>
      <c r="E2876" s="1643" t="e">
        <f>SUMIF(#REF!,Final!A2876,#REF!)</f>
        <v>#REF!</v>
      </c>
      <c r="F2876" s="1644" t="e">
        <f>SUMIF(#REF!,Final!A2876,#REF!)</f>
        <v>#REF!</v>
      </c>
      <c r="G2876" s="1597" t="e">
        <f t="shared" si="308"/>
        <v>#REF!</v>
      </c>
      <c r="H2876" s="1644" t="e">
        <f t="shared" si="309"/>
        <v>#REF!</v>
      </c>
      <c r="I2876" s="1597" t="e">
        <f t="shared" si="310"/>
        <v>#REF!</v>
      </c>
      <c r="J2876" s="1644" t="e">
        <f t="shared" si="311"/>
        <v>#REF!</v>
      </c>
      <c r="M2876" s="1545"/>
      <c r="N2876" s="1545"/>
    </row>
    <row r="2877" spans="1:14" ht="15.5">
      <c r="A2877" s="1598">
        <v>74.53</v>
      </c>
      <c r="B2877" s="1599" t="s">
        <v>3077</v>
      </c>
      <c r="C2877" s="1643" t="e">
        <f>+SUMIF(#REF!,Final!A2877,#REF!)</f>
        <v>#REF!</v>
      </c>
      <c r="D2877" s="1597" t="e">
        <f>+SUMIF(#REF!,Final!A2877,#REF!)</f>
        <v>#REF!</v>
      </c>
      <c r="E2877" s="1643" t="e">
        <f>SUMIF(#REF!,Final!A2877,#REF!)</f>
        <v>#REF!</v>
      </c>
      <c r="F2877" s="1644" t="e">
        <f>SUMIF(#REF!,Final!A2877,#REF!)</f>
        <v>#REF!</v>
      </c>
      <c r="G2877" s="1597" t="e">
        <f t="shared" si="308"/>
        <v>#REF!</v>
      </c>
      <c r="H2877" s="1644" t="e">
        <f t="shared" si="309"/>
        <v>#REF!</v>
      </c>
      <c r="I2877" s="1597" t="e">
        <f t="shared" si="310"/>
        <v>#REF!</v>
      </c>
      <c r="J2877" s="1644" t="e">
        <f t="shared" si="311"/>
        <v>#REF!</v>
      </c>
      <c r="M2877" s="1545"/>
      <c r="N2877" s="1545"/>
    </row>
    <row r="2878" spans="1:14" ht="15.5">
      <c r="A2878" s="1598">
        <v>74.531999999999996</v>
      </c>
      <c r="B2878" s="1599" t="s">
        <v>3078</v>
      </c>
      <c r="C2878" s="1643" t="e">
        <f>+SUMIF(#REF!,Final!A2878,#REF!)</f>
        <v>#REF!</v>
      </c>
      <c r="D2878" s="1597" t="e">
        <f>+SUMIF(#REF!,Final!A2878,#REF!)</f>
        <v>#REF!</v>
      </c>
      <c r="E2878" s="1643" t="e">
        <f>SUMIF(#REF!,Final!A2878,#REF!)</f>
        <v>#REF!</v>
      </c>
      <c r="F2878" s="1644" t="e">
        <f>SUMIF(#REF!,Final!A2878,#REF!)</f>
        <v>#REF!</v>
      </c>
      <c r="G2878" s="1597" t="e">
        <f t="shared" si="308"/>
        <v>#REF!</v>
      </c>
      <c r="H2878" s="1644" t="e">
        <f t="shared" si="309"/>
        <v>#REF!</v>
      </c>
      <c r="I2878" s="1597" t="e">
        <f t="shared" si="310"/>
        <v>#REF!</v>
      </c>
      <c r="J2878" s="1644" t="e">
        <f t="shared" si="311"/>
        <v>#REF!</v>
      </c>
      <c r="M2878" s="1545"/>
      <c r="N2878" s="1545"/>
    </row>
    <row r="2879" spans="1:14" ht="15.5">
      <c r="A2879" s="1598">
        <v>74.533000000000001</v>
      </c>
      <c r="B2879" s="1599" t="s">
        <v>3079</v>
      </c>
      <c r="C2879" s="1643" t="e">
        <f>+SUMIF(#REF!,Final!A2879,#REF!)</f>
        <v>#REF!</v>
      </c>
      <c r="D2879" s="1597" t="e">
        <f>+SUMIF(#REF!,Final!A2879,#REF!)</f>
        <v>#REF!</v>
      </c>
      <c r="E2879" s="1643" t="e">
        <f>SUMIF(#REF!,Final!A2879,#REF!)</f>
        <v>#REF!</v>
      </c>
      <c r="F2879" s="1644" t="e">
        <f>SUMIF(#REF!,Final!A2879,#REF!)</f>
        <v>#REF!</v>
      </c>
      <c r="G2879" s="1597" t="e">
        <f t="shared" si="308"/>
        <v>#REF!</v>
      </c>
      <c r="H2879" s="1644" t="e">
        <f t="shared" si="309"/>
        <v>#REF!</v>
      </c>
      <c r="I2879" s="1597" t="e">
        <f t="shared" si="310"/>
        <v>#REF!</v>
      </c>
      <c r="J2879" s="1644" t="e">
        <f t="shared" si="311"/>
        <v>#REF!</v>
      </c>
      <c r="M2879" s="1545"/>
      <c r="N2879" s="1545"/>
    </row>
    <row r="2880" spans="1:14" ht="15.5">
      <c r="A2880" s="1598">
        <v>74.534000000000006</v>
      </c>
      <c r="B2880" s="1599" t="s">
        <v>3080</v>
      </c>
      <c r="C2880" s="1643" t="e">
        <f>+SUMIF(#REF!,Final!A2880,#REF!)</f>
        <v>#REF!</v>
      </c>
      <c r="D2880" s="1597" t="e">
        <f>+SUMIF(#REF!,Final!A2880,#REF!)</f>
        <v>#REF!</v>
      </c>
      <c r="E2880" s="1643" t="e">
        <f>SUMIF(#REF!,Final!A2880,#REF!)</f>
        <v>#REF!</v>
      </c>
      <c r="F2880" s="1644" t="e">
        <f>SUMIF(#REF!,Final!A2880,#REF!)</f>
        <v>#REF!</v>
      </c>
      <c r="G2880" s="1597" t="e">
        <f t="shared" si="308"/>
        <v>#REF!</v>
      </c>
      <c r="H2880" s="1644" t="e">
        <f t="shared" si="309"/>
        <v>#REF!</v>
      </c>
      <c r="I2880" s="1597" t="e">
        <f t="shared" si="310"/>
        <v>#REF!</v>
      </c>
      <c r="J2880" s="1644" t="e">
        <f t="shared" si="311"/>
        <v>#REF!</v>
      </c>
      <c r="M2880" s="1545"/>
      <c r="N2880" s="1545"/>
    </row>
    <row r="2881" spans="1:93" s="1542" customFormat="1" ht="15.5">
      <c r="A2881" s="1598">
        <v>74.534999999999997</v>
      </c>
      <c r="B2881" s="1599" t="s">
        <v>3081</v>
      </c>
      <c r="C2881" s="1643" t="e">
        <f>+SUMIF(#REF!,Final!A2881,#REF!)</f>
        <v>#REF!</v>
      </c>
      <c r="D2881" s="1597" t="e">
        <f>+SUMIF(#REF!,Final!A2881,#REF!)</f>
        <v>#REF!</v>
      </c>
      <c r="E2881" s="1643" t="e">
        <f>SUMIF(#REF!,Final!A2881,#REF!)</f>
        <v>#REF!</v>
      </c>
      <c r="F2881" s="1644" t="e">
        <f>SUMIF(#REF!,Final!A2881,#REF!)</f>
        <v>#REF!</v>
      </c>
      <c r="G2881" s="1597" t="e">
        <f t="shared" si="308"/>
        <v>#REF!</v>
      </c>
      <c r="H2881" s="1644" t="e">
        <f t="shared" si="309"/>
        <v>#REF!</v>
      </c>
      <c r="I2881" s="1597" t="e">
        <f t="shared" si="310"/>
        <v>#REF!</v>
      </c>
      <c r="J2881" s="1644" t="e">
        <f t="shared" si="311"/>
        <v>#REF!</v>
      </c>
      <c r="K2881" s="1539"/>
      <c r="L2881" s="1539"/>
      <c r="M2881" s="1545"/>
      <c r="N2881" s="1545"/>
      <c r="O2881" s="1539"/>
      <c r="P2881" s="1539"/>
      <c r="Q2881" s="1539"/>
      <c r="R2881" s="1539"/>
      <c r="S2881" s="1539"/>
      <c r="T2881" s="1539"/>
      <c r="U2881" s="1539"/>
      <c r="V2881" s="1539"/>
      <c r="W2881" s="1539"/>
      <c r="X2881" s="1539"/>
      <c r="Y2881" s="1539"/>
      <c r="Z2881" s="1539"/>
      <c r="AA2881" s="1539"/>
      <c r="AB2881" s="1539"/>
      <c r="AC2881" s="1539"/>
      <c r="AD2881" s="1539"/>
      <c r="AE2881" s="1539"/>
      <c r="AF2881" s="1539"/>
      <c r="AG2881" s="1539"/>
      <c r="AH2881" s="1539"/>
      <c r="AI2881" s="1539"/>
      <c r="AJ2881" s="1539"/>
      <c r="AK2881" s="1539"/>
      <c r="AL2881" s="1539"/>
      <c r="AM2881" s="1539"/>
      <c r="AN2881" s="1539"/>
      <c r="AO2881" s="1539"/>
      <c r="AP2881" s="1539"/>
      <c r="AQ2881" s="1539"/>
      <c r="AR2881" s="1539"/>
      <c r="AS2881" s="1539"/>
      <c r="AT2881" s="1539"/>
      <c r="AU2881" s="1539"/>
      <c r="AV2881" s="1539"/>
      <c r="AW2881" s="1539"/>
      <c r="AX2881" s="1539"/>
      <c r="AY2881" s="1539"/>
      <c r="AZ2881" s="1539"/>
      <c r="BA2881" s="1539"/>
      <c r="BB2881" s="1539"/>
      <c r="BC2881" s="1539"/>
      <c r="BD2881" s="1539"/>
      <c r="BE2881" s="1539"/>
      <c r="BF2881" s="1539"/>
      <c r="BG2881" s="1539"/>
      <c r="BH2881" s="1539"/>
      <c r="BI2881" s="1539"/>
      <c r="BJ2881" s="1539"/>
      <c r="BK2881" s="1539"/>
      <c r="BL2881" s="1539"/>
      <c r="BM2881" s="1539"/>
      <c r="BN2881" s="1539"/>
      <c r="BO2881" s="1539"/>
      <c r="BP2881" s="1539"/>
      <c r="BQ2881" s="1539"/>
      <c r="BR2881" s="1539"/>
      <c r="BS2881" s="1539"/>
      <c r="BT2881" s="1539"/>
      <c r="BU2881" s="1539"/>
      <c r="BV2881" s="1539"/>
      <c r="BW2881" s="1539"/>
      <c r="BX2881" s="1539"/>
      <c r="BY2881" s="1539"/>
      <c r="BZ2881" s="1539"/>
      <c r="CA2881" s="1539"/>
      <c r="CB2881" s="1539"/>
      <c r="CC2881" s="1539"/>
      <c r="CD2881" s="1539"/>
      <c r="CE2881" s="1539"/>
      <c r="CF2881" s="1539"/>
      <c r="CG2881" s="1539"/>
      <c r="CH2881" s="1539"/>
      <c r="CI2881" s="1539"/>
      <c r="CJ2881" s="1539"/>
      <c r="CK2881" s="1539"/>
      <c r="CL2881" s="1539"/>
      <c r="CM2881" s="1539"/>
      <c r="CN2881" s="1539"/>
      <c r="CO2881" s="1539"/>
    </row>
    <row r="2882" spans="1:93" ht="15.5">
      <c r="A2882" s="1598">
        <v>74.536000000000001</v>
      </c>
      <c r="B2882" s="1599" t="s">
        <v>3082</v>
      </c>
      <c r="C2882" s="1643" t="e">
        <f>+SUMIF(#REF!,Final!A2882,#REF!)</f>
        <v>#REF!</v>
      </c>
      <c r="D2882" s="1597" t="e">
        <f>+SUMIF(#REF!,Final!A2882,#REF!)</f>
        <v>#REF!</v>
      </c>
      <c r="E2882" s="1643" t="e">
        <f>SUMIF(#REF!,Final!A2882,#REF!)</f>
        <v>#REF!</v>
      </c>
      <c r="F2882" s="1644" t="e">
        <f>SUMIF(#REF!,Final!A2882,#REF!)</f>
        <v>#REF!</v>
      </c>
      <c r="G2882" s="1597" t="e">
        <f t="shared" si="308"/>
        <v>#REF!</v>
      </c>
      <c r="H2882" s="1644" t="e">
        <f t="shared" si="309"/>
        <v>#REF!</v>
      </c>
      <c r="I2882" s="1597" t="e">
        <f t="shared" si="310"/>
        <v>#REF!</v>
      </c>
      <c r="J2882" s="1644" t="e">
        <f t="shared" si="311"/>
        <v>#REF!</v>
      </c>
      <c r="M2882" s="1545"/>
      <c r="N2882" s="1545"/>
    </row>
    <row r="2883" spans="1:93" ht="15.5">
      <c r="A2883" s="1598">
        <v>74.540000000000006</v>
      </c>
      <c r="B2883" s="1599" t="s">
        <v>3083</v>
      </c>
      <c r="C2883" s="1643" t="e">
        <f>+SUMIF(#REF!,Final!A2883,#REF!)</f>
        <v>#REF!</v>
      </c>
      <c r="D2883" s="1597" t="e">
        <f>+SUMIF(#REF!,Final!A2883,#REF!)</f>
        <v>#REF!</v>
      </c>
      <c r="E2883" s="1643" t="e">
        <f>SUMIF(#REF!,Final!A2883,#REF!)</f>
        <v>#REF!</v>
      </c>
      <c r="F2883" s="1644" t="e">
        <f>SUMIF(#REF!,Final!A2883,#REF!)</f>
        <v>#REF!</v>
      </c>
      <c r="G2883" s="1597" t="e">
        <f t="shared" si="308"/>
        <v>#REF!</v>
      </c>
      <c r="H2883" s="1644" t="e">
        <f t="shared" si="309"/>
        <v>#REF!</v>
      </c>
      <c r="I2883" s="1597" t="e">
        <f t="shared" si="310"/>
        <v>#REF!</v>
      </c>
      <c r="J2883" s="1644" t="e">
        <f t="shared" si="311"/>
        <v>#REF!</v>
      </c>
      <c r="M2883" s="1545"/>
      <c r="N2883" s="1545"/>
    </row>
    <row r="2884" spans="1:93" ht="15.5">
      <c r="A2884" s="1598">
        <v>74.540999999999997</v>
      </c>
      <c r="B2884" s="1599" t="s">
        <v>3084</v>
      </c>
      <c r="C2884" s="1643" t="e">
        <f>+SUMIF(#REF!,Final!A2884,#REF!)</f>
        <v>#REF!</v>
      </c>
      <c r="D2884" s="1597" t="e">
        <f>+SUMIF(#REF!,Final!A2884,#REF!)</f>
        <v>#REF!</v>
      </c>
      <c r="E2884" s="1643" t="e">
        <f>SUMIF(#REF!,Final!A2884,#REF!)</f>
        <v>#REF!</v>
      </c>
      <c r="F2884" s="1644" t="e">
        <f>SUMIF(#REF!,Final!A2884,#REF!)</f>
        <v>#REF!</v>
      </c>
      <c r="G2884" s="1597" t="e">
        <f t="shared" si="308"/>
        <v>#REF!</v>
      </c>
      <c r="H2884" s="1644" t="e">
        <f t="shared" si="309"/>
        <v>#REF!</v>
      </c>
      <c r="I2884" s="1597" t="e">
        <f t="shared" si="310"/>
        <v>#REF!</v>
      </c>
      <c r="J2884" s="1644" t="e">
        <f t="shared" si="311"/>
        <v>#REF!</v>
      </c>
      <c r="M2884" s="1545"/>
      <c r="N2884" s="1545"/>
    </row>
    <row r="2885" spans="1:93" ht="15.5">
      <c r="A2885" s="1598">
        <v>74.542000000000002</v>
      </c>
      <c r="B2885" s="1599" t="s">
        <v>3085</v>
      </c>
      <c r="C2885" s="1643" t="e">
        <f>+SUMIF(#REF!,Final!A2885,#REF!)</f>
        <v>#REF!</v>
      </c>
      <c r="D2885" s="1597" t="e">
        <f>+SUMIF(#REF!,Final!A2885,#REF!)</f>
        <v>#REF!</v>
      </c>
      <c r="E2885" s="1643" t="e">
        <f>SUMIF(#REF!,Final!A2885,#REF!)</f>
        <v>#REF!</v>
      </c>
      <c r="F2885" s="1644" t="e">
        <f>SUMIF(#REF!,Final!A2885,#REF!)</f>
        <v>#REF!</v>
      </c>
      <c r="G2885" s="1597" t="e">
        <f t="shared" si="308"/>
        <v>#REF!</v>
      </c>
      <c r="H2885" s="1644" t="e">
        <f t="shared" si="309"/>
        <v>#REF!</v>
      </c>
      <c r="I2885" s="1597" t="e">
        <f t="shared" si="310"/>
        <v>#REF!</v>
      </c>
      <c r="J2885" s="1644" t="e">
        <f t="shared" si="311"/>
        <v>#REF!</v>
      </c>
      <c r="M2885" s="1545"/>
      <c r="N2885" s="1545"/>
    </row>
    <row r="2886" spans="1:93" ht="15.5">
      <c r="A2886" s="1598">
        <v>74.543000000000006</v>
      </c>
      <c r="B2886" s="1599" t="s">
        <v>4715</v>
      </c>
      <c r="C2886" s="1643" t="e">
        <f>+SUMIF(#REF!,Final!A2886,#REF!)</f>
        <v>#REF!</v>
      </c>
      <c r="D2886" s="1597" t="e">
        <f>+SUMIF(#REF!,Final!A2886,#REF!)</f>
        <v>#REF!</v>
      </c>
      <c r="E2886" s="1643" t="e">
        <f>SUMIF(#REF!,Final!A2886,#REF!)</f>
        <v>#REF!</v>
      </c>
      <c r="F2886" s="1644" t="e">
        <f>SUMIF(#REF!,Final!A2886,#REF!)</f>
        <v>#REF!</v>
      </c>
      <c r="G2886" s="1597" t="e">
        <f t="shared" si="308"/>
        <v>#REF!</v>
      </c>
      <c r="H2886" s="1644" t="e">
        <f t="shared" si="309"/>
        <v>#REF!</v>
      </c>
      <c r="I2886" s="1597" t="e">
        <f t="shared" si="310"/>
        <v>#REF!</v>
      </c>
      <c r="J2886" s="1644" t="e">
        <f t="shared" si="311"/>
        <v>#REF!</v>
      </c>
      <c r="M2886" s="1545"/>
      <c r="N2886" s="1545"/>
    </row>
    <row r="2887" spans="1:93" ht="15.5">
      <c r="A2887" s="1598">
        <v>74.543999999999997</v>
      </c>
      <c r="B2887" s="1599" t="s">
        <v>4787</v>
      </c>
      <c r="C2887" s="1643" t="e">
        <f>+SUMIF(#REF!,Final!A2887,#REF!)</f>
        <v>#REF!</v>
      </c>
      <c r="D2887" s="1597" t="e">
        <f>+SUMIF(#REF!,Final!A2887,#REF!)</f>
        <v>#REF!</v>
      </c>
      <c r="E2887" s="1643" t="e">
        <f>SUMIF(#REF!,Final!A2887,#REF!)</f>
        <v>#REF!</v>
      </c>
      <c r="F2887" s="1644" t="e">
        <f>SUMIF(#REF!,Final!A2887,#REF!)</f>
        <v>#REF!</v>
      </c>
      <c r="G2887" s="1597" t="e">
        <f t="shared" si="308"/>
        <v>#REF!</v>
      </c>
      <c r="H2887" s="1644" t="e">
        <f t="shared" si="309"/>
        <v>#REF!</v>
      </c>
      <c r="I2887" s="1597" t="e">
        <f t="shared" si="310"/>
        <v>#REF!</v>
      </c>
      <c r="J2887" s="1644" t="e">
        <f t="shared" si="311"/>
        <v>#REF!</v>
      </c>
      <c r="M2887" s="1545"/>
      <c r="N2887" s="1545"/>
    </row>
    <row r="2888" spans="1:93" ht="15.5">
      <c r="A2888" s="1598">
        <v>74.58</v>
      </c>
      <c r="B2888" s="1599" t="s">
        <v>4573</v>
      </c>
      <c r="C2888" s="1643" t="e">
        <f>+SUMIF(#REF!,Final!A2888,#REF!)</f>
        <v>#REF!</v>
      </c>
      <c r="D2888" s="1597" t="e">
        <f>+SUMIF(#REF!,Final!A2888,#REF!)</f>
        <v>#REF!</v>
      </c>
      <c r="E2888" s="1643" t="e">
        <f>SUMIF(#REF!,Final!A2888,#REF!)</f>
        <v>#REF!</v>
      </c>
      <c r="F2888" s="1644" t="e">
        <f>SUMIF(#REF!,Final!A2888,#REF!)</f>
        <v>#REF!</v>
      </c>
      <c r="G2888" s="1597" t="e">
        <f t="shared" si="308"/>
        <v>#REF!</v>
      </c>
      <c r="H2888" s="1644" t="e">
        <f t="shared" si="309"/>
        <v>#REF!</v>
      </c>
      <c r="I2888" s="1597" t="e">
        <f t="shared" si="310"/>
        <v>#REF!</v>
      </c>
      <c r="J2888" s="1644" t="e">
        <f t="shared" si="311"/>
        <v>#REF!</v>
      </c>
      <c r="M2888" s="1545"/>
      <c r="N2888" s="1545"/>
    </row>
    <row r="2889" spans="1:93" ht="15.5">
      <c r="A2889" s="1598">
        <v>74.581000000000003</v>
      </c>
      <c r="B2889" s="1599" t="s">
        <v>4574</v>
      </c>
      <c r="C2889" s="1643" t="e">
        <f>+SUMIF(#REF!,Final!A2889,#REF!)</f>
        <v>#REF!</v>
      </c>
      <c r="D2889" s="1597" t="e">
        <f>+SUMIF(#REF!,Final!A2889,#REF!)</f>
        <v>#REF!</v>
      </c>
      <c r="E2889" s="1643" t="e">
        <f>SUMIF(#REF!,Final!A2889,#REF!)</f>
        <v>#REF!</v>
      </c>
      <c r="F2889" s="1644" t="e">
        <f>SUMIF(#REF!,Final!A2889,#REF!)</f>
        <v>#REF!</v>
      </c>
      <c r="G2889" s="1597" t="e">
        <f t="shared" si="308"/>
        <v>#REF!</v>
      </c>
      <c r="H2889" s="1644" t="e">
        <f t="shared" si="309"/>
        <v>#REF!</v>
      </c>
      <c r="I2889" s="1597" t="e">
        <f t="shared" si="310"/>
        <v>#REF!</v>
      </c>
      <c r="J2889" s="1644" t="e">
        <f t="shared" si="311"/>
        <v>#REF!</v>
      </c>
      <c r="M2889" s="1545"/>
      <c r="N2889" s="1545"/>
    </row>
    <row r="2890" spans="1:93" ht="15.5">
      <c r="A2890" s="1598">
        <v>74.581999999999994</v>
      </c>
      <c r="B2890" s="1599" t="s">
        <v>4575</v>
      </c>
      <c r="C2890" s="1643" t="e">
        <f>+SUMIF(#REF!,Final!A2890,#REF!)</f>
        <v>#REF!</v>
      </c>
      <c r="D2890" s="1597" t="e">
        <f>+SUMIF(#REF!,Final!A2890,#REF!)</f>
        <v>#REF!</v>
      </c>
      <c r="E2890" s="1643" t="e">
        <f>SUMIF(#REF!,Final!A2890,#REF!)</f>
        <v>#REF!</v>
      </c>
      <c r="F2890" s="1644" t="e">
        <f>SUMIF(#REF!,Final!A2890,#REF!)</f>
        <v>#REF!</v>
      </c>
      <c r="G2890" s="1597" t="e">
        <f t="shared" si="308"/>
        <v>#REF!</v>
      </c>
      <c r="H2890" s="1644" t="e">
        <f t="shared" si="309"/>
        <v>#REF!</v>
      </c>
      <c r="I2890" s="1597" t="e">
        <f t="shared" si="310"/>
        <v>#REF!</v>
      </c>
      <c r="J2890" s="1644" t="e">
        <f t="shared" si="311"/>
        <v>#REF!</v>
      </c>
      <c r="M2890" s="1545"/>
      <c r="N2890" s="1545"/>
    </row>
    <row r="2891" spans="1:93" ht="15.5">
      <c r="A2891" s="1598">
        <v>74.582999999999998</v>
      </c>
      <c r="B2891" s="1599" t="s">
        <v>4576</v>
      </c>
      <c r="C2891" s="1643" t="e">
        <f>+SUMIF(#REF!,Final!A2891,#REF!)</f>
        <v>#REF!</v>
      </c>
      <c r="D2891" s="1597" t="e">
        <f>+SUMIF(#REF!,Final!A2891,#REF!)</f>
        <v>#REF!</v>
      </c>
      <c r="E2891" s="1643" t="e">
        <f>SUMIF(#REF!,Final!A2891,#REF!)</f>
        <v>#REF!</v>
      </c>
      <c r="F2891" s="1644" t="e">
        <f>SUMIF(#REF!,Final!A2891,#REF!)</f>
        <v>#REF!</v>
      </c>
      <c r="G2891" s="1597" t="e">
        <f t="shared" si="308"/>
        <v>#REF!</v>
      </c>
      <c r="H2891" s="1644" t="e">
        <f t="shared" si="309"/>
        <v>#REF!</v>
      </c>
      <c r="I2891" s="1597" t="e">
        <f t="shared" si="310"/>
        <v>#REF!</v>
      </c>
      <c r="J2891" s="1644" t="e">
        <f t="shared" si="311"/>
        <v>#REF!</v>
      </c>
      <c r="M2891" s="1545"/>
      <c r="N2891" s="1545"/>
    </row>
    <row r="2892" spans="1:93" ht="15.5">
      <c r="A2892" s="1598">
        <v>74.584000000000003</v>
      </c>
      <c r="B2892" s="1599" t="s">
        <v>4577</v>
      </c>
      <c r="C2892" s="1643" t="e">
        <f>+SUMIF(#REF!,Final!A2892,#REF!)</f>
        <v>#REF!</v>
      </c>
      <c r="D2892" s="1597" t="e">
        <f>+SUMIF(#REF!,Final!A2892,#REF!)</f>
        <v>#REF!</v>
      </c>
      <c r="E2892" s="1643" t="e">
        <f>SUMIF(#REF!,Final!A2892,#REF!)</f>
        <v>#REF!</v>
      </c>
      <c r="F2892" s="1644" t="e">
        <f>SUMIF(#REF!,Final!A2892,#REF!)</f>
        <v>#REF!</v>
      </c>
      <c r="G2892" s="1597" t="e">
        <f t="shared" si="308"/>
        <v>#REF!</v>
      </c>
      <c r="H2892" s="1644" t="e">
        <f t="shared" si="309"/>
        <v>#REF!</v>
      </c>
      <c r="I2892" s="1597" t="e">
        <f t="shared" si="310"/>
        <v>#REF!</v>
      </c>
      <c r="J2892" s="1644" t="e">
        <f t="shared" si="311"/>
        <v>#REF!</v>
      </c>
      <c r="M2892" s="1545"/>
      <c r="N2892" s="1545"/>
    </row>
    <row r="2893" spans="1:93" ht="15.5">
      <c r="A2893" s="1598">
        <v>74.584999999999994</v>
      </c>
      <c r="B2893" s="1599" t="s">
        <v>4578</v>
      </c>
      <c r="C2893" s="1643" t="e">
        <f>+SUMIF(#REF!,Final!A2893,#REF!)</f>
        <v>#REF!</v>
      </c>
      <c r="D2893" s="1597" t="e">
        <f>+SUMIF(#REF!,Final!A2893,#REF!)</f>
        <v>#REF!</v>
      </c>
      <c r="E2893" s="1643" t="e">
        <f>SUMIF(#REF!,Final!A2893,#REF!)</f>
        <v>#REF!</v>
      </c>
      <c r="F2893" s="1644" t="e">
        <f>SUMIF(#REF!,Final!A2893,#REF!)</f>
        <v>#REF!</v>
      </c>
      <c r="G2893" s="1597" t="e">
        <f t="shared" si="308"/>
        <v>#REF!</v>
      </c>
      <c r="H2893" s="1644" t="e">
        <f t="shared" si="309"/>
        <v>#REF!</v>
      </c>
      <c r="I2893" s="1597" t="e">
        <f t="shared" si="310"/>
        <v>#REF!</v>
      </c>
      <c r="J2893" s="1644" t="e">
        <f t="shared" si="311"/>
        <v>#REF!</v>
      </c>
      <c r="M2893" s="1545"/>
      <c r="N2893" s="1545"/>
    </row>
    <row r="2894" spans="1:93" ht="15.5">
      <c r="A2894" s="1684" t="s">
        <v>5051</v>
      </c>
      <c r="B2894" s="1703" t="s">
        <v>5052</v>
      </c>
      <c r="C2894" s="1643" t="e">
        <f>+SUMIF(#REF!,Final!A2894,#REF!)</f>
        <v>#REF!</v>
      </c>
      <c r="D2894" s="1597" t="e">
        <f>+SUMIF(#REF!,Final!A2894,#REF!)</f>
        <v>#REF!</v>
      </c>
      <c r="E2894" s="1643" t="e">
        <f>SUMIF(#REF!,Final!A2894,#REF!)</f>
        <v>#REF!</v>
      </c>
      <c r="F2894" s="1644" t="e">
        <f>SUMIF(#REF!,Final!A2894,#REF!)</f>
        <v>#REF!</v>
      </c>
      <c r="G2894" s="1597" t="e">
        <f t="shared" si="308"/>
        <v>#REF!</v>
      </c>
      <c r="H2894" s="1644" t="e">
        <f t="shared" si="309"/>
        <v>#REF!</v>
      </c>
      <c r="I2894" s="1597" t="e">
        <f t="shared" si="310"/>
        <v>#REF!</v>
      </c>
      <c r="J2894" s="1644" t="e">
        <f t="shared" si="311"/>
        <v>#REF!</v>
      </c>
      <c r="M2894" s="1545"/>
      <c r="N2894" s="1545"/>
    </row>
    <row r="2895" spans="1:93" ht="15.5">
      <c r="A2895" s="1690" t="s">
        <v>5053</v>
      </c>
      <c r="B2895" s="1703" t="s">
        <v>5054</v>
      </c>
      <c r="C2895" s="1643" t="e">
        <f>+SUMIF(#REF!,Final!A2895,#REF!)</f>
        <v>#REF!</v>
      </c>
      <c r="D2895" s="1597" t="e">
        <f>+SUMIF(#REF!,Final!A2895,#REF!)</f>
        <v>#REF!</v>
      </c>
      <c r="E2895" s="1643" t="e">
        <f>SUMIF(#REF!,Final!A2895,#REF!)</f>
        <v>#REF!</v>
      </c>
      <c r="F2895" s="1644" t="e">
        <f>SUMIF(#REF!,Final!A2895,#REF!)</f>
        <v>#REF!</v>
      </c>
      <c r="G2895" s="1597" t="e">
        <f t="shared" si="308"/>
        <v>#REF!</v>
      </c>
      <c r="H2895" s="1644" t="e">
        <f t="shared" si="309"/>
        <v>#REF!</v>
      </c>
      <c r="I2895" s="1597" t="e">
        <f t="shared" si="310"/>
        <v>#REF!</v>
      </c>
      <c r="J2895" s="1644" t="e">
        <f t="shared" si="311"/>
        <v>#REF!</v>
      </c>
      <c r="M2895" s="1545"/>
      <c r="N2895" s="1545"/>
    </row>
    <row r="2896" spans="1:93" ht="15.5">
      <c r="A2896" s="1684" t="s">
        <v>5055</v>
      </c>
      <c r="B2896" s="1703" t="s">
        <v>5056</v>
      </c>
      <c r="C2896" s="1643" t="e">
        <f>+SUMIF(#REF!,Final!A2896,#REF!)</f>
        <v>#REF!</v>
      </c>
      <c r="D2896" s="1597" t="e">
        <f>+SUMIF(#REF!,Final!A2896,#REF!)</f>
        <v>#REF!</v>
      </c>
      <c r="E2896" s="1643" t="e">
        <f>SUMIF(#REF!,Final!A2896,#REF!)</f>
        <v>#REF!</v>
      </c>
      <c r="F2896" s="1644" t="e">
        <f>SUMIF(#REF!,Final!A2896,#REF!)</f>
        <v>#REF!</v>
      </c>
      <c r="G2896" s="1597" t="e">
        <f t="shared" si="308"/>
        <v>#REF!</v>
      </c>
      <c r="H2896" s="1644" t="e">
        <f t="shared" si="309"/>
        <v>#REF!</v>
      </c>
      <c r="I2896" s="1597" t="e">
        <f t="shared" si="310"/>
        <v>#REF!</v>
      </c>
      <c r="J2896" s="1644" t="e">
        <f t="shared" si="311"/>
        <v>#REF!</v>
      </c>
      <c r="M2896" s="1545"/>
      <c r="N2896" s="1545"/>
    </row>
    <row r="2897" spans="1:93" ht="15.5">
      <c r="A2897" s="1690" t="s">
        <v>5057</v>
      </c>
      <c r="B2897" s="1703" t="s">
        <v>5058</v>
      </c>
      <c r="C2897" s="1643" t="e">
        <f>+SUMIF(#REF!,Final!A2897,#REF!)</f>
        <v>#REF!</v>
      </c>
      <c r="D2897" s="1597" t="e">
        <f>+SUMIF(#REF!,Final!A2897,#REF!)</f>
        <v>#REF!</v>
      </c>
      <c r="E2897" s="1643" t="e">
        <f>SUMIF(#REF!,Final!A2897,#REF!)</f>
        <v>#REF!</v>
      </c>
      <c r="F2897" s="1644" t="e">
        <f>SUMIF(#REF!,Final!A2897,#REF!)</f>
        <v>#REF!</v>
      </c>
      <c r="G2897" s="1597" t="e">
        <f t="shared" si="308"/>
        <v>#REF!</v>
      </c>
      <c r="H2897" s="1644" t="e">
        <f t="shared" si="309"/>
        <v>#REF!</v>
      </c>
      <c r="I2897" s="1597" t="e">
        <f t="shared" si="310"/>
        <v>#REF!</v>
      </c>
      <c r="J2897" s="1644" t="e">
        <f t="shared" si="311"/>
        <v>#REF!</v>
      </c>
      <c r="M2897" s="1545"/>
      <c r="N2897" s="1545"/>
    </row>
    <row r="2898" spans="1:93" ht="15.5">
      <c r="A2898" s="1684" t="s">
        <v>5059</v>
      </c>
      <c r="B2898" s="1703" t="s">
        <v>5060</v>
      </c>
      <c r="C2898" s="1643" t="e">
        <f>+SUMIF(#REF!,Final!A2898,#REF!)</f>
        <v>#REF!</v>
      </c>
      <c r="D2898" s="1597" t="e">
        <f>+SUMIF(#REF!,Final!A2898,#REF!)</f>
        <v>#REF!</v>
      </c>
      <c r="E2898" s="1643" t="e">
        <f>SUMIF(#REF!,Final!A2898,#REF!)</f>
        <v>#REF!</v>
      </c>
      <c r="F2898" s="1644" t="e">
        <f>SUMIF(#REF!,Final!A2898,#REF!)</f>
        <v>#REF!</v>
      </c>
      <c r="G2898" s="1597" t="e">
        <f t="shared" si="308"/>
        <v>#REF!</v>
      </c>
      <c r="H2898" s="1644" t="e">
        <f t="shared" si="309"/>
        <v>#REF!</v>
      </c>
      <c r="I2898" s="1597" t="e">
        <f t="shared" si="310"/>
        <v>#REF!</v>
      </c>
      <c r="J2898" s="1644" t="e">
        <f t="shared" si="311"/>
        <v>#REF!</v>
      </c>
      <c r="M2898" s="1545"/>
      <c r="N2898" s="1545"/>
    </row>
    <row r="2899" spans="1:93" ht="15.5">
      <c r="A2899" s="1690" t="s">
        <v>5061</v>
      </c>
      <c r="B2899" s="1703" t="s">
        <v>5062</v>
      </c>
      <c r="C2899" s="1643" t="e">
        <f>+SUMIF(#REF!,Final!A2899,#REF!)</f>
        <v>#REF!</v>
      </c>
      <c r="D2899" s="1597" t="e">
        <f>+SUMIF(#REF!,Final!A2899,#REF!)</f>
        <v>#REF!</v>
      </c>
      <c r="E2899" s="1643" t="e">
        <f>SUMIF(#REF!,Final!A2899,#REF!)</f>
        <v>#REF!</v>
      </c>
      <c r="F2899" s="1644" t="e">
        <f>SUMIF(#REF!,Final!A2899,#REF!)</f>
        <v>#REF!</v>
      </c>
      <c r="G2899" s="1597" t="e">
        <f t="shared" si="308"/>
        <v>#REF!</v>
      </c>
      <c r="H2899" s="1644" t="e">
        <f t="shared" si="309"/>
        <v>#REF!</v>
      </c>
      <c r="I2899" s="1597" t="e">
        <f t="shared" si="310"/>
        <v>#REF!</v>
      </c>
      <c r="J2899" s="1644" t="e">
        <f t="shared" si="311"/>
        <v>#REF!</v>
      </c>
      <c r="M2899" s="1545"/>
      <c r="N2899" s="1545"/>
    </row>
    <row r="2900" spans="1:93" ht="15.5">
      <c r="A2900" s="1796" t="s">
        <v>5289</v>
      </c>
      <c r="B2900" s="1795" t="s">
        <v>5290</v>
      </c>
      <c r="C2900" s="1643" t="e">
        <f>+SUMIF(#REF!,Final!A2900,#REF!)</f>
        <v>#REF!</v>
      </c>
      <c r="D2900" s="1597" t="e">
        <f>+SUMIF(#REF!,Final!A2900,#REF!)</f>
        <v>#REF!</v>
      </c>
      <c r="E2900" s="1643" t="e">
        <f>SUMIF(#REF!,Final!A2900,#REF!)</f>
        <v>#REF!</v>
      </c>
      <c r="F2900" s="1644" t="e">
        <f>SUMIF(#REF!,Final!A2900,#REF!)</f>
        <v>#REF!</v>
      </c>
      <c r="G2900" s="1597" t="e">
        <f t="shared" ref="G2900:G2905" si="316">C2900+E2900</f>
        <v>#REF!</v>
      </c>
      <c r="H2900" s="1644" t="e">
        <f t="shared" ref="H2900:H2905" si="317">D2900+F2900</f>
        <v>#REF!</v>
      </c>
      <c r="I2900" s="1597" t="e">
        <f t="shared" ref="I2900:I2905" si="318">IF(G2900&gt;H2900,G2900-H2900,0)</f>
        <v>#REF!</v>
      </c>
      <c r="J2900" s="1644" t="e">
        <f t="shared" ref="J2900:J2905" si="319">IF(H2900&gt;G2900,H2900-G2900,0)</f>
        <v>#REF!</v>
      </c>
      <c r="M2900" s="1545"/>
      <c r="N2900" s="1545"/>
    </row>
    <row r="2901" spans="1:93" ht="15.5">
      <c r="A2901" s="1794" t="s">
        <v>5291</v>
      </c>
      <c r="B2901" s="1795" t="s">
        <v>5292</v>
      </c>
      <c r="C2901" s="1643" t="e">
        <f>+SUMIF(#REF!,Final!A2901,#REF!)</f>
        <v>#REF!</v>
      </c>
      <c r="D2901" s="1597" t="e">
        <f>+SUMIF(#REF!,Final!A2901,#REF!)</f>
        <v>#REF!</v>
      </c>
      <c r="E2901" s="1643" t="e">
        <f>SUMIF(#REF!,Final!A2901,#REF!)</f>
        <v>#REF!</v>
      </c>
      <c r="F2901" s="1644" t="e">
        <f>SUMIF(#REF!,Final!A2901,#REF!)</f>
        <v>#REF!</v>
      </c>
      <c r="G2901" s="1597" t="e">
        <f t="shared" si="316"/>
        <v>#REF!</v>
      </c>
      <c r="H2901" s="1644" t="e">
        <f t="shared" si="317"/>
        <v>#REF!</v>
      </c>
      <c r="I2901" s="1597" t="e">
        <f t="shared" si="318"/>
        <v>#REF!</v>
      </c>
      <c r="J2901" s="1644" t="e">
        <f t="shared" si="319"/>
        <v>#REF!</v>
      </c>
      <c r="M2901" s="1545"/>
      <c r="N2901" s="1545"/>
    </row>
    <row r="2902" spans="1:93" ht="15.5">
      <c r="A2902" s="1796" t="s">
        <v>5293</v>
      </c>
      <c r="B2902" s="1795" t="s">
        <v>5294</v>
      </c>
      <c r="C2902" s="1643" t="e">
        <f>+SUMIF(#REF!,Final!A2902,#REF!)</f>
        <v>#REF!</v>
      </c>
      <c r="D2902" s="1597" t="e">
        <f>+SUMIF(#REF!,Final!A2902,#REF!)</f>
        <v>#REF!</v>
      </c>
      <c r="E2902" s="1643" t="e">
        <f>SUMIF(#REF!,Final!A2902,#REF!)</f>
        <v>#REF!</v>
      </c>
      <c r="F2902" s="1644" t="e">
        <f>SUMIF(#REF!,Final!A2902,#REF!)</f>
        <v>#REF!</v>
      </c>
      <c r="G2902" s="1597" t="e">
        <f t="shared" si="316"/>
        <v>#REF!</v>
      </c>
      <c r="H2902" s="1644" t="e">
        <f t="shared" si="317"/>
        <v>#REF!</v>
      </c>
      <c r="I2902" s="1597" t="e">
        <f t="shared" si="318"/>
        <v>#REF!</v>
      </c>
      <c r="J2902" s="1644" t="e">
        <f t="shared" si="319"/>
        <v>#REF!</v>
      </c>
      <c r="M2902" s="1545"/>
      <c r="N2902" s="1545"/>
    </row>
    <row r="2903" spans="1:93" ht="15.5">
      <c r="A2903" s="1794" t="s">
        <v>5295</v>
      </c>
      <c r="B2903" s="1795" t="s">
        <v>5296</v>
      </c>
      <c r="C2903" s="1643" t="e">
        <f>+SUMIF(#REF!,Final!A2903,#REF!)</f>
        <v>#REF!</v>
      </c>
      <c r="D2903" s="1597" t="e">
        <f>+SUMIF(#REF!,Final!A2903,#REF!)</f>
        <v>#REF!</v>
      </c>
      <c r="E2903" s="1643" t="e">
        <f>SUMIF(#REF!,Final!A2903,#REF!)</f>
        <v>#REF!</v>
      </c>
      <c r="F2903" s="1644" t="e">
        <f>SUMIF(#REF!,Final!A2903,#REF!)</f>
        <v>#REF!</v>
      </c>
      <c r="G2903" s="1597" t="e">
        <f t="shared" si="316"/>
        <v>#REF!</v>
      </c>
      <c r="H2903" s="1644" t="e">
        <f t="shared" si="317"/>
        <v>#REF!</v>
      </c>
      <c r="I2903" s="1597" t="e">
        <f t="shared" si="318"/>
        <v>#REF!</v>
      </c>
      <c r="J2903" s="1644" t="e">
        <f t="shared" si="319"/>
        <v>#REF!</v>
      </c>
      <c r="M2903" s="1545"/>
      <c r="N2903" s="1545"/>
    </row>
    <row r="2904" spans="1:93" ht="15.5">
      <c r="A2904" s="1796" t="s">
        <v>5297</v>
      </c>
      <c r="B2904" s="1795" t="s">
        <v>5298</v>
      </c>
      <c r="C2904" s="1643" t="e">
        <f>+SUMIF(#REF!,Final!A2904,#REF!)</f>
        <v>#REF!</v>
      </c>
      <c r="D2904" s="1597" t="e">
        <f>+SUMIF(#REF!,Final!A2904,#REF!)</f>
        <v>#REF!</v>
      </c>
      <c r="E2904" s="1643" t="e">
        <f>SUMIF(#REF!,Final!A2904,#REF!)</f>
        <v>#REF!</v>
      </c>
      <c r="F2904" s="1644" t="e">
        <f>SUMIF(#REF!,Final!A2904,#REF!)</f>
        <v>#REF!</v>
      </c>
      <c r="G2904" s="1597" t="e">
        <f t="shared" si="316"/>
        <v>#REF!</v>
      </c>
      <c r="H2904" s="1644" t="e">
        <f t="shared" si="317"/>
        <v>#REF!</v>
      </c>
      <c r="I2904" s="1597" t="e">
        <f t="shared" si="318"/>
        <v>#REF!</v>
      </c>
      <c r="J2904" s="1644" t="e">
        <f t="shared" si="319"/>
        <v>#REF!</v>
      </c>
      <c r="M2904" s="1545"/>
      <c r="N2904" s="1545"/>
    </row>
    <row r="2905" spans="1:93" ht="15.5">
      <c r="A2905" s="1794" t="s">
        <v>5299</v>
      </c>
      <c r="B2905" s="1795" t="s">
        <v>5300</v>
      </c>
      <c r="C2905" s="1643" t="e">
        <f>+SUMIF(#REF!,Final!A2905,#REF!)</f>
        <v>#REF!</v>
      </c>
      <c r="D2905" s="1597" t="e">
        <f>+SUMIF(#REF!,Final!A2905,#REF!)</f>
        <v>#REF!</v>
      </c>
      <c r="E2905" s="1643" t="e">
        <f>SUMIF(#REF!,Final!A2905,#REF!)</f>
        <v>#REF!</v>
      </c>
      <c r="F2905" s="1644" t="e">
        <f>SUMIF(#REF!,Final!A2905,#REF!)</f>
        <v>#REF!</v>
      </c>
      <c r="G2905" s="1597" t="e">
        <f t="shared" si="316"/>
        <v>#REF!</v>
      </c>
      <c r="H2905" s="1644" t="e">
        <f t="shared" si="317"/>
        <v>#REF!</v>
      </c>
      <c r="I2905" s="1597" t="e">
        <f t="shared" si="318"/>
        <v>#REF!</v>
      </c>
      <c r="J2905" s="1644" t="e">
        <f t="shared" si="319"/>
        <v>#REF!</v>
      </c>
      <c r="M2905" s="1545"/>
      <c r="N2905" s="1545"/>
    </row>
    <row r="2906" spans="1:93" s="1544" customFormat="1" ht="15.5">
      <c r="A2906" s="1600">
        <v>74.59</v>
      </c>
      <c r="B2906" s="1599" t="s">
        <v>3958</v>
      </c>
      <c r="C2906" s="1643" t="e">
        <f>+SUMIF(#REF!,Final!A2906,#REF!)</f>
        <v>#REF!</v>
      </c>
      <c r="D2906" s="1597" t="e">
        <f>+SUMIF(#REF!,Final!A2906,#REF!)</f>
        <v>#REF!</v>
      </c>
      <c r="E2906" s="1643" t="e">
        <f>SUMIF(#REF!,Final!A2906,#REF!)</f>
        <v>#REF!</v>
      </c>
      <c r="F2906" s="1644" t="e">
        <f>SUMIF(#REF!,Final!A2906,#REF!)</f>
        <v>#REF!</v>
      </c>
      <c r="G2906" s="1597" t="e">
        <f t="shared" si="308"/>
        <v>#REF!</v>
      </c>
      <c r="H2906" s="1644" t="e">
        <f t="shared" si="309"/>
        <v>#REF!</v>
      </c>
      <c r="I2906" s="1597" t="e">
        <f t="shared" si="310"/>
        <v>#REF!</v>
      </c>
      <c r="J2906" s="1644" t="e">
        <f t="shared" si="311"/>
        <v>#REF!</v>
      </c>
      <c r="K2906" s="1539"/>
      <c r="L2906" s="1539"/>
      <c r="M2906" s="1545"/>
      <c r="N2906" s="1545"/>
      <c r="O2906" s="1539"/>
      <c r="P2906" s="1539"/>
      <c r="Q2906" s="1539"/>
      <c r="R2906" s="1539"/>
      <c r="S2906" s="1539"/>
      <c r="T2906" s="1539"/>
      <c r="U2906" s="1539"/>
      <c r="V2906" s="1539"/>
      <c r="W2906" s="1539"/>
      <c r="X2906" s="1539"/>
      <c r="Y2906" s="1539"/>
      <c r="Z2906" s="1539"/>
      <c r="AA2906" s="1539"/>
      <c r="AB2906" s="1539"/>
      <c r="AC2906" s="1539"/>
      <c r="AD2906" s="1539"/>
      <c r="AE2906" s="1539"/>
      <c r="AF2906" s="1539"/>
      <c r="AG2906" s="1539"/>
      <c r="AH2906" s="1539"/>
      <c r="AI2906" s="1539"/>
      <c r="AJ2906" s="1539"/>
      <c r="AK2906" s="1539"/>
      <c r="AL2906" s="1539"/>
      <c r="AM2906" s="1539"/>
      <c r="AN2906" s="1539"/>
      <c r="AO2906" s="1539"/>
      <c r="AP2906" s="1539"/>
      <c r="AQ2906" s="1539"/>
      <c r="AR2906" s="1539"/>
      <c r="AS2906" s="1539"/>
      <c r="AT2906" s="1539"/>
      <c r="AU2906" s="1539"/>
      <c r="AV2906" s="1539"/>
      <c r="AW2906" s="1539"/>
      <c r="AX2906" s="1539"/>
      <c r="AY2906" s="1539"/>
      <c r="AZ2906" s="1539"/>
      <c r="BA2906" s="1539"/>
      <c r="BB2906" s="1539"/>
      <c r="BC2906" s="1539"/>
      <c r="BD2906" s="1539"/>
      <c r="BE2906" s="1539"/>
      <c r="BF2906" s="1539"/>
      <c r="BG2906" s="1539"/>
      <c r="BH2906" s="1539"/>
      <c r="BI2906" s="1539"/>
      <c r="BJ2906" s="1539"/>
      <c r="BK2906" s="1539"/>
      <c r="BL2906" s="1539"/>
      <c r="BM2906" s="1539"/>
      <c r="BN2906" s="1539"/>
      <c r="BO2906" s="1539"/>
      <c r="BP2906" s="1539"/>
      <c r="BQ2906" s="1539"/>
      <c r="BR2906" s="1539"/>
      <c r="BS2906" s="1539"/>
      <c r="BT2906" s="1539"/>
      <c r="BU2906" s="1539"/>
      <c r="BV2906" s="1539"/>
      <c r="BW2906" s="1539"/>
      <c r="BX2906" s="1539"/>
      <c r="BY2906" s="1539"/>
      <c r="BZ2906" s="1539"/>
      <c r="CA2906" s="1539"/>
      <c r="CB2906" s="1539"/>
      <c r="CC2906" s="1539"/>
      <c r="CD2906" s="1539"/>
      <c r="CE2906" s="1539"/>
      <c r="CF2906" s="1539"/>
      <c r="CG2906" s="1539"/>
      <c r="CH2906" s="1539"/>
      <c r="CI2906" s="1539"/>
      <c r="CJ2906" s="1539"/>
      <c r="CK2906" s="1539"/>
      <c r="CL2906" s="1539"/>
      <c r="CM2906" s="1539"/>
      <c r="CN2906" s="1539"/>
      <c r="CO2906" s="1539"/>
    </row>
    <row r="2907" spans="1:93" ht="15.5">
      <c r="A2907" s="1598">
        <v>74.590999999999994</v>
      </c>
      <c r="B2907" s="1599" t="s">
        <v>3959</v>
      </c>
      <c r="C2907" s="1643" t="e">
        <f>+SUMIF(#REF!,Final!A2907,#REF!)</f>
        <v>#REF!</v>
      </c>
      <c r="D2907" s="1597" t="e">
        <f>+SUMIF(#REF!,Final!A2907,#REF!)</f>
        <v>#REF!</v>
      </c>
      <c r="E2907" s="1643" t="e">
        <f>SUMIF(#REF!,Final!A2907,#REF!)</f>
        <v>#REF!</v>
      </c>
      <c r="F2907" s="1644" t="e">
        <f>SUMIF(#REF!,Final!A2907,#REF!)</f>
        <v>#REF!</v>
      </c>
      <c r="G2907" s="1597" t="e">
        <f t="shared" si="308"/>
        <v>#REF!</v>
      </c>
      <c r="H2907" s="1644" t="e">
        <f t="shared" si="309"/>
        <v>#REF!</v>
      </c>
      <c r="I2907" s="1597" t="e">
        <f t="shared" si="310"/>
        <v>#REF!</v>
      </c>
      <c r="J2907" s="1644" t="e">
        <f t="shared" si="311"/>
        <v>#REF!</v>
      </c>
      <c r="M2907" s="1545"/>
      <c r="N2907" s="1545"/>
    </row>
    <row r="2908" spans="1:93" ht="15.5">
      <c r="A2908" s="1598">
        <v>74.591999999999999</v>
      </c>
      <c r="B2908" s="1599" t="s">
        <v>3960</v>
      </c>
      <c r="C2908" s="1643" t="e">
        <f>+SUMIF(#REF!,Final!A2908,#REF!)</f>
        <v>#REF!</v>
      </c>
      <c r="D2908" s="1597" t="e">
        <f>+SUMIF(#REF!,Final!A2908,#REF!)</f>
        <v>#REF!</v>
      </c>
      <c r="E2908" s="1643" t="e">
        <f>SUMIF(#REF!,Final!A2908,#REF!)</f>
        <v>#REF!</v>
      </c>
      <c r="F2908" s="1644" t="e">
        <f>SUMIF(#REF!,Final!A2908,#REF!)</f>
        <v>#REF!</v>
      </c>
      <c r="G2908" s="1597" t="e">
        <f t="shared" si="308"/>
        <v>#REF!</v>
      </c>
      <c r="H2908" s="1644" t="e">
        <f t="shared" si="309"/>
        <v>#REF!</v>
      </c>
      <c r="I2908" s="1597" t="e">
        <f t="shared" si="310"/>
        <v>#REF!</v>
      </c>
      <c r="J2908" s="1644" t="e">
        <f t="shared" si="311"/>
        <v>#REF!</v>
      </c>
      <c r="M2908" s="1545"/>
      <c r="N2908" s="1545"/>
    </row>
    <row r="2909" spans="1:93" ht="15.5">
      <c r="A2909" s="1598">
        <v>74.593000000000004</v>
      </c>
      <c r="B2909" s="1599" t="s">
        <v>3961</v>
      </c>
      <c r="C2909" s="1643" t="e">
        <f>+SUMIF(#REF!,Final!A2909,#REF!)</f>
        <v>#REF!</v>
      </c>
      <c r="D2909" s="1597" t="e">
        <f>+SUMIF(#REF!,Final!A2909,#REF!)</f>
        <v>#REF!</v>
      </c>
      <c r="E2909" s="1643" t="e">
        <f>SUMIF(#REF!,Final!A2909,#REF!)</f>
        <v>#REF!</v>
      </c>
      <c r="F2909" s="1644" t="e">
        <f>SUMIF(#REF!,Final!A2909,#REF!)</f>
        <v>#REF!</v>
      </c>
      <c r="G2909" s="1597" t="e">
        <f t="shared" si="308"/>
        <v>#REF!</v>
      </c>
      <c r="H2909" s="1644" t="e">
        <f t="shared" si="309"/>
        <v>#REF!</v>
      </c>
      <c r="I2909" s="1597" t="e">
        <f t="shared" si="310"/>
        <v>#REF!</v>
      </c>
      <c r="J2909" s="1644" t="e">
        <f t="shared" si="311"/>
        <v>#REF!</v>
      </c>
      <c r="M2909" s="1545"/>
      <c r="N2909" s="1545"/>
    </row>
    <row r="2910" spans="1:93" ht="15.5">
      <c r="A2910" s="1598">
        <v>74.593999999999994</v>
      </c>
      <c r="B2910" s="1599" t="s">
        <v>3962</v>
      </c>
      <c r="C2910" s="1643" t="e">
        <f>+SUMIF(#REF!,Final!A2910,#REF!)</f>
        <v>#REF!</v>
      </c>
      <c r="D2910" s="1597" t="e">
        <f>+SUMIF(#REF!,Final!A2910,#REF!)</f>
        <v>#REF!</v>
      </c>
      <c r="E2910" s="1643" t="e">
        <f>SUMIF(#REF!,Final!A2910,#REF!)</f>
        <v>#REF!</v>
      </c>
      <c r="F2910" s="1644" t="e">
        <f>SUMIF(#REF!,Final!A2910,#REF!)</f>
        <v>#REF!</v>
      </c>
      <c r="G2910" s="1597" t="e">
        <f t="shared" si="308"/>
        <v>#REF!</v>
      </c>
      <c r="H2910" s="1644" t="e">
        <f t="shared" si="309"/>
        <v>#REF!</v>
      </c>
      <c r="I2910" s="1597" t="e">
        <f t="shared" si="310"/>
        <v>#REF!</v>
      </c>
      <c r="J2910" s="1644" t="e">
        <f t="shared" si="311"/>
        <v>#REF!</v>
      </c>
      <c r="M2910" s="1545"/>
      <c r="N2910" s="1545"/>
    </row>
    <row r="2911" spans="1:93" ht="15.5">
      <c r="A2911" s="1598">
        <v>74.594999999999999</v>
      </c>
      <c r="B2911" s="1599" t="s">
        <v>3963</v>
      </c>
      <c r="C2911" s="1643" t="e">
        <f>+SUMIF(#REF!,Final!A2911,#REF!)</f>
        <v>#REF!</v>
      </c>
      <c r="D2911" s="1597" t="e">
        <f>+SUMIF(#REF!,Final!A2911,#REF!)</f>
        <v>#REF!</v>
      </c>
      <c r="E2911" s="1643" t="e">
        <f>SUMIF(#REF!,Final!A2911,#REF!)</f>
        <v>#REF!</v>
      </c>
      <c r="F2911" s="1644" t="e">
        <f>SUMIF(#REF!,Final!A2911,#REF!)</f>
        <v>#REF!</v>
      </c>
      <c r="G2911" s="1597" t="e">
        <f t="shared" si="308"/>
        <v>#REF!</v>
      </c>
      <c r="H2911" s="1644" t="e">
        <f t="shared" si="309"/>
        <v>#REF!</v>
      </c>
      <c r="I2911" s="1597" t="e">
        <f t="shared" si="310"/>
        <v>#REF!</v>
      </c>
      <c r="J2911" s="1644" t="e">
        <f t="shared" si="311"/>
        <v>#REF!</v>
      </c>
      <c r="M2911" s="1545"/>
      <c r="N2911" s="1545"/>
    </row>
    <row r="2912" spans="1:93" s="1552" customFormat="1" ht="15.5">
      <c r="A2912" s="1598"/>
      <c r="B2912" s="1599" t="s">
        <v>1747</v>
      </c>
      <c r="C2912" s="1643" t="e">
        <f>+SUMIF(#REF!,Final!A2912,#REF!)</f>
        <v>#REF!</v>
      </c>
      <c r="D2912" s="1597" t="e">
        <f>+SUMIF(#REF!,Final!A2912,#REF!)</f>
        <v>#REF!</v>
      </c>
      <c r="E2912" s="1643" t="e">
        <f>SUMIF(#REF!,Final!A2912,#REF!)</f>
        <v>#REF!</v>
      </c>
      <c r="F2912" s="1644" t="e">
        <f>SUMIF(#REF!,Final!A2912,#REF!)</f>
        <v>#REF!</v>
      </c>
      <c r="G2912" s="1597" t="e">
        <f t="shared" si="308"/>
        <v>#REF!</v>
      </c>
      <c r="H2912" s="1644" t="e">
        <f t="shared" si="309"/>
        <v>#REF!</v>
      </c>
      <c r="I2912" s="1597" t="e">
        <f t="shared" si="310"/>
        <v>#REF!</v>
      </c>
      <c r="J2912" s="1644" t="e">
        <f t="shared" si="311"/>
        <v>#REF!</v>
      </c>
      <c r="K2912" s="1539"/>
      <c r="L2912" s="1539"/>
      <c r="M2912" s="1545"/>
      <c r="N2912" s="1545"/>
      <c r="O2912" s="1539"/>
      <c r="P2912" s="1539"/>
      <c r="Q2912" s="1539"/>
      <c r="R2912" s="1539"/>
      <c r="S2912" s="1539"/>
      <c r="T2912" s="1539"/>
      <c r="U2912" s="1539"/>
      <c r="V2912" s="1539"/>
      <c r="W2912" s="1539"/>
      <c r="X2912" s="1539"/>
      <c r="Y2912" s="1539"/>
      <c r="Z2912" s="1539"/>
      <c r="AA2912" s="1539"/>
      <c r="AB2912" s="1539"/>
      <c r="AC2912" s="1539"/>
      <c r="AD2912" s="1539"/>
      <c r="AE2912" s="1539"/>
      <c r="AF2912" s="1539"/>
      <c r="AG2912" s="1539"/>
      <c r="AH2912" s="1539"/>
      <c r="AI2912" s="1539"/>
      <c r="AJ2912" s="1539"/>
      <c r="AK2912" s="1539"/>
      <c r="AL2912" s="1539"/>
      <c r="AM2912" s="1539"/>
      <c r="AN2912" s="1539"/>
      <c r="AO2912" s="1539"/>
      <c r="AP2912" s="1539"/>
      <c r="AQ2912" s="1539"/>
      <c r="AR2912" s="1539"/>
      <c r="AS2912" s="1539"/>
      <c r="AT2912" s="1539"/>
      <c r="AU2912" s="1539"/>
      <c r="AV2912" s="1539"/>
      <c r="AW2912" s="1539"/>
      <c r="AX2912" s="1539"/>
      <c r="AY2912" s="1539"/>
      <c r="AZ2912" s="1539"/>
      <c r="BA2912" s="1539"/>
      <c r="BB2912" s="1539"/>
      <c r="BC2912" s="1539"/>
      <c r="BD2912" s="1539"/>
      <c r="BE2912" s="1539"/>
      <c r="BF2912" s="1539"/>
      <c r="BG2912" s="1539"/>
      <c r="BH2912" s="1539"/>
      <c r="BI2912" s="1539"/>
      <c r="BJ2912" s="1539"/>
      <c r="BK2912" s="1539"/>
      <c r="BL2912" s="1539"/>
      <c r="BM2912" s="1539"/>
      <c r="BN2912" s="1539"/>
      <c r="BO2912" s="1539"/>
      <c r="BP2912" s="1539"/>
      <c r="BQ2912" s="1539"/>
      <c r="BR2912" s="1539"/>
      <c r="BS2912" s="1539"/>
      <c r="BT2912" s="1539"/>
      <c r="BU2912" s="1539"/>
      <c r="BV2912" s="1539"/>
      <c r="BW2912" s="1539"/>
      <c r="BX2912" s="1539"/>
      <c r="BY2912" s="1539"/>
      <c r="BZ2912" s="1539"/>
      <c r="CA2912" s="1539"/>
      <c r="CB2912" s="1539"/>
      <c r="CC2912" s="1539"/>
      <c r="CD2912" s="1539"/>
      <c r="CE2912" s="1539"/>
      <c r="CF2912" s="1539"/>
      <c r="CG2912" s="1539"/>
      <c r="CH2912" s="1539"/>
      <c r="CI2912" s="1539"/>
      <c r="CJ2912" s="1539"/>
      <c r="CK2912" s="1539"/>
      <c r="CL2912" s="1539"/>
      <c r="CM2912" s="1539"/>
      <c r="CN2912" s="1539"/>
      <c r="CO2912" s="1539"/>
    </row>
    <row r="2913" spans="1:93" s="1552" customFormat="1" ht="15.5">
      <c r="A2913" s="1598"/>
      <c r="B2913" s="1599" t="s">
        <v>1760</v>
      </c>
      <c r="C2913" s="1643" t="e">
        <f>+SUMIF(#REF!,Final!A2913,#REF!)</f>
        <v>#REF!</v>
      </c>
      <c r="D2913" s="1597" t="e">
        <f>+SUMIF(#REF!,Final!A2913,#REF!)</f>
        <v>#REF!</v>
      </c>
      <c r="E2913" s="1643" t="e">
        <f>SUMIF(#REF!,Final!A2913,#REF!)</f>
        <v>#REF!</v>
      </c>
      <c r="F2913" s="1644" t="e">
        <f>SUMIF(#REF!,Final!A2913,#REF!)</f>
        <v>#REF!</v>
      </c>
      <c r="G2913" s="1597" t="e">
        <f t="shared" si="308"/>
        <v>#REF!</v>
      </c>
      <c r="H2913" s="1644" t="e">
        <f t="shared" si="309"/>
        <v>#REF!</v>
      </c>
      <c r="I2913" s="1597" t="e">
        <f t="shared" si="310"/>
        <v>#REF!</v>
      </c>
      <c r="J2913" s="1644" t="e">
        <f t="shared" si="311"/>
        <v>#REF!</v>
      </c>
      <c r="K2913" s="1539"/>
      <c r="L2913" s="1539"/>
      <c r="M2913" s="1545"/>
      <c r="N2913" s="1545"/>
      <c r="O2913" s="1539"/>
      <c r="P2913" s="1539"/>
      <c r="Q2913" s="1539"/>
      <c r="R2913" s="1539"/>
      <c r="S2913" s="1539"/>
      <c r="T2913" s="1539"/>
      <c r="U2913" s="1539"/>
      <c r="V2913" s="1539"/>
      <c r="W2913" s="1539"/>
      <c r="X2913" s="1539"/>
      <c r="Y2913" s="1539"/>
      <c r="Z2913" s="1539"/>
      <c r="AA2913" s="1539"/>
      <c r="AB2913" s="1539"/>
      <c r="AC2913" s="1539"/>
      <c r="AD2913" s="1539"/>
      <c r="AE2913" s="1539"/>
      <c r="AF2913" s="1539"/>
      <c r="AG2913" s="1539"/>
      <c r="AH2913" s="1539"/>
      <c r="AI2913" s="1539"/>
      <c r="AJ2913" s="1539"/>
      <c r="AK2913" s="1539"/>
      <c r="AL2913" s="1539"/>
      <c r="AM2913" s="1539"/>
      <c r="AN2913" s="1539"/>
      <c r="AO2913" s="1539"/>
      <c r="AP2913" s="1539"/>
      <c r="AQ2913" s="1539"/>
      <c r="AR2913" s="1539"/>
      <c r="AS2913" s="1539"/>
      <c r="AT2913" s="1539"/>
      <c r="AU2913" s="1539"/>
      <c r="AV2913" s="1539"/>
      <c r="AW2913" s="1539"/>
      <c r="AX2913" s="1539"/>
      <c r="AY2913" s="1539"/>
      <c r="AZ2913" s="1539"/>
      <c r="BA2913" s="1539"/>
      <c r="BB2913" s="1539"/>
      <c r="BC2913" s="1539"/>
      <c r="BD2913" s="1539"/>
      <c r="BE2913" s="1539"/>
      <c r="BF2913" s="1539"/>
      <c r="BG2913" s="1539"/>
      <c r="BH2913" s="1539"/>
      <c r="BI2913" s="1539"/>
      <c r="BJ2913" s="1539"/>
      <c r="BK2913" s="1539"/>
      <c r="BL2913" s="1539"/>
      <c r="BM2913" s="1539"/>
      <c r="BN2913" s="1539"/>
      <c r="BO2913" s="1539"/>
      <c r="BP2913" s="1539"/>
      <c r="BQ2913" s="1539"/>
      <c r="BR2913" s="1539"/>
      <c r="BS2913" s="1539"/>
      <c r="BT2913" s="1539"/>
      <c r="BU2913" s="1539"/>
      <c r="BV2913" s="1539"/>
      <c r="BW2913" s="1539"/>
      <c r="BX2913" s="1539"/>
      <c r="BY2913" s="1539"/>
      <c r="BZ2913" s="1539"/>
      <c r="CA2913" s="1539"/>
      <c r="CB2913" s="1539"/>
      <c r="CC2913" s="1539"/>
      <c r="CD2913" s="1539"/>
      <c r="CE2913" s="1539"/>
      <c r="CF2913" s="1539"/>
      <c r="CG2913" s="1539"/>
      <c r="CH2913" s="1539"/>
      <c r="CI2913" s="1539"/>
      <c r="CJ2913" s="1539"/>
      <c r="CK2913" s="1539"/>
      <c r="CL2913" s="1539"/>
      <c r="CM2913" s="1539"/>
      <c r="CN2913" s="1539"/>
      <c r="CO2913" s="1539"/>
    </row>
    <row r="2914" spans="1:93" s="1542" customFormat="1" ht="15.5">
      <c r="A2914" s="1598" t="s">
        <v>544</v>
      </c>
      <c r="B2914" s="1599" t="s">
        <v>3155</v>
      </c>
      <c r="C2914" s="1643" t="e">
        <f>+SUMIF(#REF!,Final!A2914,#REF!)</f>
        <v>#REF!</v>
      </c>
      <c r="D2914" s="1597" t="e">
        <f>+SUMIF(#REF!,Final!A2914,#REF!)</f>
        <v>#REF!</v>
      </c>
      <c r="E2914" s="1643" t="e">
        <f>SUMIF(#REF!,Final!A2914,#REF!)</f>
        <v>#REF!</v>
      </c>
      <c r="F2914" s="1644" t="e">
        <f>SUMIF(#REF!,Final!A2914,#REF!)</f>
        <v>#REF!</v>
      </c>
      <c r="G2914" s="1597" t="e">
        <f t="shared" si="308"/>
        <v>#REF!</v>
      </c>
      <c r="H2914" s="1644" t="e">
        <f t="shared" si="309"/>
        <v>#REF!</v>
      </c>
      <c r="I2914" s="1597" t="e">
        <f t="shared" si="310"/>
        <v>#REF!</v>
      </c>
      <c r="J2914" s="1644" t="e">
        <f t="shared" si="311"/>
        <v>#REF!</v>
      </c>
      <c r="K2914" s="1539"/>
      <c r="L2914" s="1539"/>
      <c r="M2914" s="1545"/>
      <c r="N2914" s="1545"/>
      <c r="O2914" s="1539"/>
      <c r="P2914" s="1539"/>
      <c r="Q2914" s="1539"/>
      <c r="R2914" s="1539"/>
      <c r="S2914" s="1539"/>
      <c r="T2914" s="1539"/>
      <c r="U2914" s="1539"/>
      <c r="V2914" s="1539"/>
      <c r="W2914" s="1539"/>
      <c r="X2914" s="1539"/>
      <c r="Y2914" s="1539"/>
      <c r="Z2914" s="1539"/>
      <c r="AA2914" s="1539"/>
      <c r="AB2914" s="1539"/>
      <c r="AC2914" s="1539"/>
      <c r="AD2914" s="1539"/>
      <c r="AE2914" s="1539"/>
      <c r="AF2914" s="1539"/>
      <c r="AG2914" s="1539"/>
      <c r="AH2914" s="1539"/>
      <c r="AI2914" s="1539"/>
      <c r="AJ2914" s="1539"/>
      <c r="AK2914" s="1539"/>
      <c r="AL2914" s="1539"/>
      <c r="AM2914" s="1539"/>
      <c r="AN2914" s="1539"/>
      <c r="AO2914" s="1539"/>
      <c r="AP2914" s="1539"/>
      <c r="AQ2914" s="1539"/>
      <c r="AR2914" s="1539"/>
      <c r="AS2914" s="1539"/>
      <c r="AT2914" s="1539"/>
      <c r="AU2914" s="1539"/>
      <c r="AV2914" s="1539"/>
      <c r="AW2914" s="1539"/>
      <c r="AX2914" s="1539"/>
      <c r="AY2914" s="1539"/>
      <c r="AZ2914" s="1539"/>
      <c r="BA2914" s="1539"/>
      <c r="BB2914" s="1539"/>
      <c r="BC2914" s="1539"/>
      <c r="BD2914" s="1539"/>
      <c r="BE2914" s="1539"/>
      <c r="BF2914" s="1539"/>
      <c r="BG2914" s="1539"/>
      <c r="BH2914" s="1539"/>
      <c r="BI2914" s="1539"/>
      <c r="BJ2914" s="1539"/>
      <c r="BK2914" s="1539"/>
      <c r="BL2914" s="1539"/>
      <c r="BM2914" s="1539"/>
      <c r="BN2914" s="1539"/>
      <c r="BO2914" s="1539"/>
      <c r="BP2914" s="1539"/>
      <c r="BQ2914" s="1539"/>
      <c r="BR2914" s="1539"/>
      <c r="BS2914" s="1539"/>
      <c r="BT2914" s="1539"/>
      <c r="BU2914" s="1539"/>
      <c r="BV2914" s="1539"/>
      <c r="BW2914" s="1539"/>
      <c r="BX2914" s="1539"/>
      <c r="BY2914" s="1539"/>
      <c r="BZ2914" s="1539"/>
      <c r="CA2914" s="1539"/>
      <c r="CB2914" s="1539"/>
      <c r="CC2914" s="1539"/>
      <c r="CD2914" s="1539"/>
      <c r="CE2914" s="1539"/>
      <c r="CF2914" s="1539"/>
      <c r="CG2914" s="1539"/>
      <c r="CH2914" s="1539"/>
      <c r="CI2914" s="1539"/>
      <c r="CJ2914" s="1539"/>
      <c r="CK2914" s="1539"/>
      <c r="CL2914" s="1539"/>
      <c r="CM2914" s="1539"/>
      <c r="CN2914" s="1539"/>
      <c r="CO2914" s="1539"/>
    </row>
    <row r="2915" spans="1:93" s="1542" customFormat="1" ht="15.5">
      <c r="A2915" s="1598" t="s">
        <v>1762</v>
      </c>
      <c r="B2915" s="1599" t="s">
        <v>3156</v>
      </c>
      <c r="C2915" s="1643" t="e">
        <f>+SUMIF(#REF!,Final!A2915,#REF!)</f>
        <v>#REF!</v>
      </c>
      <c r="D2915" s="1597" t="e">
        <f>+SUMIF(#REF!,Final!A2915,#REF!)</f>
        <v>#REF!</v>
      </c>
      <c r="E2915" s="1643" t="e">
        <f>SUMIF(#REF!,Final!A2915,#REF!)</f>
        <v>#REF!</v>
      </c>
      <c r="F2915" s="1644" t="e">
        <f>SUMIF(#REF!,Final!A2915,#REF!)</f>
        <v>#REF!</v>
      </c>
      <c r="G2915" s="1597" t="e">
        <f t="shared" si="308"/>
        <v>#REF!</v>
      </c>
      <c r="H2915" s="1644" t="e">
        <f t="shared" si="309"/>
        <v>#REF!</v>
      </c>
      <c r="I2915" s="1597" t="e">
        <f t="shared" si="310"/>
        <v>#REF!</v>
      </c>
      <c r="J2915" s="1644" t="e">
        <f t="shared" si="311"/>
        <v>#REF!</v>
      </c>
      <c r="K2915" s="1539"/>
      <c r="L2915" s="1539"/>
      <c r="M2915" s="1545"/>
      <c r="N2915" s="1545"/>
      <c r="O2915" s="1539"/>
      <c r="P2915" s="1539"/>
      <c r="Q2915" s="1539"/>
      <c r="R2915" s="1539"/>
      <c r="S2915" s="1539"/>
      <c r="T2915" s="1539"/>
      <c r="U2915" s="1539"/>
      <c r="V2915" s="1539"/>
      <c r="W2915" s="1539"/>
      <c r="X2915" s="1539"/>
      <c r="Y2915" s="1539"/>
      <c r="Z2915" s="1539"/>
      <c r="AA2915" s="1539"/>
      <c r="AB2915" s="1539"/>
      <c r="AC2915" s="1539"/>
      <c r="AD2915" s="1539"/>
      <c r="AE2915" s="1539"/>
      <c r="AF2915" s="1539"/>
      <c r="AG2915" s="1539"/>
      <c r="AH2915" s="1539"/>
      <c r="AI2915" s="1539"/>
      <c r="AJ2915" s="1539"/>
      <c r="AK2915" s="1539"/>
      <c r="AL2915" s="1539"/>
      <c r="AM2915" s="1539"/>
      <c r="AN2915" s="1539"/>
      <c r="AO2915" s="1539"/>
      <c r="AP2915" s="1539"/>
      <c r="AQ2915" s="1539"/>
      <c r="AR2915" s="1539"/>
      <c r="AS2915" s="1539"/>
      <c r="AT2915" s="1539"/>
      <c r="AU2915" s="1539"/>
      <c r="AV2915" s="1539"/>
      <c r="AW2915" s="1539"/>
      <c r="AX2915" s="1539"/>
      <c r="AY2915" s="1539"/>
      <c r="AZ2915" s="1539"/>
      <c r="BA2915" s="1539"/>
      <c r="BB2915" s="1539"/>
      <c r="BC2915" s="1539"/>
      <c r="BD2915" s="1539"/>
      <c r="BE2915" s="1539"/>
      <c r="BF2915" s="1539"/>
      <c r="BG2915" s="1539"/>
      <c r="BH2915" s="1539"/>
      <c r="BI2915" s="1539"/>
      <c r="BJ2915" s="1539"/>
      <c r="BK2915" s="1539"/>
      <c r="BL2915" s="1539"/>
      <c r="BM2915" s="1539"/>
      <c r="BN2915" s="1539"/>
      <c r="BO2915" s="1539"/>
      <c r="BP2915" s="1539"/>
      <c r="BQ2915" s="1539"/>
      <c r="BR2915" s="1539"/>
      <c r="BS2915" s="1539"/>
      <c r="BT2915" s="1539"/>
      <c r="BU2915" s="1539"/>
      <c r="BV2915" s="1539"/>
      <c r="BW2915" s="1539"/>
      <c r="BX2915" s="1539"/>
      <c r="BY2915" s="1539"/>
      <c r="BZ2915" s="1539"/>
      <c r="CA2915" s="1539"/>
      <c r="CB2915" s="1539"/>
      <c r="CC2915" s="1539"/>
      <c r="CD2915" s="1539"/>
      <c r="CE2915" s="1539"/>
      <c r="CF2915" s="1539"/>
      <c r="CG2915" s="1539"/>
      <c r="CH2915" s="1539"/>
      <c r="CI2915" s="1539"/>
      <c r="CJ2915" s="1539"/>
      <c r="CK2915" s="1539"/>
      <c r="CL2915" s="1539"/>
      <c r="CM2915" s="1539"/>
      <c r="CN2915" s="1539"/>
      <c r="CO2915" s="1539"/>
    </row>
    <row r="2916" spans="1:93" ht="15.5">
      <c r="A2916" s="1598">
        <v>74.605000000000004</v>
      </c>
      <c r="B2916" s="1599" t="s">
        <v>3157</v>
      </c>
      <c r="C2916" s="1643" t="e">
        <f>+SUMIF(#REF!,Final!A2916,#REF!)</f>
        <v>#REF!</v>
      </c>
      <c r="D2916" s="1597" t="e">
        <f>+SUMIF(#REF!,Final!A2916,#REF!)</f>
        <v>#REF!</v>
      </c>
      <c r="E2916" s="1643" t="e">
        <f>SUMIF(#REF!,Final!A2916,#REF!)</f>
        <v>#REF!</v>
      </c>
      <c r="F2916" s="1644" t="e">
        <f>SUMIF(#REF!,Final!A2916,#REF!)</f>
        <v>#REF!</v>
      </c>
      <c r="G2916" s="1597" t="e">
        <f t="shared" si="308"/>
        <v>#REF!</v>
      </c>
      <c r="H2916" s="1644" t="e">
        <f t="shared" si="309"/>
        <v>#REF!</v>
      </c>
      <c r="I2916" s="1597" t="e">
        <f t="shared" si="310"/>
        <v>#REF!</v>
      </c>
      <c r="J2916" s="1644" t="e">
        <f t="shared" si="311"/>
        <v>#REF!</v>
      </c>
      <c r="M2916" s="1545"/>
      <c r="N2916" s="1545"/>
    </row>
    <row r="2917" spans="1:93" ht="15.5">
      <c r="A2917" s="1598">
        <v>74.605999999999995</v>
      </c>
      <c r="B2917" s="1599" t="s">
        <v>3158</v>
      </c>
      <c r="C2917" s="1643" t="e">
        <f>+SUMIF(#REF!,Final!A2917,#REF!)</f>
        <v>#REF!</v>
      </c>
      <c r="D2917" s="1597" t="e">
        <f>+SUMIF(#REF!,Final!A2917,#REF!)</f>
        <v>#REF!</v>
      </c>
      <c r="E2917" s="1643" t="e">
        <f>SUMIF(#REF!,Final!A2917,#REF!)</f>
        <v>#REF!</v>
      </c>
      <c r="F2917" s="1644" t="e">
        <f>SUMIF(#REF!,Final!A2917,#REF!)</f>
        <v>#REF!</v>
      </c>
      <c r="G2917" s="1597" t="e">
        <f t="shared" si="308"/>
        <v>#REF!</v>
      </c>
      <c r="H2917" s="1644" t="e">
        <f t="shared" si="309"/>
        <v>#REF!</v>
      </c>
      <c r="I2917" s="1597" t="e">
        <f t="shared" si="310"/>
        <v>#REF!</v>
      </c>
      <c r="J2917" s="1644" t="e">
        <f t="shared" si="311"/>
        <v>#REF!</v>
      </c>
      <c r="M2917" s="1545"/>
      <c r="N2917" s="1545"/>
    </row>
    <row r="2918" spans="1:93" ht="15.5">
      <c r="A2918" s="1598">
        <v>74.614000000000004</v>
      </c>
      <c r="B2918" s="1599" t="s">
        <v>3159</v>
      </c>
      <c r="C2918" s="1643" t="e">
        <f>+SUMIF(#REF!,Final!A2918,#REF!)</f>
        <v>#REF!</v>
      </c>
      <c r="D2918" s="1597" t="e">
        <f>+SUMIF(#REF!,Final!A2918,#REF!)</f>
        <v>#REF!</v>
      </c>
      <c r="E2918" s="1643" t="e">
        <f>SUMIF(#REF!,Final!A2918,#REF!)</f>
        <v>#REF!</v>
      </c>
      <c r="F2918" s="1644" t="e">
        <f>SUMIF(#REF!,Final!A2918,#REF!)</f>
        <v>#REF!</v>
      </c>
      <c r="G2918" s="1597" t="e">
        <f t="shared" si="308"/>
        <v>#REF!</v>
      </c>
      <c r="H2918" s="1644" t="e">
        <f t="shared" si="309"/>
        <v>#REF!</v>
      </c>
      <c r="I2918" s="1597" t="e">
        <f t="shared" si="310"/>
        <v>#REF!</v>
      </c>
      <c r="J2918" s="1644" t="e">
        <f t="shared" si="311"/>
        <v>#REF!</v>
      </c>
      <c r="M2918" s="1545"/>
      <c r="N2918" s="1545"/>
    </row>
    <row r="2919" spans="1:93" ht="15.5">
      <c r="A2919" s="1598">
        <v>74.614999999999995</v>
      </c>
      <c r="B2919" s="1599" t="s">
        <v>3160</v>
      </c>
      <c r="C2919" s="1643" t="e">
        <f>+SUMIF(#REF!,Final!A2919,#REF!)</f>
        <v>#REF!</v>
      </c>
      <c r="D2919" s="1597" t="e">
        <f>+SUMIF(#REF!,Final!A2919,#REF!)</f>
        <v>#REF!</v>
      </c>
      <c r="E2919" s="1643" t="e">
        <f>SUMIF(#REF!,Final!A2919,#REF!)</f>
        <v>#REF!</v>
      </c>
      <c r="F2919" s="1644" t="e">
        <f>SUMIF(#REF!,Final!A2919,#REF!)</f>
        <v>#REF!</v>
      </c>
      <c r="G2919" s="1597" t="e">
        <f t="shared" si="308"/>
        <v>#REF!</v>
      </c>
      <c r="H2919" s="1644" t="e">
        <f t="shared" si="309"/>
        <v>#REF!</v>
      </c>
      <c r="I2919" s="1597" t="e">
        <f t="shared" si="310"/>
        <v>#REF!</v>
      </c>
      <c r="J2919" s="1644" t="e">
        <f t="shared" si="311"/>
        <v>#REF!</v>
      </c>
      <c r="M2919" s="1545"/>
      <c r="N2919" s="1545"/>
    </row>
    <row r="2920" spans="1:93" ht="15.5">
      <c r="A2920" s="1598">
        <v>74.620999999999995</v>
      </c>
      <c r="B2920" s="1599" t="s">
        <v>3161</v>
      </c>
      <c r="C2920" s="1643" t="e">
        <f>+SUMIF(#REF!,Final!A2920,#REF!)</f>
        <v>#REF!</v>
      </c>
      <c r="D2920" s="1597" t="e">
        <f>+SUMIF(#REF!,Final!A2920,#REF!)</f>
        <v>#REF!</v>
      </c>
      <c r="E2920" s="1643" t="e">
        <f>SUMIF(#REF!,Final!A2920,#REF!)</f>
        <v>#REF!</v>
      </c>
      <c r="F2920" s="1644" t="e">
        <f>SUMIF(#REF!,Final!A2920,#REF!)</f>
        <v>#REF!</v>
      </c>
      <c r="G2920" s="1597" t="e">
        <f t="shared" ref="G2920:G2992" si="320">C2920+E2920</f>
        <v>#REF!</v>
      </c>
      <c r="H2920" s="1644" t="e">
        <f t="shared" ref="H2920:H2992" si="321">D2920+F2920</f>
        <v>#REF!</v>
      </c>
      <c r="I2920" s="1597" t="e">
        <f t="shared" ref="I2920:I2992" si="322">IF(G2920&gt;H2920,G2920-H2920,0)</f>
        <v>#REF!</v>
      </c>
      <c r="J2920" s="1644" t="e">
        <f t="shared" ref="J2920:J2992" si="323">IF(H2920&gt;G2920,H2920-G2920,0)</f>
        <v>#REF!</v>
      </c>
      <c r="M2920" s="1545"/>
      <c r="N2920" s="1545"/>
    </row>
    <row r="2921" spans="1:93" ht="15.5">
      <c r="A2921" s="1598">
        <v>74.623999999999995</v>
      </c>
      <c r="B2921" s="1599" t="s">
        <v>3162</v>
      </c>
      <c r="C2921" s="1643" t="e">
        <f>+SUMIF(#REF!,Final!A2921,#REF!)</f>
        <v>#REF!</v>
      </c>
      <c r="D2921" s="1597" t="e">
        <f>+SUMIF(#REF!,Final!A2921,#REF!)</f>
        <v>#REF!</v>
      </c>
      <c r="E2921" s="1643" t="e">
        <f>SUMIF(#REF!,Final!A2921,#REF!)</f>
        <v>#REF!</v>
      </c>
      <c r="F2921" s="1644" t="e">
        <f>SUMIF(#REF!,Final!A2921,#REF!)</f>
        <v>#REF!</v>
      </c>
      <c r="G2921" s="1597" t="e">
        <f t="shared" si="320"/>
        <v>#REF!</v>
      </c>
      <c r="H2921" s="1644" t="e">
        <f t="shared" si="321"/>
        <v>#REF!</v>
      </c>
      <c r="I2921" s="1597" t="e">
        <f t="shared" si="322"/>
        <v>#REF!</v>
      </c>
      <c r="J2921" s="1644" t="e">
        <f t="shared" si="323"/>
        <v>#REF!</v>
      </c>
      <c r="M2921" s="1545"/>
      <c r="N2921" s="1545"/>
    </row>
    <row r="2922" spans="1:93" ht="15.5">
      <c r="A2922" s="1598">
        <v>74.625</v>
      </c>
      <c r="B2922" s="1599" t="s">
        <v>3964</v>
      </c>
      <c r="C2922" s="1643" t="e">
        <f>+SUMIF(#REF!,Final!A2922,#REF!)</f>
        <v>#REF!</v>
      </c>
      <c r="D2922" s="1597" t="e">
        <f>+SUMIF(#REF!,Final!A2922,#REF!)</f>
        <v>#REF!</v>
      </c>
      <c r="E2922" s="1643" t="e">
        <f>SUMIF(#REF!,Final!A2922,#REF!)</f>
        <v>#REF!</v>
      </c>
      <c r="F2922" s="1644" t="e">
        <f>SUMIF(#REF!,Final!A2922,#REF!)</f>
        <v>#REF!</v>
      </c>
      <c r="G2922" s="1597" t="e">
        <f t="shared" si="320"/>
        <v>#REF!</v>
      </c>
      <c r="H2922" s="1644" t="e">
        <f t="shared" si="321"/>
        <v>#REF!</v>
      </c>
      <c r="I2922" s="1597" t="e">
        <f t="shared" si="322"/>
        <v>#REF!</v>
      </c>
      <c r="J2922" s="1644" t="e">
        <f t="shared" si="323"/>
        <v>#REF!</v>
      </c>
      <c r="M2922" s="1545"/>
      <c r="N2922" s="1545"/>
    </row>
    <row r="2923" spans="1:93" ht="15.5">
      <c r="A2923" s="1598">
        <v>74.626000000000005</v>
      </c>
      <c r="B2923" s="1599" t="s">
        <v>3965</v>
      </c>
      <c r="C2923" s="1643" t="e">
        <f>+SUMIF(#REF!,Final!A2923,#REF!)</f>
        <v>#REF!</v>
      </c>
      <c r="D2923" s="1597" t="e">
        <f>+SUMIF(#REF!,Final!A2923,#REF!)</f>
        <v>#REF!</v>
      </c>
      <c r="E2923" s="1643" t="e">
        <f>SUMIF(#REF!,Final!A2923,#REF!)</f>
        <v>#REF!</v>
      </c>
      <c r="F2923" s="1644" t="e">
        <f>SUMIF(#REF!,Final!A2923,#REF!)</f>
        <v>#REF!</v>
      </c>
      <c r="G2923" s="1597" t="e">
        <f t="shared" si="320"/>
        <v>#REF!</v>
      </c>
      <c r="H2923" s="1644" t="e">
        <f t="shared" si="321"/>
        <v>#REF!</v>
      </c>
      <c r="I2923" s="1597" t="e">
        <f t="shared" si="322"/>
        <v>#REF!</v>
      </c>
      <c r="J2923" s="1644" t="e">
        <f t="shared" si="323"/>
        <v>#REF!</v>
      </c>
      <c r="M2923" s="1545"/>
      <c r="N2923" s="1545"/>
    </row>
    <row r="2924" spans="1:93" ht="15.5">
      <c r="A2924" s="1598">
        <v>74.628</v>
      </c>
      <c r="B2924" s="1599" t="s">
        <v>4579</v>
      </c>
      <c r="C2924" s="1643" t="e">
        <f>+SUMIF(#REF!,Final!A2924,#REF!)</f>
        <v>#REF!</v>
      </c>
      <c r="D2924" s="1597" t="e">
        <f>+SUMIF(#REF!,Final!A2924,#REF!)</f>
        <v>#REF!</v>
      </c>
      <c r="E2924" s="1643" t="e">
        <f>SUMIF(#REF!,Final!A2924,#REF!)</f>
        <v>#REF!</v>
      </c>
      <c r="F2924" s="1644" t="e">
        <f>SUMIF(#REF!,Final!A2924,#REF!)</f>
        <v>#REF!</v>
      </c>
      <c r="G2924" s="1597" t="e">
        <f t="shared" si="320"/>
        <v>#REF!</v>
      </c>
      <c r="H2924" s="1644" t="e">
        <f t="shared" si="321"/>
        <v>#REF!</v>
      </c>
      <c r="I2924" s="1597" t="e">
        <f t="shared" si="322"/>
        <v>#REF!</v>
      </c>
      <c r="J2924" s="1644" t="e">
        <f t="shared" si="323"/>
        <v>#REF!</v>
      </c>
      <c r="M2924" s="1545"/>
      <c r="N2924" s="1545"/>
    </row>
    <row r="2925" spans="1:93" ht="15.5">
      <c r="A2925" s="1598">
        <v>74.629000000000005</v>
      </c>
      <c r="B2925" s="1599" t="s">
        <v>4580</v>
      </c>
      <c r="C2925" s="1643" t="e">
        <f>+SUMIF(#REF!,Final!A2925,#REF!)</f>
        <v>#REF!</v>
      </c>
      <c r="D2925" s="1597" t="e">
        <f>+SUMIF(#REF!,Final!A2925,#REF!)</f>
        <v>#REF!</v>
      </c>
      <c r="E2925" s="1643" t="e">
        <f>SUMIF(#REF!,Final!A2925,#REF!)</f>
        <v>#REF!</v>
      </c>
      <c r="F2925" s="1644" t="e">
        <f>SUMIF(#REF!,Final!A2925,#REF!)</f>
        <v>#REF!</v>
      </c>
      <c r="G2925" s="1597" t="e">
        <f t="shared" si="320"/>
        <v>#REF!</v>
      </c>
      <c r="H2925" s="1644" t="e">
        <f t="shared" si="321"/>
        <v>#REF!</v>
      </c>
      <c r="I2925" s="1597" t="e">
        <f t="shared" si="322"/>
        <v>#REF!</v>
      </c>
      <c r="J2925" s="1644" t="e">
        <f t="shared" si="323"/>
        <v>#REF!</v>
      </c>
      <c r="M2925" s="1545"/>
      <c r="N2925" s="1545"/>
    </row>
    <row r="2926" spans="1:93" ht="15.5">
      <c r="A2926" s="1600">
        <v>74.63</v>
      </c>
      <c r="B2926" s="1599" t="s">
        <v>4581</v>
      </c>
      <c r="C2926" s="1643" t="e">
        <f>+SUMIF(#REF!,Final!A2926,#REF!)</f>
        <v>#REF!</v>
      </c>
      <c r="D2926" s="1597" t="e">
        <f>+SUMIF(#REF!,Final!A2926,#REF!)</f>
        <v>#REF!</v>
      </c>
      <c r="E2926" s="1643" t="e">
        <f>SUMIF(#REF!,Final!A2926,#REF!)</f>
        <v>#REF!</v>
      </c>
      <c r="F2926" s="1644" t="e">
        <f>SUMIF(#REF!,Final!A2926,#REF!)</f>
        <v>#REF!</v>
      </c>
      <c r="G2926" s="1597" t="e">
        <f t="shared" si="320"/>
        <v>#REF!</v>
      </c>
      <c r="H2926" s="1644" t="e">
        <f t="shared" si="321"/>
        <v>#REF!</v>
      </c>
      <c r="I2926" s="1597" t="e">
        <f t="shared" si="322"/>
        <v>#REF!</v>
      </c>
      <c r="J2926" s="1644" t="e">
        <f t="shared" si="323"/>
        <v>#REF!</v>
      </c>
      <c r="M2926" s="1545"/>
      <c r="N2926" s="1545"/>
    </row>
    <row r="2927" spans="1:93" ht="15.5">
      <c r="A2927" s="1690" t="s">
        <v>5063</v>
      </c>
      <c r="B2927" s="1703" t="s">
        <v>5064</v>
      </c>
      <c r="C2927" s="1643" t="e">
        <f>+SUMIF(#REF!,Final!A2927,#REF!)</f>
        <v>#REF!</v>
      </c>
      <c r="D2927" s="1597" t="e">
        <f>+SUMIF(#REF!,Final!A2927,#REF!)</f>
        <v>#REF!</v>
      </c>
      <c r="E2927" s="1643" t="e">
        <f>SUMIF(#REF!,Final!A2927,#REF!)</f>
        <v>#REF!</v>
      </c>
      <c r="F2927" s="1644" t="e">
        <f>SUMIF(#REF!,Final!A2927,#REF!)</f>
        <v>#REF!</v>
      </c>
      <c r="G2927" s="1597" t="e">
        <f t="shared" si="320"/>
        <v>#REF!</v>
      </c>
      <c r="H2927" s="1644" t="e">
        <f t="shared" si="321"/>
        <v>#REF!</v>
      </c>
      <c r="I2927" s="1597" t="e">
        <f t="shared" si="322"/>
        <v>#REF!</v>
      </c>
      <c r="J2927" s="1644" t="e">
        <f t="shared" si="323"/>
        <v>#REF!</v>
      </c>
      <c r="M2927" s="1545"/>
      <c r="N2927" s="1545"/>
    </row>
    <row r="2928" spans="1:93" ht="15.5">
      <c r="A2928" s="1690" t="s">
        <v>5065</v>
      </c>
      <c r="B2928" s="1703" t="s">
        <v>5066</v>
      </c>
      <c r="C2928" s="1643" t="e">
        <f>+SUMIF(#REF!,Final!A2928,#REF!)</f>
        <v>#REF!</v>
      </c>
      <c r="D2928" s="1597" t="e">
        <f>+SUMIF(#REF!,Final!A2928,#REF!)</f>
        <v>#REF!</v>
      </c>
      <c r="E2928" s="1643" t="e">
        <f>SUMIF(#REF!,Final!A2928,#REF!)</f>
        <v>#REF!</v>
      </c>
      <c r="F2928" s="1644" t="e">
        <f>SUMIF(#REF!,Final!A2928,#REF!)</f>
        <v>#REF!</v>
      </c>
      <c r="G2928" s="1597" t="e">
        <f t="shared" si="320"/>
        <v>#REF!</v>
      </c>
      <c r="H2928" s="1644" t="e">
        <f t="shared" si="321"/>
        <v>#REF!</v>
      </c>
      <c r="I2928" s="1597" t="e">
        <f t="shared" si="322"/>
        <v>#REF!</v>
      </c>
      <c r="J2928" s="1644" t="e">
        <f t="shared" si="323"/>
        <v>#REF!</v>
      </c>
      <c r="M2928" s="1545"/>
      <c r="N2928" s="1545"/>
    </row>
    <row r="2929" spans="1:93" ht="15.5">
      <c r="A2929" s="1684" t="s">
        <v>5067</v>
      </c>
      <c r="B2929" s="1703" t="s">
        <v>5068</v>
      </c>
      <c r="C2929" s="1643" t="e">
        <f>+SUMIF(#REF!,Final!A2929,#REF!)</f>
        <v>#REF!</v>
      </c>
      <c r="D2929" s="1597" t="e">
        <f>+SUMIF(#REF!,Final!A2929,#REF!)</f>
        <v>#REF!</v>
      </c>
      <c r="E2929" s="1643" t="e">
        <f>SUMIF(#REF!,Final!A2929,#REF!)</f>
        <v>#REF!</v>
      </c>
      <c r="F2929" s="1644" t="e">
        <f>SUMIF(#REF!,Final!A2929,#REF!)</f>
        <v>#REF!</v>
      </c>
      <c r="G2929" s="1597" t="e">
        <f t="shared" si="320"/>
        <v>#REF!</v>
      </c>
      <c r="H2929" s="1644" t="e">
        <f t="shared" si="321"/>
        <v>#REF!</v>
      </c>
      <c r="I2929" s="1597" t="e">
        <f t="shared" si="322"/>
        <v>#REF!</v>
      </c>
      <c r="J2929" s="1644" t="e">
        <f t="shared" si="323"/>
        <v>#REF!</v>
      </c>
      <c r="M2929" s="1545"/>
      <c r="N2929" s="1545"/>
    </row>
    <row r="2930" spans="1:93" ht="15.5">
      <c r="A2930" s="1790" t="s">
        <v>5301</v>
      </c>
      <c r="B2930" s="1787" t="s">
        <v>3964</v>
      </c>
      <c r="C2930" s="1643" t="e">
        <f>+SUMIF(#REF!,Final!A2930,#REF!)</f>
        <v>#REF!</v>
      </c>
      <c r="D2930" s="1597" t="e">
        <f>+SUMIF(#REF!,Final!A2930,#REF!)</f>
        <v>#REF!</v>
      </c>
      <c r="E2930" s="1643" t="e">
        <f>SUMIF(#REF!,Final!A2930,#REF!)</f>
        <v>#REF!</v>
      </c>
      <c r="F2930" s="1644" t="e">
        <f>SUMIF(#REF!,Final!A2930,#REF!)</f>
        <v>#REF!</v>
      </c>
      <c r="G2930" s="1597" t="e">
        <f t="shared" ref="G2930:G2933" si="324">C2930+E2930</f>
        <v>#REF!</v>
      </c>
      <c r="H2930" s="1644" t="e">
        <f t="shared" ref="H2930:H2933" si="325">D2930+F2930</f>
        <v>#REF!</v>
      </c>
      <c r="I2930" s="1597" t="e">
        <f t="shared" ref="I2930:I2933" si="326">IF(G2930&gt;H2930,G2930-H2930,0)</f>
        <v>#REF!</v>
      </c>
      <c r="J2930" s="1644" t="e">
        <f t="shared" ref="J2930:J2933" si="327">IF(H2930&gt;G2930,H2930-G2930,0)</f>
        <v>#REF!</v>
      </c>
      <c r="M2930" s="1545"/>
      <c r="N2930" s="1545"/>
    </row>
    <row r="2931" spans="1:93" ht="15.5">
      <c r="A2931" s="1790" t="s">
        <v>5302</v>
      </c>
      <c r="B2931" s="1787" t="s">
        <v>3965</v>
      </c>
      <c r="C2931" s="1643" t="e">
        <f>+SUMIF(#REF!,Final!A2931,#REF!)</f>
        <v>#REF!</v>
      </c>
      <c r="D2931" s="1597" t="e">
        <f>+SUMIF(#REF!,Final!A2931,#REF!)</f>
        <v>#REF!</v>
      </c>
      <c r="E2931" s="1643" t="e">
        <f>SUMIF(#REF!,Final!A2931,#REF!)</f>
        <v>#REF!</v>
      </c>
      <c r="F2931" s="1644" t="e">
        <f>SUMIF(#REF!,Final!A2931,#REF!)</f>
        <v>#REF!</v>
      </c>
      <c r="G2931" s="1597" t="e">
        <f t="shared" si="324"/>
        <v>#REF!</v>
      </c>
      <c r="H2931" s="1644" t="e">
        <f t="shared" si="325"/>
        <v>#REF!</v>
      </c>
      <c r="I2931" s="1597" t="e">
        <f t="shared" si="326"/>
        <v>#REF!</v>
      </c>
      <c r="J2931" s="1644" t="e">
        <f t="shared" si="327"/>
        <v>#REF!</v>
      </c>
      <c r="M2931" s="1545"/>
      <c r="N2931" s="1545"/>
    </row>
    <row r="2932" spans="1:93" ht="15.5">
      <c r="A2932" s="1786" t="s">
        <v>5303</v>
      </c>
      <c r="B2932" s="1787" t="s">
        <v>3966</v>
      </c>
      <c r="C2932" s="1643" t="e">
        <f>+SUMIF(#REF!,Final!A2932,#REF!)</f>
        <v>#REF!</v>
      </c>
      <c r="D2932" s="1597" t="e">
        <f>+SUMIF(#REF!,Final!A2932,#REF!)</f>
        <v>#REF!</v>
      </c>
      <c r="E2932" s="1643" t="e">
        <f>SUMIF(#REF!,Final!A2932,#REF!)</f>
        <v>#REF!</v>
      </c>
      <c r="F2932" s="1644" t="e">
        <f>SUMIF(#REF!,Final!A2932,#REF!)</f>
        <v>#REF!</v>
      </c>
      <c r="G2932" s="1597" t="e">
        <f t="shared" si="324"/>
        <v>#REF!</v>
      </c>
      <c r="H2932" s="1644" t="e">
        <f t="shared" si="325"/>
        <v>#REF!</v>
      </c>
      <c r="I2932" s="1597" t="e">
        <f t="shared" si="326"/>
        <v>#REF!</v>
      </c>
      <c r="J2932" s="1644" t="e">
        <f t="shared" si="327"/>
        <v>#REF!</v>
      </c>
      <c r="M2932" s="1545"/>
      <c r="N2932" s="1545"/>
    </row>
    <row r="2933" spans="1:93" ht="15.5">
      <c r="A2933" s="1598">
        <v>74.626999999999995</v>
      </c>
      <c r="B2933" s="1599" t="s">
        <v>3966</v>
      </c>
      <c r="C2933" s="1643" t="e">
        <f>+SUMIF(#REF!,Final!A2933,#REF!)</f>
        <v>#REF!</v>
      </c>
      <c r="D2933" s="1597" t="e">
        <f>+SUMIF(#REF!,Final!A2933,#REF!)</f>
        <v>#REF!</v>
      </c>
      <c r="E2933" s="1643" t="e">
        <f>SUMIF(#REF!,Final!A2933,#REF!)</f>
        <v>#REF!</v>
      </c>
      <c r="F2933" s="1644" t="e">
        <f>SUMIF(#REF!,Final!A2933,#REF!)</f>
        <v>#REF!</v>
      </c>
      <c r="G2933" s="1597" t="e">
        <f t="shared" si="324"/>
        <v>#REF!</v>
      </c>
      <c r="H2933" s="1644" t="e">
        <f t="shared" si="325"/>
        <v>#REF!</v>
      </c>
      <c r="I2933" s="1597" t="e">
        <f t="shared" si="326"/>
        <v>#REF!</v>
      </c>
      <c r="J2933" s="1644" t="e">
        <f t="shared" si="327"/>
        <v>#REF!</v>
      </c>
      <c r="M2933" s="1545"/>
      <c r="N2933" s="1545"/>
    </row>
    <row r="2934" spans="1:93" s="1552" customFormat="1" ht="15.5">
      <c r="A2934" s="1598"/>
      <c r="B2934" s="1599" t="s">
        <v>1747</v>
      </c>
      <c r="C2934" s="1643" t="e">
        <f>+SUMIF(#REF!,Final!A2934,#REF!)</f>
        <v>#REF!</v>
      </c>
      <c r="D2934" s="1597" t="e">
        <f>+SUMIF(#REF!,Final!A2934,#REF!)</f>
        <v>#REF!</v>
      </c>
      <c r="E2934" s="1643" t="e">
        <f>SUMIF(#REF!,Final!A2934,#REF!)</f>
        <v>#REF!</v>
      </c>
      <c r="F2934" s="1644" t="e">
        <f>SUMIF(#REF!,Final!A2934,#REF!)</f>
        <v>#REF!</v>
      </c>
      <c r="G2934" s="1597" t="e">
        <f t="shared" si="320"/>
        <v>#REF!</v>
      </c>
      <c r="H2934" s="1644" t="e">
        <f t="shared" si="321"/>
        <v>#REF!</v>
      </c>
      <c r="I2934" s="1597" t="e">
        <f t="shared" si="322"/>
        <v>#REF!</v>
      </c>
      <c r="J2934" s="1644" t="e">
        <f t="shared" si="323"/>
        <v>#REF!</v>
      </c>
      <c r="K2934" s="1539"/>
      <c r="L2934" s="1539"/>
      <c r="M2934" s="1545"/>
      <c r="N2934" s="1545"/>
      <c r="O2934" s="1539"/>
      <c r="P2934" s="1539"/>
      <c r="Q2934" s="1539"/>
      <c r="R2934" s="1539"/>
      <c r="S2934" s="1539"/>
      <c r="T2934" s="1539"/>
      <c r="U2934" s="1539"/>
      <c r="V2934" s="1539"/>
      <c r="W2934" s="1539"/>
      <c r="X2934" s="1539"/>
      <c r="Y2934" s="1539"/>
      <c r="Z2934" s="1539"/>
      <c r="AA2934" s="1539"/>
      <c r="AB2934" s="1539"/>
      <c r="AC2934" s="1539"/>
      <c r="AD2934" s="1539"/>
      <c r="AE2934" s="1539"/>
      <c r="AF2934" s="1539"/>
      <c r="AG2934" s="1539"/>
      <c r="AH2934" s="1539"/>
      <c r="AI2934" s="1539"/>
      <c r="AJ2934" s="1539"/>
      <c r="AK2934" s="1539"/>
      <c r="AL2934" s="1539"/>
      <c r="AM2934" s="1539"/>
      <c r="AN2934" s="1539"/>
      <c r="AO2934" s="1539"/>
      <c r="AP2934" s="1539"/>
      <c r="AQ2934" s="1539"/>
      <c r="AR2934" s="1539"/>
      <c r="AS2934" s="1539"/>
      <c r="AT2934" s="1539"/>
      <c r="AU2934" s="1539"/>
      <c r="AV2934" s="1539"/>
      <c r="AW2934" s="1539"/>
      <c r="AX2934" s="1539"/>
      <c r="AY2934" s="1539"/>
      <c r="AZ2934" s="1539"/>
      <c r="BA2934" s="1539"/>
      <c r="BB2934" s="1539"/>
      <c r="BC2934" s="1539"/>
      <c r="BD2934" s="1539"/>
      <c r="BE2934" s="1539"/>
      <c r="BF2934" s="1539"/>
      <c r="BG2934" s="1539"/>
      <c r="BH2934" s="1539"/>
      <c r="BI2934" s="1539"/>
      <c r="BJ2934" s="1539"/>
      <c r="BK2934" s="1539"/>
      <c r="BL2934" s="1539"/>
      <c r="BM2934" s="1539"/>
      <c r="BN2934" s="1539"/>
      <c r="BO2934" s="1539"/>
      <c r="BP2934" s="1539"/>
      <c r="BQ2934" s="1539"/>
      <c r="BR2934" s="1539"/>
      <c r="BS2934" s="1539"/>
      <c r="BT2934" s="1539"/>
      <c r="BU2934" s="1539"/>
      <c r="BV2934" s="1539"/>
      <c r="BW2934" s="1539"/>
      <c r="BX2934" s="1539"/>
      <c r="BY2934" s="1539"/>
      <c r="BZ2934" s="1539"/>
      <c r="CA2934" s="1539"/>
      <c r="CB2934" s="1539"/>
      <c r="CC2934" s="1539"/>
      <c r="CD2934" s="1539"/>
      <c r="CE2934" s="1539"/>
      <c r="CF2934" s="1539"/>
      <c r="CG2934" s="1539"/>
      <c r="CH2934" s="1539"/>
      <c r="CI2934" s="1539"/>
      <c r="CJ2934" s="1539"/>
      <c r="CK2934" s="1539"/>
      <c r="CL2934" s="1539"/>
      <c r="CM2934" s="1539"/>
      <c r="CN2934" s="1539"/>
      <c r="CO2934" s="1539"/>
    </row>
    <row r="2935" spans="1:93" s="1552" customFormat="1" ht="15.5">
      <c r="A2935" s="1598"/>
      <c r="B2935" s="1599" t="s">
        <v>1760</v>
      </c>
      <c r="C2935" s="1643" t="e">
        <f>+SUMIF(#REF!,Final!A2935,#REF!)</f>
        <v>#REF!</v>
      </c>
      <c r="D2935" s="1597" t="e">
        <f>+SUMIF(#REF!,Final!A2935,#REF!)</f>
        <v>#REF!</v>
      </c>
      <c r="E2935" s="1643" t="e">
        <f>SUMIF(#REF!,Final!A2935,#REF!)</f>
        <v>#REF!</v>
      </c>
      <c r="F2935" s="1644" t="e">
        <f>SUMIF(#REF!,Final!A2935,#REF!)</f>
        <v>#REF!</v>
      </c>
      <c r="G2935" s="1597" t="e">
        <f t="shared" si="320"/>
        <v>#REF!</v>
      </c>
      <c r="H2935" s="1644" t="e">
        <f t="shared" si="321"/>
        <v>#REF!</v>
      </c>
      <c r="I2935" s="1597" t="e">
        <f t="shared" si="322"/>
        <v>#REF!</v>
      </c>
      <c r="J2935" s="1644" t="e">
        <f t="shared" si="323"/>
        <v>#REF!</v>
      </c>
      <c r="K2935" s="1539"/>
      <c r="L2935" s="1539"/>
      <c r="M2935" s="1545"/>
      <c r="N2935" s="1545"/>
      <c r="O2935" s="1539"/>
      <c r="P2935" s="1539"/>
      <c r="Q2935" s="1539"/>
      <c r="R2935" s="1539"/>
      <c r="S2935" s="1539"/>
      <c r="T2935" s="1539"/>
      <c r="U2935" s="1539"/>
      <c r="V2935" s="1539"/>
      <c r="W2935" s="1539"/>
      <c r="X2935" s="1539"/>
      <c r="Y2935" s="1539"/>
      <c r="Z2935" s="1539"/>
      <c r="AA2935" s="1539"/>
      <c r="AB2935" s="1539"/>
      <c r="AC2935" s="1539"/>
      <c r="AD2935" s="1539"/>
      <c r="AE2935" s="1539"/>
      <c r="AF2935" s="1539"/>
      <c r="AG2935" s="1539"/>
      <c r="AH2935" s="1539"/>
      <c r="AI2935" s="1539"/>
      <c r="AJ2935" s="1539"/>
      <c r="AK2935" s="1539"/>
      <c r="AL2935" s="1539"/>
      <c r="AM2935" s="1539"/>
      <c r="AN2935" s="1539"/>
      <c r="AO2935" s="1539"/>
      <c r="AP2935" s="1539"/>
      <c r="AQ2935" s="1539"/>
      <c r="AR2935" s="1539"/>
      <c r="AS2935" s="1539"/>
      <c r="AT2935" s="1539"/>
      <c r="AU2935" s="1539"/>
      <c r="AV2935" s="1539"/>
      <c r="AW2935" s="1539"/>
      <c r="AX2935" s="1539"/>
      <c r="AY2935" s="1539"/>
      <c r="AZ2935" s="1539"/>
      <c r="BA2935" s="1539"/>
      <c r="BB2935" s="1539"/>
      <c r="BC2935" s="1539"/>
      <c r="BD2935" s="1539"/>
      <c r="BE2935" s="1539"/>
      <c r="BF2935" s="1539"/>
      <c r="BG2935" s="1539"/>
      <c r="BH2935" s="1539"/>
      <c r="BI2935" s="1539"/>
      <c r="BJ2935" s="1539"/>
      <c r="BK2935" s="1539"/>
      <c r="BL2935" s="1539"/>
      <c r="BM2935" s="1539"/>
      <c r="BN2935" s="1539"/>
      <c r="BO2935" s="1539"/>
      <c r="BP2935" s="1539"/>
      <c r="BQ2935" s="1539"/>
      <c r="BR2935" s="1539"/>
      <c r="BS2935" s="1539"/>
      <c r="BT2935" s="1539"/>
      <c r="BU2935" s="1539"/>
      <c r="BV2935" s="1539"/>
      <c r="BW2935" s="1539"/>
      <c r="BX2935" s="1539"/>
      <c r="BY2935" s="1539"/>
      <c r="BZ2935" s="1539"/>
      <c r="CA2935" s="1539"/>
      <c r="CB2935" s="1539"/>
      <c r="CC2935" s="1539"/>
      <c r="CD2935" s="1539"/>
      <c r="CE2935" s="1539"/>
      <c r="CF2935" s="1539"/>
      <c r="CG2935" s="1539"/>
      <c r="CH2935" s="1539"/>
      <c r="CI2935" s="1539"/>
      <c r="CJ2935" s="1539"/>
      <c r="CK2935" s="1539"/>
      <c r="CL2935" s="1539"/>
      <c r="CM2935" s="1539"/>
      <c r="CN2935" s="1539"/>
      <c r="CO2935" s="1539"/>
    </row>
    <row r="2936" spans="1:93" s="1542" customFormat="1" ht="15.5">
      <c r="A2936" s="1598" t="s">
        <v>1768</v>
      </c>
      <c r="B2936" s="1599" t="s">
        <v>3163</v>
      </c>
      <c r="C2936" s="1643" t="e">
        <f>+SUMIF(#REF!,Final!A2936,#REF!)</f>
        <v>#REF!</v>
      </c>
      <c r="D2936" s="1597" t="e">
        <f>+SUMIF(#REF!,Final!A2936,#REF!)</f>
        <v>#REF!</v>
      </c>
      <c r="E2936" s="1643" t="e">
        <f>SUMIF(#REF!,Final!A2936,#REF!)</f>
        <v>#REF!</v>
      </c>
      <c r="F2936" s="1644" t="e">
        <f>SUMIF(#REF!,Final!A2936,#REF!)</f>
        <v>#REF!</v>
      </c>
      <c r="G2936" s="1597" t="e">
        <f t="shared" si="320"/>
        <v>#REF!</v>
      </c>
      <c r="H2936" s="1644" t="e">
        <f t="shared" si="321"/>
        <v>#REF!</v>
      </c>
      <c r="I2936" s="1597" t="e">
        <f t="shared" si="322"/>
        <v>#REF!</v>
      </c>
      <c r="J2936" s="1644" t="e">
        <f t="shared" si="323"/>
        <v>#REF!</v>
      </c>
      <c r="K2936" s="1539"/>
      <c r="L2936" s="1539"/>
      <c r="M2936" s="1545"/>
      <c r="N2936" s="1545"/>
      <c r="O2936" s="1539"/>
      <c r="P2936" s="1539"/>
      <c r="Q2936" s="1539"/>
      <c r="R2936" s="1539"/>
      <c r="S2936" s="1539"/>
      <c r="T2936" s="1539"/>
      <c r="U2936" s="1539"/>
      <c r="V2936" s="1539"/>
      <c r="W2936" s="1539"/>
      <c r="X2936" s="1539"/>
      <c r="Y2936" s="1539"/>
      <c r="Z2936" s="1539"/>
      <c r="AA2936" s="1539"/>
      <c r="AB2936" s="1539"/>
      <c r="AC2936" s="1539"/>
      <c r="AD2936" s="1539"/>
      <c r="AE2936" s="1539"/>
      <c r="AF2936" s="1539"/>
      <c r="AG2936" s="1539"/>
      <c r="AH2936" s="1539"/>
      <c r="AI2936" s="1539"/>
      <c r="AJ2936" s="1539"/>
      <c r="AK2936" s="1539"/>
      <c r="AL2936" s="1539"/>
      <c r="AM2936" s="1539"/>
      <c r="AN2936" s="1539"/>
      <c r="AO2936" s="1539"/>
      <c r="AP2936" s="1539"/>
      <c r="AQ2936" s="1539"/>
      <c r="AR2936" s="1539"/>
      <c r="AS2936" s="1539"/>
      <c r="AT2936" s="1539"/>
      <c r="AU2936" s="1539"/>
      <c r="AV2936" s="1539"/>
      <c r="AW2936" s="1539"/>
      <c r="AX2936" s="1539"/>
      <c r="AY2936" s="1539"/>
      <c r="AZ2936" s="1539"/>
      <c r="BA2936" s="1539"/>
      <c r="BB2936" s="1539"/>
      <c r="BC2936" s="1539"/>
      <c r="BD2936" s="1539"/>
      <c r="BE2936" s="1539"/>
      <c r="BF2936" s="1539"/>
      <c r="BG2936" s="1539"/>
      <c r="BH2936" s="1539"/>
      <c r="BI2936" s="1539"/>
      <c r="BJ2936" s="1539"/>
      <c r="BK2936" s="1539"/>
      <c r="BL2936" s="1539"/>
      <c r="BM2936" s="1539"/>
      <c r="BN2936" s="1539"/>
      <c r="BO2936" s="1539"/>
      <c r="BP2936" s="1539"/>
      <c r="BQ2936" s="1539"/>
      <c r="BR2936" s="1539"/>
      <c r="BS2936" s="1539"/>
      <c r="BT2936" s="1539"/>
      <c r="BU2936" s="1539"/>
      <c r="BV2936" s="1539"/>
      <c r="BW2936" s="1539"/>
      <c r="BX2936" s="1539"/>
      <c r="BY2936" s="1539"/>
      <c r="BZ2936" s="1539"/>
      <c r="CA2936" s="1539"/>
      <c r="CB2936" s="1539"/>
      <c r="CC2936" s="1539"/>
      <c r="CD2936" s="1539"/>
      <c r="CE2936" s="1539"/>
      <c r="CF2936" s="1539"/>
      <c r="CG2936" s="1539"/>
      <c r="CH2936" s="1539"/>
      <c r="CI2936" s="1539"/>
      <c r="CJ2936" s="1539"/>
      <c r="CK2936" s="1539"/>
      <c r="CL2936" s="1539"/>
      <c r="CM2936" s="1539"/>
      <c r="CN2936" s="1539"/>
      <c r="CO2936" s="1539"/>
    </row>
    <row r="2937" spans="1:93" ht="15.5">
      <c r="A2937" s="1598">
        <v>74.704999999999998</v>
      </c>
      <c r="B2937" s="1599" t="s">
        <v>3164</v>
      </c>
      <c r="C2937" s="1643" t="e">
        <f>+SUMIF(#REF!,Final!A2937,#REF!)</f>
        <v>#REF!</v>
      </c>
      <c r="D2937" s="1597" t="e">
        <f>+SUMIF(#REF!,Final!A2937,#REF!)</f>
        <v>#REF!</v>
      </c>
      <c r="E2937" s="1643" t="e">
        <f>SUMIF(#REF!,Final!A2937,#REF!)</f>
        <v>#REF!</v>
      </c>
      <c r="F2937" s="1644" t="e">
        <f>SUMIF(#REF!,Final!A2937,#REF!)</f>
        <v>#REF!</v>
      </c>
      <c r="G2937" s="1597" t="e">
        <f t="shared" si="320"/>
        <v>#REF!</v>
      </c>
      <c r="H2937" s="1644" t="e">
        <f t="shared" si="321"/>
        <v>#REF!</v>
      </c>
      <c r="I2937" s="1597" t="e">
        <f t="shared" si="322"/>
        <v>#REF!</v>
      </c>
      <c r="J2937" s="1644" t="e">
        <f t="shared" si="323"/>
        <v>#REF!</v>
      </c>
      <c r="M2937" s="1545"/>
      <c r="N2937" s="1545"/>
    </row>
    <row r="2938" spans="1:93" ht="15.5">
      <c r="A2938" s="1598">
        <v>74.706000000000003</v>
      </c>
      <c r="B2938" s="1599" t="s">
        <v>3165</v>
      </c>
      <c r="C2938" s="1643" t="e">
        <f>+SUMIF(#REF!,Final!A2938,#REF!)</f>
        <v>#REF!</v>
      </c>
      <c r="D2938" s="1597" t="e">
        <f>+SUMIF(#REF!,Final!A2938,#REF!)</f>
        <v>#REF!</v>
      </c>
      <c r="E2938" s="1643" t="e">
        <f>SUMIF(#REF!,Final!A2938,#REF!)</f>
        <v>#REF!</v>
      </c>
      <c r="F2938" s="1644" t="e">
        <f>SUMIF(#REF!,Final!A2938,#REF!)</f>
        <v>#REF!</v>
      </c>
      <c r="G2938" s="1597" t="e">
        <f t="shared" si="320"/>
        <v>#REF!</v>
      </c>
      <c r="H2938" s="1644" t="e">
        <f t="shared" si="321"/>
        <v>#REF!</v>
      </c>
      <c r="I2938" s="1597" t="e">
        <f t="shared" si="322"/>
        <v>#REF!</v>
      </c>
      <c r="J2938" s="1644" t="e">
        <f t="shared" si="323"/>
        <v>#REF!</v>
      </c>
      <c r="M2938" s="1545"/>
      <c r="N2938" s="1545"/>
    </row>
    <row r="2939" spans="1:93" ht="15.5">
      <c r="A2939" s="1598">
        <v>74.707999999999998</v>
      </c>
      <c r="B2939" s="1599" t="s">
        <v>3166</v>
      </c>
      <c r="C2939" s="1643" t="e">
        <f>+SUMIF(#REF!,Final!A2939,#REF!)</f>
        <v>#REF!</v>
      </c>
      <c r="D2939" s="1597" t="e">
        <f>+SUMIF(#REF!,Final!A2939,#REF!)</f>
        <v>#REF!</v>
      </c>
      <c r="E2939" s="1643" t="e">
        <f>SUMIF(#REF!,Final!A2939,#REF!)</f>
        <v>#REF!</v>
      </c>
      <c r="F2939" s="1644" t="e">
        <f>SUMIF(#REF!,Final!A2939,#REF!)</f>
        <v>#REF!</v>
      </c>
      <c r="G2939" s="1597" t="e">
        <f t="shared" si="320"/>
        <v>#REF!</v>
      </c>
      <c r="H2939" s="1644" t="e">
        <f t="shared" si="321"/>
        <v>#REF!</v>
      </c>
      <c r="I2939" s="1597" t="e">
        <f t="shared" si="322"/>
        <v>#REF!</v>
      </c>
      <c r="J2939" s="1644" t="e">
        <f t="shared" si="323"/>
        <v>#REF!</v>
      </c>
      <c r="M2939" s="1545"/>
      <c r="N2939" s="1545"/>
    </row>
    <row r="2940" spans="1:93" ht="15.5">
      <c r="A2940" s="1598">
        <v>74.709000000000003</v>
      </c>
      <c r="B2940" s="1599" t="s">
        <v>3167</v>
      </c>
      <c r="C2940" s="1643" t="e">
        <f>+SUMIF(#REF!,Final!A2940,#REF!)</f>
        <v>#REF!</v>
      </c>
      <c r="D2940" s="1597" t="e">
        <f>+SUMIF(#REF!,Final!A2940,#REF!)</f>
        <v>#REF!</v>
      </c>
      <c r="E2940" s="1643" t="e">
        <f>SUMIF(#REF!,Final!A2940,#REF!)</f>
        <v>#REF!</v>
      </c>
      <c r="F2940" s="1644" t="e">
        <f>SUMIF(#REF!,Final!A2940,#REF!)</f>
        <v>#REF!</v>
      </c>
      <c r="G2940" s="1597" t="e">
        <f t="shared" si="320"/>
        <v>#REF!</v>
      </c>
      <c r="H2940" s="1644" t="e">
        <f t="shared" si="321"/>
        <v>#REF!</v>
      </c>
      <c r="I2940" s="1597" t="e">
        <f t="shared" si="322"/>
        <v>#REF!</v>
      </c>
      <c r="J2940" s="1644" t="e">
        <f t="shared" si="323"/>
        <v>#REF!</v>
      </c>
      <c r="M2940" s="1545"/>
      <c r="N2940" s="1545"/>
    </row>
    <row r="2941" spans="1:93" ht="15.5">
      <c r="A2941" s="1598">
        <v>74.710999999999999</v>
      </c>
      <c r="B2941" s="1599" t="s">
        <v>3168</v>
      </c>
      <c r="C2941" s="1643" t="e">
        <f>+SUMIF(#REF!,Final!A2941,#REF!)</f>
        <v>#REF!</v>
      </c>
      <c r="D2941" s="1597" t="e">
        <f>+SUMIF(#REF!,Final!A2941,#REF!)</f>
        <v>#REF!</v>
      </c>
      <c r="E2941" s="1643" t="e">
        <f>SUMIF(#REF!,Final!A2941,#REF!)</f>
        <v>#REF!</v>
      </c>
      <c r="F2941" s="1644" t="e">
        <f>SUMIF(#REF!,Final!A2941,#REF!)</f>
        <v>#REF!</v>
      </c>
      <c r="G2941" s="1597" t="e">
        <f t="shared" si="320"/>
        <v>#REF!</v>
      </c>
      <c r="H2941" s="1644" t="e">
        <f t="shared" si="321"/>
        <v>#REF!</v>
      </c>
      <c r="I2941" s="1597" t="e">
        <f t="shared" si="322"/>
        <v>#REF!</v>
      </c>
      <c r="J2941" s="1644" t="e">
        <f t="shared" si="323"/>
        <v>#REF!</v>
      </c>
      <c r="M2941" s="1545"/>
      <c r="N2941" s="1545"/>
    </row>
    <row r="2942" spans="1:93" ht="15.5">
      <c r="A2942" s="1598">
        <v>74.712000000000003</v>
      </c>
      <c r="B2942" s="1599" t="s">
        <v>3169</v>
      </c>
      <c r="C2942" s="1643" t="e">
        <f>+SUMIF(#REF!,Final!A2942,#REF!)</f>
        <v>#REF!</v>
      </c>
      <c r="D2942" s="1597" t="e">
        <f>+SUMIF(#REF!,Final!A2942,#REF!)</f>
        <v>#REF!</v>
      </c>
      <c r="E2942" s="1643" t="e">
        <f>SUMIF(#REF!,Final!A2942,#REF!)</f>
        <v>#REF!</v>
      </c>
      <c r="F2942" s="1644" t="e">
        <f>SUMIF(#REF!,Final!A2942,#REF!)</f>
        <v>#REF!</v>
      </c>
      <c r="G2942" s="1597" t="e">
        <f t="shared" si="320"/>
        <v>#REF!</v>
      </c>
      <c r="H2942" s="1644" t="e">
        <f t="shared" si="321"/>
        <v>#REF!</v>
      </c>
      <c r="I2942" s="1597" t="e">
        <f t="shared" si="322"/>
        <v>#REF!</v>
      </c>
      <c r="J2942" s="1644" t="e">
        <f t="shared" si="323"/>
        <v>#REF!</v>
      </c>
      <c r="M2942" s="1545"/>
      <c r="N2942" s="1545"/>
    </row>
    <row r="2943" spans="1:93" ht="15.5">
      <c r="A2943" s="1598">
        <v>74.715999999999994</v>
      </c>
      <c r="B2943" s="1599" t="s">
        <v>3170</v>
      </c>
      <c r="C2943" s="1643" t="e">
        <f>+SUMIF(#REF!,Final!A2943,#REF!)</f>
        <v>#REF!</v>
      </c>
      <c r="D2943" s="1597" t="e">
        <f>+SUMIF(#REF!,Final!A2943,#REF!)</f>
        <v>#REF!</v>
      </c>
      <c r="E2943" s="1643" t="e">
        <f>SUMIF(#REF!,Final!A2943,#REF!)</f>
        <v>#REF!</v>
      </c>
      <c r="F2943" s="1644" t="e">
        <f>SUMIF(#REF!,Final!A2943,#REF!)</f>
        <v>#REF!</v>
      </c>
      <c r="G2943" s="1597" t="e">
        <f t="shared" si="320"/>
        <v>#REF!</v>
      </c>
      <c r="H2943" s="1644" t="e">
        <f t="shared" si="321"/>
        <v>#REF!</v>
      </c>
      <c r="I2943" s="1597" t="e">
        <f t="shared" si="322"/>
        <v>#REF!</v>
      </c>
      <c r="J2943" s="1644" t="e">
        <f t="shared" si="323"/>
        <v>#REF!</v>
      </c>
      <c r="M2943" s="1545"/>
      <c r="N2943" s="1545"/>
    </row>
    <row r="2944" spans="1:93" ht="15.5">
      <c r="A2944" s="1598">
        <v>74.716999999999999</v>
      </c>
      <c r="B2944" s="1599" t="s">
        <v>3171</v>
      </c>
      <c r="C2944" s="1643" t="e">
        <f>+SUMIF(#REF!,Final!A2944,#REF!)</f>
        <v>#REF!</v>
      </c>
      <c r="D2944" s="1597" t="e">
        <f>+SUMIF(#REF!,Final!A2944,#REF!)</f>
        <v>#REF!</v>
      </c>
      <c r="E2944" s="1643" t="e">
        <f>SUMIF(#REF!,Final!A2944,#REF!)</f>
        <v>#REF!</v>
      </c>
      <c r="F2944" s="1644" t="e">
        <f>SUMIF(#REF!,Final!A2944,#REF!)</f>
        <v>#REF!</v>
      </c>
      <c r="G2944" s="1597" t="e">
        <f t="shared" si="320"/>
        <v>#REF!</v>
      </c>
      <c r="H2944" s="1644" t="e">
        <f t="shared" si="321"/>
        <v>#REF!</v>
      </c>
      <c r="I2944" s="1597" t="e">
        <f t="shared" si="322"/>
        <v>#REF!</v>
      </c>
      <c r="J2944" s="1644" t="e">
        <f t="shared" si="323"/>
        <v>#REF!</v>
      </c>
      <c r="M2944" s="1545"/>
      <c r="N2944" s="1545"/>
    </row>
    <row r="2945" spans="1:93" ht="15.5">
      <c r="A2945" s="1598">
        <v>74.718000000000004</v>
      </c>
      <c r="B2945" s="1599" t="s">
        <v>3172</v>
      </c>
      <c r="C2945" s="1643" t="e">
        <f>+SUMIF(#REF!,Final!A2945,#REF!)</f>
        <v>#REF!</v>
      </c>
      <c r="D2945" s="1597" t="e">
        <f>+SUMIF(#REF!,Final!A2945,#REF!)</f>
        <v>#REF!</v>
      </c>
      <c r="E2945" s="1643" t="e">
        <f>SUMIF(#REF!,Final!A2945,#REF!)</f>
        <v>#REF!</v>
      </c>
      <c r="F2945" s="1644" t="e">
        <f>SUMIF(#REF!,Final!A2945,#REF!)</f>
        <v>#REF!</v>
      </c>
      <c r="G2945" s="1597" t="e">
        <f t="shared" si="320"/>
        <v>#REF!</v>
      </c>
      <c r="H2945" s="1644" t="e">
        <f t="shared" si="321"/>
        <v>#REF!</v>
      </c>
      <c r="I2945" s="1597" t="e">
        <f t="shared" si="322"/>
        <v>#REF!</v>
      </c>
      <c r="J2945" s="1644" t="e">
        <f t="shared" si="323"/>
        <v>#REF!</v>
      </c>
      <c r="M2945" s="1545"/>
      <c r="N2945" s="1545"/>
    </row>
    <row r="2946" spans="1:93" ht="15.5">
      <c r="A2946" s="1598">
        <v>74.718999999999994</v>
      </c>
      <c r="B2946" s="1599" t="s">
        <v>3173</v>
      </c>
      <c r="C2946" s="1643" t="e">
        <f>+SUMIF(#REF!,Final!A2946,#REF!)</f>
        <v>#REF!</v>
      </c>
      <c r="D2946" s="1597" t="e">
        <f>+SUMIF(#REF!,Final!A2946,#REF!)</f>
        <v>#REF!</v>
      </c>
      <c r="E2946" s="1643" t="e">
        <f>SUMIF(#REF!,Final!A2946,#REF!)</f>
        <v>#REF!</v>
      </c>
      <c r="F2946" s="1644" t="e">
        <f>SUMIF(#REF!,Final!A2946,#REF!)</f>
        <v>#REF!</v>
      </c>
      <c r="G2946" s="1597" t="e">
        <f t="shared" si="320"/>
        <v>#REF!</v>
      </c>
      <c r="H2946" s="1644" t="e">
        <f t="shared" si="321"/>
        <v>#REF!</v>
      </c>
      <c r="I2946" s="1597" t="e">
        <f t="shared" si="322"/>
        <v>#REF!</v>
      </c>
      <c r="J2946" s="1644" t="e">
        <f t="shared" si="323"/>
        <v>#REF!</v>
      </c>
      <c r="M2946" s="1545"/>
      <c r="N2946" s="1545"/>
    </row>
    <row r="2947" spans="1:93" ht="15.5">
      <c r="A2947" s="1598">
        <v>74.72</v>
      </c>
      <c r="B2947" s="1599" t="s">
        <v>3174</v>
      </c>
      <c r="C2947" s="1643" t="e">
        <f>+SUMIF(#REF!,Final!A2947,#REF!)</f>
        <v>#REF!</v>
      </c>
      <c r="D2947" s="1597" t="e">
        <f>+SUMIF(#REF!,Final!A2947,#REF!)</f>
        <v>#REF!</v>
      </c>
      <c r="E2947" s="1643" t="e">
        <f>SUMIF(#REF!,Final!A2947,#REF!)</f>
        <v>#REF!</v>
      </c>
      <c r="F2947" s="1644" t="e">
        <f>SUMIF(#REF!,Final!A2947,#REF!)</f>
        <v>#REF!</v>
      </c>
      <c r="G2947" s="1597" t="e">
        <f t="shared" si="320"/>
        <v>#REF!</v>
      </c>
      <c r="H2947" s="1644" t="e">
        <f t="shared" si="321"/>
        <v>#REF!</v>
      </c>
      <c r="I2947" s="1597" t="e">
        <f t="shared" si="322"/>
        <v>#REF!</v>
      </c>
      <c r="J2947" s="1644" t="e">
        <f t="shared" si="323"/>
        <v>#REF!</v>
      </c>
      <c r="M2947" s="1545"/>
      <c r="N2947" s="1545"/>
    </row>
    <row r="2948" spans="1:93" ht="15.5">
      <c r="A2948" s="1598">
        <v>74.721000000000004</v>
      </c>
      <c r="B2948" s="1599" t="s">
        <v>3175</v>
      </c>
      <c r="C2948" s="1643" t="e">
        <f>+SUMIF(#REF!,Final!A2948,#REF!)</f>
        <v>#REF!</v>
      </c>
      <c r="D2948" s="1597" t="e">
        <f>+SUMIF(#REF!,Final!A2948,#REF!)</f>
        <v>#REF!</v>
      </c>
      <c r="E2948" s="1643" t="e">
        <f>SUMIF(#REF!,Final!A2948,#REF!)</f>
        <v>#REF!</v>
      </c>
      <c r="F2948" s="1644" t="e">
        <f>SUMIF(#REF!,Final!A2948,#REF!)</f>
        <v>#REF!</v>
      </c>
      <c r="G2948" s="1597" t="e">
        <f t="shared" si="320"/>
        <v>#REF!</v>
      </c>
      <c r="H2948" s="1644" t="e">
        <f t="shared" si="321"/>
        <v>#REF!</v>
      </c>
      <c r="I2948" s="1597" t="e">
        <f t="shared" si="322"/>
        <v>#REF!</v>
      </c>
      <c r="J2948" s="1644" t="e">
        <f t="shared" si="323"/>
        <v>#REF!</v>
      </c>
      <c r="M2948" s="1545"/>
      <c r="N2948" s="1545"/>
    </row>
    <row r="2949" spans="1:93" s="1542" customFormat="1" ht="15.5">
      <c r="A2949" s="1598">
        <v>74.721999999999994</v>
      </c>
      <c r="B2949" s="1599" t="s">
        <v>3176</v>
      </c>
      <c r="C2949" s="1643" t="e">
        <f>+SUMIF(#REF!,Final!A2949,#REF!)</f>
        <v>#REF!</v>
      </c>
      <c r="D2949" s="1597" t="e">
        <f>+SUMIF(#REF!,Final!A2949,#REF!)</f>
        <v>#REF!</v>
      </c>
      <c r="E2949" s="1643" t="e">
        <f>SUMIF(#REF!,Final!A2949,#REF!)</f>
        <v>#REF!</v>
      </c>
      <c r="F2949" s="1644" t="e">
        <f>SUMIF(#REF!,Final!A2949,#REF!)</f>
        <v>#REF!</v>
      </c>
      <c r="G2949" s="1597" t="e">
        <f t="shared" si="320"/>
        <v>#REF!</v>
      </c>
      <c r="H2949" s="1644" t="e">
        <f t="shared" si="321"/>
        <v>#REF!</v>
      </c>
      <c r="I2949" s="1597" t="e">
        <f t="shared" si="322"/>
        <v>#REF!</v>
      </c>
      <c r="J2949" s="1644" t="e">
        <f t="shared" si="323"/>
        <v>#REF!</v>
      </c>
      <c r="K2949" s="1539"/>
      <c r="L2949" s="1539"/>
      <c r="M2949" s="1545"/>
      <c r="N2949" s="1545"/>
      <c r="O2949" s="1539"/>
      <c r="P2949" s="1539"/>
      <c r="Q2949" s="1539"/>
      <c r="R2949" s="1539"/>
      <c r="S2949" s="1539"/>
      <c r="T2949" s="1539"/>
      <c r="U2949" s="1539"/>
      <c r="V2949" s="1539"/>
      <c r="W2949" s="1539"/>
      <c r="X2949" s="1539"/>
      <c r="Y2949" s="1539"/>
      <c r="Z2949" s="1539"/>
      <c r="AA2949" s="1539"/>
      <c r="AB2949" s="1539"/>
      <c r="AC2949" s="1539"/>
      <c r="AD2949" s="1539"/>
      <c r="AE2949" s="1539"/>
      <c r="AF2949" s="1539"/>
      <c r="AG2949" s="1539"/>
      <c r="AH2949" s="1539"/>
      <c r="AI2949" s="1539"/>
      <c r="AJ2949" s="1539"/>
      <c r="AK2949" s="1539"/>
      <c r="AL2949" s="1539"/>
      <c r="AM2949" s="1539"/>
      <c r="AN2949" s="1539"/>
      <c r="AO2949" s="1539"/>
      <c r="AP2949" s="1539"/>
      <c r="AQ2949" s="1539"/>
      <c r="AR2949" s="1539"/>
      <c r="AS2949" s="1539"/>
      <c r="AT2949" s="1539"/>
      <c r="AU2949" s="1539"/>
      <c r="AV2949" s="1539"/>
      <c r="AW2949" s="1539"/>
      <c r="AX2949" s="1539"/>
      <c r="AY2949" s="1539"/>
      <c r="AZ2949" s="1539"/>
      <c r="BA2949" s="1539"/>
      <c r="BB2949" s="1539"/>
      <c r="BC2949" s="1539"/>
      <c r="BD2949" s="1539"/>
      <c r="BE2949" s="1539"/>
      <c r="BF2949" s="1539"/>
      <c r="BG2949" s="1539"/>
      <c r="BH2949" s="1539"/>
      <c r="BI2949" s="1539"/>
      <c r="BJ2949" s="1539"/>
      <c r="BK2949" s="1539"/>
      <c r="BL2949" s="1539"/>
      <c r="BM2949" s="1539"/>
      <c r="BN2949" s="1539"/>
      <c r="BO2949" s="1539"/>
      <c r="BP2949" s="1539"/>
      <c r="BQ2949" s="1539"/>
      <c r="BR2949" s="1539"/>
      <c r="BS2949" s="1539"/>
      <c r="BT2949" s="1539"/>
      <c r="BU2949" s="1539"/>
      <c r="BV2949" s="1539"/>
      <c r="BW2949" s="1539"/>
      <c r="BX2949" s="1539"/>
      <c r="BY2949" s="1539"/>
      <c r="BZ2949" s="1539"/>
      <c r="CA2949" s="1539"/>
      <c r="CB2949" s="1539"/>
      <c r="CC2949" s="1539"/>
      <c r="CD2949" s="1539"/>
      <c r="CE2949" s="1539"/>
      <c r="CF2949" s="1539"/>
      <c r="CG2949" s="1539"/>
      <c r="CH2949" s="1539"/>
      <c r="CI2949" s="1539"/>
      <c r="CJ2949" s="1539"/>
      <c r="CK2949" s="1539"/>
      <c r="CL2949" s="1539"/>
      <c r="CM2949" s="1539"/>
      <c r="CN2949" s="1539"/>
      <c r="CO2949" s="1539"/>
    </row>
    <row r="2950" spans="1:93" ht="15.5">
      <c r="A2950" s="1598">
        <v>74.722999999999999</v>
      </c>
      <c r="B2950" s="1599" t="s">
        <v>3177</v>
      </c>
      <c r="C2950" s="1643" t="e">
        <f>+SUMIF(#REF!,Final!A2950,#REF!)</f>
        <v>#REF!</v>
      </c>
      <c r="D2950" s="1597" t="e">
        <f>+SUMIF(#REF!,Final!A2950,#REF!)</f>
        <v>#REF!</v>
      </c>
      <c r="E2950" s="1643" t="e">
        <f>SUMIF(#REF!,Final!A2950,#REF!)</f>
        <v>#REF!</v>
      </c>
      <c r="F2950" s="1644" t="e">
        <f>SUMIF(#REF!,Final!A2950,#REF!)</f>
        <v>#REF!</v>
      </c>
      <c r="G2950" s="1597" t="e">
        <f t="shared" si="320"/>
        <v>#REF!</v>
      </c>
      <c r="H2950" s="1644" t="e">
        <f t="shared" si="321"/>
        <v>#REF!</v>
      </c>
      <c r="I2950" s="1597" t="e">
        <f t="shared" si="322"/>
        <v>#REF!</v>
      </c>
      <c r="J2950" s="1644" t="e">
        <f t="shared" si="323"/>
        <v>#REF!</v>
      </c>
      <c r="M2950" s="1545"/>
      <c r="N2950" s="1545"/>
    </row>
    <row r="2951" spans="1:93" ht="15.5">
      <c r="A2951" s="1598">
        <v>74.724000000000004</v>
      </c>
      <c r="B2951" s="1599" t="s">
        <v>3178</v>
      </c>
      <c r="C2951" s="1643" t="e">
        <f>+SUMIF(#REF!,Final!A2951,#REF!)</f>
        <v>#REF!</v>
      </c>
      <c r="D2951" s="1597" t="e">
        <f>+SUMIF(#REF!,Final!A2951,#REF!)</f>
        <v>#REF!</v>
      </c>
      <c r="E2951" s="1643" t="e">
        <f>SUMIF(#REF!,Final!A2951,#REF!)</f>
        <v>#REF!</v>
      </c>
      <c r="F2951" s="1644" t="e">
        <f>SUMIF(#REF!,Final!A2951,#REF!)</f>
        <v>#REF!</v>
      </c>
      <c r="G2951" s="1597" t="e">
        <f t="shared" si="320"/>
        <v>#REF!</v>
      </c>
      <c r="H2951" s="1644" t="e">
        <f t="shared" si="321"/>
        <v>#REF!</v>
      </c>
      <c r="I2951" s="1597" t="e">
        <f t="shared" si="322"/>
        <v>#REF!</v>
      </c>
      <c r="J2951" s="1644" t="e">
        <f t="shared" si="323"/>
        <v>#REF!</v>
      </c>
      <c r="M2951" s="1545"/>
      <c r="N2951" s="1545"/>
    </row>
    <row r="2952" spans="1:93" ht="15.5">
      <c r="A2952" s="1598">
        <v>74.724999999999994</v>
      </c>
      <c r="B2952" s="1599" t="s">
        <v>3967</v>
      </c>
      <c r="C2952" s="1643" t="e">
        <f>+SUMIF(#REF!,Final!A2952,#REF!)</f>
        <v>#REF!</v>
      </c>
      <c r="D2952" s="1597" t="e">
        <f>+SUMIF(#REF!,Final!A2952,#REF!)</f>
        <v>#REF!</v>
      </c>
      <c r="E2952" s="1643" t="e">
        <f>SUMIF(#REF!,Final!A2952,#REF!)</f>
        <v>#REF!</v>
      </c>
      <c r="F2952" s="1644" t="e">
        <f>SUMIF(#REF!,Final!A2952,#REF!)</f>
        <v>#REF!</v>
      </c>
      <c r="G2952" s="1597" t="e">
        <f t="shared" si="320"/>
        <v>#REF!</v>
      </c>
      <c r="H2952" s="1644" t="e">
        <f t="shared" si="321"/>
        <v>#REF!</v>
      </c>
      <c r="I2952" s="1597" t="e">
        <f t="shared" si="322"/>
        <v>#REF!</v>
      </c>
      <c r="J2952" s="1644" t="e">
        <f t="shared" si="323"/>
        <v>#REF!</v>
      </c>
      <c r="M2952" s="1545"/>
      <c r="N2952" s="1545"/>
    </row>
    <row r="2953" spans="1:93" ht="15.5">
      <c r="A2953" s="1598">
        <v>74.725999999999999</v>
      </c>
      <c r="B2953" s="1599" t="s">
        <v>3968</v>
      </c>
      <c r="C2953" s="1643" t="e">
        <f>+SUMIF(#REF!,Final!A2953,#REF!)</f>
        <v>#REF!</v>
      </c>
      <c r="D2953" s="1597" t="e">
        <f>+SUMIF(#REF!,Final!A2953,#REF!)</f>
        <v>#REF!</v>
      </c>
      <c r="E2953" s="1643" t="e">
        <f>SUMIF(#REF!,Final!A2953,#REF!)</f>
        <v>#REF!</v>
      </c>
      <c r="F2953" s="1644" t="e">
        <f>SUMIF(#REF!,Final!A2953,#REF!)</f>
        <v>#REF!</v>
      </c>
      <c r="G2953" s="1597" t="e">
        <f t="shared" si="320"/>
        <v>#REF!</v>
      </c>
      <c r="H2953" s="1644" t="e">
        <f t="shared" si="321"/>
        <v>#REF!</v>
      </c>
      <c r="I2953" s="1597" t="e">
        <f t="shared" si="322"/>
        <v>#REF!</v>
      </c>
      <c r="J2953" s="1644" t="e">
        <f t="shared" si="323"/>
        <v>#REF!</v>
      </c>
      <c r="M2953" s="1545"/>
      <c r="N2953" s="1545"/>
    </row>
    <row r="2954" spans="1:93" ht="15.5">
      <c r="A2954" s="1598">
        <v>74.727000000000004</v>
      </c>
      <c r="B2954" s="1599" t="s">
        <v>3969</v>
      </c>
      <c r="C2954" s="1643" t="e">
        <f>+SUMIF(#REF!,Final!A2954,#REF!)</f>
        <v>#REF!</v>
      </c>
      <c r="D2954" s="1597" t="e">
        <f>+SUMIF(#REF!,Final!A2954,#REF!)</f>
        <v>#REF!</v>
      </c>
      <c r="E2954" s="1643" t="e">
        <f>SUMIF(#REF!,Final!A2954,#REF!)</f>
        <v>#REF!</v>
      </c>
      <c r="F2954" s="1644" t="e">
        <f>SUMIF(#REF!,Final!A2954,#REF!)</f>
        <v>#REF!</v>
      </c>
      <c r="G2954" s="1597" t="e">
        <f t="shared" si="320"/>
        <v>#REF!</v>
      </c>
      <c r="H2954" s="1644" t="e">
        <f t="shared" si="321"/>
        <v>#REF!</v>
      </c>
      <c r="I2954" s="1597" t="e">
        <f t="shared" si="322"/>
        <v>#REF!</v>
      </c>
      <c r="J2954" s="1644" t="e">
        <f t="shared" si="323"/>
        <v>#REF!</v>
      </c>
      <c r="M2954" s="1545"/>
      <c r="N2954" s="1545"/>
    </row>
    <row r="2955" spans="1:93" ht="15.5">
      <c r="A2955" s="1598">
        <v>74.728999999999999</v>
      </c>
      <c r="B2955" s="1599" t="s">
        <v>4582</v>
      </c>
      <c r="C2955" s="1643" t="e">
        <f>+SUMIF(#REF!,Final!A2955,#REF!)</f>
        <v>#REF!</v>
      </c>
      <c r="D2955" s="1597" t="e">
        <f>+SUMIF(#REF!,Final!A2955,#REF!)</f>
        <v>#REF!</v>
      </c>
      <c r="E2955" s="1643" t="e">
        <f>SUMIF(#REF!,Final!A2955,#REF!)</f>
        <v>#REF!</v>
      </c>
      <c r="F2955" s="1644" t="e">
        <f>SUMIF(#REF!,Final!A2955,#REF!)</f>
        <v>#REF!</v>
      </c>
      <c r="G2955" s="1597" t="e">
        <f t="shared" si="320"/>
        <v>#REF!</v>
      </c>
      <c r="H2955" s="1644" t="e">
        <f t="shared" si="321"/>
        <v>#REF!</v>
      </c>
      <c r="I2955" s="1597" t="e">
        <f t="shared" si="322"/>
        <v>#REF!</v>
      </c>
      <c r="J2955" s="1644" t="e">
        <f t="shared" si="323"/>
        <v>#REF!</v>
      </c>
      <c r="M2955" s="1545"/>
      <c r="N2955" s="1545"/>
    </row>
    <row r="2956" spans="1:93" ht="15.5">
      <c r="A2956" s="1598">
        <v>74.73</v>
      </c>
      <c r="B2956" s="1599" t="s">
        <v>4583</v>
      </c>
      <c r="C2956" s="1643" t="e">
        <f>+SUMIF(#REF!,Final!A2956,#REF!)</f>
        <v>#REF!</v>
      </c>
      <c r="D2956" s="1597" t="e">
        <f>+SUMIF(#REF!,Final!A2956,#REF!)</f>
        <v>#REF!</v>
      </c>
      <c r="E2956" s="1643" t="e">
        <f>SUMIF(#REF!,Final!A2956,#REF!)</f>
        <v>#REF!</v>
      </c>
      <c r="F2956" s="1644" t="e">
        <f>SUMIF(#REF!,Final!A2956,#REF!)</f>
        <v>#REF!</v>
      </c>
      <c r="G2956" s="1597" t="e">
        <f t="shared" si="320"/>
        <v>#REF!</v>
      </c>
      <c r="H2956" s="1644" t="e">
        <f t="shared" si="321"/>
        <v>#REF!</v>
      </c>
      <c r="I2956" s="1597" t="e">
        <f t="shared" si="322"/>
        <v>#REF!</v>
      </c>
      <c r="J2956" s="1644" t="e">
        <f t="shared" si="323"/>
        <v>#REF!</v>
      </c>
      <c r="M2956" s="1545"/>
      <c r="N2956" s="1545"/>
    </row>
    <row r="2957" spans="1:93" ht="15.5">
      <c r="A2957" s="1598">
        <v>74.730999999999995</v>
      </c>
      <c r="B2957" s="1599" t="s">
        <v>4584</v>
      </c>
      <c r="C2957" s="1643" t="e">
        <f>+SUMIF(#REF!,Final!A2957,#REF!)</f>
        <v>#REF!</v>
      </c>
      <c r="D2957" s="1597" t="e">
        <f>+SUMIF(#REF!,Final!A2957,#REF!)</f>
        <v>#REF!</v>
      </c>
      <c r="E2957" s="1643" t="e">
        <f>SUMIF(#REF!,Final!A2957,#REF!)</f>
        <v>#REF!</v>
      </c>
      <c r="F2957" s="1644" t="e">
        <f>SUMIF(#REF!,Final!A2957,#REF!)</f>
        <v>#REF!</v>
      </c>
      <c r="G2957" s="1597" t="e">
        <f t="shared" si="320"/>
        <v>#REF!</v>
      </c>
      <c r="H2957" s="1644" t="e">
        <f t="shared" si="321"/>
        <v>#REF!</v>
      </c>
      <c r="I2957" s="1597" t="e">
        <f t="shared" si="322"/>
        <v>#REF!</v>
      </c>
      <c r="J2957" s="1644" t="e">
        <f t="shared" si="323"/>
        <v>#REF!</v>
      </c>
      <c r="M2957" s="1545"/>
      <c r="N2957" s="1545"/>
    </row>
    <row r="2958" spans="1:93" ht="15.5">
      <c r="A2958" s="1598">
        <v>74.731999999999999</v>
      </c>
      <c r="B2958" s="1599" t="s">
        <v>4585</v>
      </c>
      <c r="C2958" s="1643" t="e">
        <f>+SUMIF(#REF!,Final!A2958,#REF!)</f>
        <v>#REF!</v>
      </c>
      <c r="D2958" s="1597" t="e">
        <f>+SUMIF(#REF!,Final!A2958,#REF!)</f>
        <v>#REF!</v>
      </c>
      <c r="E2958" s="1643" t="e">
        <f>SUMIF(#REF!,Final!A2958,#REF!)</f>
        <v>#REF!</v>
      </c>
      <c r="F2958" s="1644" t="e">
        <f>SUMIF(#REF!,Final!A2958,#REF!)</f>
        <v>#REF!</v>
      </c>
      <c r="G2958" s="1597" t="e">
        <f t="shared" si="320"/>
        <v>#REF!</v>
      </c>
      <c r="H2958" s="1644" t="e">
        <f t="shared" si="321"/>
        <v>#REF!</v>
      </c>
      <c r="I2958" s="1597" t="e">
        <f t="shared" si="322"/>
        <v>#REF!</v>
      </c>
      <c r="J2958" s="1644" t="e">
        <f t="shared" si="323"/>
        <v>#REF!</v>
      </c>
      <c r="M2958" s="1545"/>
      <c r="N2958" s="1545"/>
    </row>
    <row r="2959" spans="1:93" ht="15.5">
      <c r="A2959" s="1690" t="s">
        <v>5069</v>
      </c>
      <c r="B2959" s="1703" t="s">
        <v>5070</v>
      </c>
      <c r="C2959" s="1643" t="e">
        <f>+SUMIF(#REF!,Final!A2959,#REF!)</f>
        <v>#REF!</v>
      </c>
      <c r="D2959" s="1597" t="e">
        <f>+SUMIF(#REF!,Final!A2959,#REF!)</f>
        <v>#REF!</v>
      </c>
      <c r="E2959" s="1643" t="e">
        <f>SUMIF(#REF!,Final!A2959,#REF!)</f>
        <v>#REF!</v>
      </c>
      <c r="F2959" s="1644" t="e">
        <f>SUMIF(#REF!,Final!A2959,#REF!)</f>
        <v>#REF!</v>
      </c>
      <c r="G2959" s="1597" t="e">
        <f t="shared" si="320"/>
        <v>#REF!</v>
      </c>
      <c r="H2959" s="1644" t="e">
        <f t="shared" si="321"/>
        <v>#REF!</v>
      </c>
      <c r="I2959" s="1597" t="e">
        <f t="shared" si="322"/>
        <v>#REF!</v>
      </c>
      <c r="J2959" s="1644" t="e">
        <f t="shared" si="323"/>
        <v>#REF!</v>
      </c>
      <c r="M2959" s="1545"/>
      <c r="N2959" s="1545"/>
    </row>
    <row r="2960" spans="1:93" ht="15.5">
      <c r="A2960" s="1684" t="s">
        <v>5071</v>
      </c>
      <c r="B2960" s="1703" t="s">
        <v>5072</v>
      </c>
      <c r="C2960" s="1643" t="e">
        <f>+SUMIF(#REF!,Final!A2960,#REF!)</f>
        <v>#REF!</v>
      </c>
      <c r="D2960" s="1597" t="e">
        <f>+SUMIF(#REF!,Final!A2960,#REF!)</f>
        <v>#REF!</v>
      </c>
      <c r="E2960" s="1643" t="e">
        <f>SUMIF(#REF!,Final!A2960,#REF!)</f>
        <v>#REF!</v>
      </c>
      <c r="F2960" s="1644" t="e">
        <f>SUMIF(#REF!,Final!A2960,#REF!)</f>
        <v>#REF!</v>
      </c>
      <c r="G2960" s="1597" t="e">
        <f t="shared" si="320"/>
        <v>#REF!</v>
      </c>
      <c r="H2960" s="1644" t="e">
        <f t="shared" si="321"/>
        <v>#REF!</v>
      </c>
      <c r="I2960" s="1597" t="e">
        <f t="shared" si="322"/>
        <v>#REF!</v>
      </c>
      <c r="J2960" s="1644" t="e">
        <f t="shared" si="323"/>
        <v>#REF!</v>
      </c>
      <c r="M2960" s="1545"/>
      <c r="N2960" s="1545"/>
    </row>
    <row r="2961" spans="1:93" ht="15.5">
      <c r="A2961" s="1690" t="s">
        <v>5073</v>
      </c>
      <c r="B2961" s="1703" t="s">
        <v>5074</v>
      </c>
      <c r="C2961" s="1643" t="e">
        <f>+SUMIF(#REF!,Final!A2961,#REF!)</f>
        <v>#REF!</v>
      </c>
      <c r="D2961" s="1597" t="e">
        <f>+SUMIF(#REF!,Final!A2961,#REF!)</f>
        <v>#REF!</v>
      </c>
      <c r="E2961" s="1643" t="e">
        <f>SUMIF(#REF!,Final!A2961,#REF!)</f>
        <v>#REF!</v>
      </c>
      <c r="F2961" s="1644" t="e">
        <f>SUMIF(#REF!,Final!A2961,#REF!)</f>
        <v>#REF!</v>
      </c>
      <c r="G2961" s="1597" t="e">
        <f t="shared" si="320"/>
        <v>#REF!</v>
      </c>
      <c r="H2961" s="1644" t="e">
        <f t="shared" si="321"/>
        <v>#REF!</v>
      </c>
      <c r="I2961" s="1597" t="e">
        <f t="shared" si="322"/>
        <v>#REF!</v>
      </c>
      <c r="J2961" s="1644" t="e">
        <f t="shared" si="323"/>
        <v>#REF!</v>
      </c>
      <c r="M2961" s="1545"/>
      <c r="N2961" s="1545"/>
    </row>
    <row r="2962" spans="1:93" ht="15.5">
      <c r="A2962" s="1684" t="s">
        <v>5075</v>
      </c>
      <c r="B2962" s="1703" t="s">
        <v>5076</v>
      </c>
      <c r="C2962" s="1643" t="e">
        <f>+SUMIF(#REF!,Final!A2962,#REF!)</f>
        <v>#REF!</v>
      </c>
      <c r="D2962" s="1597" t="e">
        <f>+SUMIF(#REF!,Final!A2962,#REF!)</f>
        <v>#REF!</v>
      </c>
      <c r="E2962" s="1643" t="e">
        <f>SUMIF(#REF!,Final!A2962,#REF!)</f>
        <v>#REF!</v>
      </c>
      <c r="F2962" s="1644" t="e">
        <f>SUMIF(#REF!,Final!A2962,#REF!)</f>
        <v>#REF!</v>
      </c>
      <c r="G2962" s="1597" t="e">
        <f t="shared" si="320"/>
        <v>#REF!</v>
      </c>
      <c r="H2962" s="1644" t="e">
        <f t="shared" si="321"/>
        <v>#REF!</v>
      </c>
      <c r="I2962" s="1597" t="e">
        <f t="shared" si="322"/>
        <v>#REF!</v>
      </c>
      <c r="J2962" s="1644" t="e">
        <f t="shared" si="323"/>
        <v>#REF!</v>
      </c>
      <c r="M2962" s="1545"/>
      <c r="N2962" s="1545"/>
    </row>
    <row r="2963" spans="1:93" ht="15.5">
      <c r="A2963" s="1790" t="s">
        <v>5304</v>
      </c>
      <c r="B2963" s="1787" t="s">
        <v>3967</v>
      </c>
      <c r="C2963" s="1643" t="e">
        <f>+SUMIF(#REF!,Final!A2963,#REF!)</f>
        <v>#REF!</v>
      </c>
      <c r="D2963" s="1597" t="e">
        <f>+SUMIF(#REF!,Final!A2963,#REF!)</f>
        <v>#REF!</v>
      </c>
      <c r="E2963" s="1643" t="e">
        <f>SUMIF(#REF!,Final!A2963,#REF!)</f>
        <v>#REF!</v>
      </c>
      <c r="F2963" s="1644" t="e">
        <f>SUMIF(#REF!,Final!A2963,#REF!)</f>
        <v>#REF!</v>
      </c>
      <c r="G2963" s="1597" t="e">
        <f t="shared" ref="G2963:G2966" si="328">C2963+E2963</f>
        <v>#REF!</v>
      </c>
      <c r="H2963" s="1644" t="e">
        <f t="shared" ref="H2963:H2966" si="329">D2963+F2963</f>
        <v>#REF!</v>
      </c>
      <c r="I2963" s="1597" t="e">
        <f t="shared" ref="I2963:I2966" si="330">IF(G2963&gt;H2963,G2963-H2963,0)</f>
        <v>#REF!</v>
      </c>
      <c r="J2963" s="1644" t="e">
        <f t="shared" ref="J2963:J2966" si="331">IF(H2963&gt;G2963,H2963-G2963,0)</f>
        <v>#REF!</v>
      </c>
      <c r="M2963" s="1545"/>
      <c r="N2963" s="1545"/>
    </row>
    <row r="2964" spans="1:93" ht="15.5">
      <c r="A2964" s="1786" t="s">
        <v>5305</v>
      </c>
      <c r="B2964" s="1787" t="s">
        <v>3968</v>
      </c>
      <c r="C2964" s="1643" t="e">
        <f>+SUMIF(#REF!,Final!A2964,#REF!)</f>
        <v>#REF!</v>
      </c>
      <c r="D2964" s="1597" t="e">
        <f>+SUMIF(#REF!,Final!A2964,#REF!)</f>
        <v>#REF!</v>
      </c>
      <c r="E2964" s="1643" t="e">
        <f>SUMIF(#REF!,Final!A2964,#REF!)</f>
        <v>#REF!</v>
      </c>
      <c r="F2964" s="1644" t="e">
        <f>SUMIF(#REF!,Final!A2964,#REF!)</f>
        <v>#REF!</v>
      </c>
      <c r="G2964" s="1597" t="e">
        <f t="shared" si="328"/>
        <v>#REF!</v>
      </c>
      <c r="H2964" s="1644" t="e">
        <f t="shared" si="329"/>
        <v>#REF!</v>
      </c>
      <c r="I2964" s="1597" t="e">
        <f t="shared" si="330"/>
        <v>#REF!</v>
      </c>
      <c r="J2964" s="1644" t="e">
        <f t="shared" si="331"/>
        <v>#REF!</v>
      </c>
      <c r="M2964" s="1545"/>
      <c r="N2964" s="1545"/>
    </row>
    <row r="2965" spans="1:93" ht="15.5">
      <c r="A2965" s="1790" t="s">
        <v>5306</v>
      </c>
      <c r="B2965" s="1787" t="s">
        <v>3969</v>
      </c>
      <c r="C2965" s="1643" t="e">
        <f>+SUMIF(#REF!,Final!A2965,#REF!)</f>
        <v>#REF!</v>
      </c>
      <c r="D2965" s="1597" t="e">
        <f>+SUMIF(#REF!,Final!A2965,#REF!)</f>
        <v>#REF!</v>
      </c>
      <c r="E2965" s="1643" t="e">
        <f>SUMIF(#REF!,Final!A2965,#REF!)</f>
        <v>#REF!</v>
      </c>
      <c r="F2965" s="1644" t="e">
        <f>SUMIF(#REF!,Final!A2965,#REF!)</f>
        <v>#REF!</v>
      </c>
      <c r="G2965" s="1597" t="e">
        <f t="shared" si="328"/>
        <v>#REF!</v>
      </c>
      <c r="H2965" s="1644" t="e">
        <f t="shared" si="329"/>
        <v>#REF!</v>
      </c>
      <c r="I2965" s="1597" t="e">
        <f t="shared" si="330"/>
        <v>#REF!</v>
      </c>
      <c r="J2965" s="1644" t="e">
        <f t="shared" si="331"/>
        <v>#REF!</v>
      </c>
      <c r="M2965" s="1545"/>
      <c r="N2965" s="1545"/>
    </row>
    <row r="2966" spans="1:93" ht="15.5">
      <c r="A2966" s="1786" t="s">
        <v>5307</v>
      </c>
      <c r="B2966" s="1787" t="s">
        <v>3970</v>
      </c>
      <c r="C2966" s="1643" t="e">
        <f>+SUMIF(#REF!,Final!A2966,#REF!)</f>
        <v>#REF!</v>
      </c>
      <c r="D2966" s="1597" t="e">
        <f>+SUMIF(#REF!,Final!A2966,#REF!)</f>
        <v>#REF!</v>
      </c>
      <c r="E2966" s="1643" t="e">
        <f>SUMIF(#REF!,Final!A2966,#REF!)</f>
        <v>#REF!</v>
      </c>
      <c r="F2966" s="1644" t="e">
        <f>SUMIF(#REF!,Final!A2966,#REF!)</f>
        <v>#REF!</v>
      </c>
      <c r="G2966" s="1597" t="e">
        <f t="shared" si="328"/>
        <v>#REF!</v>
      </c>
      <c r="H2966" s="1644" t="e">
        <f t="shared" si="329"/>
        <v>#REF!</v>
      </c>
      <c r="I2966" s="1597" t="e">
        <f t="shared" si="330"/>
        <v>#REF!</v>
      </c>
      <c r="J2966" s="1644" t="e">
        <f t="shared" si="331"/>
        <v>#REF!</v>
      </c>
      <c r="M2966" s="1545"/>
      <c r="N2966" s="1545"/>
    </row>
    <row r="2967" spans="1:93" ht="15.5">
      <c r="A2967" s="1598">
        <v>74.727999999999994</v>
      </c>
      <c r="B2967" s="1599" t="s">
        <v>3970</v>
      </c>
      <c r="C2967" s="1643" t="e">
        <f>+SUMIF(#REF!,Final!A2967,#REF!)</f>
        <v>#REF!</v>
      </c>
      <c r="D2967" s="1597" t="e">
        <f>+SUMIF(#REF!,Final!A2967,#REF!)</f>
        <v>#REF!</v>
      </c>
      <c r="E2967" s="1643" t="e">
        <f>SUMIF(#REF!,Final!A2967,#REF!)</f>
        <v>#REF!</v>
      </c>
      <c r="F2967" s="1644" t="e">
        <f>SUMIF(#REF!,Final!A2967,#REF!)</f>
        <v>#REF!</v>
      </c>
      <c r="G2967" s="1597" t="e">
        <f t="shared" si="320"/>
        <v>#REF!</v>
      </c>
      <c r="H2967" s="1644" t="e">
        <f t="shared" si="321"/>
        <v>#REF!</v>
      </c>
      <c r="I2967" s="1597" t="e">
        <f t="shared" si="322"/>
        <v>#REF!</v>
      </c>
      <c r="J2967" s="1644" t="e">
        <f t="shared" si="323"/>
        <v>#REF!</v>
      </c>
      <c r="M2967" s="1545"/>
      <c r="N2967" s="1545"/>
    </row>
    <row r="2968" spans="1:93" s="1552" customFormat="1" ht="15.5">
      <c r="A2968" s="1598"/>
      <c r="B2968" s="1599" t="s">
        <v>1747</v>
      </c>
      <c r="C2968" s="1643" t="e">
        <f>+SUMIF(#REF!,Final!A2968,#REF!)</f>
        <v>#REF!</v>
      </c>
      <c r="D2968" s="1597" t="e">
        <f>+SUMIF(#REF!,Final!A2968,#REF!)</f>
        <v>#REF!</v>
      </c>
      <c r="E2968" s="1643" t="e">
        <f>SUMIF(#REF!,Final!A2968,#REF!)</f>
        <v>#REF!</v>
      </c>
      <c r="F2968" s="1644" t="e">
        <f>SUMIF(#REF!,Final!A2968,#REF!)</f>
        <v>#REF!</v>
      </c>
      <c r="G2968" s="1597" t="e">
        <f t="shared" si="320"/>
        <v>#REF!</v>
      </c>
      <c r="H2968" s="1644" t="e">
        <f t="shared" si="321"/>
        <v>#REF!</v>
      </c>
      <c r="I2968" s="1597" t="e">
        <f t="shared" si="322"/>
        <v>#REF!</v>
      </c>
      <c r="J2968" s="1644" t="e">
        <f t="shared" si="323"/>
        <v>#REF!</v>
      </c>
      <c r="K2968" s="1539"/>
      <c r="L2968" s="1539"/>
      <c r="M2968" s="1545"/>
      <c r="N2968" s="1545"/>
      <c r="O2968" s="1539"/>
      <c r="P2968" s="1539"/>
      <c r="Q2968" s="1539"/>
      <c r="R2968" s="1539"/>
      <c r="S2968" s="1539"/>
      <c r="T2968" s="1539"/>
      <c r="U2968" s="1539"/>
      <c r="V2968" s="1539"/>
      <c r="W2968" s="1539"/>
      <c r="X2968" s="1539"/>
      <c r="Y2968" s="1539"/>
      <c r="Z2968" s="1539"/>
      <c r="AA2968" s="1539"/>
      <c r="AB2968" s="1539"/>
      <c r="AC2968" s="1539"/>
      <c r="AD2968" s="1539"/>
      <c r="AE2968" s="1539"/>
      <c r="AF2968" s="1539"/>
      <c r="AG2968" s="1539"/>
      <c r="AH2968" s="1539"/>
      <c r="AI2968" s="1539"/>
      <c r="AJ2968" s="1539"/>
      <c r="AK2968" s="1539"/>
      <c r="AL2968" s="1539"/>
      <c r="AM2968" s="1539"/>
      <c r="AN2968" s="1539"/>
      <c r="AO2968" s="1539"/>
      <c r="AP2968" s="1539"/>
      <c r="AQ2968" s="1539"/>
      <c r="AR2968" s="1539"/>
      <c r="AS2968" s="1539"/>
      <c r="AT2968" s="1539"/>
      <c r="AU2968" s="1539"/>
      <c r="AV2968" s="1539"/>
      <c r="AW2968" s="1539"/>
      <c r="AX2968" s="1539"/>
      <c r="AY2968" s="1539"/>
      <c r="AZ2968" s="1539"/>
      <c r="BA2968" s="1539"/>
      <c r="BB2968" s="1539"/>
      <c r="BC2968" s="1539"/>
      <c r="BD2968" s="1539"/>
      <c r="BE2968" s="1539"/>
      <c r="BF2968" s="1539"/>
      <c r="BG2968" s="1539"/>
      <c r="BH2968" s="1539"/>
      <c r="BI2968" s="1539"/>
      <c r="BJ2968" s="1539"/>
      <c r="BK2968" s="1539"/>
      <c r="BL2968" s="1539"/>
      <c r="BM2968" s="1539"/>
      <c r="BN2968" s="1539"/>
      <c r="BO2968" s="1539"/>
      <c r="BP2968" s="1539"/>
      <c r="BQ2968" s="1539"/>
      <c r="BR2968" s="1539"/>
      <c r="BS2968" s="1539"/>
      <c r="BT2968" s="1539"/>
      <c r="BU2968" s="1539"/>
      <c r="BV2968" s="1539"/>
      <c r="BW2968" s="1539"/>
      <c r="BX2968" s="1539"/>
      <c r="BY2968" s="1539"/>
      <c r="BZ2968" s="1539"/>
      <c r="CA2968" s="1539"/>
      <c r="CB2968" s="1539"/>
      <c r="CC2968" s="1539"/>
      <c r="CD2968" s="1539"/>
      <c r="CE2968" s="1539"/>
      <c r="CF2968" s="1539"/>
      <c r="CG2968" s="1539"/>
      <c r="CH2968" s="1539"/>
      <c r="CI2968" s="1539"/>
      <c r="CJ2968" s="1539"/>
      <c r="CK2968" s="1539"/>
      <c r="CL2968" s="1539"/>
      <c r="CM2968" s="1539"/>
      <c r="CN2968" s="1539"/>
      <c r="CO2968" s="1539"/>
    </row>
    <row r="2969" spans="1:93" s="1552" customFormat="1" ht="15.5">
      <c r="A2969" s="1598"/>
      <c r="B2969" s="1599" t="s">
        <v>1760</v>
      </c>
      <c r="C2969" s="1643" t="e">
        <f>+SUMIF(#REF!,Final!A2969,#REF!)</f>
        <v>#REF!</v>
      </c>
      <c r="D2969" s="1597" t="e">
        <f>+SUMIF(#REF!,Final!A2969,#REF!)</f>
        <v>#REF!</v>
      </c>
      <c r="E2969" s="1643" t="e">
        <f>SUMIF(#REF!,Final!A2969,#REF!)</f>
        <v>#REF!</v>
      </c>
      <c r="F2969" s="1644" t="e">
        <f>SUMIF(#REF!,Final!A2969,#REF!)</f>
        <v>#REF!</v>
      </c>
      <c r="G2969" s="1597" t="e">
        <f t="shared" si="320"/>
        <v>#REF!</v>
      </c>
      <c r="H2969" s="1644" t="e">
        <f t="shared" si="321"/>
        <v>#REF!</v>
      </c>
      <c r="I2969" s="1597" t="e">
        <f t="shared" si="322"/>
        <v>#REF!</v>
      </c>
      <c r="J2969" s="1644" t="e">
        <f t="shared" si="323"/>
        <v>#REF!</v>
      </c>
      <c r="K2969" s="1539"/>
      <c r="L2969" s="1539"/>
      <c r="M2969" s="1545"/>
      <c r="N2969" s="1545"/>
      <c r="O2969" s="1539"/>
      <c r="P2969" s="1539"/>
      <c r="Q2969" s="1539"/>
      <c r="R2969" s="1539"/>
      <c r="S2969" s="1539"/>
      <c r="T2969" s="1539"/>
      <c r="U2969" s="1539"/>
      <c r="V2969" s="1539"/>
      <c r="W2969" s="1539"/>
      <c r="X2969" s="1539"/>
      <c r="Y2969" s="1539"/>
      <c r="Z2969" s="1539"/>
      <c r="AA2969" s="1539"/>
      <c r="AB2969" s="1539"/>
      <c r="AC2969" s="1539"/>
      <c r="AD2969" s="1539"/>
      <c r="AE2969" s="1539"/>
      <c r="AF2969" s="1539"/>
      <c r="AG2969" s="1539"/>
      <c r="AH2969" s="1539"/>
      <c r="AI2969" s="1539"/>
      <c r="AJ2969" s="1539"/>
      <c r="AK2969" s="1539"/>
      <c r="AL2969" s="1539"/>
      <c r="AM2969" s="1539"/>
      <c r="AN2969" s="1539"/>
      <c r="AO2969" s="1539"/>
      <c r="AP2969" s="1539"/>
      <c r="AQ2969" s="1539"/>
      <c r="AR2969" s="1539"/>
      <c r="AS2969" s="1539"/>
      <c r="AT2969" s="1539"/>
      <c r="AU2969" s="1539"/>
      <c r="AV2969" s="1539"/>
      <c r="AW2969" s="1539"/>
      <c r="AX2969" s="1539"/>
      <c r="AY2969" s="1539"/>
      <c r="AZ2969" s="1539"/>
      <c r="BA2969" s="1539"/>
      <c r="BB2969" s="1539"/>
      <c r="BC2969" s="1539"/>
      <c r="BD2969" s="1539"/>
      <c r="BE2969" s="1539"/>
      <c r="BF2969" s="1539"/>
      <c r="BG2969" s="1539"/>
      <c r="BH2969" s="1539"/>
      <c r="BI2969" s="1539"/>
      <c r="BJ2969" s="1539"/>
      <c r="BK2969" s="1539"/>
      <c r="BL2969" s="1539"/>
      <c r="BM2969" s="1539"/>
      <c r="BN2969" s="1539"/>
      <c r="BO2969" s="1539"/>
      <c r="BP2969" s="1539"/>
      <c r="BQ2969" s="1539"/>
      <c r="BR2969" s="1539"/>
      <c r="BS2969" s="1539"/>
      <c r="BT2969" s="1539"/>
      <c r="BU2969" s="1539"/>
      <c r="BV2969" s="1539"/>
      <c r="BW2969" s="1539"/>
      <c r="BX2969" s="1539"/>
      <c r="BY2969" s="1539"/>
      <c r="BZ2969" s="1539"/>
      <c r="CA2969" s="1539"/>
      <c r="CB2969" s="1539"/>
      <c r="CC2969" s="1539"/>
      <c r="CD2969" s="1539"/>
      <c r="CE2969" s="1539"/>
      <c r="CF2969" s="1539"/>
      <c r="CG2969" s="1539"/>
      <c r="CH2969" s="1539"/>
      <c r="CI2969" s="1539"/>
      <c r="CJ2969" s="1539"/>
      <c r="CK2969" s="1539"/>
      <c r="CL2969" s="1539"/>
      <c r="CM2969" s="1539"/>
      <c r="CN2969" s="1539"/>
      <c r="CO2969" s="1539"/>
    </row>
    <row r="2970" spans="1:93" s="1542" customFormat="1" ht="15.5">
      <c r="A2970" s="1598" t="s">
        <v>1815</v>
      </c>
      <c r="B2970" s="1599" t="s">
        <v>3179</v>
      </c>
      <c r="C2970" s="1643" t="e">
        <f>+SUMIF(#REF!,Final!A2970,#REF!)</f>
        <v>#REF!</v>
      </c>
      <c r="D2970" s="1597" t="e">
        <f>+SUMIF(#REF!,Final!A2970,#REF!)</f>
        <v>#REF!</v>
      </c>
      <c r="E2970" s="1643" t="e">
        <f>SUMIF(#REF!,Final!A2970,#REF!)</f>
        <v>#REF!</v>
      </c>
      <c r="F2970" s="1644" t="e">
        <f>SUMIF(#REF!,Final!A2970,#REF!)</f>
        <v>#REF!</v>
      </c>
      <c r="G2970" s="1597" t="e">
        <f t="shared" si="320"/>
        <v>#REF!</v>
      </c>
      <c r="H2970" s="1644" t="e">
        <f t="shared" si="321"/>
        <v>#REF!</v>
      </c>
      <c r="I2970" s="1597" t="e">
        <f t="shared" si="322"/>
        <v>#REF!</v>
      </c>
      <c r="J2970" s="1644" t="e">
        <f t="shared" si="323"/>
        <v>#REF!</v>
      </c>
      <c r="K2970" s="1539"/>
      <c r="L2970" s="1539"/>
      <c r="M2970" s="1545"/>
      <c r="N2970" s="1545"/>
      <c r="O2970" s="1539"/>
      <c r="P2970" s="1539"/>
      <c r="Q2970" s="1539"/>
      <c r="R2970" s="1539"/>
      <c r="S2970" s="1539"/>
      <c r="T2970" s="1539"/>
      <c r="U2970" s="1539"/>
      <c r="V2970" s="1539"/>
      <c r="W2970" s="1539"/>
      <c r="X2970" s="1539"/>
      <c r="Y2970" s="1539"/>
      <c r="Z2970" s="1539"/>
      <c r="AA2970" s="1539"/>
      <c r="AB2970" s="1539"/>
      <c r="AC2970" s="1539"/>
      <c r="AD2970" s="1539"/>
      <c r="AE2970" s="1539"/>
      <c r="AF2970" s="1539"/>
      <c r="AG2970" s="1539"/>
      <c r="AH2970" s="1539"/>
      <c r="AI2970" s="1539"/>
      <c r="AJ2970" s="1539"/>
      <c r="AK2970" s="1539"/>
      <c r="AL2970" s="1539"/>
      <c r="AM2970" s="1539"/>
      <c r="AN2970" s="1539"/>
      <c r="AO2970" s="1539"/>
      <c r="AP2970" s="1539"/>
      <c r="AQ2970" s="1539"/>
      <c r="AR2970" s="1539"/>
      <c r="AS2970" s="1539"/>
      <c r="AT2970" s="1539"/>
      <c r="AU2970" s="1539"/>
      <c r="AV2970" s="1539"/>
      <c r="AW2970" s="1539"/>
      <c r="AX2970" s="1539"/>
      <c r="AY2970" s="1539"/>
      <c r="AZ2970" s="1539"/>
      <c r="BA2970" s="1539"/>
      <c r="BB2970" s="1539"/>
      <c r="BC2970" s="1539"/>
      <c r="BD2970" s="1539"/>
      <c r="BE2970" s="1539"/>
      <c r="BF2970" s="1539"/>
      <c r="BG2970" s="1539"/>
      <c r="BH2970" s="1539"/>
      <c r="BI2970" s="1539"/>
      <c r="BJ2970" s="1539"/>
      <c r="BK2970" s="1539"/>
      <c r="BL2970" s="1539"/>
      <c r="BM2970" s="1539"/>
      <c r="BN2970" s="1539"/>
      <c r="BO2970" s="1539"/>
      <c r="BP2970" s="1539"/>
      <c r="BQ2970" s="1539"/>
      <c r="BR2970" s="1539"/>
      <c r="BS2970" s="1539"/>
      <c r="BT2970" s="1539"/>
      <c r="BU2970" s="1539"/>
      <c r="BV2970" s="1539"/>
      <c r="BW2970" s="1539"/>
      <c r="BX2970" s="1539"/>
      <c r="BY2970" s="1539"/>
      <c r="BZ2970" s="1539"/>
      <c r="CA2970" s="1539"/>
      <c r="CB2970" s="1539"/>
      <c r="CC2970" s="1539"/>
      <c r="CD2970" s="1539"/>
      <c r="CE2970" s="1539"/>
      <c r="CF2970" s="1539"/>
      <c r="CG2970" s="1539"/>
      <c r="CH2970" s="1539"/>
      <c r="CI2970" s="1539"/>
      <c r="CJ2970" s="1539"/>
      <c r="CK2970" s="1539"/>
      <c r="CL2970" s="1539"/>
      <c r="CM2970" s="1539"/>
      <c r="CN2970" s="1539"/>
      <c r="CO2970" s="1539"/>
    </row>
    <row r="2971" spans="1:93" ht="15.5">
      <c r="A2971" s="1598">
        <v>74.802000000000007</v>
      </c>
      <c r="B2971" s="1599" t="s">
        <v>3180</v>
      </c>
      <c r="C2971" s="1643" t="e">
        <f>+SUMIF(#REF!,Final!A2971,#REF!)</f>
        <v>#REF!</v>
      </c>
      <c r="D2971" s="1597" t="e">
        <f>+SUMIF(#REF!,Final!A2971,#REF!)</f>
        <v>#REF!</v>
      </c>
      <c r="E2971" s="1643" t="e">
        <f>SUMIF(#REF!,Final!A2971,#REF!)</f>
        <v>#REF!</v>
      </c>
      <c r="F2971" s="1644" t="e">
        <f>SUMIF(#REF!,Final!A2971,#REF!)</f>
        <v>#REF!</v>
      </c>
      <c r="G2971" s="1597" t="e">
        <f t="shared" si="320"/>
        <v>#REF!</v>
      </c>
      <c r="H2971" s="1644" t="e">
        <f t="shared" si="321"/>
        <v>#REF!</v>
      </c>
      <c r="I2971" s="1597" t="e">
        <f t="shared" si="322"/>
        <v>#REF!</v>
      </c>
      <c r="J2971" s="1644" t="e">
        <f t="shared" si="323"/>
        <v>#REF!</v>
      </c>
      <c r="M2971" s="1545"/>
      <c r="N2971" s="1545"/>
    </row>
    <row r="2972" spans="1:93" ht="15.5">
      <c r="A2972" s="1598">
        <v>74.802999999999997</v>
      </c>
      <c r="B2972" s="1599" t="s">
        <v>3181</v>
      </c>
      <c r="C2972" s="1643" t="e">
        <f>+SUMIF(#REF!,Final!A2972,#REF!)</f>
        <v>#REF!</v>
      </c>
      <c r="D2972" s="1597" t="e">
        <f>+SUMIF(#REF!,Final!A2972,#REF!)</f>
        <v>#REF!</v>
      </c>
      <c r="E2972" s="1643" t="e">
        <f>SUMIF(#REF!,Final!A2972,#REF!)</f>
        <v>#REF!</v>
      </c>
      <c r="F2972" s="1644" t="e">
        <f>SUMIF(#REF!,Final!A2972,#REF!)</f>
        <v>#REF!</v>
      </c>
      <c r="G2972" s="1597" t="e">
        <f t="shared" si="320"/>
        <v>#REF!</v>
      </c>
      <c r="H2972" s="1644" t="e">
        <f t="shared" si="321"/>
        <v>#REF!</v>
      </c>
      <c r="I2972" s="1597" t="e">
        <f t="shared" si="322"/>
        <v>#REF!</v>
      </c>
      <c r="J2972" s="1644" t="e">
        <f t="shared" si="323"/>
        <v>#REF!</v>
      </c>
      <c r="M2972" s="1545"/>
      <c r="N2972" s="1545"/>
    </row>
    <row r="2973" spans="1:93" ht="15.5">
      <c r="A2973" s="1598">
        <v>74.805000000000007</v>
      </c>
      <c r="B2973" s="1599" t="s">
        <v>3182</v>
      </c>
      <c r="C2973" s="1643" t="e">
        <f>+SUMIF(#REF!,Final!A2973,#REF!)</f>
        <v>#REF!</v>
      </c>
      <c r="D2973" s="1597" t="e">
        <f>+SUMIF(#REF!,Final!A2973,#REF!)</f>
        <v>#REF!</v>
      </c>
      <c r="E2973" s="1643" t="e">
        <f>SUMIF(#REF!,Final!A2973,#REF!)</f>
        <v>#REF!</v>
      </c>
      <c r="F2973" s="1644" t="e">
        <f>SUMIF(#REF!,Final!A2973,#REF!)</f>
        <v>#REF!</v>
      </c>
      <c r="G2973" s="1597" t="e">
        <f t="shared" si="320"/>
        <v>#REF!</v>
      </c>
      <c r="H2973" s="1644" t="e">
        <f t="shared" si="321"/>
        <v>#REF!</v>
      </c>
      <c r="I2973" s="1597" t="e">
        <f t="shared" si="322"/>
        <v>#REF!</v>
      </c>
      <c r="J2973" s="1644" t="e">
        <f t="shared" si="323"/>
        <v>#REF!</v>
      </c>
      <c r="M2973" s="1545"/>
      <c r="N2973" s="1545"/>
    </row>
    <row r="2974" spans="1:93" s="1542" customFormat="1" ht="15.5">
      <c r="A2974" s="1598">
        <v>74.805999999999997</v>
      </c>
      <c r="B2974" s="1599" t="s">
        <v>3183</v>
      </c>
      <c r="C2974" s="1643" t="e">
        <f>+SUMIF(#REF!,Final!A2974,#REF!)</f>
        <v>#REF!</v>
      </c>
      <c r="D2974" s="1597" t="e">
        <f>+SUMIF(#REF!,Final!A2974,#REF!)</f>
        <v>#REF!</v>
      </c>
      <c r="E2974" s="1643" t="e">
        <f>SUMIF(#REF!,Final!A2974,#REF!)</f>
        <v>#REF!</v>
      </c>
      <c r="F2974" s="1644" t="e">
        <f>SUMIF(#REF!,Final!A2974,#REF!)</f>
        <v>#REF!</v>
      </c>
      <c r="G2974" s="1597" t="e">
        <f t="shared" si="320"/>
        <v>#REF!</v>
      </c>
      <c r="H2974" s="1644" t="e">
        <f t="shared" si="321"/>
        <v>#REF!</v>
      </c>
      <c r="I2974" s="1597" t="e">
        <f t="shared" si="322"/>
        <v>#REF!</v>
      </c>
      <c r="J2974" s="1644" t="e">
        <f t="shared" si="323"/>
        <v>#REF!</v>
      </c>
      <c r="K2974" s="1539"/>
      <c r="L2974" s="1539"/>
      <c r="M2974" s="1545"/>
      <c r="N2974" s="1545"/>
      <c r="O2974" s="1539"/>
      <c r="P2974" s="1539"/>
      <c r="Q2974" s="1539"/>
      <c r="R2974" s="1539"/>
      <c r="S2974" s="1539"/>
      <c r="T2974" s="1539"/>
      <c r="U2974" s="1539"/>
      <c r="V2974" s="1539"/>
      <c r="W2974" s="1539"/>
      <c r="X2974" s="1539"/>
      <c r="Y2974" s="1539"/>
      <c r="Z2974" s="1539"/>
      <c r="AA2974" s="1539"/>
      <c r="AB2974" s="1539"/>
      <c r="AC2974" s="1539"/>
      <c r="AD2974" s="1539"/>
      <c r="AE2974" s="1539"/>
      <c r="AF2974" s="1539"/>
      <c r="AG2974" s="1539"/>
      <c r="AH2974" s="1539"/>
      <c r="AI2974" s="1539"/>
      <c r="AJ2974" s="1539"/>
      <c r="AK2974" s="1539"/>
      <c r="AL2974" s="1539"/>
      <c r="AM2974" s="1539"/>
      <c r="AN2974" s="1539"/>
      <c r="AO2974" s="1539"/>
      <c r="AP2974" s="1539"/>
      <c r="AQ2974" s="1539"/>
      <c r="AR2974" s="1539"/>
      <c r="AS2974" s="1539"/>
      <c r="AT2974" s="1539"/>
      <c r="AU2974" s="1539"/>
      <c r="AV2974" s="1539"/>
      <c r="AW2974" s="1539"/>
      <c r="AX2974" s="1539"/>
      <c r="AY2974" s="1539"/>
      <c r="AZ2974" s="1539"/>
      <c r="BA2974" s="1539"/>
      <c r="BB2974" s="1539"/>
      <c r="BC2974" s="1539"/>
      <c r="BD2974" s="1539"/>
      <c r="BE2974" s="1539"/>
      <c r="BF2974" s="1539"/>
      <c r="BG2974" s="1539"/>
      <c r="BH2974" s="1539"/>
      <c r="BI2974" s="1539"/>
      <c r="BJ2974" s="1539"/>
      <c r="BK2974" s="1539"/>
      <c r="BL2974" s="1539"/>
      <c r="BM2974" s="1539"/>
      <c r="BN2974" s="1539"/>
      <c r="BO2974" s="1539"/>
      <c r="BP2974" s="1539"/>
      <c r="BQ2974" s="1539"/>
      <c r="BR2974" s="1539"/>
      <c r="BS2974" s="1539"/>
      <c r="BT2974" s="1539"/>
      <c r="BU2974" s="1539"/>
      <c r="BV2974" s="1539"/>
      <c r="BW2974" s="1539"/>
      <c r="BX2974" s="1539"/>
      <c r="BY2974" s="1539"/>
      <c r="BZ2974" s="1539"/>
      <c r="CA2974" s="1539"/>
      <c r="CB2974" s="1539"/>
      <c r="CC2974" s="1539"/>
      <c r="CD2974" s="1539"/>
      <c r="CE2974" s="1539"/>
      <c r="CF2974" s="1539"/>
      <c r="CG2974" s="1539"/>
      <c r="CH2974" s="1539"/>
      <c r="CI2974" s="1539"/>
      <c r="CJ2974" s="1539"/>
      <c r="CK2974" s="1539"/>
      <c r="CL2974" s="1539"/>
      <c r="CM2974" s="1539"/>
      <c r="CN2974" s="1539"/>
      <c r="CO2974" s="1539"/>
    </row>
    <row r="2975" spans="1:93" ht="15.5">
      <c r="A2975" s="1598">
        <v>74.808000000000007</v>
      </c>
      <c r="B2975" s="1599" t="s">
        <v>3184</v>
      </c>
      <c r="C2975" s="1643" t="e">
        <f>+SUMIF(#REF!,Final!A2975,#REF!)</f>
        <v>#REF!</v>
      </c>
      <c r="D2975" s="1597" t="e">
        <f>+SUMIF(#REF!,Final!A2975,#REF!)</f>
        <v>#REF!</v>
      </c>
      <c r="E2975" s="1643" t="e">
        <f>SUMIF(#REF!,Final!A2975,#REF!)</f>
        <v>#REF!</v>
      </c>
      <c r="F2975" s="1644" t="e">
        <f>SUMIF(#REF!,Final!A2975,#REF!)</f>
        <v>#REF!</v>
      </c>
      <c r="G2975" s="1597" t="e">
        <f t="shared" si="320"/>
        <v>#REF!</v>
      </c>
      <c r="H2975" s="1644" t="e">
        <f t="shared" si="321"/>
        <v>#REF!</v>
      </c>
      <c r="I2975" s="1597" t="e">
        <f t="shared" si="322"/>
        <v>#REF!</v>
      </c>
      <c r="J2975" s="1644" t="e">
        <f t="shared" si="323"/>
        <v>#REF!</v>
      </c>
      <c r="M2975" s="1545"/>
      <c r="N2975" s="1545"/>
    </row>
    <row r="2976" spans="1:93" s="1542" customFormat="1" ht="15.5">
      <c r="A2976" s="1598">
        <v>74.808999999999997</v>
      </c>
      <c r="B2976" s="1599" t="s">
        <v>3185</v>
      </c>
      <c r="C2976" s="1643" t="e">
        <f>+SUMIF(#REF!,Final!A2976,#REF!)</f>
        <v>#REF!</v>
      </c>
      <c r="D2976" s="1597" t="e">
        <f>+SUMIF(#REF!,Final!A2976,#REF!)</f>
        <v>#REF!</v>
      </c>
      <c r="E2976" s="1643" t="e">
        <f>SUMIF(#REF!,Final!A2976,#REF!)</f>
        <v>#REF!</v>
      </c>
      <c r="F2976" s="1644" t="e">
        <f>SUMIF(#REF!,Final!A2976,#REF!)</f>
        <v>#REF!</v>
      </c>
      <c r="G2976" s="1597" t="e">
        <f t="shared" si="320"/>
        <v>#REF!</v>
      </c>
      <c r="H2976" s="1644" t="e">
        <f t="shared" si="321"/>
        <v>#REF!</v>
      </c>
      <c r="I2976" s="1597" t="e">
        <f t="shared" si="322"/>
        <v>#REF!</v>
      </c>
      <c r="J2976" s="1644" t="e">
        <f t="shared" si="323"/>
        <v>#REF!</v>
      </c>
      <c r="K2976" s="1539"/>
      <c r="L2976" s="1539"/>
      <c r="M2976" s="1545"/>
      <c r="N2976" s="1545"/>
      <c r="O2976" s="1539"/>
      <c r="P2976" s="1539"/>
      <c r="Q2976" s="1539"/>
      <c r="R2976" s="1539"/>
      <c r="S2976" s="1539"/>
      <c r="T2976" s="1539"/>
      <c r="U2976" s="1539"/>
      <c r="V2976" s="1539"/>
      <c r="W2976" s="1539"/>
      <c r="X2976" s="1539"/>
      <c r="Y2976" s="1539"/>
      <c r="Z2976" s="1539"/>
      <c r="AA2976" s="1539"/>
      <c r="AB2976" s="1539"/>
      <c r="AC2976" s="1539"/>
      <c r="AD2976" s="1539"/>
      <c r="AE2976" s="1539"/>
      <c r="AF2976" s="1539"/>
      <c r="AG2976" s="1539"/>
      <c r="AH2976" s="1539"/>
      <c r="AI2976" s="1539"/>
      <c r="AJ2976" s="1539"/>
      <c r="AK2976" s="1539"/>
      <c r="AL2976" s="1539"/>
      <c r="AM2976" s="1539"/>
      <c r="AN2976" s="1539"/>
      <c r="AO2976" s="1539"/>
      <c r="AP2976" s="1539"/>
      <c r="AQ2976" s="1539"/>
      <c r="AR2976" s="1539"/>
      <c r="AS2976" s="1539"/>
      <c r="AT2976" s="1539"/>
      <c r="AU2976" s="1539"/>
      <c r="AV2976" s="1539"/>
      <c r="AW2976" s="1539"/>
      <c r="AX2976" s="1539"/>
      <c r="AY2976" s="1539"/>
      <c r="AZ2976" s="1539"/>
      <c r="BA2976" s="1539"/>
      <c r="BB2976" s="1539"/>
      <c r="BC2976" s="1539"/>
      <c r="BD2976" s="1539"/>
      <c r="BE2976" s="1539"/>
      <c r="BF2976" s="1539"/>
      <c r="BG2976" s="1539"/>
      <c r="BH2976" s="1539"/>
      <c r="BI2976" s="1539"/>
      <c r="BJ2976" s="1539"/>
      <c r="BK2976" s="1539"/>
      <c r="BL2976" s="1539"/>
      <c r="BM2976" s="1539"/>
      <c r="BN2976" s="1539"/>
      <c r="BO2976" s="1539"/>
      <c r="BP2976" s="1539"/>
      <c r="BQ2976" s="1539"/>
      <c r="BR2976" s="1539"/>
      <c r="BS2976" s="1539"/>
      <c r="BT2976" s="1539"/>
      <c r="BU2976" s="1539"/>
      <c r="BV2976" s="1539"/>
      <c r="BW2976" s="1539"/>
      <c r="BX2976" s="1539"/>
      <c r="BY2976" s="1539"/>
      <c r="BZ2976" s="1539"/>
      <c r="CA2976" s="1539"/>
      <c r="CB2976" s="1539"/>
      <c r="CC2976" s="1539"/>
      <c r="CD2976" s="1539"/>
      <c r="CE2976" s="1539"/>
      <c r="CF2976" s="1539"/>
      <c r="CG2976" s="1539"/>
      <c r="CH2976" s="1539"/>
      <c r="CI2976" s="1539"/>
      <c r="CJ2976" s="1539"/>
      <c r="CK2976" s="1539"/>
      <c r="CL2976" s="1539"/>
      <c r="CM2976" s="1539"/>
      <c r="CN2976" s="1539"/>
      <c r="CO2976" s="1539"/>
    </row>
    <row r="2977" spans="1:93" s="1542" customFormat="1" ht="15.5">
      <c r="A2977" s="1598">
        <v>74.811000000000007</v>
      </c>
      <c r="B2977" s="1599" t="s">
        <v>3186</v>
      </c>
      <c r="C2977" s="1643" t="e">
        <f>+SUMIF(#REF!,Final!A2977,#REF!)</f>
        <v>#REF!</v>
      </c>
      <c r="D2977" s="1597" t="e">
        <f>+SUMIF(#REF!,Final!A2977,#REF!)</f>
        <v>#REF!</v>
      </c>
      <c r="E2977" s="1643" t="e">
        <f>SUMIF(#REF!,Final!A2977,#REF!)</f>
        <v>#REF!</v>
      </c>
      <c r="F2977" s="1644" t="e">
        <f>SUMIF(#REF!,Final!A2977,#REF!)</f>
        <v>#REF!</v>
      </c>
      <c r="G2977" s="1597" t="e">
        <f t="shared" si="320"/>
        <v>#REF!</v>
      </c>
      <c r="H2977" s="1644" t="e">
        <f t="shared" si="321"/>
        <v>#REF!</v>
      </c>
      <c r="I2977" s="1597" t="e">
        <f t="shared" si="322"/>
        <v>#REF!</v>
      </c>
      <c r="J2977" s="1644" t="e">
        <f t="shared" si="323"/>
        <v>#REF!</v>
      </c>
      <c r="K2977" s="1539"/>
      <c r="L2977" s="1539"/>
      <c r="M2977" s="1545"/>
      <c r="N2977" s="1545"/>
      <c r="O2977" s="1539"/>
      <c r="P2977" s="1539"/>
      <c r="Q2977" s="1539"/>
      <c r="R2977" s="1539"/>
      <c r="S2977" s="1539"/>
      <c r="T2977" s="1539"/>
      <c r="U2977" s="1539"/>
      <c r="V2977" s="1539"/>
      <c r="W2977" s="1539"/>
      <c r="X2977" s="1539"/>
      <c r="Y2977" s="1539"/>
      <c r="Z2977" s="1539"/>
      <c r="AA2977" s="1539"/>
      <c r="AB2977" s="1539"/>
      <c r="AC2977" s="1539"/>
      <c r="AD2977" s="1539"/>
      <c r="AE2977" s="1539"/>
      <c r="AF2977" s="1539"/>
      <c r="AG2977" s="1539"/>
      <c r="AH2977" s="1539"/>
      <c r="AI2977" s="1539"/>
      <c r="AJ2977" s="1539"/>
      <c r="AK2977" s="1539"/>
      <c r="AL2977" s="1539"/>
      <c r="AM2977" s="1539"/>
      <c r="AN2977" s="1539"/>
      <c r="AO2977" s="1539"/>
      <c r="AP2977" s="1539"/>
      <c r="AQ2977" s="1539"/>
      <c r="AR2977" s="1539"/>
      <c r="AS2977" s="1539"/>
      <c r="AT2977" s="1539"/>
      <c r="AU2977" s="1539"/>
      <c r="AV2977" s="1539"/>
      <c r="AW2977" s="1539"/>
      <c r="AX2977" s="1539"/>
      <c r="AY2977" s="1539"/>
      <c r="AZ2977" s="1539"/>
      <c r="BA2977" s="1539"/>
      <c r="BB2977" s="1539"/>
      <c r="BC2977" s="1539"/>
      <c r="BD2977" s="1539"/>
      <c r="BE2977" s="1539"/>
      <c r="BF2977" s="1539"/>
      <c r="BG2977" s="1539"/>
      <c r="BH2977" s="1539"/>
      <c r="BI2977" s="1539"/>
      <c r="BJ2977" s="1539"/>
      <c r="BK2977" s="1539"/>
      <c r="BL2977" s="1539"/>
      <c r="BM2977" s="1539"/>
      <c r="BN2977" s="1539"/>
      <c r="BO2977" s="1539"/>
      <c r="BP2977" s="1539"/>
      <c r="BQ2977" s="1539"/>
      <c r="BR2977" s="1539"/>
      <c r="BS2977" s="1539"/>
      <c r="BT2977" s="1539"/>
      <c r="BU2977" s="1539"/>
      <c r="BV2977" s="1539"/>
      <c r="BW2977" s="1539"/>
      <c r="BX2977" s="1539"/>
      <c r="BY2977" s="1539"/>
      <c r="BZ2977" s="1539"/>
      <c r="CA2977" s="1539"/>
      <c r="CB2977" s="1539"/>
      <c r="CC2977" s="1539"/>
      <c r="CD2977" s="1539"/>
      <c r="CE2977" s="1539"/>
      <c r="CF2977" s="1539"/>
      <c r="CG2977" s="1539"/>
      <c r="CH2977" s="1539"/>
      <c r="CI2977" s="1539"/>
      <c r="CJ2977" s="1539"/>
      <c r="CK2977" s="1539"/>
      <c r="CL2977" s="1539"/>
      <c r="CM2977" s="1539"/>
      <c r="CN2977" s="1539"/>
      <c r="CO2977" s="1539"/>
    </row>
    <row r="2978" spans="1:93" s="1542" customFormat="1" ht="15.5">
      <c r="A2978" s="1598">
        <v>74.811999999999998</v>
      </c>
      <c r="B2978" s="1599" t="s">
        <v>3187</v>
      </c>
      <c r="C2978" s="1643" t="e">
        <f>+SUMIF(#REF!,Final!A2978,#REF!)</f>
        <v>#REF!</v>
      </c>
      <c r="D2978" s="1597" t="e">
        <f>+SUMIF(#REF!,Final!A2978,#REF!)</f>
        <v>#REF!</v>
      </c>
      <c r="E2978" s="1643" t="e">
        <f>SUMIF(#REF!,Final!A2978,#REF!)</f>
        <v>#REF!</v>
      </c>
      <c r="F2978" s="1644" t="e">
        <f>SUMIF(#REF!,Final!A2978,#REF!)</f>
        <v>#REF!</v>
      </c>
      <c r="G2978" s="1597" t="e">
        <f t="shared" si="320"/>
        <v>#REF!</v>
      </c>
      <c r="H2978" s="1644" t="e">
        <f t="shared" si="321"/>
        <v>#REF!</v>
      </c>
      <c r="I2978" s="1597" t="e">
        <f t="shared" si="322"/>
        <v>#REF!</v>
      </c>
      <c r="J2978" s="1644" t="e">
        <f t="shared" si="323"/>
        <v>#REF!</v>
      </c>
      <c r="K2978" s="1539"/>
      <c r="L2978" s="1539"/>
      <c r="M2978" s="1545"/>
      <c r="N2978" s="1545"/>
      <c r="O2978" s="1539"/>
      <c r="P2978" s="1539"/>
      <c r="Q2978" s="1539"/>
      <c r="R2978" s="1539"/>
      <c r="S2978" s="1539"/>
      <c r="T2978" s="1539"/>
      <c r="U2978" s="1539"/>
      <c r="V2978" s="1539"/>
      <c r="W2978" s="1539"/>
      <c r="X2978" s="1539"/>
      <c r="Y2978" s="1539"/>
      <c r="Z2978" s="1539"/>
      <c r="AA2978" s="1539"/>
      <c r="AB2978" s="1539"/>
      <c r="AC2978" s="1539"/>
      <c r="AD2978" s="1539"/>
      <c r="AE2978" s="1539"/>
      <c r="AF2978" s="1539"/>
      <c r="AG2978" s="1539"/>
      <c r="AH2978" s="1539"/>
      <c r="AI2978" s="1539"/>
      <c r="AJ2978" s="1539"/>
      <c r="AK2978" s="1539"/>
      <c r="AL2978" s="1539"/>
      <c r="AM2978" s="1539"/>
      <c r="AN2978" s="1539"/>
      <c r="AO2978" s="1539"/>
      <c r="AP2978" s="1539"/>
      <c r="AQ2978" s="1539"/>
      <c r="AR2978" s="1539"/>
      <c r="AS2978" s="1539"/>
      <c r="AT2978" s="1539"/>
      <c r="AU2978" s="1539"/>
      <c r="AV2978" s="1539"/>
      <c r="AW2978" s="1539"/>
      <c r="AX2978" s="1539"/>
      <c r="AY2978" s="1539"/>
      <c r="AZ2978" s="1539"/>
      <c r="BA2978" s="1539"/>
      <c r="BB2978" s="1539"/>
      <c r="BC2978" s="1539"/>
      <c r="BD2978" s="1539"/>
      <c r="BE2978" s="1539"/>
      <c r="BF2978" s="1539"/>
      <c r="BG2978" s="1539"/>
      <c r="BH2978" s="1539"/>
      <c r="BI2978" s="1539"/>
      <c r="BJ2978" s="1539"/>
      <c r="BK2978" s="1539"/>
      <c r="BL2978" s="1539"/>
      <c r="BM2978" s="1539"/>
      <c r="BN2978" s="1539"/>
      <c r="BO2978" s="1539"/>
      <c r="BP2978" s="1539"/>
      <c r="BQ2978" s="1539"/>
      <c r="BR2978" s="1539"/>
      <c r="BS2978" s="1539"/>
      <c r="BT2978" s="1539"/>
      <c r="BU2978" s="1539"/>
      <c r="BV2978" s="1539"/>
      <c r="BW2978" s="1539"/>
      <c r="BX2978" s="1539"/>
      <c r="BY2978" s="1539"/>
      <c r="BZ2978" s="1539"/>
      <c r="CA2978" s="1539"/>
      <c r="CB2978" s="1539"/>
      <c r="CC2978" s="1539"/>
      <c r="CD2978" s="1539"/>
      <c r="CE2978" s="1539"/>
      <c r="CF2978" s="1539"/>
      <c r="CG2978" s="1539"/>
      <c r="CH2978" s="1539"/>
      <c r="CI2978" s="1539"/>
      <c r="CJ2978" s="1539"/>
      <c r="CK2978" s="1539"/>
      <c r="CL2978" s="1539"/>
      <c r="CM2978" s="1539"/>
      <c r="CN2978" s="1539"/>
      <c r="CO2978" s="1539"/>
    </row>
    <row r="2979" spans="1:93" s="1542" customFormat="1" ht="15.5">
      <c r="A2979" s="1598">
        <v>74.814999999999998</v>
      </c>
      <c r="B2979" s="1599" t="s">
        <v>3971</v>
      </c>
      <c r="C2979" s="1643" t="e">
        <f>+SUMIF(#REF!,Final!A2979,#REF!)</f>
        <v>#REF!</v>
      </c>
      <c r="D2979" s="1597" t="e">
        <f>+SUMIF(#REF!,Final!A2979,#REF!)</f>
        <v>#REF!</v>
      </c>
      <c r="E2979" s="1643" t="e">
        <f>SUMIF(#REF!,Final!A2979,#REF!)</f>
        <v>#REF!</v>
      </c>
      <c r="F2979" s="1644" t="e">
        <f>SUMIF(#REF!,Final!A2979,#REF!)</f>
        <v>#REF!</v>
      </c>
      <c r="G2979" s="1597" t="e">
        <f t="shared" si="320"/>
        <v>#REF!</v>
      </c>
      <c r="H2979" s="1644" t="e">
        <f t="shared" si="321"/>
        <v>#REF!</v>
      </c>
      <c r="I2979" s="1597" t="e">
        <f t="shared" si="322"/>
        <v>#REF!</v>
      </c>
      <c r="J2979" s="1644" t="e">
        <f t="shared" si="323"/>
        <v>#REF!</v>
      </c>
      <c r="K2979" s="1539"/>
      <c r="L2979" s="1539"/>
      <c r="M2979" s="1545"/>
      <c r="N2979" s="1545"/>
      <c r="O2979" s="1539"/>
      <c r="P2979" s="1539"/>
      <c r="Q2979" s="1539"/>
      <c r="R2979" s="1539"/>
      <c r="S2979" s="1539"/>
      <c r="T2979" s="1539"/>
      <c r="U2979" s="1539"/>
      <c r="V2979" s="1539"/>
      <c r="W2979" s="1539"/>
      <c r="X2979" s="1539"/>
      <c r="Y2979" s="1539"/>
      <c r="Z2979" s="1539"/>
      <c r="AA2979" s="1539"/>
      <c r="AB2979" s="1539"/>
      <c r="AC2979" s="1539"/>
      <c r="AD2979" s="1539"/>
      <c r="AE2979" s="1539"/>
      <c r="AF2979" s="1539"/>
      <c r="AG2979" s="1539"/>
      <c r="AH2979" s="1539"/>
      <c r="AI2979" s="1539"/>
      <c r="AJ2979" s="1539"/>
      <c r="AK2979" s="1539"/>
      <c r="AL2979" s="1539"/>
      <c r="AM2979" s="1539"/>
      <c r="AN2979" s="1539"/>
      <c r="AO2979" s="1539"/>
      <c r="AP2979" s="1539"/>
      <c r="AQ2979" s="1539"/>
      <c r="AR2979" s="1539"/>
      <c r="AS2979" s="1539"/>
      <c r="AT2979" s="1539"/>
      <c r="AU2979" s="1539"/>
      <c r="AV2979" s="1539"/>
      <c r="AW2979" s="1539"/>
      <c r="AX2979" s="1539"/>
      <c r="AY2979" s="1539"/>
      <c r="AZ2979" s="1539"/>
      <c r="BA2979" s="1539"/>
      <c r="BB2979" s="1539"/>
      <c r="BC2979" s="1539"/>
      <c r="BD2979" s="1539"/>
      <c r="BE2979" s="1539"/>
      <c r="BF2979" s="1539"/>
      <c r="BG2979" s="1539"/>
      <c r="BH2979" s="1539"/>
      <c r="BI2979" s="1539"/>
      <c r="BJ2979" s="1539"/>
      <c r="BK2979" s="1539"/>
      <c r="BL2979" s="1539"/>
      <c r="BM2979" s="1539"/>
      <c r="BN2979" s="1539"/>
      <c r="BO2979" s="1539"/>
      <c r="BP2979" s="1539"/>
      <c r="BQ2979" s="1539"/>
      <c r="BR2979" s="1539"/>
      <c r="BS2979" s="1539"/>
      <c r="BT2979" s="1539"/>
      <c r="BU2979" s="1539"/>
      <c r="BV2979" s="1539"/>
      <c r="BW2979" s="1539"/>
      <c r="BX2979" s="1539"/>
      <c r="BY2979" s="1539"/>
      <c r="BZ2979" s="1539"/>
      <c r="CA2979" s="1539"/>
      <c r="CB2979" s="1539"/>
      <c r="CC2979" s="1539"/>
      <c r="CD2979" s="1539"/>
      <c r="CE2979" s="1539"/>
      <c r="CF2979" s="1539"/>
      <c r="CG2979" s="1539"/>
      <c r="CH2979" s="1539"/>
      <c r="CI2979" s="1539"/>
      <c r="CJ2979" s="1539"/>
      <c r="CK2979" s="1539"/>
      <c r="CL2979" s="1539"/>
      <c r="CM2979" s="1539"/>
      <c r="CN2979" s="1539"/>
      <c r="CO2979" s="1539"/>
    </row>
    <row r="2980" spans="1:93" s="1542" customFormat="1" ht="15.5">
      <c r="A2980" s="1598">
        <v>74.816999999999993</v>
      </c>
      <c r="B2980" s="1599" t="s">
        <v>4586</v>
      </c>
      <c r="C2980" s="1643" t="e">
        <f>+SUMIF(#REF!,Final!A2980,#REF!)</f>
        <v>#REF!</v>
      </c>
      <c r="D2980" s="1597" t="e">
        <f>+SUMIF(#REF!,Final!A2980,#REF!)</f>
        <v>#REF!</v>
      </c>
      <c r="E2980" s="1643" t="e">
        <f>SUMIF(#REF!,Final!A2980,#REF!)</f>
        <v>#REF!</v>
      </c>
      <c r="F2980" s="1644" t="e">
        <f>SUMIF(#REF!,Final!A2980,#REF!)</f>
        <v>#REF!</v>
      </c>
      <c r="G2980" s="1597" t="e">
        <f t="shared" si="320"/>
        <v>#REF!</v>
      </c>
      <c r="H2980" s="1644" t="e">
        <f t="shared" si="321"/>
        <v>#REF!</v>
      </c>
      <c r="I2980" s="1597" t="e">
        <f t="shared" si="322"/>
        <v>#REF!</v>
      </c>
      <c r="J2980" s="1644" t="e">
        <f t="shared" si="323"/>
        <v>#REF!</v>
      </c>
      <c r="K2980" s="1539"/>
      <c r="L2980" s="1539"/>
      <c r="M2980" s="1545"/>
      <c r="N2980" s="1545"/>
      <c r="O2980" s="1539"/>
      <c r="P2980" s="1539"/>
      <c r="Q2980" s="1539"/>
      <c r="R2980" s="1539"/>
      <c r="S2980" s="1539"/>
      <c r="T2980" s="1539"/>
      <c r="U2980" s="1539"/>
      <c r="V2980" s="1539"/>
      <c r="W2980" s="1539"/>
      <c r="X2980" s="1539"/>
      <c r="Y2980" s="1539"/>
      <c r="Z2980" s="1539"/>
      <c r="AA2980" s="1539"/>
      <c r="AB2980" s="1539"/>
      <c r="AC2980" s="1539"/>
      <c r="AD2980" s="1539"/>
      <c r="AE2980" s="1539"/>
      <c r="AF2980" s="1539"/>
      <c r="AG2980" s="1539"/>
      <c r="AH2980" s="1539"/>
      <c r="AI2980" s="1539"/>
      <c r="AJ2980" s="1539"/>
      <c r="AK2980" s="1539"/>
      <c r="AL2980" s="1539"/>
      <c r="AM2980" s="1539"/>
      <c r="AN2980" s="1539"/>
      <c r="AO2980" s="1539"/>
      <c r="AP2980" s="1539"/>
      <c r="AQ2980" s="1539"/>
      <c r="AR2980" s="1539"/>
      <c r="AS2980" s="1539"/>
      <c r="AT2980" s="1539"/>
      <c r="AU2980" s="1539"/>
      <c r="AV2980" s="1539"/>
      <c r="AW2980" s="1539"/>
      <c r="AX2980" s="1539"/>
      <c r="AY2980" s="1539"/>
      <c r="AZ2980" s="1539"/>
      <c r="BA2980" s="1539"/>
      <c r="BB2980" s="1539"/>
      <c r="BC2980" s="1539"/>
      <c r="BD2980" s="1539"/>
      <c r="BE2980" s="1539"/>
      <c r="BF2980" s="1539"/>
      <c r="BG2980" s="1539"/>
      <c r="BH2980" s="1539"/>
      <c r="BI2980" s="1539"/>
      <c r="BJ2980" s="1539"/>
      <c r="BK2980" s="1539"/>
      <c r="BL2980" s="1539"/>
      <c r="BM2980" s="1539"/>
      <c r="BN2980" s="1539"/>
      <c r="BO2980" s="1539"/>
      <c r="BP2980" s="1539"/>
      <c r="BQ2980" s="1539"/>
      <c r="BR2980" s="1539"/>
      <c r="BS2980" s="1539"/>
      <c r="BT2980" s="1539"/>
      <c r="BU2980" s="1539"/>
      <c r="BV2980" s="1539"/>
      <c r="BW2980" s="1539"/>
      <c r="BX2980" s="1539"/>
      <c r="BY2980" s="1539"/>
      <c r="BZ2980" s="1539"/>
      <c r="CA2980" s="1539"/>
      <c r="CB2980" s="1539"/>
      <c r="CC2980" s="1539"/>
      <c r="CD2980" s="1539"/>
      <c r="CE2980" s="1539"/>
      <c r="CF2980" s="1539"/>
      <c r="CG2980" s="1539"/>
      <c r="CH2980" s="1539"/>
      <c r="CI2980" s="1539"/>
      <c r="CJ2980" s="1539"/>
      <c r="CK2980" s="1539"/>
      <c r="CL2980" s="1539"/>
      <c r="CM2980" s="1539"/>
      <c r="CN2980" s="1539"/>
      <c r="CO2980" s="1539"/>
    </row>
    <row r="2981" spans="1:93" s="1542" customFormat="1" ht="15.5">
      <c r="A2981" s="1598">
        <v>74.817999999999998</v>
      </c>
      <c r="B2981" s="1599" t="s">
        <v>4587</v>
      </c>
      <c r="C2981" s="1643" t="e">
        <f>+SUMIF(#REF!,Final!A2981,#REF!)</f>
        <v>#REF!</v>
      </c>
      <c r="D2981" s="1597" t="e">
        <f>+SUMIF(#REF!,Final!A2981,#REF!)</f>
        <v>#REF!</v>
      </c>
      <c r="E2981" s="1643" t="e">
        <f>SUMIF(#REF!,Final!A2981,#REF!)</f>
        <v>#REF!</v>
      </c>
      <c r="F2981" s="1644" t="e">
        <f>SUMIF(#REF!,Final!A2981,#REF!)</f>
        <v>#REF!</v>
      </c>
      <c r="G2981" s="1597" t="e">
        <f t="shared" si="320"/>
        <v>#REF!</v>
      </c>
      <c r="H2981" s="1644" t="e">
        <f t="shared" si="321"/>
        <v>#REF!</v>
      </c>
      <c r="I2981" s="1597" t="e">
        <f t="shared" si="322"/>
        <v>#REF!</v>
      </c>
      <c r="J2981" s="1644" t="e">
        <f t="shared" si="323"/>
        <v>#REF!</v>
      </c>
      <c r="K2981" s="1539"/>
      <c r="L2981" s="1539"/>
      <c r="M2981" s="1545"/>
      <c r="N2981" s="1545"/>
      <c r="O2981" s="1539"/>
      <c r="P2981" s="1539"/>
      <c r="Q2981" s="1539"/>
      <c r="R2981" s="1539"/>
      <c r="S2981" s="1539"/>
      <c r="T2981" s="1539"/>
      <c r="U2981" s="1539"/>
      <c r="V2981" s="1539"/>
      <c r="W2981" s="1539"/>
      <c r="X2981" s="1539"/>
      <c r="Y2981" s="1539"/>
      <c r="Z2981" s="1539"/>
      <c r="AA2981" s="1539"/>
      <c r="AB2981" s="1539"/>
      <c r="AC2981" s="1539"/>
      <c r="AD2981" s="1539"/>
      <c r="AE2981" s="1539"/>
      <c r="AF2981" s="1539"/>
      <c r="AG2981" s="1539"/>
      <c r="AH2981" s="1539"/>
      <c r="AI2981" s="1539"/>
      <c r="AJ2981" s="1539"/>
      <c r="AK2981" s="1539"/>
      <c r="AL2981" s="1539"/>
      <c r="AM2981" s="1539"/>
      <c r="AN2981" s="1539"/>
      <c r="AO2981" s="1539"/>
      <c r="AP2981" s="1539"/>
      <c r="AQ2981" s="1539"/>
      <c r="AR2981" s="1539"/>
      <c r="AS2981" s="1539"/>
      <c r="AT2981" s="1539"/>
      <c r="AU2981" s="1539"/>
      <c r="AV2981" s="1539"/>
      <c r="AW2981" s="1539"/>
      <c r="AX2981" s="1539"/>
      <c r="AY2981" s="1539"/>
      <c r="AZ2981" s="1539"/>
      <c r="BA2981" s="1539"/>
      <c r="BB2981" s="1539"/>
      <c r="BC2981" s="1539"/>
      <c r="BD2981" s="1539"/>
      <c r="BE2981" s="1539"/>
      <c r="BF2981" s="1539"/>
      <c r="BG2981" s="1539"/>
      <c r="BH2981" s="1539"/>
      <c r="BI2981" s="1539"/>
      <c r="BJ2981" s="1539"/>
      <c r="BK2981" s="1539"/>
      <c r="BL2981" s="1539"/>
      <c r="BM2981" s="1539"/>
      <c r="BN2981" s="1539"/>
      <c r="BO2981" s="1539"/>
      <c r="BP2981" s="1539"/>
      <c r="BQ2981" s="1539"/>
      <c r="BR2981" s="1539"/>
      <c r="BS2981" s="1539"/>
      <c r="BT2981" s="1539"/>
      <c r="BU2981" s="1539"/>
      <c r="BV2981" s="1539"/>
      <c r="BW2981" s="1539"/>
      <c r="BX2981" s="1539"/>
      <c r="BY2981" s="1539"/>
      <c r="BZ2981" s="1539"/>
      <c r="CA2981" s="1539"/>
      <c r="CB2981" s="1539"/>
      <c r="CC2981" s="1539"/>
      <c r="CD2981" s="1539"/>
      <c r="CE2981" s="1539"/>
      <c r="CF2981" s="1539"/>
      <c r="CG2981" s="1539"/>
      <c r="CH2981" s="1539"/>
      <c r="CI2981" s="1539"/>
      <c r="CJ2981" s="1539"/>
      <c r="CK2981" s="1539"/>
      <c r="CL2981" s="1539"/>
      <c r="CM2981" s="1539"/>
      <c r="CN2981" s="1539"/>
      <c r="CO2981" s="1539"/>
    </row>
    <row r="2982" spans="1:93" s="1542" customFormat="1" ht="15.5">
      <c r="A2982" s="1690" t="s">
        <v>5077</v>
      </c>
      <c r="B2982" s="1703" t="s">
        <v>5078</v>
      </c>
      <c r="C2982" s="1643" t="e">
        <f>+SUMIF(#REF!,Final!A2982,#REF!)</f>
        <v>#REF!</v>
      </c>
      <c r="D2982" s="1597" t="e">
        <f>+SUMIF(#REF!,Final!A2982,#REF!)</f>
        <v>#REF!</v>
      </c>
      <c r="E2982" s="1643" t="e">
        <f>SUMIF(#REF!,Final!A2982,#REF!)</f>
        <v>#REF!</v>
      </c>
      <c r="F2982" s="1644" t="e">
        <f>SUMIF(#REF!,Final!A2982,#REF!)</f>
        <v>#REF!</v>
      </c>
      <c r="G2982" s="1597" t="e">
        <f t="shared" si="320"/>
        <v>#REF!</v>
      </c>
      <c r="H2982" s="1644" t="e">
        <f t="shared" si="321"/>
        <v>#REF!</v>
      </c>
      <c r="I2982" s="1597" t="e">
        <f t="shared" si="322"/>
        <v>#REF!</v>
      </c>
      <c r="J2982" s="1644" t="e">
        <f t="shared" si="323"/>
        <v>#REF!</v>
      </c>
      <c r="K2982" s="1539"/>
      <c r="L2982" s="1539"/>
      <c r="M2982" s="1545"/>
      <c r="N2982" s="1545"/>
      <c r="O2982" s="1539"/>
      <c r="P2982" s="1539"/>
      <c r="Q2982" s="1539"/>
      <c r="R2982" s="1539"/>
      <c r="S2982" s="1539"/>
      <c r="T2982" s="1539"/>
      <c r="U2982" s="1539"/>
      <c r="V2982" s="1539"/>
      <c r="W2982" s="1539"/>
      <c r="X2982" s="1539"/>
      <c r="Y2982" s="1539"/>
      <c r="Z2982" s="1539"/>
      <c r="AA2982" s="1539"/>
      <c r="AB2982" s="1539"/>
      <c r="AC2982" s="1539"/>
      <c r="AD2982" s="1539"/>
      <c r="AE2982" s="1539"/>
      <c r="AF2982" s="1539"/>
      <c r="AG2982" s="1539"/>
      <c r="AH2982" s="1539"/>
      <c r="AI2982" s="1539"/>
      <c r="AJ2982" s="1539"/>
      <c r="AK2982" s="1539"/>
      <c r="AL2982" s="1539"/>
      <c r="AM2982" s="1539"/>
      <c r="AN2982" s="1539"/>
      <c r="AO2982" s="1539"/>
      <c r="AP2982" s="1539"/>
      <c r="AQ2982" s="1539"/>
      <c r="AR2982" s="1539"/>
      <c r="AS2982" s="1539"/>
      <c r="AT2982" s="1539"/>
      <c r="AU2982" s="1539"/>
      <c r="AV2982" s="1539"/>
      <c r="AW2982" s="1539"/>
      <c r="AX2982" s="1539"/>
      <c r="AY2982" s="1539"/>
      <c r="AZ2982" s="1539"/>
      <c r="BA2982" s="1539"/>
      <c r="BB2982" s="1539"/>
      <c r="BC2982" s="1539"/>
      <c r="BD2982" s="1539"/>
      <c r="BE2982" s="1539"/>
      <c r="BF2982" s="1539"/>
      <c r="BG2982" s="1539"/>
      <c r="BH2982" s="1539"/>
      <c r="BI2982" s="1539"/>
      <c r="BJ2982" s="1539"/>
      <c r="BK2982" s="1539"/>
      <c r="BL2982" s="1539"/>
      <c r="BM2982" s="1539"/>
      <c r="BN2982" s="1539"/>
      <c r="BO2982" s="1539"/>
      <c r="BP2982" s="1539"/>
      <c r="BQ2982" s="1539"/>
      <c r="BR2982" s="1539"/>
      <c r="BS2982" s="1539"/>
      <c r="BT2982" s="1539"/>
      <c r="BU2982" s="1539"/>
      <c r="BV2982" s="1539"/>
      <c r="BW2982" s="1539"/>
      <c r="BX2982" s="1539"/>
      <c r="BY2982" s="1539"/>
      <c r="BZ2982" s="1539"/>
      <c r="CA2982" s="1539"/>
      <c r="CB2982" s="1539"/>
      <c r="CC2982" s="1539"/>
      <c r="CD2982" s="1539"/>
      <c r="CE2982" s="1539"/>
      <c r="CF2982" s="1539"/>
      <c r="CG2982" s="1539"/>
      <c r="CH2982" s="1539"/>
      <c r="CI2982" s="1539"/>
      <c r="CJ2982" s="1539"/>
      <c r="CK2982" s="1539"/>
      <c r="CL2982" s="1539"/>
      <c r="CM2982" s="1539"/>
      <c r="CN2982" s="1539"/>
      <c r="CO2982" s="1539"/>
    </row>
    <row r="2983" spans="1:93" s="1542" customFormat="1" ht="15.5">
      <c r="A2983" s="1690" t="s">
        <v>5079</v>
      </c>
      <c r="B2983" s="1703" t="s">
        <v>5080</v>
      </c>
      <c r="C2983" s="1643" t="e">
        <f>+SUMIF(#REF!,Final!A2983,#REF!)</f>
        <v>#REF!</v>
      </c>
      <c r="D2983" s="1597" t="e">
        <f>+SUMIF(#REF!,Final!A2983,#REF!)</f>
        <v>#REF!</v>
      </c>
      <c r="E2983" s="1643" t="e">
        <f>SUMIF(#REF!,Final!A2983,#REF!)</f>
        <v>#REF!</v>
      </c>
      <c r="F2983" s="1644" t="e">
        <f>SUMIF(#REF!,Final!A2983,#REF!)</f>
        <v>#REF!</v>
      </c>
      <c r="G2983" s="1597" t="e">
        <f t="shared" si="320"/>
        <v>#REF!</v>
      </c>
      <c r="H2983" s="1644" t="e">
        <f t="shared" si="321"/>
        <v>#REF!</v>
      </c>
      <c r="I2983" s="1597" t="e">
        <f t="shared" si="322"/>
        <v>#REF!</v>
      </c>
      <c r="J2983" s="1644" t="e">
        <f t="shared" si="323"/>
        <v>#REF!</v>
      </c>
      <c r="K2983" s="1539"/>
      <c r="L2983" s="1539"/>
      <c r="M2983" s="1545"/>
      <c r="N2983" s="1545"/>
      <c r="O2983" s="1539"/>
      <c r="P2983" s="1539"/>
      <c r="Q2983" s="1539"/>
      <c r="R2983" s="1539"/>
      <c r="S2983" s="1539"/>
      <c r="T2983" s="1539"/>
      <c r="U2983" s="1539"/>
      <c r="V2983" s="1539"/>
      <c r="W2983" s="1539"/>
      <c r="X2983" s="1539"/>
      <c r="Y2983" s="1539"/>
      <c r="Z2983" s="1539"/>
      <c r="AA2983" s="1539"/>
      <c r="AB2983" s="1539"/>
      <c r="AC2983" s="1539"/>
      <c r="AD2983" s="1539"/>
      <c r="AE2983" s="1539"/>
      <c r="AF2983" s="1539"/>
      <c r="AG2983" s="1539"/>
      <c r="AH2983" s="1539"/>
      <c r="AI2983" s="1539"/>
      <c r="AJ2983" s="1539"/>
      <c r="AK2983" s="1539"/>
      <c r="AL2983" s="1539"/>
      <c r="AM2983" s="1539"/>
      <c r="AN2983" s="1539"/>
      <c r="AO2983" s="1539"/>
      <c r="AP2983" s="1539"/>
      <c r="AQ2983" s="1539"/>
      <c r="AR2983" s="1539"/>
      <c r="AS2983" s="1539"/>
      <c r="AT2983" s="1539"/>
      <c r="AU2983" s="1539"/>
      <c r="AV2983" s="1539"/>
      <c r="AW2983" s="1539"/>
      <c r="AX2983" s="1539"/>
      <c r="AY2983" s="1539"/>
      <c r="AZ2983" s="1539"/>
      <c r="BA2983" s="1539"/>
      <c r="BB2983" s="1539"/>
      <c r="BC2983" s="1539"/>
      <c r="BD2983" s="1539"/>
      <c r="BE2983" s="1539"/>
      <c r="BF2983" s="1539"/>
      <c r="BG2983" s="1539"/>
      <c r="BH2983" s="1539"/>
      <c r="BI2983" s="1539"/>
      <c r="BJ2983" s="1539"/>
      <c r="BK2983" s="1539"/>
      <c r="BL2983" s="1539"/>
      <c r="BM2983" s="1539"/>
      <c r="BN2983" s="1539"/>
      <c r="BO2983" s="1539"/>
      <c r="BP2983" s="1539"/>
      <c r="BQ2983" s="1539"/>
      <c r="BR2983" s="1539"/>
      <c r="BS2983" s="1539"/>
      <c r="BT2983" s="1539"/>
      <c r="BU2983" s="1539"/>
      <c r="BV2983" s="1539"/>
      <c r="BW2983" s="1539"/>
      <c r="BX2983" s="1539"/>
      <c r="BY2983" s="1539"/>
      <c r="BZ2983" s="1539"/>
      <c r="CA2983" s="1539"/>
      <c r="CB2983" s="1539"/>
      <c r="CC2983" s="1539"/>
      <c r="CD2983" s="1539"/>
      <c r="CE2983" s="1539"/>
      <c r="CF2983" s="1539"/>
      <c r="CG2983" s="1539"/>
      <c r="CH2983" s="1539"/>
      <c r="CI2983" s="1539"/>
      <c r="CJ2983" s="1539"/>
      <c r="CK2983" s="1539"/>
      <c r="CL2983" s="1539"/>
      <c r="CM2983" s="1539"/>
      <c r="CN2983" s="1539"/>
      <c r="CO2983" s="1539"/>
    </row>
    <row r="2984" spans="1:93" s="1542" customFormat="1" ht="15.5">
      <c r="A2984" s="1790" t="s">
        <v>5308</v>
      </c>
      <c r="B2984" s="1787" t="s">
        <v>3971</v>
      </c>
      <c r="C2984" s="1643" t="e">
        <f>+SUMIF(#REF!,Final!A2984,#REF!)</f>
        <v>#REF!</v>
      </c>
      <c r="D2984" s="1597" t="e">
        <f>+SUMIF(#REF!,Final!A2984,#REF!)</f>
        <v>#REF!</v>
      </c>
      <c r="E2984" s="1643" t="e">
        <f>SUMIF(#REF!,Final!A2984,#REF!)</f>
        <v>#REF!</v>
      </c>
      <c r="F2984" s="1644" t="e">
        <f>SUMIF(#REF!,Final!A2984,#REF!)</f>
        <v>#REF!</v>
      </c>
      <c r="G2984" s="1597" t="e">
        <f t="shared" ref="G2984:G2985" si="332">C2984+E2984</f>
        <v>#REF!</v>
      </c>
      <c r="H2984" s="1644" t="e">
        <f t="shared" ref="H2984:H2985" si="333">D2984+F2984</f>
        <v>#REF!</v>
      </c>
      <c r="I2984" s="1597" t="e">
        <f t="shared" ref="I2984:I2985" si="334">IF(G2984&gt;H2984,G2984-H2984,0)</f>
        <v>#REF!</v>
      </c>
      <c r="J2984" s="1644" t="e">
        <f t="shared" ref="J2984:J2985" si="335">IF(H2984&gt;G2984,H2984-G2984,0)</f>
        <v>#REF!</v>
      </c>
      <c r="K2984" s="1539"/>
      <c r="L2984" s="1539"/>
      <c r="M2984" s="1545"/>
      <c r="N2984" s="1545"/>
      <c r="O2984" s="1539"/>
      <c r="P2984" s="1539"/>
      <c r="Q2984" s="1539"/>
      <c r="R2984" s="1539"/>
      <c r="S2984" s="1539"/>
      <c r="T2984" s="1539"/>
      <c r="U2984" s="1539"/>
      <c r="V2984" s="1539"/>
      <c r="W2984" s="1539"/>
      <c r="X2984" s="1539"/>
      <c r="Y2984" s="1539"/>
      <c r="Z2984" s="1539"/>
      <c r="AA2984" s="1539"/>
      <c r="AB2984" s="1539"/>
      <c r="AC2984" s="1539"/>
      <c r="AD2984" s="1539"/>
      <c r="AE2984" s="1539"/>
      <c r="AF2984" s="1539"/>
      <c r="AG2984" s="1539"/>
      <c r="AH2984" s="1539"/>
      <c r="AI2984" s="1539"/>
      <c r="AJ2984" s="1539"/>
      <c r="AK2984" s="1539"/>
      <c r="AL2984" s="1539"/>
      <c r="AM2984" s="1539"/>
      <c r="AN2984" s="1539"/>
      <c r="AO2984" s="1539"/>
      <c r="AP2984" s="1539"/>
      <c r="AQ2984" s="1539"/>
      <c r="AR2984" s="1539"/>
      <c r="AS2984" s="1539"/>
      <c r="AT2984" s="1539"/>
      <c r="AU2984" s="1539"/>
      <c r="AV2984" s="1539"/>
      <c r="AW2984" s="1539"/>
      <c r="AX2984" s="1539"/>
      <c r="AY2984" s="1539"/>
      <c r="AZ2984" s="1539"/>
      <c r="BA2984" s="1539"/>
      <c r="BB2984" s="1539"/>
      <c r="BC2984" s="1539"/>
      <c r="BD2984" s="1539"/>
      <c r="BE2984" s="1539"/>
      <c r="BF2984" s="1539"/>
      <c r="BG2984" s="1539"/>
      <c r="BH2984" s="1539"/>
      <c r="BI2984" s="1539"/>
      <c r="BJ2984" s="1539"/>
      <c r="BK2984" s="1539"/>
      <c r="BL2984" s="1539"/>
      <c r="BM2984" s="1539"/>
      <c r="BN2984" s="1539"/>
      <c r="BO2984" s="1539"/>
      <c r="BP2984" s="1539"/>
      <c r="BQ2984" s="1539"/>
      <c r="BR2984" s="1539"/>
      <c r="BS2984" s="1539"/>
      <c r="BT2984" s="1539"/>
      <c r="BU2984" s="1539"/>
      <c r="BV2984" s="1539"/>
      <c r="BW2984" s="1539"/>
      <c r="BX2984" s="1539"/>
      <c r="BY2984" s="1539"/>
      <c r="BZ2984" s="1539"/>
      <c r="CA2984" s="1539"/>
      <c r="CB2984" s="1539"/>
      <c r="CC2984" s="1539"/>
      <c r="CD2984" s="1539"/>
      <c r="CE2984" s="1539"/>
      <c r="CF2984" s="1539"/>
      <c r="CG2984" s="1539"/>
      <c r="CH2984" s="1539"/>
      <c r="CI2984" s="1539"/>
      <c r="CJ2984" s="1539"/>
      <c r="CK2984" s="1539"/>
      <c r="CL2984" s="1539"/>
      <c r="CM2984" s="1539"/>
      <c r="CN2984" s="1539"/>
      <c r="CO2984" s="1539"/>
    </row>
    <row r="2985" spans="1:93" s="1542" customFormat="1" ht="15.5">
      <c r="A2985" s="1790" t="s">
        <v>5309</v>
      </c>
      <c r="B2985" s="1787" t="s">
        <v>3972</v>
      </c>
      <c r="C2985" s="1643" t="e">
        <f>+SUMIF(#REF!,Final!A2985,#REF!)</f>
        <v>#REF!</v>
      </c>
      <c r="D2985" s="1597" t="e">
        <f>+SUMIF(#REF!,Final!A2985,#REF!)</f>
        <v>#REF!</v>
      </c>
      <c r="E2985" s="1643" t="e">
        <f>SUMIF(#REF!,Final!A2985,#REF!)</f>
        <v>#REF!</v>
      </c>
      <c r="F2985" s="1644" t="e">
        <f>SUMIF(#REF!,Final!A2985,#REF!)</f>
        <v>#REF!</v>
      </c>
      <c r="G2985" s="1597" t="e">
        <f t="shared" si="332"/>
        <v>#REF!</v>
      </c>
      <c r="H2985" s="1644" t="e">
        <f t="shared" si="333"/>
        <v>#REF!</v>
      </c>
      <c r="I2985" s="1597" t="e">
        <f t="shared" si="334"/>
        <v>#REF!</v>
      </c>
      <c r="J2985" s="1644" t="e">
        <f t="shared" si="335"/>
        <v>#REF!</v>
      </c>
      <c r="K2985" s="1539"/>
      <c r="L2985" s="1539"/>
      <c r="M2985" s="1545"/>
      <c r="N2985" s="1545"/>
      <c r="O2985" s="1539"/>
      <c r="P2985" s="1539"/>
      <c r="Q2985" s="1539"/>
      <c r="R2985" s="1539"/>
      <c r="S2985" s="1539"/>
      <c r="T2985" s="1539"/>
      <c r="U2985" s="1539"/>
      <c r="V2985" s="1539"/>
      <c r="W2985" s="1539"/>
      <c r="X2985" s="1539"/>
      <c r="Y2985" s="1539"/>
      <c r="Z2985" s="1539"/>
      <c r="AA2985" s="1539"/>
      <c r="AB2985" s="1539"/>
      <c r="AC2985" s="1539"/>
      <c r="AD2985" s="1539"/>
      <c r="AE2985" s="1539"/>
      <c r="AF2985" s="1539"/>
      <c r="AG2985" s="1539"/>
      <c r="AH2985" s="1539"/>
      <c r="AI2985" s="1539"/>
      <c r="AJ2985" s="1539"/>
      <c r="AK2985" s="1539"/>
      <c r="AL2985" s="1539"/>
      <c r="AM2985" s="1539"/>
      <c r="AN2985" s="1539"/>
      <c r="AO2985" s="1539"/>
      <c r="AP2985" s="1539"/>
      <c r="AQ2985" s="1539"/>
      <c r="AR2985" s="1539"/>
      <c r="AS2985" s="1539"/>
      <c r="AT2985" s="1539"/>
      <c r="AU2985" s="1539"/>
      <c r="AV2985" s="1539"/>
      <c r="AW2985" s="1539"/>
      <c r="AX2985" s="1539"/>
      <c r="AY2985" s="1539"/>
      <c r="AZ2985" s="1539"/>
      <c r="BA2985" s="1539"/>
      <c r="BB2985" s="1539"/>
      <c r="BC2985" s="1539"/>
      <c r="BD2985" s="1539"/>
      <c r="BE2985" s="1539"/>
      <c r="BF2985" s="1539"/>
      <c r="BG2985" s="1539"/>
      <c r="BH2985" s="1539"/>
      <c r="BI2985" s="1539"/>
      <c r="BJ2985" s="1539"/>
      <c r="BK2985" s="1539"/>
      <c r="BL2985" s="1539"/>
      <c r="BM2985" s="1539"/>
      <c r="BN2985" s="1539"/>
      <c r="BO2985" s="1539"/>
      <c r="BP2985" s="1539"/>
      <c r="BQ2985" s="1539"/>
      <c r="BR2985" s="1539"/>
      <c r="BS2985" s="1539"/>
      <c r="BT2985" s="1539"/>
      <c r="BU2985" s="1539"/>
      <c r="BV2985" s="1539"/>
      <c r="BW2985" s="1539"/>
      <c r="BX2985" s="1539"/>
      <c r="BY2985" s="1539"/>
      <c r="BZ2985" s="1539"/>
      <c r="CA2985" s="1539"/>
      <c r="CB2985" s="1539"/>
      <c r="CC2985" s="1539"/>
      <c r="CD2985" s="1539"/>
      <c r="CE2985" s="1539"/>
      <c r="CF2985" s="1539"/>
      <c r="CG2985" s="1539"/>
      <c r="CH2985" s="1539"/>
      <c r="CI2985" s="1539"/>
      <c r="CJ2985" s="1539"/>
      <c r="CK2985" s="1539"/>
      <c r="CL2985" s="1539"/>
      <c r="CM2985" s="1539"/>
      <c r="CN2985" s="1539"/>
      <c r="CO2985" s="1539"/>
    </row>
    <row r="2986" spans="1:93" s="1542" customFormat="1" ht="15.5">
      <c r="A2986" s="1598">
        <v>74.816000000000003</v>
      </c>
      <c r="B2986" s="1599" t="s">
        <v>3972</v>
      </c>
      <c r="C2986" s="1643" t="e">
        <f>+SUMIF(#REF!,Final!A2986,#REF!)</f>
        <v>#REF!</v>
      </c>
      <c r="D2986" s="1597" t="e">
        <f>+SUMIF(#REF!,Final!A2986,#REF!)</f>
        <v>#REF!</v>
      </c>
      <c r="E2986" s="1643" t="e">
        <f>SUMIF(#REF!,Final!A2986,#REF!)</f>
        <v>#REF!</v>
      </c>
      <c r="F2986" s="1644" t="e">
        <f>SUMIF(#REF!,Final!A2986,#REF!)</f>
        <v>#REF!</v>
      </c>
      <c r="G2986" s="1597" t="e">
        <f t="shared" si="320"/>
        <v>#REF!</v>
      </c>
      <c r="H2986" s="1644" t="e">
        <f t="shared" si="321"/>
        <v>#REF!</v>
      </c>
      <c r="I2986" s="1597" t="e">
        <f t="shared" si="322"/>
        <v>#REF!</v>
      </c>
      <c r="J2986" s="1644" t="e">
        <f t="shared" si="323"/>
        <v>#REF!</v>
      </c>
      <c r="K2986" s="1539"/>
      <c r="L2986" s="1539"/>
      <c r="M2986" s="1545"/>
      <c r="N2986" s="1545"/>
      <c r="O2986" s="1539"/>
      <c r="P2986" s="1539"/>
      <c r="Q2986" s="1539"/>
      <c r="R2986" s="1539"/>
      <c r="S2986" s="1539"/>
      <c r="T2986" s="1539"/>
      <c r="U2986" s="1539"/>
      <c r="V2986" s="1539"/>
      <c r="W2986" s="1539"/>
      <c r="X2986" s="1539"/>
      <c r="Y2986" s="1539"/>
      <c r="Z2986" s="1539"/>
      <c r="AA2986" s="1539"/>
      <c r="AB2986" s="1539"/>
      <c r="AC2986" s="1539"/>
      <c r="AD2986" s="1539"/>
      <c r="AE2986" s="1539"/>
      <c r="AF2986" s="1539"/>
      <c r="AG2986" s="1539"/>
      <c r="AH2986" s="1539"/>
      <c r="AI2986" s="1539"/>
      <c r="AJ2986" s="1539"/>
      <c r="AK2986" s="1539"/>
      <c r="AL2986" s="1539"/>
      <c r="AM2986" s="1539"/>
      <c r="AN2986" s="1539"/>
      <c r="AO2986" s="1539"/>
      <c r="AP2986" s="1539"/>
      <c r="AQ2986" s="1539"/>
      <c r="AR2986" s="1539"/>
      <c r="AS2986" s="1539"/>
      <c r="AT2986" s="1539"/>
      <c r="AU2986" s="1539"/>
      <c r="AV2986" s="1539"/>
      <c r="AW2986" s="1539"/>
      <c r="AX2986" s="1539"/>
      <c r="AY2986" s="1539"/>
      <c r="AZ2986" s="1539"/>
      <c r="BA2986" s="1539"/>
      <c r="BB2986" s="1539"/>
      <c r="BC2986" s="1539"/>
      <c r="BD2986" s="1539"/>
      <c r="BE2986" s="1539"/>
      <c r="BF2986" s="1539"/>
      <c r="BG2986" s="1539"/>
      <c r="BH2986" s="1539"/>
      <c r="BI2986" s="1539"/>
      <c r="BJ2986" s="1539"/>
      <c r="BK2986" s="1539"/>
      <c r="BL2986" s="1539"/>
      <c r="BM2986" s="1539"/>
      <c r="BN2986" s="1539"/>
      <c r="BO2986" s="1539"/>
      <c r="BP2986" s="1539"/>
      <c r="BQ2986" s="1539"/>
      <c r="BR2986" s="1539"/>
      <c r="BS2986" s="1539"/>
      <c r="BT2986" s="1539"/>
      <c r="BU2986" s="1539"/>
      <c r="BV2986" s="1539"/>
      <c r="BW2986" s="1539"/>
      <c r="BX2986" s="1539"/>
      <c r="BY2986" s="1539"/>
      <c r="BZ2986" s="1539"/>
      <c r="CA2986" s="1539"/>
      <c r="CB2986" s="1539"/>
      <c r="CC2986" s="1539"/>
      <c r="CD2986" s="1539"/>
      <c r="CE2986" s="1539"/>
      <c r="CF2986" s="1539"/>
      <c r="CG2986" s="1539"/>
      <c r="CH2986" s="1539"/>
      <c r="CI2986" s="1539"/>
      <c r="CJ2986" s="1539"/>
      <c r="CK2986" s="1539"/>
      <c r="CL2986" s="1539"/>
      <c r="CM2986" s="1539"/>
      <c r="CN2986" s="1539"/>
      <c r="CO2986" s="1539"/>
    </row>
    <row r="2987" spans="1:93" s="1552" customFormat="1" ht="15.5">
      <c r="A2987" s="1598"/>
      <c r="B2987" s="1599" t="s">
        <v>1747</v>
      </c>
      <c r="C2987" s="1643" t="e">
        <f>+SUMIF(#REF!,Final!A2987,#REF!)</f>
        <v>#REF!</v>
      </c>
      <c r="D2987" s="1597" t="e">
        <f>+SUMIF(#REF!,Final!A2987,#REF!)</f>
        <v>#REF!</v>
      </c>
      <c r="E2987" s="1643" t="e">
        <f>SUMIF(#REF!,Final!A2987,#REF!)</f>
        <v>#REF!</v>
      </c>
      <c r="F2987" s="1644" t="e">
        <f>SUMIF(#REF!,Final!A2987,#REF!)</f>
        <v>#REF!</v>
      </c>
      <c r="G2987" s="1597" t="e">
        <f t="shared" si="320"/>
        <v>#REF!</v>
      </c>
      <c r="H2987" s="1644" t="e">
        <f t="shared" si="321"/>
        <v>#REF!</v>
      </c>
      <c r="I2987" s="1597" t="e">
        <f t="shared" si="322"/>
        <v>#REF!</v>
      </c>
      <c r="J2987" s="1644" t="e">
        <f t="shared" si="323"/>
        <v>#REF!</v>
      </c>
      <c r="K2987" s="1539"/>
      <c r="L2987" s="1539"/>
      <c r="M2987" s="1545"/>
      <c r="N2987" s="1545"/>
      <c r="O2987" s="1539"/>
      <c r="P2987" s="1539"/>
      <c r="Q2987" s="1539"/>
      <c r="R2987" s="1539"/>
      <c r="S2987" s="1539"/>
      <c r="T2987" s="1539"/>
      <c r="U2987" s="1539"/>
      <c r="V2987" s="1539"/>
      <c r="W2987" s="1539"/>
      <c r="X2987" s="1539"/>
      <c r="Y2987" s="1539"/>
      <c r="Z2987" s="1539"/>
      <c r="AA2987" s="1539"/>
      <c r="AB2987" s="1539"/>
      <c r="AC2987" s="1539"/>
      <c r="AD2987" s="1539"/>
      <c r="AE2987" s="1539"/>
      <c r="AF2987" s="1539"/>
      <c r="AG2987" s="1539"/>
      <c r="AH2987" s="1539"/>
      <c r="AI2987" s="1539"/>
      <c r="AJ2987" s="1539"/>
      <c r="AK2987" s="1539"/>
      <c r="AL2987" s="1539"/>
      <c r="AM2987" s="1539"/>
      <c r="AN2987" s="1539"/>
      <c r="AO2987" s="1539"/>
      <c r="AP2987" s="1539"/>
      <c r="AQ2987" s="1539"/>
      <c r="AR2987" s="1539"/>
      <c r="AS2987" s="1539"/>
      <c r="AT2987" s="1539"/>
      <c r="AU2987" s="1539"/>
      <c r="AV2987" s="1539"/>
      <c r="AW2987" s="1539"/>
      <c r="AX2987" s="1539"/>
      <c r="AY2987" s="1539"/>
      <c r="AZ2987" s="1539"/>
      <c r="BA2987" s="1539"/>
      <c r="BB2987" s="1539"/>
      <c r="BC2987" s="1539"/>
      <c r="BD2987" s="1539"/>
      <c r="BE2987" s="1539"/>
      <c r="BF2987" s="1539"/>
      <c r="BG2987" s="1539"/>
      <c r="BH2987" s="1539"/>
      <c r="BI2987" s="1539"/>
      <c r="BJ2987" s="1539"/>
      <c r="BK2987" s="1539"/>
      <c r="BL2987" s="1539"/>
      <c r="BM2987" s="1539"/>
      <c r="BN2987" s="1539"/>
      <c r="BO2987" s="1539"/>
      <c r="BP2987" s="1539"/>
      <c r="BQ2987" s="1539"/>
      <c r="BR2987" s="1539"/>
      <c r="BS2987" s="1539"/>
      <c r="BT2987" s="1539"/>
      <c r="BU2987" s="1539"/>
      <c r="BV2987" s="1539"/>
      <c r="BW2987" s="1539"/>
      <c r="BX2987" s="1539"/>
      <c r="BY2987" s="1539"/>
      <c r="BZ2987" s="1539"/>
      <c r="CA2987" s="1539"/>
      <c r="CB2987" s="1539"/>
      <c r="CC2987" s="1539"/>
      <c r="CD2987" s="1539"/>
      <c r="CE2987" s="1539"/>
      <c r="CF2987" s="1539"/>
      <c r="CG2987" s="1539"/>
      <c r="CH2987" s="1539"/>
      <c r="CI2987" s="1539"/>
      <c r="CJ2987" s="1539"/>
      <c r="CK2987" s="1539"/>
      <c r="CL2987" s="1539"/>
      <c r="CM2987" s="1539"/>
      <c r="CN2987" s="1539"/>
      <c r="CO2987" s="1539"/>
    </row>
    <row r="2988" spans="1:93" s="1552" customFormat="1" ht="15.5">
      <c r="A2988" s="1598"/>
      <c r="B2988" s="1599" t="s">
        <v>1760</v>
      </c>
      <c r="C2988" s="1643" t="e">
        <f>+SUMIF(#REF!,Final!A2988,#REF!)</f>
        <v>#REF!</v>
      </c>
      <c r="D2988" s="1597" t="e">
        <f>+SUMIF(#REF!,Final!A2988,#REF!)</f>
        <v>#REF!</v>
      </c>
      <c r="E2988" s="1643" t="e">
        <f>SUMIF(#REF!,Final!A2988,#REF!)</f>
        <v>#REF!</v>
      </c>
      <c r="F2988" s="1644" t="e">
        <f>SUMIF(#REF!,Final!A2988,#REF!)</f>
        <v>#REF!</v>
      </c>
      <c r="G2988" s="1597" t="e">
        <f t="shared" si="320"/>
        <v>#REF!</v>
      </c>
      <c r="H2988" s="1644" t="e">
        <f t="shared" si="321"/>
        <v>#REF!</v>
      </c>
      <c r="I2988" s="1597" t="e">
        <f t="shared" si="322"/>
        <v>#REF!</v>
      </c>
      <c r="J2988" s="1644" t="e">
        <f t="shared" si="323"/>
        <v>#REF!</v>
      </c>
      <c r="K2988" s="1539"/>
      <c r="L2988" s="1539"/>
      <c r="M2988" s="1545"/>
      <c r="N2988" s="1545"/>
      <c r="O2988" s="1539"/>
      <c r="P2988" s="1539"/>
      <c r="Q2988" s="1539"/>
      <c r="R2988" s="1539"/>
      <c r="S2988" s="1539"/>
      <c r="T2988" s="1539"/>
      <c r="U2988" s="1539"/>
      <c r="V2988" s="1539"/>
      <c r="W2988" s="1539"/>
      <c r="X2988" s="1539"/>
      <c r="Y2988" s="1539"/>
      <c r="Z2988" s="1539"/>
      <c r="AA2988" s="1539"/>
      <c r="AB2988" s="1539"/>
      <c r="AC2988" s="1539"/>
      <c r="AD2988" s="1539"/>
      <c r="AE2988" s="1539"/>
      <c r="AF2988" s="1539"/>
      <c r="AG2988" s="1539"/>
      <c r="AH2988" s="1539"/>
      <c r="AI2988" s="1539"/>
      <c r="AJ2988" s="1539"/>
      <c r="AK2988" s="1539"/>
      <c r="AL2988" s="1539"/>
      <c r="AM2988" s="1539"/>
      <c r="AN2988" s="1539"/>
      <c r="AO2988" s="1539"/>
      <c r="AP2988" s="1539"/>
      <c r="AQ2988" s="1539"/>
      <c r="AR2988" s="1539"/>
      <c r="AS2988" s="1539"/>
      <c r="AT2988" s="1539"/>
      <c r="AU2988" s="1539"/>
      <c r="AV2988" s="1539"/>
      <c r="AW2988" s="1539"/>
      <c r="AX2988" s="1539"/>
      <c r="AY2988" s="1539"/>
      <c r="AZ2988" s="1539"/>
      <c r="BA2988" s="1539"/>
      <c r="BB2988" s="1539"/>
      <c r="BC2988" s="1539"/>
      <c r="BD2988" s="1539"/>
      <c r="BE2988" s="1539"/>
      <c r="BF2988" s="1539"/>
      <c r="BG2988" s="1539"/>
      <c r="BH2988" s="1539"/>
      <c r="BI2988" s="1539"/>
      <c r="BJ2988" s="1539"/>
      <c r="BK2988" s="1539"/>
      <c r="BL2988" s="1539"/>
      <c r="BM2988" s="1539"/>
      <c r="BN2988" s="1539"/>
      <c r="BO2988" s="1539"/>
      <c r="BP2988" s="1539"/>
      <c r="BQ2988" s="1539"/>
      <c r="BR2988" s="1539"/>
      <c r="BS2988" s="1539"/>
      <c r="BT2988" s="1539"/>
      <c r="BU2988" s="1539"/>
      <c r="BV2988" s="1539"/>
      <c r="BW2988" s="1539"/>
      <c r="BX2988" s="1539"/>
      <c r="BY2988" s="1539"/>
      <c r="BZ2988" s="1539"/>
      <c r="CA2988" s="1539"/>
      <c r="CB2988" s="1539"/>
      <c r="CC2988" s="1539"/>
      <c r="CD2988" s="1539"/>
      <c r="CE2988" s="1539"/>
      <c r="CF2988" s="1539"/>
      <c r="CG2988" s="1539"/>
      <c r="CH2988" s="1539"/>
      <c r="CI2988" s="1539"/>
      <c r="CJ2988" s="1539"/>
      <c r="CK2988" s="1539"/>
      <c r="CL2988" s="1539"/>
      <c r="CM2988" s="1539"/>
      <c r="CN2988" s="1539"/>
      <c r="CO2988" s="1539"/>
    </row>
    <row r="2989" spans="1:93" s="1552" customFormat="1" ht="15.5">
      <c r="A2989" s="1598"/>
      <c r="B2989" s="1599" t="s">
        <v>3531</v>
      </c>
      <c r="C2989" s="1643" t="e">
        <f>+SUMIF(#REF!,Final!A2989,#REF!)</f>
        <v>#REF!</v>
      </c>
      <c r="D2989" s="1597" t="e">
        <f>+SUMIF(#REF!,Final!A2989,#REF!)</f>
        <v>#REF!</v>
      </c>
      <c r="E2989" s="1643" t="e">
        <f>SUMIF(#REF!,Final!A2989,#REF!)</f>
        <v>#REF!</v>
      </c>
      <c r="F2989" s="1644" t="e">
        <f>SUMIF(#REF!,Final!A2989,#REF!)</f>
        <v>#REF!</v>
      </c>
      <c r="G2989" s="1597" t="e">
        <f t="shared" si="320"/>
        <v>#REF!</v>
      </c>
      <c r="H2989" s="1644" t="e">
        <f t="shared" si="321"/>
        <v>#REF!</v>
      </c>
      <c r="I2989" s="1597" t="e">
        <f t="shared" si="322"/>
        <v>#REF!</v>
      </c>
      <c r="J2989" s="1644" t="e">
        <f t="shared" si="323"/>
        <v>#REF!</v>
      </c>
      <c r="K2989" s="1539"/>
      <c r="L2989" s="1539"/>
      <c r="M2989" s="1545"/>
      <c r="N2989" s="1545"/>
      <c r="O2989" s="1539"/>
      <c r="P2989" s="1539"/>
      <c r="Q2989" s="1539"/>
      <c r="R2989" s="1539"/>
      <c r="S2989" s="1539"/>
      <c r="T2989" s="1539"/>
      <c r="U2989" s="1539"/>
      <c r="V2989" s="1539"/>
      <c r="W2989" s="1539"/>
      <c r="X2989" s="1539"/>
      <c r="Y2989" s="1539"/>
      <c r="Z2989" s="1539"/>
      <c r="AA2989" s="1539"/>
      <c r="AB2989" s="1539"/>
      <c r="AC2989" s="1539"/>
      <c r="AD2989" s="1539"/>
      <c r="AE2989" s="1539"/>
      <c r="AF2989" s="1539"/>
      <c r="AG2989" s="1539"/>
      <c r="AH2989" s="1539"/>
      <c r="AI2989" s="1539"/>
      <c r="AJ2989" s="1539"/>
      <c r="AK2989" s="1539"/>
      <c r="AL2989" s="1539"/>
      <c r="AM2989" s="1539"/>
      <c r="AN2989" s="1539"/>
      <c r="AO2989" s="1539"/>
      <c r="AP2989" s="1539"/>
      <c r="AQ2989" s="1539"/>
      <c r="AR2989" s="1539"/>
      <c r="AS2989" s="1539"/>
      <c r="AT2989" s="1539"/>
      <c r="AU2989" s="1539"/>
      <c r="AV2989" s="1539"/>
      <c r="AW2989" s="1539"/>
      <c r="AX2989" s="1539"/>
      <c r="AY2989" s="1539"/>
      <c r="AZ2989" s="1539"/>
      <c r="BA2989" s="1539"/>
      <c r="BB2989" s="1539"/>
      <c r="BC2989" s="1539"/>
      <c r="BD2989" s="1539"/>
      <c r="BE2989" s="1539"/>
      <c r="BF2989" s="1539"/>
      <c r="BG2989" s="1539"/>
      <c r="BH2989" s="1539"/>
      <c r="BI2989" s="1539"/>
      <c r="BJ2989" s="1539"/>
      <c r="BK2989" s="1539"/>
      <c r="BL2989" s="1539"/>
      <c r="BM2989" s="1539"/>
      <c r="BN2989" s="1539"/>
      <c r="BO2989" s="1539"/>
      <c r="BP2989" s="1539"/>
      <c r="BQ2989" s="1539"/>
      <c r="BR2989" s="1539"/>
      <c r="BS2989" s="1539"/>
      <c r="BT2989" s="1539"/>
      <c r="BU2989" s="1539"/>
      <c r="BV2989" s="1539"/>
      <c r="BW2989" s="1539"/>
      <c r="BX2989" s="1539"/>
      <c r="BY2989" s="1539"/>
      <c r="BZ2989" s="1539"/>
      <c r="CA2989" s="1539"/>
      <c r="CB2989" s="1539"/>
      <c r="CC2989" s="1539"/>
      <c r="CD2989" s="1539"/>
      <c r="CE2989" s="1539"/>
      <c r="CF2989" s="1539"/>
      <c r="CG2989" s="1539"/>
      <c r="CH2989" s="1539"/>
      <c r="CI2989" s="1539"/>
      <c r="CJ2989" s="1539"/>
      <c r="CK2989" s="1539"/>
      <c r="CL2989" s="1539"/>
      <c r="CM2989" s="1539"/>
      <c r="CN2989" s="1539"/>
      <c r="CO2989" s="1539"/>
    </row>
    <row r="2990" spans="1:93" s="1542" customFormat="1" ht="15.5">
      <c r="A2990" s="1598">
        <v>25</v>
      </c>
      <c r="B2990" s="1599" t="s">
        <v>3086</v>
      </c>
      <c r="C2990" s="1643" t="e">
        <f>+SUMIF(#REF!,Final!A2990,#REF!)</f>
        <v>#REF!</v>
      </c>
      <c r="D2990" s="1597" t="e">
        <f>+SUMIF(#REF!,Final!A2990,#REF!)</f>
        <v>#REF!</v>
      </c>
      <c r="E2990" s="1643" t="e">
        <f>SUMIF(#REF!,Final!A2990,#REF!)</f>
        <v>#REF!</v>
      </c>
      <c r="F2990" s="1644" t="e">
        <f>SUMIF(#REF!,Final!A2990,#REF!)</f>
        <v>#REF!</v>
      </c>
      <c r="G2990" s="1597" t="e">
        <f t="shared" si="320"/>
        <v>#REF!</v>
      </c>
      <c r="H2990" s="1644" t="e">
        <f t="shared" si="321"/>
        <v>#REF!</v>
      </c>
      <c r="I2990" s="1597" t="e">
        <f t="shared" si="322"/>
        <v>#REF!</v>
      </c>
      <c r="J2990" s="1644" t="e">
        <f t="shared" si="323"/>
        <v>#REF!</v>
      </c>
      <c r="K2990" s="1539"/>
      <c r="L2990" s="1539"/>
      <c r="M2990" s="1545"/>
      <c r="N2990" s="1545"/>
      <c r="O2990" s="1539"/>
      <c r="P2990" s="1539"/>
      <c r="Q2990" s="1539"/>
      <c r="R2990" s="1539"/>
      <c r="S2990" s="1539"/>
      <c r="T2990" s="1539"/>
      <c r="U2990" s="1539"/>
      <c r="V2990" s="1539"/>
      <c r="W2990" s="1539"/>
      <c r="X2990" s="1539"/>
      <c r="Y2990" s="1539"/>
      <c r="Z2990" s="1539"/>
      <c r="AA2990" s="1539"/>
      <c r="AB2990" s="1539"/>
      <c r="AC2990" s="1539"/>
      <c r="AD2990" s="1539"/>
      <c r="AE2990" s="1539"/>
      <c r="AF2990" s="1539"/>
      <c r="AG2990" s="1539"/>
      <c r="AH2990" s="1539"/>
      <c r="AI2990" s="1539"/>
      <c r="AJ2990" s="1539"/>
      <c r="AK2990" s="1539"/>
      <c r="AL2990" s="1539"/>
      <c r="AM2990" s="1539"/>
      <c r="AN2990" s="1539"/>
      <c r="AO2990" s="1539"/>
      <c r="AP2990" s="1539"/>
      <c r="AQ2990" s="1539"/>
      <c r="AR2990" s="1539"/>
      <c r="AS2990" s="1539"/>
      <c r="AT2990" s="1539"/>
      <c r="AU2990" s="1539"/>
      <c r="AV2990" s="1539"/>
      <c r="AW2990" s="1539"/>
      <c r="AX2990" s="1539"/>
      <c r="AY2990" s="1539"/>
      <c r="AZ2990" s="1539"/>
      <c r="BA2990" s="1539"/>
      <c r="BB2990" s="1539"/>
      <c r="BC2990" s="1539"/>
      <c r="BD2990" s="1539"/>
      <c r="BE2990" s="1539"/>
      <c r="BF2990" s="1539"/>
      <c r="BG2990" s="1539"/>
      <c r="BH2990" s="1539"/>
      <c r="BI2990" s="1539"/>
      <c r="BJ2990" s="1539"/>
      <c r="BK2990" s="1539"/>
      <c r="BL2990" s="1539"/>
      <c r="BM2990" s="1539"/>
      <c r="BN2990" s="1539"/>
      <c r="BO2990" s="1539"/>
      <c r="BP2990" s="1539"/>
      <c r="BQ2990" s="1539"/>
      <c r="BR2990" s="1539"/>
      <c r="BS2990" s="1539"/>
      <c r="BT2990" s="1539"/>
      <c r="BU2990" s="1539"/>
      <c r="BV2990" s="1539"/>
      <c r="BW2990" s="1539"/>
      <c r="BX2990" s="1539"/>
      <c r="BY2990" s="1539"/>
      <c r="BZ2990" s="1539"/>
      <c r="CA2990" s="1539"/>
      <c r="CB2990" s="1539"/>
      <c r="CC2990" s="1539"/>
      <c r="CD2990" s="1539"/>
      <c r="CE2990" s="1539"/>
      <c r="CF2990" s="1539"/>
      <c r="CG2990" s="1539"/>
      <c r="CH2990" s="1539"/>
      <c r="CI2990" s="1539"/>
      <c r="CJ2990" s="1539"/>
      <c r="CK2990" s="1539"/>
      <c r="CL2990" s="1539"/>
      <c r="CM2990" s="1539"/>
      <c r="CN2990" s="1539"/>
      <c r="CO2990" s="1539"/>
    </row>
    <row r="2991" spans="1:93" s="1542" customFormat="1" ht="15.5">
      <c r="A2991" s="1598" t="s">
        <v>1102</v>
      </c>
      <c r="B2991" s="1599" t="s">
        <v>3087</v>
      </c>
      <c r="C2991" s="1643" t="e">
        <f>+SUMIF(#REF!,Final!A2991,#REF!)</f>
        <v>#REF!</v>
      </c>
      <c r="D2991" s="1597" t="e">
        <f>+SUMIF(#REF!,Final!A2991,#REF!)</f>
        <v>#REF!</v>
      </c>
      <c r="E2991" s="1643" t="e">
        <f>SUMIF(#REF!,Final!A2991,#REF!)</f>
        <v>#REF!</v>
      </c>
      <c r="F2991" s="1644" t="e">
        <f>SUMIF(#REF!,Final!A2991,#REF!)</f>
        <v>#REF!</v>
      </c>
      <c r="G2991" s="1597" t="e">
        <f t="shared" si="320"/>
        <v>#REF!</v>
      </c>
      <c r="H2991" s="1644" t="e">
        <f t="shared" si="321"/>
        <v>#REF!</v>
      </c>
      <c r="I2991" s="1597" t="e">
        <f t="shared" si="322"/>
        <v>#REF!</v>
      </c>
      <c r="J2991" s="1644" t="e">
        <f t="shared" si="323"/>
        <v>#REF!</v>
      </c>
      <c r="K2991" s="1539"/>
      <c r="L2991" s="1539"/>
      <c r="M2991" s="1545"/>
      <c r="N2991" s="1545"/>
      <c r="O2991" s="1539"/>
      <c r="P2991" s="1539"/>
      <c r="Q2991" s="1539"/>
      <c r="R2991" s="1539"/>
      <c r="S2991" s="1539"/>
      <c r="T2991" s="1539"/>
      <c r="U2991" s="1539"/>
      <c r="V2991" s="1539"/>
      <c r="W2991" s="1539"/>
      <c r="X2991" s="1539"/>
      <c r="Y2991" s="1539"/>
      <c r="Z2991" s="1539"/>
      <c r="AA2991" s="1539"/>
      <c r="AB2991" s="1539"/>
      <c r="AC2991" s="1539"/>
      <c r="AD2991" s="1539"/>
      <c r="AE2991" s="1539"/>
      <c r="AF2991" s="1539"/>
      <c r="AG2991" s="1539"/>
      <c r="AH2991" s="1539"/>
      <c r="AI2991" s="1539"/>
      <c r="AJ2991" s="1539"/>
      <c r="AK2991" s="1539"/>
      <c r="AL2991" s="1539"/>
      <c r="AM2991" s="1539"/>
      <c r="AN2991" s="1539"/>
      <c r="AO2991" s="1539"/>
      <c r="AP2991" s="1539"/>
      <c r="AQ2991" s="1539"/>
      <c r="AR2991" s="1539"/>
      <c r="AS2991" s="1539"/>
      <c r="AT2991" s="1539"/>
      <c r="AU2991" s="1539"/>
      <c r="AV2991" s="1539"/>
      <c r="AW2991" s="1539"/>
      <c r="AX2991" s="1539"/>
      <c r="AY2991" s="1539"/>
      <c r="AZ2991" s="1539"/>
      <c r="BA2991" s="1539"/>
      <c r="BB2991" s="1539"/>
      <c r="BC2991" s="1539"/>
      <c r="BD2991" s="1539"/>
      <c r="BE2991" s="1539"/>
      <c r="BF2991" s="1539"/>
      <c r="BG2991" s="1539"/>
      <c r="BH2991" s="1539"/>
      <c r="BI2991" s="1539"/>
      <c r="BJ2991" s="1539"/>
      <c r="BK2991" s="1539"/>
      <c r="BL2991" s="1539"/>
      <c r="BM2991" s="1539"/>
      <c r="BN2991" s="1539"/>
      <c r="BO2991" s="1539"/>
      <c r="BP2991" s="1539"/>
      <c r="BQ2991" s="1539"/>
      <c r="BR2991" s="1539"/>
      <c r="BS2991" s="1539"/>
      <c r="BT2991" s="1539"/>
      <c r="BU2991" s="1539"/>
      <c r="BV2991" s="1539"/>
      <c r="BW2991" s="1539"/>
      <c r="BX2991" s="1539"/>
      <c r="BY2991" s="1539"/>
      <c r="BZ2991" s="1539"/>
      <c r="CA2991" s="1539"/>
      <c r="CB2991" s="1539"/>
      <c r="CC2991" s="1539"/>
      <c r="CD2991" s="1539"/>
      <c r="CE2991" s="1539"/>
      <c r="CF2991" s="1539"/>
      <c r="CG2991" s="1539"/>
      <c r="CH2991" s="1539"/>
      <c r="CI2991" s="1539"/>
      <c r="CJ2991" s="1539"/>
      <c r="CK2991" s="1539"/>
      <c r="CL2991" s="1539"/>
      <c r="CM2991" s="1539"/>
      <c r="CN2991" s="1539"/>
      <c r="CO2991" s="1539"/>
    </row>
    <row r="2992" spans="1:93" s="1542" customFormat="1" ht="15.5">
      <c r="A2992" s="1598" t="s">
        <v>1762</v>
      </c>
      <c r="B2992" s="1599" t="s">
        <v>3088</v>
      </c>
      <c r="C2992" s="1643" t="e">
        <f>+SUMIF(#REF!,Final!A2992,#REF!)</f>
        <v>#REF!</v>
      </c>
      <c r="D2992" s="1597" t="e">
        <f>+SUMIF(#REF!,Final!A2992,#REF!)</f>
        <v>#REF!</v>
      </c>
      <c r="E2992" s="1643" t="e">
        <f>SUMIF(#REF!,Final!A2992,#REF!)</f>
        <v>#REF!</v>
      </c>
      <c r="F2992" s="1644" t="e">
        <f>SUMIF(#REF!,Final!A2992,#REF!)</f>
        <v>#REF!</v>
      </c>
      <c r="G2992" s="1597" t="e">
        <f t="shared" si="320"/>
        <v>#REF!</v>
      </c>
      <c r="H2992" s="1644" t="e">
        <f t="shared" si="321"/>
        <v>#REF!</v>
      </c>
      <c r="I2992" s="1597" t="e">
        <f t="shared" si="322"/>
        <v>#REF!</v>
      </c>
      <c r="J2992" s="1644" t="e">
        <f t="shared" si="323"/>
        <v>#REF!</v>
      </c>
      <c r="K2992" s="1539"/>
      <c r="L2992" s="1539"/>
      <c r="M2992" s="1545"/>
      <c r="N2992" s="1545"/>
      <c r="O2992" s="1539"/>
      <c r="P2992" s="1539"/>
      <c r="Q2992" s="1539"/>
      <c r="R2992" s="1539"/>
      <c r="S2992" s="1539"/>
      <c r="T2992" s="1539"/>
      <c r="U2992" s="1539"/>
      <c r="V2992" s="1539"/>
      <c r="W2992" s="1539"/>
      <c r="X2992" s="1539"/>
      <c r="Y2992" s="1539"/>
      <c r="Z2992" s="1539"/>
      <c r="AA2992" s="1539"/>
      <c r="AB2992" s="1539"/>
      <c r="AC2992" s="1539"/>
      <c r="AD2992" s="1539"/>
      <c r="AE2992" s="1539"/>
      <c r="AF2992" s="1539"/>
      <c r="AG2992" s="1539"/>
      <c r="AH2992" s="1539"/>
      <c r="AI2992" s="1539"/>
      <c r="AJ2992" s="1539"/>
      <c r="AK2992" s="1539"/>
      <c r="AL2992" s="1539"/>
      <c r="AM2992" s="1539"/>
      <c r="AN2992" s="1539"/>
      <c r="AO2992" s="1539"/>
      <c r="AP2992" s="1539"/>
      <c r="AQ2992" s="1539"/>
      <c r="AR2992" s="1539"/>
      <c r="AS2992" s="1539"/>
      <c r="AT2992" s="1539"/>
      <c r="AU2992" s="1539"/>
      <c r="AV2992" s="1539"/>
      <c r="AW2992" s="1539"/>
      <c r="AX2992" s="1539"/>
      <c r="AY2992" s="1539"/>
      <c r="AZ2992" s="1539"/>
      <c r="BA2992" s="1539"/>
      <c r="BB2992" s="1539"/>
      <c r="BC2992" s="1539"/>
      <c r="BD2992" s="1539"/>
      <c r="BE2992" s="1539"/>
      <c r="BF2992" s="1539"/>
      <c r="BG2992" s="1539"/>
      <c r="BH2992" s="1539"/>
      <c r="BI2992" s="1539"/>
      <c r="BJ2992" s="1539"/>
      <c r="BK2992" s="1539"/>
      <c r="BL2992" s="1539"/>
      <c r="BM2992" s="1539"/>
      <c r="BN2992" s="1539"/>
      <c r="BO2992" s="1539"/>
      <c r="BP2992" s="1539"/>
      <c r="BQ2992" s="1539"/>
      <c r="BR2992" s="1539"/>
      <c r="BS2992" s="1539"/>
      <c r="BT2992" s="1539"/>
      <c r="BU2992" s="1539"/>
      <c r="BV2992" s="1539"/>
      <c r="BW2992" s="1539"/>
      <c r="BX2992" s="1539"/>
      <c r="BY2992" s="1539"/>
      <c r="BZ2992" s="1539"/>
      <c r="CA2992" s="1539"/>
      <c r="CB2992" s="1539"/>
      <c r="CC2992" s="1539"/>
      <c r="CD2992" s="1539"/>
      <c r="CE2992" s="1539"/>
      <c r="CF2992" s="1539"/>
      <c r="CG2992" s="1539"/>
      <c r="CH2992" s="1539"/>
      <c r="CI2992" s="1539"/>
      <c r="CJ2992" s="1539"/>
      <c r="CK2992" s="1539"/>
      <c r="CL2992" s="1539"/>
      <c r="CM2992" s="1539"/>
      <c r="CN2992" s="1539"/>
      <c r="CO2992" s="1539"/>
    </row>
    <row r="2993" spans="1:93" ht="15.5">
      <c r="A2993" s="1598">
        <v>75.103999999999999</v>
      </c>
      <c r="B2993" s="1599" t="s">
        <v>3089</v>
      </c>
      <c r="C2993" s="1643" t="e">
        <f>+SUMIF(#REF!,Final!A2993,#REF!)</f>
        <v>#REF!</v>
      </c>
      <c r="D2993" s="1597" t="e">
        <f>+SUMIF(#REF!,Final!A2993,#REF!)</f>
        <v>#REF!</v>
      </c>
      <c r="E2993" s="1643" t="e">
        <f>SUMIF(#REF!,Final!A2993,#REF!)</f>
        <v>#REF!</v>
      </c>
      <c r="F2993" s="1644" t="e">
        <f>SUMIF(#REF!,Final!A2993,#REF!)</f>
        <v>#REF!</v>
      </c>
      <c r="G2993" s="1597" t="e">
        <f t="shared" ref="G2993:G3057" si="336">C2993+E2993</f>
        <v>#REF!</v>
      </c>
      <c r="H2993" s="1644" t="e">
        <f t="shared" ref="H2993:H3057" si="337">D2993+F2993</f>
        <v>#REF!</v>
      </c>
      <c r="I2993" s="1597" t="e">
        <f t="shared" ref="I2993:I3057" si="338">IF(G2993&gt;H2993,G2993-H2993,0)</f>
        <v>#REF!</v>
      </c>
      <c r="J2993" s="1644" t="e">
        <f t="shared" ref="J2993:J3057" si="339">IF(H2993&gt;G2993,H2993-G2993,0)</f>
        <v>#REF!</v>
      </c>
      <c r="M2993" s="1545"/>
      <c r="N2993" s="1545"/>
    </row>
    <row r="2994" spans="1:93" ht="15.5">
      <c r="A2994" s="1598">
        <v>75.105000000000004</v>
      </c>
      <c r="B2994" s="1599" t="s">
        <v>3090</v>
      </c>
      <c r="C2994" s="1643" t="e">
        <f>+SUMIF(#REF!,Final!A2994,#REF!)</f>
        <v>#REF!</v>
      </c>
      <c r="D2994" s="1597" t="e">
        <f>+SUMIF(#REF!,Final!A2994,#REF!)</f>
        <v>#REF!</v>
      </c>
      <c r="E2994" s="1643" t="e">
        <f>SUMIF(#REF!,Final!A2994,#REF!)</f>
        <v>#REF!</v>
      </c>
      <c r="F2994" s="1644" t="e">
        <f>SUMIF(#REF!,Final!A2994,#REF!)</f>
        <v>#REF!</v>
      </c>
      <c r="G2994" s="1597" t="e">
        <f t="shared" si="336"/>
        <v>#REF!</v>
      </c>
      <c r="H2994" s="1644" t="e">
        <f t="shared" si="337"/>
        <v>#REF!</v>
      </c>
      <c r="I2994" s="1597" t="e">
        <f t="shared" si="338"/>
        <v>#REF!</v>
      </c>
      <c r="J2994" s="1644" t="e">
        <f t="shared" si="339"/>
        <v>#REF!</v>
      </c>
      <c r="M2994" s="1545"/>
      <c r="N2994" s="1545"/>
    </row>
    <row r="2995" spans="1:93" s="1542" customFormat="1" ht="15.5">
      <c r="A2995" s="1598">
        <v>75.119</v>
      </c>
      <c r="B2995" s="1599" t="s">
        <v>3091</v>
      </c>
      <c r="C2995" s="1643" t="e">
        <f>+SUMIF(#REF!,Final!A2995,#REF!)</f>
        <v>#REF!</v>
      </c>
      <c r="D2995" s="1597" t="e">
        <f>+SUMIF(#REF!,Final!A2995,#REF!)</f>
        <v>#REF!</v>
      </c>
      <c r="E2995" s="1643" t="e">
        <f>SUMIF(#REF!,Final!A2995,#REF!)</f>
        <v>#REF!</v>
      </c>
      <c r="F2995" s="1644" t="e">
        <f>SUMIF(#REF!,Final!A2995,#REF!)</f>
        <v>#REF!</v>
      </c>
      <c r="G2995" s="1597" t="e">
        <f t="shared" si="336"/>
        <v>#REF!</v>
      </c>
      <c r="H2995" s="1644" t="e">
        <f t="shared" si="337"/>
        <v>#REF!</v>
      </c>
      <c r="I2995" s="1597" t="e">
        <f t="shared" si="338"/>
        <v>#REF!</v>
      </c>
      <c r="J2995" s="1644" t="e">
        <f t="shared" si="339"/>
        <v>#REF!</v>
      </c>
      <c r="K2995" s="1539"/>
      <c r="L2995" s="1539"/>
      <c r="M2995" s="1545"/>
      <c r="N2995" s="1545"/>
      <c r="O2995" s="1539"/>
      <c r="P2995" s="1539"/>
      <c r="Q2995" s="1539"/>
      <c r="R2995" s="1539"/>
      <c r="S2995" s="1539"/>
      <c r="T2995" s="1539"/>
      <c r="U2995" s="1539"/>
      <c r="V2995" s="1539"/>
      <c r="W2995" s="1539"/>
      <c r="X2995" s="1539"/>
      <c r="Y2995" s="1539"/>
      <c r="Z2995" s="1539"/>
      <c r="AA2995" s="1539"/>
      <c r="AB2995" s="1539"/>
      <c r="AC2995" s="1539"/>
      <c r="AD2995" s="1539"/>
      <c r="AE2995" s="1539"/>
      <c r="AF2995" s="1539"/>
      <c r="AG2995" s="1539"/>
      <c r="AH2995" s="1539"/>
      <c r="AI2995" s="1539"/>
      <c r="AJ2995" s="1539"/>
      <c r="AK2995" s="1539"/>
      <c r="AL2995" s="1539"/>
      <c r="AM2995" s="1539"/>
      <c r="AN2995" s="1539"/>
      <c r="AO2995" s="1539"/>
      <c r="AP2995" s="1539"/>
      <c r="AQ2995" s="1539"/>
      <c r="AR2995" s="1539"/>
      <c r="AS2995" s="1539"/>
      <c r="AT2995" s="1539"/>
      <c r="AU2995" s="1539"/>
      <c r="AV2995" s="1539"/>
      <c r="AW2995" s="1539"/>
      <c r="AX2995" s="1539"/>
      <c r="AY2995" s="1539"/>
      <c r="AZ2995" s="1539"/>
      <c r="BA2995" s="1539"/>
      <c r="BB2995" s="1539"/>
      <c r="BC2995" s="1539"/>
      <c r="BD2995" s="1539"/>
      <c r="BE2995" s="1539"/>
      <c r="BF2995" s="1539"/>
      <c r="BG2995" s="1539"/>
      <c r="BH2995" s="1539"/>
      <c r="BI2995" s="1539"/>
      <c r="BJ2995" s="1539"/>
      <c r="BK2995" s="1539"/>
      <c r="BL2995" s="1539"/>
      <c r="BM2995" s="1539"/>
      <c r="BN2995" s="1539"/>
      <c r="BO2995" s="1539"/>
      <c r="BP2995" s="1539"/>
      <c r="BQ2995" s="1539"/>
      <c r="BR2995" s="1539"/>
      <c r="BS2995" s="1539"/>
      <c r="BT2995" s="1539"/>
      <c r="BU2995" s="1539"/>
      <c r="BV2995" s="1539"/>
      <c r="BW2995" s="1539"/>
      <c r="BX2995" s="1539"/>
      <c r="BY2995" s="1539"/>
      <c r="BZ2995" s="1539"/>
      <c r="CA2995" s="1539"/>
      <c r="CB2995" s="1539"/>
      <c r="CC2995" s="1539"/>
      <c r="CD2995" s="1539"/>
      <c r="CE2995" s="1539"/>
      <c r="CF2995" s="1539"/>
      <c r="CG2995" s="1539"/>
      <c r="CH2995" s="1539"/>
      <c r="CI2995" s="1539"/>
      <c r="CJ2995" s="1539"/>
      <c r="CK2995" s="1539"/>
      <c r="CL2995" s="1539"/>
      <c r="CM2995" s="1539"/>
      <c r="CN2995" s="1539"/>
      <c r="CO2995" s="1539"/>
    </row>
    <row r="2996" spans="1:93" s="1542" customFormat="1" ht="15.5">
      <c r="A2996" s="1598">
        <v>75.12</v>
      </c>
      <c r="B2996" s="1599" t="s">
        <v>3092</v>
      </c>
      <c r="C2996" s="1643" t="e">
        <f>+SUMIF(#REF!,Final!A2996,#REF!)</f>
        <v>#REF!</v>
      </c>
      <c r="D2996" s="1597" t="e">
        <f>+SUMIF(#REF!,Final!A2996,#REF!)</f>
        <v>#REF!</v>
      </c>
      <c r="E2996" s="1643" t="e">
        <f>SUMIF(#REF!,Final!A2996,#REF!)</f>
        <v>#REF!</v>
      </c>
      <c r="F2996" s="1644" t="e">
        <f>SUMIF(#REF!,Final!A2996,#REF!)</f>
        <v>#REF!</v>
      </c>
      <c r="G2996" s="1597" t="e">
        <f t="shared" si="336"/>
        <v>#REF!</v>
      </c>
      <c r="H2996" s="1644" t="e">
        <f t="shared" si="337"/>
        <v>#REF!</v>
      </c>
      <c r="I2996" s="1597" t="e">
        <f t="shared" si="338"/>
        <v>#REF!</v>
      </c>
      <c r="J2996" s="1644" t="e">
        <f t="shared" si="339"/>
        <v>#REF!</v>
      </c>
      <c r="K2996" s="1539"/>
      <c r="L2996" s="1539"/>
      <c r="M2996" s="1545"/>
      <c r="N2996" s="1545"/>
      <c r="O2996" s="1539"/>
      <c r="P2996" s="1539"/>
      <c r="Q2996" s="1539"/>
      <c r="R2996" s="1539"/>
      <c r="S2996" s="1539"/>
      <c r="T2996" s="1539"/>
      <c r="U2996" s="1539"/>
      <c r="V2996" s="1539"/>
      <c r="W2996" s="1539"/>
      <c r="X2996" s="1539"/>
      <c r="Y2996" s="1539"/>
      <c r="Z2996" s="1539"/>
      <c r="AA2996" s="1539"/>
      <c r="AB2996" s="1539"/>
      <c r="AC2996" s="1539"/>
      <c r="AD2996" s="1539"/>
      <c r="AE2996" s="1539"/>
      <c r="AF2996" s="1539"/>
      <c r="AG2996" s="1539"/>
      <c r="AH2996" s="1539"/>
      <c r="AI2996" s="1539"/>
      <c r="AJ2996" s="1539"/>
      <c r="AK2996" s="1539"/>
      <c r="AL2996" s="1539"/>
      <c r="AM2996" s="1539"/>
      <c r="AN2996" s="1539"/>
      <c r="AO2996" s="1539"/>
      <c r="AP2996" s="1539"/>
      <c r="AQ2996" s="1539"/>
      <c r="AR2996" s="1539"/>
      <c r="AS2996" s="1539"/>
      <c r="AT2996" s="1539"/>
      <c r="AU2996" s="1539"/>
      <c r="AV2996" s="1539"/>
      <c r="AW2996" s="1539"/>
      <c r="AX2996" s="1539"/>
      <c r="AY2996" s="1539"/>
      <c r="AZ2996" s="1539"/>
      <c r="BA2996" s="1539"/>
      <c r="BB2996" s="1539"/>
      <c r="BC2996" s="1539"/>
      <c r="BD2996" s="1539"/>
      <c r="BE2996" s="1539"/>
      <c r="BF2996" s="1539"/>
      <c r="BG2996" s="1539"/>
      <c r="BH2996" s="1539"/>
      <c r="BI2996" s="1539"/>
      <c r="BJ2996" s="1539"/>
      <c r="BK2996" s="1539"/>
      <c r="BL2996" s="1539"/>
      <c r="BM2996" s="1539"/>
      <c r="BN2996" s="1539"/>
      <c r="BO2996" s="1539"/>
      <c r="BP2996" s="1539"/>
      <c r="BQ2996" s="1539"/>
      <c r="BR2996" s="1539"/>
      <c r="BS2996" s="1539"/>
      <c r="BT2996" s="1539"/>
      <c r="BU2996" s="1539"/>
      <c r="BV2996" s="1539"/>
      <c r="BW2996" s="1539"/>
      <c r="BX2996" s="1539"/>
      <c r="BY2996" s="1539"/>
      <c r="BZ2996" s="1539"/>
      <c r="CA2996" s="1539"/>
      <c r="CB2996" s="1539"/>
      <c r="CC2996" s="1539"/>
      <c r="CD2996" s="1539"/>
      <c r="CE2996" s="1539"/>
      <c r="CF2996" s="1539"/>
      <c r="CG2996" s="1539"/>
      <c r="CH2996" s="1539"/>
      <c r="CI2996" s="1539"/>
      <c r="CJ2996" s="1539"/>
      <c r="CK2996" s="1539"/>
      <c r="CL2996" s="1539"/>
      <c r="CM2996" s="1539"/>
      <c r="CN2996" s="1539"/>
      <c r="CO2996" s="1539"/>
    </row>
    <row r="2997" spans="1:93" s="1552" customFormat="1" ht="15.5">
      <c r="A2997" s="1598"/>
      <c r="B2997" s="1599" t="s">
        <v>1747</v>
      </c>
      <c r="C2997" s="1643" t="e">
        <f>+SUMIF(#REF!,Final!A2997,#REF!)</f>
        <v>#REF!</v>
      </c>
      <c r="D2997" s="1597" t="e">
        <f>+SUMIF(#REF!,Final!A2997,#REF!)</f>
        <v>#REF!</v>
      </c>
      <c r="E2997" s="1643" t="e">
        <f>SUMIF(#REF!,Final!A2997,#REF!)</f>
        <v>#REF!</v>
      </c>
      <c r="F2997" s="1644" t="e">
        <f>SUMIF(#REF!,Final!A2997,#REF!)</f>
        <v>#REF!</v>
      </c>
      <c r="G2997" s="1597" t="e">
        <f t="shared" si="336"/>
        <v>#REF!</v>
      </c>
      <c r="H2997" s="1644" t="e">
        <f t="shared" si="337"/>
        <v>#REF!</v>
      </c>
      <c r="I2997" s="1597" t="e">
        <f t="shared" si="338"/>
        <v>#REF!</v>
      </c>
      <c r="J2997" s="1644" t="e">
        <f t="shared" si="339"/>
        <v>#REF!</v>
      </c>
      <c r="K2997" s="1539"/>
      <c r="L2997" s="1539"/>
      <c r="M2997" s="1545"/>
      <c r="N2997" s="1545"/>
      <c r="O2997" s="1539"/>
      <c r="P2997" s="1539"/>
      <c r="Q2997" s="1539"/>
      <c r="R2997" s="1539"/>
      <c r="S2997" s="1539"/>
      <c r="T2997" s="1539"/>
      <c r="U2997" s="1539"/>
      <c r="V2997" s="1539"/>
      <c r="W2997" s="1539"/>
      <c r="X2997" s="1539"/>
      <c r="Y2997" s="1539"/>
      <c r="Z2997" s="1539"/>
      <c r="AA2997" s="1539"/>
      <c r="AB2997" s="1539"/>
      <c r="AC2997" s="1539"/>
      <c r="AD2997" s="1539"/>
      <c r="AE2997" s="1539"/>
      <c r="AF2997" s="1539"/>
      <c r="AG2997" s="1539"/>
      <c r="AH2997" s="1539"/>
      <c r="AI2997" s="1539"/>
      <c r="AJ2997" s="1539"/>
      <c r="AK2997" s="1539"/>
      <c r="AL2997" s="1539"/>
      <c r="AM2997" s="1539"/>
      <c r="AN2997" s="1539"/>
      <c r="AO2997" s="1539"/>
      <c r="AP2997" s="1539"/>
      <c r="AQ2997" s="1539"/>
      <c r="AR2997" s="1539"/>
      <c r="AS2997" s="1539"/>
      <c r="AT2997" s="1539"/>
      <c r="AU2997" s="1539"/>
      <c r="AV2997" s="1539"/>
      <c r="AW2997" s="1539"/>
      <c r="AX2997" s="1539"/>
      <c r="AY2997" s="1539"/>
      <c r="AZ2997" s="1539"/>
      <c r="BA2997" s="1539"/>
      <c r="BB2997" s="1539"/>
      <c r="BC2997" s="1539"/>
      <c r="BD2997" s="1539"/>
      <c r="BE2997" s="1539"/>
      <c r="BF2997" s="1539"/>
      <c r="BG2997" s="1539"/>
      <c r="BH2997" s="1539"/>
      <c r="BI2997" s="1539"/>
      <c r="BJ2997" s="1539"/>
      <c r="BK2997" s="1539"/>
      <c r="BL2997" s="1539"/>
      <c r="BM2997" s="1539"/>
      <c r="BN2997" s="1539"/>
      <c r="BO2997" s="1539"/>
      <c r="BP2997" s="1539"/>
      <c r="BQ2997" s="1539"/>
      <c r="BR2997" s="1539"/>
      <c r="BS2997" s="1539"/>
      <c r="BT2997" s="1539"/>
      <c r="BU2997" s="1539"/>
      <c r="BV2997" s="1539"/>
      <c r="BW2997" s="1539"/>
      <c r="BX2997" s="1539"/>
      <c r="BY2997" s="1539"/>
      <c r="BZ2997" s="1539"/>
      <c r="CA2997" s="1539"/>
      <c r="CB2997" s="1539"/>
      <c r="CC2997" s="1539"/>
      <c r="CD2997" s="1539"/>
      <c r="CE2997" s="1539"/>
      <c r="CF2997" s="1539"/>
      <c r="CG2997" s="1539"/>
      <c r="CH2997" s="1539"/>
      <c r="CI2997" s="1539"/>
      <c r="CJ2997" s="1539"/>
      <c r="CK2997" s="1539"/>
      <c r="CL2997" s="1539"/>
      <c r="CM2997" s="1539"/>
      <c r="CN2997" s="1539"/>
      <c r="CO2997" s="1539"/>
    </row>
    <row r="2998" spans="1:93" s="1552" customFormat="1" ht="16" thickBot="1">
      <c r="A2998" s="1598"/>
      <c r="B2998" s="1599" t="s">
        <v>1760</v>
      </c>
      <c r="C2998" s="1643" t="e">
        <f>+SUMIF(#REF!,Final!A2998,#REF!)</f>
        <v>#REF!</v>
      </c>
      <c r="D2998" s="1597" t="e">
        <f>+SUMIF(#REF!,Final!A2998,#REF!)</f>
        <v>#REF!</v>
      </c>
      <c r="E2998" s="1643" t="e">
        <f>SUMIF(#REF!,Final!A2998,#REF!)</f>
        <v>#REF!</v>
      </c>
      <c r="F2998" s="1644" t="e">
        <f>SUMIF(#REF!,Final!A2998,#REF!)</f>
        <v>#REF!</v>
      </c>
      <c r="G2998" s="1597" t="e">
        <f t="shared" si="336"/>
        <v>#REF!</v>
      </c>
      <c r="H2998" s="1644" t="e">
        <f t="shared" si="337"/>
        <v>#REF!</v>
      </c>
      <c r="I2998" s="1597" t="e">
        <f t="shared" si="338"/>
        <v>#REF!</v>
      </c>
      <c r="J2998" s="1644" t="e">
        <f t="shared" si="339"/>
        <v>#REF!</v>
      </c>
      <c r="K2998" s="1539"/>
      <c r="L2998" s="1539"/>
      <c r="M2998" s="1545"/>
      <c r="N2998" s="1545"/>
      <c r="O2998" s="1539"/>
      <c r="P2998" s="1539"/>
      <c r="Q2998" s="1539"/>
      <c r="R2998" s="1539"/>
      <c r="S2998" s="1539"/>
      <c r="T2998" s="1539"/>
      <c r="U2998" s="1539"/>
      <c r="V2998" s="1539"/>
      <c r="W2998" s="1539"/>
      <c r="X2998" s="1539"/>
      <c r="Y2998" s="1539"/>
      <c r="Z2998" s="1539"/>
      <c r="AA2998" s="1539"/>
      <c r="AB2998" s="1539"/>
      <c r="AC2998" s="1539"/>
      <c r="AD2998" s="1539"/>
      <c r="AE2998" s="1539"/>
      <c r="AF2998" s="1539"/>
      <c r="AG2998" s="1539"/>
      <c r="AH2998" s="1539"/>
      <c r="AI2998" s="1539"/>
      <c r="AJ2998" s="1539"/>
      <c r="AK2998" s="1539"/>
      <c r="AL2998" s="1539"/>
      <c r="AM2998" s="1539"/>
      <c r="AN2998" s="1539"/>
      <c r="AO2998" s="1539"/>
      <c r="AP2998" s="1539"/>
      <c r="AQ2998" s="1539"/>
      <c r="AR2998" s="1539"/>
      <c r="AS2998" s="1539"/>
      <c r="AT2998" s="1539"/>
      <c r="AU2998" s="1539"/>
      <c r="AV2998" s="1539"/>
      <c r="AW2998" s="1539"/>
      <c r="AX2998" s="1539"/>
      <c r="AY2998" s="1539"/>
      <c r="AZ2998" s="1539"/>
      <c r="BA2998" s="1539"/>
      <c r="BB2998" s="1539"/>
      <c r="BC2998" s="1539"/>
      <c r="BD2998" s="1539"/>
      <c r="BE2998" s="1539"/>
      <c r="BF2998" s="1539"/>
      <c r="BG2998" s="1539"/>
      <c r="BH2998" s="1539"/>
      <c r="BI2998" s="1539"/>
      <c r="BJ2998" s="1539"/>
      <c r="BK2998" s="1539"/>
      <c r="BL2998" s="1539"/>
      <c r="BM2998" s="1539"/>
      <c r="BN2998" s="1539"/>
      <c r="BO2998" s="1539"/>
      <c r="BP2998" s="1539"/>
      <c r="BQ2998" s="1539"/>
      <c r="BR2998" s="1539"/>
      <c r="BS2998" s="1539"/>
      <c r="BT2998" s="1539"/>
      <c r="BU2998" s="1539"/>
      <c r="BV2998" s="1539"/>
      <c r="BW2998" s="1539"/>
      <c r="BX2998" s="1539"/>
      <c r="BY2998" s="1539"/>
      <c r="BZ2998" s="1539"/>
      <c r="CA2998" s="1539"/>
      <c r="CB2998" s="1539"/>
      <c r="CC2998" s="1539"/>
      <c r="CD2998" s="1539"/>
      <c r="CE2998" s="1539"/>
      <c r="CF2998" s="1539"/>
      <c r="CG2998" s="1539"/>
      <c r="CH2998" s="1539"/>
      <c r="CI2998" s="1539"/>
      <c r="CJ2998" s="1539"/>
      <c r="CK2998" s="1539"/>
      <c r="CL2998" s="1539"/>
      <c r="CM2998" s="1539"/>
      <c r="CN2998" s="1539"/>
      <c r="CO2998" s="1539"/>
    </row>
    <row r="2999" spans="1:93" s="1552" customFormat="1" ht="15.5">
      <c r="A2999" s="1861">
        <v>75.120999999999995</v>
      </c>
      <c r="B2999" s="1862" t="s">
        <v>5494</v>
      </c>
      <c r="C2999" s="1643" t="e">
        <f>+SUMIF(#REF!,Final!A2999,#REF!)</f>
        <v>#REF!</v>
      </c>
      <c r="D2999" s="1597" t="e">
        <f>+SUMIF(#REF!,Final!A2999,#REF!)</f>
        <v>#REF!</v>
      </c>
      <c r="E2999" s="1643" t="e">
        <f>SUMIF(#REF!,Final!A2999,#REF!)</f>
        <v>#REF!</v>
      </c>
      <c r="F2999" s="1644" t="e">
        <f>SUMIF(#REF!,Final!A2999,#REF!)</f>
        <v>#REF!</v>
      </c>
      <c r="G2999" s="1597" t="e">
        <f t="shared" ref="G2999" si="340">C2999+E2999</f>
        <v>#REF!</v>
      </c>
      <c r="H2999" s="1644" t="e">
        <f t="shared" ref="H2999" si="341">D2999+F2999</f>
        <v>#REF!</v>
      </c>
      <c r="I2999" s="1597" t="e">
        <f t="shared" ref="I2999" si="342">IF(G2999&gt;H2999,G2999-H2999,0)</f>
        <v>#REF!</v>
      </c>
      <c r="J2999" s="1644" t="e">
        <f t="shared" ref="J2999" si="343">IF(H2999&gt;G2999,H2999-G2999,0)</f>
        <v>#REF!</v>
      </c>
      <c r="K2999" s="1539"/>
      <c r="L2999" s="1539"/>
      <c r="M2999" s="1545"/>
      <c r="N2999" s="1545"/>
      <c r="O2999" s="1539"/>
      <c r="P2999" s="1539"/>
      <c r="Q2999" s="1539"/>
      <c r="R2999" s="1539"/>
      <c r="S2999" s="1539"/>
      <c r="T2999" s="1539"/>
      <c r="U2999" s="1539"/>
      <c r="V2999" s="1539"/>
      <c r="W2999" s="1539"/>
      <c r="X2999" s="1539"/>
      <c r="Y2999" s="1539"/>
      <c r="Z2999" s="1539"/>
      <c r="AA2999" s="1539"/>
      <c r="AB2999" s="1539"/>
      <c r="AC2999" s="1539"/>
      <c r="AD2999" s="1539"/>
      <c r="AE2999" s="1539"/>
      <c r="AF2999" s="1539"/>
      <c r="AG2999" s="1539"/>
      <c r="AH2999" s="1539"/>
      <c r="AI2999" s="1539"/>
      <c r="AJ2999" s="1539"/>
      <c r="AK2999" s="1539"/>
      <c r="AL2999" s="1539"/>
      <c r="AM2999" s="1539"/>
      <c r="AN2999" s="1539"/>
      <c r="AO2999" s="1539"/>
      <c r="AP2999" s="1539"/>
      <c r="AQ2999" s="1539"/>
      <c r="AR2999" s="1539"/>
      <c r="AS2999" s="1539"/>
      <c r="AT2999" s="1539"/>
      <c r="AU2999" s="1539"/>
      <c r="AV2999" s="1539"/>
      <c r="AW2999" s="1539"/>
      <c r="AX2999" s="1539"/>
      <c r="AY2999" s="1539"/>
      <c r="AZ2999" s="1539"/>
      <c r="BA2999" s="1539"/>
      <c r="BB2999" s="1539"/>
      <c r="BC2999" s="1539"/>
      <c r="BD2999" s="1539"/>
      <c r="BE2999" s="1539"/>
      <c r="BF2999" s="1539"/>
      <c r="BG2999" s="1539"/>
      <c r="BH2999" s="1539"/>
      <c r="BI2999" s="1539"/>
      <c r="BJ2999" s="1539"/>
      <c r="BK2999" s="1539"/>
      <c r="BL2999" s="1539"/>
      <c r="BM2999" s="1539"/>
      <c r="BN2999" s="1539"/>
      <c r="BO2999" s="1539"/>
      <c r="BP2999" s="1539"/>
      <c r="BQ2999" s="1539"/>
      <c r="BR2999" s="1539"/>
      <c r="BS2999" s="1539"/>
      <c r="BT2999" s="1539"/>
      <c r="BU2999" s="1539"/>
      <c r="BV2999" s="1539"/>
      <c r="BW2999" s="1539"/>
      <c r="BX2999" s="1539"/>
      <c r="BY2999" s="1539"/>
      <c r="BZ2999" s="1539"/>
      <c r="CA2999" s="1539"/>
      <c r="CB2999" s="1539"/>
      <c r="CC2999" s="1539"/>
      <c r="CD2999" s="1539"/>
      <c r="CE2999" s="1539"/>
      <c r="CF2999" s="1539"/>
      <c r="CG2999" s="1539"/>
      <c r="CH2999" s="1539"/>
      <c r="CI2999" s="1539"/>
      <c r="CJ2999" s="1539"/>
      <c r="CK2999" s="1539"/>
      <c r="CL2999" s="1539"/>
      <c r="CM2999" s="1539"/>
      <c r="CN2999" s="1539"/>
      <c r="CO2999" s="1539"/>
    </row>
    <row r="3000" spans="1:93" s="1542" customFormat="1" ht="15.5">
      <c r="A3000" s="1598" t="s">
        <v>1768</v>
      </c>
      <c r="B3000" s="1599" t="s">
        <v>3093</v>
      </c>
      <c r="C3000" s="1643" t="e">
        <f>+SUMIF(#REF!,Final!A3000,#REF!)</f>
        <v>#REF!</v>
      </c>
      <c r="D3000" s="1597" t="e">
        <f>+SUMIF(#REF!,Final!A3000,#REF!)</f>
        <v>#REF!</v>
      </c>
      <c r="E3000" s="1643" t="e">
        <f>SUMIF(#REF!,Final!A3000,#REF!)</f>
        <v>#REF!</v>
      </c>
      <c r="F3000" s="1644" t="e">
        <f>SUMIF(#REF!,Final!A3000,#REF!)</f>
        <v>#REF!</v>
      </c>
      <c r="G3000" s="1597" t="e">
        <f t="shared" si="336"/>
        <v>#REF!</v>
      </c>
      <c r="H3000" s="1644" t="e">
        <f t="shared" si="337"/>
        <v>#REF!</v>
      </c>
      <c r="I3000" s="1597" t="e">
        <f t="shared" si="338"/>
        <v>#REF!</v>
      </c>
      <c r="J3000" s="1644" t="e">
        <f t="shared" si="339"/>
        <v>#REF!</v>
      </c>
      <c r="K3000" s="1539"/>
      <c r="L3000" s="1539"/>
      <c r="M3000" s="1545"/>
      <c r="N3000" s="1545"/>
      <c r="O3000" s="1539"/>
      <c r="P3000" s="1539"/>
      <c r="Q3000" s="1539"/>
      <c r="R3000" s="1539"/>
      <c r="S3000" s="1539"/>
      <c r="T3000" s="1539"/>
      <c r="U3000" s="1539"/>
      <c r="V3000" s="1539"/>
      <c r="W3000" s="1539"/>
      <c r="X3000" s="1539"/>
      <c r="Y3000" s="1539"/>
      <c r="Z3000" s="1539"/>
      <c r="AA3000" s="1539"/>
      <c r="AB3000" s="1539"/>
      <c r="AC3000" s="1539"/>
      <c r="AD3000" s="1539"/>
      <c r="AE3000" s="1539"/>
      <c r="AF3000" s="1539"/>
      <c r="AG3000" s="1539"/>
      <c r="AH3000" s="1539"/>
      <c r="AI3000" s="1539"/>
      <c r="AJ3000" s="1539"/>
      <c r="AK3000" s="1539"/>
      <c r="AL3000" s="1539"/>
      <c r="AM3000" s="1539"/>
      <c r="AN3000" s="1539"/>
      <c r="AO3000" s="1539"/>
      <c r="AP3000" s="1539"/>
      <c r="AQ3000" s="1539"/>
      <c r="AR3000" s="1539"/>
      <c r="AS3000" s="1539"/>
      <c r="AT3000" s="1539"/>
      <c r="AU3000" s="1539"/>
      <c r="AV3000" s="1539"/>
      <c r="AW3000" s="1539"/>
      <c r="AX3000" s="1539"/>
      <c r="AY3000" s="1539"/>
      <c r="AZ3000" s="1539"/>
      <c r="BA3000" s="1539"/>
      <c r="BB3000" s="1539"/>
      <c r="BC3000" s="1539"/>
      <c r="BD3000" s="1539"/>
      <c r="BE3000" s="1539"/>
      <c r="BF3000" s="1539"/>
      <c r="BG3000" s="1539"/>
      <c r="BH3000" s="1539"/>
      <c r="BI3000" s="1539"/>
      <c r="BJ3000" s="1539"/>
      <c r="BK3000" s="1539"/>
      <c r="BL3000" s="1539"/>
      <c r="BM3000" s="1539"/>
      <c r="BN3000" s="1539"/>
      <c r="BO3000" s="1539"/>
      <c r="BP3000" s="1539"/>
      <c r="BQ3000" s="1539"/>
      <c r="BR3000" s="1539"/>
      <c r="BS3000" s="1539"/>
      <c r="BT3000" s="1539"/>
      <c r="BU3000" s="1539"/>
      <c r="BV3000" s="1539"/>
      <c r="BW3000" s="1539"/>
      <c r="BX3000" s="1539"/>
      <c r="BY3000" s="1539"/>
      <c r="BZ3000" s="1539"/>
      <c r="CA3000" s="1539"/>
      <c r="CB3000" s="1539"/>
      <c r="CC3000" s="1539"/>
      <c r="CD3000" s="1539"/>
      <c r="CE3000" s="1539"/>
      <c r="CF3000" s="1539"/>
      <c r="CG3000" s="1539"/>
      <c r="CH3000" s="1539"/>
      <c r="CI3000" s="1539"/>
      <c r="CJ3000" s="1539"/>
      <c r="CK3000" s="1539"/>
      <c r="CL3000" s="1539"/>
      <c r="CM3000" s="1539"/>
      <c r="CN3000" s="1539"/>
      <c r="CO3000" s="1539"/>
    </row>
    <row r="3001" spans="1:93" ht="15.5">
      <c r="A3001" s="1598">
        <v>75.129000000000005</v>
      </c>
      <c r="B3001" s="1599" t="s">
        <v>3094</v>
      </c>
      <c r="C3001" s="1643" t="e">
        <f>+SUMIF(#REF!,Final!A3001,#REF!)</f>
        <v>#REF!</v>
      </c>
      <c r="D3001" s="1597" t="e">
        <f>+SUMIF(#REF!,Final!A3001,#REF!)</f>
        <v>#REF!</v>
      </c>
      <c r="E3001" s="1643" t="e">
        <f>SUMIF(#REF!,Final!A3001,#REF!)</f>
        <v>#REF!</v>
      </c>
      <c r="F3001" s="1644" t="e">
        <f>SUMIF(#REF!,Final!A3001,#REF!)</f>
        <v>#REF!</v>
      </c>
      <c r="G3001" s="1597" t="e">
        <f t="shared" si="336"/>
        <v>#REF!</v>
      </c>
      <c r="H3001" s="1644" t="e">
        <f t="shared" si="337"/>
        <v>#REF!</v>
      </c>
      <c r="I3001" s="1597" t="e">
        <f t="shared" si="338"/>
        <v>#REF!</v>
      </c>
      <c r="J3001" s="1644" t="e">
        <f t="shared" si="339"/>
        <v>#REF!</v>
      </c>
      <c r="M3001" s="1545"/>
      <c r="N3001" s="1545"/>
    </row>
    <row r="3002" spans="1:93" ht="15.5">
      <c r="A3002" s="1598">
        <v>75.13</v>
      </c>
      <c r="B3002" s="1599" t="s">
        <v>3095</v>
      </c>
      <c r="C3002" s="1643" t="e">
        <f>+SUMIF(#REF!,Final!A3002,#REF!)</f>
        <v>#REF!</v>
      </c>
      <c r="D3002" s="1597" t="e">
        <f>+SUMIF(#REF!,Final!A3002,#REF!)</f>
        <v>#REF!</v>
      </c>
      <c r="E3002" s="1643" t="e">
        <f>SUMIF(#REF!,Final!A3002,#REF!)</f>
        <v>#REF!</v>
      </c>
      <c r="F3002" s="1644" t="e">
        <f>SUMIF(#REF!,Final!A3002,#REF!)</f>
        <v>#REF!</v>
      </c>
      <c r="G3002" s="1597" t="e">
        <f t="shared" si="336"/>
        <v>#REF!</v>
      </c>
      <c r="H3002" s="1644" t="e">
        <f t="shared" si="337"/>
        <v>#REF!</v>
      </c>
      <c r="I3002" s="1597" t="e">
        <f t="shared" si="338"/>
        <v>#REF!</v>
      </c>
      <c r="J3002" s="1644" t="e">
        <f t="shared" si="339"/>
        <v>#REF!</v>
      </c>
      <c r="M3002" s="1545"/>
      <c r="N3002" s="1545"/>
    </row>
    <row r="3003" spans="1:93" ht="15.5">
      <c r="A3003" s="1598">
        <v>75.144000000000005</v>
      </c>
      <c r="B3003" s="1599" t="s">
        <v>3091</v>
      </c>
      <c r="C3003" s="1643" t="e">
        <f>+SUMIF(#REF!,Final!A3003,#REF!)</f>
        <v>#REF!</v>
      </c>
      <c r="D3003" s="1597" t="e">
        <f>+SUMIF(#REF!,Final!A3003,#REF!)</f>
        <v>#REF!</v>
      </c>
      <c r="E3003" s="1643" t="e">
        <f>SUMIF(#REF!,Final!A3003,#REF!)</f>
        <v>#REF!</v>
      </c>
      <c r="F3003" s="1644" t="e">
        <f>SUMIF(#REF!,Final!A3003,#REF!)</f>
        <v>#REF!</v>
      </c>
      <c r="G3003" s="1597" t="e">
        <f t="shared" si="336"/>
        <v>#REF!</v>
      </c>
      <c r="H3003" s="1644" t="e">
        <f t="shared" si="337"/>
        <v>#REF!</v>
      </c>
      <c r="I3003" s="1597" t="e">
        <f t="shared" si="338"/>
        <v>#REF!</v>
      </c>
      <c r="J3003" s="1644" t="e">
        <f t="shared" si="339"/>
        <v>#REF!</v>
      </c>
      <c r="M3003" s="1545"/>
      <c r="N3003" s="1545"/>
    </row>
    <row r="3004" spans="1:93" ht="15.5">
      <c r="A3004" s="1598">
        <v>75.144999999999996</v>
      </c>
      <c r="B3004" s="1599" t="s">
        <v>3092</v>
      </c>
      <c r="C3004" s="1643" t="e">
        <f>+SUMIF(#REF!,Final!A3004,#REF!)</f>
        <v>#REF!</v>
      </c>
      <c r="D3004" s="1597" t="e">
        <f>+SUMIF(#REF!,Final!A3004,#REF!)</f>
        <v>#REF!</v>
      </c>
      <c r="E3004" s="1643" t="e">
        <f>SUMIF(#REF!,Final!A3004,#REF!)</f>
        <v>#REF!</v>
      </c>
      <c r="F3004" s="1644" t="e">
        <f>SUMIF(#REF!,Final!A3004,#REF!)</f>
        <v>#REF!</v>
      </c>
      <c r="G3004" s="1597" t="e">
        <f t="shared" si="336"/>
        <v>#REF!</v>
      </c>
      <c r="H3004" s="1644" t="e">
        <f t="shared" si="337"/>
        <v>#REF!</v>
      </c>
      <c r="I3004" s="1597" t="e">
        <f t="shared" si="338"/>
        <v>#REF!</v>
      </c>
      <c r="J3004" s="1644" t="e">
        <f t="shared" si="339"/>
        <v>#REF!</v>
      </c>
      <c r="M3004" s="1545"/>
      <c r="N3004" s="1545"/>
    </row>
    <row r="3005" spans="1:93" ht="15.5">
      <c r="A3005" s="1598">
        <v>75.146000000000001</v>
      </c>
      <c r="B3005" s="1599" t="s">
        <v>3944</v>
      </c>
      <c r="C3005" s="1643" t="e">
        <f>+SUMIF(#REF!,Final!A3005,#REF!)</f>
        <v>#REF!</v>
      </c>
      <c r="D3005" s="1597" t="e">
        <f>+SUMIF(#REF!,Final!A3005,#REF!)</f>
        <v>#REF!</v>
      </c>
      <c r="E3005" s="1643" t="e">
        <f>SUMIF(#REF!,Final!A3005,#REF!)</f>
        <v>#REF!</v>
      </c>
      <c r="F3005" s="1644" t="e">
        <f>SUMIF(#REF!,Final!A3005,#REF!)</f>
        <v>#REF!</v>
      </c>
      <c r="G3005" s="1597" t="e">
        <f t="shared" si="336"/>
        <v>#REF!</v>
      </c>
      <c r="H3005" s="1644" t="e">
        <f t="shared" si="337"/>
        <v>#REF!</v>
      </c>
      <c r="I3005" s="1597" t="e">
        <f t="shared" si="338"/>
        <v>#REF!</v>
      </c>
      <c r="J3005" s="1644" t="e">
        <f t="shared" si="339"/>
        <v>#REF!</v>
      </c>
      <c r="M3005" s="1545"/>
      <c r="N3005" s="1545"/>
    </row>
    <row r="3006" spans="1:93" ht="15.5">
      <c r="A3006" s="1598">
        <v>75.147000000000006</v>
      </c>
      <c r="B3006" s="1599" t="s">
        <v>3945</v>
      </c>
      <c r="C3006" s="1643" t="e">
        <f>+SUMIF(#REF!,Final!A3006,#REF!)</f>
        <v>#REF!</v>
      </c>
      <c r="D3006" s="1597" t="e">
        <f>+SUMIF(#REF!,Final!A3006,#REF!)</f>
        <v>#REF!</v>
      </c>
      <c r="E3006" s="1643" t="e">
        <f>SUMIF(#REF!,Final!A3006,#REF!)</f>
        <v>#REF!</v>
      </c>
      <c r="F3006" s="1644" t="e">
        <f>SUMIF(#REF!,Final!A3006,#REF!)</f>
        <v>#REF!</v>
      </c>
      <c r="G3006" s="1597" t="e">
        <f t="shared" si="336"/>
        <v>#REF!</v>
      </c>
      <c r="H3006" s="1644" t="e">
        <f t="shared" si="337"/>
        <v>#REF!</v>
      </c>
      <c r="I3006" s="1597" t="e">
        <f t="shared" si="338"/>
        <v>#REF!</v>
      </c>
      <c r="J3006" s="1644" t="e">
        <f t="shared" si="339"/>
        <v>#REF!</v>
      </c>
      <c r="M3006" s="1545"/>
      <c r="N3006" s="1545"/>
    </row>
    <row r="3007" spans="1:93" s="1552" customFormat="1" ht="15.5">
      <c r="A3007" s="1598"/>
      <c r="B3007" s="1599" t="s">
        <v>1747</v>
      </c>
      <c r="C3007" s="1643" t="e">
        <f>+SUMIF(#REF!,Final!A3007,#REF!)</f>
        <v>#REF!</v>
      </c>
      <c r="D3007" s="1597" t="e">
        <f>+SUMIF(#REF!,Final!A3007,#REF!)</f>
        <v>#REF!</v>
      </c>
      <c r="E3007" s="1643" t="e">
        <f>SUMIF(#REF!,Final!A3007,#REF!)</f>
        <v>#REF!</v>
      </c>
      <c r="F3007" s="1644" t="e">
        <f>SUMIF(#REF!,Final!A3007,#REF!)</f>
        <v>#REF!</v>
      </c>
      <c r="G3007" s="1597" t="e">
        <f t="shared" si="336"/>
        <v>#REF!</v>
      </c>
      <c r="H3007" s="1644" t="e">
        <f t="shared" si="337"/>
        <v>#REF!</v>
      </c>
      <c r="I3007" s="1597" t="e">
        <f t="shared" si="338"/>
        <v>#REF!</v>
      </c>
      <c r="J3007" s="1644" t="e">
        <f t="shared" si="339"/>
        <v>#REF!</v>
      </c>
      <c r="K3007" s="1539"/>
      <c r="L3007" s="1539"/>
      <c r="M3007" s="1545"/>
      <c r="N3007" s="1545"/>
      <c r="O3007" s="1539"/>
      <c r="P3007" s="1539"/>
      <c r="Q3007" s="1539"/>
      <c r="R3007" s="1539"/>
      <c r="S3007" s="1539"/>
      <c r="T3007" s="1539"/>
      <c r="U3007" s="1539"/>
      <c r="V3007" s="1539"/>
      <c r="W3007" s="1539"/>
      <c r="X3007" s="1539"/>
      <c r="Y3007" s="1539"/>
      <c r="Z3007" s="1539"/>
      <c r="AA3007" s="1539"/>
      <c r="AB3007" s="1539"/>
      <c r="AC3007" s="1539"/>
      <c r="AD3007" s="1539"/>
      <c r="AE3007" s="1539"/>
      <c r="AF3007" s="1539"/>
      <c r="AG3007" s="1539"/>
      <c r="AH3007" s="1539"/>
      <c r="AI3007" s="1539"/>
      <c r="AJ3007" s="1539"/>
      <c r="AK3007" s="1539"/>
      <c r="AL3007" s="1539"/>
      <c r="AM3007" s="1539"/>
      <c r="AN3007" s="1539"/>
      <c r="AO3007" s="1539"/>
      <c r="AP3007" s="1539"/>
      <c r="AQ3007" s="1539"/>
      <c r="AR3007" s="1539"/>
      <c r="AS3007" s="1539"/>
      <c r="AT3007" s="1539"/>
      <c r="AU3007" s="1539"/>
      <c r="AV3007" s="1539"/>
      <c r="AW3007" s="1539"/>
      <c r="AX3007" s="1539"/>
      <c r="AY3007" s="1539"/>
      <c r="AZ3007" s="1539"/>
      <c r="BA3007" s="1539"/>
      <c r="BB3007" s="1539"/>
      <c r="BC3007" s="1539"/>
      <c r="BD3007" s="1539"/>
      <c r="BE3007" s="1539"/>
      <c r="BF3007" s="1539"/>
      <c r="BG3007" s="1539"/>
      <c r="BH3007" s="1539"/>
      <c r="BI3007" s="1539"/>
      <c r="BJ3007" s="1539"/>
      <c r="BK3007" s="1539"/>
      <c r="BL3007" s="1539"/>
      <c r="BM3007" s="1539"/>
      <c r="BN3007" s="1539"/>
      <c r="BO3007" s="1539"/>
      <c r="BP3007" s="1539"/>
      <c r="BQ3007" s="1539"/>
      <c r="BR3007" s="1539"/>
      <c r="BS3007" s="1539"/>
      <c r="BT3007" s="1539"/>
      <c r="BU3007" s="1539"/>
      <c r="BV3007" s="1539"/>
      <c r="BW3007" s="1539"/>
      <c r="BX3007" s="1539"/>
      <c r="BY3007" s="1539"/>
      <c r="BZ3007" s="1539"/>
      <c r="CA3007" s="1539"/>
      <c r="CB3007" s="1539"/>
      <c r="CC3007" s="1539"/>
      <c r="CD3007" s="1539"/>
      <c r="CE3007" s="1539"/>
      <c r="CF3007" s="1539"/>
      <c r="CG3007" s="1539"/>
      <c r="CH3007" s="1539"/>
      <c r="CI3007" s="1539"/>
      <c r="CJ3007" s="1539"/>
      <c r="CK3007" s="1539"/>
      <c r="CL3007" s="1539"/>
      <c r="CM3007" s="1539"/>
      <c r="CN3007" s="1539"/>
      <c r="CO3007" s="1539"/>
    </row>
    <row r="3008" spans="1:93" s="1552" customFormat="1" ht="15.5">
      <c r="A3008" s="1598"/>
      <c r="B3008" s="1599" t="s">
        <v>1760</v>
      </c>
      <c r="C3008" s="1643" t="e">
        <f>+SUMIF(#REF!,Final!A3008,#REF!)</f>
        <v>#REF!</v>
      </c>
      <c r="D3008" s="1597" t="e">
        <f>+SUMIF(#REF!,Final!A3008,#REF!)</f>
        <v>#REF!</v>
      </c>
      <c r="E3008" s="1643" t="e">
        <f>SUMIF(#REF!,Final!A3008,#REF!)</f>
        <v>#REF!</v>
      </c>
      <c r="F3008" s="1644" t="e">
        <f>SUMIF(#REF!,Final!A3008,#REF!)</f>
        <v>#REF!</v>
      </c>
      <c r="G3008" s="1597" t="e">
        <f t="shared" si="336"/>
        <v>#REF!</v>
      </c>
      <c r="H3008" s="1644" t="e">
        <f t="shared" si="337"/>
        <v>#REF!</v>
      </c>
      <c r="I3008" s="1597" t="e">
        <f t="shared" si="338"/>
        <v>#REF!</v>
      </c>
      <c r="J3008" s="1644" t="e">
        <f t="shared" si="339"/>
        <v>#REF!</v>
      </c>
      <c r="K3008" s="1539"/>
      <c r="L3008" s="1539"/>
      <c r="M3008" s="1545"/>
      <c r="N3008" s="1545"/>
      <c r="O3008" s="1539"/>
      <c r="P3008" s="1539"/>
      <c r="Q3008" s="1539"/>
      <c r="R3008" s="1539"/>
      <c r="S3008" s="1539"/>
      <c r="T3008" s="1539"/>
      <c r="U3008" s="1539"/>
      <c r="V3008" s="1539"/>
      <c r="W3008" s="1539"/>
      <c r="X3008" s="1539"/>
      <c r="Y3008" s="1539"/>
      <c r="Z3008" s="1539"/>
      <c r="AA3008" s="1539"/>
      <c r="AB3008" s="1539"/>
      <c r="AC3008" s="1539"/>
      <c r="AD3008" s="1539"/>
      <c r="AE3008" s="1539"/>
      <c r="AF3008" s="1539"/>
      <c r="AG3008" s="1539"/>
      <c r="AH3008" s="1539"/>
      <c r="AI3008" s="1539"/>
      <c r="AJ3008" s="1539"/>
      <c r="AK3008" s="1539"/>
      <c r="AL3008" s="1539"/>
      <c r="AM3008" s="1539"/>
      <c r="AN3008" s="1539"/>
      <c r="AO3008" s="1539"/>
      <c r="AP3008" s="1539"/>
      <c r="AQ3008" s="1539"/>
      <c r="AR3008" s="1539"/>
      <c r="AS3008" s="1539"/>
      <c r="AT3008" s="1539"/>
      <c r="AU3008" s="1539"/>
      <c r="AV3008" s="1539"/>
      <c r="AW3008" s="1539"/>
      <c r="AX3008" s="1539"/>
      <c r="AY3008" s="1539"/>
      <c r="AZ3008" s="1539"/>
      <c r="BA3008" s="1539"/>
      <c r="BB3008" s="1539"/>
      <c r="BC3008" s="1539"/>
      <c r="BD3008" s="1539"/>
      <c r="BE3008" s="1539"/>
      <c r="BF3008" s="1539"/>
      <c r="BG3008" s="1539"/>
      <c r="BH3008" s="1539"/>
      <c r="BI3008" s="1539"/>
      <c r="BJ3008" s="1539"/>
      <c r="BK3008" s="1539"/>
      <c r="BL3008" s="1539"/>
      <c r="BM3008" s="1539"/>
      <c r="BN3008" s="1539"/>
      <c r="BO3008" s="1539"/>
      <c r="BP3008" s="1539"/>
      <c r="BQ3008" s="1539"/>
      <c r="BR3008" s="1539"/>
      <c r="BS3008" s="1539"/>
      <c r="BT3008" s="1539"/>
      <c r="BU3008" s="1539"/>
      <c r="BV3008" s="1539"/>
      <c r="BW3008" s="1539"/>
      <c r="BX3008" s="1539"/>
      <c r="BY3008" s="1539"/>
      <c r="BZ3008" s="1539"/>
      <c r="CA3008" s="1539"/>
      <c r="CB3008" s="1539"/>
      <c r="CC3008" s="1539"/>
      <c r="CD3008" s="1539"/>
      <c r="CE3008" s="1539"/>
      <c r="CF3008" s="1539"/>
      <c r="CG3008" s="1539"/>
      <c r="CH3008" s="1539"/>
      <c r="CI3008" s="1539"/>
      <c r="CJ3008" s="1539"/>
      <c r="CK3008" s="1539"/>
      <c r="CL3008" s="1539"/>
      <c r="CM3008" s="1539"/>
      <c r="CN3008" s="1539"/>
      <c r="CO3008" s="1539"/>
    </row>
    <row r="3009" spans="1:93" s="1542" customFormat="1" ht="15.5">
      <c r="A3009" s="1598" t="s">
        <v>1815</v>
      </c>
      <c r="B3009" s="1599" t="s">
        <v>3096</v>
      </c>
      <c r="C3009" s="1643" t="e">
        <f>+SUMIF(#REF!,Final!A3009,#REF!)</f>
        <v>#REF!</v>
      </c>
      <c r="D3009" s="1597" t="e">
        <f>+SUMIF(#REF!,Final!A3009,#REF!)</f>
        <v>#REF!</v>
      </c>
      <c r="E3009" s="1643" t="e">
        <f>SUMIF(#REF!,Final!A3009,#REF!)</f>
        <v>#REF!</v>
      </c>
      <c r="F3009" s="1644" t="e">
        <f>SUMIF(#REF!,Final!A3009,#REF!)</f>
        <v>#REF!</v>
      </c>
      <c r="G3009" s="1597" t="e">
        <f t="shared" si="336"/>
        <v>#REF!</v>
      </c>
      <c r="H3009" s="1644" t="e">
        <f t="shared" si="337"/>
        <v>#REF!</v>
      </c>
      <c r="I3009" s="1597" t="e">
        <f t="shared" si="338"/>
        <v>#REF!</v>
      </c>
      <c r="J3009" s="1644" t="e">
        <f t="shared" si="339"/>
        <v>#REF!</v>
      </c>
      <c r="K3009" s="1539"/>
      <c r="L3009" s="1539"/>
      <c r="M3009" s="1545"/>
      <c r="N3009" s="1545"/>
      <c r="O3009" s="1539"/>
      <c r="P3009" s="1539"/>
      <c r="Q3009" s="1539"/>
      <c r="R3009" s="1539"/>
      <c r="S3009" s="1539"/>
      <c r="T3009" s="1539"/>
      <c r="U3009" s="1539"/>
      <c r="V3009" s="1539"/>
      <c r="W3009" s="1539"/>
      <c r="X3009" s="1539"/>
      <c r="Y3009" s="1539"/>
      <c r="Z3009" s="1539"/>
      <c r="AA3009" s="1539"/>
      <c r="AB3009" s="1539"/>
      <c r="AC3009" s="1539"/>
      <c r="AD3009" s="1539"/>
      <c r="AE3009" s="1539"/>
      <c r="AF3009" s="1539"/>
      <c r="AG3009" s="1539"/>
      <c r="AH3009" s="1539"/>
      <c r="AI3009" s="1539"/>
      <c r="AJ3009" s="1539"/>
      <c r="AK3009" s="1539"/>
      <c r="AL3009" s="1539"/>
      <c r="AM3009" s="1539"/>
      <c r="AN3009" s="1539"/>
      <c r="AO3009" s="1539"/>
      <c r="AP3009" s="1539"/>
      <c r="AQ3009" s="1539"/>
      <c r="AR3009" s="1539"/>
      <c r="AS3009" s="1539"/>
      <c r="AT3009" s="1539"/>
      <c r="AU3009" s="1539"/>
      <c r="AV3009" s="1539"/>
      <c r="AW3009" s="1539"/>
      <c r="AX3009" s="1539"/>
      <c r="AY3009" s="1539"/>
      <c r="AZ3009" s="1539"/>
      <c r="BA3009" s="1539"/>
      <c r="BB3009" s="1539"/>
      <c r="BC3009" s="1539"/>
      <c r="BD3009" s="1539"/>
      <c r="BE3009" s="1539"/>
      <c r="BF3009" s="1539"/>
      <c r="BG3009" s="1539"/>
      <c r="BH3009" s="1539"/>
      <c r="BI3009" s="1539"/>
      <c r="BJ3009" s="1539"/>
      <c r="BK3009" s="1539"/>
      <c r="BL3009" s="1539"/>
      <c r="BM3009" s="1539"/>
      <c r="BN3009" s="1539"/>
      <c r="BO3009" s="1539"/>
      <c r="BP3009" s="1539"/>
      <c r="BQ3009" s="1539"/>
      <c r="BR3009" s="1539"/>
      <c r="BS3009" s="1539"/>
      <c r="BT3009" s="1539"/>
      <c r="BU3009" s="1539"/>
      <c r="BV3009" s="1539"/>
      <c r="BW3009" s="1539"/>
      <c r="BX3009" s="1539"/>
      <c r="BY3009" s="1539"/>
      <c r="BZ3009" s="1539"/>
      <c r="CA3009" s="1539"/>
      <c r="CB3009" s="1539"/>
      <c r="CC3009" s="1539"/>
      <c r="CD3009" s="1539"/>
      <c r="CE3009" s="1539"/>
      <c r="CF3009" s="1539"/>
      <c r="CG3009" s="1539"/>
      <c r="CH3009" s="1539"/>
      <c r="CI3009" s="1539"/>
      <c r="CJ3009" s="1539"/>
      <c r="CK3009" s="1539"/>
      <c r="CL3009" s="1539"/>
      <c r="CM3009" s="1539"/>
      <c r="CN3009" s="1539"/>
      <c r="CO3009" s="1539"/>
    </row>
    <row r="3010" spans="1:93" ht="15.5">
      <c r="A3010" s="1598">
        <v>75.179000000000002</v>
      </c>
      <c r="B3010" s="1599" t="s">
        <v>3097</v>
      </c>
      <c r="C3010" s="1643" t="e">
        <f>+SUMIF(#REF!,Final!A3010,#REF!)</f>
        <v>#REF!</v>
      </c>
      <c r="D3010" s="1597" t="e">
        <f>+SUMIF(#REF!,Final!A3010,#REF!)</f>
        <v>#REF!</v>
      </c>
      <c r="E3010" s="1643" t="e">
        <f>SUMIF(#REF!,Final!A3010,#REF!)</f>
        <v>#REF!</v>
      </c>
      <c r="F3010" s="1644" t="e">
        <f>SUMIF(#REF!,Final!A3010,#REF!)</f>
        <v>#REF!</v>
      </c>
      <c r="G3010" s="1597" t="e">
        <f t="shared" si="336"/>
        <v>#REF!</v>
      </c>
      <c r="H3010" s="1644" t="e">
        <f t="shared" si="337"/>
        <v>#REF!</v>
      </c>
      <c r="I3010" s="1597" t="e">
        <f t="shared" si="338"/>
        <v>#REF!</v>
      </c>
      <c r="J3010" s="1644" t="e">
        <f t="shared" si="339"/>
        <v>#REF!</v>
      </c>
      <c r="M3010" s="1545"/>
      <c r="N3010" s="1545"/>
    </row>
    <row r="3011" spans="1:93" ht="15.5">
      <c r="A3011" s="1600">
        <v>75.180000000000007</v>
      </c>
      <c r="B3011" s="1599" t="s">
        <v>3098</v>
      </c>
      <c r="C3011" s="1643" t="e">
        <f>+SUMIF(#REF!,Final!A3011,#REF!)</f>
        <v>#REF!</v>
      </c>
      <c r="D3011" s="1597" t="e">
        <f>+SUMIF(#REF!,Final!A3011,#REF!)</f>
        <v>#REF!</v>
      </c>
      <c r="E3011" s="1643" t="e">
        <f>SUMIF(#REF!,Final!A3011,#REF!)</f>
        <v>#REF!</v>
      </c>
      <c r="F3011" s="1644" t="e">
        <f>SUMIF(#REF!,Final!A3011,#REF!)</f>
        <v>#REF!</v>
      </c>
      <c r="G3011" s="1597" t="e">
        <f t="shared" si="336"/>
        <v>#REF!</v>
      </c>
      <c r="H3011" s="1644" t="e">
        <f t="shared" si="337"/>
        <v>#REF!</v>
      </c>
      <c r="I3011" s="1597" t="e">
        <f t="shared" si="338"/>
        <v>#REF!</v>
      </c>
      <c r="J3011" s="1644" t="e">
        <f t="shared" si="339"/>
        <v>#REF!</v>
      </c>
      <c r="M3011" s="1545"/>
      <c r="N3011" s="1545"/>
    </row>
    <row r="3012" spans="1:93" ht="15.5">
      <c r="A3012" s="1598">
        <v>75.180999999999997</v>
      </c>
      <c r="B3012" s="1599" t="s">
        <v>3099</v>
      </c>
      <c r="C3012" s="1643" t="e">
        <f>+SUMIF(#REF!,Final!A3012,#REF!)</f>
        <v>#REF!</v>
      </c>
      <c r="D3012" s="1597" t="e">
        <f>+SUMIF(#REF!,Final!A3012,#REF!)</f>
        <v>#REF!</v>
      </c>
      <c r="E3012" s="1643" t="e">
        <f>SUMIF(#REF!,Final!A3012,#REF!)</f>
        <v>#REF!</v>
      </c>
      <c r="F3012" s="1644" t="e">
        <f>SUMIF(#REF!,Final!A3012,#REF!)</f>
        <v>#REF!</v>
      </c>
      <c r="G3012" s="1597" t="e">
        <f t="shared" si="336"/>
        <v>#REF!</v>
      </c>
      <c r="H3012" s="1644" t="e">
        <f t="shared" si="337"/>
        <v>#REF!</v>
      </c>
      <c r="I3012" s="1597" t="e">
        <f t="shared" si="338"/>
        <v>#REF!</v>
      </c>
      <c r="J3012" s="1644" t="e">
        <f t="shared" si="339"/>
        <v>#REF!</v>
      </c>
      <c r="M3012" s="1545"/>
      <c r="N3012" s="1545"/>
    </row>
    <row r="3013" spans="1:93" ht="15.5">
      <c r="A3013" s="1598">
        <v>75.153999999999996</v>
      </c>
      <c r="B3013" s="1599" t="s">
        <v>4678</v>
      </c>
      <c r="C3013" s="1643" t="e">
        <f>+SUMIF(#REF!,Final!A3013,#REF!)</f>
        <v>#REF!</v>
      </c>
      <c r="D3013" s="1597" t="e">
        <f>+SUMIF(#REF!,Final!A3013,#REF!)</f>
        <v>#REF!</v>
      </c>
      <c r="E3013" s="1643" t="e">
        <f>SUMIF(#REF!,Final!A3013,#REF!)</f>
        <v>#REF!</v>
      </c>
      <c r="F3013" s="1644" t="e">
        <f>SUMIF(#REF!,Final!A3013,#REF!)</f>
        <v>#REF!</v>
      </c>
      <c r="G3013" s="1597" t="e">
        <f t="shared" si="336"/>
        <v>#REF!</v>
      </c>
      <c r="H3013" s="1644" t="e">
        <f t="shared" si="337"/>
        <v>#REF!</v>
      </c>
      <c r="I3013" s="1597" t="e">
        <f t="shared" si="338"/>
        <v>#REF!</v>
      </c>
      <c r="J3013" s="1644" t="e">
        <f t="shared" si="339"/>
        <v>#REF!</v>
      </c>
      <c r="M3013" s="1545"/>
      <c r="N3013" s="1545"/>
    </row>
    <row r="3014" spans="1:93" ht="15.5">
      <c r="A3014" s="1598">
        <v>75.194999999999993</v>
      </c>
      <c r="B3014" s="1599" t="s">
        <v>3100</v>
      </c>
      <c r="C3014" s="1643" t="e">
        <f>+SUMIF(#REF!,Final!A3014,#REF!)</f>
        <v>#REF!</v>
      </c>
      <c r="D3014" s="1597" t="e">
        <f>+SUMIF(#REF!,Final!A3014,#REF!)</f>
        <v>#REF!</v>
      </c>
      <c r="E3014" s="1643" t="e">
        <f>SUMIF(#REF!,Final!A3014,#REF!)</f>
        <v>#REF!</v>
      </c>
      <c r="F3014" s="1644" t="e">
        <f>SUMIF(#REF!,Final!A3014,#REF!)</f>
        <v>#REF!</v>
      </c>
      <c r="G3014" s="1597" t="e">
        <f t="shared" si="336"/>
        <v>#REF!</v>
      </c>
      <c r="H3014" s="1644" t="e">
        <f t="shared" si="337"/>
        <v>#REF!</v>
      </c>
      <c r="I3014" s="1597" t="e">
        <f t="shared" si="338"/>
        <v>#REF!</v>
      </c>
      <c r="J3014" s="1644" t="e">
        <f t="shared" si="339"/>
        <v>#REF!</v>
      </c>
      <c r="M3014" s="1545"/>
      <c r="N3014" s="1545"/>
    </row>
    <row r="3015" spans="1:93" ht="15.5">
      <c r="A3015" s="1598" t="s">
        <v>1818</v>
      </c>
      <c r="B3015" s="1599" t="s">
        <v>4753</v>
      </c>
      <c r="C3015" s="1643" t="e">
        <f>+SUMIF(#REF!,Final!A3015,#REF!)</f>
        <v>#REF!</v>
      </c>
      <c r="D3015" s="1597" t="e">
        <f>+SUMIF(#REF!,Final!A3015,#REF!)</f>
        <v>#REF!</v>
      </c>
      <c r="E3015" s="1643" t="e">
        <f>SUMIF(#REF!,Final!A3015,#REF!)</f>
        <v>#REF!</v>
      </c>
      <c r="F3015" s="1644" t="e">
        <f>SUMIF(#REF!,Final!A3015,#REF!)</f>
        <v>#REF!</v>
      </c>
      <c r="G3015" s="1597" t="e">
        <f t="shared" si="336"/>
        <v>#REF!</v>
      </c>
      <c r="H3015" s="1644" t="e">
        <f t="shared" si="337"/>
        <v>#REF!</v>
      </c>
      <c r="I3015" s="1597" t="e">
        <f t="shared" si="338"/>
        <v>#REF!</v>
      </c>
      <c r="J3015" s="1644" t="e">
        <f t="shared" si="339"/>
        <v>#REF!</v>
      </c>
      <c r="M3015" s="1545"/>
      <c r="N3015" s="1545"/>
    </row>
    <row r="3016" spans="1:93" ht="15.5">
      <c r="A3016" s="1600">
        <v>75.165999999999997</v>
      </c>
      <c r="B3016" s="1599"/>
      <c r="C3016" s="1643" t="e">
        <f>+SUMIF(#REF!,Final!A3016,#REF!)</f>
        <v>#REF!</v>
      </c>
      <c r="D3016" s="1597" t="e">
        <f>+SUMIF(#REF!,Final!A3016,#REF!)</f>
        <v>#REF!</v>
      </c>
      <c r="E3016" s="1643" t="e">
        <f>SUMIF(#REF!,Final!A3016,#REF!)</f>
        <v>#REF!</v>
      </c>
      <c r="F3016" s="1644" t="e">
        <f>SUMIF(#REF!,Final!A3016,#REF!)</f>
        <v>#REF!</v>
      </c>
      <c r="G3016" s="1597" t="e">
        <f t="shared" si="336"/>
        <v>#REF!</v>
      </c>
      <c r="H3016" s="1644" t="e">
        <f t="shared" si="337"/>
        <v>#REF!</v>
      </c>
      <c r="I3016" s="1597" t="e">
        <f t="shared" si="338"/>
        <v>#REF!</v>
      </c>
      <c r="J3016" s="1644" t="e">
        <f t="shared" si="339"/>
        <v>#REF!</v>
      </c>
      <c r="M3016" s="1545"/>
      <c r="N3016" s="1545"/>
    </row>
    <row r="3017" spans="1:93" ht="15.5">
      <c r="A3017" s="1600">
        <v>75.167000000000002</v>
      </c>
      <c r="B3017" s="1599"/>
      <c r="C3017" s="1643" t="e">
        <f>+SUMIF(#REF!,Final!A3017,#REF!)</f>
        <v>#REF!</v>
      </c>
      <c r="D3017" s="1597" t="e">
        <f>+SUMIF(#REF!,Final!A3017,#REF!)</f>
        <v>#REF!</v>
      </c>
      <c r="E3017" s="1643" t="e">
        <f>SUMIF(#REF!,Final!A3017,#REF!)</f>
        <v>#REF!</v>
      </c>
      <c r="F3017" s="1644" t="e">
        <f>SUMIF(#REF!,Final!A3017,#REF!)</f>
        <v>#REF!</v>
      </c>
      <c r="G3017" s="1597" t="e">
        <f t="shared" si="336"/>
        <v>#REF!</v>
      </c>
      <c r="H3017" s="1644" t="e">
        <f t="shared" si="337"/>
        <v>#REF!</v>
      </c>
      <c r="I3017" s="1597" t="e">
        <f t="shared" si="338"/>
        <v>#REF!</v>
      </c>
      <c r="J3017" s="1644" t="e">
        <f t="shared" si="339"/>
        <v>#REF!</v>
      </c>
      <c r="M3017" s="1545"/>
      <c r="N3017" s="1545"/>
    </row>
    <row r="3018" spans="1:93" ht="15.5">
      <c r="A3018" s="1600">
        <v>75.17</v>
      </c>
      <c r="B3018" s="1599"/>
      <c r="C3018" s="1643" t="e">
        <f>+SUMIF(#REF!,Final!A3018,#REF!)</f>
        <v>#REF!</v>
      </c>
      <c r="D3018" s="1597" t="e">
        <f>+SUMIF(#REF!,Final!A3018,#REF!)</f>
        <v>#REF!</v>
      </c>
      <c r="E3018" s="1643" t="e">
        <f>SUMIF(#REF!,Final!A3018,#REF!)</f>
        <v>#REF!</v>
      </c>
      <c r="F3018" s="1644" t="e">
        <f>SUMIF(#REF!,Final!A3018,#REF!)</f>
        <v>#REF!</v>
      </c>
      <c r="G3018" s="1597" t="e">
        <f t="shared" si="336"/>
        <v>#REF!</v>
      </c>
      <c r="H3018" s="1644" t="e">
        <f t="shared" si="337"/>
        <v>#REF!</v>
      </c>
      <c r="I3018" s="1597" t="e">
        <f t="shared" si="338"/>
        <v>#REF!</v>
      </c>
      <c r="J3018" s="1644" t="e">
        <f t="shared" si="339"/>
        <v>#REF!</v>
      </c>
      <c r="M3018" s="1545"/>
      <c r="N3018" s="1545"/>
    </row>
    <row r="3019" spans="1:93" s="1552" customFormat="1" ht="15.5">
      <c r="A3019" s="1598"/>
      <c r="B3019" s="1599" t="s">
        <v>1747</v>
      </c>
      <c r="C3019" s="1643" t="e">
        <f>+SUMIF(#REF!,Final!A3019,#REF!)</f>
        <v>#REF!</v>
      </c>
      <c r="D3019" s="1597" t="e">
        <f>+SUMIF(#REF!,Final!A3019,#REF!)</f>
        <v>#REF!</v>
      </c>
      <c r="E3019" s="1643" t="e">
        <f>SUMIF(#REF!,Final!A3019,#REF!)</f>
        <v>#REF!</v>
      </c>
      <c r="F3019" s="1644" t="e">
        <f>SUMIF(#REF!,Final!A3019,#REF!)</f>
        <v>#REF!</v>
      </c>
      <c r="G3019" s="1597" t="e">
        <f t="shared" si="336"/>
        <v>#REF!</v>
      </c>
      <c r="H3019" s="1644" t="e">
        <f t="shared" si="337"/>
        <v>#REF!</v>
      </c>
      <c r="I3019" s="1597" t="e">
        <f t="shared" si="338"/>
        <v>#REF!</v>
      </c>
      <c r="J3019" s="1644" t="e">
        <f t="shared" si="339"/>
        <v>#REF!</v>
      </c>
      <c r="K3019" s="1539"/>
      <c r="L3019" s="1539"/>
      <c r="M3019" s="1545"/>
      <c r="N3019" s="1545"/>
      <c r="O3019" s="1539"/>
      <c r="P3019" s="1539"/>
      <c r="Q3019" s="1539"/>
      <c r="R3019" s="1539"/>
      <c r="S3019" s="1539"/>
      <c r="T3019" s="1539"/>
      <c r="U3019" s="1539"/>
      <c r="V3019" s="1539"/>
      <c r="W3019" s="1539"/>
      <c r="X3019" s="1539"/>
      <c r="Y3019" s="1539"/>
      <c r="Z3019" s="1539"/>
      <c r="AA3019" s="1539"/>
      <c r="AB3019" s="1539"/>
      <c r="AC3019" s="1539"/>
      <c r="AD3019" s="1539"/>
      <c r="AE3019" s="1539"/>
      <c r="AF3019" s="1539"/>
      <c r="AG3019" s="1539"/>
      <c r="AH3019" s="1539"/>
      <c r="AI3019" s="1539"/>
      <c r="AJ3019" s="1539"/>
      <c r="AK3019" s="1539"/>
      <c r="AL3019" s="1539"/>
      <c r="AM3019" s="1539"/>
      <c r="AN3019" s="1539"/>
      <c r="AO3019" s="1539"/>
      <c r="AP3019" s="1539"/>
      <c r="AQ3019" s="1539"/>
      <c r="AR3019" s="1539"/>
      <c r="AS3019" s="1539"/>
      <c r="AT3019" s="1539"/>
      <c r="AU3019" s="1539"/>
      <c r="AV3019" s="1539"/>
      <c r="AW3019" s="1539"/>
      <c r="AX3019" s="1539"/>
      <c r="AY3019" s="1539"/>
      <c r="AZ3019" s="1539"/>
      <c r="BA3019" s="1539"/>
      <c r="BB3019" s="1539"/>
      <c r="BC3019" s="1539"/>
      <c r="BD3019" s="1539"/>
      <c r="BE3019" s="1539"/>
      <c r="BF3019" s="1539"/>
      <c r="BG3019" s="1539"/>
      <c r="BH3019" s="1539"/>
      <c r="BI3019" s="1539"/>
      <c r="BJ3019" s="1539"/>
      <c r="BK3019" s="1539"/>
      <c r="BL3019" s="1539"/>
      <c r="BM3019" s="1539"/>
      <c r="BN3019" s="1539"/>
      <c r="BO3019" s="1539"/>
      <c r="BP3019" s="1539"/>
      <c r="BQ3019" s="1539"/>
      <c r="BR3019" s="1539"/>
      <c r="BS3019" s="1539"/>
      <c r="BT3019" s="1539"/>
      <c r="BU3019" s="1539"/>
      <c r="BV3019" s="1539"/>
      <c r="BW3019" s="1539"/>
      <c r="BX3019" s="1539"/>
      <c r="BY3019" s="1539"/>
      <c r="BZ3019" s="1539"/>
      <c r="CA3019" s="1539"/>
      <c r="CB3019" s="1539"/>
      <c r="CC3019" s="1539"/>
      <c r="CD3019" s="1539"/>
      <c r="CE3019" s="1539"/>
      <c r="CF3019" s="1539"/>
      <c r="CG3019" s="1539"/>
      <c r="CH3019" s="1539"/>
      <c r="CI3019" s="1539"/>
      <c r="CJ3019" s="1539"/>
      <c r="CK3019" s="1539"/>
      <c r="CL3019" s="1539"/>
      <c r="CM3019" s="1539"/>
      <c r="CN3019" s="1539"/>
      <c r="CO3019" s="1539"/>
    </row>
    <row r="3020" spans="1:93" s="1552" customFormat="1" ht="15.5">
      <c r="A3020" s="1598"/>
      <c r="B3020" s="1599" t="s">
        <v>1760</v>
      </c>
      <c r="C3020" s="1643" t="e">
        <f>+SUMIF(#REF!,Final!A3020,#REF!)</f>
        <v>#REF!</v>
      </c>
      <c r="D3020" s="1597" t="e">
        <f>+SUMIF(#REF!,Final!A3020,#REF!)</f>
        <v>#REF!</v>
      </c>
      <c r="E3020" s="1643" t="e">
        <f>SUMIF(#REF!,Final!A3020,#REF!)</f>
        <v>#REF!</v>
      </c>
      <c r="F3020" s="1644" t="e">
        <f>SUMIF(#REF!,Final!A3020,#REF!)</f>
        <v>#REF!</v>
      </c>
      <c r="G3020" s="1597" t="e">
        <f t="shared" si="336"/>
        <v>#REF!</v>
      </c>
      <c r="H3020" s="1644" t="e">
        <f t="shared" si="337"/>
        <v>#REF!</v>
      </c>
      <c r="I3020" s="1597" t="e">
        <f t="shared" si="338"/>
        <v>#REF!</v>
      </c>
      <c r="J3020" s="1644" t="e">
        <f t="shared" si="339"/>
        <v>#REF!</v>
      </c>
      <c r="K3020" s="1539"/>
      <c r="L3020" s="1539"/>
      <c r="M3020" s="1545"/>
      <c r="N3020" s="1545"/>
      <c r="O3020" s="1539"/>
      <c r="P3020" s="1539"/>
      <c r="Q3020" s="1539"/>
      <c r="R3020" s="1539"/>
      <c r="S3020" s="1539"/>
      <c r="T3020" s="1539"/>
      <c r="U3020" s="1539"/>
      <c r="V3020" s="1539"/>
      <c r="W3020" s="1539"/>
      <c r="X3020" s="1539"/>
      <c r="Y3020" s="1539"/>
      <c r="Z3020" s="1539"/>
      <c r="AA3020" s="1539"/>
      <c r="AB3020" s="1539"/>
      <c r="AC3020" s="1539"/>
      <c r="AD3020" s="1539"/>
      <c r="AE3020" s="1539"/>
      <c r="AF3020" s="1539"/>
      <c r="AG3020" s="1539"/>
      <c r="AH3020" s="1539"/>
      <c r="AI3020" s="1539"/>
      <c r="AJ3020" s="1539"/>
      <c r="AK3020" s="1539"/>
      <c r="AL3020" s="1539"/>
      <c r="AM3020" s="1539"/>
      <c r="AN3020" s="1539"/>
      <c r="AO3020" s="1539"/>
      <c r="AP3020" s="1539"/>
      <c r="AQ3020" s="1539"/>
      <c r="AR3020" s="1539"/>
      <c r="AS3020" s="1539"/>
      <c r="AT3020" s="1539"/>
      <c r="AU3020" s="1539"/>
      <c r="AV3020" s="1539"/>
      <c r="AW3020" s="1539"/>
      <c r="AX3020" s="1539"/>
      <c r="AY3020" s="1539"/>
      <c r="AZ3020" s="1539"/>
      <c r="BA3020" s="1539"/>
      <c r="BB3020" s="1539"/>
      <c r="BC3020" s="1539"/>
      <c r="BD3020" s="1539"/>
      <c r="BE3020" s="1539"/>
      <c r="BF3020" s="1539"/>
      <c r="BG3020" s="1539"/>
      <c r="BH3020" s="1539"/>
      <c r="BI3020" s="1539"/>
      <c r="BJ3020" s="1539"/>
      <c r="BK3020" s="1539"/>
      <c r="BL3020" s="1539"/>
      <c r="BM3020" s="1539"/>
      <c r="BN3020" s="1539"/>
      <c r="BO3020" s="1539"/>
      <c r="BP3020" s="1539"/>
      <c r="BQ3020" s="1539"/>
      <c r="BR3020" s="1539"/>
      <c r="BS3020" s="1539"/>
      <c r="BT3020" s="1539"/>
      <c r="BU3020" s="1539"/>
      <c r="BV3020" s="1539"/>
      <c r="BW3020" s="1539"/>
      <c r="BX3020" s="1539"/>
      <c r="BY3020" s="1539"/>
      <c r="BZ3020" s="1539"/>
      <c r="CA3020" s="1539"/>
      <c r="CB3020" s="1539"/>
      <c r="CC3020" s="1539"/>
      <c r="CD3020" s="1539"/>
      <c r="CE3020" s="1539"/>
      <c r="CF3020" s="1539"/>
      <c r="CG3020" s="1539"/>
      <c r="CH3020" s="1539"/>
      <c r="CI3020" s="1539"/>
      <c r="CJ3020" s="1539"/>
      <c r="CK3020" s="1539"/>
      <c r="CL3020" s="1539"/>
      <c r="CM3020" s="1539"/>
      <c r="CN3020" s="1539"/>
      <c r="CO3020" s="1539"/>
    </row>
    <row r="3021" spans="1:93" s="1542" customFormat="1" ht="15.5">
      <c r="A3021" s="1598" t="s">
        <v>543</v>
      </c>
      <c r="B3021" s="1599" t="s">
        <v>3101</v>
      </c>
      <c r="C3021" s="1643" t="e">
        <f>+SUMIF(#REF!,Final!A3021,#REF!)</f>
        <v>#REF!</v>
      </c>
      <c r="D3021" s="1597" t="e">
        <f>+SUMIF(#REF!,Final!A3021,#REF!)</f>
        <v>#REF!</v>
      </c>
      <c r="E3021" s="1643" t="e">
        <f>SUMIF(#REF!,Final!A3021,#REF!)</f>
        <v>#REF!</v>
      </c>
      <c r="F3021" s="1644" t="e">
        <f>SUMIF(#REF!,Final!A3021,#REF!)</f>
        <v>#REF!</v>
      </c>
      <c r="G3021" s="1597" t="e">
        <f t="shared" si="336"/>
        <v>#REF!</v>
      </c>
      <c r="H3021" s="1644" t="e">
        <f t="shared" si="337"/>
        <v>#REF!</v>
      </c>
      <c r="I3021" s="1597" t="e">
        <f t="shared" si="338"/>
        <v>#REF!</v>
      </c>
      <c r="J3021" s="1644" t="e">
        <f t="shared" si="339"/>
        <v>#REF!</v>
      </c>
      <c r="K3021" s="1539"/>
      <c r="L3021" s="1539"/>
      <c r="M3021" s="1545"/>
      <c r="N3021" s="1545"/>
      <c r="O3021" s="1539"/>
      <c r="P3021" s="1539"/>
      <c r="Q3021" s="1539"/>
      <c r="R3021" s="1539"/>
      <c r="S3021" s="1539"/>
      <c r="T3021" s="1539"/>
      <c r="U3021" s="1539"/>
      <c r="V3021" s="1539"/>
      <c r="W3021" s="1539"/>
      <c r="X3021" s="1539"/>
      <c r="Y3021" s="1539"/>
      <c r="Z3021" s="1539"/>
      <c r="AA3021" s="1539"/>
      <c r="AB3021" s="1539"/>
      <c r="AC3021" s="1539"/>
      <c r="AD3021" s="1539"/>
      <c r="AE3021" s="1539"/>
      <c r="AF3021" s="1539"/>
      <c r="AG3021" s="1539"/>
      <c r="AH3021" s="1539"/>
      <c r="AI3021" s="1539"/>
      <c r="AJ3021" s="1539"/>
      <c r="AK3021" s="1539"/>
      <c r="AL3021" s="1539"/>
      <c r="AM3021" s="1539"/>
      <c r="AN3021" s="1539"/>
      <c r="AO3021" s="1539"/>
      <c r="AP3021" s="1539"/>
      <c r="AQ3021" s="1539"/>
      <c r="AR3021" s="1539"/>
      <c r="AS3021" s="1539"/>
      <c r="AT3021" s="1539"/>
      <c r="AU3021" s="1539"/>
      <c r="AV3021" s="1539"/>
      <c r="AW3021" s="1539"/>
      <c r="AX3021" s="1539"/>
      <c r="AY3021" s="1539"/>
      <c r="AZ3021" s="1539"/>
      <c r="BA3021" s="1539"/>
      <c r="BB3021" s="1539"/>
      <c r="BC3021" s="1539"/>
      <c r="BD3021" s="1539"/>
      <c r="BE3021" s="1539"/>
      <c r="BF3021" s="1539"/>
      <c r="BG3021" s="1539"/>
      <c r="BH3021" s="1539"/>
      <c r="BI3021" s="1539"/>
      <c r="BJ3021" s="1539"/>
      <c r="BK3021" s="1539"/>
      <c r="BL3021" s="1539"/>
      <c r="BM3021" s="1539"/>
      <c r="BN3021" s="1539"/>
      <c r="BO3021" s="1539"/>
      <c r="BP3021" s="1539"/>
      <c r="BQ3021" s="1539"/>
      <c r="BR3021" s="1539"/>
      <c r="BS3021" s="1539"/>
      <c r="BT3021" s="1539"/>
      <c r="BU3021" s="1539"/>
      <c r="BV3021" s="1539"/>
      <c r="BW3021" s="1539"/>
      <c r="BX3021" s="1539"/>
      <c r="BY3021" s="1539"/>
      <c r="BZ3021" s="1539"/>
      <c r="CA3021" s="1539"/>
      <c r="CB3021" s="1539"/>
      <c r="CC3021" s="1539"/>
      <c r="CD3021" s="1539"/>
      <c r="CE3021" s="1539"/>
      <c r="CF3021" s="1539"/>
      <c r="CG3021" s="1539"/>
      <c r="CH3021" s="1539"/>
      <c r="CI3021" s="1539"/>
      <c r="CJ3021" s="1539"/>
      <c r="CK3021" s="1539"/>
      <c r="CL3021" s="1539"/>
      <c r="CM3021" s="1539"/>
      <c r="CN3021" s="1539"/>
      <c r="CO3021" s="1539"/>
    </row>
    <row r="3022" spans="1:93" s="1542" customFormat="1" ht="15.5">
      <c r="A3022" s="1598" t="s">
        <v>1762</v>
      </c>
      <c r="B3022" s="1599" t="s">
        <v>3088</v>
      </c>
      <c r="C3022" s="1643" t="e">
        <f>+SUMIF(#REF!,Final!A3022,#REF!)</f>
        <v>#REF!</v>
      </c>
      <c r="D3022" s="1597" t="e">
        <f>+SUMIF(#REF!,Final!A3022,#REF!)</f>
        <v>#REF!</v>
      </c>
      <c r="E3022" s="1643" t="e">
        <f>SUMIF(#REF!,Final!A3022,#REF!)</f>
        <v>#REF!</v>
      </c>
      <c r="F3022" s="1644" t="e">
        <f>SUMIF(#REF!,Final!A3022,#REF!)</f>
        <v>#REF!</v>
      </c>
      <c r="G3022" s="1597" t="e">
        <f t="shared" si="336"/>
        <v>#REF!</v>
      </c>
      <c r="H3022" s="1644" t="e">
        <f t="shared" si="337"/>
        <v>#REF!</v>
      </c>
      <c r="I3022" s="1597" t="e">
        <f t="shared" si="338"/>
        <v>#REF!</v>
      </c>
      <c r="J3022" s="1644" t="e">
        <f t="shared" si="339"/>
        <v>#REF!</v>
      </c>
      <c r="K3022" s="1539"/>
      <c r="L3022" s="1539"/>
      <c r="M3022" s="1545"/>
      <c r="N3022" s="1545"/>
      <c r="O3022" s="1539"/>
      <c r="P3022" s="1539"/>
      <c r="Q3022" s="1539"/>
      <c r="R3022" s="1539"/>
      <c r="S3022" s="1539"/>
      <c r="T3022" s="1539"/>
      <c r="U3022" s="1539"/>
      <c r="V3022" s="1539"/>
      <c r="W3022" s="1539"/>
      <c r="X3022" s="1539"/>
      <c r="Y3022" s="1539"/>
      <c r="Z3022" s="1539"/>
      <c r="AA3022" s="1539"/>
      <c r="AB3022" s="1539"/>
      <c r="AC3022" s="1539"/>
      <c r="AD3022" s="1539"/>
      <c r="AE3022" s="1539"/>
      <c r="AF3022" s="1539"/>
      <c r="AG3022" s="1539"/>
      <c r="AH3022" s="1539"/>
      <c r="AI3022" s="1539"/>
      <c r="AJ3022" s="1539"/>
      <c r="AK3022" s="1539"/>
      <c r="AL3022" s="1539"/>
      <c r="AM3022" s="1539"/>
      <c r="AN3022" s="1539"/>
      <c r="AO3022" s="1539"/>
      <c r="AP3022" s="1539"/>
      <c r="AQ3022" s="1539"/>
      <c r="AR3022" s="1539"/>
      <c r="AS3022" s="1539"/>
      <c r="AT3022" s="1539"/>
      <c r="AU3022" s="1539"/>
      <c r="AV3022" s="1539"/>
      <c r="AW3022" s="1539"/>
      <c r="AX3022" s="1539"/>
      <c r="AY3022" s="1539"/>
      <c r="AZ3022" s="1539"/>
      <c r="BA3022" s="1539"/>
      <c r="BB3022" s="1539"/>
      <c r="BC3022" s="1539"/>
      <c r="BD3022" s="1539"/>
      <c r="BE3022" s="1539"/>
      <c r="BF3022" s="1539"/>
      <c r="BG3022" s="1539"/>
      <c r="BH3022" s="1539"/>
      <c r="BI3022" s="1539"/>
      <c r="BJ3022" s="1539"/>
      <c r="BK3022" s="1539"/>
      <c r="BL3022" s="1539"/>
      <c r="BM3022" s="1539"/>
      <c r="BN3022" s="1539"/>
      <c r="BO3022" s="1539"/>
      <c r="BP3022" s="1539"/>
      <c r="BQ3022" s="1539"/>
      <c r="BR3022" s="1539"/>
      <c r="BS3022" s="1539"/>
      <c r="BT3022" s="1539"/>
      <c r="BU3022" s="1539"/>
      <c r="BV3022" s="1539"/>
      <c r="BW3022" s="1539"/>
      <c r="BX3022" s="1539"/>
      <c r="BY3022" s="1539"/>
      <c r="BZ3022" s="1539"/>
      <c r="CA3022" s="1539"/>
      <c r="CB3022" s="1539"/>
      <c r="CC3022" s="1539"/>
      <c r="CD3022" s="1539"/>
      <c r="CE3022" s="1539"/>
      <c r="CF3022" s="1539"/>
      <c r="CG3022" s="1539"/>
      <c r="CH3022" s="1539"/>
      <c r="CI3022" s="1539"/>
      <c r="CJ3022" s="1539"/>
      <c r="CK3022" s="1539"/>
      <c r="CL3022" s="1539"/>
      <c r="CM3022" s="1539"/>
      <c r="CN3022" s="1539"/>
      <c r="CO3022" s="1539"/>
    </row>
    <row r="3023" spans="1:93" ht="15.5">
      <c r="A3023" s="1598">
        <v>75.304000000000002</v>
      </c>
      <c r="B3023" s="1599" t="s">
        <v>3102</v>
      </c>
      <c r="C3023" s="1643" t="e">
        <f>+SUMIF(#REF!,Final!A3023,#REF!)</f>
        <v>#REF!</v>
      </c>
      <c r="D3023" s="1597" t="e">
        <f>+SUMIF(#REF!,Final!A3023,#REF!)</f>
        <v>#REF!</v>
      </c>
      <c r="E3023" s="1643" t="e">
        <f>SUMIF(#REF!,Final!A3023,#REF!)</f>
        <v>#REF!</v>
      </c>
      <c r="F3023" s="1644" t="e">
        <f>SUMIF(#REF!,Final!A3023,#REF!)</f>
        <v>#REF!</v>
      </c>
      <c r="G3023" s="1597" t="e">
        <f t="shared" si="336"/>
        <v>#REF!</v>
      </c>
      <c r="H3023" s="1644" t="e">
        <f t="shared" si="337"/>
        <v>#REF!</v>
      </c>
      <c r="I3023" s="1597" t="e">
        <f t="shared" si="338"/>
        <v>#REF!</v>
      </c>
      <c r="J3023" s="1644" t="e">
        <f t="shared" si="339"/>
        <v>#REF!</v>
      </c>
      <c r="M3023" s="1545"/>
      <c r="N3023" s="1545"/>
    </row>
    <row r="3024" spans="1:93" ht="15.5">
      <c r="A3024" s="1598">
        <v>75.305000000000007</v>
      </c>
      <c r="B3024" s="1599" t="s">
        <v>3103</v>
      </c>
      <c r="C3024" s="1643" t="e">
        <f>+SUMIF(#REF!,Final!A3024,#REF!)</f>
        <v>#REF!</v>
      </c>
      <c r="D3024" s="1597" t="e">
        <f>+SUMIF(#REF!,Final!A3024,#REF!)</f>
        <v>#REF!</v>
      </c>
      <c r="E3024" s="1643" t="e">
        <f>SUMIF(#REF!,Final!A3024,#REF!)</f>
        <v>#REF!</v>
      </c>
      <c r="F3024" s="1644" t="e">
        <f>SUMIF(#REF!,Final!A3024,#REF!)</f>
        <v>#REF!</v>
      </c>
      <c r="G3024" s="1597" t="e">
        <f t="shared" si="336"/>
        <v>#REF!</v>
      </c>
      <c r="H3024" s="1644" t="e">
        <f t="shared" si="337"/>
        <v>#REF!</v>
      </c>
      <c r="I3024" s="1597" t="e">
        <f t="shared" si="338"/>
        <v>#REF!</v>
      </c>
      <c r="J3024" s="1644" t="e">
        <f t="shared" si="339"/>
        <v>#REF!</v>
      </c>
      <c r="M3024" s="1545"/>
      <c r="N3024" s="1545"/>
    </row>
    <row r="3025" spans="1:93" ht="15.5">
      <c r="A3025" s="1598">
        <v>75.319000000000003</v>
      </c>
      <c r="B3025" s="1599" t="s">
        <v>3104</v>
      </c>
      <c r="C3025" s="1643" t="e">
        <f>+SUMIF(#REF!,Final!A3025,#REF!)</f>
        <v>#REF!</v>
      </c>
      <c r="D3025" s="1597" t="e">
        <f>+SUMIF(#REF!,Final!A3025,#REF!)</f>
        <v>#REF!</v>
      </c>
      <c r="E3025" s="1643" t="e">
        <f>SUMIF(#REF!,Final!A3025,#REF!)</f>
        <v>#REF!</v>
      </c>
      <c r="F3025" s="1644" t="e">
        <f>SUMIF(#REF!,Final!A3025,#REF!)</f>
        <v>#REF!</v>
      </c>
      <c r="G3025" s="1597" t="e">
        <f t="shared" si="336"/>
        <v>#REF!</v>
      </c>
      <c r="H3025" s="1644" t="e">
        <f t="shared" si="337"/>
        <v>#REF!</v>
      </c>
      <c r="I3025" s="1597" t="e">
        <f t="shared" si="338"/>
        <v>#REF!</v>
      </c>
      <c r="J3025" s="1644" t="e">
        <f t="shared" si="339"/>
        <v>#REF!</v>
      </c>
      <c r="M3025" s="1545"/>
      <c r="N3025" s="1545"/>
    </row>
    <row r="3026" spans="1:93" ht="15.5">
      <c r="A3026" s="1600">
        <v>75.319999999999993</v>
      </c>
      <c r="B3026" s="1599" t="s">
        <v>3105</v>
      </c>
      <c r="C3026" s="1643" t="e">
        <f>+SUMIF(#REF!,Final!A3026,#REF!)</f>
        <v>#REF!</v>
      </c>
      <c r="D3026" s="1597" t="e">
        <f>+SUMIF(#REF!,Final!A3026,#REF!)</f>
        <v>#REF!</v>
      </c>
      <c r="E3026" s="1643" t="e">
        <f>SUMIF(#REF!,Final!A3026,#REF!)</f>
        <v>#REF!</v>
      </c>
      <c r="F3026" s="1644" t="e">
        <f>SUMIF(#REF!,Final!A3026,#REF!)</f>
        <v>#REF!</v>
      </c>
      <c r="G3026" s="1597" t="e">
        <f t="shared" si="336"/>
        <v>#REF!</v>
      </c>
      <c r="H3026" s="1644" t="e">
        <f t="shared" si="337"/>
        <v>#REF!</v>
      </c>
      <c r="I3026" s="1597" t="e">
        <f t="shared" si="338"/>
        <v>#REF!</v>
      </c>
      <c r="J3026" s="1644" t="e">
        <f t="shared" si="339"/>
        <v>#REF!</v>
      </c>
      <c r="M3026" s="1545"/>
      <c r="N3026" s="1545"/>
    </row>
    <row r="3027" spans="1:93" s="1552" customFormat="1" ht="15.5">
      <c r="A3027" s="1598"/>
      <c r="B3027" s="1599" t="s">
        <v>1747</v>
      </c>
      <c r="C3027" s="1643" t="e">
        <f>+SUMIF(#REF!,Final!A3027,#REF!)</f>
        <v>#REF!</v>
      </c>
      <c r="D3027" s="1597" t="e">
        <f>+SUMIF(#REF!,Final!A3027,#REF!)</f>
        <v>#REF!</v>
      </c>
      <c r="E3027" s="1643" t="e">
        <f>SUMIF(#REF!,Final!A3027,#REF!)</f>
        <v>#REF!</v>
      </c>
      <c r="F3027" s="1644" t="e">
        <f>SUMIF(#REF!,Final!A3027,#REF!)</f>
        <v>#REF!</v>
      </c>
      <c r="G3027" s="1597" t="e">
        <f t="shared" si="336"/>
        <v>#REF!</v>
      </c>
      <c r="H3027" s="1644" t="e">
        <f t="shared" si="337"/>
        <v>#REF!</v>
      </c>
      <c r="I3027" s="1597" t="e">
        <f t="shared" si="338"/>
        <v>#REF!</v>
      </c>
      <c r="J3027" s="1644" t="e">
        <f t="shared" si="339"/>
        <v>#REF!</v>
      </c>
      <c r="K3027" s="1539"/>
      <c r="L3027" s="1539"/>
      <c r="M3027" s="1545"/>
      <c r="N3027" s="1545"/>
      <c r="O3027" s="1539"/>
      <c r="P3027" s="1539"/>
      <c r="Q3027" s="1539"/>
      <c r="R3027" s="1539"/>
      <c r="S3027" s="1539"/>
      <c r="T3027" s="1539"/>
      <c r="U3027" s="1539"/>
      <c r="V3027" s="1539"/>
      <c r="W3027" s="1539"/>
      <c r="X3027" s="1539"/>
      <c r="Y3027" s="1539"/>
      <c r="Z3027" s="1539"/>
      <c r="AA3027" s="1539"/>
      <c r="AB3027" s="1539"/>
      <c r="AC3027" s="1539"/>
      <c r="AD3027" s="1539"/>
      <c r="AE3027" s="1539"/>
      <c r="AF3027" s="1539"/>
      <c r="AG3027" s="1539"/>
      <c r="AH3027" s="1539"/>
      <c r="AI3027" s="1539"/>
      <c r="AJ3027" s="1539"/>
      <c r="AK3027" s="1539"/>
      <c r="AL3027" s="1539"/>
      <c r="AM3027" s="1539"/>
      <c r="AN3027" s="1539"/>
      <c r="AO3027" s="1539"/>
      <c r="AP3027" s="1539"/>
      <c r="AQ3027" s="1539"/>
      <c r="AR3027" s="1539"/>
      <c r="AS3027" s="1539"/>
      <c r="AT3027" s="1539"/>
      <c r="AU3027" s="1539"/>
      <c r="AV3027" s="1539"/>
      <c r="AW3027" s="1539"/>
      <c r="AX3027" s="1539"/>
      <c r="AY3027" s="1539"/>
      <c r="AZ3027" s="1539"/>
      <c r="BA3027" s="1539"/>
      <c r="BB3027" s="1539"/>
      <c r="BC3027" s="1539"/>
      <c r="BD3027" s="1539"/>
      <c r="BE3027" s="1539"/>
      <c r="BF3027" s="1539"/>
      <c r="BG3027" s="1539"/>
      <c r="BH3027" s="1539"/>
      <c r="BI3027" s="1539"/>
      <c r="BJ3027" s="1539"/>
      <c r="BK3027" s="1539"/>
      <c r="BL3027" s="1539"/>
      <c r="BM3027" s="1539"/>
      <c r="BN3027" s="1539"/>
      <c r="BO3027" s="1539"/>
      <c r="BP3027" s="1539"/>
      <c r="BQ3027" s="1539"/>
      <c r="BR3027" s="1539"/>
      <c r="BS3027" s="1539"/>
      <c r="BT3027" s="1539"/>
      <c r="BU3027" s="1539"/>
      <c r="BV3027" s="1539"/>
      <c r="BW3027" s="1539"/>
      <c r="BX3027" s="1539"/>
      <c r="BY3027" s="1539"/>
      <c r="BZ3027" s="1539"/>
      <c r="CA3027" s="1539"/>
      <c r="CB3027" s="1539"/>
      <c r="CC3027" s="1539"/>
      <c r="CD3027" s="1539"/>
      <c r="CE3027" s="1539"/>
      <c r="CF3027" s="1539"/>
      <c r="CG3027" s="1539"/>
      <c r="CH3027" s="1539"/>
      <c r="CI3027" s="1539"/>
      <c r="CJ3027" s="1539"/>
      <c r="CK3027" s="1539"/>
      <c r="CL3027" s="1539"/>
      <c r="CM3027" s="1539"/>
      <c r="CN3027" s="1539"/>
      <c r="CO3027" s="1539"/>
    </row>
    <row r="3028" spans="1:93" s="1552" customFormat="1" ht="15.5">
      <c r="A3028" s="1598"/>
      <c r="B3028" s="1599" t="s">
        <v>1760</v>
      </c>
      <c r="C3028" s="1643" t="e">
        <f>+SUMIF(#REF!,Final!A3028,#REF!)</f>
        <v>#REF!</v>
      </c>
      <c r="D3028" s="1597" t="e">
        <f>+SUMIF(#REF!,Final!A3028,#REF!)</f>
        <v>#REF!</v>
      </c>
      <c r="E3028" s="1643" t="e">
        <f>SUMIF(#REF!,Final!A3028,#REF!)</f>
        <v>#REF!</v>
      </c>
      <c r="F3028" s="1644" t="e">
        <f>SUMIF(#REF!,Final!A3028,#REF!)</f>
        <v>#REF!</v>
      </c>
      <c r="G3028" s="1597" t="e">
        <f t="shared" si="336"/>
        <v>#REF!</v>
      </c>
      <c r="H3028" s="1644" t="e">
        <f t="shared" si="337"/>
        <v>#REF!</v>
      </c>
      <c r="I3028" s="1597" t="e">
        <f t="shared" si="338"/>
        <v>#REF!</v>
      </c>
      <c r="J3028" s="1644" t="e">
        <f t="shared" si="339"/>
        <v>#REF!</v>
      </c>
      <c r="K3028" s="1539"/>
      <c r="L3028" s="1539"/>
      <c r="M3028" s="1545"/>
      <c r="N3028" s="1545"/>
      <c r="O3028" s="1539"/>
      <c r="P3028" s="1539"/>
      <c r="Q3028" s="1539"/>
      <c r="R3028" s="1539"/>
      <c r="S3028" s="1539"/>
      <c r="T3028" s="1539"/>
      <c r="U3028" s="1539"/>
      <c r="V3028" s="1539"/>
      <c r="W3028" s="1539"/>
      <c r="X3028" s="1539"/>
      <c r="Y3028" s="1539"/>
      <c r="Z3028" s="1539"/>
      <c r="AA3028" s="1539"/>
      <c r="AB3028" s="1539"/>
      <c r="AC3028" s="1539"/>
      <c r="AD3028" s="1539"/>
      <c r="AE3028" s="1539"/>
      <c r="AF3028" s="1539"/>
      <c r="AG3028" s="1539"/>
      <c r="AH3028" s="1539"/>
      <c r="AI3028" s="1539"/>
      <c r="AJ3028" s="1539"/>
      <c r="AK3028" s="1539"/>
      <c r="AL3028" s="1539"/>
      <c r="AM3028" s="1539"/>
      <c r="AN3028" s="1539"/>
      <c r="AO3028" s="1539"/>
      <c r="AP3028" s="1539"/>
      <c r="AQ3028" s="1539"/>
      <c r="AR3028" s="1539"/>
      <c r="AS3028" s="1539"/>
      <c r="AT3028" s="1539"/>
      <c r="AU3028" s="1539"/>
      <c r="AV3028" s="1539"/>
      <c r="AW3028" s="1539"/>
      <c r="AX3028" s="1539"/>
      <c r="AY3028" s="1539"/>
      <c r="AZ3028" s="1539"/>
      <c r="BA3028" s="1539"/>
      <c r="BB3028" s="1539"/>
      <c r="BC3028" s="1539"/>
      <c r="BD3028" s="1539"/>
      <c r="BE3028" s="1539"/>
      <c r="BF3028" s="1539"/>
      <c r="BG3028" s="1539"/>
      <c r="BH3028" s="1539"/>
      <c r="BI3028" s="1539"/>
      <c r="BJ3028" s="1539"/>
      <c r="BK3028" s="1539"/>
      <c r="BL3028" s="1539"/>
      <c r="BM3028" s="1539"/>
      <c r="BN3028" s="1539"/>
      <c r="BO3028" s="1539"/>
      <c r="BP3028" s="1539"/>
      <c r="BQ3028" s="1539"/>
      <c r="BR3028" s="1539"/>
      <c r="BS3028" s="1539"/>
      <c r="BT3028" s="1539"/>
      <c r="BU3028" s="1539"/>
      <c r="BV3028" s="1539"/>
      <c r="BW3028" s="1539"/>
      <c r="BX3028" s="1539"/>
      <c r="BY3028" s="1539"/>
      <c r="BZ3028" s="1539"/>
      <c r="CA3028" s="1539"/>
      <c r="CB3028" s="1539"/>
      <c r="CC3028" s="1539"/>
      <c r="CD3028" s="1539"/>
      <c r="CE3028" s="1539"/>
      <c r="CF3028" s="1539"/>
      <c r="CG3028" s="1539"/>
      <c r="CH3028" s="1539"/>
      <c r="CI3028" s="1539"/>
      <c r="CJ3028" s="1539"/>
      <c r="CK3028" s="1539"/>
      <c r="CL3028" s="1539"/>
      <c r="CM3028" s="1539"/>
      <c r="CN3028" s="1539"/>
      <c r="CO3028" s="1539"/>
    </row>
    <row r="3029" spans="1:93" s="1542" customFormat="1" ht="15.5">
      <c r="A3029" s="1598" t="s">
        <v>544</v>
      </c>
      <c r="B3029" s="1599" t="s">
        <v>3106</v>
      </c>
      <c r="C3029" s="1643" t="e">
        <f>+SUMIF(#REF!,Final!A3029,#REF!)</f>
        <v>#REF!</v>
      </c>
      <c r="D3029" s="1597" t="e">
        <f>+SUMIF(#REF!,Final!A3029,#REF!)</f>
        <v>#REF!</v>
      </c>
      <c r="E3029" s="1643" t="e">
        <f>SUMIF(#REF!,Final!A3029,#REF!)</f>
        <v>#REF!</v>
      </c>
      <c r="F3029" s="1644" t="e">
        <f>SUMIF(#REF!,Final!A3029,#REF!)</f>
        <v>#REF!</v>
      </c>
      <c r="G3029" s="1597" t="e">
        <f t="shared" si="336"/>
        <v>#REF!</v>
      </c>
      <c r="H3029" s="1644" t="e">
        <f t="shared" si="337"/>
        <v>#REF!</v>
      </c>
      <c r="I3029" s="1597" t="e">
        <f t="shared" si="338"/>
        <v>#REF!</v>
      </c>
      <c r="J3029" s="1644" t="e">
        <f t="shared" si="339"/>
        <v>#REF!</v>
      </c>
      <c r="K3029" s="1539"/>
      <c r="L3029" s="1539"/>
      <c r="M3029" s="1545"/>
      <c r="N3029" s="1545"/>
      <c r="O3029" s="1539"/>
      <c r="P3029" s="1539"/>
      <c r="Q3029" s="1539"/>
      <c r="R3029" s="1539"/>
      <c r="S3029" s="1539"/>
      <c r="T3029" s="1539"/>
      <c r="U3029" s="1539"/>
      <c r="V3029" s="1539"/>
      <c r="W3029" s="1539"/>
      <c r="X3029" s="1539"/>
      <c r="Y3029" s="1539"/>
      <c r="Z3029" s="1539"/>
      <c r="AA3029" s="1539"/>
      <c r="AB3029" s="1539"/>
      <c r="AC3029" s="1539"/>
      <c r="AD3029" s="1539"/>
      <c r="AE3029" s="1539"/>
      <c r="AF3029" s="1539"/>
      <c r="AG3029" s="1539"/>
      <c r="AH3029" s="1539"/>
      <c r="AI3029" s="1539"/>
      <c r="AJ3029" s="1539"/>
      <c r="AK3029" s="1539"/>
      <c r="AL3029" s="1539"/>
      <c r="AM3029" s="1539"/>
      <c r="AN3029" s="1539"/>
      <c r="AO3029" s="1539"/>
      <c r="AP3029" s="1539"/>
      <c r="AQ3029" s="1539"/>
      <c r="AR3029" s="1539"/>
      <c r="AS3029" s="1539"/>
      <c r="AT3029" s="1539"/>
      <c r="AU3029" s="1539"/>
      <c r="AV3029" s="1539"/>
      <c r="AW3029" s="1539"/>
      <c r="AX3029" s="1539"/>
      <c r="AY3029" s="1539"/>
      <c r="AZ3029" s="1539"/>
      <c r="BA3029" s="1539"/>
      <c r="BB3029" s="1539"/>
      <c r="BC3029" s="1539"/>
      <c r="BD3029" s="1539"/>
      <c r="BE3029" s="1539"/>
      <c r="BF3029" s="1539"/>
      <c r="BG3029" s="1539"/>
      <c r="BH3029" s="1539"/>
      <c r="BI3029" s="1539"/>
      <c r="BJ3029" s="1539"/>
      <c r="BK3029" s="1539"/>
      <c r="BL3029" s="1539"/>
      <c r="BM3029" s="1539"/>
      <c r="BN3029" s="1539"/>
      <c r="BO3029" s="1539"/>
      <c r="BP3029" s="1539"/>
      <c r="BQ3029" s="1539"/>
      <c r="BR3029" s="1539"/>
      <c r="BS3029" s="1539"/>
      <c r="BT3029" s="1539"/>
      <c r="BU3029" s="1539"/>
      <c r="BV3029" s="1539"/>
      <c r="BW3029" s="1539"/>
      <c r="BX3029" s="1539"/>
      <c r="BY3029" s="1539"/>
      <c r="BZ3029" s="1539"/>
      <c r="CA3029" s="1539"/>
      <c r="CB3029" s="1539"/>
      <c r="CC3029" s="1539"/>
      <c r="CD3029" s="1539"/>
      <c r="CE3029" s="1539"/>
      <c r="CF3029" s="1539"/>
      <c r="CG3029" s="1539"/>
      <c r="CH3029" s="1539"/>
      <c r="CI3029" s="1539"/>
      <c r="CJ3029" s="1539"/>
      <c r="CK3029" s="1539"/>
      <c r="CL3029" s="1539"/>
      <c r="CM3029" s="1539"/>
      <c r="CN3029" s="1539"/>
      <c r="CO3029" s="1539"/>
    </row>
    <row r="3030" spans="1:93" s="1542" customFormat="1" ht="15.5">
      <c r="A3030" s="1598" t="s">
        <v>1762</v>
      </c>
      <c r="B3030" s="1599" t="s">
        <v>3088</v>
      </c>
      <c r="C3030" s="1643" t="e">
        <f>+SUMIF(#REF!,Final!A3030,#REF!)</f>
        <v>#REF!</v>
      </c>
      <c r="D3030" s="1597" t="e">
        <f>+SUMIF(#REF!,Final!A3030,#REF!)</f>
        <v>#REF!</v>
      </c>
      <c r="E3030" s="1643" t="e">
        <f>SUMIF(#REF!,Final!A3030,#REF!)</f>
        <v>#REF!</v>
      </c>
      <c r="F3030" s="1644" t="e">
        <f>SUMIF(#REF!,Final!A3030,#REF!)</f>
        <v>#REF!</v>
      </c>
      <c r="G3030" s="1597" t="e">
        <f t="shared" si="336"/>
        <v>#REF!</v>
      </c>
      <c r="H3030" s="1644" t="e">
        <f t="shared" si="337"/>
        <v>#REF!</v>
      </c>
      <c r="I3030" s="1597" t="e">
        <f t="shared" si="338"/>
        <v>#REF!</v>
      </c>
      <c r="J3030" s="1644" t="e">
        <f t="shared" si="339"/>
        <v>#REF!</v>
      </c>
      <c r="K3030" s="1539"/>
      <c r="L3030" s="1539"/>
      <c r="M3030" s="1545"/>
      <c r="N3030" s="1545"/>
      <c r="O3030" s="1539"/>
      <c r="P3030" s="1539"/>
      <c r="Q3030" s="1539"/>
      <c r="R3030" s="1539"/>
      <c r="S3030" s="1539"/>
      <c r="T3030" s="1539"/>
      <c r="U3030" s="1539"/>
      <c r="V3030" s="1539"/>
      <c r="W3030" s="1539"/>
      <c r="X3030" s="1539"/>
      <c r="Y3030" s="1539"/>
      <c r="Z3030" s="1539"/>
      <c r="AA3030" s="1539"/>
      <c r="AB3030" s="1539"/>
      <c r="AC3030" s="1539"/>
      <c r="AD3030" s="1539"/>
      <c r="AE3030" s="1539"/>
      <c r="AF3030" s="1539"/>
      <c r="AG3030" s="1539"/>
      <c r="AH3030" s="1539"/>
      <c r="AI3030" s="1539"/>
      <c r="AJ3030" s="1539"/>
      <c r="AK3030" s="1539"/>
      <c r="AL3030" s="1539"/>
      <c r="AM3030" s="1539"/>
      <c r="AN3030" s="1539"/>
      <c r="AO3030" s="1539"/>
      <c r="AP3030" s="1539"/>
      <c r="AQ3030" s="1539"/>
      <c r="AR3030" s="1539"/>
      <c r="AS3030" s="1539"/>
      <c r="AT3030" s="1539"/>
      <c r="AU3030" s="1539"/>
      <c r="AV3030" s="1539"/>
      <c r="AW3030" s="1539"/>
      <c r="AX3030" s="1539"/>
      <c r="AY3030" s="1539"/>
      <c r="AZ3030" s="1539"/>
      <c r="BA3030" s="1539"/>
      <c r="BB3030" s="1539"/>
      <c r="BC3030" s="1539"/>
      <c r="BD3030" s="1539"/>
      <c r="BE3030" s="1539"/>
      <c r="BF3030" s="1539"/>
      <c r="BG3030" s="1539"/>
      <c r="BH3030" s="1539"/>
      <c r="BI3030" s="1539"/>
      <c r="BJ3030" s="1539"/>
      <c r="BK3030" s="1539"/>
      <c r="BL3030" s="1539"/>
      <c r="BM3030" s="1539"/>
      <c r="BN3030" s="1539"/>
      <c r="BO3030" s="1539"/>
      <c r="BP3030" s="1539"/>
      <c r="BQ3030" s="1539"/>
      <c r="BR3030" s="1539"/>
      <c r="BS3030" s="1539"/>
      <c r="BT3030" s="1539"/>
      <c r="BU3030" s="1539"/>
      <c r="BV3030" s="1539"/>
      <c r="BW3030" s="1539"/>
      <c r="BX3030" s="1539"/>
      <c r="BY3030" s="1539"/>
      <c r="BZ3030" s="1539"/>
      <c r="CA3030" s="1539"/>
      <c r="CB3030" s="1539"/>
      <c r="CC3030" s="1539"/>
      <c r="CD3030" s="1539"/>
      <c r="CE3030" s="1539"/>
      <c r="CF3030" s="1539"/>
      <c r="CG3030" s="1539"/>
      <c r="CH3030" s="1539"/>
      <c r="CI3030" s="1539"/>
      <c r="CJ3030" s="1539"/>
      <c r="CK3030" s="1539"/>
      <c r="CL3030" s="1539"/>
      <c r="CM3030" s="1539"/>
      <c r="CN3030" s="1539"/>
      <c r="CO3030" s="1539"/>
    </row>
    <row r="3031" spans="1:93" s="1542" customFormat="1" ht="15.5">
      <c r="A3031" s="1598">
        <v>75.403999999999996</v>
      </c>
      <c r="B3031" s="1599" t="s">
        <v>3107</v>
      </c>
      <c r="C3031" s="1643" t="e">
        <f>+SUMIF(#REF!,Final!A3031,#REF!)</f>
        <v>#REF!</v>
      </c>
      <c r="D3031" s="1597" t="e">
        <f>+SUMIF(#REF!,Final!A3031,#REF!)</f>
        <v>#REF!</v>
      </c>
      <c r="E3031" s="1643" t="e">
        <f>SUMIF(#REF!,Final!A3031,#REF!)</f>
        <v>#REF!</v>
      </c>
      <c r="F3031" s="1644" t="e">
        <f>SUMIF(#REF!,Final!A3031,#REF!)</f>
        <v>#REF!</v>
      </c>
      <c r="G3031" s="1597" t="e">
        <f t="shared" si="336"/>
        <v>#REF!</v>
      </c>
      <c r="H3031" s="1644" t="e">
        <f t="shared" si="337"/>
        <v>#REF!</v>
      </c>
      <c r="I3031" s="1597" t="e">
        <f t="shared" si="338"/>
        <v>#REF!</v>
      </c>
      <c r="J3031" s="1644" t="e">
        <f t="shared" si="339"/>
        <v>#REF!</v>
      </c>
      <c r="K3031" s="1539"/>
      <c r="L3031" s="1539"/>
      <c r="M3031" s="1545"/>
      <c r="N3031" s="1545"/>
      <c r="O3031" s="1539"/>
      <c r="P3031" s="1539"/>
      <c r="Q3031" s="1539"/>
      <c r="R3031" s="1539"/>
      <c r="S3031" s="1539"/>
      <c r="T3031" s="1539"/>
      <c r="U3031" s="1539"/>
      <c r="V3031" s="1539"/>
      <c r="W3031" s="1539"/>
      <c r="X3031" s="1539"/>
      <c r="Y3031" s="1539"/>
      <c r="Z3031" s="1539"/>
      <c r="AA3031" s="1539"/>
      <c r="AB3031" s="1539"/>
      <c r="AC3031" s="1539"/>
      <c r="AD3031" s="1539"/>
      <c r="AE3031" s="1539"/>
      <c r="AF3031" s="1539"/>
      <c r="AG3031" s="1539"/>
      <c r="AH3031" s="1539"/>
      <c r="AI3031" s="1539"/>
      <c r="AJ3031" s="1539"/>
      <c r="AK3031" s="1539"/>
      <c r="AL3031" s="1539"/>
      <c r="AM3031" s="1539"/>
      <c r="AN3031" s="1539"/>
      <c r="AO3031" s="1539"/>
      <c r="AP3031" s="1539"/>
      <c r="AQ3031" s="1539"/>
      <c r="AR3031" s="1539"/>
      <c r="AS3031" s="1539"/>
      <c r="AT3031" s="1539"/>
      <c r="AU3031" s="1539"/>
      <c r="AV3031" s="1539"/>
      <c r="AW3031" s="1539"/>
      <c r="AX3031" s="1539"/>
      <c r="AY3031" s="1539"/>
      <c r="AZ3031" s="1539"/>
      <c r="BA3031" s="1539"/>
      <c r="BB3031" s="1539"/>
      <c r="BC3031" s="1539"/>
      <c r="BD3031" s="1539"/>
      <c r="BE3031" s="1539"/>
      <c r="BF3031" s="1539"/>
      <c r="BG3031" s="1539"/>
      <c r="BH3031" s="1539"/>
      <c r="BI3031" s="1539"/>
      <c r="BJ3031" s="1539"/>
      <c r="BK3031" s="1539"/>
      <c r="BL3031" s="1539"/>
      <c r="BM3031" s="1539"/>
      <c r="BN3031" s="1539"/>
      <c r="BO3031" s="1539"/>
      <c r="BP3031" s="1539"/>
      <c r="BQ3031" s="1539"/>
      <c r="BR3031" s="1539"/>
      <c r="BS3031" s="1539"/>
      <c r="BT3031" s="1539"/>
      <c r="BU3031" s="1539"/>
      <c r="BV3031" s="1539"/>
      <c r="BW3031" s="1539"/>
      <c r="BX3031" s="1539"/>
      <c r="BY3031" s="1539"/>
      <c r="BZ3031" s="1539"/>
      <c r="CA3031" s="1539"/>
      <c r="CB3031" s="1539"/>
      <c r="CC3031" s="1539"/>
      <c r="CD3031" s="1539"/>
      <c r="CE3031" s="1539"/>
      <c r="CF3031" s="1539"/>
      <c r="CG3031" s="1539"/>
      <c r="CH3031" s="1539"/>
      <c r="CI3031" s="1539"/>
      <c r="CJ3031" s="1539"/>
      <c r="CK3031" s="1539"/>
      <c r="CL3031" s="1539"/>
      <c r="CM3031" s="1539"/>
      <c r="CN3031" s="1539"/>
      <c r="CO3031" s="1539"/>
    </row>
    <row r="3032" spans="1:93" ht="15.5">
      <c r="A3032" s="1598">
        <v>75.405000000000001</v>
      </c>
      <c r="B3032" s="1599" t="s">
        <v>3108</v>
      </c>
      <c r="C3032" s="1643" t="e">
        <f>+SUMIF(#REF!,Final!A3032,#REF!)</f>
        <v>#REF!</v>
      </c>
      <c r="D3032" s="1597" t="e">
        <f>+SUMIF(#REF!,Final!A3032,#REF!)</f>
        <v>#REF!</v>
      </c>
      <c r="E3032" s="1643" t="e">
        <f>SUMIF(#REF!,Final!A3032,#REF!)</f>
        <v>#REF!</v>
      </c>
      <c r="F3032" s="1644" t="e">
        <f>SUMIF(#REF!,Final!A3032,#REF!)</f>
        <v>#REF!</v>
      </c>
      <c r="G3032" s="1597" t="e">
        <f t="shared" si="336"/>
        <v>#REF!</v>
      </c>
      <c r="H3032" s="1644" t="e">
        <f t="shared" si="337"/>
        <v>#REF!</v>
      </c>
      <c r="I3032" s="1597" t="e">
        <f t="shared" si="338"/>
        <v>#REF!</v>
      </c>
      <c r="J3032" s="1644" t="e">
        <f t="shared" si="339"/>
        <v>#REF!</v>
      </c>
      <c r="M3032" s="1545"/>
      <c r="N3032" s="1545"/>
    </row>
    <row r="3033" spans="1:93" ht="15.5">
      <c r="A3033" s="1598">
        <v>75.418999999999997</v>
      </c>
      <c r="B3033" s="1599" t="s">
        <v>3109</v>
      </c>
      <c r="C3033" s="1643" t="e">
        <f>+SUMIF(#REF!,Final!A3033,#REF!)</f>
        <v>#REF!</v>
      </c>
      <c r="D3033" s="1597" t="e">
        <f>+SUMIF(#REF!,Final!A3033,#REF!)</f>
        <v>#REF!</v>
      </c>
      <c r="E3033" s="1643" t="e">
        <f>SUMIF(#REF!,Final!A3033,#REF!)</f>
        <v>#REF!</v>
      </c>
      <c r="F3033" s="1644" t="e">
        <f>SUMIF(#REF!,Final!A3033,#REF!)</f>
        <v>#REF!</v>
      </c>
      <c r="G3033" s="1597" t="e">
        <f t="shared" si="336"/>
        <v>#REF!</v>
      </c>
      <c r="H3033" s="1644" t="e">
        <f t="shared" si="337"/>
        <v>#REF!</v>
      </c>
      <c r="I3033" s="1597" t="e">
        <f t="shared" si="338"/>
        <v>#REF!</v>
      </c>
      <c r="J3033" s="1644" t="e">
        <f t="shared" si="339"/>
        <v>#REF!</v>
      </c>
      <c r="M3033" s="1545"/>
      <c r="N3033" s="1545"/>
    </row>
    <row r="3034" spans="1:93" ht="15.5">
      <c r="A3034" s="1598">
        <v>75.42</v>
      </c>
      <c r="B3034" s="1599" t="s">
        <v>3110</v>
      </c>
      <c r="C3034" s="1643" t="e">
        <f>+SUMIF(#REF!,Final!A3034,#REF!)</f>
        <v>#REF!</v>
      </c>
      <c r="D3034" s="1597" t="e">
        <f>+SUMIF(#REF!,Final!A3034,#REF!)</f>
        <v>#REF!</v>
      </c>
      <c r="E3034" s="1643" t="e">
        <f>SUMIF(#REF!,Final!A3034,#REF!)</f>
        <v>#REF!</v>
      </c>
      <c r="F3034" s="1644" t="e">
        <f>SUMIF(#REF!,Final!A3034,#REF!)</f>
        <v>#REF!</v>
      </c>
      <c r="G3034" s="1597" t="e">
        <f t="shared" si="336"/>
        <v>#REF!</v>
      </c>
      <c r="H3034" s="1644" t="e">
        <f t="shared" si="337"/>
        <v>#REF!</v>
      </c>
      <c r="I3034" s="1597" t="e">
        <f t="shared" si="338"/>
        <v>#REF!</v>
      </c>
      <c r="J3034" s="1644" t="e">
        <f t="shared" si="339"/>
        <v>#REF!</v>
      </c>
      <c r="M3034" s="1545"/>
      <c r="N3034" s="1545"/>
    </row>
    <row r="3035" spans="1:93" s="1552" customFormat="1" ht="15.5">
      <c r="A3035" s="1598"/>
      <c r="B3035" s="1599" t="s">
        <v>1747</v>
      </c>
      <c r="C3035" s="1643" t="e">
        <f>+SUMIF(#REF!,Final!A3035,#REF!)</f>
        <v>#REF!</v>
      </c>
      <c r="D3035" s="1597" t="e">
        <f>+SUMIF(#REF!,Final!A3035,#REF!)</f>
        <v>#REF!</v>
      </c>
      <c r="E3035" s="1643" t="e">
        <f>SUMIF(#REF!,Final!A3035,#REF!)</f>
        <v>#REF!</v>
      </c>
      <c r="F3035" s="1644" t="e">
        <f>SUMIF(#REF!,Final!A3035,#REF!)</f>
        <v>#REF!</v>
      </c>
      <c r="G3035" s="1597" t="e">
        <f t="shared" si="336"/>
        <v>#REF!</v>
      </c>
      <c r="H3035" s="1644" t="e">
        <f t="shared" si="337"/>
        <v>#REF!</v>
      </c>
      <c r="I3035" s="1597" t="e">
        <f t="shared" si="338"/>
        <v>#REF!</v>
      </c>
      <c r="J3035" s="1644" t="e">
        <f t="shared" si="339"/>
        <v>#REF!</v>
      </c>
      <c r="K3035" s="1539"/>
      <c r="L3035" s="1539"/>
      <c r="M3035" s="1545"/>
      <c r="N3035" s="1545"/>
      <c r="O3035" s="1539"/>
      <c r="P3035" s="1539"/>
      <c r="Q3035" s="1539"/>
      <c r="R3035" s="1539"/>
      <c r="S3035" s="1539"/>
      <c r="T3035" s="1539"/>
      <c r="U3035" s="1539"/>
      <c r="V3035" s="1539"/>
      <c r="W3035" s="1539"/>
      <c r="X3035" s="1539"/>
      <c r="Y3035" s="1539"/>
      <c r="Z3035" s="1539"/>
      <c r="AA3035" s="1539"/>
      <c r="AB3035" s="1539"/>
      <c r="AC3035" s="1539"/>
      <c r="AD3035" s="1539"/>
      <c r="AE3035" s="1539"/>
      <c r="AF3035" s="1539"/>
      <c r="AG3035" s="1539"/>
      <c r="AH3035" s="1539"/>
      <c r="AI3035" s="1539"/>
      <c r="AJ3035" s="1539"/>
      <c r="AK3035" s="1539"/>
      <c r="AL3035" s="1539"/>
      <c r="AM3035" s="1539"/>
      <c r="AN3035" s="1539"/>
      <c r="AO3035" s="1539"/>
      <c r="AP3035" s="1539"/>
      <c r="AQ3035" s="1539"/>
      <c r="AR3035" s="1539"/>
      <c r="AS3035" s="1539"/>
      <c r="AT3035" s="1539"/>
      <c r="AU3035" s="1539"/>
      <c r="AV3035" s="1539"/>
      <c r="AW3035" s="1539"/>
      <c r="AX3035" s="1539"/>
      <c r="AY3035" s="1539"/>
      <c r="AZ3035" s="1539"/>
      <c r="BA3035" s="1539"/>
      <c r="BB3035" s="1539"/>
      <c r="BC3035" s="1539"/>
      <c r="BD3035" s="1539"/>
      <c r="BE3035" s="1539"/>
      <c r="BF3035" s="1539"/>
      <c r="BG3035" s="1539"/>
      <c r="BH3035" s="1539"/>
      <c r="BI3035" s="1539"/>
      <c r="BJ3035" s="1539"/>
      <c r="BK3035" s="1539"/>
      <c r="BL3035" s="1539"/>
      <c r="BM3035" s="1539"/>
      <c r="BN3035" s="1539"/>
      <c r="BO3035" s="1539"/>
      <c r="BP3035" s="1539"/>
      <c r="BQ3035" s="1539"/>
      <c r="BR3035" s="1539"/>
      <c r="BS3035" s="1539"/>
      <c r="BT3035" s="1539"/>
      <c r="BU3035" s="1539"/>
      <c r="BV3035" s="1539"/>
      <c r="BW3035" s="1539"/>
      <c r="BX3035" s="1539"/>
      <c r="BY3035" s="1539"/>
      <c r="BZ3035" s="1539"/>
      <c r="CA3035" s="1539"/>
      <c r="CB3035" s="1539"/>
      <c r="CC3035" s="1539"/>
      <c r="CD3035" s="1539"/>
      <c r="CE3035" s="1539"/>
      <c r="CF3035" s="1539"/>
      <c r="CG3035" s="1539"/>
      <c r="CH3035" s="1539"/>
      <c r="CI3035" s="1539"/>
      <c r="CJ3035" s="1539"/>
      <c r="CK3035" s="1539"/>
      <c r="CL3035" s="1539"/>
      <c r="CM3035" s="1539"/>
      <c r="CN3035" s="1539"/>
      <c r="CO3035" s="1539"/>
    </row>
    <row r="3036" spans="1:93" s="1552" customFormat="1" ht="15.5">
      <c r="A3036" s="1598"/>
      <c r="B3036" s="1599" t="s">
        <v>1760</v>
      </c>
      <c r="C3036" s="1643" t="e">
        <f>+SUMIF(#REF!,Final!A3036,#REF!)</f>
        <v>#REF!</v>
      </c>
      <c r="D3036" s="1597" t="e">
        <f>+SUMIF(#REF!,Final!A3036,#REF!)</f>
        <v>#REF!</v>
      </c>
      <c r="E3036" s="1643" t="e">
        <f>SUMIF(#REF!,Final!A3036,#REF!)</f>
        <v>#REF!</v>
      </c>
      <c r="F3036" s="1644" t="e">
        <f>SUMIF(#REF!,Final!A3036,#REF!)</f>
        <v>#REF!</v>
      </c>
      <c r="G3036" s="1597" t="e">
        <f t="shared" si="336"/>
        <v>#REF!</v>
      </c>
      <c r="H3036" s="1644" t="e">
        <f t="shared" si="337"/>
        <v>#REF!</v>
      </c>
      <c r="I3036" s="1597" t="e">
        <f t="shared" si="338"/>
        <v>#REF!</v>
      </c>
      <c r="J3036" s="1644" t="e">
        <f t="shared" si="339"/>
        <v>#REF!</v>
      </c>
      <c r="K3036" s="1539"/>
      <c r="L3036" s="1539"/>
      <c r="M3036" s="1545"/>
      <c r="N3036" s="1545"/>
      <c r="O3036" s="1539"/>
      <c r="P3036" s="1539"/>
      <c r="Q3036" s="1539"/>
      <c r="R3036" s="1539"/>
      <c r="S3036" s="1539"/>
      <c r="T3036" s="1539"/>
      <c r="U3036" s="1539"/>
      <c r="V3036" s="1539"/>
      <c r="W3036" s="1539"/>
      <c r="X3036" s="1539"/>
      <c r="Y3036" s="1539"/>
      <c r="Z3036" s="1539"/>
      <c r="AA3036" s="1539"/>
      <c r="AB3036" s="1539"/>
      <c r="AC3036" s="1539"/>
      <c r="AD3036" s="1539"/>
      <c r="AE3036" s="1539"/>
      <c r="AF3036" s="1539"/>
      <c r="AG3036" s="1539"/>
      <c r="AH3036" s="1539"/>
      <c r="AI3036" s="1539"/>
      <c r="AJ3036" s="1539"/>
      <c r="AK3036" s="1539"/>
      <c r="AL3036" s="1539"/>
      <c r="AM3036" s="1539"/>
      <c r="AN3036" s="1539"/>
      <c r="AO3036" s="1539"/>
      <c r="AP3036" s="1539"/>
      <c r="AQ3036" s="1539"/>
      <c r="AR3036" s="1539"/>
      <c r="AS3036" s="1539"/>
      <c r="AT3036" s="1539"/>
      <c r="AU3036" s="1539"/>
      <c r="AV3036" s="1539"/>
      <c r="AW3036" s="1539"/>
      <c r="AX3036" s="1539"/>
      <c r="AY3036" s="1539"/>
      <c r="AZ3036" s="1539"/>
      <c r="BA3036" s="1539"/>
      <c r="BB3036" s="1539"/>
      <c r="BC3036" s="1539"/>
      <c r="BD3036" s="1539"/>
      <c r="BE3036" s="1539"/>
      <c r="BF3036" s="1539"/>
      <c r="BG3036" s="1539"/>
      <c r="BH3036" s="1539"/>
      <c r="BI3036" s="1539"/>
      <c r="BJ3036" s="1539"/>
      <c r="BK3036" s="1539"/>
      <c r="BL3036" s="1539"/>
      <c r="BM3036" s="1539"/>
      <c r="BN3036" s="1539"/>
      <c r="BO3036" s="1539"/>
      <c r="BP3036" s="1539"/>
      <c r="BQ3036" s="1539"/>
      <c r="BR3036" s="1539"/>
      <c r="BS3036" s="1539"/>
      <c r="BT3036" s="1539"/>
      <c r="BU3036" s="1539"/>
      <c r="BV3036" s="1539"/>
      <c r="BW3036" s="1539"/>
      <c r="BX3036" s="1539"/>
      <c r="BY3036" s="1539"/>
      <c r="BZ3036" s="1539"/>
      <c r="CA3036" s="1539"/>
      <c r="CB3036" s="1539"/>
      <c r="CC3036" s="1539"/>
      <c r="CD3036" s="1539"/>
      <c r="CE3036" s="1539"/>
      <c r="CF3036" s="1539"/>
      <c r="CG3036" s="1539"/>
      <c r="CH3036" s="1539"/>
      <c r="CI3036" s="1539"/>
      <c r="CJ3036" s="1539"/>
      <c r="CK3036" s="1539"/>
      <c r="CL3036" s="1539"/>
      <c r="CM3036" s="1539"/>
      <c r="CN3036" s="1539"/>
      <c r="CO3036" s="1539"/>
    </row>
    <row r="3037" spans="1:93" s="1542" customFormat="1" ht="15.5">
      <c r="A3037" s="1598" t="s">
        <v>545</v>
      </c>
      <c r="B3037" s="1599" t="s">
        <v>804</v>
      </c>
      <c r="C3037" s="1643" t="e">
        <f>+SUMIF(#REF!,Final!A3037,#REF!)</f>
        <v>#REF!</v>
      </c>
      <c r="D3037" s="1597" t="e">
        <f>+SUMIF(#REF!,Final!A3037,#REF!)</f>
        <v>#REF!</v>
      </c>
      <c r="E3037" s="1643" t="e">
        <f>SUMIF(#REF!,Final!A3037,#REF!)</f>
        <v>#REF!</v>
      </c>
      <c r="F3037" s="1644" t="e">
        <f>SUMIF(#REF!,Final!A3037,#REF!)</f>
        <v>#REF!</v>
      </c>
      <c r="G3037" s="1597" t="e">
        <f t="shared" si="336"/>
        <v>#REF!</v>
      </c>
      <c r="H3037" s="1644" t="e">
        <f t="shared" si="337"/>
        <v>#REF!</v>
      </c>
      <c r="I3037" s="1597" t="e">
        <f t="shared" si="338"/>
        <v>#REF!</v>
      </c>
      <c r="J3037" s="1644" t="e">
        <f t="shared" si="339"/>
        <v>#REF!</v>
      </c>
      <c r="K3037" s="1539"/>
      <c r="L3037" s="1539"/>
      <c r="M3037" s="1545"/>
      <c r="N3037" s="1545"/>
      <c r="O3037" s="1539"/>
      <c r="P3037" s="1539"/>
      <c r="Q3037" s="1539"/>
      <c r="R3037" s="1539"/>
      <c r="S3037" s="1539"/>
      <c r="T3037" s="1539"/>
      <c r="U3037" s="1539"/>
      <c r="V3037" s="1539"/>
      <c r="W3037" s="1539"/>
      <c r="X3037" s="1539"/>
      <c r="Y3037" s="1539"/>
      <c r="Z3037" s="1539"/>
      <c r="AA3037" s="1539"/>
      <c r="AB3037" s="1539"/>
      <c r="AC3037" s="1539"/>
      <c r="AD3037" s="1539"/>
      <c r="AE3037" s="1539"/>
      <c r="AF3037" s="1539"/>
      <c r="AG3037" s="1539"/>
      <c r="AH3037" s="1539"/>
      <c r="AI3037" s="1539"/>
      <c r="AJ3037" s="1539"/>
      <c r="AK3037" s="1539"/>
      <c r="AL3037" s="1539"/>
      <c r="AM3037" s="1539"/>
      <c r="AN3037" s="1539"/>
      <c r="AO3037" s="1539"/>
      <c r="AP3037" s="1539"/>
      <c r="AQ3037" s="1539"/>
      <c r="AR3037" s="1539"/>
      <c r="AS3037" s="1539"/>
      <c r="AT3037" s="1539"/>
      <c r="AU3037" s="1539"/>
      <c r="AV3037" s="1539"/>
      <c r="AW3037" s="1539"/>
      <c r="AX3037" s="1539"/>
      <c r="AY3037" s="1539"/>
      <c r="AZ3037" s="1539"/>
      <c r="BA3037" s="1539"/>
      <c r="BB3037" s="1539"/>
      <c r="BC3037" s="1539"/>
      <c r="BD3037" s="1539"/>
      <c r="BE3037" s="1539"/>
      <c r="BF3037" s="1539"/>
      <c r="BG3037" s="1539"/>
      <c r="BH3037" s="1539"/>
      <c r="BI3037" s="1539"/>
      <c r="BJ3037" s="1539"/>
      <c r="BK3037" s="1539"/>
      <c r="BL3037" s="1539"/>
      <c r="BM3037" s="1539"/>
      <c r="BN3037" s="1539"/>
      <c r="BO3037" s="1539"/>
      <c r="BP3037" s="1539"/>
      <c r="BQ3037" s="1539"/>
      <c r="BR3037" s="1539"/>
      <c r="BS3037" s="1539"/>
      <c r="BT3037" s="1539"/>
      <c r="BU3037" s="1539"/>
      <c r="BV3037" s="1539"/>
      <c r="BW3037" s="1539"/>
      <c r="BX3037" s="1539"/>
      <c r="BY3037" s="1539"/>
      <c r="BZ3037" s="1539"/>
      <c r="CA3037" s="1539"/>
      <c r="CB3037" s="1539"/>
      <c r="CC3037" s="1539"/>
      <c r="CD3037" s="1539"/>
      <c r="CE3037" s="1539"/>
      <c r="CF3037" s="1539"/>
      <c r="CG3037" s="1539"/>
      <c r="CH3037" s="1539"/>
      <c r="CI3037" s="1539"/>
      <c r="CJ3037" s="1539"/>
      <c r="CK3037" s="1539"/>
      <c r="CL3037" s="1539"/>
      <c r="CM3037" s="1539"/>
      <c r="CN3037" s="1539"/>
      <c r="CO3037" s="1539"/>
    </row>
    <row r="3038" spans="1:93" ht="15.5">
      <c r="A3038" s="1598">
        <v>75.504999999999995</v>
      </c>
      <c r="B3038" s="1599" t="s">
        <v>3111</v>
      </c>
      <c r="C3038" s="1643" t="e">
        <f>+SUMIF(#REF!,Final!A3038,#REF!)</f>
        <v>#REF!</v>
      </c>
      <c r="D3038" s="1597" t="e">
        <f>+SUMIF(#REF!,Final!A3038,#REF!)</f>
        <v>#REF!</v>
      </c>
      <c r="E3038" s="1643" t="e">
        <f>SUMIF(#REF!,Final!A3038,#REF!)</f>
        <v>#REF!</v>
      </c>
      <c r="F3038" s="1644" t="e">
        <f>SUMIF(#REF!,Final!A3038,#REF!)</f>
        <v>#REF!</v>
      </c>
      <c r="G3038" s="1597" t="e">
        <f t="shared" si="336"/>
        <v>#REF!</v>
      </c>
      <c r="H3038" s="1644" t="e">
        <f t="shared" si="337"/>
        <v>#REF!</v>
      </c>
      <c r="I3038" s="1597" t="e">
        <f t="shared" si="338"/>
        <v>#REF!</v>
      </c>
      <c r="J3038" s="1644" t="e">
        <f t="shared" si="339"/>
        <v>#REF!</v>
      </c>
      <c r="M3038" s="1545"/>
      <c r="N3038" s="1545"/>
    </row>
    <row r="3039" spans="1:93" ht="15.5">
      <c r="A3039" s="1598">
        <v>75.507000000000005</v>
      </c>
      <c r="B3039" s="1599" t="s">
        <v>3112</v>
      </c>
      <c r="C3039" s="1643" t="e">
        <f>+SUMIF(#REF!,Final!A3039,#REF!)</f>
        <v>#REF!</v>
      </c>
      <c r="D3039" s="1597" t="e">
        <f>+SUMIF(#REF!,Final!A3039,#REF!)</f>
        <v>#REF!</v>
      </c>
      <c r="E3039" s="1643" t="e">
        <f>SUMIF(#REF!,Final!A3039,#REF!)</f>
        <v>#REF!</v>
      </c>
      <c r="F3039" s="1644" t="e">
        <f>SUMIF(#REF!,Final!A3039,#REF!)</f>
        <v>#REF!</v>
      </c>
      <c r="G3039" s="1597" t="e">
        <f t="shared" si="336"/>
        <v>#REF!</v>
      </c>
      <c r="H3039" s="1644" t="e">
        <f t="shared" si="337"/>
        <v>#REF!</v>
      </c>
      <c r="I3039" s="1597" t="e">
        <f t="shared" si="338"/>
        <v>#REF!</v>
      </c>
      <c r="J3039" s="1644" t="e">
        <f t="shared" si="339"/>
        <v>#REF!</v>
      </c>
      <c r="M3039" s="1545"/>
      <c r="N3039" s="1545"/>
    </row>
    <row r="3040" spans="1:93" ht="15.5">
      <c r="A3040" s="1598">
        <v>75.52</v>
      </c>
      <c r="B3040" s="1599" t="s">
        <v>3113</v>
      </c>
      <c r="C3040" s="1643" t="e">
        <f>+SUMIF(#REF!,Final!A3040,#REF!)</f>
        <v>#REF!</v>
      </c>
      <c r="D3040" s="1597" t="e">
        <f>+SUMIF(#REF!,Final!A3040,#REF!)</f>
        <v>#REF!</v>
      </c>
      <c r="E3040" s="1643" t="e">
        <f>SUMIF(#REF!,Final!A3040,#REF!)</f>
        <v>#REF!</v>
      </c>
      <c r="F3040" s="1644" t="e">
        <f>SUMIF(#REF!,Final!A3040,#REF!)</f>
        <v>#REF!</v>
      </c>
      <c r="G3040" s="1597" t="e">
        <f t="shared" si="336"/>
        <v>#REF!</v>
      </c>
      <c r="H3040" s="1644" t="e">
        <f t="shared" si="337"/>
        <v>#REF!</v>
      </c>
      <c r="I3040" s="1597" t="e">
        <f t="shared" si="338"/>
        <v>#REF!</v>
      </c>
      <c r="J3040" s="1644" t="e">
        <f t="shared" si="339"/>
        <v>#REF!</v>
      </c>
      <c r="M3040" s="1545"/>
      <c r="N3040" s="1545"/>
    </row>
    <row r="3041" spans="1:93" s="1552" customFormat="1" ht="15.5">
      <c r="A3041" s="1598"/>
      <c r="B3041" s="1599" t="s">
        <v>1747</v>
      </c>
      <c r="C3041" s="1643" t="e">
        <f>+SUMIF(#REF!,Final!A3041,#REF!)</f>
        <v>#REF!</v>
      </c>
      <c r="D3041" s="1597" t="e">
        <f>+SUMIF(#REF!,Final!A3041,#REF!)</f>
        <v>#REF!</v>
      </c>
      <c r="E3041" s="1643" t="e">
        <f>SUMIF(#REF!,Final!A3041,#REF!)</f>
        <v>#REF!</v>
      </c>
      <c r="F3041" s="1644" t="e">
        <f>SUMIF(#REF!,Final!A3041,#REF!)</f>
        <v>#REF!</v>
      </c>
      <c r="G3041" s="1597" t="e">
        <f t="shared" si="336"/>
        <v>#REF!</v>
      </c>
      <c r="H3041" s="1644" t="e">
        <f t="shared" si="337"/>
        <v>#REF!</v>
      </c>
      <c r="I3041" s="1597" t="e">
        <f t="shared" si="338"/>
        <v>#REF!</v>
      </c>
      <c r="J3041" s="1644" t="e">
        <f t="shared" si="339"/>
        <v>#REF!</v>
      </c>
      <c r="K3041" s="1539"/>
      <c r="L3041" s="1539"/>
      <c r="M3041" s="1545"/>
      <c r="N3041" s="1545"/>
      <c r="O3041" s="1539"/>
      <c r="P3041" s="1539"/>
      <c r="Q3041" s="1539"/>
      <c r="R3041" s="1539"/>
      <c r="S3041" s="1539"/>
      <c r="T3041" s="1539"/>
      <c r="U3041" s="1539"/>
      <c r="V3041" s="1539"/>
      <c r="W3041" s="1539"/>
      <c r="X3041" s="1539"/>
      <c r="Y3041" s="1539"/>
      <c r="Z3041" s="1539"/>
      <c r="AA3041" s="1539"/>
      <c r="AB3041" s="1539"/>
      <c r="AC3041" s="1539"/>
      <c r="AD3041" s="1539"/>
      <c r="AE3041" s="1539"/>
      <c r="AF3041" s="1539"/>
      <c r="AG3041" s="1539"/>
      <c r="AH3041" s="1539"/>
      <c r="AI3041" s="1539"/>
      <c r="AJ3041" s="1539"/>
      <c r="AK3041" s="1539"/>
      <c r="AL3041" s="1539"/>
      <c r="AM3041" s="1539"/>
      <c r="AN3041" s="1539"/>
      <c r="AO3041" s="1539"/>
      <c r="AP3041" s="1539"/>
      <c r="AQ3041" s="1539"/>
      <c r="AR3041" s="1539"/>
      <c r="AS3041" s="1539"/>
      <c r="AT3041" s="1539"/>
      <c r="AU3041" s="1539"/>
      <c r="AV3041" s="1539"/>
      <c r="AW3041" s="1539"/>
      <c r="AX3041" s="1539"/>
      <c r="AY3041" s="1539"/>
      <c r="AZ3041" s="1539"/>
      <c r="BA3041" s="1539"/>
      <c r="BB3041" s="1539"/>
      <c r="BC3041" s="1539"/>
      <c r="BD3041" s="1539"/>
      <c r="BE3041" s="1539"/>
      <c r="BF3041" s="1539"/>
      <c r="BG3041" s="1539"/>
      <c r="BH3041" s="1539"/>
      <c r="BI3041" s="1539"/>
      <c r="BJ3041" s="1539"/>
      <c r="BK3041" s="1539"/>
      <c r="BL3041" s="1539"/>
      <c r="BM3041" s="1539"/>
      <c r="BN3041" s="1539"/>
      <c r="BO3041" s="1539"/>
      <c r="BP3041" s="1539"/>
      <c r="BQ3041" s="1539"/>
      <c r="BR3041" s="1539"/>
      <c r="BS3041" s="1539"/>
      <c r="BT3041" s="1539"/>
      <c r="BU3041" s="1539"/>
      <c r="BV3041" s="1539"/>
      <c r="BW3041" s="1539"/>
      <c r="BX3041" s="1539"/>
      <c r="BY3041" s="1539"/>
      <c r="BZ3041" s="1539"/>
      <c r="CA3041" s="1539"/>
      <c r="CB3041" s="1539"/>
      <c r="CC3041" s="1539"/>
      <c r="CD3041" s="1539"/>
      <c r="CE3041" s="1539"/>
      <c r="CF3041" s="1539"/>
      <c r="CG3041" s="1539"/>
      <c r="CH3041" s="1539"/>
      <c r="CI3041" s="1539"/>
      <c r="CJ3041" s="1539"/>
      <c r="CK3041" s="1539"/>
      <c r="CL3041" s="1539"/>
      <c r="CM3041" s="1539"/>
      <c r="CN3041" s="1539"/>
      <c r="CO3041" s="1539"/>
    </row>
    <row r="3042" spans="1:93" s="1552" customFormat="1" ht="15.5">
      <c r="A3042" s="1598"/>
      <c r="B3042" s="1599" t="s">
        <v>1760</v>
      </c>
      <c r="C3042" s="1643" t="e">
        <f>+SUMIF(#REF!,Final!A3042,#REF!)</f>
        <v>#REF!</v>
      </c>
      <c r="D3042" s="1597" t="e">
        <f>+SUMIF(#REF!,Final!A3042,#REF!)</f>
        <v>#REF!</v>
      </c>
      <c r="E3042" s="1643" t="e">
        <f>SUMIF(#REF!,Final!A3042,#REF!)</f>
        <v>#REF!</v>
      </c>
      <c r="F3042" s="1644" t="e">
        <f>SUMIF(#REF!,Final!A3042,#REF!)</f>
        <v>#REF!</v>
      </c>
      <c r="G3042" s="1597" t="e">
        <f t="shared" si="336"/>
        <v>#REF!</v>
      </c>
      <c r="H3042" s="1644" t="e">
        <f t="shared" si="337"/>
        <v>#REF!</v>
      </c>
      <c r="I3042" s="1597" t="e">
        <f t="shared" si="338"/>
        <v>#REF!</v>
      </c>
      <c r="J3042" s="1644" t="e">
        <f t="shared" si="339"/>
        <v>#REF!</v>
      </c>
      <c r="K3042" s="1539"/>
      <c r="L3042" s="1539"/>
      <c r="M3042" s="1545"/>
      <c r="N3042" s="1545"/>
      <c r="O3042" s="1539"/>
      <c r="P3042" s="1539"/>
      <c r="Q3042" s="1539"/>
      <c r="R3042" s="1539"/>
      <c r="S3042" s="1539"/>
      <c r="T3042" s="1539"/>
      <c r="U3042" s="1539"/>
      <c r="V3042" s="1539"/>
      <c r="W3042" s="1539"/>
      <c r="X3042" s="1539"/>
      <c r="Y3042" s="1539"/>
      <c r="Z3042" s="1539"/>
      <c r="AA3042" s="1539"/>
      <c r="AB3042" s="1539"/>
      <c r="AC3042" s="1539"/>
      <c r="AD3042" s="1539"/>
      <c r="AE3042" s="1539"/>
      <c r="AF3042" s="1539"/>
      <c r="AG3042" s="1539"/>
      <c r="AH3042" s="1539"/>
      <c r="AI3042" s="1539"/>
      <c r="AJ3042" s="1539"/>
      <c r="AK3042" s="1539"/>
      <c r="AL3042" s="1539"/>
      <c r="AM3042" s="1539"/>
      <c r="AN3042" s="1539"/>
      <c r="AO3042" s="1539"/>
      <c r="AP3042" s="1539"/>
      <c r="AQ3042" s="1539"/>
      <c r="AR3042" s="1539"/>
      <c r="AS3042" s="1539"/>
      <c r="AT3042" s="1539"/>
      <c r="AU3042" s="1539"/>
      <c r="AV3042" s="1539"/>
      <c r="AW3042" s="1539"/>
      <c r="AX3042" s="1539"/>
      <c r="AY3042" s="1539"/>
      <c r="AZ3042" s="1539"/>
      <c r="BA3042" s="1539"/>
      <c r="BB3042" s="1539"/>
      <c r="BC3042" s="1539"/>
      <c r="BD3042" s="1539"/>
      <c r="BE3042" s="1539"/>
      <c r="BF3042" s="1539"/>
      <c r="BG3042" s="1539"/>
      <c r="BH3042" s="1539"/>
      <c r="BI3042" s="1539"/>
      <c r="BJ3042" s="1539"/>
      <c r="BK3042" s="1539"/>
      <c r="BL3042" s="1539"/>
      <c r="BM3042" s="1539"/>
      <c r="BN3042" s="1539"/>
      <c r="BO3042" s="1539"/>
      <c r="BP3042" s="1539"/>
      <c r="BQ3042" s="1539"/>
      <c r="BR3042" s="1539"/>
      <c r="BS3042" s="1539"/>
      <c r="BT3042" s="1539"/>
      <c r="BU3042" s="1539"/>
      <c r="BV3042" s="1539"/>
      <c r="BW3042" s="1539"/>
      <c r="BX3042" s="1539"/>
      <c r="BY3042" s="1539"/>
      <c r="BZ3042" s="1539"/>
      <c r="CA3042" s="1539"/>
      <c r="CB3042" s="1539"/>
      <c r="CC3042" s="1539"/>
      <c r="CD3042" s="1539"/>
      <c r="CE3042" s="1539"/>
      <c r="CF3042" s="1539"/>
      <c r="CG3042" s="1539"/>
      <c r="CH3042" s="1539"/>
      <c r="CI3042" s="1539"/>
      <c r="CJ3042" s="1539"/>
      <c r="CK3042" s="1539"/>
      <c r="CL3042" s="1539"/>
      <c r="CM3042" s="1539"/>
      <c r="CN3042" s="1539"/>
      <c r="CO3042" s="1539"/>
    </row>
    <row r="3043" spans="1:93" s="1542" customFormat="1" ht="15.5">
      <c r="A3043" s="1598" t="s">
        <v>1404</v>
      </c>
      <c r="B3043" s="1599" t="s">
        <v>3114</v>
      </c>
      <c r="C3043" s="1643" t="e">
        <f>+SUMIF(#REF!,Final!A3043,#REF!)</f>
        <v>#REF!</v>
      </c>
      <c r="D3043" s="1597" t="e">
        <f>+SUMIF(#REF!,Final!A3043,#REF!)</f>
        <v>#REF!</v>
      </c>
      <c r="E3043" s="1643" t="e">
        <f>SUMIF(#REF!,Final!A3043,#REF!)</f>
        <v>#REF!</v>
      </c>
      <c r="F3043" s="1644" t="e">
        <f>SUMIF(#REF!,Final!A3043,#REF!)</f>
        <v>#REF!</v>
      </c>
      <c r="G3043" s="1597" t="e">
        <f t="shared" si="336"/>
        <v>#REF!</v>
      </c>
      <c r="H3043" s="1644" t="e">
        <f t="shared" si="337"/>
        <v>#REF!</v>
      </c>
      <c r="I3043" s="1597" t="e">
        <f t="shared" si="338"/>
        <v>#REF!</v>
      </c>
      <c r="J3043" s="1644" t="e">
        <f t="shared" si="339"/>
        <v>#REF!</v>
      </c>
      <c r="K3043" s="1539"/>
      <c r="L3043" s="1539"/>
      <c r="M3043" s="1545"/>
      <c r="N3043" s="1545"/>
      <c r="O3043" s="1539"/>
      <c r="P3043" s="1539"/>
      <c r="Q3043" s="1539"/>
      <c r="R3043" s="1539"/>
      <c r="S3043" s="1539"/>
      <c r="T3043" s="1539"/>
      <c r="U3043" s="1539"/>
      <c r="V3043" s="1539"/>
      <c r="W3043" s="1539"/>
      <c r="X3043" s="1539"/>
      <c r="Y3043" s="1539"/>
      <c r="Z3043" s="1539"/>
      <c r="AA3043" s="1539"/>
      <c r="AB3043" s="1539"/>
      <c r="AC3043" s="1539"/>
      <c r="AD3043" s="1539"/>
      <c r="AE3043" s="1539"/>
      <c r="AF3043" s="1539"/>
      <c r="AG3043" s="1539"/>
      <c r="AH3043" s="1539"/>
      <c r="AI3043" s="1539"/>
      <c r="AJ3043" s="1539"/>
      <c r="AK3043" s="1539"/>
      <c r="AL3043" s="1539"/>
      <c r="AM3043" s="1539"/>
      <c r="AN3043" s="1539"/>
      <c r="AO3043" s="1539"/>
      <c r="AP3043" s="1539"/>
      <c r="AQ3043" s="1539"/>
      <c r="AR3043" s="1539"/>
      <c r="AS3043" s="1539"/>
      <c r="AT3043" s="1539"/>
      <c r="AU3043" s="1539"/>
      <c r="AV3043" s="1539"/>
      <c r="AW3043" s="1539"/>
      <c r="AX3043" s="1539"/>
      <c r="AY3043" s="1539"/>
      <c r="AZ3043" s="1539"/>
      <c r="BA3043" s="1539"/>
      <c r="BB3043" s="1539"/>
      <c r="BC3043" s="1539"/>
      <c r="BD3043" s="1539"/>
      <c r="BE3043" s="1539"/>
      <c r="BF3043" s="1539"/>
      <c r="BG3043" s="1539"/>
      <c r="BH3043" s="1539"/>
      <c r="BI3043" s="1539"/>
      <c r="BJ3043" s="1539"/>
      <c r="BK3043" s="1539"/>
      <c r="BL3043" s="1539"/>
      <c r="BM3043" s="1539"/>
      <c r="BN3043" s="1539"/>
      <c r="BO3043" s="1539"/>
      <c r="BP3043" s="1539"/>
      <c r="BQ3043" s="1539"/>
      <c r="BR3043" s="1539"/>
      <c r="BS3043" s="1539"/>
      <c r="BT3043" s="1539"/>
      <c r="BU3043" s="1539"/>
      <c r="BV3043" s="1539"/>
      <c r="BW3043" s="1539"/>
      <c r="BX3043" s="1539"/>
      <c r="BY3043" s="1539"/>
      <c r="BZ3043" s="1539"/>
      <c r="CA3043" s="1539"/>
      <c r="CB3043" s="1539"/>
      <c r="CC3043" s="1539"/>
      <c r="CD3043" s="1539"/>
      <c r="CE3043" s="1539"/>
      <c r="CF3043" s="1539"/>
      <c r="CG3043" s="1539"/>
      <c r="CH3043" s="1539"/>
      <c r="CI3043" s="1539"/>
      <c r="CJ3043" s="1539"/>
      <c r="CK3043" s="1539"/>
      <c r="CL3043" s="1539"/>
      <c r="CM3043" s="1539"/>
      <c r="CN3043" s="1539"/>
      <c r="CO3043" s="1539"/>
    </row>
    <row r="3044" spans="1:93" ht="15.5">
      <c r="A3044" s="1598">
        <v>75.611000000000004</v>
      </c>
      <c r="B3044" s="1599" t="s">
        <v>3115</v>
      </c>
      <c r="C3044" s="1643" t="e">
        <f>+SUMIF(#REF!,Final!A3044,#REF!)</f>
        <v>#REF!</v>
      </c>
      <c r="D3044" s="1597" t="e">
        <f>+SUMIF(#REF!,Final!A3044,#REF!)</f>
        <v>#REF!</v>
      </c>
      <c r="E3044" s="1643" t="e">
        <f>SUMIF(#REF!,Final!A3044,#REF!)</f>
        <v>#REF!</v>
      </c>
      <c r="F3044" s="1644" t="e">
        <f>SUMIF(#REF!,Final!A3044,#REF!)</f>
        <v>#REF!</v>
      </c>
      <c r="G3044" s="1597" t="e">
        <f t="shared" si="336"/>
        <v>#REF!</v>
      </c>
      <c r="H3044" s="1644" t="e">
        <f t="shared" si="337"/>
        <v>#REF!</v>
      </c>
      <c r="I3044" s="1597" t="e">
        <f t="shared" si="338"/>
        <v>#REF!</v>
      </c>
      <c r="J3044" s="1644" t="e">
        <f t="shared" si="339"/>
        <v>#REF!</v>
      </c>
      <c r="M3044" s="1545"/>
      <c r="N3044" s="1545"/>
    </row>
    <row r="3045" spans="1:93" ht="15.5">
      <c r="A3045" s="1598">
        <v>75.611999999999995</v>
      </c>
      <c r="B3045" s="1599" t="s">
        <v>573</v>
      </c>
      <c r="C3045" s="1643" t="e">
        <f>+SUMIF(#REF!,Final!A3045,#REF!)</f>
        <v>#REF!</v>
      </c>
      <c r="D3045" s="1597" t="e">
        <f>+SUMIF(#REF!,Final!A3045,#REF!)</f>
        <v>#REF!</v>
      </c>
      <c r="E3045" s="1643" t="e">
        <f>SUMIF(#REF!,Final!A3045,#REF!)</f>
        <v>#REF!</v>
      </c>
      <c r="F3045" s="1644" t="e">
        <f>SUMIF(#REF!,Final!A3045,#REF!)</f>
        <v>#REF!</v>
      </c>
      <c r="G3045" s="1597" t="e">
        <f t="shared" si="336"/>
        <v>#REF!</v>
      </c>
      <c r="H3045" s="1644" t="e">
        <f t="shared" si="337"/>
        <v>#REF!</v>
      </c>
      <c r="I3045" s="1597" t="e">
        <f t="shared" si="338"/>
        <v>#REF!</v>
      </c>
      <c r="J3045" s="1644" t="e">
        <f t="shared" si="339"/>
        <v>#REF!</v>
      </c>
      <c r="M3045" s="1545"/>
      <c r="N3045" s="1545"/>
    </row>
    <row r="3046" spans="1:93" ht="15.5">
      <c r="A3046" s="1598">
        <v>75.614000000000004</v>
      </c>
      <c r="B3046" s="1599" t="s">
        <v>3116</v>
      </c>
      <c r="C3046" s="1643" t="e">
        <f>+SUMIF(#REF!,Final!A3046,#REF!)</f>
        <v>#REF!</v>
      </c>
      <c r="D3046" s="1597" t="e">
        <f>+SUMIF(#REF!,Final!A3046,#REF!)</f>
        <v>#REF!</v>
      </c>
      <c r="E3046" s="1643" t="e">
        <f>SUMIF(#REF!,Final!A3046,#REF!)</f>
        <v>#REF!</v>
      </c>
      <c r="F3046" s="1644" t="e">
        <f>SUMIF(#REF!,Final!A3046,#REF!)</f>
        <v>#REF!</v>
      </c>
      <c r="G3046" s="1597" t="e">
        <f t="shared" si="336"/>
        <v>#REF!</v>
      </c>
      <c r="H3046" s="1644" t="e">
        <f t="shared" si="337"/>
        <v>#REF!</v>
      </c>
      <c r="I3046" s="1597" t="e">
        <f t="shared" si="338"/>
        <v>#REF!</v>
      </c>
      <c r="J3046" s="1644" t="e">
        <f t="shared" si="339"/>
        <v>#REF!</v>
      </c>
      <c r="M3046" s="1545"/>
      <c r="N3046" s="1545"/>
    </row>
    <row r="3047" spans="1:93" ht="15.5">
      <c r="A3047" s="1598">
        <v>75.614999999999995</v>
      </c>
      <c r="B3047" s="1599" t="s">
        <v>579</v>
      </c>
      <c r="C3047" s="1643" t="e">
        <f>+SUMIF(#REF!,Final!A3047,#REF!)</f>
        <v>#REF!</v>
      </c>
      <c r="D3047" s="1597" t="e">
        <f>+SUMIF(#REF!,Final!A3047,#REF!)</f>
        <v>#REF!</v>
      </c>
      <c r="E3047" s="1643" t="e">
        <f>SUMIF(#REF!,Final!A3047,#REF!)</f>
        <v>#REF!</v>
      </c>
      <c r="F3047" s="1644" t="e">
        <f>SUMIF(#REF!,Final!A3047,#REF!)</f>
        <v>#REF!</v>
      </c>
      <c r="G3047" s="1597" t="e">
        <f t="shared" si="336"/>
        <v>#REF!</v>
      </c>
      <c r="H3047" s="1644" t="e">
        <f t="shared" si="337"/>
        <v>#REF!</v>
      </c>
      <c r="I3047" s="1597" t="e">
        <f t="shared" si="338"/>
        <v>#REF!</v>
      </c>
      <c r="J3047" s="1644" t="e">
        <f t="shared" si="339"/>
        <v>#REF!</v>
      </c>
      <c r="M3047" s="1545"/>
      <c r="N3047" s="1545"/>
    </row>
    <row r="3048" spans="1:93" ht="15.5">
      <c r="A3048" s="1598">
        <v>75.617000000000004</v>
      </c>
      <c r="B3048" s="1599" t="s">
        <v>3117</v>
      </c>
      <c r="C3048" s="1643" t="e">
        <f>+SUMIF(#REF!,Final!A3048,#REF!)</f>
        <v>#REF!</v>
      </c>
      <c r="D3048" s="1597" t="e">
        <f>+SUMIF(#REF!,Final!A3048,#REF!)</f>
        <v>#REF!</v>
      </c>
      <c r="E3048" s="1643" t="e">
        <f>SUMIF(#REF!,Final!A3048,#REF!)</f>
        <v>#REF!</v>
      </c>
      <c r="F3048" s="1644" t="e">
        <f>SUMIF(#REF!,Final!A3048,#REF!)</f>
        <v>#REF!</v>
      </c>
      <c r="G3048" s="1597" t="e">
        <f t="shared" si="336"/>
        <v>#REF!</v>
      </c>
      <c r="H3048" s="1644" t="e">
        <f t="shared" si="337"/>
        <v>#REF!</v>
      </c>
      <c r="I3048" s="1597" t="e">
        <f t="shared" si="338"/>
        <v>#REF!</v>
      </c>
      <c r="J3048" s="1644" t="e">
        <f t="shared" si="339"/>
        <v>#REF!</v>
      </c>
      <c r="M3048" s="1545"/>
      <c r="N3048" s="1545"/>
    </row>
    <row r="3049" spans="1:93" ht="15.5">
      <c r="A3049" s="1598">
        <v>75.617999999999995</v>
      </c>
      <c r="B3049" s="1599" t="s">
        <v>580</v>
      </c>
      <c r="C3049" s="1643" t="e">
        <f>+SUMIF(#REF!,Final!A3049,#REF!)</f>
        <v>#REF!</v>
      </c>
      <c r="D3049" s="1597" t="e">
        <f>+SUMIF(#REF!,Final!A3049,#REF!)</f>
        <v>#REF!</v>
      </c>
      <c r="E3049" s="1643" t="e">
        <f>SUMIF(#REF!,Final!A3049,#REF!)</f>
        <v>#REF!</v>
      </c>
      <c r="F3049" s="1644" t="e">
        <f>SUMIF(#REF!,Final!A3049,#REF!)</f>
        <v>#REF!</v>
      </c>
      <c r="G3049" s="1597" t="e">
        <f t="shared" si="336"/>
        <v>#REF!</v>
      </c>
      <c r="H3049" s="1644" t="e">
        <f t="shared" si="337"/>
        <v>#REF!</v>
      </c>
      <c r="I3049" s="1597" t="e">
        <f t="shared" si="338"/>
        <v>#REF!</v>
      </c>
      <c r="J3049" s="1644" t="e">
        <f t="shared" si="339"/>
        <v>#REF!</v>
      </c>
      <c r="M3049" s="1545"/>
      <c r="N3049" s="1545"/>
    </row>
    <row r="3050" spans="1:93" ht="15.5">
      <c r="A3050" s="1598">
        <v>75.619</v>
      </c>
      <c r="B3050" s="1599" t="s">
        <v>3118</v>
      </c>
      <c r="C3050" s="1643" t="e">
        <f>+SUMIF(#REF!,Final!A3050,#REF!)</f>
        <v>#REF!</v>
      </c>
      <c r="D3050" s="1597" t="e">
        <f>+SUMIF(#REF!,Final!A3050,#REF!)</f>
        <v>#REF!</v>
      </c>
      <c r="E3050" s="1643" t="e">
        <f>SUMIF(#REF!,Final!A3050,#REF!)</f>
        <v>#REF!</v>
      </c>
      <c r="F3050" s="1644" t="e">
        <f>SUMIF(#REF!,Final!A3050,#REF!)</f>
        <v>#REF!</v>
      </c>
      <c r="G3050" s="1597" t="e">
        <f t="shared" si="336"/>
        <v>#REF!</v>
      </c>
      <c r="H3050" s="1644" t="e">
        <f t="shared" si="337"/>
        <v>#REF!</v>
      </c>
      <c r="I3050" s="1597" t="e">
        <f t="shared" si="338"/>
        <v>#REF!</v>
      </c>
      <c r="J3050" s="1644" t="e">
        <f t="shared" si="339"/>
        <v>#REF!</v>
      </c>
      <c r="M3050" s="1545"/>
      <c r="N3050" s="1545"/>
    </row>
    <row r="3051" spans="1:93" ht="15.5">
      <c r="A3051" s="1598">
        <v>75.620999999999995</v>
      </c>
      <c r="B3051" s="1599" t="s">
        <v>3119</v>
      </c>
      <c r="C3051" s="1643" t="e">
        <f>+SUMIF(#REF!,Final!A3051,#REF!)</f>
        <v>#REF!</v>
      </c>
      <c r="D3051" s="1597" t="e">
        <f>+SUMIF(#REF!,Final!A3051,#REF!)</f>
        <v>#REF!</v>
      </c>
      <c r="E3051" s="1643" t="e">
        <f>SUMIF(#REF!,Final!A3051,#REF!)</f>
        <v>#REF!</v>
      </c>
      <c r="F3051" s="1644" t="e">
        <f>SUMIF(#REF!,Final!A3051,#REF!)</f>
        <v>#REF!</v>
      </c>
      <c r="G3051" s="1597" t="e">
        <f t="shared" si="336"/>
        <v>#REF!</v>
      </c>
      <c r="H3051" s="1644" t="e">
        <f t="shared" si="337"/>
        <v>#REF!</v>
      </c>
      <c r="I3051" s="1597" t="e">
        <f t="shared" si="338"/>
        <v>#REF!</v>
      </c>
      <c r="J3051" s="1644" t="e">
        <f t="shared" si="339"/>
        <v>#REF!</v>
      </c>
      <c r="M3051" s="1545"/>
      <c r="N3051" s="1545"/>
    </row>
    <row r="3052" spans="1:93" s="1542" customFormat="1" ht="15.5">
      <c r="A3052" s="1598">
        <v>75.63</v>
      </c>
      <c r="B3052" s="1599" t="s">
        <v>3120</v>
      </c>
      <c r="C3052" s="1643" t="e">
        <f>+SUMIF(#REF!,Final!A3052,#REF!)</f>
        <v>#REF!</v>
      </c>
      <c r="D3052" s="1597" t="e">
        <f>+SUMIF(#REF!,Final!A3052,#REF!)</f>
        <v>#REF!</v>
      </c>
      <c r="E3052" s="1643" t="e">
        <f>SUMIF(#REF!,Final!A3052,#REF!)</f>
        <v>#REF!</v>
      </c>
      <c r="F3052" s="1644" t="e">
        <f>SUMIF(#REF!,Final!A3052,#REF!)</f>
        <v>#REF!</v>
      </c>
      <c r="G3052" s="1597" t="e">
        <f t="shared" si="336"/>
        <v>#REF!</v>
      </c>
      <c r="H3052" s="1644" t="e">
        <f t="shared" si="337"/>
        <v>#REF!</v>
      </c>
      <c r="I3052" s="1597" t="e">
        <f t="shared" si="338"/>
        <v>#REF!</v>
      </c>
      <c r="J3052" s="1644" t="e">
        <f t="shared" si="339"/>
        <v>#REF!</v>
      </c>
      <c r="K3052" s="1539"/>
      <c r="L3052" s="1539"/>
      <c r="M3052" s="1545"/>
      <c r="N3052" s="1545"/>
      <c r="O3052" s="1539"/>
      <c r="P3052" s="1539"/>
      <c r="Q3052" s="1539"/>
      <c r="R3052" s="1539"/>
      <c r="S3052" s="1539"/>
      <c r="T3052" s="1539"/>
      <c r="U3052" s="1539"/>
      <c r="V3052" s="1539"/>
      <c r="W3052" s="1539"/>
      <c r="X3052" s="1539"/>
      <c r="Y3052" s="1539"/>
      <c r="Z3052" s="1539"/>
      <c r="AA3052" s="1539"/>
      <c r="AB3052" s="1539"/>
      <c r="AC3052" s="1539"/>
      <c r="AD3052" s="1539"/>
      <c r="AE3052" s="1539"/>
      <c r="AF3052" s="1539"/>
      <c r="AG3052" s="1539"/>
      <c r="AH3052" s="1539"/>
      <c r="AI3052" s="1539"/>
      <c r="AJ3052" s="1539"/>
      <c r="AK3052" s="1539"/>
      <c r="AL3052" s="1539"/>
      <c r="AM3052" s="1539"/>
      <c r="AN3052" s="1539"/>
      <c r="AO3052" s="1539"/>
      <c r="AP3052" s="1539"/>
      <c r="AQ3052" s="1539"/>
      <c r="AR3052" s="1539"/>
      <c r="AS3052" s="1539"/>
      <c r="AT3052" s="1539"/>
      <c r="AU3052" s="1539"/>
      <c r="AV3052" s="1539"/>
      <c r="AW3052" s="1539"/>
      <c r="AX3052" s="1539"/>
      <c r="AY3052" s="1539"/>
      <c r="AZ3052" s="1539"/>
      <c r="BA3052" s="1539"/>
      <c r="BB3052" s="1539"/>
      <c r="BC3052" s="1539"/>
      <c r="BD3052" s="1539"/>
      <c r="BE3052" s="1539"/>
      <c r="BF3052" s="1539"/>
      <c r="BG3052" s="1539"/>
      <c r="BH3052" s="1539"/>
      <c r="BI3052" s="1539"/>
      <c r="BJ3052" s="1539"/>
      <c r="BK3052" s="1539"/>
      <c r="BL3052" s="1539"/>
      <c r="BM3052" s="1539"/>
      <c r="BN3052" s="1539"/>
      <c r="BO3052" s="1539"/>
      <c r="BP3052" s="1539"/>
      <c r="BQ3052" s="1539"/>
      <c r="BR3052" s="1539"/>
      <c r="BS3052" s="1539"/>
      <c r="BT3052" s="1539"/>
      <c r="BU3052" s="1539"/>
      <c r="BV3052" s="1539"/>
      <c r="BW3052" s="1539"/>
      <c r="BX3052" s="1539"/>
      <c r="BY3052" s="1539"/>
      <c r="BZ3052" s="1539"/>
      <c r="CA3052" s="1539"/>
      <c r="CB3052" s="1539"/>
      <c r="CC3052" s="1539"/>
      <c r="CD3052" s="1539"/>
      <c r="CE3052" s="1539"/>
      <c r="CF3052" s="1539"/>
      <c r="CG3052" s="1539"/>
      <c r="CH3052" s="1539"/>
      <c r="CI3052" s="1539"/>
      <c r="CJ3052" s="1539"/>
      <c r="CK3052" s="1539"/>
      <c r="CL3052" s="1539"/>
      <c r="CM3052" s="1539"/>
      <c r="CN3052" s="1539"/>
      <c r="CO3052" s="1539"/>
    </row>
    <row r="3053" spans="1:93" s="1542" customFormat="1" ht="15.5">
      <c r="A3053" s="1598">
        <v>75.64</v>
      </c>
      <c r="B3053" s="1599" t="s">
        <v>3532</v>
      </c>
      <c r="C3053" s="1643" t="e">
        <f>+SUMIF(#REF!,Final!A3053,#REF!)</f>
        <v>#REF!</v>
      </c>
      <c r="D3053" s="1597" t="e">
        <f>+SUMIF(#REF!,Final!A3053,#REF!)</f>
        <v>#REF!</v>
      </c>
      <c r="E3053" s="1643" t="e">
        <f>SUMIF(#REF!,Final!A3053,#REF!)</f>
        <v>#REF!</v>
      </c>
      <c r="F3053" s="1644" t="e">
        <f>SUMIF(#REF!,Final!A3053,#REF!)</f>
        <v>#REF!</v>
      </c>
      <c r="G3053" s="1597" t="e">
        <f t="shared" si="336"/>
        <v>#REF!</v>
      </c>
      <c r="H3053" s="1644" t="e">
        <f t="shared" si="337"/>
        <v>#REF!</v>
      </c>
      <c r="I3053" s="1597" t="e">
        <f t="shared" si="338"/>
        <v>#REF!</v>
      </c>
      <c r="J3053" s="1644" t="e">
        <f t="shared" si="339"/>
        <v>#REF!</v>
      </c>
      <c r="K3053" s="1539"/>
      <c r="L3053" s="1539"/>
      <c r="M3053" s="1545"/>
      <c r="N3053" s="1545"/>
      <c r="O3053" s="1539"/>
      <c r="P3053" s="1539"/>
      <c r="Q3053" s="1539"/>
      <c r="R3053" s="1539"/>
      <c r="S3053" s="1539"/>
      <c r="T3053" s="1539"/>
      <c r="U3053" s="1539"/>
      <c r="V3053" s="1539"/>
      <c r="W3053" s="1539"/>
      <c r="X3053" s="1539"/>
      <c r="Y3053" s="1539"/>
      <c r="Z3053" s="1539"/>
      <c r="AA3053" s="1539"/>
      <c r="AB3053" s="1539"/>
      <c r="AC3053" s="1539"/>
      <c r="AD3053" s="1539"/>
      <c r="AE3053" s="1539"/>
      <c r="AF3053" s="1539"/>
      <c r="AG3053" s="1539"/>
      <c r="AH3053" s="1539"/>
      <c r="AI3053" s="1539"/>
      <c r="AJ3053" s="1539"/>
      <c r="AK3053" s="1539"/>
      <c r="AL3053" s="1539"/>
      <c r="AM3053" s="1539"/>
      <c r="AN3053" s="1539"/>
      <c r="AO3053" s="1539"/>
      <c r="AP3053" s="1539"/>
      <c r="AQ3053" s="1539"/>
      <c r="AR3053" s="1539"/>
      <c r="AS3053" s="1539"/>
      <c r="AT3053" s="1539"/>
      <c r="AU3053" s="1539"/>
      <c r="AV3053" s="1539"/>
      <c r="AW3053" s="1539"/>
      <c r="AX3053" s="1539"/>
      <c r="AY3053" s="1539"/>
      <c r="AZ3053" s="1539"/>
      <c r="BA3053" s="1539"/>
      <c r="BB3053" s="1539"/>
      <c r="BC3053" s="1539"/>
      <c r="BD3053" s="1539"/>
      <c r="BE3053" s="1539"/>
      <c r="BF3053" s="1539"/>
      <c r="BG3053" s="1539"/>
      <c r="BH3053" s="1539"/>
      <c r="BI3053" s="1539"/>
      <c r="BJ3053" s="1539"/>
      <c r="BK3053" s="1539"/>
      <c r="BL3053" s="1539"/>
      <c r="BM3053" s="1539"/>
      <c r="BN3053" s="1539"/>
      <c r="BO3053" s="1539"/>
      <c r="BP3053" s="1539"/>
      <c r="BQ3053" s="1539"/>
      <c r="BR3053" s="1539"/>
      <c r="BS3053" s="1539"/>
      <c r="BT3053" s="1539"/>
      <c r="BU3053" s="1539"/>
      <c r="BV3053" s="1539"/>
      <c r="BW3053" s="1539"/>
      <c r="BX3053" s="1539"/>
      <c r="BY3053" s="1539"/>
      <c r="BZ3053" s="1539"/>
      <c r="CA3053" s="1539"/>
      <c r="CB3053" s="1539"/>
      <c r="CC3053" s="1539"/>
      <c r="CD3053" s="1539"/>
      <c r="CE3053" s="1539"/>
      <c r="CF3053" s="1539"/>
      <c r="CG3053" s="1539"/>
      <c r="CH3053" s="1539"/>
      <c r="CI3053" s="1539"/>
      <c r="CJ3053" s="1539"/>
      <c r="CK3053" s="1539"/>
      <c r="CL3053" s="1539"/>
      <c r="CM3053" s="1539"/>
      <c r="CN3053" s="1539"/>
      <c r="CO3053" s="1539"/>
    </row>
    <row r="3054" spans="1:93" ht="15.5">
      <c r="A3054" s="1598">
        <v>75.69</v>
      </c>
      <c r="B3054" s="1599" t="s">
        <v>3114</v>
      </c>
      <c r="C3054" s="1643" t="e">
        <f>+SUMIF(#REF!,Final!A3054,#REF!)</f>
        <v>#REF!</v>
      </c>
      <c r="D3054" s="1597" t="e">
        <f>+SUMIF(#REF!,Final!A3054,#REF!)</f>
        <v>#REF!</v>
      </c>
      <c r="E3054" s="1643" t="e">
        <f>SUMIF(#REF!,Final!A3054,#REF!)</f>
        <v>#REF!</v>
      </c>
      <c r="F3054" s="1644" t="e">
        <f>SUMIF(#REF!,Final!A3054,#REF!)</f>
        <v>#REF!</v>
      </c>
      <c r="G3054" s="1597" t="e">
        <f t="shared" si="336"/>
        <v>#REF!</v>
      </c>
      <c r="H3054" s="1644" t="e">
        <f t="shared" si="337"/>
        <v>#REF!</v>
      </c>
      <c r="I3054" s="1597" t="e">
        <f t="shared" si="338"/>
        <v>#REF!</v>
      </c>
      <c r="J3054" s="1644" t="e">
        <f t="shared" si="339"/>
        <v>#REF!</v>
      </c>
      <c r="M3054" s="1545"/>
      <c r="N3054" s="1545"/>
    </row>
    <row r="3055" spans="1:93" s="1552" customFormat="1" ht="15.5">
      <c r="A3055" s="1598"/>
      <c r="B3055" s="1599" t="s">
        <v>1747</v>
      </c>
      <c r="C3055" s="1643" t="e">
        <f>+SUMIF(#REF!,Final!A3055,#REF!)</f>
        <v>#REF!</v>
      </c>
      <c r="D3055" s="1597" t="e">
        <f>+SUMIF(#REF!,Final!A3055,#REF!)</f>
        <v>#REF!</v>
      </c>
      <c r="E3055" s="1643" t="e">
        <f>SUMIF(#REF!,Final!A3055,#REF!)</f>
        <v>#REF!</v>
      </c>
      <c r="F3055" s="1644" t="e">
        <f>SUMIF(#REF!,Final!A3055,#REF!)</f>
        <v>#REF!</v>
      </c>
      <c r="G3055" s="1597" t="e">
        <f t="shared" si="336"/>
        <v>#REF!</v>
      </c>
      <c r="H3055" s="1644" t="e">
        <f t="shared" si="337"/>
        <v>#REF!</v>
      </c>
      <c r="I3055" s="1597" t="e">
        <f t="shared" si="338"/>
        <v>#REF!</v>
      </c>
      <c r="J3055" s="1644" t="e">
        <f t="shared" si="339"/>
        <v>#REF!</v>
      </c>
      <c r="K3055" s="1539"/>
      <c r="L3055" s="1539"/>
      <c r="M3055" s="1545"/>
      <c r="N3055" s="1545"/>
      <c r="O3055" s="1539"/>
      <c r="P3055" s="1539"/>
      <c r="Q3055" s="1539"/>
      <c r="R3055" s="1539"/>
      <c r="S3055" s="1539"/>
      <c r="T3055" s="1539"/>
      <c r="U3055" s="1539"/>
      <c r="V3055" s="1539"/>
      <c r="W3055" s="1539"/>
      <c r="X3055" s="1539"/>
      <c r="Y3055" s="1539"/>
      <c r="Z3055" s="1539"/>
      <c r="AA3055" s="1539"/>
      <c r="AB3055" s="1539"/>
      <c r="AC3055" s="1539"/>
      <c r="AD3055" s="1539"/>
      <c r="AE3055" s="1539"/>
      <c r="AF3055" s="1539"/>
      <c r="AG3055" s="1539"/>
      <c r="AH3055" s="1539"/>
      <c r="AI3055" s="1539"/>
      <c r="AJ3055" s="1539"/>
      <c r="AK3055" s="1539"/>
      <c r="AL3055" s="1539"/>
      <c r="AM3055" s="1539"/>
      <c r="AN3055" s="1539"/>
      <c r="AO3055" s="1539"/>
      <c r="AP3055" s="1539"/>
      <c r="AQ3055" s="1539"/>
      <c r="AR3055" s="1539"/>
      <c r="AS3055" s="1539"/>
      <c r="AT3055" s="1539"/>
      <c r="AU3055" s="1539"/>
      <c r="AV3055" s="1539"/>
      <c r="AW3055" s="1539"/>
      <c r="AX3055" s="1539"/>
      <c r="AY3055" s="1539"/>
      <c r="AZ3055" s="1539"/>
      <c r="BA3055" s="1539"/>
      <c r="BB3055" s="1539"/>
      <c r="BC3055" s="1539"/>
      <c r="BD3055" s="1539"/>
      <c r="BE3055" s="1539"/>
      <c r="BF3055" s="1539"/>
      <c r="BG3055" s="1539"/>
      <c r="BH3055" s="1539"/>
      <c r="BI3055" s="1539"/>
      <c r="BJ3055" s="1539"/>
      <c r="BK3055" s="1539"/>
      <c r="BL3055" s="1539"/>
      <c r="BM3055" s="1539"/>
      <c r="BN3055" s="1539"/>
      <c r="BO3055" s="1539"/>
      <c r="BP3055" s="1539"/>
      <c r="BQ3055" s="1539"/>
      <c r="BR3055" s="1539"/>
      <c r="BS3055" s="1539"/>
      <c r="BT3055" s="1539"/>
      <c r="BU3055" s="1539"/>
      <c r="BV3055" s="1539"/>
      <c r="BW3055" s="1539"/>
      <c r="BX3055" s="1539"/>
      <c r="BY3055" s="1539"/>
      <c r="BZ3055" s="1539"/>
      <c r="CA3055" s="1539"/>
      <c r="CB3055" s="1539"/>
      <c r="CC3055" s="1539"/>
      <c r="CD3055" s="1539"/>
      <c r="CE3055" s="1539"/>
      <c r="CF3055" s="1539"/>
      <c r="CG3055" s="1539"/>
      <c r="CH3055" s="1539"/>
      <c r="CI3055" s="1539"/>
      <c r="CJ3055" s="1539"/>
      <c r="CK3055" s="1539"/>
      <c r="CL3055" s="1539"/>
      <c r="CM3055" s="1539"/>
      <c r="CN3055" s="1539"/>
      <c r="CO3055" s="1539"/>
    </row>
    <row r="3056" spans="1:93" s="1552" customFormat="1" ht="15.5">
      <c r="A3056" s="1598"/>
      <c r="B3056" s="1599" t="s">
        <v>1760</v>
      </c>
      <c r="C3056" s="1643" t="e">
        <f>+SUMIF(#REF!,Final!A3056,#REF!)</f>
        <v>#REF!</v>
      </c>
      <c r="D3056" s="1597" t="e">
        <f>+SUMIF(#REF!,Final!A3056,#REF!)</f>
        <v>#REF!</v>
      </c>
      <c r="E3056" s="1643" t="e">
        <f>SUMIF(#REF!,Final!A3056,#REF!)</f>
        <v>#REF!</v>
      </c>
      <c r="F3056" s="1644" t="e">
        <f>SUMIF(#REF!,Final!A3056,#REF!)</f>
        <v>#REF!</v>
      </c>
      <c r="G3056" s="1597" t="e">
        <f t="shared" si="336"/>
        <v>#REF!</v>
      </c>
      <c r="H3056" s="1644" t="e">
        <f t="shared" si="337"/>
        <v>#REF!</v>
      </c>
      <c r="I3056" s="1597" t="e">
        <f t="shared" si="338"/>
        <v>#REF!</v>
      </c>
      <c r="J3056" s="1644" t="e">
        <f t="shared" si="339"/>
        <v>#REF!</v>
      </c>
      <c r="K3056" s="1539"/>
      <c r="L3056" s="1539"/>
      <c r="M3056" s="1545"/>
      <c r="N3056" s="1545"/>
      <c r="O3056" s="1539"/>
      <c r="P3056" s="1539"/>
      <c r="Q3056" s="1539"/>
      <c r="R3056" s="1539"/>
      <c r="S3056" s="1539"/>
      <c r="T3056" s="1539"/>
      <c r="U3056" s="1539"/>
      <c r="V3056" s="1539"/>
      <c r="W3056" s="1539"/>
      <c r="X3056" s="1539"/>
      <c r="Y3056" s="1539"/>
      <c r="Z3056" s="1539"/>
      <c r="AA3056" s="1539"/>
      <c r="AB3056" s="1539"/>
      <c r="AC3056" s="1539"/>
      <c r="AD3056" s="1539"/>
      <c r="AE3056" s="1539"/>
      <c r="AF3056" s="1539"/>
      <c r="AG3056" s="1539"/>
      <c r="AH3056" s="1539"/>
      <c r="AI3056" s="1539"/>
      <c r="AJ3056" s="1539"/>
      <c r="AK3056" s="1539"/>
      <c r="AL3056" s="1539"/>
      <c r="AM3056" s="1539"/>
      <c r="AN3056" s="1539"/>
      <c r="AO3056" s="1539"/>
      <c r="AP3056" s="1539"/>
      <c r="AQ3056" s="1539"/>
      <c r="AR3056" s="1539"/>
      <c r="AS3056" s="1539"/>
      <c r="AT3056" s="1539"/>
      <c r="AU3056" s="1539"/>
      <c r="AV3056" s="1539"/>
      <c r="AW3056" s="1539"/>
      <c r="AX3056" s="1539"/>
      <c r="AY3056" s="1539"/>
      <c r="AZ3056" s="1539"/>
      <c r="BA3056" s="1539"/>
      <c r="BB3056" s="1539"/>
      <c r="BC3056" s="1539"/>
      <c r="BD3056" s="1539"/>
      <c r="BE3056" s="1539"/>
      <c r="BF3056" s="1539"/>
      <c r="BG3056" s="1539"/>
      <c r="BH3056" s="1539"/>
      <c r="BI3056" s="1539"/>
      <c r="BJ3056" s="1539"/>
      <c r="BK3056" s="1539"/>
      <c r="BL3056" s="1539"/>
      <c r="BM3056" s="1539"/>
      <c r="BN3056" s="1539"/>
      <c r="BO3056" s="1539"/>
      <c r="BP3056" s="1539"/>
      <c r="BQ3056" s="1539"/>
      <c r="BR3056" s="1539"/>
      <c r="BS3056" s="1539"/>
      <c r="BT3056" s="1539"/>
      <c r="BU3056" s="1539"/>
      <c r="BV3056" s="1539"/>
      <c r="BW3056" s="1539"/>
      <c r="BX3056" s="1539"/>
      <c r="BY3056" s="1539"/>
      <c r="BZ3056" s="1539"/>
      <c r="CA3056" s="1539"/>
      <c r="CB3056" s="1539"/>
      <c r="CC3056" s="1539"/>
      <c r="CD3056" s="1539"/>
      <c r="CE3056" s="1539"/>
      <c r="CF3056" s="1539"/>
      <c r="CG3056" s="1539"/>
      <c r="CH3056" s="1539"/>
      <c r="CI3056" s="1539"/>
      <c r="CJ3056" s="1539"/>
      <c r="CK3056" s="1539"/>
      <c r="CL3056" s="1539"/>
      <c r="CM3056" s="1539"/>
      <c r="CN3056" s="1539"/>
      <c r="CO3056" s="1539"/>
    </row>
    <row r="3057" spans="1:93" s="1542" customFormat="1" ht="15.5">
      <c r="A3057" s="1598">
        <v>29</v>
      </c>
      <c r="B3057" s="1599" t="s">
        <v>3129</v>
      </c>
      <c r="C3057" s="1643" t="e">
        <f>+SUMIF(#REF!,Final!A3057,#REF!)</f>
        <v>#REF!</v>
      </c>
      <c r="D3057" s="1597" t="e">
        <f>+SUMIF(#REF!,Final!A3057,#REF!)</f>
        <v>#REF!</v>
      </c>
      <c r="E3057" s="1643" t="e">
        <f>SUMIF(#REF!,Final!A3057,#REF!)</f>
        <v>#REF!</v>
      </c>
      <c r="F3057" s="1644" t="e">
        <f>SUMIF(#REF!,Final!A3057,#REF!)</f>
        <v>#REF!</v>
      </c>
      <c r="G3057" s="1597" t="e">
        <f t="shared" si="336"/>
        <v>#REF!</v>
      </c>
      <c r="H3057" s="1644" t="e">
        <f t="shared" si="337"/>
        <v>#REF!</v>
      </c>
      <c r="I3057" s="1597" t="e">
        <f t="shared" si="338"/>
        <v>#REF!</v>
      </c>
      <c r="J3057" s="1644" t="e">
        <f t="shared" si="339"/>
        <v>#REF!</v>
      </c>
      <c r="K3057" s="1539"/>
      <c r="L3057" s="1539"/>
      <c r="M3057" s="1545"/>
      <c r="N3057" s="1545"/>
      <c r="O3057" s="1539"/>
      <c r="P3057" s="1539"/>
      <c r="Q3057" s="1539"/>
      <c r="R3057" s="1539"/>
      <c r="S3057" s="1539"/>
      <c r="T3057" s="1539"/>
      <c r="U3057" s="1539"/>
      <c r="V3057" s="1539"/>
      <c r="W3057" s="1539"/>
      <c r="X3057" s="1539"/>
      <c r="Y3057" s="1539"/>
      <c r="Z3057" s="1539"/>
      <c r="AA3057" s="1539"/>
      <c r="AB3057" s="1539"/>
      <c r="AC3057" s="1539"/>
      <c r="AD3057" s="1539"/>
      <c r="AE3057" s="1539"/>
      <c r="AF3057" s="1539"/>
      <c r="AG3057" s="1539"/>
      <c r="AH3057" s="1539"/>
      <c r="AI3057" s="1539"/>
      <c r="AJ3057" s="1539"/>
      <c r="AK3057" s="1539"/>
      <c r="AL3057" s="1539"/>
      <c r="AM3057" s="1539"/>
      <c r="AN3057" s="1539"/>
      <c r="AO3057" s="1539"/>
      <c r="AP3057" s="1539"/>
      <c r="AQ3057" s="1539"/>
      <c r="AR3057" s="1539"/>
      <c r="AS3057" s="1539"/>
      <c r="AT3057" s="1539"/>
      <c r="AU3057" s="1539"/>
      <c r="AV3057" s="1539"/>
      <c r="AW3057" s="1539"/>
      <c r="AX3057" s="1539"/>
      <c r="AY3057" s="1539"/>
      <c r="AZ3057" s="1539"/>
      <c r="BA3057" s="1539"/>
      <c r="BB3057" s="1539"/>
      <c r="BC3057" s="1539"/>
      <c r="BD3057" s="1539"/>
      <c r="BE3057" s="1539"/>
      <c r="BF3057" s="1539"/>
      <c r="BG3057" s="1539"/>
      <c r="BH3057" s="1539"/>
      <c r="BI3057" s="1539"/>
      <c r="BJ3057" s="1539"/>
      <c r="BK3057" s="1539"/>
      <c r="BL3057" s="1539"/>
      <c r="BM3057" s="1539"/>
      <c r="BN3057" s="1539"/>
      <c r="BO3057" s="1539"/>
      <c r="BP3057" s="1539"/>
      <c r="BQ3057" s="1539"/>
      <c r="BR3057" s="1539"/>
      <c r="BS3057" s="1539"/>
      <c r="BT3057" s="1539"/>
      <c r="BU3057" s="1539"/>
      <c r="BV3057" s="1539"/>
      <c r="BW3057" s="1539"/>
      <c r="BX3057" s="1539"/>
      <c r="BY3057" s="1539"/>
      <c r="BZ3057" s="1539"/>
      <c r="CA3057" s="1539"/>
      <c r="CB3057" s="1539"/>
      <c r="CC3057" s="1539"/>
      <c r="CD3057" s="1539"/>
      <c r="CE3057" s="1539"/>
      <c r="CF3057" s="1539"/>
      <c r="CG3057" s="1539"/>
      <c r="CH3057" s="1539"/>
      <c r="CI3057" s="1539"/>
      <c r="CJ3057" s="1539"/>
      <c r="CK3057" s="1539"/>
      <c r="CL3057" s="1539"/>
      <c r="CM3057" s="1539"/>
      <c r="CN3057" s="1539"/>
      <c r="CO3057" s="1539"/>
    </row>
    <row r="3058" spans="1:93" ht="15.5">
      <c r="A3058" s="1598">
        <v>75.701999999999998</v>
      </c>
      <c r="B3058" s="1599" t="s">
        <v>3130</v>
      </c>
      <c r="C3058" s="1643" t="e">
        <f>+SUMIF(#REF!,Final!A3058,#REF!)</f>
        <v>#REF!</v>
      </c>
      <c r="D3058" s="1597" t="e">
        <f>+SUMIF(#REF!,Final!A3058,#REF!)</f>
        <v>#REF!</v>
      </c>
      <c r="E3058" s="1643" t="e">
        <f>SUMIF(#REF!,Final!A3058,#REF!)</f>
        <v>#REF!</v>
      </c>
      <c r="F3058" s="1644" t="e">
        <f>SUMIF(#REF!,Final!A3058,#REF!)</f>
        <v>#REF!</v>
      </c>
      <c r="G3058" s="1597" t="e">
        <f t="shared" ref="G3058:G3132" si="344">C3058+E3058</f>
        <v>#REF!</v>
      </c>
      <c r="H3058" s="1644" t="e">
        <f t="shared" ref="H3058:H3132" si="345">D3058+F3058</f>
        <v>#REF!</v>
      </c>
      <c r="I3058" s="1597" t="e">
        <f t="shared" ref="I3058:I3132" si="346">IF(G3058&gt;H3058,G3058-H3058,0)</f>
        <v>#REF!</v>
      </c>
      <c r="J3058" s="1644" t="e">
        <f t="shared" ref="J3058:J3132" si="347">IF(H3058&gt;G3058,H3058-G3058,0)</f>
        <v>#REF!</v>
      </c>
      <c r="M3058" s="1545"/>
      <c r="N3058" s="1545"/>
    </row>
    <row r="3059" spans="1:93" ht="15.5">
      <c r="A3059" s="1598">
        <v>75.703999999999994</v>
      </c>
      <c r="B3059" s="1599" t="s">
        <v>3131</v>
      </c>
      <c r="C3059" s="1643" t="e">
        <f>+SUMIF(#REF!,Final!A3059,#REF!)</f>
        <v>#REF!</v>
      </c>
      <c r="D3059" s="1597" t="e">
        <f>+SUMIF(#REF!,Final!A3059,#REF!)</f>
        <v>#REF!</v>
      </c>
      <c r="E3059" s="1643" t="e">
        <f>SUMIF(#REF!,Final!A3059,#REF!)</f>
        <v>#REF!</v>
      </c>
      <c r="F3059" s="1644" t="e">
        <f>SUMIF(#REF!,Final!A3059,#REF!)</f>
        <v>#REF!</v>
      </c>
      <c r="G3059" s="1597" t="e">
        <f t="shared" si="344"/>
        <v>#REF!</v>
      </c>
      <c r="H3059" s="1644" t="e">
        <f t="shared" si="345"/>
        <v>#REF!</v>
      </c>
      <c r="I3059" s="1597" t="e">
        <f t="shared" si="346"/>
        <v>#REF!</v>
      </c>
      <c r="J3059" s="1644" t="e">
        <f t="shared" si="347"/>
        <v>#REF!</v>
      </c>
      <c r="M3059" s="1545"/>
      <c r="N3059" s="1545"/>
    </row>
    <row r="3060" spans="1:93" s="1542" customFormat="1" ht="15.5">
      <c r="A3060" s="1598">
        <v>75.706999999999994</v>
      </c>
      <c r="B3060" s="1599" t="s">
        <v>3132</v>
      </c>
      <c r="C3060" s="1643" t="e">
        <f>+SUMIF(#REF!,Final!A3060,#REF!)</f>
        <v>#REF!</v>
      </c>
      <c r="D3060" s="1597" t="e">
        <f>+SUMIF(#REF!,Final!A3060,#REF!)</f>
        <v>#REF!</v>
      </c>
      <c r="E3060" s="1643" t="e">
        <f>SUMIF(#REF!,Final!A3060,#REF!)</f>
        <v>#REF!</v>
      </c>
      <c r="F3060" s="1644" t="e">
        <f>SUMIF(#REF!,Final!A3060,#REF!)</f>
        <v>#REF!</v>
      </c>
      <c r="G3060" s="1597" t="e">
        <f t="shared" si="344"/>
        <v>#REF!</v>
      </c>
      <c r="H3060" s="1644" t="e">
        <f t="shared" si="345"/>
        <v>#REF!</v>
      </c>
      <c r="I3060" s="1597" t="e">
        <f t="shared" si="346"/>
        <v>#REF!</v>
      </c>
      <c r="J3060" s="1644" t="e">
        <f t="shared" si="347"/>
        <v>#REF!</v>
      </c>
      <c r="K3060" s="1539"/>
      <c r="L3060" s="1539"/>
      <c r="M3060" s="1545"/>
      <c r="N3060" s="1545"/>
      <c r="O3060" s="1539"/>
      <c r="P3060" s="1539"/>
      <c r="Q3060" s="1539"/>
      <c r="R3060" s="1539"/>
      <c r="S3060" s="1539"/>
      <c r="T3060" s="1539"/>
      <c r="U3060" s="1539"/>
      <c r="V3060" s="1539"/>
      <c r="W3060" s="1539"/>
      <c r="X3060" s="1539"/>
      <c r="Y3060" s="1539"/>
      <c r="Z3060" s="1539"/>
      <c r="AA3060" s="1539"/>
      <c r="AB3060" s="1539"/>
      <c r="AC3060" s="1539"/>
      <c r="AD3060" s="1539"/>
      <c r="AE3060" s="1539"/>
      <c r="AF3060" s="1539"/>
      <c r="AG3060" s="1539"/>
      <c r="AH3060" s="1539"/>
      <c r="AI3060" s="1539"/>
      <c r="AJ3060" s="1539"/>
      <c r="AK3060" s="1539"/>
      <c r="AL3060" s="1539"/>
      <c r="AM3060" s="1539"/>
      <c r="AN3060" s="1539"/>
      <c r="AO3060" s="1539"/>
      <c r="AP3060" s="1539"/>
      <c r="AQ3060" s="1539"/>
      <c r="AR3060" s="1539"/>
      <c r="AS3060" s="1539"/>
      <c r="AT3060" s="1539"/>
      <c r="AU3060" s="1539"/>
      <c r="AV3060" s="1539"/>
      <c r="AW3060" s="1539"/>
      <c r="AX3060" s="1539"/>
      <c r="AY3060" s="1539"/>
      <c r="AZ3060" s="1539"/>
      <c r="BA3060" s="1539"/>
      <c r="BB3060" s="1539"/>
      <c r="BC3060" s="1539"/>
      <c r="BD3060" s="1539"/>
      <c r="BE3060" s="1539"/>
      <c r="BF3060" s="1539"/>
      <c r="BG3060" s="1539"/>
      <c r="BH3060" s="1539"/>
      <c r="BI3060" s="1539"/>
      <c r="BJ3060" s="1539"/>
      <c r="BK3060" s="1539"/>
      <c r="BL3060" s="1539"/>
      <c r="BM3060" s="1539"/>
      <c r="BN3060" s="1539"/>
      <c r="BO3060" s="1539"/>
      <c r="BP3060" s="1539"/>
      <c r="BQ3060" s="1539"/>
      <c r="BR3060" s="1539"/>
      <c r="BS3060" s="1539"/>
      <c r="BT3060" s="1539"/>
      <c r="BU3060" s="1539"/>
      <c r="BV3060" s="1539"/>
      <c r="BW3060" s="1539"/>
      <c r="BX3060" s="1539"/>
      <c r="BY3060" s="1539"/>
      <c r="BZ3060" s="1539"/>
      <c r="CA3060" s="1539"/>
      <c r="CB3060" s="1539"/>
      <c r="CC3060" s="1539"/>
      <c r="CD3060" s="1539"/>
      <c r="CE3060" s="1539"/>
      <c r="CF3060" s="1539"/>
      <c r="CG3060" s="1539"/>
      <c r="CH3060" s="1539"/>
      <c r="CI3060" s="1539"/>
      <c r="CJ3060" s="1539"/>
      <c r="CK3060" s="1539"/>
      <c r="CL3060" s="1539"/>
      <c r="CM3060" s="1539"/>
      <c r="CN3060" s="1539"/>
      <c r="CO3060" s="1539"/>
    </row>
    <row r="3061" spans="1:93" ht="15.5">
      <c r="A3061" s="1598">
        <v>75.707999999999998</v>
      </c>
      <c r="B3061" s="1599" t="s">
        <v>3133</v>
      </c>
      <c r="C3061" s="1643" t="e">
        <f>+SUMIF(#REF!,Final!A3061,#REF!)</f>
        <v>#REF!</v>
      </c>
      <c r="D3061" s="1597" t="e">
        <f>+SUMIF(#REF!,Final!A3061,#REF!)</f>
        <v>#REF!</v>
      </c>
      <c r="E3061" s="1643" t="e">
        <f>SUMIF(#REF!,Final!A3061,#REF!)</f>
        <v>#REF!</v>
      </c>
      <c r="F3061" s="1644" t="e">
        <f>SUMIF(#REF!,Final!A3061,#REF!)</f>
        <v>#REF!</v>
      </c>
      <c r="G3061" s="1597" t="e">
        <f t="shared" si="344"/>
        <v>#REF!</v>
      </c>
      <c r="H3061" s="1644" t="e">
        <f t="shared" si="345"/>
        <v>#REF!</v>
      </c>
      <c r="I3061" s="1597" t="e">
        <f t="shared" si="346"/>
        <v>#REF!</v>
      </c>
      <c r="J3061" s="1644" t="e">
        <f t="shared" si="347"/>
        <v>#REF!</v>
      </c>
      <c r="M3061" s="1545"/>
      <c r="N3061" s="1545"/>
    </row>
    <row r="3062" spans="1:93" s="1542" customFormat="1" ht="15.5">
      <c r="A3062" s="1598">
        <v>75.709000000000003</v>
      </c>
      <c r="B3062" s="1599" t="s">
        <v>3134</v>
      </c>
      <c r="C3062" s="1643" t="e">
        <f>+SUMIF(#REF!,Final!A3062,#REF!)</f>
        <v>#REF!</v>
      </c>
      <c r="D3062" s="1597" t="e">
        <f>+SUMIF(#REF!,Final!A3062,#REF!)</f>
        <v>#REF!</v>
      </c>
      <c r="E3062" s="1643" t="e">
        <f>SUMIF(#REF!,Final!A3062,#REF!)</f>
        <v>#REF!</v>
      </c>
      <c r="F3062" s="1644" t="e">
        <f>SUMIF(#REF!,Final!A3062,#REF!)</f>
        <v>#REF!</v>
      </c>
      <c r="G3062" s="1597" t="e">
        <f t="shared" si="344"/>
        <v>#REF!</v>
      </c>
      <c r="H3062" s="1644" t="e">
        <f t="shared" si="345"/>
        <v>#REF!</v>
      </c>
      <c r="I3062" s="1597" t="e">
        <f t="shared" si="346"/>
        <v>#REF!</v>
      </c>
      <c r="J3062" s="1644" t="e">
        <f t="shared" si="347"/>
        <v>#REF!</v>
      </c>
      <c r="K3062" s="1539"/>
      <c r="L3062" s="1539"/>
      <c r="M3062" s="1545"/>
      <c r="N3062" s="1545"/>
      <c r="O3062" s="1539"/>
      <c r="P3062" s="1539"/>
      <c r="Q3062" s="1539"/>
      <c r="R3062" s="1539"/>
      <c r="S3062" s="1539"/>
      <c r="T3062" s="1539"/>
      <c r="U3062" s="1539"/>
      <c r="V3062" s="1539"/>
      <c r="W3062" s="1539"/>
      <c r="X3062" s="1539"/>
      <c r="Y3062" s="1539"/>
      <c r="Z3062" s="1539"/>
      <c r="AA3062" s="1539"/>
      <c r="AB3062" s="1539"/>
      <c r="AC3062" s="1539"/>
      <c r="AD3062" s="1539"/>
      <c r="AE3062" s="1539"/>
      <c r="AF3062" s="1539"/>
      <c r="AG3062" s="1539"/>
      <c r="AH3062" s="1539"/>
      <c r="AI3062" s="1539"/>
      <c r="AJ3062" s="1539"/>
      <c r="AK3062" s="1539"/>
      <c r="AL3062" s="1539"/>
      <c r="AM3062" s="1539"/>
      <c r="AN3062" s="1539"/>
      <c r="AO3062" s="1539"/>
      <c r="AP3062" s="1539"/>
      <c r="AQ3062" s="1539"/>
      <c r="AR3062" s="1539"/>
      <c r="AS3062" s="1539"/>
      <c r="AT3062" s="1539"/>
      <c r="AU3062" s="1539"/>
      <c r="AV3062" s="1539"/>
      <c r="AW3062" s="1539"/>
      <c r="AX3062" s="1539"/>
      <c r="AY3062" s="1539"/>
      <c r="AZ3062" s="1539"/>
      <c r="BA3062" s="1539"/>
      <c r="BB3062" s="1539"/>
      <c r="BC3062" s="1539"/>
      <c r="BD3062" s="1539"/>
      <c r="BE3062" s="1539"/>
      <c r="BF3062" s="1539"/>
      <c r="BG3062" s="1539"/>
      <c r="BH3062" s="1539"/>
      <c r="BI3062" s="1539"/>
      <c r="BJ3062" s="1539"/>
      <c r="BK3062" s="1539"/>
      <c r="BL3062" s="1539"/>
      <c r="BM3062" s="1539"/>
      <c r="BN3062" s="1539"/>
      <c r="BO3062" s="1539"/>
      <c r="BP3062" s="1539"/>
      <c r="BQ3062" s="1539"/>
      <c r="BR3062" s="1539"/>
      <c r="BS3062" s="1539"/>
      <c r="BT3062" s="1539"/>
      <c r="BU3062" s="1539"/>
      <c r="BV3062" s="1539"/>
      <c r="BW3062" s="1539"/>
      <c r="BX3062" s="1539"/>
      <c r="BY3062" s="1539"/>
      <c r="BZ3062" s="1539"/>
      <c r="CA3062" s="1539"/>
      <c r="CB3062" s="1539"/>
      <c r="CC3062" s="1539"/>
      <c r="CD3062" s="1539"/>
      <c r="CE3062" s="1539"/>
      <c r="CF3062" s="1539"/>
      <c r="CG3062" s="1539"/>
      <c r="CH3062" s="1539"/>
      <c r="CI3062" s="1539"/>
      <c r="CJ3062" s="1539"/>
      <c r="CK3062" s="1539"/>
      <c r="CL3062" s="1539"/>
      <c r="CM3062" s="1539"/>
      <c r="CN3062" s="1539"/>
      <c r="CO3062" s="1539"/>
    </row>
    <row r="3063" spans="1:93" s="1542" customFormat="1" ht="15.5">
      <c r="A3063" s="1598">
        <v>75.787999999999997</v>
      </c>
      <c r="B3063" s="1599" t="s">
        <v>4588</v>
      </c>
      <c r="C3063" s="1643" t="e">
        <f>+SUMIF(#REF!,Final!A3063,#REF!)</f>
        <v>#REF!</v>
      </c>
      <c r="D3063" s="1597" t="e">
        <f>+SUMIF(#REF!,Final!A3063,#REF!)</f>
        <v>#REF!</v>
      </c>
      <c r="E3063" s="1643" t="e">
        <f>SUMIF(#REF!,Final!A3063,#REF!)</f>
        <v>#REF!</v>
      </c>
      <c r="F3063" s="1644" t="e">
        <f>SUMIF(#REF!,Final!A3063,#REF!)</f>
        <v>#REF!</v>
      </c>
      <c r="G3063" s="1597" t="e">
        <f t="shared" si="344"/>
        <v>#REF!</v>
      </c>
      <c r="H3063" s="1644" t="e">
        <f t="shared" si="345"/>
        <v>#REF!</v>
      </c>
      <c r="I3063" s="1597" t="e">
        <f t="shared" si="346"/>
        <v>#REF!</v>
      </c>
      <c r="J3063" s="1644" t="e">
        <f t="shared" si="347"/>
        <v>#REF!</v>
      </c>
      <c r="K3063" s="1539"/>
      <c r="L3063" s="1539"/>
      <c r="M3063" s="1545"/>
      <c r="N3063" s="1545"/>
      <c r="O3063" s="1539"/>
      <c r="P3063" s="1539"/>
      <c r="Q3063" s="1539"/>
      <c r="R3063" s="1539"/>
      <c r="S3063" s="1539"/>
      <c r="T3063" s="1539"/>
      <c r="U3063" s="1539"/>
      <c r="V3063" s="1539"/>
      <c r="W3063" s="1539"/>
      <c r="X3063" s="1539"/>
      <c r="Y3063" s="1539"/>
      <c r="Z3063" s="1539"/>
      <c r="AA3063" s="1539"/>
      <c r="AB3063" s="1539"/>
      <c r="AC3063" s="1539"/>
      <c r="AD3063" s="1539"/>
      <c r="AE3063" s="1539"/>
      <c r="AF3063" s="1539"/>
      <c r="AG3063" s="1539"/>
      <c r="AH3063" s="1539"/>
      <c r="AI3063" s="1539"/>
      <c r="AJ3063" s="1539"/>
      <c r="AK3063" s="1539"/>
      <c r="AL3063" s="1539"/>
      <c r="AM3063" s="1539"/>
      <c r="AN3063" s="1539"/>
      <c r="AO3063" s="1539"/>
      <c r="AP3063" s="1539"/>
      <c r="AQ3063" s="1539"/>
      <c r="AR3063" s="1539"/>
      <c r="AS3063" s="1539"/>
      <c r="AT3063" s="1539"/>
      <c r="AU3063" s="1539"/>
      <c r="AV3063" s="1539"/>
      <c r="AW3063" s="1539"/>
      <c r="AX3063" s="1539"/>
      <c r="AY3063" s="1539"/>
      <c r="AZ3063" s="1539"/>
      <c r="BA3063" s="1539"/>
      <c r="BB3063" s="1539"/>
      <c r="BC3063" s="1539"/>
      <c r="BD3063" s="1539"/>
      <c r="BE3063" s="1539"/>
      <c r="BF3063" s="1539"/>
      <c r="BG3063" s="1539"/>
      <c r="BH3063" s="1539"/>
      <c r="BI3063" s="1539"/>
      <c r="BJ3063" s="1539"/>
      <c r="BK3063" s="1539"/>
      <c r="BL3063" s="1539"/>
      <c r="BM3063" s="1539"/>
      <c r="BN3063" s="1539"/>
      <c r="BO3063" s="1539"/>
      <c r="BP3063" s="1539"/>
      <c r="BQ3063" s="1539"/>
      <c r="BR3063" s="1539"/>
      <c r="BS3063" s="1539"/>
      <c r="BT3063" s="1539"/>
      <c r="BU3063" s="1539"/>
      <c r="BV3063" s="1539"/>
      <c r="BW3063" s="1539"/>
      <c r="BX3063" s="1539"/>
      <c r="BY3063" s="1539"/>
      <c r="BZ3063" s="1539"/>
      <c r="CA3063" s="1539"/>
      <c r="CB3063" s="1539"/>
      <c r="CC3063" s="1539"/>
      <c r="CD3063" s="1539"/>
      <c r="CE3063" s="1539"/>
      <c r="CF3063" s="1539"/>
      <c r="CG3063" s="1539"/>
      <c r="CH3063" s="1539"/>
      <c r="CI3063" s="1539"/>
      <c r="CJ3063" s="1539"/>
      <c r="CK3063" s="1539"/>
      <c r="CL3063" s="1539"/>
      <c r="CM3063" s="1539"/>
      <c r="CN3063" s="1539"/>
      <c r="CO3063" s="1539"/>
    </row>
    <row r="3064" spans="1:93" s="1542" customFormat="1" ht="15.5">
      <c r="A3064" s="1598">
        <v>75.787000000000006</v>
      </c>
      <c r="B3064" s="1599" t="s">
        <v>4589</v>
      </c>
      <c r="C3064" s="1643" t="e">
        <f>+SUMIF(#REF!,Final!A3064,#REF!)</f>
        <v>#REF!</v>
      </c>
      <c r="D3064" s="1597" t="e">
        <f>+SUMIF(#REF!,Final!A3064,#REF!)</f>
        <v>#REF!</v>
      </c>
      <c r="E3064" s="1643" t="e">
        <f>SUMIF(#REF!,Final!A3064,#REF!)</f>
        <v>#REF!</v>
      </c>
      <c r="F3064" s="1644" t="e">
        <f>SUMIF(#REF!,Final!A3064,#REF!)</f>
        <v>#REF!</v>
      </c>
      <c r="G3064" s="1597" t="e">
        <f t="shared" si="344"/>
        <v>#REF!</v>
      </c>
      <c r="H3064" s="1644" t="e">
        <f t="shared" si="345"/>
        <v>#REF!</v>
      </c>
      <c r="I3064" s="1597" t="e">
        <f t="shared" si="346"/>
        <v>#REF!</v>
      </c>
      <c r="J3064" s="1644" t="e">
        <f t="shared" si="347"/>
        <v>#REF!</v>
      </c>
      <c r="K3064" s="1539"/>
      <c r="L3064" s="1539"/>
      <c r="M3064" s="1545"/>
      <c r="N3064" s="1545"/>
      <c r="O3064" s="1539"/>
      <c r="P3064" s="1539"/>
      <c r="Q3064" s="1539"/>
      <c r="R3064" s="1539"/>
      <c r="S3064" s="1539"/>
      <c r="T3064" s="1539"/>
      <c r="U3064" s="1539"/>
      <c r="V3064" s="1539"/>
      <c r="W3064" s="1539"/>
      <c r="X3064" s="1539"/>
      <c r="Y3064" s="1539"/>
      <c r="Z3064" s="1539"/>
      <c r="AA3064" s="1539"/>
      <c r="AB3064" s="1539"/>
      <c r="AC3064" s="1539"/>
      <c r="AD3064" s="1539"/>
      <c r="AE3064" s="1539"/>
      <c r="AF3064" s="1539"/>
      <c r="AG3064" s="1539"/>
      <c r="AH3064" s="1539"/>
      <c r="AI3064" s="1539"/>
      <c r="AJ3064" s="1539"/>
      <c r="AK3064" s="1539"/>
      <c r="AL3064" s="1539"/>
      <c r="AM3064" s="1539"/>
      <c r="AN3064" s="1539"/>
      <c r="AO3064" s="1539"/>
      <c r="AP3064" s="1539"/>
      <c r="AQ3064" s="1539"/>
      <c r="AR3064" s="1539"/>
      <c r="AS3064" s="1539"/>
      <c r="AT3064" s="1539"/>
      <c r="AU3064" s="1539"/>
      <c r="AV3064" s="1539"/>
      <c r="AW3064" s="1539"/>
      <c r="AX3064" s="1539"/>
      <c r="AY3064" s="1539"/>
      <c r="AZ3064" s="1539"/>
      <c r="BA3064" s="1539"/>
      <c r="BB3064" s="1539"/>
      <c r="BC3064" s="1539"/>
      <c r="BD3064" s="1539"/>
      <c r="BE3064" s="1539"/>
      <c r="BF3064" s="1539"/>
      <c r="BG3064" s="1539"/>
      <c r="BH3064" s="1539"/>
      <c r="BI3064" s="1539"/>
      <c r="BJ3064" s="1539"/>
      <c r="BK3064" s="1539"/>
      <c r="BL3064" s="1539"/>
      <c r="BM3064" s="1539"/>
      <c r="BN3064" s="1539"/>
      <c r="BO3064" s="1539"/>
      <c r="BP3064" s="1539"/>
      <c r="BQ3064" s="1539"/>
      <c r="BR3064" s="1539"/>
      <c r="BS3064" s="1539"/>
      <c r="BT3064" s="1539"/>
      <c r="BU3064" s="1539"/>
      <c r="BV3064" s="1539"/>
      <c r="BW3064" s="1539"/>
      <c r="BX3064" s="1539"/>
      <c r="BY3064" s="1539"/>
      <c r="BZ3064" s="1539"/>
      <c r="CA3064" s="1539"/>
      <c r="CB3064" s="1539"/>
      <c r="CC3064" s="1539"/>
      <c r="CD3064" s="1539"/>
      <c r="CE3064" s="1539"/>
      <c r="CF3064" s="1539"/>
      <c r="CG3064" s="1539"/>
      <c r="CH3064" s="1539"/>
      <c r="CI3064" s="1539"/>
      <c r="CJ3064" s="1539"/>
      <c r="CK3064" s="1539"/>
      <c r="CL3064" s="1539"/>
      <c r="CM3064" s="1539"/>
      <c r="CN3064" s="1539"/>
      <c r="CO3064" s="1539"/>
    </row>
    <row r="3065" spans="1:93" s="1542" customFormat="1" ht="15.5">
      <c r="A3065" s="1598">
        <v>75.789000000000001</v>
      </c>
      <c r="B3065" s="1599" t="s">
        <v>4590</v>
      </c>
      <c r="C3065" s="1643" t="e">
        <f>+SUMIF(#REF!,Final!A3065,#REF!)</f>
        <v>#REF!</v>
      </c>
      <c r="D3065" s="1597" t="e">
        <f>+SUMIF(#REF!,Final!A3065,#REF!)</f>
        <v>#REF!</v>
      </c>
      <c r="E3065" s="1643" t="e">
        <f>SUMIF(#REF!,Final!A3065,#REF!)</f>
        <v>#REF!</v>
      </c>
      <c r="F3065" s="1644" t="e">
        <f>SUMIF(#REF!,Final!A3065,#REF!)</f>
        <v>#REF!</v>
      </c>
      <c r="G3065" s="1597" t="e">
        <f t="shared" si="344"/>
        <v>#REF!</v>
      </c>
      <c r="H3065" s="1644" t="e">
        <f t="shared" si="345"/>
        <v>#REF!</v>
      </c>
      <c r="I3065" s="1597" t="e">
        <f t="shared" si="346"/>
        <v>#REF!</v>
      </c>
      <c r="J3065" s="1644" t="e">
        <f t="shared" si="347"/>
        <v>#REF!</v>
      </c>
      <c r="K3065" s="1539"/>
      <c r="L3065" s="1539"/>
      <c r="M3065" s="1545"/>
      <c r="N3065" s="1545"/>
      <c r="O3065" s="1539"/>
      <c r="P3065" s="1539"/>
      <c r="Q3065" s="1539"/>
      <c r="R3065" s="1539"/>
      <c r="S3065" s="1539"/>
      <c r="T3065" s="1539"/>
      <c r="U3065" s="1539"/>
      <c r="V3065" s="1539"/>
      <c r="W3065" s="1539"/>
      <c r="X3065" s="1539"/>
      <c r="Y3065" s="1539"/>
      <c r="Z3065" s="1539"/>
      <c r="AA3065" s="1539"/>
      <c r="AB3065" s="1539"/>
      <c r="AC3065" s="1539"/>
      <c r="AD3065" s="1539"/>
      <c r="AE3065" s="1539"/>
      <c r="AF3065" s="1539"/>
      <c r="AG3065" s="1539"/>
      <c r="AH3065" s="1539"/>
      <c r="AI3065" s="1539"/>
      <c r="AJ3065" s="1539"/>
      <c r="AK3065" s="1539"/>
      <c r="AL3065" s="1539"/>
      <c r="AM3065" s="1539"/>
      <c r="AN3065" s="1539"/>
      <c r="AO3065" s="1539"/>
      <c r="AP3065" s="1539"/>
      <c r="AQ3065" s="1539"/>
      <c r="AR3065" s="1539"/>
      <c r="AS3065" s="1539"/>
      <c r="AT3065" s="1539"/>
      <c r="AU3065" s="1539"/>
      <c r="AV3065" s="1539"/>
      <c r="AW3065" s="1539"/>
      <c r="AX3065" s="1539"/>
      <c r="AY3065" s="1539"/>
      <c r="AZ3065" s="1539"/>
      <c r="BA3065" s="1539"/>
      <c r="BB3065" s="1539"/>
      <c r="BC3065" s="1539"/>
      <c r="BD3065" s="1539"/>
      <c r="BE3065" s="1539"/>
      <c r="BF3065" s="1539"/>
      <c r="BG3065" s="1539"/>
      <c r="BH3065" s="1539"/>
      <c r="BI3065" s="1539"/>
      <c r="BJ3065" s="1539"/>
      <c r="BK3065" s="1539"/>
      <c r="BL3065" s="1539"/>
      <c r="BM3065" s="1539"/>
      <c r="BN3065" s="1539"/>
      <c r="BO3065" s="1539"/>
      <c r="BP3065" s="1539"/>
      <c r="BQ3065" s="1539"/>
      <c r="BR3065" s="1539"/>
      <c r="BS3065" s="1539"/>
      <c r="BT3065" s="1539"/>
      <c r="BU3065" s="1539"/>
      <c r="BV3065" s="1539"/>
      <c r="BW3065" s="1539"/>
      <c r="BX3065" s="1539"/>
      <c r="BY3065" s="1539"/>
      <c r="BZ3065" s="1539"/>
      <c r="CA3065" s="1539"/>
      <c r="CB3065" s="1539"/>
      <c r="CC3065" s="1539"/>
      <c r="CD3065" s="1539"/>
      <c r="CE3065" s="1539"/>
      <c r="CF3065" s="1539"/>
      <c r="CG3065" s="1539"/>
      <c r="CH3065" s="1539"/>
      <c r="CI3065" s="1539"/>
      <c r="CJ3065" s="1539"/>
      <c r="CK3065" s="1539"/>
      <c r="CL3065" s="1539"/>
      <c r="CM3065" s="1539"/>
      <c r="CN3065" s="1539"/>
      <c r="CO3065" s="1539"/>
    </row>
    <row r="3066" spans="1:93" ht="15.5">
      <c r="A3066" s="1598">
        <v>75.790000000000006</v>
      </c>
      <c r="B3066" s="1599" t="s">
        <v>3135</v>
      </c>
      <c r="C3066" s="1643" t="e">
        <f>+SUMIF(#REF!,Final!A3066,#REF!)</f>
        <v>#REF!</v>
      </c>
      <c r="D3066" s="1597" t="e">
        <f>+SUMIF(#REF!,Final!A3066,#REF!)</f>
        <v>#REF!</v>
      </c>
      <c r="E3066" s="1643" t="e">
        <f>SUMIF(#REF!,Final!A3066,#REF!)</f>
        <v>#REF!</v>
      </c>
      <c r="F3066" s="1644" t="e">
        <f>SUMIF(#REF!,Final!A3066,#REF!)</f>
        <v>#REF!</v>
      </c>
      <c r="G3066" s="1597" t="e">
        <f t="shared" si="344"/>
        <v>#REF!</v>
      </c>
      <c r="H3066" s="1644" t="e">
        <f t="shared" si="345"/>
        <v>#REF!</v>
      </c>
      <c r="I3066" s="1597" t="e">
        <f t="shared" si="346"/>
        <v>#REF!</v>
      </c>
      <c r="J3066" s="1644" t="e">
        <f t="shared" si="347"/>
        <v>#REF!</v>
      </c>
      <c r="M3066" s="1545"/>
      <c r="N3066" s="1545"/>
    </row>
    <row r="3067" spans="1:93" ht="15.5">
      <c r="A3067" s="1598">
        <v>75.796999999999997</v>
      </c>
      <c r="B3067" s="1599" t="s">
        <v>3973</v>
      </c>
      <c r="C3067" s="1643" t="e">
        <f>+SUMIF(#REF!,Final!A3067,#REF!)</f>
        <v>#REF!</v>
      </c>
      <c r="D3067" s="1597" t="e">
        <f>+SUMIF(#REF!,Final!A3067,#REF!)</f>
        <v>#REF!</v>
      </c>
      <c r="E3067" s="1643" t="e">
        <f>SUMIF(#REF!,Final!A3067,#REF!)</f>
        <v>#REF!</v>
      </c>
      <c r="F3067" s="1644" t="e">
        <f>SUMIF(#REF!,Final!A3067,#REF!)</f>
        <v>#REF!</v>
      </c>
      <c r="G3067" s="1597" t="e">
        <f t="shared" si="344"/>
        <v>#REF!</v>
      </c>
      <c r="H3067" s="1644" t="e">
        <f t="shared" si="345"/>
        <v>#REF!</v>
      </c>
      <c r="I3067" s="1597" t="e">
        <f t="shared" si="346"/>
        <v>#REF!</v>
      </c>
      <c r="J3067" s="1644" t="e">
        <f t="shared" si="347"/>
        <v>#REF!</v>
      </c>
      <c r="M3067" s="1545"/>
      <c r="N3067" s="1545"/>
    </row>
    <row r="3068" spans="1:93" ht="15.5">
      <c r="A3068" s="1598">
        <v>75.798000000000002</v>
      </c>
      <c r="B3068" s="1599" t="s">
        <v>3974</v>
      </c>
      <c r="C3068" s="1643" t="e">
        <f>+SUMIF(#REF!,Final!A3068,#REF!)</f>
        <v>#REF!</v>
      </c>
      <c r="D3068" s="1597" t="e">
        <f>+SUMIF(#REF!,Final!A3068,#REF!)</f>
        <v>#REF!</v>
      </c>
      <c r="E3068" s="1643" t="e">
        <f>SUMIF(#REF!,Final!A3068,#REF!)</f>
        <v>#REF!</v>
      </c>
      <c r="F3068" s="1644" t="e">
        <f>SUMIF(#REF!,Final!A3068,#REF!)</f>
        <v>#REF!</v>
      </c>
      <c r="G3068" s="1597" t="e">
        <f t="shared" si="344"/>
        <v>#REF!</v>
      </c>
      <c r="H3068" s="1644" t="e">
        <f t="shared" si="345"/>
        <v>#REF!</v>
      </c>
      <c r="I3068" s="1597" t="e">
        <f t="shared" si="346"/>
        <v>#REF!</v>
      </c>
      <c r="J3068" s="1644" t="e">
        <f t="shared" si="347"/>
        <v>#REF!</v>
      </c>
      <c r="M3068" s="1545"/>
      <c r="N3068" s="1545"/>
    </row>
    <row r="3069" spans="1:93" ht="15.5">
      <c r="A3069" s="1598">
        <v>75.799000000000007</v>
      </c>
      <c r="B3069" s="1599" t="s">
        <v>3975</v>
      </c>
      <c r="C3069" s="1643" t="e">
        <f>+SUMIF(#REF!,Final!A3069,#REF!)</f>
        <v>#REF!</v>
      </c>
      <c r="D3069" s="1597" t="e">
        <f>+SUMIF(#REF!,Final!A3069,#REF!)</f>
        <v>#REF!</v>
      </c>
      <c r="E3069" s="1643" t="e">
        <f>SUMIF(#REF!,Final!A3069,#REF!)</f>
        <v>#REF!</v>
      </c>
      <c r="F3069" s="1644" t="e">
        <f>SUMIF(#REF!,Final!A3069,#REF!)</f>
        <v>#REF!</v>
      </c>
      <c r="G3069" s="1597" t="e">
        <f t="shared" si="344"/>
        <v>#REF!</v>
      </c>
      <c r="H3069" s="1644" t="e">
        <f t="shared" si="345"/>
        <v>#REF!</v>
      </c>
      <c r="I3069" s="1597" t="e">
        <f t="shared" si="346"/>
        <v>#REF!</v>
      </c>
      <c r="J3069" s="1644" t="e">
        <f t="shared" si="347"/>
        <v>#REF!</v>
      </c>
      <c r="M3069" s="1545"/>
      <c r="N3069" s="1545"/>
    </row>
    <row r="3070" spans="1:93" s="1552" customFormat="1" ht="15.5">
      <c r="A3070" s="1598"/>
      <c r="B3070" s="1599" t="s">
        <v>1747</v>
      </c>
      <c r="C3070" s="1643" t="e">
        <f>+SUMIF(#REF!,Final!A3070,#REF!)</f>
        <v>#REF!</v>
      </c>
      <c r="D3070" s="1597" t="e">
        <f>+SUMIF(#REF!,Final!A3070,#REF!)</f>
        <v>#REF!</v>
      </c>
      <c r="E3070" s="1643" t="e">
        <f>SUMIF(#REF!,Final!A3070,#REF!)</f>
        <v>#REF!</v>
      </c>
      <c r="F3070" s="1644" t="e">
        <f>SUMIF(#REF!,Final!A3070,#REF!)</f>
        <v>#REF!</v>
      </c>
      <c r="G3070" s="1597" t="e">
        <f t="shared" si="344"/>
        <v>#REF!</v>
      </c>
      <c r="H3070" s="1644" t="e">
        <f t="shared" si="345"/>
        <v>#REF!</v>
      </c>
      <c r="I3070" s="1597" t="e">
        <f t="shared" si="346"/>
        <v>#REF!</v>
      </c>
      <c r="J3070" s="1644" t="e">
        <f t="shared" si="347"/>
        <v>#REF!</v>
      </c>
      <c r="K3070" s="1539"/>
      <c r="L3070" s="1539"/>
      <c r="M3070" s="1545"/>
      <c r="N3070" s="1545"/>
      <c r="O3070" s="1539"/>
      <c r="P3070" s="1539"/>
      <c r="Q3070" s="1539"/>
      <c r="R3070" s="1539"/>
      <c r="S3070" s="1539"/>
      <c r="T3070" s="1539"/>
      <c r="U3070" s="1539"/>
      <c r="V3070" s="1539"/>
      <c r="W3070" s="1539"/>
      <c r="X3070" s="1539"/>
      <c r="Y3070" s="1539"/>
      <c r="Z3070" s="1539"/>
      <c r="AA3070" s="1539"/>
      <c r="AB3070" s="1539"/>
      <c r="AC3070" s="1539"/>
      <c r="AD3070" s="1539"/>
      <c r="AE3070" s="1539"/>
      <c r="AF3070" s="1539"/>
      <c r="AG3070" s="1539"/>
      <c r="AH3070" s="1539"/>
      <c r="AI3070" s="1539"/>
      <c r="AJ3070" s="1539"/>
      <c r="AK3070" s="1539"/>
      <c r="AL3070" s="1539"/>
      <c r="AM3070" s="1539"/>
      <c r="AN3070" s="1539"/>
      <c r="AO3070" s="1539"/>
      <c r="AP3070" s="1539"/>
      <c r="AQ3070" s="1539"/>
      <c r="AR3070" s="1539"/>
      <c r="AS3070" s="1539"/>
      <c r="AT3070" s="1539"/>
      <c r="AU3070" s="1539"/>
      <c r="AV3070" s="1539"/>
      <c r="AW3070" s="1539"/>
      <c r="AX3070" s="1539"/>
      <c r="AY3070" s="1539"/>
      <c r="AZ3070" s="1539"/>
      <c r="BA3070" s="1539"/>
      <c r="BB3070" s="1539"/>
      <c r="BC3070" s="1539"/>
      <c r="BD3070" s="1539"/>
      <c r="BE3070" s="1539"/>
      <c r="BF3070" s="1539"/>
      <c r="BG3070" s="1539"/>
      <c r="BH3070" s="1539"/>
      <c r="BI3070" s="1539"/>
      <c r="BJ3070" s="1539"/>
      <c r="BK3070" s="1539"/>
      <c r="BL3070" s="1539"/>
      <c r="BM3070" s="1539"/>
      <c r="BN3070" s="1539"/>
      <c r="BO3070" s="1539"/>
      <c r="BP3070" s="1539"/>
      <c r="BQ3070" s="1539"/>
      <c r="BR3070" s="1539"/>
      <c r="BS3070" s="1539"/>
      <c r="BT3070" s="1539"/>
      <c r="BU3070" s="1539"/>
      <c r="BV3070" s="1539"/>
      <c r="BW3070" s="1539"/>
      <c r="BX3070" s="1539"/>
      <c r="BY3070" s="1539"/>
      <c r="BZ3070" s="1539"/>
      <c r="CA3070" s="1539"/>
      <c r="CB3070" s="1539"/>
      <c r="CC3070" s="1539"/>
      <c r="CD3070" s="1539"/>
      <c r="CE3070" s="1539"/>
      <c r="CF3070" s="1539"/>
      <c r="CG3070" s="1539"/>
      <c r="CH3070" s="1539"/>
      <c r="CI3070" s="1539"/>
      <c r="CJ3070" s="1539"/>
      <c r="CK3070" s="1539"/>
      <c r="CL3070" s="1539"/>
      <c r="CM3070" s="1539"/>
      <c r="CN3070" s="1539"/>
      <c r="CO3070" s="1539"/>
    </row>
    <row r="3071" spans="1:93" s="1552" customFormat="1" ht="15.5">
      <c r="A3071" s="1598"/>
      <c r="B3071" s="1599" t="s">
        <v>1760</v>
      </c>
      <c r="C3071" s="1643" t="e">
        <f>+SUMIF(#REF!,Final!A3071,#REF!)</f>
        <v>#REF!</v>
      </c>
      <c r="D3071" s="1597" t="e">
        <f>+SUMIF(#REF!,Final!A3071,#REF!)</f>
        <v>#REF!</v>
      </c>
      <c r="E3071" s="1643" t="e">
        <f>SUMIF(#REF!,Final!A3071,#REF!)</f>
        <v>#REF!</v>
      </c>
      <c r="F3071" s="1644" t="e">
        <f>SUMIF(#REF!,Final!A3071,#REF!)</f>
        <v>#REF!</v>
      </c>
      <c r="G3071" s="1597" t="e">
        <f t="shared" si="344"/>
        <v>#REF!</v>
      </c>
      <c r="H3071" s="1644" t="e">
        <f t="shared" si="345"/>
        <v>#REF!</v>
      </c>
      <c r="I3071" s="1597" t="e">
        <f t="shared" si="346"/>
        <v>#REF!</v>
      </c>
      <c r="J3071" s="1644" t="e">
        <f t="shared" si="347"/>
        <v>#REF!</v>
      </c>
      <c r="K3071" s="1539"/>
      <c r="L3071" s="1539"/>
      <c r="M3071" s="1545"/>
      <c r="N3071" s="1545"/>
      <c r="O3071" s="1539"/>
      <c r="P3071" s="1539"/>
      <c r="Q3071" s="1539"/>
      <c r="R3071" s="1539"/>
      <c r="S3071" s="1539"/>
      <c r="T3071" s="1539"/>
      <c r="U3071" s="1539"/>
      <c r="V3071" s="1539"/>
      <c r="W3071" s="1539"/>
      <c r="X3071" s="1539"/>
      <c r="Y3071" s="1539"/>
      <c r="Z3071" s="1539"/>
      <c r="AA3071" s="1539"/>
      <c r="AB3071" s="1539"/>
      <c r="AC3071" s="1539"/>
      <c r="AD3071" s="1539"/>
      <c r="AE3071" s="1539"/>
      <c r="AF3071" s="1539"/>
      <c r="AG3071" s="1539"/>
      <c r="AH3071" s="1539"/>
      <c r="AI3071" s="1539"/>
      <c r="AJ3071" s="1539"/>
      <c r="AK3071" s="1539"/>
      <c r="AL3071" s="1539"/>
      <c r="AM3071" s="1539"/>
      <c r="AN3071" s="1539"/>
      <c r="AO3071" s="1539"/>
      <c r="AP3071" s="1539"/>
      <c r="AQ3071" s="1539"/>
      <c r="AR3071" s="1539"/>
      <c r="AS3071" s="1539"/>
      <c r="AT3071" s="1539"/>
      <c r="AU3071" s="1539"/>
      <c r="AV3071" s="1539"/>
      <c r="AW3071" s="1539"/>
      <c r="AX3071" s="1539"/>
      <c r="AY3071" s="1539"/>
      <c r="AZ3071" s="1539"/>
      <c r="BA3071" s="1539"/>
      <c r="BB3071" s="1539"/>
      <c r="BC3071" s="1539"/>
      <c r="BD3071" s="1539"/>
      <c r="BE3071" s="1539"/>
      <c r="BF3071" s="1539"/>
      <c r="BG3071" s="1539"/>
      <c r="BH3071" s="1539"/>
      <c r="BI3071" s="1539"/>
      <c r="BJ3071" s="1539"/>
      <c r="BK3071" s="1539"/>
      <c r="BL3071" s="1539"/>
      <c r="BM3071" s="1539"/>
      <c r="BN3071" s="1539"/>
      <c r="BO3071" s="1539"/>
      <c r="BP3071" s="1539"/>
      <c r="BQ3071" s="1539"/>
      <c r="BR3071" s="1539"/>
      <c r="BS3071" s="1539"/>
      <c r="BT3071" s="1539"/>
      <c r="BU3071" s="1539"/>
      <c r="BV3071" s="1539"/>
      <c r="BW3071" s="1539"/>
      <c r="BX3071" s="1539"/>
      <c r="BY3071" s="1539"/>
      <c r="BZ3071" s="1539"/>
      <c r="CA3071" s="1539"/>
      <c r="CB3071" s="1539"/>
      <c r="CC3071" s="1539"/>
      <c r="CD3071" s="1539"/>
      <c r="CE3071" s="1539"/>
      <c r="CF3071" s="1539"/>
      <c r="CG3071" s="1539"/>
      <c r="CH3071" s="1539"/>
      <c r="CI3071" s="1539"/>
      <c r="CJ3071" s="1539"/>
      <c r="CK3071" s="1539"/>
      <c r="CL3071" s="1539"/>
      <c r="CM3071" s="1539"/>
      <c r="CN3071" s="1539"/>
      <c r="CO3071" s="1539"/>
    </row>
    <row r="3072" spans="1:93" s="1542" customFormat="1" ht="15.5">
      <c r="A3072" s="1598">
        <v>26</v>
      </c>
      <c r="B3072" s="1599" t="s">
        <v>3121</v>
      </c>
      <c r="C3072" s="1643" t="e">
        <f>+SUMIF(#REF!,Final!A3072,#REF!)</f>
        <v>#REF!</v>
      </c>
      <c r="D3072" s="1597" t="e">
        <f>+SUMIF(#REF!,Final!A3072,#REF!)</f>
        <v>#REF!</v>
      </c>
      <c r="E3072" s="1643" t="e">
        <f>SUMIF(#REF!,Final!A3072,#REF!)</f>
        <v>#REF!</v>
      </c>
      <c r="F3072" s="1644" t="e">
        <f>SUMIF(#REF!,Final!A3072,#REF!)</f>
        <v>#REF!</v>
      </c>
      <c r="G3072" s="1597" t="e">
        <f t="shared" si="344"/>
        <v>#REF!</v>
      </c>
      <c r="H3072" s="1644" t="e">
        <f t="shared" si="345"/>
        <v>#REF!</v>
      </c>
      <c r="I3072" s="1597" t="e">
        <f t="shared" si="346"/>
        <v>#REF!</v>
      </c>
      <c r="J3072" s="1644" t="e">
        <f t="shared" si="347"/>
        <v>#REF!</v>
      </c>
      <c r="K3072" s="1539"/>
      <c r="L3072" s="1539"/>
      <c r="M3072" s="1545"/>
      <c r="N3072" s="1545"/>
      <c r="O3072" s="1539"/>
      <c r="P3072" s="1539"/>
      <c r="Q3072" s="1539"/>
      <c r="R3072" s="1539"/>
      <c r="S3072" s="1539"/>
      <c r="T3072" s="1539"/>
      <c r="U3072" s="1539"/>
      <c r="V3072" s="1539"/>
      <c r="W3072" s="1539"/>
      <c r="X3072" s="1539"/>
      <c r="Y3072" s="1539"/>
      <c r="Z3072" s="1539"/>
      <c r="AA3072" s="1539"/>
      <c r="AB3072" s="1539"/>
      <c r="AC3072" s="1539"/>
      <c r="AD3072" s="1539"/>
      <c r="AE3072" s="1539"/>
      <c r="AF3072" s="1539"/>
      <c r="AG3072" s="1539"/>
      <c r="AH3072" s="1539"/>
      <c r="AI3072" s="1539"/>
      <c r="AJ3072" s="1539"/>
      <c r="AK3072" s="1539"/>
      <c r="AL3072" s="1539"/>
      <c r="AM3072" s="1539"/>
      <c r="AN3072" s="1539"/>
      <c r="AO3072" s="1539"/>
      <c r="AP3072" s="1539"/>
      <c r="AQ3072" s="1539"/>
      <c r="AR3072" s="1539"/>
      <c r="AS3072" s="1539"/>
      <c r="AT3072" s="1539"/>
      <c r="AU3072" s="1539"/>
      <c r="AV3072" s="1539"/>
      <c r="AW3072" s="1539"/>
      <c r="AX3072" s="1539"/>
      <c r="AY3072" s="1539"/>
      <c r="AZ3072" s="1539"/>
      <c r="BA3072" s="1539"/>
      <c r="BB3072" s="1539"/>
      <c r="BC3072" s="1539"/>
      <c r="BD3072" s="1539"/>
      <c r="BE3072" s="1539"/>
      <c r="BF3072" s="1539"/>
      <c r="BG3072" s="1539"/>
      <c r="BH3072" s="1539"/>
      <c r="BI3072" s="1539"/>
      <c r="BJ3072" s="1539"/>
      <c r="BK3072" s="1539"/>
      <c r="BL3072" s="1539"/>
      <c r="BM3072" s="1539"/>
      <c r="BN3072" s="1539"/>
      <c r="BO3072" s="1539"/>
      <c r="BP3072" s="1539"/>
      <c r="BQ3072" s="1539"/>
      <c r="BR3072" s="1539"/>
      <c r="BS3072" s="1539"/>
      <c r="BT3072" s="1539"/>
      <c r="BU3072" s="1539"/>
      <c r="BV3072" s="1539"/>
      <c r="BW3072" s="1539"/>
      <c r="BX3072" s="1539"/>
      <c r="BY3072" s="1539"/>
      <c r="BZ3072" s="1539"/>
      <c r="CA3072" s="1539"/>
      <c r="CB3072" s="1539"/>
      <c r="CC3072" s="1539"/>
      <c r="CD3072" s="1539"/>
      <c r="CE3072" s="1539"/>
      <c r="CF3072" s="1539"/>
      <c r="CG3072" s="1539"/>
      <c r="CH3072" s="1539"/>
      <c r="CI3072" s="1539"/>
      <c r="CJ3072" s="1539"/>
      <c r="CK3072" s="1539"/>
      <c r="CL3072" s="1539"/>
      <c r="CM3072" s="1539"/>
      <c r="CN3072" s="1539"/>
      <c r="CO3072" s="1539"/>
    </row>
    <row r="3073" spans="1:93" s="1542" customFormat="1" ht="15.5">
      <c r="A3073" s="1598">
        <v>75.801000000000002</v>
      </c>
      <c r="B3073" s="1599" t="s">
        <v>3122</v>
      </c>
      <c r="C3073" s="1643" t="e">
        <f>+SUMIF(#REF!,Final!A3073,#REF!)</f>
        <v>#REF!</v>
      </c>
      <c r="D3073" s="1597" t="e">
        <f>+SUMIF(#REF!,Final!A3073,#REF!)</f>
        <v>#REF!</v>
      </c>
      <c r="E3073" s="1643" t="e">
        <f>SUMIF(#REF!,Final!A3073,#REF!)</f>
        <v>#REF!</v>
      </c>
      <c r="F3073" s="1644" t="e">
        <f>SUMIF(#REF!,Final!A3073,#REF!)</f>
        <v>#REF!</v>
      </c>
      <c r="G3073" s="1597" t="e">
        <f t="shared" si="344"/>
        <v>#REF!</v>
      </c>
      <c r="H3073" s="1644" t="e">
        <f t="shared" si="345"/>
        <v>#REF!</v>
      </c>
      <c r="I3073" s="1597" t="e">
        <f t="shared" si="346"/>
        <v>#REF!</v>
      </c>
      <c r="J3073" s="1644" t="e">
        <f t="shared" si="347"/>
        <v>#REF!</v>
      </c>
      <c r="K3073" s="1539"/>
      <c r="L3073" s="1539"/>
      <c r="M3073" s="1545"/>
      <c r="N3073" s="1545"/>
      <c r="O3073" s="1539"/>
      <c r="P3073" s="1539"/>
      <c r="Q3073" s="1539"/>
      <c r="R3073" s="1539"/>
      <c r="S3073" s="1539"/>
      <c r="T3073" s="1539"/>
      <c r="U3073" s="1539"/>
      <c r="V3073" s="1539"/>
      <c r="W3073" s="1539"/>
      <c r="X3073" s="1539"/>
      <c r="Y3073" s="1539"/>
      <c r="Z3073" s="1539"/>
      <c r="AA3073" s="1539"/>
      <c r="AB3073" s="1539"/>
      <c r="AC3073" s="1539"/>
      <c r="AD3073" s="1539"/>
      <c r="AE3073" s="1539"/>
      <c r="AF3073" s="1539"/>
      <c r="AG3073" s="1539"/>
      <c r="AH3073" s="1539"/>
      <c r="AI3073" s="1539"/>
      <c r="AJ3073" s="1539"/>
      <c r="AK3073" s="1539"/>
      <c r="AL3073" s="1539"/>
      <c r="AM3073" s="1539"/>
      <c r="AN3073" s="1539"/>
      <c r="AO3073" s="1539"/>
      <c r="AP3073" s="1539"/>
      <c r="AQ3073" s="1539"/>
      <c r="AR3073" s="1539"/>
      <c r="AS3073" s="1539"/>
      <c r="AT3073" s="1539"/>
      <c r="AU3073" s="1539"/>
      <c r="AV3073" s="1539"/>
      <c r="AW3073" s="1539"/>
      <c r="AX3073" s="1539"/>
      <c r="AY3073" s="1539"/>
      <c r="AZ3073" s="1539"/>
      <c r="BA3073" s="1539"/>
      <c r="BB3073" s="1539"/>
      <c r="BC3073" s="1539"/>
      <c r="BD3073" s="1539"/>
      <c r="BE3073" s="1539"/>
      <c r="BF3073" s="1539"/>
      <c r="BG3073" s="1539"/>
      <c r="BH3073" s="1539"/>
      <c r="BI3073" s="1539"/>
      <c r="BJ3073" s="1539"/>
      <c r="BK3073" s="1539"/>
      <c r="BL3073" s="1539"/>
      <c r="BM3073" s="1539"/>
      <c r="BN3073" s="1539"/>
      <c r="BO3073" s="1539"/>
      <c r="BP3073" s="1539"/>
      <c r="BQ3073" s="1539"/>
      <c r="BR3073" s="1539"/>
      <c r="BS3073" s="1539"/>
      <c r="BT3073" s="1539"/>
      <c r="BU3073" s="1539"/>
      <c r="BV3073" s="1539"/>
      <c r="BW3073" s="1539"/>
      <c r="BX3073" s="1539"/>
      <c r="BY3073" s="1539"/>
      <c r="BZ3073" s="1539"/>
      <c r="CA3073" s="1539"/>
      <c r="CB3073" s="1539"/>
      <c r="CC3073" s="1539"/>
      <c r="CD3073" s="1539"/>
      <c r="CE3073" s="1539"/>
      <c r="CF3073" s="1539"/>
      <c r="CG3073" s="1539"/>
      <c r="CH3073" s="1539"/>
      <c r="CI3073" s="1539"/>
      <c r="CJ3073" s="1539"/>
      <c r="CK3073" s="1539"/>
      <c r="CL3073" s="1539"/>
      <c r="CM3073" s="1539"/>
      <c r="CN3073" s="1539"/>
      <c r="CO3073" s="1539"/>
    </row>
    <row r="3074" spans="1:93" ht="15.5">
      <c r="A3074" s="1598">
        <v>75.805000000000007</v>
      </c>
      <c r="B3074" s="1599" t="s">
        <v>3123</v>
      </c>
      <c r="C3074" s="1643" t="e">
        <f>+SUMIF(#REF!,Final!A3074,#REF!)</f>
        <v>#REF!</v>
      </c>
      <c r="D3074" s="1597" t="e">
        <f>+SUMIF(#REF!,Final!A3074,#REF!)</f>
        <v>#REF!</v>
      </c>
      <c r="E3074" s="1643" t="e">
        <f>SUMIF(#REF!,Final!A3074,#REF!)</f>
        <v>#REF!</v>
      </c>
      <c r="F3074" s="1644" t="e">
        <f>SUMIF(#REF!,Final!A3074,#REF!)</f>
        <v>#REF!</v>
      </c>
      <c r="G3074" s="1597" t="e">
        <f t="shared" si="344"/>
        <v>#REF!</v>
      </c>
      <c r="H3074" s="1644" t="e">
        <f t="shared" si="345"/>
        <v>#REF!</v>
      </c>
      <c r="I3074" s="1597" t="e">
        <f t="shared" si="346"/>
        <v>#REF!</v>
      </c>
      <c r="J3074" s="1644" t="e">
        <f t="shared" si="347"/>
        <v>#REF!</v>
      </c>
      <c r="M3074" s="1545"/>
      <c r="N3074" s="1545"/>
    </row>
    <row r="3075" spans="1:93" s="1542" customFormat="1" ht="15.5">
      <c r="A3075" s="1598">
        <v>75.805999999999997</v>
      </c>
      <c r="B3075" s="1599" t="s">
        <v>3128</v>
      </c>
      <c r="C3075" s="1643" t="e">
        <f>+SUMIF(#REF!,Final!A3075,#REF!)</f>
        <v>#REF!</v>
      </c>
      <c r="D3075" s="1597" t="e">
        <f>+SUMIF(#REF!,Final!A3075,#REF!)</f>
        <v>#REF!</v>
      </c>
      <c r="E3075" s="1643" t="e">
        <f>SUMIF(#REF!,Final!A3075,#REF!)</f>
        <v>#REF!</v>
      </c>
      <c r="F3075" s="1644" t="e">
        <f>SUMIF(#REF!,Final!A3075,#REF!)</f>
        <v>#REF!</v>
      </c>
      <c r="G3075" s="1597" t="e">
        <f t="shared" si="344"/>
        <v>#REF!</v>
      </c>
      <c r="H3075" s="1644" t="e">
        <f t="shared" si="345"/>
        <v>#REF!</v>
      </c>
      <c r="I3075" s="1597" t="e">
        <f t="shared" si="346"/>
        <v>#REF!</v>
      </c>
      <c r="J3075" s="1644" t="e">
        <f t="shared" si="347"/>
        <v>#REF!</v>
      </c>
      <c r="K3075" s="1539"/>
      <c r="L3075" s="1539"/>
      <c r="M3075" s="1545"/>
      <c r="N3075" s="1545"/>
      <c r="O3075" s="1539"/>
      <c r="P3075" s="1539"/>
      <c r="Q3075" s="1539"/>
      <c r="R3075" s="1539"/>
      <c r="S3075" s="1539"/>
      <c r="T3075" s="1539"/>
      <c r="U3075" s="1539"/>
      <c r="V3075" s="1539"/>
      <c r="W3075" s="1539"/>
      <c r="X3075" s="1539"/>
      <c r="Y3075" s="1539"/>
      <c r="Z3075" s="1539"/>
      <c r="AA3075" s="1539"/>
      <c r="AB3075" s="1539"/>
      <c r="AC3075" s="1539"/>
      <c r="AD3075" s="1539"/>
      <c r="AE3075" s="1539"/>
      <c r="AF3075" s="1539"/>
      <c r="AG3075" s="1539"/>
      <c r="AH3075" s="1539"/>
      <c r="AI3075" s="1539"/>
      <c r="AJ3075" s="1539"/>
      <c r="AK3075" s="1539"/>
      <c r="AL3075" s="1539"/>
      <c r="AM3075" s="1539"/>
      <c r="AN3075" s="1539"/>
      <c r="AO3075" s="1539"/>
      <c r="AP3075" s="1539"/>
      <c r="AQ3075" s="1539"/>
      <c r="AR3075" s="1539"/>
      <c r="AS3075" s="1539"/>
      <c r="AT3075" s="1539"/>
      <c r="AU3075" s="1539"/>
      <c r="AV3075" s="1539"/>
      <c r="AW3075" s="1539"/>
      <c r="AX3075" s="1539"/>
      <c r="AY3075" s="1539"/>
      <c r="AZ3075" s="1539"/>
      <c r="BA3075" s="1539"/>
      <c r="BB3075" s="1539"/>
      <c r="BC3075" s="1539"/>
      <c r="BD3075" s="1539"/>
      <c r="BE3075" s="1539"/>
      <c r="BF3075" s="1539"/>
      <c r="BG3075" s="1539"/>
      <c r="BH3075" s="1539"/>
      <c r="BI3075" s="1539"/>
      <c r="BJ3075" s="1539"/>
      <c r="BK3075" s="1539"/>
      <c r="BL3075" s="1539"/>
      <c r="BM3075" s="1539"/>
      <c r="BN3075" s="1539"/>
      <c r="BO3075" s="1539"/>
      <c r="BP3075" s="1539"/>
      <c r="BQ3075" s="1539"/>
      <c r="BR3075" s="1539"/>
      <c r="BS3075" s="1539"/>
      <c r="BT3075" s="1539"/>
      <c r="BU3075" s="1539"/>
      <c r="BV3075" s="1539"/>
      <c r="BW3075" s="1539"/>
      <c r="BX3075" s="1539"/>
      <c r="BY3075" s="1539"/>
      <c r="BZ3075" s="1539"/>
      <c r="CA3075" s="1539"/>
      <c r="CB3075" s="1539"/>
      <c r="CC3075" s="1539"/>
      <c r="CD3075" s="1539"/>
      <c r="CE3075" s="1539"/>
      <c r="CF3075" s="1539"/>
      <c r="CG3075" s="1539"/>
      <c r="CH3075" s="1539"/>
      <c r="CI3075" s="1539"/>
      <c r="CJ3075" s="1539"/>
      <c r="CK3075" s="1539"/>
      <c r="CL3075" s="1539"/>
      <c r="CM3075" s="1539"/>
      <c r="CN3075" s="1539"/>
      <c r="CO3075" s="1539"/>
    </row>
    <row r="3076" spans="1:93" ht="15.5">
      <c r="A3076" s="1598">
        <v>75.807000000000002</v>
      </c>
      <c r="B3076" s="1599" t="s">
        <v>3124</v>
      </c>
      <c r="C3076" s="1643" t="e">
        <f>+SUMIF(#REF!,Final!A3076,#REF!)</f>
        <v>#REF!</v>
      </c>
      <c r="D3076" s="1597" t="e">
        <f>+SUMIF(#REF!,Final!A3076,#REF!)</f>
        <v>#REF!</v>
      </c>
      <c r="E3076" s="1643" t="e">
        <f>SUMIF(#REF!,Final!A3076,#REF!)</f>
        <v>#REF!</v>
      </c>
      <c r="F3076" s="1644" t="e">
        <f>SUMIF(#REF!,Final!A3076,#REF!)</f>
        <v>#REF!</v>
      </c>
      <c r="G3076" s="1597" t="e">
        <f t="shared" si="344"/>
        <v>#REF!</v>
      </c>
      <c r="H3076" s="1644" t="e">
        <f t="shared" si="345"/>
        <v>#REF!</v>
      </c>
      <c r="I3076" s="1597" t="e">
        <f t="shared" si="346"/>
        <v>#REF!</v>
      </c>
      <c r="J3076" s="1644" t="e">
        <f t="shared" si="347"/>
        <v>#REF!</v>
      </c>
      <c r="M3076" s="1545"/>
      <c r="N3076" s="1545"/>
    </row>
    <row r="3077" spans="1:93" ht="15.5">
      <c r="A3077" s="1598">
        <v>75.808000000000007</v>
      </c>
      <c r="B3077" s="1599" t="s">
        <v>4788</v>
      </c>
      <c r="C3077" s="1643" t="e">
        <f>+SUMIF(#REF!,Final!A3077,#REF!)</f>
        <v>#REF!</v>
      </c>
      <c r="D3077" s="1597" t="e">
        <f>+SUMIF(#REF!,Final!A3077,#REF!)</f>
        <v>#REF!</v>
      </c>
      <c r="E3077" s="1643" t="e">
        <f>SUMIF(#REF!,Final!A3077,#REF!)</f>
        <v>#REF!</v>
      </c>
      <c r="F3077" s="1644" t="e">
        <f>SUMIF(#REF!,Final!A3077,#REF!)</f>
        <v>#REF!</v>
      </c>
      <c r="G3077" s="1597" t="e">
        <f t="shared" si="344"/>
        <v>#REF!</v>
      </c>
      <c r="H3077" s="1644" t="e">
        <f t="shared" si="345"/>
        <v>#REF!</v>
      </c>
      <c r="I3077" s="1597" t="e">
        <f t="shared" si="346"/>
        <v>#REF!</v>
      </c>
      <c r="J3077" s="1644" t="e">
        <f t="shared" si="347"/>
        <v>#REF!</v>
      </c>
      <c r="M3077" s="1545"/>
      <c r="N3077" s="1545"/>
    </row>
    <row r="3078" spans="1:93" s="1542" customFormat="1" ht="15.5">
      <c r="A3078" s="1598">
        <v>75.89</v>
      </c>
      <c r="B3078" s="1599" t="s">
        <v>3125</v>
      </c>
      <c r="C3078" s="1643" t="e">
        <f>+SUMIF(#REF!,Final!A3078,#REF!)</f>
        <v>#REF!</v>
      </c>
      <c r="D3078" s="1597" t="e">
        <f>+SUMIF(#REF!,Final!A3078,#REF!)</f>
        <v>#REF!</v>
      </c>
      <c r="E3078" s="1643" t="e">
        <f>SUMIF(#REF!,Final!A3078,#REF!)</f>
        <v>#REF!</v>
      </c>
      <c r="F3078" s="1644" t="e">
        <f>SUMIF(#REF!,Final!A3078,#REF!)</f>
        <v>#REF!</v>
      </c>
      <c r="G3078" s="1597" t="e">
        <f t="shared" si="344"/>
        <v>#REF!</v>
      </c>
      <c r="H3078" s="1644" t="e">
        <f t="shared" si="345"/>
        <v>#REF!</v>
      </c>
      <c r="I3078" s="1597" t="e">
        <f t="shared" si="346"/>
        <v>#REF!</v>
      </c>
      <c r="J3078" s="1644" t="e">
        <f t="shared" si="347"/>
        <v>#REF!</v>
      </c>
      <c r="K3078" s="1539"/>
      <c r="L3078" s="1539"/>
      <c r="M3078" s="1545"/>
      <c r="N3078" s="1545"/>
      <c r="O3078" s="1539"/>
      <c r="P3078" s="1539"/>
      <c r="Q3078" s="1539"/>
      <c r="R3078" s="1539"/>
      <c r="S3078" s="1539"/>
      <c r="T3078" s="1539"/>
      <c r="U3078" s="1539"/>
      <c r="V3078" s="1539"/>
      <c r="W3078" s="1539"/>
      <c r="X3078" s="1539"/>
      <c r="Y3078" s="1539"/>
      <c r="Z3078" s="1539"/>
      <c r="AA3078" s="1539"/>
      <c r="AB3078" s="1539"/>
      <c r="AC3078" s="1539"/>
      <c r="AD3078" s="1539"/>
      <c r="AE3078" s="1539"/>
      <c r="AF3078" s="1539"/>
      <c r="AG3078" s="1539"/>
      <c r="AH3078" s="1539"/>
      <c r="AI3078" s="1539"/>
      <c r="AJ3078" s="1539"/>
      <c r="AK3078" s="1539"/>
      <c r="AL3078" s="1539"/>
      <c r="AM3078" s="1539"/>
      <c r="AN3078" s="1539"/>
      <c r="AO3078" s="1539"/>
      <c r="AP3078" s="1539"/>
      <c r="AQ3078" s="1539"/>
      <c r="AR3078" s="1539"/>
      <c r="AS3078" s="1539"/>
      <c r="AT3078" s="1539"/>
      <c r="AU3078" s="1539"/>
      <c r="AV3078" s="1539"/>
      <c r="AW3078" s="1539"/>
      <c r="AX3078" s="1539"/>
      <c r="AY3078" s="1539"/>
      <c r="AZ3078" s="1539"/>
      <c r="BA3078" s="1539"/>
      <c r="BB3078" s="1539"/>
      <c r="BC3078" s="1539"/>
      <c r="BD3078" s="1539"/>
      <c r="BE3078" s="1539"/>
      <c r="BF3078" s="1539"/>
      <c r="BG3078" s="1539"/>
      <c r="BH3078" s="1539"/>
      <c r="BI3078" s="1539"/>
      <c r="BJ3078" s="1539"/>
      <c r="BK3078" s="1539"/>
      <c r="BL3078" s="1539"/>
      <c r="BM3078" s="1539"/>
      <c r="BN3078" s="1539"/>
      <c r="BO3078" s="1539"/>
      <c r="BP3078" s="1539"/>
      <c r="BQ3078" s="1539"/>
      <c r="BR3078" s="1539"/>
      <c r="BS3078" s="1539"/>
      <c r="BT3078" s="1539"/>
      <c r="BU3078" s="1539"/>
      <c r="BV3078" s="1539"/>
      <c r="BW3078" s="1539"/>
      <c r="BX3078" s="1539"/>
      <c r="BY3078" s="1539"/>
      <c r="BZ3078" s="1539"/>
      <c r="CA3078" s="1539"/>
      <c r="CB3078" s="1539"/>
      <c r="CC3078" s="1539"/>
      <c r="CD3078" s="1539"/>
      <c r="CE3078" s="1539"/>
      <c r="CF3078" s="1539"/>
      <c r="CG3078" s="1539"/>
      <c r="CH3078" s="1539"/>
      <c r="CI3078" s="1539"/>
      <c r="CJ3078" s="1539"/>
      <c r="CK3078" s="1539"/>
      <c r="CL3078" s="1539"/>
      <c r="CM3078" s="1539"/>
      <c r="CN3078" s="1539"/>
      <c r="CO3078" s="1539"/>
    </row>
    <row r="3079" spans="1:93" s="1552" customFormat="1" ht="15.5">
      <c r="A3079" s="1598"/>
      <c r="B3079" s="1599" t="s">
        <v>1747</v>
      </c>
      <c r="C3079" s="1643" t="e">
        <f>+SUMIF(#REF!,Final!A3079,#REF!)</f>
        <v>#REF!</v>
      </c>
      <c r="D3079" s="1597" t="e">
        <f>+SUMIF(#REF!,Final!A3079,#REF!)</f>
        <v>#REF!</v>
      </c>
      <c r="E3079" s="1643" t="e">
        <f>SUMIF(#REF!,Final!A3079,#REF!)</f>
        <v>#REF!</v>
      </c>
      <c r="F3079" s="1644" t="e">
        <f>SUMIF(#REF!,Final!A3079,#REF!)</f>
        <v>#REF!</v>
      </c>
      <c r="G3079" s="1597" t="e">
        <f t="shared" si="344"/>
        <v>#REF!</v>
      </c>
      <c r="H3079" s="1644" t="e">
        <f t="shared" si="345"/>
        <v>#REF!</v>
      </c>
      <c r="I3079" s="1597" t="e">
        <f t="shared" si="346"/>
        <v>#REF!</v>
      </c>
      <c r="J3079" s="1644" t="e">
        <f t="shared" si="347"/>
        <v>#REF!</v>
      </c>
      <c r="K3079" s="1539"/>
      <c r="L3079" s="1539"/>
      <c r="M3079" s="1545"/>
      <c r="N3079" s="1545"/>
      <c r="O3079" s="1539"/>
      <c r="P3079" s="1539"/>
      <c r="Q3079" s="1539"/>
      <c r="R3079" s="1539"/>
      <c r="S3079" s="1539"/>
      <c r="T3079" s="1539"/>
      <c r="U3079" s="1539"/>
      <c r="V3079" s="1539"/>
      <c r="W3079" s="1539"/>
      <c r="X3079" s="1539"/>
      <c r="Y3079" s="1539"/>
      <c r="Z3079" s="1539"/>
      <c r="AA3079" s="1539"/>
      <c r="AB3079" s="1539"/>
      <c r="AC3079" s="1539"/>
      <c r="AD3079" s="1539"/>
      <c r="AE3079" s="1539"/>
      <c r="AF3079" s="1539"/>
      <c r="AG3079" s="1539"/>
      <c r="AH3079" s="1539"/>
      <c r="AI3079" s="1539"/>
      <c r="AJ3079" s="1539"/>
      <c r="AK3079" s="1539"/>
      <c r="AL3079" s="1539"/>
      <c r="AM3079" s="1539"/>
      <c r="AN3079" s="1539"/>
      <c r="AO3079" s="1539"/>
      <c r="AP3079" s="1539"/>
      <c r="AQ3079" s="1539"/>
      <c r="AR3079" s="1539"/>
      <c r="AS3079" s="1539"/>
      <c r="AT3079" s="1539"/>
      <c r="AU3079" s="1539"/>
      <c r="AV3079" s="1539"/>
      <c r="AW3079" s="1539"/>
      <c r="AX3079" s="1539"/>
      <c r="AY3079" s="1539"/>
      <c r="AZ3079" s="1539"/>
      <c r="BA3079" s="1539"/>
      <c r="BB3079" s="1539"/>
      <c r="BC3079" s="1539"/>
      <c r="BD3079" s="1539"/>
      <c r="BE3079" s="1539"/>
      <c r="BF3079" s="1539"/>
      <c r="BG3079" s="1539"/>
      <c r="BH3079" s="1539"/>
      <c r="BI3079" s="1539"/>
      <c r="BJ3079" s="1539"/>
      <c r="BK3079" s="1539"/>
      <c r="BL3079" s="1539"/>
      <c r="BM3079" s="1539"/>
      <c r="BN3079" s="1539"/>
      <c r="BO3079" s="1539"/>
      <c r="BP3079" s="1539"/>
      <c r="BQ3079" s="1539"/>
      <c r="BR3079" s="1539"/>
      <c r="BS3079" s="1539"/>
      <c r="BT3079" s="1539"/>
      <c r="BU3079" s="1539"/>
      <c r="BV3079" s="1539"/>
      <c r="BW3079" s="1539"/>
      <c r="BX3079" s="1539"/>
      <c r="BY3079" s="1539"/>
      <c r="BZ3079" s="1539"/>
      <c r="CA3079" s="1539"/>
      <c r="CB3079" s="1539"/>
      <c r="CC3079" s="1539"/>
      <c r="CD3079" s="1539"/>
      <c r="CE3079" s="1539"/>
      <c r="CF3079" s="1539"/>
      <c r="CG3079" s="1539"/>
      <c r="CH3079" s="1539"/>
      <c r="CI3079" s="1539"/>
      <c r="CJ3079" s="1539"/>
      <c r="CK3079" s="1539"/>
      <c r="CL3079" s="1539"/>
      <c r="CM3079" s="1539"/>
      <c r="CN3079" s="1539"/>
      <c r="CO3079" s="1539"/>
    </row>
    <row r="3080" spans="1:93" s="1552" customFormat="1" ht="16" thickBot="1">
      <c r="A3080" s="1598"/>
      <c r="B3080" s="1599" t="s">
        <v>1760</v>
      </c>
      <c r="C3080" s="1643" t="e">
        <f>+SUMIF(#REF!,Final!A3080,#REF!)</f>
        <v>#REF!</v>
      </c>
      <c r="D3080" s="1597" t="e">
        <f>+SUMIF(#REF!,Final!A3080,#REF!)</f>
        <v>#REF!</v>
      </c>
      <c r="E3080" s="1643" t="e">
        <f>SUMIF(#REF!,Final!A3080,#REF!)</f>
        <v>#REF!</v>
      </c>
      <c r="F3080" s="1644" t="e">
        <f>SUMIF(#REF!,Final!A3080,#REF!)</f>
        <v>#REF!</v>
      </c>
      <c r="G3080" s="1597" t="e">
        <f t="shared" si="344"/>
        <v>#REF!</v>
      </c>
      <c r="H3080" s="1644" t="e">
        <f t="shared" si="345"/>
        <v>#REF!</v>
      </c>
      <c r="I3080" s="1597" t="e">
        <f t="shared" si="346"/>
        <v>#REF!</v>
      </c>
      <c r="J3080" s="1644" t="e">
        <f t="shared" si="347"/>
        <v>#REF!</v>
      </c>
      <c r="K3080" s="1539"/>
      <c r="L3080" s="1539"/>
      <c r="M3080" s="1545"/>
      <c r="N3080" s="1545"/>
      <c r="O3080" s="1539"/>
      <c r="P3080" s="1539"/>
      <c r="Q3080" s="1539"/>
      <c r="R3080" s="1539"/>
      <c r="S3080" s="1539"/>
      <c r="T3080" s="1539"/>
      <c r="U3080" s="1539"/>
      <c r="V3080" s="1539"/>
      <c r="W3080" s="1539"/>
      <c r="X3080" s="1539"/>
      <c r="Y3080" s="1539"/>
      <c r="Z3080" s="1539"/>
      <c r="AA3080" s="1539"/>
      <c r="AB3080" s="1539"/>
      <c r="AC3080" s="1539"/>
      <c r="AD3080" s="1539"/>
      <c r="AE3080" s="1539"/>
      <c r="AF3080" s="1539"/>
      <c r="AG3080" s="1539"/>
      <c r="AH3080" s="1539"/>
      <c r="AI3080" s="1539"/>
      <c r="AJ3080" s="1539"/>
      <c r="AK3080" s="1539"/>
      <c r="AL3080" s="1539"/>
      <c r="AM3080" s="1539"/>
      <c r="AN3080" s="1539"/>
      <c r="AO3080" s="1539"/>
      <c r="AP3080" s="1539"/>
      <c r="AQ3080" s="1539"/>
      <c r="AR3080" s="1539"/>
      <c r="AS3080" s="1539"/>
      <c r="AT3080" s="1539"/>
      <c r="AU3080" s="1539"/>
      <c r="AV3080" s="1539"/>
      <c r="AW3080" s="1539"/>
      <c r="AX3080" s="1539"/>
      <c r="AY3080" s="1539"/>
      <c r="AZ3080" s="1539"/>
      <c r="BA3080" s="1539"/>
      <c r="BB3080" s="1539"/>
      <c r="BC3080" s="1539"/>
      <c r="BD3080" s="1539"/>
      <c r="BE3080" s="1539"/>
      <c r="BF3080" s="1539"/>
      <c r="BG3080" s="1539"/>
      <c r="BH3080" s="1539"/>
      <c r="BI3080" s="1539"/>
      <c r="BJ3080" s="1539"/>
      <c r="BK3080" s="1539"/>
      <c r="BL3080" s="1539"/>
      <c r="BM3080" s="1539"/>
      <c r="BN3080" s="1539"/>
      <c r="BO3080" s="1539"/>
      <c r="BP3080" s="1539"/>
      <c r="BQ3080" s="1539"/>
      <c r="BR3080" s="1539"/>
      <c r="BS3080" s="1539"/>
      <c r="BT3080" s="1539"/>
      <c r="BU3080" s="1539"/>
      <c r="BV3080" s="1539"/>
      <c r="BW3080" s="1539"/>
      <c r="BX3080" s="1539"/>
      <c r="BY3080" s="1539"/>
      <c r="BZ3080" s="1539"/>
      <c r="CA3080" s="1539"/>
      <c r="CB3080" s="1539"/>
      <c r="CC3080" s="1539"/>
      <c r="CD3080" s="1539"/>
      <c r="CE3080" s="1539"/>
      <c r="CF3080" s="1539"/>
      <c r="CG3080" s="1539"/>
      <c r="CH3080" s="1539"/>
      <c r="CI3080" s="1539"/>
      <c r="CJ3080" s="1539"/>
      <c r="CK3080" s="1539"/>
      <c r="CL3080" s="1539"/>
      <c r="CM3080" s="1539"/>
      <c r="CN3080" s="1539"/>
      <c r="CO3080" s="1539"/>
    </row>
    <row r="3081" spans="1:93" s="1552" customFormat="1" ht="15.5">
      <c r="A3081" s="1875">
        <v>75.811000000000007</v>
      </c>
      <c r="B3081" s="1876" t="s">
        <v>5485</v>
      </c>
      <c r="C3081" s="1643" t="e">
        <f>+SUMIF(#REF!,Final!A3081,#REF!)</f>
        <v>#REF!</v>
      </c>
      <c r="D3081" s="1597" t="e">
        <f>+SUMIF(#REF!,Final!A3081,#REF!)</f>
        <v>#REF!</v>
      </c>
      <c r="E3081" s="1643" t="e">
        <f>SUMIF(#REF!,Final!A3081,#REF!)</f>
        <v>#REF!</v>
      </c>
      <c r="F3081" s="1644" t="e">
        <f>SUMIF(#REF!,Final!A3081,#REF!)</f>
        <v>#REF!</v>
      </c>
      <c r="G3081" s="1597" t="e">
        <f t="shared" ref="G3081:G3089" si="348">C3081+E3081</f>
        <v>#REF!</v>
      </c>
      <c r="H3081" s="1644" t="e">
        <f t="shared" ref="H3081:H3089" si="349">D3081+F3081</f>
        <v>#REF!</v>
      </c>
      <c r="I3081" s="1597" t="e">
        <f t="shared" ref="I3081:I3089" si="350">IF(G3081&gt;H3081,G3081-H3081,0)</f>
        <v>#REF!</v>
      </c>
      <c r="J3081" s="1644" t="e">
        <f t="shared" ref="J3081:J3089" si="351">IF(H3081&gt;G3081,H3081-G3081,0)</f>
        <v>#REF!</v>
      </c>
      <c r="K3081" s="1539"/>
      <c r="L3081" s="1539"/>
      <c r="M3081" s="1545"/>
      <c r="N3081" s="1545"/>
      <c r="O3081" s="1539"/>
      <c r="P3081" s="1539"/>
      <c r="Q3081" s="1539"/>
      <c r="R3081" s="1539"/>
      <c r="S3081" s="1539"/>
      <c r="T3081" s="1539"/>
      <c r="U3081" s="1539"/>
      <c r="V3081" s="1539"/>
      <c r="W3081" s="1539"/>
      <c r="X3081" s="1539"/>
      <c r="Y3081" s="1539"/>
      <c r="Z3081" s="1539"/>
      <c r="AA3081" s="1539"/>
      <c r="AB3081" s="1539"/>
      <c r="AC3081" s="1539"/>
      <c r="AD3081" s="1539"/>
      <c r="AE3081" s="1539"/>
      <c r="AF3081" s="1539"/>
      <c r="AG3081" s="1539"/>
      <c r="AH3081" s="1539"/>
      <c r="AI3081" s="1539"/>
      <c r="AJ3081" s="1539"/>
      <c r="AK3081" s="1539"/>
      <c r="AL3081" s="1539"/>
      <c r="AM3081" s="1539"/>
      <c r="AN3081" s="1539"/>
      <c r="AO3081" s="1539"/>
      <c r="AP3081" s="1539"/>
      <c r="AQ3081" s="1539"/>
      <c r="AR3081" s="1539"/>
      <c r="AS3081" s="1539"/>
      <c r="AT3081" s="1539"/>
      <c r="AU3081" s="1539"/>
      <c r="AV3081" s="1539"/>
      <c r="AW3081" s="1539"/>
      <c r="AX3081" s="1539"/>
      <c r="AY3081" s="1539"/>
      <c r="AZ3081" s="1539"/>
      <c r="BA3081" s="1539"/>
      <c r="BB3081" s="1539"/>
      <c r="BC3081" s="1539"/>
      <c r="BD3081" s="1539"/>
      <c r="BE3081" s="1539"/>
      <c r="BF3081" s="1539"/>
      <c r="BG3081" s="1539"/>
      <c r="BH3081" s="1539"/>
      <c r="BI3081" s="1539"/>
      <c r="BJ3081" s="1539"/>
      <c r="BK3081" s="1539"/>
      <c r="BL3081" s="1539"/>
      <c r="BM3081" s="1539"/>
      <c r="BN3081" s="1539"/>
      <c r="BO3081" s="1539"/>
      <c r="BP3081" s="1539"/>
      <c r="BQ3081" s="1539"/>
      <c r="BR3081" s="1539"/>
      <c r="BS3081" s="1539"/>
      <c r="BT3081" s="1539"/>
      <c r="BU3081" s="1539"/>
      <c r="BV3081" s="1539"/>
      <c r="BW3081" s="1539"/>
      <c r="BX3081" s="1539"/>
      <c r="BY3081" s="1539"/>
      <c r="BZ3081" s="1539"/>
      <c r="CA3081" s="1539"/>
      <c r="CB3081" s="1539"/>
      <c r="CC3081" s="1539"/>
      <c r="CD3081" s="1539"/>
      <c r="CE3081" s="1539"/>
      <c r="CF3081" s="1539"/>
      <c r="CG3081" s="1539"/>
      <c r="CH3081" s="1539"/>
      <c r="CI3081" s="1539"/>
      <c r="CJ3081" s="1539"/>
      <c r="CK3081" s="1539"/>
      <c r="CL3081" s="1539"/>
      <c r="CM3081" s="1539"/>
      <c r="CN3081" s="1539"/>
      <c r="CO3081" s="1539"/>
    </row>
    <row r="3082" spans="1:93" s="1552" customFormat="1" ht="15.5">
      <c r="A3082" s="1877">
        <v>75.811999999999998</v>
      </c>
      <c r="B3082" s="1878" t="s">
        <v>5486</v>
      </c>
      <c r="C3082" s="1643" t="e">
        <f>+SUMIF(#REF!,Final!A3082,#REF!)</f>
        <v>#REF!</v>
      </c>
      <c r="D3082" s="1597" t="e">
        <f>+SUMIF(#REF!,Final!A3082,#REF!)</f>
        <v>#REF!</v>
      </c>
      <c r="E3082" s="1643" t="e">
        <f>SUMIF(#REF!,Final!A3082,#REF!)</f>
        <v>#REF!</v>
      </c>
      <c r="F3082" s="1644" t="e">
        <f>SUMIF(#REF!,Final!A3082,#REF!)</f>
        <v>#REF!</v>
      </c>
      <c r="G3082" s="1597" t="e">
        <f t="shared" si="348"/>
        <v>#REF!</v>
      </c>
      <c r="H3082" s="1644" t="e">
        <f t="shared" si="349"/>
        <v>#REF!</v>
      </c>
      <c r="I3082" s="1597" t="e">
        <f t="shared" si="350"/>
        <v>#REF!</v>
      </c>
      <c r="J3082" s="1644" t="e">
        <f t="shared" si="351"/>
        <v>#REF!</v>
      </c>
      <c r="K3082" s="1539"/>
      <c r="L3082" s="1539"/>
      <c r="M3082" s="1545"/>
      <c r="N3082" s="1545"/>
      <c r="O3082" s="1539"/>
      <c r="P3082" s="1539"/>
      <c r="Q3082" s="1539"/>
      <c r="R3082" s="1539"/>
      <c r="S3082" s="1539"/>
      <c r="T3082" s="1539"/>
      <c r="U3082" s="1539"/>
      <c r="V3082" s="1539"/>
      <c r="W3082" s="1539"/>
      <c r="X3082" s="1539"/>
      <c r="Y3082" s="1539"/>
      <c r="Z3082" s="1539"/>
      <c r="AA3082" s="1539"/>
      <c r="AB3082" s="1539"/>
      <c r="AC3082" s="1539"/>
      <c r="AD3082" s="1539"/>
      <c r="AE3082" s="1539"/>
      <c r="AF3082" s="1539"/>
      <c r="AG3082" s="1539"/>
      <c r="AH3082" s="1539"/>
      <c r="AI3082" s="1539"/>
      <c r="AJ3082" s="1539"/>
      <c r="AK3082" s="1539"/>
      <c r="AL3082" s="1539"/>
      <c r="AM3082" s="1539"/>
      <c r="AN3082" s="1539"/>
      <c r="AO3082" s="1539"/>
      <c r="AP3082" s="1539"/>
      <c r="AQ3082" s="1539"/>
      <c r="AR3082" s="1539"/>
      <c r="AS3082" s="1539"/>
      <c r="AT3082" s="1539"/>
      <c r="AU3082" s="1539"/>
      <c r="AV3082" s="1539"/>
      <c r="AW3082" s="1539"/>
      <c r="AX3082" s="1539"/>
      <c r="AY3082" s="1539"/>
      <c r="AZ3082" s="1539"/>
      <c r="BA3082" s="1539"/>
      <c r="BB3082" s="1539"/>
      <c r="BC3082" s="1539"/>
      <c r="BD3082" s="1539"/>
      <c r="BE3082" s="1539"/>
      <c r="BF3082" s="1539"/>
      <c r="BG3082" s="1539"/>
      <c r="BH3082" s="1539"/>
      <c r="BI3082" s="1539"/>
      <c r="BJ3082" s="1539"/>
      <c r="BK3082" s="1539"/>
      <c r="BL3082" s="1539"/>
      <c r="BM3082" s="1539"/>
      <c r="BN3082" s="1539"/>
      <c r="BO3082" s="1539"/>
      <c r="BP3082" s="1539"/>
      <c r="BQ3082" s="1539"/>
      <c r="BR3082" s="1539"/>
      <c r="BS3082" s="1539"/>
      <c r="BT3082" s="1539"/>
      <c r="BU3082" s="1539"/>
      <c r="BV3082" s="1539"/>
      <c r="BW3082" s="1539"/>
      <c r="BX3082" s="1539"/>
      <c r="BY3082" s="1539"/>
      <c r="BZ3082" s="1539"/>
      <c r="CA3082" s="1539"/>
      <c r="CB3082" s="1539"/>
      <c r="CC3082" s="1539"/>
      <c r="CD3082" s="1539"/>
      <c r="CE3082" s="1539"/>
      <c r="CF3082" s="1539"/>
      <c r="CG3082" s="1539"/>
      <c r="CH3082" s="1539"/>
      <c r="CI3082" s="1539"/>
      <c r="CJ3082" s="1539"/>
      <c r="CK3082" s="1539"/>
      <c r="CL3082" s="1539"/>
      <c r="CM3082" s="1539"/>
      <c r="CN3082" s="1539"/>
      <c r="CO3082" s="1539"/>
    </row>
    <row r="3083" spans="1:93" s="1552" customFormat="1" ht="15.5">
      <c r="A3083" s="1877">
        <v>75.813000000000002</v>
      </c>
      <c r="B3083" s="1878" t="s">
        <v>5487</v>
      </c>
      <c r="C3083" s="1643" t="e">
        <f>+SUMIF(#REF!,Final!A3083,#REF!)</f>
        <v>#REF!</v>
      </c>
      <c r="D3083" s="1597" t="e">
        <f>+SUMIF(#REF!,Final!A3083,#REF!)</f>
        <v>#REF!</v>
      </c>
      <c r="E3083" s="1643" t="e">
        <f>SUMIF(#REF!,Final!A3083,#REF!)</f>
        <v>#REF!</v>
      </c>
      <c r="F3083" s="1644" t="e">
        <f>SUMIF(#REF!,Final!A3083,#REF!)</f>
        <v>#REF!</v>
      </c>
      <c r="G3083" s="1597" t="e">
        <f t="shared" si="348"/>
        <v>#REF!</v>
      </c>
      <c r="H3083" s="1644" t="e">
        <f t="shared" si="349"/>
        <v>#REF!</v>
      </c>
      <c r="I3083" s="1597" t="e">
        <f t="shared" si="350"/>
        <v>#REF!</v>
      </c>
      <c r="J3083" s="1644" t="e">
        <f t="shared" si="351"/>
        <v>#REF!</v>
      </c>
      <c r="K3083" s="1539"/>
      <c r="L3083" s="1539"/>
      <c r="M3083" s="1545"/>
      <c r="N3083" s="1545"/>
      <c r="O3083" s="1539"/>
      <c r="P3083" s="1539"/>
      <c r="Q3083" s="1539"/>
      <c r="R3083" s="1539"/>
      <c r="S3083" s="1539"/>
      <c r="T3083" s="1539"/>
      <c r="U3083" s="1539"/>
      <c r="V3083" s="1539"/>
      <c r="W3083" s="1539"/>
      <c r="X3083" s="1539"/>
      <c r="Y3083" s="1539"/>
      <c r="Z3083" s="1539"/>
      <c r="AA3083" s="1539"/>
      <c r="AB3083" s="1539"/>
      <c r="AC3083" s="1539"/>
      <c r="AD3083" s="1539"/>
      <c r="AE3083" s="1539"/>
      <c r="AF3083" s="1539"/>
      <c r="AG3083" s="1539"/>
      <c r="AH3083" s="1539"/>
      <c r="AI3083" s="1539"/>
      <c r="AJ3083" s="1539"/>
      <c r="AK3083" s="1539"/>
      <c r="AL3083" s="1539"/>
      <c r="AM3083" s="1539"/>
      <c r="AN3083" s="1539"/>
      <c r="AO3083" s="1539"/>
      <c r="AP3083" s="1539"/>
      <c r="AQ3083" s="1539"/>
      <c r="AR3083" s="1539"/>
      <c r="AS3083" s="1539"/>
      <c r="AT3083" s="1539"/>
      <c r="AU3083" s="1539"/>
      <c r="AV3083" s="1539"/>
      <c r="AW3083" s="1539"/>
      <c r="AX3083" s="1539"/>
      <c r="AY3083" s="1539"/>
      <c r="AZ3083" s="1539"/>
      <c r="BA3083" s="1539"/>
      <c r="BB3083" s="1539"/>
      <c r="BC3083" s="1539"/>
      <c r="BD3083" s="1539"/>
      <c r="BE3083" s="1539"/>
      <c r="BF3083" s="1539"/>
      <c r="BG3083" s="1539"/>
      <c r="BH3083" s="1539"/>
      <c r="BI3083" s="1539"/>
      <c r="BJ3083" s="1539"/>
      <c r="BK3083" s="1539"/>
      <c r="BL3083" s="1539"/>
      <c r="BM3083" s="1539"/>
      <c r="BN3083" s="1539"/>
      <c r="BO3083" s="1539"/>
      <c r="BP3083" s="1539"/>
      <c r="BQ3083" s="1539"/>
      <c r="BR3083" s="1539"/>
      <c r="BS3083" s="1539"/>
      <c r="BT3083" s="1539"/>
      <c r="BU3083" s="1539"/>
      <c r="BV3083" s="1539"/>
      <c r="BW3083" s="1539"/>
      <c r="BX3083" s="1539"/>
      <c r="BY3083" s="1539"/>
      <c r="BZ3083" s="1539"/>
      <c r="CA3083" s="1539"/>
      <c r="CB3083" s="1539"/>
      <c r="CC3083" s="1539"/>
      <c r="CD3083" s="1539"/>
      <c r="CE3083" s="1539"/>
      <c r="CF3083" s="1539"/>
      <c r="CG3083" s="1539"/>
      <c r="CH3083" s="1539"/>
      <c r="CI3083" s="1539"/>
      <c r="CJ3083" s="1539"/>
      <c r="CK3083" s="1539"/>
      <c r="CL3083" s="1539"/>
      <c r="CM3083" s="1539"/>
      <c r="CN3083" s="1539"/>
      <c r="CO3083" s="1539"/>
    </row>
    <row r="3084" spans="1:93" s="1552" customFormat="1" ht="15.5">
      <c r="A3084" s="1877">
        <v>75.813999999999993</v>
      </c>
      <c r="B3084" s="1878" t="s">
        <v>5488</v>
      </c>
      <c r="C3084" s="1643" t="e">
        <f>+SUMIF(#REF!,Final!A3084,#REF!)</f>
        <v>#REF!</v>
      </c>
      <c r="D3084" s="1597" t="e">
        <f>+SUMIF(#REF!,Final!A3084,#REF!)</f>
        <v>#REF!</v>
      </c>
      <c r="E3084" s="1643" t="e">
        <f>SUMIF(#REF!,Final!A3084,#REF!)</f>
        <v>#REF!</v>
      </c>
      <c r="F3084" s="1644" t="e">
        <f>SUMIF(#REF!,Final!A3084,#REF!)</f>
        <v>#REF!</v>
      </c>
      <c r="G3084" s="1597" t="e">
        <f t="shared" si="348"/>
        <v>#REF!</v>
      </c>
      <c r="H3084" s="1644" t="e">
        <f t="shared" si="349"/>
        <v>#REF!</v>
      </c>
      <c r="I3084" s="1597" t="e">
        <f t="shared" si="350"/>
        <v>#REF!</v>
      </c>
      <c r="J3084" s="1644" t="e">
        <f t="shared" si="351"/>
        <v>#REF!</v>
      </c>
      <c r="K3084" s="1539"/>
      <c r="L3084" s="1539"/>
      <c r="M3084" s="1545"/>
      <c r="N3084" s="1545"/>
      <c r="O3084" s="1539"/>
      <c r="P3084" s="1539"/>
      <c r="Q3084" s="1539"/>
      <c r="R3084" s="1539"/>
      <c r="S3084" s="1539"/>
      <c r="T3084" s="1539"/>
      <c r="U3084" s="1539"/>
      <c r="V3084" s="1539"/>
      <c r="W3084" s="1539"/>
      <c r="X3084" s="1539"/>
      <c r="Y3084" s="1539"/>
      <c r="Z3084" s="1539"/>
      <c r="AA3084" s="1539"/>
      <c r="AB3084" s="1539"/>
      <c r="AC3084" s="1539"/>
      <c r="AD3084" s="1539"/>
      <c r="AE3084" s="1539"/>
      <c r="AF3084" s="1539"/>
      <c r="AG3084" s="1539"/>
      <c r="AH3084" s="1539"/>
      <c r="AI3084" s="1539"/>
      <c r="AJ3084" s="1539"/>
      <c r="AK3084" s="1539"/>
      <c r="AL3084" s="1539"/>
      <c r="AM3084" s="1539"/>
      <c r="AN3084" s="1539"/>
      <c r="AO3084" s="1539"/>
      <c r="AP3084" s="1539"/>
      <c r="AQ3084" s="1539"/>
      <c r="AR3084" s="1539"/>
      <c r="AS3084" s="1539"/>
      <c r="AT3084" s="1539"/>
      <c r="AU3084" s="1539"/>
      <c r="AV3084" s="1539"/>
      <c r="AW3084" s="1539"/>
      <c r="AX3084" s="1539"/>
      <c r="AY3084" s="1539"/>
      <c r="AZ3084" s="1539"/>
      <c r="BA3084" s="1539"/>
      <c r="BB3084" s="1539"/>
      <c r="BC3084" s="1539"/>
      <c r="BD3084" s="1539"/>
      <c r="BE3084" s="1539"/>
      <c r="BF3084" s="1539"/>
      <c r="BG3084" s="1539"/>
      <c r="BH3084" s="1539"/>
      <c r="BI3084" s="1539"/>
      <c r="BJ3084" s="1539"/>
      <c r="BK3084" s="1539"/>
      <c r="BL3084" s="1539"/>
      <c r="BM3084" s="1539"/>
      <c r="BN3084" s="1539"/>
      <c r="BO3084" s="1539"/>
      <c r="BP3084" s="1539"/>
      <c r="BQ3084" s="1539"/>
      <c r="BR3084" s="1539"/>
      <c r="BS3084" s="1539"/>
      <c r="BT3084" s="1539"/>
      <c r="BU3084" s="1539"/>
      <c r="BV3084" s="1539"/>
      <c r="BW3084" s="1539"/>
      <c r="BX3084" s="1539"/>
      <c r="BY3084" s="1539"/>
      <c r="BZ3084" s="1539"/>
      <c r="CA3084" s="1539"/>
      <c r="CB3084" s="1539"/>
      <c r="CC3084" s="1539"/>
      <c r="CD3084" s="1539"/>
      <c r="CE3084" s="1539"/>
      <c r="CF3084" s="1539"/>
      <c r="CG3084" s="1539"/>
      <c r="CH3084" s="1539"/>
      <c r="CI3084" s="1539"/>
      <c r="CJ3084" s="1539"/>
      <c r="CK3084" s="1539"/>
      <c r="CL3084" s="1539"/>
      <c r="CM3084" s="1539"/>
      <c r="CN3084" s="1539"/>
      <c r="CO3084" s="1539"/>
    </row>
    <row r="3085" spans="1:93" s="1552" customFormat="1" ht="15.5">
      <c r="A3085" s="1877">
        <v>75.814999999999998</v>
      </c>
      <c r="B3085" s="1878" t="s">
        <v>5489</v>
      </c>
      <c r="C3085" s="1643" t="e">
        <f>+SUMIF(#REF!,Final!A3085,#REF!)</f>
        <v>#REF!</v>
      </c>
      <c r="D3085" s="1597" t="e">
        <f>+SUMIF(#REF!,Final!A3085,#REF!)</f>
        <v>#REF!</v>
      </c>
      <c r="E3085" s="1643" t="e">
        <f>SUMIF(#REF!,Final!A3085,#REF!)</f>
        <v>#REF!</v>
      </c>
      <c r="F3085" s="1644" t="e">
        <f>SUMIF(#REF!,Final!A3085,#REF!)</f>
        <v>#REF!</v>
      </c>
      <c r="G3085" s="1597" t="e">
        <f t="shared" si="348"/>
        <v>#REF!</v>
      </c>
      <c r="H3085" s="1644" t="e">
        <f t="shared" si="349"/>
        <v>#REF!</v>
      </c>
      <c r="I3085" s="1597" t="e">
        <f t="shared" si="350"/>
        <v>#REF!</v>
      </c>
      <c r="J3085" s="1644" t="e">
        <f t="shared" si="351"/>
        <v>#REF!</v>
      </c>
      <c r="K3085" s="1539"/>
      <c r="L3085" s="1539"/>
      <c r="M3085" s="1545"/>
      <c r="N3085" s="1545"/>
      <c r="O3085" s="1539"/>
      <c r="P3085" s="1539"/>
      <c r="Q3085" s="1539"/>
      <c r="R3085" s="1539"/>
      <c r="S3085" s="1539"/>
      <c r="T3085" s="1539"/>
      <c r="U3085" s="1539"/>
      <c r="V3085" s="1539"/>
      <c r="W3085" s="1539"/>
      <c r="X3085" s="1539"/>
      <c r="Y3085" s="1539"/>
      <c r="Z3085" s="1539"/>
      <c r="AA3085" s="1539"/>
      <c r="AB3085" s="1539"/>
      <c r="AC3085" s="1539"/>
      <c r="AD3085" s="1539"/>
      <c r="AE3085" s="1539"/>
      <c r="AF3085" s="1539"/>
      <c r="AG3085" s="1539"/>
      <c r="AH3085" s="1539"/>
      <c r="AI3085" s="1539"/>
      <c r="AJ3085" s="1539"/>
      <c r="AK3085" s="1539"/>
      <c r="AL3085" s="1539"/>
      <c r="AM3085" s="1539"/>
      <c r="AN3085" s="1539"/>
      <c r="AO3085" s="1539"/>
      <c r="AP3085" s="1539"/>
      <c r="AQ3085" s="1539"/>
      <c r="AR3085" s="1539"/>
      <c r="AS3085" s="1539"/>
      <c r="AT3085" s="1539"/>
      <c r="AU3085" s="1539"/>
      <c r="AV3085" s="1539"/>
      <c r="AW3085" s="1539"/>
      <c r="AX3085" s="1539"/>
      <c r="AY3085" s="1539"/>
      <c r="AZ3085" s="1539"/>
      <c r="BA3085" s="1539"/>
      <c r="BB3085" s="1539"/>
      <c r="BC3085" s="1539"/>
      <c r="BD3085" s="1539"/>
      <c r="BE3085" s="1539"/>
      <c r="BF3085" s="1539"/>
      <c r="BG3085" s="1539"/>
      <c r="BH3085" s="1539"/>
      <c r="BI3085" s="1539"/>
      <c r="BJ3085" s="1539"/>
      <c r="BK3085" s="1539"/>
      <c r="BL3085" s="1539"/>
      <c r="BM3085" s="1539"/>
      <c r="BN3085" s="1539"/>
      <c r="BO3085" s="1539"/>
      <c r="BP3085" s="1539"/>
      <c r="BQ3085" s="1539"/>
      <c r="BR3085" s="1539"/>
      <c r="BS3085" s="1539"/>
      <c r="BT3085" s="1539"/>
      <c r="BU3085" s="1539"/>
      <c r="BV3085" s="1539"/>
      <c r="BW3085" s="1539"/>
      <c r="BX3085" s="1539"/>
      <c r="BY3085" s="1539"/>
      <c r="BZ3085" s="1539"/>
      <c r="CA3085" s="1539"/>
      <c r="CB3085" s="1539"/>
      <c r="CC3085" s="1539"/>
      <c r="CD3085" s="1539"/>
      <c r="CE3085" s="1539"/>
      <c r="CF3085" s="1539"/>
      <c r="CG3085" s="1539"/>
      <c r="CH3085" s="1539"/>
      <c r="CI3085" s="1539"/>
      <c r="CJ3085" s="1539"/>
      <c r="CK3085" s="1539"/>
      <c r="CL3085" s="1539"/>
      <c r="CM3085" s="1539"/>
      <c r="CN3085" s="1539"/>
      <c r="CO3085" s="1539"/>
    </row>
    <row r="3086" spans="1:93" s="1552" customFormat="1" ht="15.5">
      <c r="A3086" s="1877">
        <v>75.816000000000003</v>
      </c>
      <c r="B3086" s="1878" t="s">
        <v>5490</v>
      </c>
      <c r="C3086" s="1643" t="e">
        <f>+SUMIF(#REF!,Final!A3086,#REF!)</f>
        <v>#REF!</v>
      </c>
      <c r="D3086" s="1597" t="e">
        <f>+SUMIF(#REF!,Final!A3086,#REF!)</f>
        <v>#REF!</v>
      </c>
      <c r="E3086" s="1643" t="e">
        <f>SUMIF(#REF!,Final!A3086,#REF!)</f>
        <v>#REF!</v>
      </c>
      <c r="F3086" s="1644" t="e">
        <f>SUMIF(#REF!,Final!A3086,#REF!)</f>
        <v>#REF!</v>
      </c>
      <c r="G3086" s="1597" t="e">
        <f t="shared" si="348"/>
        <v>#REF!</v>
      </c>
      <c r="H3086" s="1644" t="e">
        <f t="shared" si="349"/>
        <v>#REF!</v>
      </c>
      <c r="I3086" s="1597" t="e">
        <f t="shared" si="350"/>
        <v>#REF!</v>
      </c>
      <c r="J3086" s="1644" t="e">
        <f t="shared" si="351"/>
        <v>#REF!</v>
      </c>
      <c r="K3086" s="1539"/>
      <c r="L3086" s="1539"/>
      <c r="M3086" s="1545"/>
      <c r="N3086" s="1545"/>
      <c r="O3086" s="1539"/>
      <c r="P3086" s="1539"/>
      <c r="Q3086" s="1539"/>
      <c r="R3086" s="1539"/>
      <c r="S3086" s="1539"/>
      <c r="T3086" s="1539"/>
      <c r="U3086" s="1539"/>
      <c r="V3086" s="1539"/>
      <c r="W3086" s="1539"/>
      <c r="X3086" s="1539"/>
      <c r="Y3086" s="1539"/>
      <c r="Z3086" s="1539"/>
      <c r="AA3086" s="1539"/>
      <c r="AB3086" s="1539"/>
      <c r="AC3086" s="1539"/>
      <c r="AD3086" s="1539"/>
      <c r="AE3086" s="1539"/>
      <c r="AF3086" s="1539"/>
      <c r="AG3086" s="1539"/>
      <c r="AH3086" s="1539"/>
      <c r="AI3086" s="1539"/>
      <c r="AJ3086" s="1539"/>
      <c r="AK3086" s="1539"/>
      <c r="AL3086" s="1539"/>
      <c r="AM3086" s="1539"/>
      <c r="AN3086" s="1539"/>
      <c r="AO3086" s="1539"/>
      <c r="AP3086" s="1539"/>
      <c r="AQ3086" s="1539"/>
      <c r="AR3086" s="1539"/>
      <c r="AS3086" s="1539"/>
      <c r="AT3086" s="1539"/>
      <c r="AU3086" s="1539"/>
      <c r="AV3086" s="1539"/>
      <c r="AW3086" s="1539"/>
      <c r="AX3086" s="1539"/>
      <c r="AY3086" s="1539"/>
      <c r="AZ3086" s="1539"/>
      <c r="BA3086" s="1539"/>
      <c r="BB3086" s="1539"/>
      <c r="BC3086" s="1539"/>
      <c r="BD3086" s="1539"/>
      <c r="BE3086" s="1539"/>
      <c r="BF3086" s="1539"/>
      <c r="BG3086" s="1539"/>
      <c r="BH3086" s="1539"/>
      <c r="BI3086" s="1539"/>
      <c r="BJ3086" s="1539"/>
      <c r="BK3086" s="1539"/>
      <c r="BL3086" s="1539"/>
      <c r="BM3086" s="1539"/>
      <c r="BN3086" s="1539"/>
      <c r="BO3086" s="1539"/>
      <c r="BP3086" s="1539"/>
      <c r="BQ3086" s="1539"/>
      <c r="BR3086" s="1539"/>
      <c r="BS3086" s="1539"/>
      <c r="BT3086" s="1539"/>
      <c r="BU3086" s="1539"/>
      <c r="BV3086" s="1539"/>
      <c r="BW3086" s="1539"/>
      <c r="BX3086" s="1539"/>
      <c r="BY3086" s="1539"/>
      <c r="BZ3086" s="1539"/>
      <c r="CA3086" s="1539"/>
      <c r="CB3086" s="1539"/>
      <c r="CC3086" s="1539"/>
      <c r="CD3086" s="1539"/>
      <c r="CE3086" s="1539"/>
      <c r="CF3086" s="1539"/>
      <c r="CG3086" s="1539"/>
      <c r="CH3086" s="1539"/>
      <c r="CI3086" s="1539"/>
      <c r="CJ3086" s="1539"/>
      <c r="CK3086" s="1539"/>
      <c r="CL3086" s="1539"/>
      <c r="CM3086" s="1539"/>
      <c r="CN3086" s="1539"/>
      <c r="CO3086" s="1539"/>
    </row>
    <row r="3087" spans="1:93" s="1552" customFormat="1" ht="15.5">
      <c r="A3087" s="1877">
        <v>75.816999999999993</v>
      </c>
      <c r="B3087" s="1878" t="s">
        <v>5491</v>
      </c>
      <c r="C3087" s="1643" t="e">
        <f>+SUMIF(#REF!,Final!A3087,#REF!)</f>
        <v>#REF!</v>
      </c>
      <c r="D3087" s="1597" t="e">
        <f>+SUMIF(#REF!,Final!A3087,#REF!)</f>
        <v>#REF!</v>
      </c>
      <c r="E3087" s="1643" t="e">
        <f>SUMIF(#REF!,Final!A3087,#REF!)</f>
        <v>#REF!</v>
      </c>
      <c r="F3087" s="1644" t="e">
        <f>SUMIF(#REF!,Final!A3087,#REF!)</f>
        <v>#REF!</v>
      </c>
      <c r="G3087" s="1597" t="e">
        <f t="shared" si="348"/>
        <v>#REF!</v>
      </c>
      <c r="H3087" s="1644" t="e">
        <f t="shared" si="349"/>
        <v>#REF!</v>
      </c>
      <c r="I3087" s="1597" t="e">
        <f t="shared" si="350"/>
        <v>#REF!</v>
      </c>
      <c r="J3087" s="1644" t="e">
        <f t="shared" si="351"/>
        <v>#REF!</v>
      </c>
      <c r="K3087" s="1539"/>
      <c r="L3087" s="1539"/>
      <c r="M3087" s="1545"/>
      <c r="N3087" s="1545"/>
      <c r="O3087" s="1539"/>
      <c r="P3087" s="1539"/>
      <c r="Q3087" s="1539"/>
      <c r="R3087" s="1539"/>
      <c r="S3087" s="1539"/>
      <c r="T3087" s="1539"/>
      <c r="U3087" s="1539"/>
      <c r="V3087" s="1539"/>
      <c r="W3087" s="1539"/>
      <c r="X3087" s="1539"/>
      <c r="Y3087" s="1539"/>
      <c r="Z3087" s="1539"/>
      <c r="AA3087" s="1539"/>
      <c r="AB3087" s="1539"/>
      <c r="AC3087" s="1539"/>
      <c r="AD3087" s="1539"/>
      <c r="AE3087" s="1539"/>
      <c r="AF3087" s="1539"/>
      <c r="AG3087" s="1539"/>
      <c r="AH3087" s="1539"/>
      <c r="AI3087" s="1539"/>
      <c r="AJ3087" s="1539"/>
      <c r="AK3087" s="1539"/>
      <c r="AL3087" s="1539"/>
      <c r="AM3087" s="1539"/>
      <c r="AN3087" s="1539"/>
      <c r="AO3087" s="1539"/>
      <c r="AP3087" s="1539"/>
      <c r="AQ3087" s="1539"/>
      <c r="AR3087" s="1539"/>
      <c r="AS3087" s="1539"/>
      <c r="AT3087" s="1539"/>
      <c r="AU3087" s="1539"/>
      <c r="AV3087" s="1539"/>
      <c r="AW3087" s="1539"/>
      <c r="AX3087" s="1539"/>
      <c r="AY3087" s="1539"/>
      <c r="AZ3087" s="1539"/>
      <c r="BA3087" s="1539"/>
      <c r="BB3087" s="1539"/>
      <c r="BC3087" s="1539"/>
      <c r="BD3087" s="1539"/>
      <c r="BE3087" s="1539"/>
      <c r="BF3087" s="1539"/>
      <c r="BG3087" s="1539"/>
      <c r="BH3087" s="1539"/>
      <c r="BI3087" s="1539"/>
      <c r="BJ3087" s="1539"/>
      <c r="BK3087" s="1539"/>
      <c r="BL3087" s="1539"/>
      <c r="BM3087" s="1539"/>
      <c r="BN3087" s="1539"/>
      <c r="BO3087" s="1539"/>
      <c r="BP3087" s="1539"/>
      <c r="BQ3087" s="1539"/>
      <c r="BR3087" s="1539"/>
      <c r="BS3087" s="1539"/>
      <c r="BT3087" s="1539"/>
      <c r="BU3087" s="1539"/>
      <c r="BV3087" s="1539"/>
      <c r="BW3087" s="1539"/>
      <c r="BX3087" s="1539"/>
      <c r="BY3087" s="1539"/>
      <c r="BZ3087" s="1539"/>
      <c r="CA3087" s="1539"/>
      <c r="CB3087" s="1539"/>
      <c r="CC3087" s="1539"/>
      <c r="CD3087" s="1539"/>
      <c r="CE3087" s="1539"/>
      <c r="CF3087" s="1539"/>
      <c r="CG3087" s="1539"/>
      <c r="CH3087" s="1539"/>
      <c r="CI3087" s="1539"/>
      <c r="CJ3087" s="1539"/>
      <c r="CK3087" s="1539"/>
      <c r="CL3087" s="1539"/>
      <c r="CM3087" s="1539"/>
      <c r="CN3087" s="1539"/>
      <c r="CO3087" s="1539"/>
    </row>
    <row r="3088" spans="1:93" s="1552" customFormat="1" ht="15.5">
      <c r="A3088" s="1879">
        <v>75.891000000000005</v>
      </c>
      <c r="B3088" s="1880" t="s">
        <v>5492</v>
      </c>
      <c r="C3088" s="1643" t="e">
        <f>+SUMIF(#REF!,Final!A3088,#REF!)</f>
        <v>#REF!</v>
      </c>
      <c r="D3088" s="1597" t="e">
        <f>+SUMIF(#REF!,Final!A3088,#REF!)</f>
        <v>#REF!</v>
      </c>
      <c r="E3088" s="1643" t="e">
        <f>SUMIF(#REF!,Final!A3088,#REF!)</f>
        <v>#REF!</v>
      </c>
      <c r="F3088" s="1644" t="e">
        <f>SUMIF(#REF!,Final!A3088,#REF!)</f>
        <v>#REF!</v>
      </c>
      <c r="G3088" s="1597" t="e">
        <f t="shared" si="348"/>
        <v>#REF!</v>
      </c>
      <c r="H3088" s="1644" t="e">
        <f t="shared" si="349"/>
        <v>#REF!</v>
      </c>
      <c r="I3088" s="1597" t="e">
        <f t="shared" si="350"/>
        <v>#REF!</v>
      </c>
      <c r="J3088" s="1644" t="e">
        <f t="shared" si="351"/>
        <v>#REF!</v>
      </c>
      <c r="K3088" s="1539"/>
      <c r="L3088" s="1539"/>
      <c r="M3088" s="1545"/>
      <c r="N3088" s="1545"/>
      <c r="O3088" s="1539"/>
      <c r="P3088" s="1539"/>
      <c r="Q3088" s="1539"/>
      <c r="R3088" s="1539"/>
      <c r="S3088" s="1539"/>
      <c r="T3088" s="1539"/>
      <c r="U3088" s="1539"/>
      <c r="V3088" s="1539"/>
      <c r="W3088" s="1539"/>
      <c r="X3088" s="1539"/>
      <c r="Y3088" s="1539"/>
      <c r="Z3088" s="1539"/>
      <c r="AA3088" s="1539"/>
      <c r="AB3088" s="1539"/>
      <c r="AC3088" s="1539"/>
      <c r="AD3088" s="1539"/>
      <c r="AE3088" s="1539"/>
      <c r="AF3088" s="1539"/>
      <c r="AG3088" s="1539"/>
      <c r="AH3088" s="1539"/>
      <c r="AI3088" s="1539"/>
      <c r="AJ3088" s="1539"/>
      <c r="AK3088" s="1539"/>
      <c r="AL3088" s="1539"/>
      <c r="AM3088" s="1539"/>
      <c r="AN3088" s="1539"/>
      <c r="AO3088" s="1539"/>
      <c r="AP3088" s="1539"/>
      <c r="AQ3088" s="1539"/>
      <c r="AR3088" s="1539"/>
      <c r="AS3088" s="1539"/>
      <c r="AT3088" s="1539"/>
      <c r="AU3088" s="1539"/>
      <c r="AV3088" s="1539"/>
      <c r="AW3088" s="1539"/>
      <c r="AX3088" s="1539"/>
      <c r="AY3088" s="1539"/>
      <c r="AZ3088" s="1539"/>
      <c r="BA3088" s="1539"/>
      <c r="BB3088" s="1539"/>
      <c r="BC3088" s="1539"/>
      <c r="BD3088" s="1539"/>
      <c r="BE3088" s="1539"/>
      <c r="BF3088" s="1539"/>
      <c r="BG3088" s="1539"/>
      <c r="BH3088" s="1539"/>
      <c r="BI3088" s="1539"/>
      <c r="BJ3088" s="1539"/>
      <c r="BK3088" s="1539"/>
      <c r="BL3088" s="1539"/>
      <c r="BM3088" s="1539"/>
      <c r="BN3088" s="1539"/>
      <c r="BO3088" s="1539"/>
      <c r="BP3088" s="1539"/>
      <c r="BQ3088" s="1539"/>
      <c r="BR3088" s="1539"/>
      <c r="BS3088" s="1539"/>
      <c r="BT3088" s="1539"/>
      <c r="BU3088" s="1539"/>
      <c r="BV3088" s="1539"/>
      <c r="BW3088" s="1539"/>
      <c r="BX3088" s="1539"/>
      <c r="BY3088" s="1539"/>
      <c r="BZ3088" s="1539"/>
      <c r="CA3088" s="1539"/>
      <c r="CB3088" s="1539"/>
      <c r="CC3088" s="1539"/>
      <c r="CD3088" s="1539"/>
      <c r="CE3088" s="1539"/>
      <c r="CF3088" s="1539"/>
      <c r="CG3088" s="1539"/>
      <c r="CH3088" s="1539"/>
      <c r="CI3088" s="1539"/>
      <c r="CJ3088" s="1539"/>
      <c r="CK3088" s="1539"/>
      <c r="CL3088" s="1539"/>
      <c r="CM3088" s="1539"/>
      <c r="CN3088" s="1539"/>
      <c r="CO3088" s="1539"/>
    </row>
    <row r="3089" spans="1:93" s="1552" customFormat="1" ht="15.5">
      <c r="A3089" s="1879">
        <v>75.891999999999996</v>
      </c>
      <c r="B3089" s="1880" t="s">
        <v>5493</v>
      </c>
      <c r="C3089" s="1643" t="e">
        <f>+SUMIF(#REF!,Final!A3089,#REF!)</f>
        <v>#REF!</v>
      </c>
      <c r="D3089" s="1597" t="e">
        <f>+SUMIF(#REF!,Final!A3089,#REF!)</f>
        <v>#REF!</v>
      </c>
      <c r="E3089" s="1643" t="e">
        <f>SUMIF(#REF!,Final!A3089,#REF!)</f>
        <v>#REF!</v>
      </c>
      <c r="F3089" s="1644" t="e">
        <f>SUMIF(#REF!,Final!A3089,#REF!)</f>
        <v>#REF!</v>
      </c>
      <c r="G3089" s="1597" t="e">
        <f t="shared" si="348"/>
        <v>#REF!</v>
      </c>
      <c r="H3089" s="1644" t="e">
        <f t="shared" si="349"/>
        <v>#REF!</v>
      </c>
      <c r="I3089" s="1597" t="e">
        <f t="shared" si="350"/>
        <v>#REF!</v>
      </c>
      <c r="J3089" s="1644" t="e">
        <f t="shared" si="351"/>
        <v>#REF!</v>
      </c>
      <c r="K3089" s="1539"/>
      <c r="L3089" s="1539"/>
      <c r="M3089" s="1545"/>
      <c r="N3089" s="1545"/>
      <c r="O3089" s="1539"/>
      <c r="P3089" s="1539"/>
      <c r="Q3089" s="1539"/>
      <c r="R3089" s="1539"/>
      <c r="S3089" s="1539"/>
      <c r="T3089" s="1539"/>
      <c r="U3089" s="1539"/>
      <c r="V3089" s="1539"/>
      <c r="W3089" s="1539"/>
      <c r="X3089" s="1539"/>
      <c r="Y3089" s="1539"/>
      <c r="Z3089" s="1539"/>
      <c r="AA3089" s="1539"/>
      <c r="AB3089" s="1539"/>
      <c r="AC3089" s="1539"/>
      <c r="AD3089" s="1539"/>
      <c r="AE3089" s="1539"/>
      <c r="AF3089" s="1539"/>
      <c r="AG3089" s="1539"/>
      <c r="AH3089" s="1539"/>
      <c r="AI3089" s="1539"/>
      <c r="AJ3089" s="1539"/>
      <c r="AK3089" s="1539"/>
      <c r="AL3089" s="1539"/>
      <c r="AM3089" s="1539"/>
      <c r="AN3089" s="1539"/>
      <c r="AO3089" s="1539"/>
      <c r="AP3089" s="1539"/>
      <c r="AQ3089" s="1539"/>
      <c r="AR3089" s="1539"/>
      <c r="AS3089" s="1539"/>
      <c r="AT3089" s="1539"/>
      <c r="AU3089" s="1539"/>
      <c r="AV3089" s="1539"/>
      <c r="AW3089" s="1539"/>
      <c r="AX3089" s="1539"/>
      <c r="AY3089" s="1539"/>
      <c r="AZ3089" s="1539"/>
      <c r="BA3089" s="1539"/>
      <c r="BB3089" s="1539"/>
      <c r="BC3089" s="1539"/>
      <c r="BD3089" s="1539"/>
      <c r="BE3089" s="1539"/>
      <c r="BF3089" s="1539"/>
      <c r="BG3089" s="1539"/>
      <c r="BH3089" s="1539"/>
      <c r="BI3089" s="1539"/>
      <c r="BJ3089" s="1539"/>
      <c r="BK3089" s="1539"/>
      <c r="BL3089" s="1539"/>
      <c r="BM3089" s="1539"/>
      <c r="BN3089" s="1539"/>
      <c r="BO3089" s="1539"/>
      <c r="BP3089" s="1539"/>
      <c r="BQ3089" s="1539"/>
      <c r="BR3089" s="1539"/>
      <c r="BS3089" s="1539"/>
      <c r="BT3089" s="1539"/>
      <c r="BU3089" s="1539"/>
      <c r="BV3089" s="1539"/>
      <c r="BW3089" s="1539"/>
      <c r="BX3089" s="1539"/>
      <c r="BY3089" s="1539"/>
      <c r="BZ3089" s="1539"/>
      <c r="CA3089" s="1539"/>
      <c r="CB3089" s="1539"/>
      <c r="CC3089" s="1539"/>
      <c r="CD3089" s="1539"/>
      <c r="CE3089" s="1539"/>
      <c r="CF3089" s="1539"/>
      <c r="CG3089" s="1539"/>
      <c r="CH3089" s="1539"/>
      <c r="CI3089" s="1539"/>
      <c r="CJ3089" s="1539"/>
      <c r="CK3089" s="1539"/>
      <c r="CL3089" s="1539"/>
      <c r="CM3089" s="1539"/>
      <c r="CN3089" s="1539"/>
      <c r="CO3089" s="1539"/>
    </row>
    <row r="3090" spans="1:93" s="1552" customFormat="1" ht="15.5">
      <c r="A3090" s="1860" t="s">
        <v>5516</v>
      </c>
      <c r="B3090" s="1874"/>
      <c r="C3090" s="1643" t="e">
        <f>+SUMIF(#REF!,Final!A3090,#REF!)</f>
        <v>#REF!</v>
      </c>
      <c r="D3090" s="1597" t="e">
        <f>+SUMIF(#REF!,Final!A3090,#REF!)</f>
        <v>#REF!</v>
      </c>
      <c r="E3090" s="1643" t="e">
        <f>SUMIF(#REF!,Final!A3090,#REF!)</f>
        <v>#REF!</v>
      </c>
      <c r="F3090" s="1644" t="e">
        <f>SUMIF(#REF!,Final!A3090,#REF!)</f>
        <v>#REF!</v>
      </c>
      <c r="G3090" s="1597" t="e">
        <f t="shared" ref="G3090:G3091" si="352">C3090+E3090</f>
        <v>#REF!</v>
      </c>
      <c r="H3090" s="1644" t="e">
        <f t="shared" ref="H3090:H3091" si="353">D3090+F3090</f>
        <v>#REF!</v>
      </c>
      <c r="I3090" s="1597" t="e">
        <f t="shared" ref="I3090:I3091" si="354">IF(G3090&gt;H3090,G3090-H3090,0)</f>
        <v>#REF!</v>
      </c>
      <c r="J3090" s="1644" t="e">
        <f t="shared" ref="J3090:J3091" si="355">IF(H3090&gt;G3090,H3090-G3090,0)</f>
        <v>#REF!</v>
      </c>
      <c r="K3090" s="1539"/>
      <c r="L3090" s="1539"/>
      <c r="M3090" s="1545"/>
      <c r="N3090" s="1545"/>
      <c r="O3090" s="1539"/>
      <c r="P3090" s="1539"/>
      <c r="Q3090" s="1539"/>
      <c r="R3090" s="1539"/>
      <c r="S3090" s="1539"/>
      <c r="T3090" s="1539"/>
      <c r="U3090" s="1539"/>
      <c r="V3090" s="1539"/>
      <c r="W3090" s="1539"/>
      <c r="X3090" s="1539"/>
      <c r="Y3090" s="1539"/>
      <c r="Z3090" s="1539"/>
      <c r="AA3090" s="1539"/>
      <c r="AB3090" s="1539"/>
      <c r="AC3090" s="1539"/>
      <c r="AD3090" s="1539"/>
      <c r="AE3090" s="1539"/>
      <c r="AF3090" s="1539"/>
      <c r="AG3090" s="1539"/>
      <c r="AH3090" s="1539"/>
      <c r="AI3090" s="1539"/>
      <c r="AJ3090" s="1539"/>
      <c r="AK3090" s="1539"/>
      <c r="AL3090" s="1539"/>
      <c r="AM3090" s="1539"/>
      <c r="AN3090" s="1539"/>
      <c r="AO3090" s="1539"/>
      <c r="AP3090" s="1539"/>
      <c r="AQ3090" s="1539"/>
      <c r="AR3090" s="1539"/>
      <c r="AS3090" s="1539"/>
      <c r="AT3090" s="1539"/>
      <c r="AU3090" s="1539"/>
      <c r="AV3090" s="1539"/>
      <c r="AW3090" s="1539"/>
      <c r="AX3090" s="1539"/>
      <c r="AY3090" s="1539"/>
      <c r="AZ3090" s="1539"/>
      <c r="BA3090" s="1539"/>
      <c r="BB3090" s="1539"/>
      <c r="BC3090" s="1539"/>
      <c r="BD3090" s="1539"/>
      <c r="BE3090" s="1539"/>
      <c r="BF3090" s="1539"/>
      <c r="BG3090" s="1539"/>
      <c r="BH3090" s="1539"/>
      <c r="BI3090" s="1539"/>
      <c r="BJ3090" s="1539"/>
      <c r="BK3090" s="1539"/>
      <c r="BL3090" s="1539"/>
      <c r="BM3090" s="1539"/>
      <c r="BN3090" s="1539"/>
      <c r="BO3090" s="1539"/>
      <c r="BP3090" s="1539"/>
      <c r="BQ3090" s="1539"/>
      <c r="BR3090" s="1539"/>
      <c r="BS3090" s="1539"/>
      <c r="BT3090" s="1539"/>
      <c r="BU3090" s="1539"/>
      <c r="BV3090" s="1539"/>
      <c r="BW3090" s="1539"/>
      <c r="BX3090" s="1539"/>
      <c r="BY3090" s="1539"/>
      <c r="BZ3090" s="1539"/>
      <c r="CA3090" s="1539"/>
      <c r="CB3090" s="1539"/>
      <c r="CC3090" s="1539"/>
      <c r="CD3090" s="1539"/>
      <c r="CE3090" s="1539"/>
      <c r="CF3090" s="1539"/>
      <c r="CG3090" s="1539"/>
      <c r="CH3090" s="1539"/>
      <c r="CI3090" s="1539"/>
      <c r="CJ3090" s="1539"/>
      <c r="CK3090" s="1539"/>
      <c r="CL3090" s="1539"/>
      <c r="CM3090" s="1539"/>
      <c r="CN3090" s="1539"/>
      <c r="CO3090" s="1539"/>
    </row>
    <row r="3091" spans="1:93" s="1552" customFormat="1" ht="15.5">
      <c r="A3091" s="1860" t="s">
        <v>5517</v>
      </c>
      <c r="B3091" s="1874"/>
      <c r="C3091" s="1643" t="e">
        <f>+SUMIF(#REF!,Final!A3091,#REF!)</f>
        <v>#REF!</v>
      </c>
      <c r="D3091" s="1597" t="e">
        <f>+SUMIF(#REF!,Final!A3091,#REF!)</f>
        <v>#REF!</v>
      </c>
      <c r="E3091" s="1643" t="e">
        <f>SUMIF(#REF!,Final!A3091,#REF!)</f>
        <v>#REF!</v>
      </c>
      <c r="F3091" s="1644" t="e">
        <f>SUMIF(#REF!,Final!A3091,#REF!)</f>
        <v>#REF!</v>
      </c>
      <c r="G3091" s="1597" t="e">
        <f t="shared" si="352"/>
        <v>#REF!</v>
      </c>
      <c r="H3091" s="1644" t="e">
        <f t="shared" si="353"/>
        <v>#REF!</v>
      </c>
      <c r="I3091" s="1597" t="e">
        <f t="shared" si="354"/>
        <v>#REF!</v>
      </c>
      <c r="J3091" s="1644" t="e">
        <f t="shared" si="355"/>
        <v>#REF!</v>
      </c>
      <c r="K3091" s="1539"/>
      <c r="L3091" s="1539"/>
      <c r="M3091" s="1545"/>
      <c r="N3091" s="1545"/>
      <c r="O3091" s="1539"/>
      <c r="P3091" s="1539"/>
      <c r="Q3091" s="1539"/>
      <c r="R3091" s="1539"/>
      <c r="S3091" s="1539"/>
      <c r="T3091" s="1539"/>
      <c r="U3091" s="1539"/>
      <c r="V3091" s="1539"/>
      <c r="W3091" s="1539"/>
      <c r="X3091" s="1539"/>
      <c r="Y3091" s="1539"/>
      <c r="Z3091" s="1539"/>
      <c r="AA3091" s="1539"/>
      <c r="AB3091" s="1539"/>
      <c r="AC3091" s="1539"/>
      <c r="AD3091" s="1539"/>
      <c r="AE3091" s="1539"/>
      <c r="AF3091" s="1539"/>
      <c r="AG3091" s="1539"/>
      <c r="AH3091" s="1539"/>
      <c r="AI3091" s="1539"/>
      <c r="AJ3091" s="1539"/>
      <c r="AK3091" s="1539"/>
      <c r="AL3091" s="1539"/>
      <c r="AM3091" s="1539"/>
      <c r="AN3091" s="1539"/>
      <c r="AO3091" s="1539"/>
      <c r="AP3091" s="1539"/>
      <c r="AQ3091" s="1539"/>
      <c r="AR3091" s="1539"/>
      <c r="AS3091" s="1539"/>
      <c r="AT3091" s="1539"/>
      <c r="AU3091" s="1539"/>
      <c r="AV3091" s="1539"/>
      <c r="AW3091" s="1539"/>
      <c r="AX3091" s="1539"/>
      <c r="AY3091" s="1539"/>
      <c r="AZ3091" s="1539"/>
      <c r="BA3091" s="1539"/>
      <c r="BB3091" s="1539"/>
      <c r="BC3091" s="1539"/>
      <c r="BD3091" s="1539"/>
      <c r="BE3091" s="1539"/>
      <c r="BF3091" s="1539"/>
      <c r="BG3091" s="1539"/>
      <c r="BH3091" s="1539"/>
      <c r="BI3091" s="1539"/>
      <c r="BJ3091" s="1539"/>
      <c r="BK3091" s="1539"/>
      <c r="BL3091" s="1539"/>
      <c r="BM3091" s="1539"/>
      <c r="BN3091" s="1539"/>
      <c r="BO3091" s="1539"/>
      <c r="BP3091" s="1539"/>
      <c r="BQ3091" s="1539"/>
      <c r="BR3091" s="1539"/>
      <c r="BS3091" s="1539"/>
      <c r="BT3091" s="1539"/>
      <c r="BU3091" s="1539"/>
      <c r="BV3091" s="1539"/>
      <c r="BW3091" s="1539"/>
      <c r="BX3091" s="1539"/>
      <c r="BY3091" s="1539"/>
      <c r="BZ3091" s="1539"/>
      <c r="CA3091" s="1539"/>
      <c r="CB3091" s="1539"/>
      <c r="CC3091" s="1539"/>
      <c r="CD3091" s="1539"/>
      <c r="CE3091" s="1539"/>
      <c r="CF3091" s="1539"/>
      <c r="CG3091" s="1539"/>
      <c r="CH3091" s="1539"/>
      <c r="CI3091" s="1539"/>
      <c r="CJ3091" s="1539"/>
      <c r="CK3091" s="1539"/>
      <c r="CL3091" s="1539"/>
      <c r="CM3091" s="1539"/>
      <c r="CN3091" s="1539"/>
      <c r="CO3091" s="1539"/>
    </row>
    <row r="3092" spans="1:93" s="1542" customFormat="1" ht="15.5">
      <c r="A3092" s="1598">
        <v>27</v>
      </c>
      <c r="B3092" s="1599" t="s">
        <v>3126</v>
      </c>
      <c r="C3092" s="1643" t="e">
        <f>+SUMIF(#REF!,Final!A3092,#REF!)</f>
        <v>#REF!</v>
      </c>
      <c r="D3092" s="1597" t="e">
        <f>+SUMIF(#REF!,Final!A3092,#REF!)</f>
        <v>#REF!</v>
      </c>
      <c r="E3092" s="1643" t="e">
        <f>SUMIF(#REF!,Final!A3092,#REF!)</f>
        <v>#REF!</v>
      </c>
      <c r="F3092" s="1644" t="e">
        <f>SUMIF(#REF!,Final!A3092,#REF!)</f>
        <v>#REF!</v>
      </c>
      <c r="G3092" s="1597" t="e">
        <f t="shared" si="344"/>
        <v>#REF!</v>
      </c>
      <c r="H3092" s="1644" t="e">
        <f t="shared" si="345"/>
        <v>#REF!</v>
      </c>
      <c r="I3092" s="1597" t="e">
        <f t="shared" si="346"/>
        <v>#REF!</v>
      </c>
      <c r="J3092" s="1644" t="e">
        <f t="shared" si="347"/>
        <v>#REF!</v>
      </c>
      <c r="K3092" s="1539"/>
      <c r="L3092" s="1539"/>
      <c r="M3092" s="1545"/>
      <c r="N3092" s="1545"/>
      <c r="O3092" s="1539"/>
      <c r="P3092" s="1539"/>
      <c r="Q3092" s="1539"/>
      <c r="R3092" s="1539"/>
      <c r="S3092" s="1539"/>
      <c r="T3092" s="1539"/>
      <c r="U3092" s="1539"/>
      <c r="V3092" s="1539"/>
      <c r="W3092" s="1539"/>
      <c r="X3092" s="1539"/>
      <c r="Y3092" s="1539"/>
      <c r="Z3092" s="1539"/>
      <c r="AA3092" s="1539"/>
      <c r="AB3092" s="1539"/>
      <c r="AC3092" s="1539"/>
      <c r="AD3092" s="1539"/>
      <c r="AE3092" s="1539"/>
      <c r="AF3092" s="1539"/>
      <c r="AG3092" s="1539"/>
      <c r="AH3092" s="1539"/>
      <c r="AI3092" s="1539"/>
      <c r="AJ3092" s="1539"/>
      <c r="AK3092" s="1539"/>
      <c r="AL3092" s="1539"/>
      <c r="AM3092" s="1539"/>
      <c r="AN3092" s="1539"/>
      <c r="AO3092" s="1539"/>
      <c r="AP3092" s="1539"/>
      <c r="AQ3092" s="1539"/>
      <c r="AR3092" s="1539"/>
      <c r="AS3092" s="1539"/>
      <c r="AT3092" s="1539"/>
      <c r="AU3092" s="1539"/>
      <c r="AV3092" s="1539"/>
      <c r="AW3092" s="1539"/>
      <c r="AX3092" s="1539"/>
      <c r="AY3092" s="1539"/>
      <c r="AZ3092" s="1539"/>
      <c r="BA3092" s="1539"/>
      <c r="BB3092" s="1539"/>
      <c r="BC3092" s="1539"/>
      <c r="BD3092" s="1539"/>
      <c r="BE3092" s="1539"/>
      <c r="BF3092" s="1539"/>
      <c r="BG3092" s="1539"/>
      <c r="BH3092" s="1539"/>
      <c r="BI3092" s="1539"/>
      <c r="BJ3092" s="1539"/>
      <c r="BK3092" s="1539"/>
      <c r="BL3092" s="1539"/>
      <c r="BM3092" s="1539"/>
      <c r="BN3092" s="1539"/>
      <c r="BO3092" s="1539"/>
      <c r="BP3092" s="1539"/>
      <c r="BQ3092" s="1539"/>
      <c r="BR3092" s="1539"/>
      <c r="BS3092" s="1539"/>
      <c r="BT3092" s="1539"/>
      <c r="BU3092" s="1539"/>
      <c r="BV3092" s="1539"/>
      <c r="BW3092" s="1539"/>
      <c r="BX3092" s="1539"/>
      <c r="BY3092" s="1539"/>
      <c r="BZ3092" s="1539"/>
      <c r="CA3092" s="1539"/>
      <c r="CB3092" s="1539"/>
      <c r="CC3092" s="1539"/>
      <c r="CD3092" s="1539"/>
      <c r="CE3092" s="1539"/>
      <c r="CF3092" s="1539"/>
      <c r="CG3092" s="1539"/>
      <c r="CH3092" s="1539"/>
      <c r="CI3092" s="1539"/>
      <c r="CJ3092" s="1539"/>
      <c r="CK3092" s="1539"/>
      <c r="CL3092" s="1539"/>
      <c r="CM3092" s="1539"/>
      <c r="CN3092" s="1539"/>
      <c r="CO3092" s="1539"/>
    </row>
    <row r="3093" spans="1:93" ht="15.5">
      <c r="A3093" s="1598">
        <v>75.91</v>
      </c>
      <c r="B3093" s="1599" t="s">
        <v>3127</v>
      </c>
      <c r="C3093" s="1643" t="e">
        <f>+SUMIF(#REF!,Final!A3093,#REF!)</f>
        <v>#REF!</v>
      </c>
      <c r="D3093" s="1597" t="e">
        <f>+SUMIF(#REF!,Final!A3093,#REF!)</f>
        <v>#REF!</v>
      </c>
      <c r="E3093" s="1643" t="e">
        <f>SUMIF(#REF!,Final!A3093,#REF!)</f>
        <v>#REF!</v>
      </c>
      <c r="F3093" s="1644" t="e">
        <f>SUMIF(#REF!,Final!A3093,#REF!)</f>
        <v>#REF!</v>
      </c>
      <c r="G3093" s="1597" t="e">
        <f t="shared" si="344"/>
        <v>#REF!</v>
      </c>
      <c r="H3093" s="1644" t="e">
        <f t="shared" si="345"/>
        <v>#REF!</v>
      </c>
      <c r="I3093" s="1597" t="e">
        <f t="shared" si="346"/>
        <v>#REF!</v>
      </c>
      <c r="J3093" s="1644" t="e">
        <f t="shared" si="347"/>
        <v>#REF!</v>
      </c>
      <c r="M3093" s="1545"/>
      <c r="N3093" s="1545"/>
    </row>
    <row r="3094" spans="1:93" s="1552" customFormat="1" ht="15.5">
      <c r="A3094" s="1598"/>
      <c r="B3094" s="1599" t="s">
        <v>1747</v>
      </c>
      <c r="C3094" s="1643" t="e">
        <f>+SUMIF(#REF!,Final!A3094,#REF!)</f>
        <v>#REF!</v>
      </c>
      <c r="D3094" s="1597" t="e">
        <f>+SUMIF(#REF!,Final!A3094,#REF!)</f>
        <v>#REF!</v>
      </c>
      <c r="E3094" s="1643" t="e">
        <f>SUMIF(#REF!,Final!A3094,#REF!)</f>
        <v>#REF!</v>
      </c>
      <c r="F3094" s="1644" t="e">
        <f>SUMIF(#REF!,Final!A3094,#REF!)</f>
        <v>#REF!</v>
      </c>
      <c r="G3094" s="1597" t="e">
        <f t="shared" si="344"/>
        <v>#REF!</v>
      </c>
      <c r="H3094" s="1644" t="e">
        <f t="shared" si="345"/>
        <v>#REF!</v>
      </c>
      <c r="I3094" s="1597" t="e">
        <f t="shared" si="346"/>
        <v>#REF!</v>
      </c>
      <c r="J3094" s="1644" t="e">
        <f t="shared" si="347"/>
        <v>#REF!</v>
      </c>
      <c r="K3094" s="1539"/>
      <c r="L3094" s="1539"/>
      <c r="M3094" s="1545"/>
      <c r="N3094" s="1545"/>
      <c r="O3094" s="1539"/>
      <c r="P3094" s="1539"/>
      <c r="Q3094" s="1539"/>
      <c r="R3094" s="1539"/>
      <c r="S3094" s="1539"/>
      <c r="T3094" s="1539"/>
      <c r="U3094" s="1539"/>
      <c r="V3094" s="1539"/>
      <c r="W3094" s="1539"/>
      <c r="X3094" s="1539"/>
      <c r="Y3094" s="1539"/>
      <c r="Z3094" s="1539"/>
      <c r="AA3094" s="1539"/>
      <c r="AB3094" s="1539"/>
      <c r="AC3094" s="1539"/>
      <c r="AD3094" s="1539"/>
      <c r="AE3094" s="1539"/>
      <c r="AF3094" s="1539"/>
      <c r="AG3094" s="1539"/>
      <c r="AH3094" s="1539"/>
      <c r="AI3094" s="1539"/>
      <c r="AJ3094" s="1539"/>
      <c r="AK3094" s="1539"/>
      <c r="AL3094" s="1539"/>
      <c r="AM3094" s="1539"/>
      <c r="AN3094" s="1539"/>
      <c r="AO3094" s="1539"/>
      <c r="AP3094" s="1539"/>
      <c r="AQ3094" s="1539"/>
      <c r="AR3094" s="1539"/>
      <c r="AS3094" s="1539"/>
      <c r="AT3094" s="1539"/>
      <c r="AU3094" s="1539"/>
      <c r="AV3094" s="1539"/>
      <c r="AW3094" s="1539"/>
      <c r="AX3094" s="1539"/>
      <c r="AY3094" s="1539"/>
      <c r="AZ3094" s="1539"/>
      <c r="BA3094" s="1539"/>
      <c r="BB3094" s="1539"/>
      <c r="BC3094" s="1539"/>
      <c r="BD3094" s="1539"/>
      <c r="BE3094" s="1539"/>
      <c r="BF3094" s="1539"/>
      <c r="BG3094" s="1539"/>
      <c r="BH3094" s="1539"/>
      <c r="BI3094" s="1539"/>
      <c r="BJ3094" s="1539"/>
      <c r="BK3094" s="1539"/>
      <c r="BL3094" s="1539"/>
      <c r="BM3094" s="1539"/>
      <c r="BN3094" s="1539"/>
      <c r="BO3094" s="1539"/>
      <c r="BP3094" s="1539"/>
      <c r="BQ3094" s="1539"/>
      <c r="BR3094" s="1539"/>
      <c r="BS3094" s="1539"/>
      <c r="BT3094" s="1539"/>
      <c r="BU3094" s="1539"/>
      <c r="BV3094" s="1539"/>
      <c r="BW3094" s="1539"/>
      <c r="BX3094" s="1539"/>
      <c r="BY3094" s="1539"/>
      <c r="BZ3094" s="1539"/>
      <c r="CA3094" s="1539"/>
      <c r="CB3094" s="1539"/>
      <c r="CC3094" s="1539"/>
      <c r="CD3094" s="1539"/>
      <c r="CE3094" s="1539"/>
      <c r="CF3094" s="1539"/>
      <c r="CG3094" s="1539"/>
      <c r="CH3094" s="1539"/>
      <c r="CI3094" s="1539"/>
      <c r="CJ3094" s="1539"/>
      <c r="CK3094" s="1539"/>
      <c r="CL3094" s="1539"/>
      <c r="CM3094" s="1539"/>
      <c r="CN3094" s="1539"/>
      <c r="CO3094" s="1539"/>
    </row>
    <row r="3095" spans="1:93" s="1552" customFormat="1" ht="15.5">
      <c r="A3095" s="1598"/>
      <c r="B3095" s="1599" t="s">
        <v>1760</v>
      </c>
      <c r="C3095" s="1643" t="e">
        <f>+SUMIF(#REF!,Final!A3095,#REF!)</f>
        <v>#REF!</v>
      </c>
      <c r="D3095" s="1597" t="e">
        <f>+SUMIF(#REF!,Final!A3095,#REF!)</f>
        <v>#REF!</v>
      </c>
      <c r="E3095" s="1643" t="e">
        <f>SUMIF(#REF!,Final!A3095,#REF!)</f>
        <v>#REF!</v>
      </c>
      <c r="F3095" s="1644" t="e">
        <f>SUMIF(#REF!,Final!A3095,#REF!)</f>
        <v>#REF!</v>
      </c>
      <c r="G3095" s="1597" t="e">
        <f t="shared" si="344"/>
        <v>#REF!</v>
      </c>
      <c r="H3095" s="1644" t="e">
        <f t="shared" si="345"/>
        <v>#REF!</v>
      </c>
      <c r="I3095" s="1597" t="e">
        <f t="shared" si="346"/>
        <v>#REF!</v>
      </c>
      <c r="J3095" s="1644" t="e">
        <f t="shared" si="347"/>
        <v>#REF!</v>
      </c>
      <c r="K3095" s="1539"/>
      <c r="L3095" s="1539"/>
      <c r="M3095" s="1545"/>
      <c r="N3095" s="1545"/>
      <c r="O3095" s="1539"/>
      <c r="P3095" s="1539"/>
      <c r="Q3095" s="1539"/>
      <c r="R3095" s="1539"/>
      <c r="S3095" s="1539"/>
      <c r="T3095" s="1539"/>
      <c r="U3095" s="1539"/>
      <c r="V3095" s="1539"/>
      <c r="W3095" s="1539"/>
      <c r="X3095" s="1539"/>
      <c r="Y3095" s="1539"/>
      <c r="Z3095" s="1539"/>
      <c r="AA3095" s="1539"/>
      <c r="AB3095" s="1539"/>
      <c r="AC3095" s="1539"/>
      <c r="AD3095" s="1539"/>
      <c r="AE3095" s="1539"/>
      <c r="AF3095" s="1539"/>
      <c r="AG3095" s="1539"/>
      <c r="AH3095" s="1539"/>
      <c r="AI3095" s="1539"/>
      <c r="AJ3095" s="1539"/>
      <c r="AK3095" s="1539"/>
      <c r="AL3095" s="1539"/>
      <c r="AM3095" s="1539"/>
      <c r="AN3095" s="1539"/>
      <c r="AO3095" s="1539"/>
      <c r="AP3095" s="1539"/>
      <c r="AQ3095" s="1539"/>
      <c r="AR3095" s="1539"/>
      <c r="AS3095" s="1539"/>
      <c r="AT3095" s="1539"/>
      <c r="AU3095" s="1539"/>
      <c r="AV3095" s="1539"/>
      <c r="AW3095" s="1539"/>
      <c r="AX3095" s="1539"/>
      <c r="AY3095" s="1539"/>
      <c r="AZ3095" s="1539"/>
      <c r="BA3095" s="1539"/>
      <c r="BB3095" s="1539"/>
      <c r="BC3095" s="1539"/>
      <c r="BD3095" s="1539"/>
      <c r="BE3095" s="1539"/>
      <c r="BF3095" s="1539"/>
      <c r="BG3095" s="1539"/>
      <c r="BH3095" s="1539"/>
      <c r="BI3095" s="1539"/>
      <c r="BJ3095" s="1539"/>
      <c r="BK3095" s="1539"/>
      <c r="BL3095" s="1539"/>
      <c r="BM3095" s="1539"/>
      <c r="BN3095" s="1539"/>
      <c r="BO3095" s="1539"/>
      <c r="BP3095" s="1539"/>
      <c r="BQ3095" s="1539"/>
      <c r="BR3095" s="1539"/>
      <c r="BS3095" s="1539"/>
      <c r="BT3095" s="1539"/>
      <c r="BU3095" s="1539"/>
      <c r="BV3095" s="1539"/>
      <c r="BW3095" s="1539"/>
      <c r="BX3095" s="1539"/>
      <c r="BY3095" s="1539"/>
      <c r="BZ3095" s="1539"/>
      <c r="CA3095" s="1539"/>
      <c r="CB3095" s="1539"/>
      <c r="CC3095" s="1539"/>
      <c r="CD3095" s="1539"/>
      <c r="CE3095" s="1539"/>
      <c r="CF3095" s="1539"/>
      <c r="CG3095" s="1539"/>
      <c r="CH3095" s="1539"/>
      <c r="CI3095" s="1539"/>
      <c r="CJ3095" s="1539"/>
      <c r="CK3095" s="1539"/>
      <c r="CL3095" s="1539"/>
      <c r="CM3095" s="1539"/>
      <c r="CN3095" s="1539"/>
      <c r="CO3095" s="1539"/>
    </row>
    <row r="3096" spans="1:93" s="1552" customFormat="1" ht="15.5">
      <c r="A3096" s="1598"/>
      <c r="B3096" s="1599" t="s">
        <v>3533</v>
      </c>
      <c r="C3096" s="1643" t="e">
        <f>+SUMIF(#REF!,Final!A3096,#REF!)</f>
        <v>#REF!</v>
      </c>
      <c r="D3096" s="1597" t="e">
        <f>+SUMIF(#REF!,Final!A3096,#REF!)</f>
        <v>#REF!</v>
      </c>
      <c r="E3096" s="1643" t="e">
        <f>SUMIF(#REF!,Final!A3096,#REF!)</f>
        <v>#REF!</v>
      </c>
      <c r="F3096" s="1644" t="e">
        <f>SUMIF(#REF!,Final!A3096,#REF!)</f>
        <v>#REF!</v>
      </c>
      <c r="G3096" s="1597" t="e">
        <f t="shared" si="344"/>
        <v>#REF!</v>
      </c>
      <c r="H3096" s="1644" t="e">
        <f t="shared" si="345"/>
        <v>#REF!</v>
      </c>
      <c r="I3096" s="1597" t="e">
        <f t="shared" si="346"/>
        <v>#REF!</v>
      </c>
      <c r="J3096" s="1644" t="e">
        <f t="shared" si="347"/>
        <v>#REF!</v>
      </c>
      <c r="K3096" s="1539"/>
      <c r="L3096" s="1539"/>
      <c r="M3096" s="1545"/>
      <c r="N3096" s="1545"/>
      <c r="O3096" s="1539"/>
      <c r="P3096" s="1539"/>
      <c r="Q3096" s="1539"/>
      <c r="R3096" s="1539"/>
      <c r="S3096" s="1539"/>
      <c r="T3096" s="1539"/>
      <c r="U3096" s="1539"/>
      <c r="V3096" s="1539"/>
      <c r="W3096" s="1539"/>
      <c r="X3096" s="1539"/>
      <c r="Y3096" s="1539"/>
      <c r="Z3096" s="1539"/>
      <c r="AA3096" s="1539"/>
      <c r="AB3096" s="1539"/>
      <c r="AC3096" s="1539"/>
      <c r="AD3096" s="1539"/>
      <c r="AE3096" s="1539"/>
      <c r="AF3096" s="1539"/>
      <c r="AG3096" s="1539"/>
      <c r="AH3096" s="1539"/>
      <c r="AI3096" s="1539"/>
      <c r="AJ3096" s="1539"/>
      <c r="AK3096" s="1539"/>
      <c r="AL3096" s="1539"/>
      <c r="AM3096" s="1539"/>
      <c r="AN3096" s="1539"/>
      <c r="AO3096" s="1539"/>
      <c r="AP3096" s="1539"/>
      <c r="AQ3096" s="1539"/>
      <c r="AR3096" s="1539"/>
      <c r="AS3096" s="1539"/>
      <c r="AT3096" s="1539"/>
      <c r="AU3096" s="1539"/>
      <c r="AV3096" s="1539"/>
      <c r="AW3096" s="1539"/>
      <c r="AX3096" s="1539"/>
      <c r="AY3096" s="1539"/>
      <c r="AZ3096" s="1539"/>
      <c r="BA3096" s="1539"/>
      <c r="BB3096" s="1539"/>
      <c r="BC3096" s="1539"/>
      <c r="BD3096" s="1539"/>
      <c r="BE3096" s="1539"/>
      <c r="BF3096" s="1539"/>
      <c r="BG3096" s="1539"/>
      <c r="BH3096" s="1539"/>
      <c r="BI3096" s="1539"/>
      <c r="BJ3096" s="1539"/>
      <c r="BK3096" s="1539"/>
      <c r="BL3096" s="1539"/>
      <c r="BM3096" s="1539"/>
      <c r="BN3096" s="1539"/>
      <c r="BO3096" s="1539"/>
      <c r="BP3096" s="1539"/>
      <c r="BQ3096" s="1539"/>
      <c r="BR3096" s="1539"/>
      <c r="BS3096" s="1539"/>
      <c r="BT3096" s="1539"/>
      <c r="BU3096" s="1539"/>
      <c r="BV3096" s="1539"/>
      <c r="BW3096" s="1539"/>
      <c r="BX3096" s="1539"/>
      <c r="BY3096" s="1539"/>
      <c r="BZ3096" s="1539"/>
      <c r="CA3096" s="1539"/>
      <c r="CB3096" s="1539"/>
      <c r="CC3096" s="1539"/>
      <c r="CD3096" s="1539"/>
      <c r="CE3096" s="1539"/>
      <c r="CF3096" s="1539"/>
      <c r="CG3096" s="1539"/>
      <c r="CH3096" s="1539"/>
      <c r="CI3096" s="1539"/>
      <c r="CJ3096" s="1539"/>
      <c r="CK3096" s="1539"/>
      <c r="CL3096" s="1539"/>
      <c r="CM3096" s="1539"/>
      <c r="CN3096" s="1539"/>
      <c r="CO3096" s="1539"/>
    </row>
    <row r="3097" spans="1:93" s="1542" customFormat="1" ht="15.5">
      <c r="A3097" s="1598">
        <v>30</v>
      </c>
      <c r="B3097" s="1599" t="s">
        <v>3141</v>
      </c>
      <c r="C3097" s="1643" t="e">
        <f>+SUMIF(#REF!,Final!A3097,#REF!)</f>
        <v>#REF!</v>
      </c>
      <c r="D3097" s="1597" t="e">
        <f>+SUMIF(#REF!,Final!A3097,#REF!)</f>
        <v>#REF!</v>
      </c>
      <c r="E3097" s="1643" t="e">
        <f>SUMIF(#REF!,Final!A3097,#REF!)</f>
        <v>#REF!</v>
      </c>
      <c r="F3097" s="1644" t="e">
        <f>SUMIF(#REF!,Final!A3097,#REF!)</f>
        <v>#REF!</v>
      </c>
      <c r="G3097" s="1597" t="e">
        <f t="shared" si="344"/>
        <v>#REF!</v>
      </c>
      <c r="H3097" s="1644" t="e">
        <f t="shared" si="345"/>
        <v>#REF!</v>
      </c>
      <c r="I3097" s="1597" t="e">
        <f t="shared" si="346"/>
        <v>#REF!</v>
      </c>
      <c r="J3097" s="1644" t="e">
        <f t="shared" si="347"/>
        <v>#REF!</v>
      </c>
      <c r="K3097" s="1539"/>
      <c r="L3097" s="1539"/>
      <c r="M3097" s="1545"/>
      <c r="N3097" s="1545"/>
      <c r="O3097" s="1539"/>
      <c r="P3097" s="1539"/>
      <c r="Q3097" s="1539"/>
      <c r="R3097" s="1539"/>
      <c r="S3097" s="1539"/>
      <c r="T3097" s="1539"/>
      <c r="U3097" s="1539"/>
      <c r="V3097" s="1539"/>
      <c r="W3097" s="1539"/>
      <c r="X3097" s="1539"/>
      <c r="Y3097" s="1539"/>
      <c r="Z3097" s="1539"/>
      <c r="AA3097" s="1539"/>
      <c r="AB3097" s="1539"/>
      <c r="AC3097" s="1539"/>
      <c r="AD3097" s="1539"/>
      <c r="AE3097" s="1539"/>
      <c r="AF3097" s="1539"/>
      <c r="AG3097" s="1539"/>
      <c r="AH3097" s="1539"/>
      <c r="AI3097" s="1539"/>
      <c r="AJ3097" s="1539"/>
      <c r="AK3097" s="1539"/>
      <c r="AL3097" s="1539"/>
      <c r="AM3097" s="1539"/>
      <c r="AN3097" s="1539"/>
      <c r="AO3097" s="1539"/>
      <c r="AP3097" s="1539"/>
      <c r="AQ3097" s="1539"/>
      <c r="AR3097" s="1539"/>
      <c r="AS3097" s="1539"/>
      <c r="AT3097" s="1539"/>
      <c r="AU3097" s="1539"/>
      <c r="AV3097" s="1539"/>
      <c r="AW3097" s="1539"/>
      <c r="AX3097" s="1539"/>
      <c r="AY3097" s="1539"/>
      <c r="AZ3097" s="1539"/>
      <c r="BA3097" s="1539"/>
      <c r="BB3097" s="1539"/>
      <c r="BC3097" s="1539"/>
      <c r="BD3097" s="1539"/>
      <c r="BE3097" s="1539"/>
      <c r="BF3097" s="1539"/>
      <c r="BG3097" s="1539"/>
      <c r="BH3097" s="1539"/>
      <c r="BI3097" s="1539"/>
      <c r="BJ3097" s="1539"/>
      <c r="BK3097" s="1539"/>
      <c r="BL3097" s="1539"/>
      <c r="BM3097" s="1539"/>
      <c r="BN3097" s="1539"/>
      <c r="BO3097" s="1539"/>
      <c r="BP3097" s="1539"/>
      <c r="BQ3097" s="1539"/>
      <c r="BR3097" s="1539"/>
      <c r="BS3097" s="1539"/>
      <c r="BT3097" s="1539"/>
      <c r="BU3097" s="1539"/>
      <c r="BV3097" s="1539"/>
      <c r="BW3097" s="1539"/>
      <c r="BX3097" s="1539"/>
      <c r="BY3097" s="1539"/>
      <c r="BZ3097" s="1539"/>
      <c r="CA3097" s="1539"/>
      <c r="CB3097" s="1539"/>
      <c r="CC3097" s="1539"/>
      <c r="CD3097" s="1539"/>
      <c r="CE3097" s="1539"/>
      <c r="CF3097" s="1539"/>
      <c r="CG3097" s="1539"/>
      <c r="CH3097" s="1539"/>
      <c r="CI3097" s="1539"/>
      <c r="CJ3097" s="1539"/>
      <c r="CK3097" s="1539"/>
      <c r="CL3097" s="1539"/>
      <c r="CM3097" s="1539"/>
      <c r="CN3097" s="1539"/>
      <c r="CO3097" s="1539"/>
    </row>
    <row r="3098" spans="1:93" ht="15.5">
      <c r="A3098" s="1598">
        <v>76.100999999999999</v>
      </c>
      <c r="B3098" s="1599" t="s">
        <v>3142</v>
      </c>
      <c r="C3098" s="1643" t="e">
        <f>+SUMIF(#REF!,Final!A3098,#REF!)</f>
        <v>#REF!</v>
      </c>
      <c r="D3098" s="1597" t="e">
        <f>+SUMIF(#REF!,Final!A3098,#REF!)</f>
        <v>#REF!</v>
      </c>
      <c r="E3098" s="1643" t="e">
        <f>SUMIF(#REF!,Final!A3098,#REF!)</f>
        <v>#REF!</v>
      </c>
      <c r="F3098" s="1644" t="e">
        <f>SUMIF(#REF!,Final!A3098,#REF!)</f>
        <v>#REF!</v>
      </c>
      <c r="G3098" s="1597" t="e">
        <f t="shared" si="344"/>
        <v>#REF!</v>
      </c>
      <c r="H3098" s="1644" t="e">
        <f t="shared" si="345"/>
        <v>#REF!</v>
      </c>
      <c r="I3098" s="1597" t="e">
        <f t="shared" si="346"/>
        <v>#REF!</v>
      </c>
      <c r="J3098" s="1644" t="e">
        <f t="shared" si="347"/>
        <v>#REF!</v>
      </c>
      <c r="M3098" s="1545"/>
      <c r="N3098" s="1545"/>
    </row>
    <row r="3099" spans="1:93" ht="15.5">
      <c r="A3099" s="1598" t="s">
        <v>3143</v>
      </c>
      <c r="B3099" s="1599" t="s">
        <v>3144</v>
      </c>
      <c r="C3099" s="1643" t="e">
        <f>+SUMIF(#REF!,Final!A3099,#REF!)</f>
        <v>#REF!</v>
      </c>
      <c r="D3099" s="1597" t="e">
        <f>+SUMIF(#REF!,Final!A3099,#REF!)</f>
        <v>#REF!</v>
      </c>
      <c r="E3099" s="1643" t="e">
        <f>SUMIF(#REF!,Final!A3099,#REF!)</f>
        <v>#REF!</v>
      </c>
      <c r="F3099" s="1644" t="e">
        <f>SUMIF(#REF!,Final!A3099,#REF!)</f>
        <v>#REF!</v>
      </c>
      <c r="G3099" s="1597" t="e">
        <f t="shared" si="344"/>
        <v>#REF!</v>
      </c>
      <c r="H3099" s="1644" t="e">
        <f t="shared" si="345"/>
        <v>#REF!</v>
      </c>
      <c r="I3099" s="1597" t="e">
        <f t="shared" si="346"/>
        <v>#REF!</v>
      </c>
      <c r="J3099" s="1644" t="e">
        <f t="shared" si="347"/>
        <v>#REF!</v>
      </c>
      <c r="M3099" s="1545"/>
      <c r="N3099" s="1545"/>
    </row>
    <row r="3100" spans="1:93" s="1552" customFormat="1" ht="15.5">
      <c r="A3100" s="1598"/>
      <c r="B3100" s="1599" t="s">
        <v>1747</v>
      </c>
      <c r="C3100" s="1643" t="e">
        <f>+SUMIF(#REF!,Final!A3100,#REF!)</f>
        <v>#REF!</v>
      </c>
      <c r="D3100" s="1597" t="e">
        <f>+SUMIF(#REF!,Final!A3100,#REF!)</f>
        <v>#REF!</v>
      </c>
      <c r="E3100" s="1643" t="e">
        <f>SUMIF(#REF!,Final!A3100,#REF!)</f>
        <v>#REF!</v>
      </c>
      <c r="F3100" s="1644" t="e">
        <f>SUMIF(#REF!,Final!A3100,#REF!)</f>
        <v>#REF!</v>
      </c>
      <c r="G3100" s="1597" t="e">
        <f t="shared" si="344"/>
        <v>#REF!</v>
      </c>
      <c r="H3100" s="1644" t="e">
        <f t="shared" si="345"/>
        <v>#REF!</v>
      </c>
      <c r="I3100" s="1597" t="e">
        <f t="shared" si="346"/>
        <v>#REF!</v>
      </c>
      <c r="J3100" s="1644" t="e">
        <f t="shared" si="347"/>
        <v>#REF!</v>
      </c>
      <c r="K3100" s="1539"/>
      <c r="L3100" s="1539"/>
      <c r="M3100" s="1545"/>
      <c r="N3100" s="1545"/>
      <c r="O3100" s="1539"/>
      <c r="P3100" s="1539"/>
      <c r="Q3100" s="1539"/>
      <c r="R3100" s="1539"/>
      <c r="S3100" s="1539"/>
      <c r="T3100" s="1539"/>
      <c r="U3100" s="1539"/>
      <c r="V3100" s="1539"/>
      <c r="W3100" s="1539"/>
      <c r="X3100" s="1539"/>
      <c r="Y3100" s="1539"/>
      <c r="Z3100" s="1539"/>
      <c r="AA3100" s="1539"/>
      <c r="AB3100" s="1539"/>
      <c r="AC3100" s="1539"/>
      <c r="AD3100" s="1539"/>
      <c r="AE3100" s="1539"/>
      <c r="AF3100" s="1539"/>
      <c r="AG3100" s="1539"/>
      <c r="AH3100" s="1539"/>
      <c r="AI3100" s="1539"/>
      <c r="AJ3100" s="1539"/>
      <c r="AK3100" s="1539"/>
      <c r="AL3100" s="1539"/>
      <c r="AM3100" s="1539"/>
      <c r="AN3100" s="1539"/>
      <c r="AO3100" s="1539"/>
      <c r="AP3100" s="1539"/>
      <c r="AQ3100" s="1539"/>
      <c r="AR3100" s="1539"/>
      <c r="AS3100" s="1539"/>
      <c r="AT3100" s="1539"/>
      <c r="AU3100" s="1539"/>
      <c r="AV3100" s="1539"/>
      <c r="AW3100" s="1539"/>
      <c r="AX3100" s="1539"/>
      <c r="AY3100" s="1539"/>
      <c r="AZ3100" s="1539"/>
      <c r="BA3100" s="1539"/>
      <c r="BB3100" s="1539"/>
      <c r="BC3100" s="1539"/>
      <c r="BD3100" s="1539"/>
      <c r="BE3100" s="1539"/>
      <c r="BF3100" s="1539"/>
      <c r="BG3100" s="1539"/>
      <c r="BH3100" s="1539"/>
      <c r="BI3100" s="1539"/>
      <c r="BJ3100" s="1539"/>
      <c r="BK3100" s="1539"/>
      <c r="BL3100" s="1539"/>
      <c r="BM3100" s="1539"/>
      <c r="BN3100" s="1539"/>
      <c r="BO3100" s="1539"/>
      <c r="BP3100" s="1539"/>
      <c r="BQ3100" s="1539"/>
      <c r="BR3100" s="1539"/>
      <c r="BS3100" s="1539"/>
      <c r="BT3100" s="1539"/>
      <c r="BU3100" s="1539"/>
      <c r="BV3100" s="1539"/>
      <c r="BW3100" s="1539"/>
      <c r="BX3100" s="1539"/>
      <c r="BY3100" s="1539"/>
      <c r="BZ3100" s="1539"/>
      <c r="CA3100" s="1539"/>
      <c r="CB3100" s="1539"/>
      <c r="CC3100" s="1539"/>
      <c r="CD3100" s="1539"/>
      <c r="CE3100" s="1539"/>
      <c r="CF3100" s="1539"/>
      <c r="CG3100" s="1539"/>
      <c r="CH3100" s="1539"/>
      <c r="CI3100" s="1539"/>
      <c r="CJ3100" s="1539"/>
      <c r="CK3100" s="1539"/>
      <c r="CL3100" s="1539"/>
      <c r="CM3100" s="1539"/>
      <c r="CN3100" s="1539"/>
      <c r="CO3100" s="1539"/>
    </row>
    <row r="3101" spans="1:93" s="1552" customFormat="1" ht="15.5">
      <c r="A3101" s="1598"/>
      <c r="B3101" s="1599" t="s">
        <v>1760</v>
      </c>
      <c r="C3101" s="1643" t="e">
        <f>+SUMIF(#REF!,Final!A3101,#REF!)</f>
        <v>#REF!</v>
      </c>
      <c r="D3101" s="1597" t="e">
        <f>+SUMIF(#REF!,Final!A3101,#REF!)</f>
        <v>#REF!</v>
      </c>
      <c r="E3101" s="1643" t="e">
        <f>SUMIF(#REF!,Final!A3101,#REF!)</f>
        <v>#REF!</v>
      </c>
      <c r="F3101" s="1644" t="e">
        <f>SUMIF(#REF!,Final!A3101,#REF!)</f>
        <v>#REF!</v>
      </c>
      <c r="G3101" s="1597" t="e">
        <f t="shared" si="344"/>
        <v>#REF!</v>
      </c>
      <c r="H3101" s="1644" t="e">
        <f t="shared" si="345"/>
        <v>#REF!</v>
      </c>
      <c r="I3101" s="1597" t="e">
        <f t="shared" si="346"/>
        <v>#REF!</v>
      </c>
      <c r="J3101" s="1644" t="e">
        <f t="shared" si="347"/>
        <v>#REF!</v>
      </c>
      <c r="K3101" s="1539"/>
      <c r="L3101" s="1539"/>
      <c r="M3101" s="1545"/>
      <c r="N3101" s="1545"/>
      <c r="O3101" s="1539"/>
      <c r="P3101" s="1539"/>
      <c r="Q3101" s="1539"/>
      <c r="R3101" s="1539"/>
      <c r="S3101" s="1539"/>
      <c r="T3101" s="1539"/>
      <c r="U3101" s="1539"/>
      <c r="V3101" s="1539"/>
      <c r="W3101" s="1539"/>
      <c r="X3101" s="1539"/>
      <c r="Y3101" s="1539"/>
      <c r="Z3101" s="1539"/>
      <c r="AA3101" s="1539"/>
      <c r="AB3101" s="1539"/>
      <c r="AC3101" s="1539"/>
      <c r="AD3101" s="1539"/>
      <c r="AE3101" s="1539"/>
      <c r="AF3101" s="1539"/>
      <c r="AG3101" s="1539"/>
      <c r="AH3101" s="1539"/>
      <c r="AI3101" s="1539"/>
      <c r="AJ3101" s="1539"/>
      <c r="AK3101" s="1539"/>
      <c r="AL3101" s="1539"/>
      <c r="AM3101" s="1539"/>
      <c r="AN3101" s="1539"/>
      <c r="AO3101" s="1539"/>
      <c r="AP3101" s="1539"/>
      <c r="AQ3101" s="1539"/>
      <c r="AR3101" s="1539"/>
      <c r="AS3101" s="1539"/>
      <c r="AT3101" s="1539"/>
      <c r="AU3101" s="1539"/>
      <c r="AV3101" s="1539"/>
      <c r="AW3101" s="1539"/>
      <c r="AX3101" s="1539"/>
      <c r="AY3101" s="1539"/>
      <c r="AZ3101" s="1539"/>
      <c r="BA3101" s="1539"/>
      <c r="BB3101" s="1539"/>
      <c r="BC3101" s="1539"/>
      <c r="BD3101" s="1539"/>
      <c r="BE3101" s="1539"/>
      <c r="BF3101" s="1539"/>
      <c r="BG3101" s="1539"/>
      <c r="BH3101" s="1539"/>
      <c r="BI3101" s="1539"/>
      <c r="BJ3101" s="1539"/>
      <c r="BK3101" s="1539"/>
      <c r="BL3101" s="1539"/>
      <c r="BM3101" s="1539"/>
      <c r="BN3101" s="1539"/>
      <c r="BO3101" s="1539"/>
      <c r="BP3101" s="1539"/>
      <c r="BQ3101" s="1539"/>
      <c r="BR3101" s="1539"/>
      <c r="BS3101" s="1539"/>
      <c r="BT3101" s="1539"/>
      <c r="BU3101" s="1539"/>
      <c r="BV3101" s="1539"/>
      <c r="BW3101" s="1539"/>
      <c r="BX3101" s="1539"/>
      <c r="BY3101" s="1539"/>
      <c r="BZ3101" s="1539"/>
      <c r="CA3101" s="1539"/>
      <c r="CB3101" s="1539"/>
      <c r="CC3101" s="1539"/>
      <c r="CD3101" s="1539"/>
      <c r="CE3101" s="1539"/>
      <c r="CF3101" s="1539"/>
      <c r="CG3101" s="1539"/>
      <c r="CH3101" s="1539"/>
      <c r="CI3101" s="1539"/>
      <c r="CJ3101" s="1539"/>
      <c r="CK3101" s="1539"/>
      <c r="CL3101" s="1539"/>
      <c r="CM3101" s="1539"/>
      <c r="CN3101" s="1539"/>
      <c r="CO3101" s="1539"/>
    </row>
    <row r="3102" spans="1:93" s="1542" customFormat="1" ht="15.5">
      <c r="A3102" s="1598">
        <v>32</v>
      </c>
      <c r="B3102" s="1599" t="s">
        <v>3188</v>
      </c>
      <c r="C3102" s="1643" t="e">
        <f>+SUMIF(#REF!,Final!A3102,#REF!)</f>
        <v>#REF!</v>
      </c>
      <c r="D3102" s="1597" t="e">
        <f>+SUMIF(#REF!,Final!A3102,#REF!)</f>
        <v>#REF!</v>
      </c>
      <c r="E3102" s="1643" t="e">
        <f>SUMIF(#REF!,Final!A3102,#REF!)</f>
        <v>#REF!</v>
      </c>
      <c r="F3102" s="1644" t="e">
        <f>SUMIF(#REF!,Final!A3102,#REF!)</f>
        <v>#REF!</v>
      </c>
      <c r="G3102" s="1597" t="e">
        <f t="shared" si="344"/>
        <v>#REF!</v>
      </c>
      <c r="H3102" s="1644" t="e">
        <f t="shared" si="345"/>
        <v>#REF!</v>
      </c>
      <c r="I3102" s="1597" t="e">
        <f t="shared" si="346"/>
        <v>#REF!</v>
      </c>
      <c r="J3102" s="1644" t="e">
        <f t="shared" si="347"/>
        <v>#REF!</v>
      </c>
      <c r="K3102" s="1539"/>
      <c r="L3102" s="1539"/>
      <c r="M3102" s="1545"/>
      <c r="N3102" s="1545"/>
      <c r="O3102" s="1539"/>
      <c r="P3102" s="1539"/>
      <c r="Q3102" s="1539"/>
      <c r="R3102" s="1539"/>
      <c r="S3102" s="1539"/>
      <c r="T3102" s="1539"/>
      <c r="U3102" s="1539"/>
      <c r="V3102" s="1539"/>
      <c r="W3102" s="1539"/>
      <c r="X3102" s="1539"/>
      <c r="Y3102" s="1539"/>
      <c r="Z3102" s="1539"/>
      <c r="AA3102" s="1539"/>
      <c r="AB3102" s="1539"/>
      <c r="AC3102" s="1539"/>
      <c r="AD3102" s="1539"/>
      <c r="AE3102" s="1539"/>
      <c r="AF3102" s="1539"/>
      <c r="AG3102" s="1539"/>
      <c r="AH3102" s="1539"/>
      <c r="AI3102" s="1539"/>
      <c r="AJ3102" s="1539"/>
      <c r="AK3102" s="1539"/>
      <c r="AL3102" s="1539"/>
      <c r="AM3102" s="1539"/>
      <c r="AN3102" s="1539"/>
      <c r="AO3102" s="1539"/>
      <c r="AP3102" s="1539"/>
      <c r="AQ3102" s="1539"/>
      <c r="AR3102" s="1539"/>
      <c r="AS3102" s="1539"/>
      <c r="AT3102" s="1539"/>
      <c r="AU3102" s="1539"/>
      <c r="AV3102" s="1539"/>
      <c r="AW3102" s="1539"/>
      <c r="AX3102" s="1539"/>
      <c r="AY3102" s="1539"/>
      <c r="AZ3102" s="1539"/>
      <c r="BA3102" s="1539"/>
      <c r="BB3102" s="1539"/>
      <c r="BC3102" s="1539"/>
      <c r="BD3102" s="1539"/>
      <c r="BE3102" s="1539"/>
      <c r="BF3102" s="1539"/>
      <c r="BG3102" s="1539"/>
      <c r="BH3102" s="1539"/>
      <c r="BI3102" s="1539"/>
      <c r="BJ3102" s="1539"/>
      <c r="BK3102" s="1539"/>
      <c r="BL3102" s="1539"/>
      <c r="BM3102" s="1539"/>
      <c r="BN3102" s="1539"/>
      <c r="BO3102" s="1539"/>
      <c r="BP3102" s="1539"/>
      <c r="BQ3102" s="1539"/>
      <c r="BR3102" s="1539"/>
      <c r="BS3102" s="1539"/>
      <c r="BT3102" s="1539"/>
      <c r="BU3102" s="1539"/>
      <c r="BV3102" s="1539"/>
      <c r="BW3102" s="1539"/>
      <c r="BX3102" s="1539"/>
      <c r="BY3102" s="1539"/>
      <c r="BZ3102" s="1539"/>
      <c r="CA3102" s="1539"/>
      <c r="CB3102" s="1539"/>
      <c r="CC3102" s="1539"/>
      <c r="CD3102" s="1539"/>
      <c r="CE3102" s="1539"/>
      <c r="CF3102" s="1539"/>
      <c r="CG3102" s="1539"/>
      <c r="CH3102" s="1539"/>
      <c r="CI3102" s="1539"/>
      <c r="CJ3102" s="1539"/>
      <c r="CK3102" s="1539"/>
      <c r="CL3102" s="1539"/>
      <c r="CM3102" s="1539"/>
      <c r="CN3102" s="1539"/>
      <c r="CO3102" s="1539"/>
    </row>
    <row r="3103" spans="1:93" s="1542" customFormat="1" ht="15.5">
      <c r="A3103" s="1598">
        <v>76.102000000000004</v>
      </c>
      <c r="B3103" s="1599" t="s">
        <v>3188</v>
      </c>
      <c r="C3103" s="1643" t="e">
        <f>+SUMIF(#REF!,Final!A3103,#REF!)</f>
        <v>#REF!</v>
      </c>
      <c r="D3103" s="1597" t="e">
        <f>+SUMIF(#REF!,Final!A3103,#REF!)</f>
        <v>#REF!</v>
      </c>
      <c r="E3103" s="1643" t="e">
        <f>SUMIF(#REF!,Final!A3103,#REF!)</f>
        <v>#REF!</v>
      </c>
      <c r="F3103" s="1644" t="e">
        <f>SUMIF(#REF!,Final!A3103,#REF!)</f>
        <v>#REF!</v>
      </c>
      <c r="G3103" s="1597" t="e">
        <f t="shared" si="344"/>
        <v>#REF!</v>
      </c>
      <c r="H3103" s="1644" t="e">
        <f t="shared" si="345"/>
        <v>#REF!</v>
      </c>
      <c r="I3103" s="1597" t="e">
        <f t="shared" si="346"/>
        <v>#REF!</v>
      </c>
      <c r="J3103" s="1644" t="e">
        <f t="shared" si="347"/>
        <v>#REF!</v>
      </c>
      <c r="K3103" s="1539"/>
      <c r="L3103" s="1539"/>
      <c r="M3103" s="1545"/>
      <c r="N3103" s="1545"/>
      <c r="O3103" s="1539"/>
      <c r="P3103" s="1539"/>
      <c r="Q3103" s="1539"/>
      <c r="R3103" s="1539"/>
      <c r="S3103" s="1539"/>
      <c r="T3103" s="1539"/>
      <c r="U3103" s="1539"/>
      <c r="V3103" s="1539"/>
      <c r="W3103" s="1539"/>
      <c r="X3103" s="1539"/>
      <c r="Y3103" s="1539"/>
      <c r="Z3103" s="1539"/>
      <c r="AA3103" s="1539"/>
      <c r="AB3103" s="1539"/>
      <c r="AC3103" s="1539"/>
      <c r="AD3103" s="1539"/>
      <c r="AE3103" s="1539"/>
      <c r="AF3103" s="1539"/>
      <c r="AG3103" s="1539"/>
      <c r="AH3103" s="1539"/>
      <c r="AI3103" s="1539"/>
      <c r="AJ3103" s="1539"/>
      <c r="AK3103" s="1539"/>
      <c r="AL3103" s="1539"/>
      <c r="AM3103" s="1539"/>
      <c r="AN3103" s="1539"/>
      <c r="AO3103" s="1539"/>
      <c r="AP3103" s="1539"/>
      <c r="AQ3103" s="1539"/>
      <c r="AR3103" s="1539"/>
      <c r="AS3103" s="1539"/>
      <c r="AT3103" s="1539"/>
      <c r="AU3103" s="1539"/>
      <c r="AV3103" s="1539"/>
      <c r="AW3103" s="1539"/>
      <c r="AX3103" s="1539"/>
      <c r="AY3103" s="1539"/>
      <c r="AZ3103" s="1539"/>
      <c r="BA3103" s="1539"/>
      <c r="BB3103" s="1539"/>
      <c r="BC3103" s="1539"/>
      <c r="BD3103" s="1539"/>
      <c r="BE3103" s="1539"/>
      <c r="BF3103" s="1539"/>
      <c r="BG3103" s="1539"/>
      <c r="BH3103" s="1539"/>
      <c r="BI3103" s="1539"/>
      <c r="BJ3103" s="1539"/>
      <c r="BK3103" s="1539"/>
      <c r="BL3103" s="1539"/>
      <c r="BM3103" s="1539"/>
      <c r="BN3103" s="1539"/>
      <c r="BO3103" s="1539"/>
      <c r="BP3103" s="1539"/>
      <c r="BQ3103" s="1539"/>
      <c r="BR3103" s="1539"/>
      <c r="BS3103" s="1539"/>
      <c r="BT3103" s="1539"/>
      <c r="BU3103" s="1539"/>
      <c r="BV3103" s="1539"/>
      <c r="BW3103" s="1539"/>
      <c r="BX3103" s="1539"/>
      <c r="BY3103" s="1539"/>
      <c r="BZ3103" s="1539"/>
      <c r="CA3103" s="1539"/>
      <c r="CB3103" s="1539"/>
      <c r="CC3103" s="1539"/>
      <c r="CD3103" s="1539"/>
      <c r="CE3103" s="1539"/>
      <c r="CF3103" s="1539"/>
      <c r="CG3103" s="1539"/>
      <c r="CH3103" s="1539"/>
      <c r="CI3103" s="1539"/>
      <c r="CJ3103" s="1539"/>
      <c r="CK3103" s="1539"/>
      <c r="CL3103" s="1539"/>
      <c r="CM3103" s="1539"/>
      <c r="CN3103" s="1539"/>
      <c r="CO3103" s="1539"/>
    </row>
    <row r="3104" spans="1:93" s="1552" customFormat="1" ht="15.5">
      <c r="A3104" s="1598"/>
      <c r="B3104" s="1599" t="s">
        <v>1747</v>
      </c>
      <c r="C3104" s="1643" t="e">
        <f>+SUMIF(#REF!,Final!A3104,#REF!)</f>
        <v>#REF!</v>
      </c>
      <c r="D3104" s="1597" t="e">
        <f>+SUMIF(#REF!,Final!A3104,#REF!)</f>
        <v>#REF!</v>
      </c>
      <c r="E3104" s="1643" t="e">
        <f>SUMIF(#REF!,Final!A3104,#REF!)</f>
        <v>#REF!</v>
      </c>
      <c r="F3104" s="1644" t="e">
        <f>SUMIF(#REF!,Final!A3104,#REF!)</f>
        <v>#REF!</v>
      </c>
      <c r="G3104" s="1597" t="e">
        <f t="shared" si="344"/>
        <v>#REF!</v>
      </c>
      <c r="H3104" s="1644" t="e">
        <f t="shared" si="345"/>
        <v>#REF!</v>
      </c>
      <c r="I3104" s="1597" t="e">
        <f t="shared" si="346"/>
        <v>#REF!</v>
      </c>
      <c r="J3104" s="1644" t="e">
        <f t="shared" si="347"/>
        <v>#REF!</v>
      </c>
      <c r="K3104" s="1539"/>
      <c r="L3104" s="1539"/>
      <c r="M3104" s="1545"/>
      <c r="N3104" s="1545"/>
      <c r="O3104" s="1539"/>
      <c r="P3104" s="1539"/>
      <c r="Q3104" s="1539"/>
      <c r="R3104" s="1539"/>
      <c r="S3104" s="1539"/>
      <c r="T3104" s="1539"/>
      <c r="U3104" s="1539"/>
      <c r="V3104" s="1539"/>
      <c r="W3104" s="1539"/>
      <c r="X3104" s="1539"/>
      <c r="Y3104" s="1539"/>
      <c r="Z3104" s="1539"/>
      <c r="AA3104" s="1539"/>
      <c r="AB3104" s="1539"/>
      <c r="AC3104" s="1539"/>
      <c r="AD3104" s="1539"/>
      <c r="AE3104" s="1539"/>
      <c r="AF3104" s="1539"/>
      <c r="AG3104" s="1539"/>
      <c r="AH3104" s="1539"/>
      <c r="AI3104" s="1539"/>
      <c r="AJ3104" s="1539"/>
      <c r="AK3104" s="1539"/>
      <c r="AL3104" s="1539"/>
      <c r="AM3104" s="1539"/>
      <c r="AN3104" s="1539"/>
      <c r="AO3104" s="1539"/>
      <c r="AP3104" s="1539"/>
      <c r="AQ3104" s="1539"/>
      <c r="AR3104" s="1539"/>
      <c r="AS3104" s="1539"/>
      <c r="AT3104" s="1539"/>
      <c r="AU3104" s="1539"/>
      <c r="AV3104" s="1539"/>
      <c r="AW3104" s="1539"/>
      <c r="AX3104" s="1539"/>
      <c r="AY3104" s="1539"/>
      <c r="AZ3104" s="1539"/>
      <c r="BA3104" s="1539"/>
      <c r="BB3104" s="1539"/>
      <c r="BC3104" s="1539"/>
      <c r="BD3104" s="1539"/>
      <c r="BE3104" s="1539"/>
      <c r="BF3104" s="1539"/>
      <c r="BG3104" s="1539"/>
      <c r="BH3104" s="1539"/>
      <c r="BI3104" s="1539"/>
      <c r="BJ3104" s="1539"/>
      <c r="BK3104" s="1539"/>
      <c r="BL3104" s="1539"/>
      <c r="BM3104" s="1539"/>
      <c r="BN3104" s="1539"/>
      <c r="BO3104" s="1539"/>
      <c r="BP3104" s="1539"/>
      <c r="BQ3104" s="1539"/>
      <c r="BR3104" s="1539"/>
      <c r="BS3104" s="1539"/>
      <c r="BT3104" s="1539"/>
      <c r="BU3104" s="1539"/>
      <c r="BV3104" s="1539"/>
      <c r="BW3104" s="1539"/>
      <c r="BX3104" s="1539"/>
      <c r="BY3104" s="1539"/>
      <c r="BZ3104" s="1539"/>
      <c r="CA3104" s="1539"/>
      <c r="CB3104" s="1539"/>
      <c r="CC3104" s="1539"/>
      <c r="CD3104" s="1539"/>
      <c r="CE3104" s="1539"/>
      <c r="CF3104" s="1539"/>
      <c r="CG3104" s="1539"/>
      <c r="CH3104" s="1539"/>
      <c r="CI3104" s="1539"/>
      <c r="CJ3104" s="1539"/>
      <c r="CK3104" s="1539"/>
      <c r="CL3104" s="1539"/>
      <c r="CM3104" s="1539"/>
      <c r="CN3104" s="1539"/>
      <c r="CO3104" s="1539"/>
    </row>
    <row r="3105" spans="1:93" s="1552" customFormat="1" ht="15.5">
      <c r="A3105" s="1598"/>
      <c r="B3105" s="1599" t="s">
        <v>1760</v>
      </c>
      <c r="C3105" s="1643" t="e">
        <f>+SUMIF(#REF!,Final!A3105,#REF!)</f>
        <v>#REF!</v>
      </c>
      <c r="D3105" s="1597" t="e">
        <f>+SUMIF(#REF!,Final!A3105,#REF!)</f>
        <v>#REF!</v>
      </c>
      <c r="E3105" s="1643" t="e">
        <f>SUMIF(#REF!,Final!A3105,#REF!)</f>
        <v>#REF!</v>
      </c>
      <c r="F3105" s="1644" t="e">
        <f>SUMIF(#REF!,Final!A3105,#REF!)</f>
        <v>#REF!</v>
      </c>
      <c r="G3105" s="1597" t="e">
        <f t="shared" si="344"/>
        <v>#REF!</v>
      </c>
      <c r="H3105" s="1644" t="e">
        <f t="shared" si="345"/>
        <v>#REF!</v>
      </c>
      <c r="I3105" s="1597" t="e">
        <f t="shared" si="346"/>
        <v>#REF!</v>
      </c>
      <c r="J3105" s="1644" t="e">
        <f t="shared" si="347"/>
        <v>#REF!</v>
      </c>
      <c r="K3105" s="1539"/>
      <c r="L3105" s="1539"/>
      <c r="M3105" s="1545"/>
      <c r="N3105" s="1545"/>
      <c r="O3105" s="1539"/>
      <c r="P3105" s="1539"/>
      <c r="Q3105" s="1539"/>
      <c r="R3105" s="1539"/>
      <c r="S3105" s="1539"/>
      <c r="T3105" s="1539"/>
      <c r="U3105" s="1539"/>
      <c r="V3105" s="1539"/>
      <c r="W3105" s="1539"/>
      <c r="X3105" s="1539"/>
      <c r="Y3105" s="1539"/>
      <c r="Z3105" s="1539"/>
      <c r="AA3105" s="1539"/>
      <c r="AB3105" s="1539"/>
      <c r="AC3105" s="1539"/>
      <c r="AD3105" s="1539"/>
      <c r="AE3105" s="1539"/>
      <c r="AF3105" s="1539"/>
      <c r="AG3105" s="1539"/>
      <c r="AH3105" s="1539"/>
      <c r="AI3105" s="1539"/>
      <c r="AJ3105" s="1539"/>
      <c r="AK3105" s="1539"/>
      <c r="AL3105" s="1539"/>
      <c r="AM3105" s="1539"/>
      <c r="AN3105" s="1539"/>
      <c r="AO3105" s="1539"/>
      <c r="AP3105" s="1539"/>
      <c r="AQ3105" s="1539"/>
      <c r="AR3105" s="1539"/>
      <c r="AS3105" s="1539"/>
      <c r="AT3105" s="1539"/>
      <c r="AU3105" s="1539"/>
      <c r="AV3105" s="1539"/>
      <c r="AW3105" s="1539"/>
      <c r="AX3105" s="1539"/>
      <c r="AY3105" s="1539"/>
      <c r="AZ3105" s="1539"/>
      <c r="BA3105" s="1539"/>
      <c r="BB3105" s="1539"/>
      <c r="BC3105" s="1539"/>
      <c r="BD3105" s="1539"/>
      <c r="BE3105" s="1539"/>
      <c r="BF3105" s="1539"/>
      <c r="BG3105" s="1539"/>
      <c r="BH3105" s="1539"/>
      <c r="BI3105" s="1539"/>
      <c r="BJ3105" s="1539"/>
      <c r="BK3105" s="1539"/>
      <c r="BL3105" s="1539"/>
      <c r="BM3105" s="1539"/>
      <c r="BN3105" s="1539"/>
      <c r="BO3105" s="1539"/>
      <c r="BP3105" s="1539"/>
      <c r="BQ3105" s="1539"/>
      <c r="BR3105" s="1539"/>
      <c r="BS3105" s="1539"/>
      <c r="BT3105" s="1539"/>
      <c r="BU3105" s="1539"/>
      <c r="BV3105" s="1539"/>
      <c r="BW3105" s="1539"/>
      <c r="BX3105" s="1539"/>
      <c r="BY3105" s="1539"/>
      <c r="BZ3105" s="1539"/>
      <c r="CA3105" s="1539"/>
      <c r="CB3105" s="1539"/>
      <c r="CC3105" s="1539"/>
      <c r="CD3105" s="1539"/>
      <c r="CE3105" s="1539"/>
      <c r="CF3105" s="1539"/>
      <c r="CG3105" s="1539"/>
      <c r="CH3105" s="1539"/>
      <c r="CI3105" s="1539"/>
      <c r="CJ3105" s="1539"/>
      <c r="CK3105" s="1539"/>
      <c r="CL3105" s="1539"/>
      <c r="CM3105" s="1539"/>
      <c r="CN3105" s="1539"/>
      <c r="CO3105" s="1539"/>
    </row>
    <row r="3106" spans="1:93" s="1542" customFormat="1" ht="15.5">
      <c r="A3106" s="1598">
        <v>31</v>
      </c>
      <c r="B3106" s="1599" t="s">
        <v>117</v>
      </c>
      <c r="C3106" s="1643" t="e">
        <f>+SUMIF(#REF!,Final!A3106,#REF!)</f>
        <v>#REF!</v>
      </c>
      <c r="D3106" s="1597" t="e">
        <f>+SUMIF(#REF!,Final!A3106,#REF!)</f>
        <v>#REF!</v>
      </c>
      <c r="E3106" s="1643" t="e">
        <f>SUMIF(#REF!,Final!A3106,#REF!)</f>
        <v>#REF!</v>
      </c>
      <c r="F3106" s="1644" t="e">
        <f>SUMIF(#REF!,Final!A3106,#REF!)</f>
        <v>#REF!</v>
      </c>
      <c r="G3106" s="1597" t="e">
        <f t="shared" si="344"/>
        <v>#REF!</v>
      </c>
      <c r="H3106" s="1644" t="e">
        <f t="shared" si="345"/>
        <v>#REF!</v>
      </c>
      <c r="I3106" s="1597" t="e">
        <f t="shared" si="346"/>
        <v>#REF!</v>
      </c>
      <c r="J3106" s="1644" t="e">
        <f t="shared" si="347"/>
        <v>#REF!</v>
      </c>
      <c r="K3106" s="1539"/>
      <c r="L3106" s="1539"/>
      <c r="M3106" s="1545"/>
      <c r="N3106" s="1545"/>
      <c r="O3106" s="1539"/>
      <c r="P3106" s="1539"/>
      <c r="Q3106" s="1539"/>
      <c r="R3106" s="1539"/>
      <c r="S3106" s="1539"/>
      <c r="T3106" s="1539"/>
      <c r="U3106" s="1539"/>
      <c r="V3106" s="1539"/>
      <c r="W3106" s="1539"/>
      <c r="X3106" s="1539"/>
      <c r="Y3106" s="1539"/>
      <c r="Z3106" s="1539"/>
      <c r="AA3106" s="1539"/>
      <c r="AB3106" s="1539"/>
      <c r="AC3106" s="1539"/>
      <c r="AD3106" s="1539"/>
      <c r="AE3106" s="1539"/>
      <c r="AF3106" s="1539"/>
      <c r="AG3106" s="1539"/>
      <c r="AH3106" s="1539"/>
      <c r="AI3106" s="1539"/>
      <c r="AJ3106" s="1539"/>
      <c r="AK3106" s="1539"/>
      <c r="AL3106" s="1539"/>
      <c r="AM3106" s="1539"/>
      <c r="AN3106" s="1539"/>
      <c r="AO3106" s="1539"/>
      <c r="AP3106" s="1539"/>
      <c r="AQ3106" s="1539"/>
      <c r="AR3106" s="1539"/>
      <c r="AS3106" s="1539"/>
      <c r="AT3106" s="1539"/>
      <c r="AU3106" s="1539"/>
      <c r="AV3106" s="1539"/>
      <c r="AW3106" s="1539"/>
      <c r="AX3106" s="1539"/>
      <c r="AY3106" s="1539"/>
      <c r="AZ3106" s="1539"/>
      <c r="BA3106" s="1539"/>
      <c r="BB3106" s="1539"/>
      <c r="BC3106" s="1539"/>
      <c r="BD3106" s="1539"/>
      <c r="BE3106" s="1539"/>
      <c r="BF3106" s="1539"/>
      <c r="BG3106" s="1539"/>
      <c r="BH3106" s="1539"/>
      <c r="BI3106" s="1539"/>
      <c r="BJ3106" s="1539"/>
      <c r="BK3106" s="1539"/>
      <c r="BL3106" s="1539"/>
      <c r="BM3106" s="1539"/>
      <c r="BN3106" s="1539"/>
      <c r="BO3106" s="1539"/>
      <c r="BP3106" s="1539"/>
      <c r="BQ3106" s="1539"/>
      <c r="BR3106" s="1539"/>
      <c r="BS3106" s="1539"/>
      <c r="BT3106" s="1539"/>
      <c r="BU3106" s="1539"/>
      <c r="BV3106" s="1539"/>
      <c r="BW3106" s="1539"/>
      <c r="BX3106" s="1539"/>
      <c r="BY3106" s="1539"/>
      <c r="BZ3106" s="1539"/>
      <c r="CA3106" s="1539"/>
      <c r="CB3106" s="1539"/>
      <c r="CC3106" s="1539"/>
      <c r="CD3106" s="1539"/>
      <c r="CE3106" s="1539"/>
      <c r="CF3106" s="1539"/>
      <c r="CG3106" s="1539"/>
      <c r="CH3106" s="1539"/>
      <c r="CI3106" s="1539"/>
      <c r="CJ3106" s="1539"/>
      <c r="CK3106" s="1539"/>
      <c r="CL3106" s="1539"/>
      <c r="CM3106" s="1539"/>
      <c r="CN3106" s="1539"/>
      <c r="CO3106" s="1539"/>
    </row>
    <row r="3107" spans="1:93" ht="15.5">
      <c r="A3107" s="1598">
        <v>76.103999999999999</v>
      </c>
      <c r="B3107" s="1599" t="s">
        <v>3136</v>
      </c>
      <c r="C3107" s="1643" t="e">
        <f>+SUMIF(#REF!,Final!A3107,#REF!)</f>
        <v>#REF!</v>
      </c>
      <c r="D3107" s="1597" t="e">
        <f>+SUMIF(#REF!,Final!A3107,#REF!)</f>
        <v>#REF!</v>
      </c>
      <c r="E3107" s="1643" t="e">
        <f>SUMIF(#REF!,Final!A3107,#REF!)</f>
        <v>#REF!</v>
      </c>
      <c r="F3107" s="1644" t="e">
        <f>SUMIF(#REF!,Final!A3107,#REF!)</f>
        <v>#REF!</v>
      </c>
      <c r="G3107" s="1597" t="e">
        <f t="shared" si="344"/>
        <v>#REF!</v>
      </c>
      <c r="H3107" s="1644" t="e">
        <f t="shared" si="345"/>
        <v>#REF!</v>
      </c>
      <c r="I3107" s="1597" t="e">
        <f t="shared" si="346"/>
        <v>#REF!</v>
      </c>
      <c r="J3107" s="1644" t="e">
        <f t="shared" si="347"/>
        <v>#REF!</v>
      </c>
      <c r="M3107" s="1545"/>
      <c r="N3107" s="1545"/>
    </row>
    <row r="3108" spans="1:93" s="1542" customFormat="1" ht="15.5">
      <c r="A3108" s="1598">
        <v>76.105000000000004</v>
      </c>
      <c r="B3108" s="1599" t="s">
        <v>3137</v>
      </c>
      <c r="C3108" s="1643" t="e">
        <f>+SUMIF(#REF!,Final!A3108,#REF!)</f>
        <v>#REF!</v>
      </c>
      <c r="D3108" s="1597" t="e">
        <f>+SUMIF(#REF!,Final!A3108,#REF!)</f>
        <v>#REF!</v>
      </c>
      <c r="E3108" s="1643" t="e">
        <f>SUMIF(#REF!,Final!A3108,#REF!)</f>
        <v>#REF!</v>
      </c>
      <c r="F3108" s="1644" t="e">
        <f>SUMIF(#REF!,Final!A3108,#REF!)</f>
        <v>#REF!</v>
      </c>
      <c r="G3108" s="1597" t="e">
        <f t="shared" si="344"/>
        <v>#REF!</v>
      </c>
      <c r="H3108" s="1644" t="e">
        <f t="shared" si="345"/>
        <v>#REF!</v>
      </c>
      <c r="I3108" s="1597" t="e">
        <f t="shared" si="346"/>
        <v>#REF!</v>
      </c>
      <c r="J3108" s="1644" t="e">
        <f t="shared" si="347"/>
        <v>#REF!</v>
      </c>
      <c r="K3108" s="1539"/>
      <c r="L3108" s="1539"/>
      <c r="M3108" s="1545"/>
      <c r="N3108" s="1545"/>
      <c r="O3108" s="1539"/>
      <c r="P3108" s="1539"/>
      <c r="Q3108" s="1539"/>
      <c r="R3108" s="1539"/>
      <c r="S3108" s="1539"/>
      <c r="T3108" s="1539"/>
      <c r="U3108" s="1539"/>
      <c r="V3108" s="1539"/>
      <c r="W3108" s="1539"/>
      <c r="X3108" s="1539"/>
      <c r="Y3108" s="1539"/>
      <c r="Z3108" s="1539"/>
      <c r="AA3108" s="1539"/>
      <c r="AB3108" s="1539"/>
      <c r="AC3108" s="1539"/>
      <c r="AD3108" s="1539"/>
      <c r="AE3108" s="1539"/>
      <c r="AF3108" s="1539"/>
      <c r="AG3108" s="1539"/>
      <c r="AH3108" s="1539"/>
      <c r="AI3108" s="1539"/>
      <c r="AJ3108" s="1539"/>
      <c r="AK3108" s="1539"/>
      <c r="AL3108" s="1539"/>
      <c r="AM3108" s="1539"/>
      <c r="AN3108" s="1539"/>
      <c r="AO3108" s="1539"/>
      <c r="AP3108" s="1539"/>
      <c r="AQ3108" s="1539"/>
      <c r="AR3108" s="1539"/>
      <c r="AS3108" s="1539"/>
      <c r="AT3108" s="1539"/>
      <c r="AU3108" s="1539"/>
      <c r="AV3108" s="1539"/>
      <c r="AW3108" s="1539"/>
      <c r="AX3108" s="1539"/>
      <c r="AY3108" s="1539"/>
      <c r="AZ3108" s="1539"/>
      <c r="BA3108" s="1539"/>
      <c r="BB3108" s="1539"/>
      <c r="BC3108" s="1539"/>
      <c r="BD3108" s="1539"/>
      <c r="BE3108" s="1539"/>
      <c r="BF3108" s="1539"/>
      <c r="BG3108" s="1539"/>
      <c r="BH3108" s="1539"/>
      <c r="BI3108" s="1539"/>
      <c r="BJ3108" s="1539"/>
      <c r="BK3108" s="1539"/>
      <c r="BL3108" s="1539"/>
      <c r="BM3108" s="1539"/>
      <c r="BN3108" s="1539"/>
      <c r="BO3108" s="1539"/>
      <c r="BP3108" s="1539"/>
      <c r="BQ3108" s="1539"/>
      <c r="BR3108" s="1539"/>
      <c r="BS3108" s="1539"/>
      <c r="BT3108" s="1539"/>
      <c r="BU3108" s="1539"/>
      <c r="BV3108" s="1539"/>
      <c r="BW3108" s="1539"/>
      <c r="BX3108" s="1539"/>
      <c r="BY3108" s="1539"/>
      <c r="BZ3108" s="1539"/>
      <c r="CA3108" s="1539"/>
      <c r="CB3108" s="1539"/>
      <c r="CC3108" s="1539"/>
      <c r="CD3108" s="1539"/>
      <c r="CE3108" s="1539"/>
      <c r="CF3108" s="1539"/>
      <c r="CG3108" s="1539"/>
      <c r="CH3108" s="1539"/>
      <c r="CI3108" s="1539"/>
      <c r="CJ3108" s="1539"/>
      <c r="CK3108" s="1539"/>
      <c r="CL3108" s="1539"/>
      <c r="CM3108" s="1539"/>
      <c r="CN3108" s="1539"/>
      <c r="CO3108" s="1539"/>
    </row>
    <row r="3109" spans="1:93" ht="15.5">
      <c r="A3109" s="1598">
        <v>76.105999999999995</v>
      </c>
      <c r="B3109" s="1599" t="s">
        <v>3138</v>
      </c>
      <c r="C3109" s="1643" t="e">
        <f>+SUMIF(#REF!,Final!A3109,#REF!)</f>
        <v>#REF!</v>
      </c>
      <c r="D3109" s="1597" t="e">
        <f>+SUMIF(#REF!,Final!A3109,#REF!)</f>
        <v>#REF!</v>
      </c>
      <c r="E3109" s="1643" t="e">
        <f>SUMIF(#REF!,Final!A3109,#REF!)</f>
        <v>#REF!</v>
      </c>
      <c r="F3109" s="1644" t="e">
        <f>SUMIF(#REF!,Final!A3109,#REF!)</f>
        <v>#REF!</v>
      </c>
      <c r="G3109" s="1597" t="e">
        <f t="shared" si="344"/>
        <v>#REF!</v>
      </c>
      <c r="H3109" s="1644" t="e">
        <f t="shared" si="345"/>
        <v>#REF!</v>
      </c>
      <c r="I3109" s="1597" t="e">
        <f t="shared" si="346"/>
        <v>#REF!</v>
      </c>
      <c r="J3109" s="1644" t="e">
        <f t="shared" si="347"/>
        <v>#REF!</v>
      </c>
      <c r="M3109" s="1545"/>
      <c r="N3109" s="1545"/>
    </row>
    <row r="3110" spans="1:93" s="1542" customFormat="1" ht="15.5">
      <c r="A3110" s="1598">
        <v>76.108999999999995</v>
      </c>
      <c r="B3110" s="1599" t="s">
        <v>3139</v>
      </c>
      <c r="C3110" s="1643" t="e">
        <f>+SUMIF(#REF!,Final!A3110,#REF!)</f>
        <v>#REF!</v>
      </c>
      <c r="D3110" s="1597" t="e">
        <f>+SUMIF(#REF!,Final!A3110,#REF!)</f>
        <v>#REF!</v>
      </c>
      <c r="E3110" s="1643" t="e">
        <f>SUMIF(#REF!,Final!A3110,#REF!)</f>
        <v>#REF!</v>
      </c>
      <c r="F3110" s="1644" t="e">
        <f>SUMIF(#REF!,Final!A3110,#REF!)</f>
        <v>#REF!</v>
      </c>
      <c r="G3110" s="1597" t="e">
        <f t="shared" si="344"/>
        <v>#REF!</v>
      </c>
      <c r="H3110" s="1644" t="e">
        <f t="shared" si="345"/>
        <v>#REF!</v>
      </c>
      <c r="I3110" s="1597" t="e">
        <f t="shared" si="346"/>
        <v>#REF!</v>
      </c>
      <c r="J3110" s="1644" t="e">
        <f t="shared" si="347"/>
        <v>#REF!</v>
      </c>
      <c r="K3110" s="1539"/>
      <c r="L3110" s="1539"/>
      <c r="M3110" s="1545"/>
      <c r="N3110" s="1545"/>
      <c r="O3110" s="1539"/>
      <c r="P3110" s="1539"/>
      <c r="Q3110" s="1539"/>
      <c r="R3110" s="1539"/>
      <c r="S3110" s="1539"/>
      <c r="T3110" s="1539"/>
      <c r="U3110" s="1539"/>
      <c r="V3110" s="1539"/>
      <c r="W3110" s="1539"/>
      <c r="X3110" s="1539"/>
      <c r="Y3110" s="1539"/>
      <c r="Z3110" s="1539"/>
      <c r="AA3110" s="1539"/>
      <c r="AB3110" s="1539"/>
      <c r="AC3110" s="1539"/>
      <c r="AD3110" s="1539"/>
      <c r="AE3110" s="1539"/>
      <c r="AF3110" s="1539"/>
      <c r="AG3110" s="1539"/>
      <c r="AH3110" s="1539"/>
      <c r="AI3110" s="1539"/>
      <c r="AJ3110" s="1539"/>
      <c r="AK3110" s="1539"/>
      <c r="AL3110" s="1539"/>
      <c r="AM3110" s="1539"/>
      <c r="AN3110" s="1539"/>
      <c r="AO3110" s="1539"/>
      <c r="AP3110" s="1539"/>
      <c r="AQ3110" s="1539"/>
      <c r="AR3110" s="1539"/>
      <c r="AS3110" s="1539"/>
      <c r="AT3110" s="1539"/>
      <c r="AU3110" s="1539"/>
      <c r="AV3110" s="1539"/>
      <c r="AW3110" s="1539"/>
      <c r="AX3110" s="1539"/>
      <c r="AY3110" s="1539"/>
      <c r="AZ3110" s="1539"/>
      <c r="BA3110" s="1539"/>
      <c r="BB3110" s="1539"/>
      <c r="BC3110" s="1539"/>
      <c r="BD3110" s="1539"/>
      <c r="BE3110" s="1539"/>
      <c r="BF3110" s="1539"/>
      <c r="BG3110" s="1539"/>
      <c r="BH3110" s="1539"/>
      <c r="BI3110" s="1539"/>
      <c r="BJ3110" s="1539"/>
      <c r="BK3110" s="1539"/>
      <c r="BL3110" s="1539"/>
      <c r="BM3110" s="1539"/>
      <c r="BN3110" s="1539"/>
      <c r="BO3110" s="1539"/>
      <c r="BP3110" s="1539"/>
      <c r="BQ3110" s="1539"/>
      <c r="BR3110" s="1539"/>
      <c r="BS3110" s="1539"/>
      <c r="BT3110" s="1539"/>
      <c r="BU3110" s="1539"/>
      <c r="BV3110" s="1539"/>
      <c r="BW3110" s="1539"/>
      <c r="BX3110" s="1539"/>
      <c r="BY3110" s="1539"/>
      <c r="BZ3110" s="1539"/>
      <c r="CA3110" s="1539"/>
      <c r="CB3110" s="1539"/>
      <c r="CC3110" s="1539"/>
      <c r="CD3110" s="1539"/>
      <c r="CE3110" s="1539"/>
      <c r="CF3110" s="1539"/>
      <c r="CG3110" s="1539"/>
      <c r="CH3110" s="1539"/>
      <c r="CI3110" s="1539"/>
      <c r="CJ3110" s="1539"/>
      <c r="CK3110" s="1539"/>
      <c r="CL3110" s="1539"/>
      <c r="CM3110" s="1539"/>
      <c r="CN3110" s="1539"/>
      <c r="CO3110" s="1539"/>
    </row>
    <row r="3111" spans="1:93" s="1552" customFormat="1" ht="15.5">
      <c r="A3111" s="1598"/>
      <c r="B3111" s="1599" t="s">
        <v>1747</v>
      </c>
      <c r="C3111" s="1643" t="e">
        <f>+SUMIF(#REF!,Final!A3111,#REF!)</f>
        <v>#REF!</v>
      </c>
      <c r="D3111" s="1597" t="e">
        <f>+SUMIF(#REF!,Final!A3111,#REF!)</f>
        <v>#REF!</v>
      </c>
      <c r="E3111" s="1643" t="e">
        <f>SUMIF(#REF!,Final!A3111,#REF!)</f>
        <v>#REF!</v>
      </c>
      <c r="F3111" s="1644" t="e">
        <f>SUMIF(#REF!,Final!A3111,#REF!)</f>
        <v>#REF!</v>
      </c>
      <c r="G3111" s="1597" t="e">
        <f t="shared" si="344"/>
        <v>#REF!</v>
      </c>
      <c r="H3111" s="1644" t="e">
        <f t="shared" si="345"/>
        <v>#REF!</v>
      </c>
      <c r="I3111" s="1597" t="e">
        <f t="shared" si="346"/>
        <v>#REF!</v>
      </c>
      <c r="J3111" s="1644" t="e">
        <f t="shared" si="347"/>
        <v>#REF!</v>
      </c>
      <c r="K3111" s="1539"/>
      <c r="L3111" s="1539"/>
      <c r="M3111" s="1545"/>
      <c r="N3111" s="1545"/>
      <c r="O3111" s="1539"/>
      <c r="P3111" s="1539"/>
      <c r="Q3111" s="1539"/>
      <c r="R3111" s="1539"/>
      <c r="S3111" s="1539"/>
      <c r="T3111" s="1539"/>
      <c r="U3111" s="1539"/>
      <c r="V3111" s="1539"/>
      <c r="W3111" s="1539"/>
      <c r="X3111" s="1539"/>
      <c r="Y3111" s="1539"/>
      <c r="Z3111" s="1539"/>
      <c r="AA3111" s="1539"/>
      <c r="AB3111" s="1539"/>
      <c r="AC3111" s="1539"/>
      <c r="AD3111" s="1539"/>
      <c r="AE3111" s="1539"/>
      <c r="AF3111" s="1539"/>
      <c r="AG3111" s="1539"/>
      <c r="AH3111" s="1539"/>
      <c r="AI3111" s="1539"/>
      <c r="AJ3111" s="1539"/>
      <c r="AK3111" s="1539"/>
      <c r="AL3111" s="1539"/>
      <c r="AM3111" s="1539"/>
      <c r="AN3111" s="1539"/>
      <c r="AO3111" s="1539"/>
      <c r="AP3111" s="1539"/>
      <c r="AQ3111" s="1539"/>
      <c r="AR3111" s="1539"/>
      <c r="AS3111" s="1539"/>
      <c r="AT3111" s="1539"/>
      <c r="AU3111" s="1539"/>
      <c r="AV3111" s="1539"/>
      <c r="AW3111" s="1539"/>
      <c r="AX3111" s="1539"/>
      <c r="AY3111" s="1539"/>
      <c r="AZ3111" s="1539"/>
      <c r="BA3111" s="1539"/>
      <c r="BB3111" s="1539"/>
      <c r="BC3111" s="1539"/>
      <c r="BD3111" s="1539"/>
      <c r="BE3111" s="1539"/>
      <c r="BF3111" s="1539"/>
      <c r="BG3111" s="1539"/>
      <c r="BH3111" s="1539"/>
      <c r="BI3111" s="1539"/>
      <c r="BJ3111" s="1539"/>
      <c r="BK3111" s="1539"/>
      <c r="BL3111" s="1539"/>
      <c r="BM3111" s="1539"/>
      <c r="BN3111" s="1539"/>
      <c r="BO3111" s="1539"/>
      <c r="BP3111" s="1539"/>
      <c r="BQ3111" s="1539"/>
      <c r="BR3111" s="1539"/>
      <c r="BS3111" s="1539"/>
      <c r="BT3111" s="1539"/>
      <c r="BU3111" s="1539"/>
      <c r="BV3111" s="1539"/>
      <c r="BW3111" s="1539"/>
      <c r="BX3111" s="1539"/>
      <c r="BY3111" s="1539"/>
      <c r="BZ3111" s="1539"/>
      <c r="CA3111" s="1539"/>
      <c r="CB3111" s="1539"/>
      <c r="CC3111" s="1539"/>
      <c r="CD3111" s="1539"/>
      <c r="CE3111" s="1539"/>
      <c r="CF3111" s="1539"/>
      <c r="CG3111" s="1539"/>
      <c r="CH3111" s="1539"/>
      <c r="CI3111" s="1539"/>
      <c r="CJ3111" s="1539"/>
      <c r="CK3111" s="1539"/>
      <c r="CL3111" s="1539"/>
      <c r="CM3111" s="1539"/>
      <c r="CN3111" s="1539"/>
      <c r="CO3111" s="1539"/>
    </row>
    <row r="3112" spans="1:93" s="1552" customFormat="1" ht="15.5">
      <c r="A3112" s="1598"/>
      <c r="B3112" s="1599" t="s">
        <v>1760</v>
      </c>
      <c r="C3112" s="1643" t="e">
        <f>+SUMIF(#REF!,Final!A3112,#REF!)</f>
        <v>#REF!</v>
      </c>
      <c r="D3112" s="1597" t="e">
        <f>+SUMIF(#REF!,Final!A3112,#REF!)</f>
        <v>#REF!</v>
      </c>
      <c r="E3112" s="1643" t="e">
        <f>SUMIF(#REF!,Final!A3112,#REF!)</f>
        <v>#REF!</v>
      </c>
      <c r="F3112" s="1644" t="e">
        <f>SUMIF(#REF!,Final!A3112,#REF!)</f>
        <v>#REF!</v>
      </c>
      <c r="G3112" s="1597" t="e">
        <f t="shared" si="344"/>
        <v>#REF!</v>
      </c>
      <c r="H3112" s="1644" t="e">
        <f t="shared" si="345"/>
        <v>#REF!</v>
      </c>
      <c r="I3112" s="1597" t="e">
        <f t="shared" si="346"/>
        <v>#REF!</v>
      </c>
      <c r="J3112" s="1644" t="e">
        <f t="shared" si="347"/>
        <v>#REF!</v>
      </c>
      <c r="K3112" s="1539"/>
      <c r="L3112" s="1539"/>
      <c r="M3112" s="1545"/>
      <c r="N3112" s="1545"/>
      <c r="O3112" s="1539"/>
      <c r="P3112" s="1539"/>
      <c r="Q3112" s="1539"/>
      <c r="R3112" s="1539"/>
      <c r="S3112" s="1539"/>
      <c r="T3112" s="1539"/>
      <c r="U3112" s="1539"/>
      <c r="V3112" s="1539"/>
      <c r="W3112" s="1539"/>
      <c r="X3112" s="1539"/>
      <c r="Y3112" s="1539"/>
      <c r="Z3112" s="1539"/>
      <c r="AA3112" s="1539"/>
      <c r="AB3112" s="1539"/>
      <c r="AC3112" s="1539"/>
      <c r="AD3112" s="1539"/>
      <c r="AE3112" s="1539"/>
      <c r="AF3112" s="1539"/>
      <c r="AG3112" s="1539"/>
      <c r="AH3112" s="1539"/>
      <c r="AI3112" s="1539"/>
      <c r="AJ3112" s="1539"/>
      <c r="AK3112" s="1539"/>
      <c r="AL3112" s="1539"/>
      <c r="AM3112" s="1539"/>
      <c r="AN3112" s="1539"/>
      <c r="AO3112" s="1539"/>
      <c r="AP3112" s="1539"/>
      <c r="AQ3112" s="1539"/>
      <c r="AR3112" s="1539"/>
      <c r="AS3112" s="1539"/>
      <c r="AT3112" s="1539"/>
      <c r="AU3112" s="1539"/>
      <c r="AV3112" s="1539"/>
      <c r="AW3112" s="1539"/>
      <c r="AX3112" s="1539"/>
      <c r="AY3112" s="1539"/>
      <c r="AZ3112" s="1539"/>
      <c r="BA3112" s="1539"/>
      <c r="BB3112" s="1539"/>
      <c r="BC3112" s="1539"/>
      <c r="BD3112" s="1539"/>
      <c r="BE3112" s="1539"/>
      <c r="BF3112" s="1539"/>
      <c r="BG3112" s="1539"/>
      <c r="BH3112" s="1539"/>
      <c r="BI3112" s="1539"/>
      <c r="BJ3112" s="1539"/>
      <c r="BK3112" s="1539"/>
      <c r="BL3112" s="1539"/>
      <c r="BM3112" s="1539"/>
      <c r="BN3112" s="1539"/>
      <c r="BO3112" s="1539"/>
      <c r="BP3112" s="1539"/>
      <c r="BQ3112" s="1539"/>
      <c r="BR3112" s="1539"/>
      <c r="BS3112" s="1539"/>
      <c r="BT3112" s="1539"/>
      <c r="BU3112" s="1539"/>
      <c r="BV3112" s="1539"/>
      <c r="BW3112" s="1539"/>
      <c r="BX3112" s="1539"/>
      <c r="BY3112" s="1539"/>
      <c r="BZ3112" s="1539"/>
      <c r="CA3112" s="1539"/>
      <c r="CB3112" s="1539"/>
      <c r="CC3112" s="1539"/>
      <c r="CD3112" s="1539"/>
      <c r="CE3112" s="1539"/>
      <c r="CF3112" s="1539"/>
      <c r="CG3112" s="1539"/>
      <c r="CH3112" s="1539"/>
      <c r="CI3112" s="1539"/>
      <c r="CJ3112" s="1539"/>
      <c r="CK3112" s="1539"/>
      <c r="CL3112" s="1539"/>
      <c r="CM3112" s="1539"/>
      <c r="CN3112" s="1539"/>
      <c r="CO3112" s="1539"/>
    </row>
    <row r="3113" spans="1:93" s="1542" customFormat="1" ht="15.5">
      <c r="A3113" s="1598">
        <v>35</v>
      </c>
      <c r="B3113" s="1599" t="s">
        <v>3207</v>
      </c>
      <c r="C3113" s="1643" t="e">
        <f>+SUMIF(#REF!,Final!A3113,#REF!)</f>
        <v>#REF!</v>
      </c>
      <c r="D3113" s="1597" t="e">
        <f>+SUMIF(#REF!,Final!A3113,#REF!)</f>
        <v>#REF!</v>
      </c>
      <c r="E3113" s="1643" t="e">
        <f>SUMIF(#REF!,Final!A3113,#REF!)</f>
        <v>#REF!</v>
      </c>
      <c r="F3113" s="1644" t="e">
        <f>SUMIF(#REF!,Final!A3113,#REF!)</f>
        <v>#REF!</v>
      </c>
      <c r="G3113" s="1597" t="e">
        <f t="shared" si="344"/>
        <v>#REF!</v>
      </c>
      <c r="H3113" s="1644" t="e">
        <f t="shared" si="345"/>
        <v>#REF!</v>
      </c>
      <c r="I3113" s="1597" t="e">
        <f t="shared" si="346"/>
        <v>#REF!</v>
      </c>
      <c r="J3113" s="1644" t="e">
        <f t="shared" si="347"/>
        <v>#REF!</v>
      </c>
      <c r="K3113" s="1539"/>
      <c r="L3113" s="1539"/>
      <c r="M3113" s="1545"/>
      <c r="N3113" s="1545"/>
      <c r="O3113" s="1539"/>
      <c r="P3113" s="1539"/>
      <c r="Q3113" s="1539"/>
      <c r="R3113" s="1539"/>
      <c r="S3113" s="1539"/>
      <c r="T3113" s="1539"/>
      <c r="U3113" s="1539"/>
      <c r="V3113" s="1539"/>
      <c r="W3113" s="1539"/>
      <c r="X3113" s="1539"/>
      <c r="Y3113" s="1539"/>
      <c r="Z3113" s="1539"/>
      <c r="AA3113" s="1539"/>
      <c r="AB3113" s="1539"/>
      <c r="AC3113" s="1539"/>
      <c r="AD3113" s="1539"/>
      <c r="AE3113" s="1539"/>
      <c r="AF3113" s="1539"/>
      <c r="AG3113" s="1539"/>
      <c r="AH3113" s="1539"/>
      <c r="AI3113" s="1539"/>
      <c r="AJ3113" s="1539"/>
      <c r="AK3113" s="1539"/>
      <c r="AL3113" s="1539"/>
      <c r="AM3113" s="1539"/>
      <c r="AN3113" s="1539"/>
      <c r="AO3113" s="1539"/>
      <c r="AP3113" s="1539"/>
      <c r="AQ3113" s="1539"/>
      <c r="AR3113" s="1539"/>
      <c r="AS3113" s="1539"/>
      <c r="AT3113" s="1539"/>
      <c r="AU3113" s="1539"/>
      <c r="AV3113" s="1539"/>
      <c r="AW3113" s="1539"/>
      <c r="AX3113" s="1539"/>
      <c r="AY3113" s="1539"/>
      <c r="AZ3113" s="1539"/>
      <c r="BA3113" s="1539"/>
      <c r="BB3113" s="1539"/>
      <c r="BC3113" s="1539"/>
      <c r="BD3113" s="1539"/>
      <c r="BE3113" s="1539"/>
      <c r="BF3113" s="1539"/>
      <c r="BG3113" s="1539"/>
      <c r="BH3113" s="1539"/>
      <c r="BI3113" s="1539"/>
      <c r="BJ3113" s="1539"/>
      <c r="BK3113" s="1539"/>
      <c r="BL3113" s="1539"/>
      <c r="BM3113" s="1539"/>
      <c r="BN3113" s="1539"/>
      <c r="BO3113" s="1539"/>
      <c r="BP3113" s="1539"/>
      <c r="BQ3113" s="1539"/>
      <c r="BR3113" s="1539"/>
      <c r="BS3113" s="1539"/>
      <c r="BT3113" s="1539"/>
      <c r="BU3113" s="1539"/>
      <c r="BV3113" s="1539"/>
      <c r="BW3113" s="1539"/>
      <c r="BX3113" s="1539"/>
      <c r="BY3113" s="1539"/>
      <c r="BZ3113" s="1539"/>
      <c r="CA3113" s="1539"/>
      <c r="CB3113" s="1539"/>
      <c r="CC3113" s="1539"/>
      <c r="CD3113" s="1539"/>
      <c r="CE3113" s="1539"/>
      <c r="CF3113" s="1539"/>
      <c r="CG3113" s="1539"/>
      <c r="CH3113" s="1539"/>
      <c r="CI3113" s="1539"/>
      <c r="CJ3113" s="1539"/>
      <c r="CK3113" s="1539"/>
      <c r="CL3113" s="1539"/>
      <c r="CM3113" s="1539"/>
      <c r="CN3113" s="1539"/>
      <c r="CO3113" s="1539"/>
    </row>
    <row r="3114" spans="1:93" s="1542" customFormat="1" ht="15.5">
      <c r="A3114" s="1598" t="s">
        <v>1762</v>
      </c>
      <c r="B3114" s="1599" t="s">
        <v>1731</v>
      </c>
      <c r="C3114" s="1643" t="e">
        <f>+SUMIF(#REF!,Final!A3114,#REF!)</f>
        <v>#REF!</v>
      </c>
      <c r="D3114" s="1597" t="e">
        <f>+SUMIF(#REF!,Final!A3114,#REF!)</f>
        <v>#REF!</v>
      </c>
      <c r="E3114" s="1643" t="e">
        <f>SUMIF(#REF!,Final!A3114,#REF!)</f>
        <v>#REF!</v>
      </c>
      <c r="F3114" s="1644" t="e">
        <f>SUMIF(#REF!,Final!A3114,#REF!)</f>
        <v>#REF!</v>
      </c>
      <c r="G3114" s="1597" t="e">
        <f t="shared" si="344"/>
        <v>#REF!</v>
      </c>
      <c r="H3114" s="1644" t="e">
        <f t="shared" si="345"/>
        <v>#REF!</v>
      </c>
      <c r="I3114" s="1597" t="e">
        <f t="shared" si="346"/>
        <v>#REF!</v>
      </c>
      <c r="J3114" s="1644" t="e">
        <f t="shared" si="347"/>
        <v>#REF!</v>
      </c>
      <c r="K3114" s="1539"/>
      <c r="L3114" s="1539"/>
      <c r="M3114" s="1545"/>
      <c r="N3114" s="1545"/>
      <c r="O3114" s="1539"/>
      <c r="P3114" s="1539"/>
      <c r="Q3114" s="1539"/>
      <c r="R3114" s="1539"/>
      <c r="S3114" s="1539"/>
      <c r="T3114" s="1539"/>
      <c r="U3114" s="1539"/>
      <c r="V3114" s="1539"/>
      <c r="W3114" s="1539"/>
      <c r="X3114" s="1539"/>
      <c r="Y3114" s="1539"/>
      <c r="Z3114" s="1539"/>
      <c r="AA3114" s="1539"/>
      <c r="AB3114" s="1539"/>
      <c r="AC3114" s="1539"/>
      <c r="AD3114" s="1539"/>
      <c r="AE3114" s="1539"/>
      <c r="AF3114" s="1539"/>
      <c r="AG3114" s="1539"/>
      <c r="AH3114" s="1539"/>
      <c r="AI3114" s="1539"/>
      <c r="AJ3114" s="1539"/>
      <c r="AK3114" s="1539"/>
      <c r="AL3114" s="1539"/>
      <c r="AM3114" s="1539"/>
      <c r="AN3114" s="1539"/>
      <c r="AO3114" s="1539"/>
      <c r="AP3114" s="1539"/>
      <c r="AQ3114" s="1539"/>
      <c r="AR3114" s="1539"/>
      <c r="AS3114" s="1539"/>
      <c r="AT3114" s="1539"/>
      <c r="AU3114" s="1539"/>
      <c r="AV3114" s="1539"/>
      <c r="AW3114" s="1539"/>
      <c r="AX3114" s="1539"/>
      <c r="AY3114" s="1539"/>
      <c r="AZ3114" s="1539"/>
      <c r="BA3114" s="1539"/>
      <c r="BB3114" s="1539"/>
      <c r="BC3114" s="1539"/>
      <c r="BD3114" s="1539"/>
      <c r="BE3114" s="1539"/>
      <c r="BF3114" s="1539"/>
      <c r="BG3114" s="1539"/>
      <c r="BH3114" s="1539"/>
      <c r="BI3114" s="1539"/>
      <c r="BJ3114" s="1539"/>
      <c r="BK3114" s="1539"/>
      <c r="BL3114" s="1539"/>
      <c r="BM3114" s="1539"/>
      <c r="BN3114" s="1539"/>
      <c r="BO3114" s="1539"/>
      <c r="BP3114" s="1539"/>
      <c r="BQ3114" s="1539"/>
      <c r="BR3114" s="1539"/>
      <c r="BS3114" s="1539"/>
      <c r="BT3114" s="1539"/>
      <c r="BU3114" s="1539"/>
      <c r="BV3114" s="1539"/>
      <c r="BW3114" s="1539"/>
      <c r="BX3114" s="1539"/>
      <c r="BY3114" s="1539"/>
      <c r="BZ3114" s="1539"/>
      <c r="CA3114" s="1539"/>
      <c r="CB3114" s="1539"/>
      <c r="CC3114" s="1539"/>
      <c r="CD3114" s="1539"/>
      <c r="CE3114" s="1539"/>
      <c r="CF3114" s="1539"/>
      <c r="CG3114" s="1539"/>
      <c r="CH3114" s="1539"/>
      <c r="CI3114" s="1539"/>
      <c r="CJ3114" s="1539"/>
      <c r="CK3114" s="1539"/>
      <c r="CL3114" s="1539"/>
      <c r="CM3114" s="1539"/>
      <c r="CN3114" s="1539"/>
      <c r="CO3114" s="1539"/>
    </row>
    <row r="3115" spans="1:93" ht="15.5">
      <c r="A3115" s="1598">
        <v>76.111000000000004</v>
      </c>
      <c r="B3115" s="1599" t="s">
        <v>3208</v>
      </c>
      <c r="C3115" s="1643" t="e">
        <f>+SUMIF(#REF!,Final!A3115,#REF!)</f>
        <v>#REF!</v>
      </c>
      <c r="D3115" s="1597" t="e">
        <f>+SUMIF(#REF!,Final!A3115,#REF!)</f>
        <v>#REF!</v>
      </c>
      <c r="E3115" s="1643" t="e">
        <f>SUMIF(#REF!,Final!A3115,#REF!)</f>
        <v>#REF!</v>
      </c>
      <c r="F3115" s="1644" t="e">
        <f>SUMIF(#REF!,Final!A3115,#REF!)</f>
        <v>#REF!</v>
      </c>
      <c r="G3115" s="1597" t="e">
        <f t="shared" si="344"/>
        <v>#REF!</v>
      </c>
      <c r="H3115" s="1644" t="e">
        <f t="shared" si="345"/>
        <v>#REF!</v>
      </c>
      <c r="I3115" s="1597" t="e">
        <f t="shared" si="346"/>
        <v>#REF!</v>
      </c>
      <c r="J3115" s="1644" t="e">
        <f t="shared" si="347"/>
        <v>#REF!</v>
      </c>
      <c r="M3115" s="1545"/>
      <c r="N3115" s="1545"/>
    </row>
    <row r="3116" spans="1:93" ht="15.5">
      <c r="A3116" s="1598" t="s">
        <v>1734</v>
      </c>
      <c r="B3116" s="1599" t="s">
        <v>3209</v>
      </c>
      <c r="C3116" s="1643" t="e">
        <f>+SUMIF(#REF!,Final!A3116,#REF!)</f>
        <v>#REF!</v>
      </c>
      <c r="D3116" s="1597" t="e">
        <f>+SUMIF(#REF!,Final!A3116,#REF!)</f>
        <v>#REF!</v>
      </c>
      <c r="E3116" s="1643" t="e">
        <f>SUMIF(#REF!,Final!A3116,#REF!)</f>
        <v>#REF!</v>
      </c>
      <c r="F3116" s="1644" t="e">
        <f>SUMIF(#REF!,Final!A3116,#REF!)</f>
        <v>#REF!</v>
      </c>
      <c r="G3116" s="1597" t="e">
        <f t="shared" si="344"/>
        <v>#REF!</v>
      </c>
      <c r="H3116" s="1644" t="e">
        <f t="shared" si="345"/>
        <v>#REF!</v>
      </c>
      <c r="I3116" s="1597" t="e">
        <f t="shared" si="346"/>
        <v>#REF!</v>
      </c>
      <c r="J3116" s="1644" t="e">
        <f t="shared" si="347"/>
        <v>#REF!</v>
      </c>
      <c r="M3116" s="1545"/>
      <c r="N3116" s="1545"/>
    </row>
    <row r="3117" spans="1:93" ht="15.5">
      <c r="A3117" s="1598">
        <v>76.111999999999995</v>
      </c>
      <c r="B3117" s="1599" t="s">
        <v>3210</v>
      </c>
      <c r="C3117" s="1643" t="e">
        <f>+SUMIF(#REF!,Final!A3117,#REF!)</f>
        <v>#REF!</v>
      </c>
      <c r="D3117" s="1597" t="e">
        <f>+SUMIF(#REF!,Final!A3117,#REF!)</f>
        <v>#REF!</v>
      </c>
      <c r="E3117" s="1643" t="e">
        <f>SUMIF(#REF!,Final!A3117,#REF!)</f>
        <v>#REF!</v>
      </c>
      <c r="F3117" s="1644" t="e">
        <f>SUMIF(#REF!,Final!A3117,#REF!)</f>
        <v>#REF!</v>
      </c>
      <c r="G3117" s="1597" t="e">
        <f t="shared" si="344"/>
        <v>#REF!</v>
      </c>
      <c r="H3117" s="1644" t="e">
        <f t="shared" si="345"/>
        <v>#REF!</v>
      </c>
      <c r="I3117" s="1597" t="e">
        <f t="shared" si="346"/>
        <v>#REF!</v>
      </c>
      <c r="J3117" s="1644" t="e">
        <f t="shared" si="347"/>
        <v>#REF!</v>
      </c>
      <c r="M3117" s="1545"/>
      <c r="N3117" s="1545"/>
    </row>
    <row r="3118" spans="1:93" ht="15.5">
      <c r="A3118" s="1598">
        <v>76.113</v>
      </c>
      <c r="B3118" s="1599" t="s">
        <v>3211</v>
      </c>
      <c r="C3118" s="1643" t="e">
        <f>+SUMIF(#REF!,Final!A3118,#REF!)</f>
        <v>#REF!</v>
      </c>
      <c r="D3118" s="1597" t="e">
        <f>+SUMIF(#REF!,Final!A3118,#REF!)</f>
        <v>#REF!</v>
      </c>
      <c r="E3118" s="1643" t="e">
        <f>SUMIF(#REF!,Final!A3118,#REF!)</f>
        <v>#REF!</v>
      </c>
      <c r="F3118" s="1644" t="e">
        <f>SUMIF(#REF!,Final!A3118,#REF!)</f>
        <v>#REF!</v>
      </c>
      <c r="G3118" s="1597" t="e">
        <f t="shared" si="344"/>
        <v>#REF!</v>
      </c>
      <c r="H3118" s="1644" t="e">
        <f t="shared" si="345"/>
        <v>#REF!</v>
      </c>
      <c r="I3118" s="1597" t="e">
        <f t="shared" si="346"/>
        <v>#REF!</v>
      </c>
      <c r="J3118" s="1644" t="e">
        <f t="shared" si="347"/>
        <v>#REF!</v>
      </c>
      <c r="M3118" s="1545"/>
      <c r="N3118" s="1545"/>
    </row>
    <row r="3119" spans="1:93" ht="15.5">
      <c r="A3119" s="1598">
        <v>76.114000000000004</v>
      </c>
      <c r="B3119" s="1599" t="s">
        <v>3212</v>
      </c>
      <c r="C3119" s="1643" t="e">
        <f>+SUMIF(#REF!,Final!A3119,#REF!)</f>
        <v>#REF!</v>
      </c>
      <c r="D3119" s="1597" t="e">
        <f>+SUMIF(#REF!,Final!A3119,#REF!)</f>
        <v>#REF!</v>
      </c>
      <c r="E3119" s="1643" t="e">
        <f>SUMIF(#REF!,Final!A3119,#REF!)</f>
        <v>#REF!</v>
      </c>
      <c r="F3119" s="1644" t="e">
        <f>SUMIF(#REF!,Final!A3119,#REF!)</f>
        <v>#REF!</v>
      </c>
      <c r="G3119" s="1597" t="e">
        <f t="shared" si="344"/>
        <v>#REF!</v>
      </c>
      <c r="H3119" s="1644" t="e">
        <f t="shared" si="345"/>
        <v>#REF!</v>
      </c>
      <c r="I3119" s="1597" t="e">
        <f t="shared" si="346"/>
        <v>#REF!</v>
      </c>
      <c r="J3119" s="1644" t="e">
        <f t="shared" si="347"/>
        <v>#REF!</v>
      </c>
      <c r="M3119" s="1545"/>
      <c r="N3119" s="1545"/>
    </row>
    <row r="3120" spans="1:93" ht="15.5">
      <c r="A3120" s="1598">
        <v>76.114999999999995</v>
      </c>
      <c r="B3120" s="1599" t="s">
        <v>3213</v>
      </c>
      <c r="C3120" s="1643" t="e">
        <f>+SUMIF(#REF!,Final!A3120,#REF!)</f>
        <v>#REF!</v>
      </c>
      <c r="D3120" s="1597" t="e">
        <f>+SUMIF(#REF!,Final!A3120,#REF!)</f>
        <v>#REF!</v>
      </c>
      <c r="E3120" s="1643" t="e">
        <f>SUMIF(#REF!,Final!A3120,#REF!)</f>
        <v>#REF!</v>
      </c>
      <c r="F3120" s="1644" t="e">
        <f>SUMIF(#REF!,Final!A3120,#REF!)</f>
        <v>#REF!</v>
      </c>
      <c r="G3120" s="1597" t="e">
        <f t="shared" si="344"/>
        <v>#REF!</v>
      </c>
      <c r="H3120" s="1644" t="e">
        <f t="shared" si="345"/>
        <v>#REF!</v>
      </c>
      <c r="I3120" s="1597" t="e">
        <f t="shared" si="346"/>
        <v>#REF!</v>
      </c>
      <c r="J3120" s="1644" t="e">
        <f t="shared" si="347"/>
        <v>#REF!</v>
      </c>
      <c r="M3120" s="1545"/>
      <c r="N3120" s="1545"/>
    </row>
    <row r="3121" spans="1:93" s="1552" customFormat="1" ht="15.5">
      <c r="A3121" s="1598"/>
      <c r="B3121" s="1599" t="s">
        <v>1747</v>
      </c>
      <c r="C3121" s="1643" t="e">
        <f>+SUMIF(#REF!,Final!A3121,#REF!)</f>
        <v>#REF!</v>
      </c>
      <c r="D3121" s="1597" t="e">
        <f>+SUMIF(#REF!,Final!A3121,#REF!)</f>
        <v>#REF!</v>
      </c>
      <c r="E3121" s="1643" t="e">
        <f>SUMIF(#REF!,Final!A3121,#REF!)</f>
        <v>#REF!</v>
      </c>
      <c r="F3121" s="1644" t="e">
        <f>SUMIF(#REF!,Final!A3121,#REF!)</f>
        <v>#REF!</v>
      </c>
      <c r="G3121" s="1597" t="e">
        <f t="shared" si="344"/>
        <v>#REF!</v>
      </c>
      <c r="H3121" s="1644" t="e">
        <f t="shared" si="345"/>
        <v>#REF!</v>
      </c>
      <c r="I3121" s="1597" t="e">
        <f t="shared" si="346"/>
        <v>#REF!</v>
      </c>
      <c r="J3121" s="1644" t="e">
        <f t="shared" si="347"/>
        <v>#REF!</v>
      </c>
      <c r="K3121" s="1539"/>
      <c r="L3121" s="1539"/>
      <c r="M3121" s="1545"/>
      <c r="N3121" s="1545"/>
      <c r="O3121" s="1539"/>
      <c r="P3121" s="1539"/>
      <c r="Q3121" s="1539"/>
      <c r="R3121" s="1539"/>
      <c r="S3121" s="1539"/>
      <c r="T3121" s="1539"/>
      <c r="U3121" s="1539"/>
      <c r="V3121" s="1539"/>
      <c r="W3121" s="1539"/>
      <c r="X3121" s="1539"/>
      <c r="Y3121" s="1539"/>
      <c r="Z3121" s="1539"/>
      <c r="AA3121" s="1539"/>
      <c r="AB3121" s="1539"/>
      <c r="AC3121" s="1539"/>
      <c r="AD3121" s="1539"/>
      <c r="AE3121" s="1539"/>
      <c r="AF3121" s="1539"/>
      <c r="AG3121" s="1539"/>
      <c r="AH3121" s="1539"/>
      <c r="AI3121" s="1539"/>
      <c r="AJ3121" s="1539"/>
      <c r="AK3121" s="1539"/>
      <c r="AL3121" s="1539"/>
      <c r="AM3121" s="1539"/>
      <c r="AN3121" s="1539"/>
      <c r="AO3121" s="1539"/>
      <c r="AP3121" s="1539"/>
      <c r="AQ3121" s="1539"/>
      <c r="AR3121" s="1539"/>
      <c r="AS3121" s="1539"/>
      <c r="AT3121" s="1539"/>
      <c r="AU3121" s="1539"/>
      <c r="AV3121" s="1539"/>
      <c r="AW3121" s="1539"/>
      <c r="AX3121" s="1539"/>
      <c r="AY3121" s="1539"/>
      <c r="AZ3121" s="1539"/>
      <c r="BA3121" s="1539"/>
      <c r="BB3121" s="1539"/>
      <c r="BC3121" s="1539"/>
      <c r="BD3121" s="1539"/>
      <c r="BE3121" s="1539"/>
      <c r="BF3121" s="1539"/>
      <c r="BG3121" s="1539"/>
      <c r="BH3121" s="1539"/>
      <c r="BI3121" s="1539"/>
      <c r="BJ3121" s="1539"/>
      <c r="BK3121" s="1539"/>
      <c r="BL3121" s="1539"/>
      <c r="BM3121" s="1539"/>
      <c r="BN3121" s="1539"/>
      <c r="BO3121" s="1539"/>
      <c r="BP3121" s="1539"/>
      <c r="BQ3121" s="1539"/>
      <c r="BR3121" s="1539"/>
      <c r="BS3121" s="1539"/>
      <c r="BT3121" s="1539"/>
      <c r="BU3121" s="1539"/>
      <c r="BV3121" s="1539"/>
      <c r="BW3121" s="1539"/>
      <c r="BX3121" s="1539"/>
      <c r="BY3121" s="1539"/>
      <c r="BZ3121" s="1539"/>
      <c r="CA3121" s="1539"/>
      <c r="CB3121" s="1539"/>
      <c r="CC3121" s="1539"/>
      <c r="CD3121" s="1539"/>
      <c r="CE3121" s="1539"/>
      <c r="CF3121" s="1539"/>
      <c r="CG3121" s="1539"/>
      <c r="CH3121" s="1539"/>
      <c r="CI3121" s="1539"/>
      <c r="CJ3121" s="1539"/>
      <c r="CK3121" s="1539"/>
      <c r="CL3121" s="1539"/>
      <c r="CM3121" s="1539"/>
      <c r="CN3121" s="1539"/>
      <c r="CO3121" s="1539"/>
    </row>
    <row r="3122" spans="1:93" s="1552" customFormat="1" ht="15.5">
      <c r="A3122" s="1598"/>
      <c r="B3122" s="1599" t="s">
        <v>1760</v>
      </c>
      <c r="C3122" s="1643" t="e">
        <f>+SUMIF(#REF!,Final!A3122,#REF!)</f>
        <v>#REF!</v>
      </c>
      <c r="D3122" s="1597" t="e">
        <f>+SUMIF(#REF!,Final!A3122,#REF!)</f>
        <v>#REF!</v>
      </c>
      <c r="E3122" s="1643" t="e">
        <f>SUMIF(#REF!,Final!A3122,#REF!)</f>
        <v>#REF!</v>
      </c>
      <c r="F3122" s="1644" t="e">
        <f>SUMIF(#REF!,Final!A3122,#REF!)</f>
        <v>#REF!</v>
      </c>
      <c r="G3122" s="1597" t="e">
        <f t="shared" si="344"/>
        <v>#REF!</v>
      </c>
      <c r="H3122" s="1644" t="e">
        <f t="shared" si="345"/>
        <v>#REF!</v>
      </c>
      <c r="I3122" s="1597" t="e">
        <f t="shared" si="346"/>
        <v>#REF!</v>
      </c>
      <c r="J3122" s="1644" t="e">
        <f t="shared" si="347"/>
        <v>#REF!</v>
      </c>
      <c r="K3122" s="1539"/>
      <c r="L3122" s="1539"/>
      <c r="M3122" s="1545"/>
      <c r="N3122" s="1545"/>
      <c r="O3122" s="1539"/>
      <c r="P3122" s="1539"/>
      <c r="Q3122" s="1539"/>
      <c r="R3122" s="1539"/>
      <c r="S3122" s="1539"/>
      <c r="T3122" s="1539"/>
      <c r="U3122" s="1539"/>
      <c r="V3122" s="1539"/>
      <c r="W3122" s="1539"/>
      <c r="X3122" s="1539"/>
      <c r="Y3122" s="1539"/>
      <c r="Z3122" s="1539"/>
      <c r="AA3122" s="1539"/>
      <c r="AB3122" s="1539"/>
      <c r="AC3122" s="1539"/>
      <c r="AD3122" s="1539"/>
      <c r="AE3122" s="1539"/>
      <c r="AF3122" s="1539"/>
      <c r="AG3122" s="1539"/>
      <c r="AH3122" s="1539"/>
      <c r="AI3122" s="1539"/>
      <c r="AJ3122" s="1539"/>
      <c r="AK3122" s="1539"/>
      <c r="AL3122" s="1539"/>
      <c r="AM3122" s="1539"/>
      <c r="AN3122" s="1539"/>
      <c r="AO3122" s="1539"/>
      <c r="AP3122" s="1539"/>
      <c r="AQ3122" s="1539"/>
      <c r="AR3122" s="1539"/>
      <c r="AS3122" s="1539"/>
      <c r="AT3122" s="1539"/>
      <c r="AU3122" s="1539"/>
      <c r="AV3122" s="1539"/>
      <c r="AW3122" s="1539"/>
      <c r="AX3122" s="1539"/>
      <c r="AY3122" s="1539"/>
      <c r="AZ3122" s="1539"/>
      <c r="BA3122" s="1539"/>
      <c r="BB3122" s="1539"/>
      <c r="BC3122" s="1539"/>
      <c r="BD3122" s="1539"/>
      <c r="BE3122" s="1539"/>
      <c r="BF3122" s="1539"/>
      <c r="BG3122" s="1539"/>
      <c r="BH3122" s="1539"/>
      <c r="BI3122" s="1539"/>
      <c r="BJ3122" s="1539"/>
      <c r="BK3122" s="1539"/>
      <c r="BL3122" s="1539"/>
      <c r="BM3122" s="1539"/>
      <c r="BN3122" s="1539"/>
      <c r="BO3122" s="1539"/>
      <c r="BP3122" s="1539"/>
      <c r="BQ3122" s="1539"/>
      <c r="BR3122" s="1539"/>
      <c r="BS3122" s="1539"/>
      <c r="BT3122" s="1539"/>
      <c r="BU3122" s="1539"/>
      <c r="BV3122" s="1539"/>
      <c r="BW3122" s="1539"/>
      <c r="BX3122" s="1539"/>
      <c r="BY3122" s="1539"/>
      <c r="BZ3122" s="1539"/>
      <c r="CA3122" s="1539"/>
      <c r="CB3122" s="1539"/>
      <c r="CC3122" s="1539"/>
      <c r="CD3122" s="1539"/>
      <c r="CE3122" s="1539"/>
      <c r="CF3122" s="1539"/>
      <c r="CG3122" s="1539"/>
      <c r="CH3122" s="1539"/>
      <c r="CI3122" s="1539"/>
      <c r="CJ3122" s="1539"/>
      <c r="CK3122" s="1539"/>
      <c r="CL3122" s="1539"/>
      <c r="CM3122" s="1539"/>
      <c r="CN3122" s="1539"/>
      <c r="CO3122" s="1539"/>
    </row>
    <row r="3123" spans="1:93" s="1542" customFormat="1" ht="15.5">
      <c r="A3123" s="1598">
        <v>33</v>
      </c>
      <c r="B3123" s="1599" t="s">
        <v>3193</v>
      </c>
      <c r="C3123" s="1643" t="e">
        <f>+SUMIF(#REF!,Final!A3123,#REF!)</f>
        <v>#REF!</v>
      </c>
      <c r="D3123" s="1597" t="e">
        <f>+SUMIF(#REF!,Final!A3123,#REF!)</f>
        <v>#REF!</v>
      </c>
      <c r="E3123" s="1643" t="e">
        <f>SUMIF(#REF!,Final!A3123,#REF!)</f>
        <v>#REF!</v>
      </c>
      <c r="F3123" s="1644" t="e">
        <f>SUMIF(#REF!,Final!A3123,#REF!)</f>
        <v>#REF!</v>
      </c>
      <c r="G3123" s="1597" t="e">
        <f t="shared" si="344"/>
        <v>#REF!</v>
      </c>
      <c r="H3123" s="1644" t="e">
        <f t="shared" si="345"/>
        <v>#REF!</v>
      </c>
      <c r="I3123" s="1597" t="e">
        <f t="shared" si="346"/>
        <v>#REF!</v>
      </c>
      <c r="J3123" s="1644" t="e">
        <f t="shared" si="347"/>
        <v>#REF!</v>
      </c>
      <c r="K3123" s="1539"/>
      <c r="L3123" s="1539"/>
      <c r="M3123" s="1545"/>
      <c r="N3123" s="1545"/>
      <c r="O3123" s="1539"/>
      <c r="P3123" s="1539"/>
      <c r="Q3123" s="1539"/>
      <c r="R3123" s="1539"/>
      <c r="S3123" s="1539"/>
      <c r="T3123" s="1539"/>
      <c r="U3123" s="1539"/>
      <c r="V3123" s="1539"/>
      <c r="W3123" s="1539"/>
      <c r="X3123" s="1539"/>
      <c r="Y3123" s="1539"/>
      <c r="Z3123" s="1539"/>
      <c r="AA3123" s="1539"/>
      <c r="AB3123" s="1539"/>
      <c r="AC3123" s="1539"/>
      <c r="AD3123" s="1539"/>
      <c r="AE3123" s="1539"/>
      <c r="AF3123" s="1539"/>
      <c r="AG3123" s="1539"/>
      <c r="AH3123" s="1539"/>
      <c r="AI3123" s="1539"/>
      <c r="AJ3123" s="1539"/>
      <c r="AK3123" s="1539"/>
      <c r="AL3123" s="1539"/>
      <c r="AM3123" s="1539"/>
      <c r="AN3123" s="1539"/>
      <c r="AO3123" s="1539"/>
      <c r="AP3123" s="1539"/>
      <c r="AQ3123" s="1539"/>
      <c r="AR3123" s="1539"/>
      <c r="AS3123" s="1539"/>
      <c r="AT3123" s="1539"/>
      <c r="AU3123" s="1539"/>
      <c r="AV3123" s="1539"/>
      <c r="AW3123" s="1539"/>
      <c r="AX3123" s="1539"/>
      <c r="AY3123" s="1539"/>
      <c r="AZ3123" s="1539"/>
      <c r="BA3123" s="1539"/>
      <c r="BB3123" s="1539"/>
      <c r="BC3123" s="1539"/>
      <c r="BD3123" s="1539"/>
      <c r="BE3123" s="1539"/>
      <c r="BF3123" s="1539"/>
      <c r="BG3123" s="1539"/>
      <c r="BH3123" s="1539"/>
      <c r="BI3123" s="1539"/>
      <c r="BJ3123" s="1539"/>
      <c r="BK3123" s="1539"/>
      <c r="BL3123" s="1539"/>
      <c r="BM3123" s="1539"/>
      <c r="BN3123" s="1539"/>
      <c r="BO3123" s="1539"/>
      <c r="BP3123" s="1539"/>
      <c r="BQ3123" s="1539"/>
      <c r="BR3123" s="1539"/>
      <c r="BS3123" s="1539"/>
      <c r="BT3123" s="1539"/>
      <c r="BU3123" s="1539"/>
      <c r="BV3123" s="1539"/>
      <c r="BW3123" s="1539"/>
      <c r="BX3123" s="1539"/>
      <c r="BY3123" s="1539"/>
      <c r="BZ3123" s="1539"/>
      <c r="CA3123" s="1539"/>
      <c r="CB3123" s="1539"/>
      <c r="CC3123" s="1539"/>
      <c r="CD3123" s="1539"/>
      <c r="CE3123" s="1539"/>
      <c r="CF3123" s="1539"/>
      <c r="CG3123" s="1539"/>
      <c r="CH3123" s="1539"/>
      <c r="CI3123" s="1539"/>
      <c r="CJ3123" s="1539"/>
      <c r="CK3123" s="1539"/>
      <c r="CL3123" s="1539"/>
      <c r="CM3123" s="1539"/>
      <c r="CN3123" s="1539"/>
      <c r="CO3123" s="1539"/>
    </row>
    <row r="3124" spans="1:93" ht="15.5">
      <c r="A3124" s="1598">
        <v>76.12</v>
      </c>
      <c r="B3124" s="1599" t="s">
        <v>3194</v>
      </c>
      <c r="C3124" s="1643" t="e">
        <f>+SUMIF(#REF!,Final!A3124,#REF!)</f>
        <v>#REF!</v>
      </c>
      <c r="D3124" s="1597" t="e">
        <f>+SUMIF(#REF!,Final!A3124,#REF!)</f>
        <v>#REF!</v>
      </c>
      <c r="E3124" s="1643" t="e">
        <f>SUMIF(#REF!,Final!A3124,#REF!)</f>
        <v>#REF!</v>
      </c>
      <c r="F3124" s="1644" t="e">
        <f>SUMIF(#REF!,Final!A3124,#REF!)</f>
        <v>#REF!</v>
      </c>
      <c r="G3124" s="1597" t="e">
        <f t="shared" si="344"/>
        <v>#REF!</v>
      </c>
      <c r="H3124" s="1644" t="e">
        <f t="shared" si="345"/>
        <v>#REF!</v>
      </c>
      <c r="I3124" s="1597" t="e">
        <f t="shared" si="346"/>
        <v>#REF!</v>
      </c>
      <c r="J3124" s="1644" t="e">
        <f t="shared" si="347"/>
        <v>#REF!</v>
      </c>
      <c r="M3124" s="1545"/>
      <c r="N3124" s="1545"/>
    </row>
    <row r="3125" spans="1:93" ht="15.5">
      <c r="A3125" s="1598">
        <v>76.120999999999995</v>
      </c>
      <c r="B3125" s="1599" t="s">
        <v>3195</v>
      </c>
      <c r="C3125" s="1643" t="e">
        <f>+SUMIF(#REF!,Final!A3125,#REF!)</f>
        <v>#REF!</v>
      </c>
      <c r="D3125" s="1597" t="e">
        <f>+SUMIF(#REF!,Final!A3125,#REF!)</f>
        <v>#REF!</v>
      </c>
      <c r="E3125" s="1643" t="e">
        <f>SUMIF(#REF!,Final!A3125,#REF!)</f>
        <v>#REF!</v>
      </c>
      <c r="F3125" s="1644" t="e">
        <f>SUMIF(#REF!,Final!A3125,#REF!)</f>
        <v>#REF!</v>
      </c>
      <c r="G3125" s="1597" t="e">
        <f t="shared" si="344"/>
        <v>#REF!</v>
      </c>
      <c r="H3125" s="1644" t="e">
        <f t="shared" si="345"/>
        <v>#REF!</v>
      </c>
      <c r="I3125" s="1597" t="e">
        <f t="shared" si="346"/>
        <v>#REF!</v>
      </c>
      <c r="J3125" s="1644" t="e">
        <f t="shared" si="347"/>
        <v>#REF!</v>
      </c>
      <c r="M3125" s="1545"/>
      <c r="N3125" s="1545"/>
    </row>
    <row r="3126" spans="1:93" ht="15.5">
      <c r="A3126" s="1598">
        <v>76.122</v>
      </c>
      <c r="B3126" s="1599" t="s">
        <v>3196</v>
      </c>
      <c r="C3126" s="1643" t="e">
        <f>+SUMIF(#REF!,Final!A3126,#REF!)</f>
        <v>#REF!</v>
      </c>
      <c r="D3126" s="1597" t="e">
        <f>+SUMIF(#REF!,Final!A3126,#REF!)</f>
        <v>#REF!</v>
      </c>
      <c r="E3126" s="1643" t="e">
        <f>SUMIF(#REF!,Final!A3126,#REF!)</f>
        <v>#REF!</v>
      </c>
      <c r="F3126" s="1644" t="e">
        <f>SUMIF(#REF!,Final!A3126,#REF!)</f>
        <v>#REF!</v>
      </c>
      <c r="G3126" s="1597" t="e">
        <f t="shared" si="344"/>
        <v>#REF!</v>
      </c>
      <c r="H3126" s="1644" t="e">
        <f t="shared" si="345"/>
        <v>#REF!</v>
      </c>
      <c r="I3126" s="1597" t="e">
        <f t="shared" si="346"/>
        <v>#REF!</v>
      </c>
      <c r="J3126" s="1644" t="e">
        <f t="shared" si="347"/>
        <v>#REF!</v>
      </c>
      <c r="M3126" s="1545"/>
      <c r="N3126" s="1545"/>
    </row>
    <row r="3127" spans="1:93" ht="15.5">
      <c r="A3127" s="1598">
        <v>76.123000000000005</v>
      </c>
      <c r="B3127" s="1599" t="s">
        <v>1269</v>
      </c>
      <c r="C3127" s="1643" t="e">
        <f>+SUMIF(#REF!,Final!A3127,#REF!)</f>
        <v>#REF!</v>
      </c>
      <c r="D3127" s="1597" t="e">
        <f>+SUMIF(#REF!,Final!A3127,#REF!)</f>
        <v>#REF!</v>
      </c>
      <c r="E3127" s="1643" t="e">
        <f>SUMIF(#REF!,Final!A3127,#REF!)</f>
        <v>#REF!</v>
      </c>
      <c r="F3127" s="1644" t="e">
        <f>SUMIF(#REF!,Final!A3127,#REF!)</f>
        <v>#REF!</v>
      </c>
      <c r="G3127" s="1597" t="e">
        <f t="shared" si="344"/>
        <v>#REF!</v>
      </c>
      <c r="H3127" s="1644" t="e">
        <f t="shared" si="345"/>
        <v>#REF!</v>
      </c>
      <c r="I3127" s="1597" t="e">
        <f t="shared" si="346"/>
        <v>#REF!</v>
      </c>
      <c r="J3127" s="1644" t="e">
        <f t="shared" si="347"/>
        <v>#REF!</v>
      </c>
      <c r="M3127" s="1545"/>
      <c r="N3127" s="1545"/>
    </row>
    <row r="3128" spans="1:93" ht="15.5">
      <c r="A3128" s="1598">
        <v>76.123999999999995</v>
      </c>
      <c r="B3128" s="1599" t="s">
        <v>3197</v>
      </c>
      <c r="C3128" s="1643" t="e">
        <f>+SUMIF(#REF!,Final!A3128,#REF!)</f>
        <v>#REF!</v>
      </c>
      <c r="D3128" s="1597" t="e">
        <f>+SUMIF(#REF!,Final!A3128,#REF!)</f>
        <v>#REF!</v>
      </c>
      <c r="E3128" s="1643" t="e">
        <f>SUMIF(#REF!,Final!A3128,#REF!)</f>
        <v>#REF!</v>
      </c>
      <c r="F3128" s="1644" t="e">
        <f>SUMIF(#REF!,Final!A3128,#REF!)</f>
        <v>#REF!</v>
      </c>
      <c r="G3128" s="1597" t="e">
        <f t="shared" si="344"/>
        <v>#REF!</v>
      </c>
      <c r="H3128" s="1644" t="e">
        <f t="shared" si="345"/>
        <v>#REF!</v>
      </c>
      <c r="I3128" s="1597" t="e">
        <f t="shared" si="346"/>
        <v>#REF!</v>
      </c>
      <c r="J3128" s="1644" t="e">
        <f t="shared" si="347"/>
        <v>#REF!</v>
      </c>
      <c r="M3128" s="1545"/>
      <c r="N3128" s="1545"/>
    </row>
    <row r="3129" spans="1:93" s="1542" customFormat="1" ht="15.5">
      <c r="A3129" s="1598">
        <v>76.125</v>
      </c>
      <c r="B3129" s="1599" t="s">
        <v>3198</v>
      </c>
      <c r="C3129" s="1643" t="e">
        <f>+SUMIF(#REF!,Final!A3129,#REF!)</f>
        <v>#REF!</v>
      </c>
      <c r="D3129" s="1597" t="e">
        <f>+SUMIF(#REF!,Final!A3129,#REF!)</f>
        <v>#REF!</v>
      </c>
      <c r="E3129" s="1643" t="e">
        <f>SUMIF(#REF!,Final!A3129,#REF!)</f>
        <v>#REF!</v>
      </c>
      <c r="F3129" s="1644" t="e">
        <f>SUMIF(#REF!,Final!A3129,#REF!)</f>
        <v>#REF!</v>
      </c>
      <c r="G3129" s="1597" t="e">
        <f t="shared" si="344"/>
        <v>#REF!</v>
      </c>
      <c r="H3129" s="1644" t="e">
        <f t="shared" si="345"/>
        <v>#REF!</v>
      </c>
      <c r="I3129" s="1597" t="e">
        <f t="shared" si="346"/>
        <v>#REF!</v>
      </c>
      <c r="J3129" s="1644" t="e">
        <f t="shared" si="347"/>
        <v>#REF!</v>
      </c>
      <c r="K3129" s="1539"/>
      <c r="L3129" s="1539"/>
      <c r="M3129" s="1545"/>
      <c r="N3129" s="1545"/>
      <c r="O3129" s="1539"/>
      <c r="P3129" s="1539"/>
      <c r="Q3129" s="1539"/>
      <c r="R3129" s="1539"/>
      <c r="S3129" s="1539"/>
      <c r="T3129" s="1539"/>
      <c r="U3129" s="1539"/>
      <c r="V3129" s="1539"/>
      <c r="W3129" s="1539"/>
      <c r="X3129" s="1539"/>
      <c r="Y3129" s="1539"/>
      <c r="Z3129" s="1539"/>
      <c r="AA3129" s="1539"/>
      <c r="AB3129" s="1539"/>
      <c r="AC3129" s="1539"/>
      <c r="AD3129" s="1539"/>
      <c r="AE3129" s="1539"/>
      <c r="AF3129" s="1539"/>
      <c r="AG3129" s="1539"/>
      <c r="AH3129" s="1539"/>
      <c r="AI3129" s="1539"/>
      <c r="AJ3129" s="1539"/>
      <c r="AK3129" s="1539"/>
      <c r="AL3129" s="1539"/>
      <c r="AM3129" s="1539"/>
      <c r="AN3129" s="1539"/>
      <c r="AO3129" s="1539"/>
      <c r="AP3129" s="1539"/>
      <c r="AQ3129" s="1539"/>
      <c r="AR3129" s="1539"/>
      <c r="AS3129" s="1539"/>
      <c r="AT3129" s="1539"/>
      <c r="AU3129" s="1539"/>
      <c r="AV3129" s="1539"/>
      <c r="AW3129" s="1539"/>
      <c r="AX3129" s="1539"/>
      <c r="AY3129" s="1539"/>
      <c r="AZ3129" s="1539"/>
      <c r="BA3129" s="1539"/>
      <c r="BB3129" s="1539"/>
      <c r="BC3129" s="1539"/>
      <c r="BD3129" s="1539"/>
      <c r="BE3129" s="1539"/>
      <c r="BF3129" s="1539"/>
      <c r="BG3129" s="1539"/>
      <c r="BH3129" s="1539"/>
      <c r="BI3129" s="1539"/>
      <c r="BJ3129" s="1539"/>
      <c r="BK3129" s="1539"/>
      <c r="BL3129" s="1539"/>
      <c r="BM3129" s="1539"/>
      <c r="BN3129" s="1539"/>
      <c r="BO3129" s="1539"/>
      <c r="BP3129" s="1539"/>
      <c r="BQ3129" s="1539"/>
      <c r="BR3129" s="1539"/>
      <c r="BS3129" s="1539"/>
      <c r="BT3129" s="1539"/>
      <c r="BU3129" s="1539"/>
      <c r="BV3129" s="1539"/>
      <c r="BW3129" s="1539"/>
      <c r="BX3129" s="1539"/>
      <c r="BY3129" s="1539"/>
      <c r="BZ3129" s="1539"/>
      <c r="CA3129" s="1539"/>
      <c r="CB3129" s="1539"/>
      <c r="CC3129" s="1539"/>
      <c r="CD3129" s="1539"/>
      <c r="CE3129" s="1539"/>
      <c r="CF3129" s="1539"/>
      <c r="CG3129" s="1539"/>
      <c r="CH3129" s="1539"/>
      <c r="CI3129" s="1539"/>
      <c r="CJ3129" s="1539"/>
      <c r="CK3129" s="1539"/>
      <c r="CL3129" s="1539"/>
      <c r="CM3129" s="1539"/>
      <c r="CN3129" s="1539"/>
      <c r="CO3129" s="1539"/>
    </row>
    <row r="3130" spans="1:93" s="1552" customFormat="1" ht="15.5">
      <c r="A3130" s="1598"/>
      <c r="B3130" s="1599" t="s">
        <v>1747</v>
      </c>
      <c r="C3130" s="1643" t="e">
        <f>+SUMIF(#REF!,Final!A3130,#REF!)</f>
        <v>#REF!</v>
      </c>
      <c r="D3130" s="1597" t="e">
        <f>+SUMIF(#REF!,Final!A3130,#REF!)</f>
        <v>#REF!</v>
      </c>
      <c r="E3130" s="1643" t="e">
        <f>SUMIF(#REF!,Final!A3130,#REF!)</f>
        <v>#REF!</v>
      </c>
      <c r="F3130" s="1644" t="e">
        <f>SUMIF(#REF!,Final!A3130,#REF!)</f>
        <v>#REF!</v>
      </c>
      <c r="G3130" s="1597" t="e">
        <f t="shared" si="344"/>
        <v>#REF!</v>
      </c>
      <c r="H3130" s="1644" t="e">
        <f t="shared" si="345"/>
        <v>#REF!</v>
      </c>
      <c r="I3130" s="1597" t="e">
        <f t="shared" si="346"/>
        <v>#REF!</v>
      </c>
      <c r="J3130" s="1644" t="e">
        <f t="shared" si="347"/>
        <v>#REF!</v>
      </c>
      <c r="K3130" s="1539"/>
      <c r="L3130" s="1539"/>
      <c r="M3130" s="1545"/>
      <c r="N3130" s="1545"/>
      <c r="O3130" s="1539"/>
      <c r="P3130" s="1539"/>
      <c r="Q3130" s="1539"/>
      <c r="R3130" s="1539"/>
      <c r="S3130" s="1539"/>
      <c r="T3130" s="1539"/>
      <c r="U3130" s="1539"/>
      <c r="V3130" s="1539"/>
      <c r="W3130" s="1539"/>
      <c r="X3130" s="1539"/>
      <c r="Y3130" s="1539"/>
      <c r="Z3130" s="1539"/>
      <c r="AA3130" s="1539"/>
      <c r="AB3130" s="1539"/>
      <c r="AC3130" s="1539"/>
      <c r="AD3130" s="1539"/>
      <c r="AE3130" s="1539"/>
      <c r="AF3130" s="1539"/>
      <c r="AG3130" s="1539"/>
      <c r="AH3130" s="1539"/>
      <c r="AI3130" s="1539"/>
      <c r="AJ3130" s="1539"/>
      <c r="AK3130" s="1539"/>
      <c r="AL3130" s="1539"/>
      <c r="AM3130" s="1539"/>
      <c r="AN3130" s="1539"/>
      <c r="AO3130" s="1539"/>
      <c r="AP3130" s="1539"/>
      <c r="AQ3130" s="1539"/>
      <c r="AR3130" s="1539"/>
      <c r="AS3130" s="1539"/>
      <c r="AT3130" s="1539"/>
      <c r="AU3130" s="1539"/>
      <c r="AV3130" s="1539"/>
      <c r="AW3130" s="1539"/>
      <c r="AX3130" s="1539"/>
      <c r="AY3130" s="1539"/>
      <c r="AZ3130" s="1539"/>
      <c r="BA3130" s="1539"/>
      <c r="BB3130" s="1539"/>
      <c r="BC3130" s="1539"/>
      <c r="BD3130" s="1539"/>
      <c r="BE3130" s="1539"/>
      <c r="BF3130" s="1539"/>
      <c r="BG3130" s="1539"/>
      <c r="BH3130" s="1539"/>
      <c r="BI3130" s="1539"/>
      <c r="BJ3130" s="1539"/>
      <c r="BK3130" s="1539"/>
      <c r="BL3130" s="1539"/>
      <c r="BM3130" s="1539"/>
      <c r="BN3130" s="1539"/>
      <c r="BO3130" s="1539"/>
      <c r="BP3130" s="1539"/>
      <c r="BQ3130" s="1539"/>
      <c r="BR3130" s="1539"/>
      <c r="BS3130" s="1539"/>
      <c r="BT3130" s="1539"/>
      <c r="BU3130" s="1539"/>
      <c r="BV3130" s="1539"/>
      <c r="BW3130" s="1539"/>
      <c r="BX3130" s="1539"/>
      <c r="BY3130" s="1539"/>
      <c r="BZ3130" s="1539"/>
      <c r="CA3130" s="1539"/>
      <c r="CB3130" s="1539"/>
      <c r="CC3130" s="1539"/>
      <c r="CD3130" s="1539"/>
      <c r="CE3130" s="1539"/>
      <c r="CF3130" s="1539"/>
      <c r="CG3130" s="1539"/>
      <c r="CH3130" s="1539"/>
      <c r="CI3130" s="1539"/>
      <c r="CJ3130" s="1539"/>
      <c r="CK3130" s="1539"/>
      <c r="CL3130" s="1539"/>
      <c r="CM3130" s="1539"/>
      <c r="CN3130" s="1539"/>
      <c r="CO3130" s="1539"/>
    </row>
    <row r="3131" spans="1:93" s="1552" customFormat="1" ht="15.5">
      <c r="A3131" s="1598"/>
      <c r="B3131" s="1599" t="s">
        <v>1760</v>
      </c>
      <c r="C3131" s="1643" t="e">
        <f>+SUMIF(#REF!,Final!A3131,#REF!)</f>
        <v>#REF!</v>
      </c>
      <c r="D3131" s="1597" t="e">
        <f>+SUMIF(#REF!,Final!A3131,#REF!)</f>
        <v>#REF!</v>
      </c>
      <c r="E3131" s="1643" t="e">
        <f>SUMIF(#REF!,Final!A3131,#REF!)</f>
        <v>#REF!</v>
      </c>
      <c r="F3131" s="1644" t="e">
        <f>SUMIF(#REF!,Final!A3131,#REF!)</f>
        <v>#REF!</v>
      </c>
      <c r="G3131" s="1597" t="e">
        <f t="shared" si="344"/>
        <v>#REF!</v>
      </c>
      <c r="H3131" s="1644" t="e">
        <f t="shared" si="345"/>
        <v>#REF!</v>
      </c>
      <c r="I3131" s="1597" t="e">
        <f t="shared" si="346"/>
        <v>#REF!</v>
      </c>
      <c r="J3131" s="1644" t="e">
        <f t="shared" si="347"/>
        <v>#REF!</v>
      </c>
      <c r="K3131" s="1539"/>
      <c r="L3131" s="1539"/>
      <c r="M3131" s="1545"/>
      <c r="N3131" s="1545"/>
      <c r="O3131" s="1539"/>
      <c r="P3131" s="1539"/>
      <c r="Q3131" s="1539"/>
      <c r="R3131" s="1539"/>
      <c r="S3131" s="1539"/>
      <c r="T3131" s="1539"/>
      <c r="U3131" s="1539"/>
      <c r="V3131" s="1539"/>
      <c r="W3131" s="1539"/>
      <c r="X3131" s="1539"/>
      <c r="Y3131" s="1539"/>
      <c r="Z3131" s="1539"/>
      <c r="AA3131" s="1539"/>
      <c r="AB3131" s="1539"/>
      <c r="AC3131" s="1539"/>
      <c r="AD3131" s="1539"/>
      <c r="AE3131" s="1539"/>
      <c r="AF3131" s="1539"/>
      <c r="AG3131" s="1539"/>
      <c r="AH3131" s="1539"/>
      <c r="AI3131" s="1539"/>
      <c r="AJ3131" s="1539"/>
      <c r="AK3131" s="1539"/>
      <c r="AL3131" s="1539"/>
      <c r="AM3131" s="1539"/>
      <c r="AN3131" s="1539"/>
      <c r="AO3131" s="1539"/>
      <c r="AP3131" s="1539"/>
      <c r="AQ3131" s="1539"/>
      <c r="AR3131" s="1539"/>
      <c r="AS3131" s="1539"/>
      <c r="AT3131" s="1539"/>
      <c r="AU3131" s="1539"/>
      <c r="AV3131" s="1539"/>
      <c r="AW3131" s="1539"/>
      <c r="AX3131" s="1539"/>
      <c r="AY3131" s="1539"/>
      <c r="AZ3131" s="1539"/>
      <c r="BA3131" s="1539"/>
      <c r="BB3131" s="1539"/>
      <c r="BC3131" s="1539"/>
      <c r="BD3131" s="1539"/>
      <c r="BE3131" s="1539"/>
      <c r="BF3131" s="1539"/>
      <c r="BG3131" s="1539"/>
      <c r="BH3131" s="1539"/>
      <c r="BI3131" s="1539"/>
      <c r="BJ3131" s="1539"/>
      <c r="BK3131" s="1539"/>
      <c r="BL3131" s="1539"/>
      <c r="BM3131" s="1539"/>
      <c r="BN3131" s="1539"/>
      <c r="BO3131" s="1539"/>
      <c r="BP3131" s="1539"/>
      <c r="BQ3131" s="1539"/>
      <c r="BR3131" s="1539"/>
      <c r="BS3131" s="1539"/>
      <c r="BT3131" s="1539"/>
      <c r="BU3131" s="1539"/>
      <c r="BV3131" s="1539"/>
      <c r="BW3131" s="1539"/>
      <c r="BX3131" s="1539"/>
      <c r="BY3131" s="1539"/>
      <c r="BZ3131" s="1539"/>
      <c r="CA3131" s="1539"/>
      <c r="CB3131" s="1539"/>
      <c r="CC3131" s="1539"/>
      <c r="CD3131" s="1539"/>
      <c r="CE3131" s="1539"/>
      <c r="CF3131" s="1539"/>
      <c r="CG3131" s="1539"/>
      <c r="CH3131" s="1539"/>
      <c r="CI3131" s="1539"/>
      <c r="CJ3131" s="1539"/>
      <c r="CK3131" s="1539"/>
      <c r="CL3131" s="1539"/>
      <c r="CM3131" s="1539"/>
      <c r="CN3131" s="1539"/>
      <c r="CO3131" s="1539"/>
    </row>
    <row r="3132" spans="1:93" s="1542" customFormat="1" ht="15.5">
      <c r="A3132" s="1598">
        <v>36</v>
      </c>
      <c r="B3132" s="1599" t="s">
        <v>3200</v>
      </c>
      <c r="C3132" s="1643" t="e">
        <f>+SUMIF(#REF!,Final!A3132,#REF!)</f>
        <v>#REF!</v>
      </c>
      <c r="D3132" s="1597" t="e">
        <f>+SUMIF(#REF!,Final!A3132,#REF!)</f>
        <v>#REF!</v>
      </c>
      <c r="E3132" s="1643" t="e">
        <f>SUMIF(#REF!,Final!A3132,#REF!)</f>
        <v>#REF!</v>
      </c>
      <c r="F3132" s="1644" t="e">
        <f>SUMIF(#REF!,Final!A3132,#REF!)</f>
        <v>#REF!</v>
      </c>
      <c r="G3132" s="1597" t="e">
        <f t="shared" si="344"/>
        <v>#REF!</v>
      </c>
      <c r="H3132" s="1644" t="e">
        <f t="shared" si="345"/>
        <v>#REF!</v>
      </c>
      <c r="I3132" s="1597" t="e">
        <f t="shared" si="346"/>
        <v>#REF!</v>
      </c>
      <c r="J3132" s="1644" t="e">
        <f t="shared" si="347"/>
        <v>#REF!</v>
      </c>
      <c r="K3132" s="1539"/>
      <c r="L3132" s="1539"/>
      <c r="M3132" s="1545"/>
      <c r="N3132" s="1545"/>
      <c r="O3132" s="1539"/>
      <c r="P3132" s="1539"/>
      <c r="Q3132" s="1539"/>
      <c r="R3132" s="1539"/>
      <c r="S3132" s="1539"/>
      <c r="T3132" s="1539"/>
      <c r="U3132" s="1539"/>
      <c r="V3132" s="1539"/>
      <c r="W3132" s="1539"/>
      <c r="X3132" s="1539"/>
      <c r="Y3132" s="1539"/>
      <c r="Z3132" s="1539"/>
      <c r="AA3132" s="1539"/>
      <c r="AB3132" s="1539"/>
      <c r="AC3132" s="1539"/>
      <c r="AD3132" s="1539"/>
      <c r="AE3132" s="1539"/>
      <c r="AF3132" s="1539"/>
      <c r="AG3132" s="1539"/>
      <c r="AH3132" s="1539"/>
      <c r="AI3132" s="1539"/>
      <c r="AJ3132" s="1539"/>
      <c r="AK3132" s="1539"/>
      <c r="AL3132" s="1539"/>
      <c r="AM3132" s="1539"/>
      <c r="AN3132" s="1539"/>
      <c r="AO3132" s="1539"/>
      <c r="AP3132" s="1539"/>
      <c r="AQ3132" s="1539"/>
      <c r="AR3132" s="1539"/>
      <c r="AS3132" s="1539"/>
      <c r="AT3132" s="1539"/>
      <c r="AU3132" s="1539"/>
      <c r="AV3132" s="1539"/>
      <c r="AW3132" s="1539"/>
      <c r="AX3132" s="1539"/>
      <c r="AY3132" s="1539"/>
      <c r="AZ3132" s="1539"/>
      <c r="BA3132" s="1539"/>
      <c r="BB3132" s="1539"/>
      <c r="BC3132" s="1539"/>
      <c r="BD3132" s="1539"/>
      <c r="BE3132" s="1539"/>
      <c r="BF3132" s="1539"/>
      <c r="BG3132" s="1539"/>
      <c r="BH3132" s="1539"/>
      <c r="BI3132" s="1539"/>
      <c r="BJ3132" s="1539"/>
      <c r="BK3132" s="1539"/>
      <c r="BL3132" s="1539"/>
      <c r="BM3132" s="1539"/>
      <c r="BN3132" s="1539"/>
      <c r="BO3132" s="1539"/>
      <c r="BP3132" s="1539"/>
      <c r="BQ3132" s="1539"/>
      <c r="BR3132" s="1539"/>
      <c r="BS3132" s="1539"/>
      <c r="BT3132" s="1539"/>
      <c r="BU3132" s="1539"/>
      <c r="BV3132" s="1539"/>
      <c r="BW3132" s="1539"/>
      <c r="BX3132" s="1539"/>
      <c r="BY3132" s="1539"/>
      <c r="BZ3132" s="1539"/>
      <c r="CA3132" s="1539"/>
      <c r="CB3132" s="1539"/>
      <c r="CC3132" s="1539"/>
      <c r="CD3132" s="1539"/>
      <c r="CE3132" s="1539"/>
      <c r="CF3132" s="1539"/>
      <c r="CG3132" s="1539"/>
      <c r="CH3132" s="1539"/>
      <c r="CI3132" s="1539"/>
      <c r="CJ3132" s="1539"/>
      <c r="CK3132" s="1539"/>
      <c r="CL3132" s="1539"/>
      <c r="CM3132" s="1539"/>
      <c r="CN3132" s="1539"/>
      <c r="CO3132" s="1539"/>
    </row>
    <row r="3133" spans="1:93" s="1542" customFormat="1" ht="15.5">
      <c r="A3133" s="1598" t="s">
        <v>1762</v>
      </c>
      <c r="B3133" s="1599" t="s">
        <v>3201</v>
      </c>
      <c r="C3133" s="1643" t="e">
        <f>+SUMIF(#REF!,Final!A3133,#REF!)</f>
        <v>#REF!</v>
      </c>
      <c r="D3133" s="1597" t="e">
        <f>+SUMIF(#REF!,Final!A3133,#REF!)</f>
        <v>#REF!</v>
      </c>
      <c r="E3133" s="1643" t="e">
        <f>SUMIF(#REF!,Final!A3133,#REF!)</f>
        <v>#REF!</v>
      </c>
      <c r="F3133" s="1644" t="e">
        <f>SUMIF(#REF!,Final!A3133,#REF!)</f>
        <v>#REF!</v>
      </c>
      <c r="G3133" s="1597" t="e">
        <f t="shared" ref="G3133:G3201" si="356">C3133+E3133</f>
        <v>#REF!</v>
      </c>
      <c r="H3133" s="1644" t="e">
        <f t="shared" ref="H3133:H3201" si="357">D3133+F3133</f>
        <v>#REF!</v>
      </c>
      <c r="I3133" s="1597" t="e">
        <f t="shared" ref="I3133:I3201" si="358">IF(G3133&gt;H3133,G3133-H3133,0)</f>
        <v>#REF!</v>
      </c>
      <c r="J3133" s="1644" t="e">
        <f t="shared" ref="J3133:J3201" si="359">IF(H3133&gt;G3133,H3133-G3133,0)</f>
        <v>#REF!</v>
      </c>
      <c r="K3133" s="1539"/>
      <c r="L3133" s="1539"/>
      <c r="M3133" s="1545"/>
      <c r="N3133" s="1545"/>
      <c r="O3133" s="1539"/>
      <c r="P3133" s="1539"/>
      <c r="Q3133" s="1539"/>
      <c r="R3133" s="1539"/>
      <c r="S3133" s="1539"/>
      <c r="T3133" s="1539"/>
      <c r="U3133" s="1539"/>
      <c r="V3133" s="1539"/>
      <c r="W3133" s="1539"/>
      <c r="X3133" s="1539"/>
      <c r="Y3133" s="1539"/>
      <c r="Z3133" s="1539"/>
      <c r="AA3133" s="1539"/>
      <c r="AB3133" s="1539"/>
      <c r="AC3133" s="1539"/>
      <c r="AD3133" s="1539"/>
      <c r="AE3133" s="1539"/>
      <c r="AF3133" s="1539"/>
      <c r="AG3133" s="1539"/>
      <c r="AH3133" s="1539"/>
      <c r="AI3133" s="1539"/>
      <c r="AJ3133" s="1539"/>
      <c r="AK3133" s="1539"/>
      <c r="AL3133" s="1539"/>
      <c r="AM3133" s="1539"/>
      <c r="AN3133" s="1539"/>
      <c r="AO3133" s="1539"/>
      <c r="AP3133" s="1539"/>
      <c r="AQ3133" s="1539"/>
      <c r="AR3133" s="1539"/>
      <c r="AS3133" s="1539"/>
      <c r="AT3133" s="1539"/>
      <c r="AU3133" s="1539"/>
      <c r="AV3133" s="1539"/>
      <c r="AW3133" s="1539"/>
      <c r="AX3133" s="1539"/>
      <c r="AY3133" s="1539"/>
      <c r="AZ3133" s="1539"/>
      <c r="BA3133" s="1539"/>
      <c r="BB3133" s="1539"/>
      <c r="BC3133" s="1539"/>
      <c r="BD3133" s="1539"/>
      <c r="BE3133" s="1539"/>
      <c r="BF3133" s="1539"/>
      <c r="BG3133" s="1539"/>
      <c r="BH3133" s="1539"/>
      <c r="BI3133" s="1539"/>
      <c r="BJ3133" s="1539"/>
      <c r="BK3133" s="1539"/>
      <c r="BL3133" s="1539"/>
      <c r="BM3133" s="1539"/>
      <c r="BN3133" s="1539"/>
      <c r="BO3133" s="1539"/>
      <c r="BP3133" s="1539"/>
      <c r="BQ3133" s="1539"/>
      <c r="BR3133" s="1539"/>
      <c r="BS3133" s="1539"/>
      <c r="BT3133" s="1539"/>
      <c r="BU3133" s="1539"/>
      <c r="BV3133" s="1539"/>
      <c r="BW3133" s="1539"/>
      <c r="BX3133" s="1539"/>
      <c r="BY3133" s="1539"/>
      <c r="BZ3133" s="1539"/>
      <c r="CA3133" s="1539"/>
      <c r="CB3133" s="1539"/>
      <c r="CC3133" s="1539"/>
      <c r="CD3133" s="1539"/>
      <c r="CE3133" s="1539"/>
      <c r="CF3133" s="1539"/>
      <c r="CG3133" s="1539"/>
      <c r="CH3133" s="1539"/>
      <c r="CI3133" s="1539"/>
      <c r="CJ3133" s="1539"/>
      <c r="CK3133" s="1539"/>
      <c r="CL3133" s="1539"/>
      <c r="CM3133" s="1539"/>
      <c r="CN3133" s="1539"/>
      <c r="CO3133" s="1539"/>
    </row>
    <row r="3134" spans="1:93" ht="15.5">
      <c r="A3134" s="1598">
        <v>76.126000000000005</v>
      </c>
      <c r="B3134" s="1599" t="s">
        <v>3201</v>
      </c>
      <c r="C3134" s="1643" t="e">
        <f>+SUMIF(#REF!,Final!A3134,#REF!)</f>
        <v>#REF!</v>
      </c>
      <c r="D3134" s="1597" t="e">
        <f>+SUMIF(#REF!,Final!A3134,#REF!)</f>
        <v>#REF!</v>
      </c>
      <c r="E3134" s="1643" t="e">
        <f>SUMIF(#REF!,Final!A3134,#REF!)</f>
        <v>#REF!</v>
      </c>
      <c r="F3134" s="1644" t="e">
        <f>SUMIF(#REF!,Final!A3134,#REF!)</f>
        <v>#REF!</v>
      </c>
      <c r="G3134" s="1597" t="e">
        <f t="shared" si="356"/>
        <v>#REF!</v>
      </c>
      <c r="H3134" s="1644" t="e">
        <f t="shared" si="357"/>
        <v>#REF!</v>
      </c>
      <c r="I3134" s="1597" t="e">
        <f t="shared" si="358"/>
        <v>#REF!</v>
      </c>
      <c r="J3134" s="1644" t="e">
        <f t="shared" si="359"/>
        <v>#REF!</v>
      </c>
      <c r="M3134" s="1545"/>
      <c r="N3134" s="1545"/>
    </row>
    <row r="3135" spans="1:93" s="1552" customFormat="1" ht="15.5">
      <c r="A3135" s="1598"/>
      <c r="B3135" s="1599" t="s">
        <v>1747</v>
      </c>
      <c r="C3135" s="1643" t="e">
        <f>+SUMIF(#REF!,Final!A3135,#REF!)</f>
        <v>#REF!</v>
      </c>
      <c r="D3135" s="1597" t="e">
        <f>+SUMIF(#REF!,Final!A3135,#REF!)</f>
        <v>#REF!</v>
      </c>
      <c r="E3135" s="1643" t="e">
        <f>SUMIF(#REF!,Final!A3135,#REF!)</f>
        <v>#REF!</v>
      </c>
      <c r="F3135" s="1644" t="e">
        <f>SUMIF(#REF!,Final!A3135,#REF!)</f>
        <v>#REF!</v>
      </c>
      <c r="G3135" s="1597" t="e">
        <f t="shared" si="356"/>
        <v>#REF!</v>
      </c>
      <c r="H3135" s="1644" t="e">
        <f t="shared" si="357"/>
        <v>#REF!</v>
      </c>
      <c r="I3135" s="1597" t="e">
        <f t="shared" si="358"/>
        <v>#REF!</v>
      </c>
      <c r="J3135" s="1644" t="e">
        <f t="shared" si="359"/>
        <v>#REF!</v>
      </c>
      <c r="K3135" s="1539"/>
      <c r="L3135" s="1539"/>
      <c r="M3135" s="1545"/>
      <c r="N3135" s="1545"/>
      <c r="O3135" s="1539"/>
      <c r="P3135" s="1539"/>
      <c r="Q3135" s="1539"/>
      <c r="R3135" s="1539"/>
      <c r="S3135" s="1539"/>
      <c r="T3135" s="1539"/>
      <c r="U3135" s="1539"/>
      <c r="V3135" s="1539"/>
      <c r="W3135" s="1539"/>
      <c r="X3135" s="1539"/>
      <c r="Y3135" s="1539"/>
      <c r="Z3135" s="1539"/>
      <c r="AA3135" s="1539"/>
      <c r="AB3135" s="1539"/>
      <c r="AC3135" s="1539"/>
      <c r="AD3135" s="1539"/>
      <c r="AE3135" s="1539"/>
      <c r="AF3135" s="1539"/>
      <c r="AG3135" s="1539"/>
      <c r="AH3135" s="1539"/>
      <c r="AI3135" s="1539"/>
      <c r="AJ3135" s="1539"/>
      <c r="AK3135" s="1539"/>
      <c r="AL3135" s="1539"/>
      <c r="AM3135" s="1539"/>
      <c r="AN3135" s="1539"/>
      <c r="AO3135" s="1539"/>
      <c r="AP3135" s="1539"/>
      <c r="AQ3135" s="1539"/>
      <c r="AR3135" s="1539"/>
      <c r="AS3135" s="1539"/>
      <c r="AT3135" s="1539"/>
      <c r="AU3135" s="1539"/>
      <c r="AV3135" s="1539"/>
      <c r="AW3135" s="1539"/>
      <c r="AX3135" s="1539"/>
      <c r="AY3135" s="1539"/>
      <c r="AZ3135" s="1539"/>
      <c r="BA3135" s="1539"/>
      <c r="BB3135" s="1539"/>
      <c r="BC3135" s="1539"/>
      <c r="BD3135" s="1539"/>
      <c r="BE3135" s="1539"/>
      <c r="BF3135" s="1539"/>
      <c r="BG3135" s="1539"/>
      <c r="BH3135" s="1539"/>
      <c r="BI3135" s="1539"/>
      <c r="BJ3135" s="1539"/>
      <c r="BK3135" s="1539"/>
      <c r="BL3135" s="1539"/>
      <c r="BM3135" s="1539"/>
      <c r="BN3135" s="1539"/>
      <c r="BO3135" s="1539"/>
      <c r="BP3135" s="1539"/>
      <c r="BQ3135" s="1539"/>
      <c r="BR3135" s="1539"/>
      <c r="BS3135" s="1539"/>
      <c r="BT3135" s="1539"/>
      <c r="BU3135" s="1539"/>
      <c r="BV3135" s="1539"/>
      <c r="BW3135" s="1539"/>
      <c r="BX3135" s="1539"/>
      <c r="BY3135" s="1539"/>
      <c r="BZ3135" s="1539"/>
      <c r="CA3135" s="1539"/>
      <c r="CB3135" s="1539"/>
      <c r="CC3135" s="1539"/>
      <c r="CD3135" s="1539"/>
      <c r="CE3135" s="1539"/>
      <c r="CF3135" s="1539"/>
      <c r="CG3135" s="1539"/>
      <c r="CH3135" s="1539"/>
      <c r="CI3135" s="1539"/>
      <c r="CJ3135" s="1539"/>
      <c r="CK3135" s="1539"/>
      <c r="CL3135" s="1539"/>
      <c r="CM3135" s="1539"/>
      <c r="CN3135" s="1539"/>
      <c r="CO3135" s="1539"/>
    </row>
    <row r="3136" spans="1:93" s="1552" customFormat="1" ht="15.5">
      <c r="A3136" s="1598"/>
      <c r="B3136" s="1599" t="s">
        <v>1760</v>
      </c>
      <c r="C3136" s="1643" t="e">
        <f>+SUMIF(#REF!,Final!A3136,#REF!)</f>
        <v>#REF!</v>
      </c>
      <c r="D3136" s="1597" t="e">
        <f>+SUMIF(#REF!,Final!A3136,#REF!)</f>
        <v>#REF!</v>
      </c>
      <c r="E3136" s="1643" t="e">
        <f>SUMIF(#REF!,Final!A3136,#REF!)</f>
        <v>#REF!</v>
      </c>
      <c r="F3136" s="1644" t="e">
        <f>SUMIF(#REF!,Final!A3136,#REF!)</f>
        <v>#REF!</v>
      </c>
      <c r="G3136" s="1597" t="e">
        <f t="shared" si="356"/>
        <v>#REF!</v>
      </c>
      <c r="H3136" s="1644" t="e">
        <f t="shared" si="357"/>
        <v>#REF!</v>
      </c>
      <c r="I3136" s="1597" t="e">
        <f t="shared" si="358"/>
        <v>#REF!</v>
      </c>
      <c r="J3136" s="1644" t="e">
        <f t="shared" si="359"/>
        <v>#REF!</v>
      </c>
      <c r="K3136" s="1539"/>
      <c r="L3136" s="1539"/>
      <c r="M3136" s="1545"/>
      <c r="N3136" s="1545"/>
      <c r="O3136" s="1539"/>
      <c r="P3136" s="1539"/>
      <c r="Q3136" s="1539"/>
      <c r="R3136" s="1539"/>
      <c r="S3136" s="1539"/>
      <c r="T3136" s="1539"/>
      <c r="U3136" s="1539"/>
      <c r="V3136" s="1539"/>
      <c r="W3136" s="1539"/>
      <c r="X3136" s="1539"/>
      <c r="Y3136" s="1539"/>
      <c r="Z3136" s="1539"/>
      <c r="AA3136" s="1539"/>
      <c r="AB3136" s="1539"/>
      <c r="AC3136" s="1539"/>
      <c r="AD3136" s="1539"/>
      <c r="AE3136" s="1539"/>
      <c r="AF3136" s="1539"/>
      <c r="AG3136" s="1539"/>
      <c r="AH3136" s="1539"/>
      <c r="AI3136" s="1539"/>
      <c r="AJ3136" s="1539"/>
      <c r="AK3136" s="1539"/>
      <c r="AL3136" s="1539"/>
      <c r="AM3136" s="1539"/>
      <c r="AN3136" s="1539"/>
      <c r="AO3136" s="1539"/>
      <c r="AP3136" s="1539"/>
      <c r="AQ3136" s="1539"/>
      <c r="AR3136" s="1539"/>
      <c r="AS3136" s="1539"/>
      <c r="AT3136" s="1539"/>
      <c r="AU3136" s="1539"/>
      <c r="AV3136" s="1539"/>
      <c r="AW3136" s="1539"/>
      <c r="AX3136" s="1539"/>
      <c r="AY3136" s="1539"/>
      <c r="AZ3136" s="1539"/>
      <c r="BA3136" s="1539"/>
      <c r="BB3136" s="1539"/>
      <c r="BC3136" s="1539"/>
      <c r="BD3136" s="1539"/>
      <c r="BE3136" s="1539"/>
      <c r="BF3136" s="1539"/>
      <c r="BG3136" s="1539"/>
      <c r="BH3136" s="1539"/>
      <c r="BI3136" s="1539"/>
      <c r="BJ3136" s="1539"/>
      <c r="BK3136" s="1539"/>
      <c r="BL3136" s="1539"/>
      <c r="BM3136" s="1539"/>
      <c r="BN3136" s="1539"/>
      <c r="BO3136" s="1539"/>
      <c r="BP3136" s="1539"/>
      <c r="BQ3136" s="1539"/>
      <c r="BR3136" s="1539"/>
      <c r="BS3136" s="1539"/>
      <c r="BT3136" s="1539"/>
      <c r="BU3136" s="1539"/>
      <c r="BV3136" s="1539"/>
      <c r="BW3136" s="1539"/>
      <c r="BX3136" s="1539"/>
      <c r="BY3136" s="1539"/>
      <c r="BZ3136" s="1539"/>
      <c r="CA3136" s="1539"/>
      <c r="CB3136" s="1539"/>
      <c r="CC3136" s="1539"/>
      <c r="CD3136" s="1539"/>
      <c r="CE3136" s="1539"/>
      <c r="CF3136" s="1539"/>
      <c r="CG3136" s="1539"/>
      <c r="CH3136" s="1539"/>
      <c r="CI3136" s="1539"/>
      <c r="CJ3136" s="1539"/>
      <c r="CK3136" s="1539"/>
      <c r="CL3136" s="1539"/>
      <c r="CM3136" s="1539"/>
      <c r="CN3136" s="1539"/>
      <c r="CO3136" s="1539"/>
    </row>
    <row r="3137" spans="1:93" s="1542" customFormat="1" ht="15.5">
      <c r="A3137" s="1598">
        <v>32</v>
      </c>
      <c r="B3137" s="1599" t="s">
        <v>3188</v>
      </c>
      <c r="C3137" s="1643" t="e">
        <f>+SUMIF(#REF!,Final!A3137,#REF!)</f>
        <v>#REF!</v>
      </c>
      <c r="D3137" s="1597" t="e">
        <f>+SUMIF(#REF!,Final!A3137,#REF!)</f>
        <v>#REF!</v>
      </c>
      <c r="E3137" s="1643" t="e">
        <f>SUMIF(#REF!,Final!A3137,#REF!)</f>
        <v>#REF!</v>
      </c>
      <c r="F3137" s="1644" t="e">
        <f>SUMIF(#REF!,Final!A3137,#REF!)</f>
        <v>#REF!</v>
      </c>
      <c r="G3137" s="1597" t="e">
        <f t="shared" si="356"/>
        <v>#REF!</v>
      </c>
      <c r="H3137" s="1644" t="e">
        <f t="shared" si="357"/>
        <v>#REF!</v>
      </c>
      <c r="I3137" s="1597" t="e">
        <f t="shared" si="358"/>
        <v>#REF!</v>
      </c>
      <c r="J3137" s="1644" t="e">
        <f t="shared" si="359"/>
        <v>#REF!</v>
      </c>
      <c r="K3137" s="1539"/>
      <c r="L3137" s="1539"/>
      <c r="M3137" s="1545"/>
      <c r="N3137" s="1545"/>
      <c r="O3137" s="1539"/>
      <c r="P3137" s="1539"/>
      <c r="Q3137" s="1539"/>
      <c r="R3137" s="1539"/>
      <c r="S3137" s="1539"/>
      <c r="T3137" s="1539"/>
      <c r="U3137" s="1539"/>
      <c r="V3137" s="1539"/>
      <c r="W3137" s="1539"/>
      <c r="X3137" s="1539"/>
      <c r="Y3137" s="1539"/>
      <c r="Z3137" s="1539"/>
      <c r="AA3137" s="1539"/>
      <c r="AB3137" s="1539"/>
      <c r="AC3137" s="1539"/>
      <c r="AD3137" s="1539"/>
      <c r="AE3137" s="1539"/>
      <c r="AF3137" s="1539"/>
      <c r="AG3137" s="1539"/>
      <c r="AH3137" s="1539"/>
      <c r="AI3137" s="1539"/>
      <c r="AJ3137" s="1539"/>
      <c r="AK3137" s="1539"/>
      <c r="AL3137" s="1539"/>
      <c r="AM3137" s="1539"/>
      <c r="AN3137" s="1539"/>
      <c r="AO3137" s="1539"/>
      <c r="AP3137" s="1539"/>
      <c r="AQ3137" s="1539"/>
      <c r="AR3137" s="1539"/>
      <c r="AS3137" s="1539"/>
      <c r="AT3137" s="1539"/>
      <c r="AU3137" s="1539"/>
      <c r="AV3137" s="1539"/>
      <c r="AW3137" s="1539"/>
      <c r="AX3137" s="1539"/>
      <c r="AY3137" s="1539"/>
      <c r="AZ3137" s="1539"/>
      <c r="BA3137" s="1539"/>
      <c r="BB3137" s="1539"/>
      <c r="BC3137" s="1539"/>
      <c r="BD3137" s="1539"/>
      <c r="BE3137" s="1539"/>
      <c r="BF3137" s="1539"/>
      <c r="BG3137" s="1539"/>
      <c r="BH3137" s="1539"/>
      <c r="BI3137" s="1539"/>
      <c r="BJ3137" s="1539"/>
      <c r="BK3137" s="1539"/>
      <c r="BL3137" s="1539"/>
      <c r="BM3137" s="1539"/>
      <c r="BN3137" s="1539"/>
      <c r="BO3137" s="1539"/>
      <c r="BP3137" s="1539"/>
      <c r="BQ3137" s="1539"/>
      <c r="BR3137" s="1539"/>
      <c r="BS3137" s="1539"/>
      <c r="BT3137" s="1539"/>
      <c r="BU3137" s="1539"/>
      <c r="BV3137" s="1539"/>
      <c r="BW3137" s="1539"/>
      <c r="BX3137" s="1539"/>
      <c r="BY3137" s="1539"/>
      <c r="BZ3137" s="1539"/>
      <c r="CA3137" s="1539"/>
      <c r="CB3137" s="1539"/>
      <c r="CC3137" s="1539"/>
      <c r="CD3137" s="1539"/>
      <c r="CE3137" s="1539"/>
      <c r="CF3137" s="1539"/>
      <c r="CG3137" s="1539"/>
      <c r="CH3137" s="1539"/>
      <c r="CI3137" s="1539"/>
      <c r="CJ3137" s="1539"/>
      <c r="CK3137" s="1539"/>
      <c r="CL3137" s="1539"/>
      <c r="CM3137" s="1539"/>
      <c r="CN3137" s="1539"/>
      <c r="CO3137" s="1539"/>
    </row>
    <row r="3138" spans="1:93" ht="15.5">
      <c r="A3138" s="1598">
        <v>76.128</v>
      </c>
      <c r="B3138" s="1599" t="s">
        <v>3534</v>
      </c>
      <c r="C3138" s="1643" t="e">
        <f>+SUMIF(#REF!,Final!A3138,#REF!)</f>
        <v>#REF!</v>
      </c>
      <c r="D3138" s="1597" t="e">
        <f>+SUMIF(#REF!,Final!A3138,#REF!)</f>
        <v>#REF!</v>
      </c>
      <c r="E3138" s="1643" t="e">
        <f>SUMIF(#REF!,Final!A3138,#REF!)</f>
        <v>#REF!</v>
      </c>
      <c r="F3138" s="1644" t="e">
        <f>SUMIF(#REF!,Final!A3138,#REF!)</f>
        <v>#REF!</v>
      </c>
      <c r="G3138" s="1597" t="e">
        <f t="shared" si="356"/>
        <v>#REF!</v>
      </c>
      <c r="H3138" s="1644" t="e">
        <f t="shared" si="357"/>
        <v>#REF!</v>
      </c>
      <c r="I3138" s="1597" t="e">
        <f t="shared" si="358"/>
        <v>#REF!</v>
      </c>
      <c r="J3138" s="1644" t="e">
        <f t="shared" si="359"/>
        <v>#REF!</v>
      </c>
      <c r="M3138" s="1545"/>
      <c r="N3138" s="1545"/>
    </row>
    <row r="3139" spans="1:93" s="1552" customFormat="1" ht="15.5">
      <c r="A3139" s="1598"/>
      <c r="B3139" s="1599" t="s">
        <v>1747</v>
      </c>
      <c r="C3139" s="1643" t="e">
        <f>+SUMIF(#REF!,Final!A3139,#REF!)</f>
        <v>#REF!</v>
      </c>
      <c r="D3139" s="1597" t="e">
        <f>+SUMIF(#REF!,Final!A3139,#REF!)</f>
        <v>#REF!</v>
      </c>
      <c r="E3139" s="1643" t="e">
        <f>SUMIF(#REF!,Final!A3139,#REF!)</f>
        <v>#REF!</v>
      </c>
      <c r="F3139" s="1644" t="e">
        <f>SUMIF(#REF!,Final!A3139,#REF!)</f>
        <v>#REF!</v>
      </c>
      <c r="G3139" s="1597" t="e">
        <f t="shared" si="356"/>
        <v>#REF!</v>
      </c>
      <c r="H3139" s="1644" t="e">
        <f t="shared" si="357"/>
        <v>#REF!</v>
      </c>
      <c r="I3139" s="1597" t="e">
        <f t="shared" si="358"/>
        <v>#REF!</v>
      </c>
      <c r="J3139" s="1644" t="e">
        <f t="shared" si="359"/>
        <v>#REF!</v>
      </c>
      <c r="K3139" s="1539"/>
      <c r="L3139" s="1539"/>
      <c r="M3139" s="1545"/>
      <c r="N3139" s="1545"/>
      <c r="O3139" s="1539"/>
      <c r="P3139" s="1539"/>
      <c r="Q3139" s="1539"/>
      <c r="R3139" s="1539"/>
      <c r="S3139" s="1539"/>
      <c r="T3139" s="1539"/>
      <c r="U3139" s="1539"/>
      <c r="V3139" s="1539"/>
      <c r="W3139" s="1539"/>
      <c r="X3139" s="1539"/>
      <c r="Y3139" s="1539"/>
      <c r="Z3139" s="1539"/>
      <c r="AA3139" s="1539"/>
      <c r="AB3139" s="1539"/>
      <c r="AC3139" s="1539"/>
      <c r="AD3139" s="1539"/>
      <c r="AE3139" s="1539"/>
      <c r="AF3139" s="1539"/>
      <c r="AG3139" s="1539"/>
      <c r="AH3139" s="1539"/>
      <c r="AI3139" s="1539"/>
      <c r="AJ3139" s="1539"/>
      <c r="AK3139" s="1539"/>
      <c r="AL3139" s="1539"/>
      <c r="AM3139" s="1539"/>
      <c r="AN3139" s="1539"/>
      <c r="AO3139" s="1539"/>
      <c r="AP3139" s="1539"/>
      <c r="AQ3139" s="1539"/>
      <c r="AR3139" s="1539"/>
      <c r="AS3139" s="1539"/>
      <c r="AT3139" s="1539"/>
      <c r="AU3139" s="1539"/>
      <c r="AV3139" s="1539"/>
      <c r="AW3139" s="1539"/>
      <c r="AX3139" s="1539"/>
      <c r="AY3139" s="1539"/>
      <c r="AZ3139" s="1539"/>
      <c r="BA3139" s="1539"/>
      <c r="BB3139" s="1539"/>
      <c r="BC3139" s="1539"/>
      <c r="BD3139" s="1539"/>
      <c r="BE3139" s="1539"/>
      <c r="BF3139" s="1539"/>
      <c r="BG3139" s="1539"/>
      <c r="BH3139" s="1539"/>
      <c r="BI3139" s="1539"/>
      <c r="BJ3139" s="1539"/>
      <c r="BK3139" s="1539"/>
      <c r="BL3139" s="1539"/>
      <c r="BM3139" s="1539"/>
      <c r="BN3139" s="1539"/>
      <c r="BO3139" s="1539"/>
      <c r="BP3139" s="1539"/>
      <c r="BQ3139" s="1539"/>
      <c r="BR3139" s="1539"/>
      <c r="BS3139" s="1539"/>
      <c r="BT3139" s="1539"/>
      <c r="BU3139" s="1539"/>
      <c r="BV3139" s="1539"/>
      <c r="BW3139" s="1539"/>
      <c r="BX3139" s="1539"/>
      <c r="BY3139" s="1539"/>
      <c r="BZ3139" s="1539"/>
      <c r="CA3139" s="1539"/>
      <c r="CB3139" s="1539"/>
      <c r="CC3139" s="1539"/>
      <c r="CD3139" s="1539"/>
      <c r="CE3139" s="1539"/>
      <c r="CF3139" s="1539"/>
      <c r="CG3139" s="1539"/>
      <c r="CH3139" s="1539"/>
      <c r="CI3139" s="1539"/>
      <c r="CJ3139" s="1539"/>
      <c r="CK3139" s="1539"/>
      <c r="CL3139" s="1539"/>
      <c r="CM3139" s="1539"/>
      <c r="CN3139" s="1539"/>
      <c r="CO3139" s="1539"/>
    </row>
    <row r="3140" spans="1:93" s="1552" customFormat="1" ht="15.5">
      <c r="A3140" s="1598"/>
      <c r="B3140" s="1599" t="s">
        <v>1760</v>
      </c>
      <c r="C3140" s="1643" t="e">
        <f>+SUMIF(#REF!,Final!A3140,#REF!)</f>
        <v>#REF!</v>
      </c>
      <c r="D3140" s="1597" t="e">
        <f>+SUMIF(#REF!,Final!A3140,#REF!)</f>
        <v>#REF!</v>
      </c>
      <c r="E3140" s="1643" t="e">
        <f>SUMIF(#REF!,Final!A3140,#REF!)</f>
        <v>#REF!</v>
      </c>
      <c r="F3140" s="1644" t="e">
        <f>SUMIF(#REF!,Final!A3140,#REF!)</f>
        <v>#REF!</v>
      </c>
      <c r="G3140" s="1597" t="e">
        <f t="shared" si="356"/>
        <v>#REF!</v>
      </c>
      <c r="H3140" s="1644" t="e">
        <f t="shared" si="357"/>
        <v>#REF!</v>
      </c>
      <c r="I3140" s="1597" t="e">
        <f t="shared" si="358"/>
        <v>#REF!</v>
      </c>
      <c r="J3140" s="1644" t="e">
        <f t="shared" si="359"/>
        <v>#REF!</v>
      </c>
      <c r="K3140" s="1539"/>
      <c r="L3140" s="1539"/>
      <c r="M3140" s="1545"/>
      <c r="N3140" s="1545"/>
      <c r="O3140" s="1539"/>
      <c r="P3140" s="1539"/>
      <c r="Q3140" s="1539"/>
      <c r="R3140" s="1539"/>
      <c r="S3140" s="1539"/>
      <c r="T3140" s="1539"/>
      <c r="U3140" s="1539"/>
      <c r="V3140" s="1539"/>
      <c r="W3140" s="1539"/>
      <c r="X3140" s="1539"/>
      <c r="Y3140" s="1539"/>
      <c r="Z3140" s="1539"/>
      <c r="AA3140" s="1539"/>
      <c r="AB3140" s="1539"/>
      <c r="AC3140" s="1539"/>
      <c r="AD3140" s="1539"/>
      <c r="AE3140" s="1539"/>
      <c r="AF3140" s="1539"/>
      <c r="AG3140" s="1539"/>
      <c r="AH3140" s="1539"/>
      <c r="AI3140" s="1539"/>
      <c r="AJ3140" s="1539"/>
      <c r="AK3140" s="1539"/>
      <c r="AL3140" s="1539"/>
      <c r="AM3140" s="1539"/>
      <c r="AN3140" s="1539"/>
      <c r="AO3140" s="1539"/>
      <c r="AP3140" s="1539"/>
      <c r="AQ3140" s="1539"/>
      <c r="AR3140" s="1539"/>
      <c r="AS3140" s="1539"/>
      <c r="AT3140" s="1539"/>
      <c r="AU3140" s="1539"/>
      <c r="AV3140" s="1539"/>
      <c r="AW3140" s="1539"/>
      <c r="AX3140" s="1539"/>
      <c r="AY3140" s="1539"/>
      <c r="AZ3140" s="1539"/>
      <c r="BA3140" s="1539"/>
      <c r="BB3140" s="1539"/>
      <c r="BC3140" s="1539"/>
      <c r="BD3140" s="1539"/>
      <c r="BE3140" s="1539"/>
      <c r="BF3140" s="1539"/>
      <c r="BG3140" s="1539"/>
      <c r="BH3140" s="1539"/>
      <c r="BI3140" s="1539"/>
      <c r="BJ3140" s="1539"/>
      <c r="BK3140" s="1539"/>
      <c r="BL3140" s="1539"/>
      <c r="BM3140" s="1539"/>
      <c r="BN3140" s="1539"/>
      <c r="BO3140" s="1539"/>
      <c r="BP3140" s="1539"/>
      <c r="BQ3140" s="1539"/>
      <c r="BR3140" s="1539"/>
      <c r="BS3140" s="1539"/>
      <c r="BT3140" s="1539"/>
      <c r="BU3140" s="1539"/>
      <c r="BV3140" s="1539"/>
      <c r="BW3140" s="1539"/>
      <c r="BX3140" s="1539"/>
      <c r="BY3140" s="1539"/>
      <c r="BZ3140" s="1539"/>
      <c r="CA3140" s="1539"/>
      <c r="CB3140" s="1539"/>
      <c r="CC3140" s="1539"/>
      <c r="CD3140" s="1539"/>
      <c r="CE3140" s="1539"/>
      <c r="CF3140" s="1539"/>
      <c r="CG3140" s="1539"/>
      <c r="CH3140" s="1539"/>
      <c r="CI3140" s="1539"/>
      <c r="CJ3140" s="1539"/>
      <c r="CK3140" s="1539"/>
      <c r="CL3140" s="1539"/>
      <c r="CM3140" s="1539"/>
      <c r="CN3140" s="1539"/>
      <c r="CO3140" s="1539"/>
    </row>
    <row r="3141" spans="1:93" s="1542" customFormat="1" ht="15.5">
      <c r="A3141" s="1598">
        <v>33</v>
      </c>
      <c r="B3141" s="1599" t="s">
        <v>3193</v>
      </c>
      <c r="C3141" s="1643" t="e">
        <f>+SUMIF(#REF!,Final!A3141,#REF!)</f>
        <v>#REF!</v>
      </c>
      <c r="D3141" s="1597" t="e">
        <f>+SUMIF(#REF!,Final!A3141,#REF!)</f>
        <v>#REF!</v>
      </c>
      <c r="E3141" s="1643" t="e">
        <f>SUMIF(#REF!,Final!A3141,#REF!)</f>
        <v>#REF!</v>
      </c>
      <c r="F3141" s="1644" t="e">
        <f>SUMIF(#REF!,Final!A3141,#REF!)</f>
        <v>#REF!</v>
      </c>
      <c r="G3141" s="1597" t="e">
        <f t="shared" si="356"/>
        <v>#REF!</v>
      </c>
      <c r="H3141" s="1644" t="e">
        <f t="shared" si="357"/>
        <v>#REF!</v>
      </c>
      <c r="I3141" s="1597" t="e">
        <f t="shared" si="358"/>
        <v>#REF!</v>
      </c>
      <c r="J3141" s="1644" t="e">
        <f t="shared" si="359"/>
        <v>#REF!</v>
      </c>
      <c r="K3141" s="1539"/>
      <c r="L3141" s="1539"/>
      <c r="M3141" s="1545"/>
      <c r="N3141" s="1545"/>
      <c r="O3141" s="1539"/>
      <c r="P3141" s="1539"/>
      <c r="Q3141" s="1539"/>
      <c r="R3141" s="1539"/>
      <c r="S3141" s="1539"/>
      <c r="T3141" s="1539"/>
      <c r="U3141" s="1539"/>
      <c r="V3141" s="1539"/>
      <c r="W3141" s="1539"/>
      <c r="X3141" s="1539"/>
      <c r="Y3141" s="1539"/>
      <c r="Z3141" s="1539"/>
      <c r="AA3141" s="1539"/>
      <c r="AB3141" s="1539"/>
      <c r="AC3141" s="1539"/>
      <c r="AD3141" s="1539"/>
      <c r="AE3141" s="1539"/>
      <c r="AF3141" s="1539"/>
      <c r="AG3141" s="1539"/>
      <c r="AH3141" s="1539"/>
      <c r="AI3141" s="1539"/>
      <c r="AJ3141" s="1539"/>
      <c r="AK3141" s="1539"/>
      <c r="AL3141" s="1539"/>
      <c r="AM3141" s="1539"/>
      <c r="AN3141" s="1539"/>
      <c r="AO3141" s="1539"/>
      <c r="AP3141" s="1539"/>
      <c r="AQ3141" s="1539"/>
      <c r="AR3141" s="1539"/>
      <c r="AS3141" s="1539"/>
      <c r="AT3141" s="1539"/>
      <c r="AU3141" s="1539"/>
      <c r="AV3141" s="1539"/>
      <c r="AW3141" s="1539"/>
      <c r="AX3141" s="1539"/>
      <c r="AY3141" s="1539"/>
      <c r="AZ3141" s="1539"/>
      <c r="BA3141" s="1539"/>
      <c r="BB3141" s="1539"/>
      <c r="BC3141" s="1539"/>
      <c r="BD3141" s="1539"/>
      <c r="BE3141" s="1539"/>
      <c r="BF3141" s="1539"/>
      <c r="BG3141" s="1539"/>
      <c r="BH3141" s="1539"/>
      <c r="BI3141" s="1539"/>
      <c r="BJ3141" s="1539"/>
      <c r="BK3141" s="1539"/>
      <c r="BL3141" s="1539"/>
      <c r="BM3141" s="1539"/>
      <c r="BN3141" s="1539"/>
      <c r="BO3141" s="1539"/>
      <c r="BP3141" s="1539"/>
      <c r="BQ3141" s="1539"/>
      <c r="BR3141" s="1539"/>
      <c r="BS3141" s="1539"/>
      <c r="BT3141" s="1539"/>
      <c r="BU3141" s="1539"/>
      <c r="BV3141" s="1539"/>
      <c r="BW3141" s="1539"/>
      <c r="BX3141" s="1539"/>
      <c r="BY3141" s="1539"/>
      <c r="BZ3141" s="1539"/>
      <c r="CA3141" s="1539"/>
      <c r="CB3141" s="1539"/>
      <c r="CC3141" s="1539"/>
      <c r="CD3141" s="1539"/>
      <c r="CE3141" s="1539"/>
      <c r="CF3141" s="1539"/>
      <c r="CG3141" s="1539"/>
      <c r="CH3141" s="1539"/>
      <c r="CI3141" s="1539"/>
      <c r="CJ3141" s="1539"/>
      <c r="CK3141" s="1539"/>
      <c r="CL3141" s="1539"/>
      <c r="CM3141" s="1539"/>
      <c r="CN3141" s="1539"/>
      <c r="CO3141" s="1539"/>
    </row>
    <row r="3142" spans="1:93" ht="15.5">
      <c r="A3142" s="1598">
        <v>76.129000000000005</v>
      </c>
      <c r="B3142" s="1599" t="s">
        <v>3199</v>
      </c>
      <c r="C3142" s="1643" t="e">
        <f>+SUMIF(#REF!,Final!A3142,#REF!)</f>
        <v>#REF!</v>
      </c>
      <c r="D3142" s="1597" t="e">
        <f>+SUMIF(#REF!,Final!A3142,#REF!)</f>
        <v>#REF!</v>
      </c>
      <c r="E3142" s="1643" t="e">
        <f>SUMIF(#REF!,Final!A3142,#REF!)</f>
        <v>#REF!</v>
      </c>
      <c r="F3142" s="1644" t="e">
        <f>SUMIF(#REF!,Final!A3142,#REF!)</f>
        <v>#REF!</v>
      </c>
      <c r="G3142" s="1597" t="e">
        <f t="shared" si="356"/>
        <v>#REF!</v>
      </c>
      <c r="H3142" s="1644" t="e">
        <f t="shared" si="357"/>
        <v>#REF!</v>
      </c>
      <c r="I3142" s="1597" t="e">
        <f t="shared" si="358"/>
        <v>#REF!</v>
      </c>
      <c r="J3142" s="1644" t="e">
        <f t="shared" si="359"/>
        <v>#REF!</v>
      </c>
      <c r="M3142" s="1545"/>
      <c r="N3142" s="1545"/>
    </row>
    <row r="3143" spans="1:93" s="1552" customFormat="1" ht="15.5">
      <c r="A3143" s="1598"/>
      <c r="B3143" s="1599" t="s">
        <v>1747</v>
      </c>
      <c r="C3143" s="1643" t="e">
        <f>+SUMIF(#REF!,Final!A3143,#REF!)</f>
        <v>#REF!</v>
      </c>
      <c r="D3143" s="1597" t="e">
        <f>+SUMIF(#REF!,Final!A3143,#REF!)</f>
        <v>#REF!</v>
      </c>
      <c r="E3143" s="1643" t="e">
        <f>SUMIF(#REF!,Final!A3143,#REF!)</f>
        <v>#REF!</v>
      </c>
      <c r="F3143" s="1644" t="e">
        <f>SUMIF(#REF!,Final!A3143,#REF!)</f>
        <v>#REF!</v>
      </c>
      <c r="G3143" s="1597" t="e">
        <f t="shared" si="356"/>
        <v>#REF!</v>
      </c>
      <c r="H3143" s="1644" t="e">
        <f t="shared" si="357"/>
        <v>#REF!</v>
      </c>
      <c r="I3143" s="1597" t="e">
        <f t="shared" si="358"/>
        <v>#REF!</v>
      </c>
      <c r="J3143" s="1644" t="e">
        <f t="shared" si="359"/>
        <v>#REF!</v>
      </c>
      <c r="K3143" s="1539"/>
      <c r="L3143" s="1539"/>
      <c r="M3143" s="1545"/>
      <c r="N3143" s="1545"/>
      <c r="O3143" s="1539"/>
      <c r="P3143" s="1539"/>
      <c r="Q3143" s="1539"/>
      <c r="R3143" s="1539"/>
      <c r="S3143" s="1539"/>
      <c r="T3143" s="1539"/>
      <c r="U3143" s="1539"/>
      <c r="V3143" s="1539"/>
      <c r="W3143" s="1539"/>
      <c r="X3143" s="1539"/>
      <c r="Y3143" s="1539"/>
      <c r="Z3143" s="1539"/>
      <c r="AA3143" s="1539"/>
      <c r="AB3143" s="1539"/>
      <c r="AC3143" s="1539"/>
      <c r="AD3143" s="1539"/>
      <c r="AE3143" s="1539"/>
      <c r="AF3143" s="1539"/>
      <c r="AG3143" s="1539"/>
      <c r="AH3143" s="1539"/>
      <c r="AI3143" s="1539"/>
      <c r="AJ3143" s="1539"/>
      <c r="AK3143" s="1539"/>
      <c r="AL3143" s="1539"/>
      <c r="AM3143" s="1539"/>
      <c r="AN3143" s="1539"/>
      <c r="AO3143" s="1539"/>
      <c r="AP3143" s="1539"/>
      <c r="AQ3143" s="1539"/>
      <c r="AR3143" s="1539"/>
      <c r="AS3143" s="1539"/>
      <c r="AT3143" s="1539"/>
      <c r="AU3143" s="1539"/>
      <c r="AV3143" s="1539"/>
      <c r="AW3143" s="1539"/>
      <c r="AX3143" s="1539"/>
      <c r="AY3143" s="1539"/>
      <c r="AZ3143" s="1539"/>
      <c r="BA3143" s="1539"/>
      <c r="BB3143" s="1539"/>
      <c r="BC3143" s="1539"/>
      <c r="BD3143" s="1539"/>
      <c r="BE3143" s="1539"/>
      <c r="BF3143" s="1539"/>
      <c r="BG3143" s="1539"/>
      <c r="BH3143" s="1539"/>
      <c r="BI3143" s="1539"/>
      <c r="BJ3143" s="1539"/>
      <c r="BK3143" s="1539"/>
      <c r="BL3143" s="1539"/>
      <c r="BM3143" s="1539"/>
      <c r="BN3143" s="1539"/>
      <c r="BO3143" s="1539"/>
      <c r="BP3143" s="1539"/>
      <c r="BQ3143" s="1539"/>
      <c r="BR3143" s="1539"/>
      <c r="BS3143" s="1539"/>
      <c r="BT3143" s="1539"/>
      <c r="BU3143" s="1539"/>
      <c r="BV3143" s="1539"/>
      <c r="BW3143" s="1539"/>
      <c r="BX3143" s="1539"/>
      <c r="BY3143" s="1539"/>
      <c r="BZ3143" s="1539"/>
      <c r="CA3143" s="1539"/>
      <c r="CB3143" s="1539"/>
      <c r="CC3143" s="1539"/>
      <c r="CD3143" s="1539"/>
      <c r="CE3143" s="1539"/>
      <c r="CF3143" s="1539"/>
      <c r="CG3143" s="1539"/>
      <c r="CH3143" s="1539"/>
      <c r="CI3143" s="1539"/>
      <c r="CJ3143" s="1539"/>
      <c r="CK3143" s="1539"/>
      <c r="CL3143" s="1539"/>
      <c r="CM3143" s="1539"/>
      <c r="CN3143" s="1539"/>
      <c r="CO3143" s="1539"/>
    </row>
    <row r="3144" spans="1:93" s="1552" customFormat="1" ht="15.5">
      <c r="A3144" s="1598"/>
      <c r="B3144" s="1599" t="s">
        <v>1760</v>
      </c>
      <c r="C3144" s="1643" t="e">
        <f>+SUMIF(#REF!,Final!A3144,#REF!)</f>
        <v>#REF!</v>
      </c>
      <c r="D3144" s="1597" t="e">
        <f>+SUMIF(#REF!,Final!A3144,#REF!)</f>
        <v>#REF!</v>
      </c>
      <c r="E3144" s="1643" t="e">
        <f>SUMIF(#REF!,Final!A3144,#REF!)</f>
        <v>#REF!</v>
      </c>
      <c r="F3144" s="1644" t="e">
        <f>SUMIF(#REF!,Final!A3144,#REF!)</f>
        <v>#REF!</v>
      </c>
      <c r="G3144" s="1597" t="e">
        <f t="shared" si="356"/>
        <v>#REF!</v>
      </c>
      <c r="H3144" s="1644" t="e">
        <f t="shared" si="357"/>
        <v>#REF!</v>
      </c>
      <c r="I3144" s="1597" t="e">
        <f t="shared" si="358"/>
        <v>#REF!</v>
      </c>
      <c r="J3144" s="1644" t="e">
        <f t="shared" si="359"/>
        <v>#REF!</v>
      </c>
      <c r="K3144" s="1539"/>
      <c r="L3144" s="1539"/>
      <c r="M3144" s="1545"/>
      <c r="N3144" s="1545"/>
      <c r="O3144" s="1539"/>
      <c r="P3144" s="1539"/>
      <c r="Q3144" s="1539"/>
      <c r="R3144" s="1539"/>
      <c r="S3144" s="1539"/>
      <c r="T3144" s="1539"/>
      <c r="U3144" s="1539"/>
      <c r="V3144" s="1539"/>
      <c r="W3144" s="1539"/>
      <c r="X3144" s="1539"/>
      <c r="Y3144" s="1539"/>
      <c r="Z3144" s="1539"/>
      <c r="AA3144" s="1539"/>
      <c r="AB3144" s="1539"/>
      <c r="AC3144" s="1539"/>
      <c r="AD3144" s="1539"/>
      <c r="AE3144" s="1539"/>
      <c r="AF3144" s="1539"/>
      <c r="AG3144" s="1539"/>
      <c r="AH3144" s="1539"/>
      <c r="AI3144" s="1539"/>
      <c r="AJ3144" s="1539"/>
      <c r="AK3144" s="1539"/>
      <c r="AL3144" s="1539"/>
      <c r="AM3144" s="1539"/>
      <c r="AN3144" s="1539"/>
      <c r="AO3144" s="1539"/>
      <c r="AP3144" s="1539"/>
      <c r="AQ3144" s="1539"/>
      <c r="AR3144" s="1539"/>
      <c r="AS3144" s="1539"/>
      <c r="AT3144" s="1539"/>
      <c r="AU3144" s="1539"/>
      <c r="AV3144" s="1539"/>
      <c r="AW3144" s="1539"/>
      <c r="AX3144" s="1539"/>
      <c r="AY3144" s="1539"/>
      <c r="AZ3144" s="1539"/>
      <c r="BA3144" s="1539"/>
      <c r="BB3144" s="1539"/>
      <c r="BC3144" s="1539"/>
      <c r="BD3144" s="1539"/>
      <c r="BE3144" s="1539"/>
      <c r="BF3144" s="1539"/>
      <c r="BG3144" s="1539"/>
      <c r="BH3144" s="1539"/>
      <c r="BI3144" s="1539"/>
      <c r="BJ3144" s="1539"/>
      <c r="BK3144" s="1539"/>
      <c r="BL3144" s="1539"/>
      <c r="BM3144" s="1539"/>
      <c r="BN3144" s="1539"/>
      <c r="BO3144" s="1539"/>
      <c r="BP3144" s="1539"/>
      <c r="BQ3144" s="1539"/>
      <c r="BR3144" s="1539"/>
      <c r="BS3144" s="1539"/>
      <c r="BT3144" s="1539"/>
      <c r="BU3144" s="1539"/>
      <c r="BV3144" s="1539"/>
      <c r="BW3144" s="1539"/>
      <c r="BX3144" s="1539"/>
      <c r="BY3144" s="1539"/>
      <c r="BZ3144" s="1539"/>
      <c r="CA3144" s="1539"/>
      <c r="CB3144" s="1539"/>
      <c r="CC3144" s="1539"/>
      <c r="CD3144" s="1539"/>
      <c r="CE3144" s="1539"/>
      <c r="CF3144" s="1539"/>
      <c r="CG3144" s="1539"/>
      <c r="CH3144" s="1539"/>
      <c r="CI3144" s="1539"/>
      <c r="CJ3144" s="1539"/>
      <c r="CK3144" s="1539"/>
      <c r="CL3144" s="1539"/>
      <c r="CM3144" s="1539"/>
      <c r="CN3144" s="1539"/>
      <c r="CO3144" s="1539"/>
    </row>
    <row r="3145" spans="1:93" s="1542" customFormat="1" ht="15.5">
      <c r="A3145" s="1598">
        <v>36</v>
      </c>
      <c r="B3145" s="1599" t="s">
        <v>3200</v>
      </c>
      <c r="C3145" s="1643" t="e">
        <f>+SUMIF(#REF!,Final!A3145,#REF!)</f>
        <v>#REF!</v>
      </c>
      <c r="D3145" s="1597" t="e">
        <f>+SUMIF(#REF!,Final!A3145,#REF!)</f>
        <v>#REF!</v>
      </c>
      <c r="E3145" s="1643" t="e">
        <f>SUMIF(#REF!,Final!A3145,#REF!)</f>
        <v>#REF!</v>
      </c>
      <c r="F3145" s="1644" t="e">
        <f>SUMIF(#REF!,Final!A3145,#REF!)</f>
        <v>#REF!</v>
      </c>
      <c r="G3145" s="1597" t="e">
        <f t="shared" si="356"/>
        <v>#REF!</v>
      </c>
      <c r="H3145" s="1644" t="e">
        <f t="shared" si="357"/>
        <v>#REF!</v>
      </c>
      <c r="I3145" s="1597" t="e">
        <f t="shared" si="358"/>
        <v>#REF!</v>
      </c>
      <c r="J3145" s="1644" t="e">
        <f t="shared" si="359"/>
        <v>#REF!</v>
      </c>
      <c r="K3145" s="1539"/>
      <c r="L3145" s="1539"/>
      <c r="M3145" s="1545"/>
      <c r="N3145" s="1545"/>
      <c r="O3145" s="1539"/>
      <c r="P3145" s="1539"/>
      <c r="Q3145" s="1539"/>
      <c r="R3145" s="1539"/>
      <c r="S3145" s="1539"/>
      <c r="T3145" s="1539"/>
      <c r="U3145" s="1539"/>
      <c r="V3145" s="1539"/>
      <c r="W3145" s="1539"/>
      <c r="X3145" s="1539"/>
      <c r="Y3145" s="1539"/>
      <c r="Z3145" s="1539"/>
      <c r="AA3145" s="1539"/>
      <c r="AB3145" s="1539"/>
      <c r="AC3145" s="1539"/>
      <c r="AD3145" s="1539"/>
      <c r="AE3145" s="1539"/>
      <c r="AF3145" s="1539"/>
      <c r="AG3145" s="1539"/>
      <c r="AH3145" s="1539"/>
      <c r="AI3145" s="1539"/>
      <c r="AJ3145" s="1539"/>
      <c r="AK3145" s="1539"/>
      <c r="AL3145" s="1539"/>
      <c r="AM3145" s="1539"/>
      <c r="AN3145" s="1539"/>
      <c r="AO3145" s="1539"/>
      <c r="AP3145" s="1539"/>
      <c r="AQ3145" s="1539"/>
      <c r="AR3145" s="1539"/>
      <c r="AS3145" s="1539"/>
      <c r="AT3145" s="1539"/>
      <c r="AU3145" s="1539"/>
      <c r="AV3145" s="1539"/>
      <c r="AW3145" s="1539"/>
      <c r="AX3145" s="1539"/>
      <c r="AY3145" s="1539"/>
      <c r="AZ3145" s="1539"/>
      <c r="BA3145" s="1539"/>
      <c r="BB3145" s="1539"/>
      <c r="BC3145" s="1539"/>
      <c r="BD3145" s="1539"/>
      <c r="BE3145" s="1539"/>
      <c r="BF3145" s="1539"/>
      <c r="BG3145" s="1539"/>
      <c r="BH3145" s="1539"/>
      <c r="BI3145" s="1539"/>
      <c r="BJ3145" s="1539"/>
      <c r="BK3145" s="1539"/>
      <c r="BL3145" s="1539"/>
      <c r="BM3145" s="1539"/>
      <c r="BN3145" s="1539"/>
      <c r="BO3145" s="1539"/>
      <c r="BP3145" s="1539"/>
      <c r="BQ3145" s="1539"/>
      <c r="BR3145" s="1539"/>
      <c r="BS3145" s="1539"/>
      <c r="BT3145" s="1539"/>
      <c r="BU3145" s="1539"/>
      <c r="BV3145" s="1539"/>
      <c r="BW3145" s="1539"/>
      <c r="BX3145" s="1539"/>
      <c r="BY3145" s="1539"/>
      <c r="BZ3145" s="1539"/>
      <c r="CA3145" s="1539"/>
      <c r="CB3145" s="1539"/>
      <c r="CC3145" s="1539"/>
      <c r="CD3145" s="1539"/>
      <c r="CE3145" s="1539"/>
      <c r="CF3145" s="1539"/>
      <c r="CG3145" s="1539"/>
      <c r="CH3145" s="1539"/>
      <c r="CI3145" s="1539"/>
      <c r="CJ3145" s="1539"/>
      <c r="CK3145" s="1539"/>
      <c r="CL3145" s="1539"/>
      <c r="CM3145" s="1539"/>
      <c r="CN3145" s="1539"/>
      <c r="CO3145" s="1539"/>
    </row>
    <row r="3146" spans="1:93" s="1542" customFormat="1" ht="15.5">
      <c r="A3146" s="1598" t="s">
        <v>1818</v>
      </c>
      <c r="B3146" s="1599" t="s">
        <v>3202</v>
      </c>
      <c r="C3146" s="1643" t="e">
        <f>+SUMIF(#REF!,Final!A3146,#REF!)</f>
        <v>#REF!</v>
      </c>
      <c r="D3146" s="1597" t="e">
        <f>+SUMIF(#REF!,Final!A3146,#REF!)</f>
        <v>#REF!</v>
      </c>
      <c r="E3146" s="1643" t="e">
        <f>SUMIF(#REF!,Final!A3146,#REF!)</f>
        <v>#REF!</v>
      </c>
      <c r="F3146" s="1644" t="e">
        <f>SUMIF(#REF!,Final!A3146,#REF!)</f>
        <v>#REF!</v>
      </c>
      <c r="G3146" s="1597" t="e">
        <f t="shared" si="356"/>
        <v>#REF!</v>
      </c>
      <c r="H3146" s="1644" t="e">
        <f t="shared" si="357"/>
        <v>#REF!</v>
      </c>
      <c r="I3146" s="1597" t="e">
        <f t="shared" si="358"/>
        <v>#REF!</v>
      </c>
      <c r="J3146" s="1644" t="e">
        <f t="shared" si="359"/>
        <v>#REF!</v>
      </c>
      <c r="K3146" s="1539"/>
      <c r="L3146" s="1539"/>
      <c r="M3146" s="1545"/>
      <c r="N3146" s="1545"/>
      <c r="O3146" s="1539"/>
      <c r="P3146" s="1539"/>
      <c r="Q3146" s="1539"/>
      <c r="R3146" s="1539"/>
      <c r="S3146" s="1539"/>
      <c r="T3146" s="1539"/>
      <c r="U3146" s="1539"/>
      <c r="V3146" s="1539"/>
      <c r="W3146" s="1539"/>
      <c r="X3146" s="1539"/>
      <c r="Y3146" s="1539"/>
      <c r="Z3146" s="1539"/>
      <c r="AA3146" s="1539"/>
      <c r="AB3146" s="1539"/>
      <c r="AC3146" s="1539"/>
      <c r="AD3146" s="1539"/>
      <c r="AE3146" s="1539"/>
      <c r="AF3146" s="1539"/>
      <c r="AG3146" s="1539"/>
      <c r="AH3146" s="1539"/>
      <c r="AI3146" s="1539"/>
      <c r="AJ3146" s="1539"/>
      <c r="AK3146" s="1539"/>
      <c r="AL3146" s="1539"/>
      <c r="AM3146" s="1539"/>
      <c r="AN3146" s="1539"/>
      <c r="AO3146" s="1539"/>
      <c r="AP3146" s="1539"/>
      <c r="AQ3146" s="1539"/>
      <c r="AR3146" s="1539"/>
      <c r="AS3146" s="1539"/>
      <c r="AT3146" s="1539"/>
      <c r="AU3146" s="1539"/>
      <c r="AV3146" s="1539"/>
      <c r="AW3146" s="1539"/>
      <c r="AX3146" s="1539"/>
      <c r="AY3146" s="1539"/>
      <c r="AZ3146" s="1539"/>
      <c r="BA3146" s="1539"/>
      <c r="BB3146" s="1539"/>
      <c r="BC3146" s="1539"/>
      <c r="BD3146" s="1539"/>
      <c r="BE3146" s="1539"/>
      <c r="BF3146" s="1539"/>
      <c r="BG3146" s="1539"/>
      <c r="BH3146" s="1539"/>
      <c r="BI3146" s="1539"/>
      <c r="BJ3146" s="1539"/>
      <c r="BK3146" s="1539"/>
      <c r="BL3146" s="1539"/>
      <c r="BM3146" s="1539"/>
      <c r="BN3146" s="1539"/>
      <c r="BO3146" s="1539"/>
      <c r="BP3146" s="1539"/>
      <c r="BQ3146" s="1539"/>
      <c r="BR3146" s="1539"/>
      <c r="BS3146" s="1539"/>
      <c r="BT3146" s="1539"/>
      <c r="BU3146" s="1539"/>
      <c r="BV3146" s="1539"/>
      <c r="BW3146" s="1539"/>
      <c r="BX3146" s="1539"/>
      <c r="BY3146" s="1539"/>
      <c r="BZ3146" s="1539"/>
      <c r="CA3146" s="1539"/>
      <c r="CB3146" s="1539"/>
      <c r="CC3146" s="1539"/>
      <c r="CD3146" s="1539"/>
      <c r="CE3146" s="1539"/>
      <c r="CF3146" s="1539"/>
      <c r="CG3146" s="1539"/>
      <c r="CH3146" s="1539"/>
      <c r="CI3146" s="1539"/>
      <c r="CJ3146" s="1539"/>
      <c r="CK3146" s="1539"/>
      <c r="CL3146" s="1539"/>
      <c r="CM3146" s="1539"/>
      <c r="CN3146" s="1539"/>
      <c r="CO3146" s="1539"/>
    </row>
    <row r="3147" spans="1:93" ht="15.5">
      <c r="A3147" s="1598">
        <v>76.13</v>
      </c>
      <c r="B3147" s="1599" t="s">
        <v>3202</v>
      </c>
      <c r="C3147" s="1643" t="e">
        <f>+SUMIF(#REF!,Final!A3147,#REF!)</f>
        <v>#REF!</v>
      </c>
      <c r="D3147" s="1597" t="e">
        <f>+SUMIF(#REF!,Final!A3147,#REF!)</f>
        <v>#REF!</v>
      </c>
      <c r="E3147" s="1643" t="e">
        <f>SUMIF(#REF!,Final!A3147,#REF!)</f>
        <v>#REF!</v>
      </c>
      <c r="F3147" s="1644" t="e">
        <f>SUMIF(#REF!,Final!A3147,#REF!)</f>
        <v>#REF!</v>
      </c>
      <c r="G3147" s="1597" t="e">
        <f t="shared" si="356"/>
        <v>#REF!</v>
      </c>
      <c r="H3147" s="1644" t="e">
        <f t="shared" si="357"/>
        <v>#REF!</v>
      </c>
      <c r="I3147" s="1597" t="e">
        <f t="shared" si="358"/>
        <v>#REF!</v>
      </c>
      <c r="J3147" s="1644" t="e">
        <f t="shared" si="359"/>
        <v>#REF!</v>
      </c>
      <c r="M3147" s="1545"/>
      <c r="N3147" s="1545"/>
    </row>
    <row r="3148" spans="1:93" s="1552" customFormat="1" ht="15.5">
      <c r="A3148" s="1598"/>
      <c r="B3148" s="1599" t="s">
        <v>1747</v>
      </c>
      <c r="C3148" s="1643" t="e">
        <f>+SUMIF(#REF!,Final!A3148,#REF!)</f>
        <v>#REF!</v>
      </c>
      <c r="D3148" s="1597" t="e">
        <f>+SUMIF(#REF!,Final!A3148,#REF!)</f>
        <v>#REF!</v>
      </c>
      <c r="E3148" s="1643" t="e">
        <f>SUMIF(#REF!,Final!A3148,#REF!)</f>
        <v>#REF!</v>
      </c>
      <c r="F3148" s="1644" t="e">
        <f>SUMIF(#REF!,Final!A3148,#REF!)</f>
        <v>#REF!</v>
      </c>
      <c r="G3148" s="1597" t="e">
        <f t="shared" si="356"/>
        <v>#REF!</v>
      </c>
      <c r="H3148" s="1644" t="e">
        <f t="shared" si="357"/>
        <v>#REF!</v>
      </c>
      <c r="I3148" s="1597" t="e">
        <f t="shared" si="358"/>
        <v>#REF!</v>
      </c>
      <c r="J3148" s="1644" t="e">
        <f t="shared" si="359"/>
        <v>#REF!</v>
      </c>
      <c r="K3148" s="1539"/>
      <c r="L3148" s="1539"/>
      <c r="M3148" s="1545"/>
      <c r="N3148" s="1545"/>
      <c r="O3148" s="1539"/>
      <c r="P3148" s="1539"/>
      <c r="Q3148" s="1539"/>
      <c r="R3148" s="1539"/>
      <c r="S3148" s="1539"/>
      <c r="T3148" s="1539"/>
      <c r="U3148" s="1539"/>
      <c r="V3148" s="1539"/>
      <c r="W3148" s="1539"/>
      <c r="X3148" s="1539"/>
      <c r="Y3148" s="1539"/>
      <c r="Z3148" s="1539"/>
      <c r="AA3148" s="1539"/>
      <c r="AB3148" s="1539"/>
      <c r="AC3148" s="1539"/>
      <c r="AD3148" s="1539"/>
      <c r="AE3148" s="1539"/>
      <c r="AF3148" s="1539"/>
      <c r="AG3148" s="1539"/>
      <c r="AH3148" s="1539"/>
      <c r="AI3148" s="1539"/>
      <c r="AJ3148" s="1539"/>
      <c r="AK3148" s="1539"/>
      <c r="AL3148" s="1539"/>
      <c r="AM3148" s="1539"/>
      <c r="AN3148" s="1539"/>
      <c r="AO3148" s="1539"/>
      <c r="AP3148" s="1539"/>
      <c r="AQ3148" s="1539"/>
      <c r="AR3148" s="1539"/>
      <c r="AS3148" s="1539"/>
      <c r="AT3148" s="1539"/>
      <c r="AU3148" s="1539"/>
      <c r="AV3148" s="1539"/>
      <c r="AW3148" s="1539"/>
      <c r="AX3148" s="1539"/>
      <c r="AY3148" s="1539"/>
      <c r="AZ3148" s="1539"/>
      <c r="BA3148" s="1539"/>
      <c r="BB3148" s="1539"/>
      <c r="BC3148" s="1539"/>
      <c r="BD3148" s="1539"/>
      <c r="BE3148" s="1539"/>
      <c r="BF3148" s="1539"/>
      <c r="BG3148" s="1539"/>
      <c r="BH3148" s="1539"/>
      <c r="BI3148" s="1539"/>
      <c r="BJ3148" s="1539"/>
      <c r="BK3148" s="1539"/>
      <c r="BL3148" s="1539"/>
      <c r="BM3148" s="1539"/>
      <c r="BN3148" s="1539"/>
      <c r="BO3148" s="1539"/>
      <c r="BP3148" s="1539"/>
      <c r="BQ3148" s="1539"/>
      <c r="BR3148" s="1539"/>
      <c r="BS3148" s="1539"/>
      <c r="BT3148" s="1539"/>
      <c r="BU3148" s="1539"/>
      <c r="BV3148" s="1539"/>
      <c r="BW3148" s="1539"/>
      <c r="BX3148" s="1539"/>
      <c r="BY3148" s="1539"/>
      <c r="BZ3148" s="1539"/>
      <c r="CA3148" s="1539"/>
      <c r="CB3148" s="1539"/>
      <c r="CC3148" s="1539"/>
      <c r="CD3148" s="1539"/>
      <c r="CE3148" s="1539"/>
      <c r="CF3148" s="1539"/>
      <c r="CG3148" s="1539"/>
      <c r="CH3148" s="1539"/>
      <c r="CI3148" s="1539"/>
      <c r="CJ3148" s="1539"/>
      <c r="CK3148" s="1539"/>
      <c r="CL3148" s="1539"/>
      <c r="CM3148" s="1539"/>
      <c r="CN3148" s="1539"/>
      <c r="CO3148" s="1539"/>
    </row>
    <row r="3149" spans="1:93" s="1552" customFormat="1" ht="15.5">
      <c r="A3149" s="1598"/>
      <c r="B3149" s="1599" t="s">
        <v>1760</v>
      </c>
      <c r="C3149" s="1643" t="e">
        <f>+SUMIF(#REF!,Final!A3149,#REF!)</f>
        <v>#REF!</v>
      </c>
      <c r="D3149" s="1597" t="e">
        <f>+SUMIF(#REF!,Final!A3149,#REF!)</f>
        <v>#REF!</v>
      </c>
      <c r="E3149" s="1643" t="e">
        <f>SUMIF(#REF!,Final!A3149,#REF!)</f>
        <v>#REF!</v>
      </c>
      <c r="F3149" s="1644" t="e">
        <f>SUMIF(#REF!,Final!A3149,#REF!)</f>
        <v>#REF!</v>
      </c>
      <c r="G3149" s="1597" t="e">
        <f t="shared" si="356"/>
        <v>#REF!</v>
      </c>
      <c r="H3149" s="1644" t="e">
        <f t="shared" si="357"/>
        <v>#REF!</v>
      </c>
      <c r="I3149" s="1597" t="e">
        <f t="shared" si="358"/>
        <v>#REF!</v>
      </c>
      <c r="J3149" s="1644" t="e">
        <f t="shared" si="359"/>
        <v>#REF!</v>
      </c>
      <c r="K3149" s="1539"/>
      <c r="L3149" s="1539"/>
      <c r="M3149" s="1545"/>
      <c r="N3149" s="1545"/>
      <c r="O3149" s="1539"/>
      <c r="P3149" s="1539"/>
      <c r="Q3149" s="1539"/>
      <c r="R3149" s="1539"/>
      <c r="S3149" s="1539"/>
      <c r="T3149" s="1539"/>
      <c r="U3149" s="1539"/>
      <c r="V3149" s="1539"/>
      <c r="W3149" s="1539"/>
      <c r="X3149" s="1539"/>
      <c r="Y3149" s="1539"/>
      <c r="Z3149" s="1539"/>
      <c r="AA3149" s="1539"/>
      <c r="AB3149" s="1539"/>
      <c r="AC3149" s="1539"/>
      <c r="AD3149" s="1539"/>
      <c r="AE3149" s="1539"/>
      <c r="AF3149" s="1539"/>
      <c r="AG3149" s="1539"/>
      <c r="AH3149" s="1539"/>
      <c r="AI3149" s="1539"/>
      <c r="AJ3149" s="1539"/>
      <c r="AK3149" s="1539"/>
      <c r="AL3149" s="1539"/>
      <c r="AM3149" s="1539"/>
      <c r="AN3149" s="1539"/>
      <c r="AO3149" s="1539"/>
      <c r="AP3149" s="1539"/>
      <c r="AQ3149" s="1539"/>
      <c r="AR3149" s="1539"/>
      <c r="AS3149" s="1539"/>
      <c r="AT3149" s="1539"/>
      <c r="AU3149" s="1539"/>
      <c r="AV3149" s="1539"/>
      <c r="AW3149" s="1539"/>
      <c r="AX3149" s="1539"/>
      <c r="AY3149" s="1539"/>
      <c r="AZ3149" s="1539"/>
      <c r="BA3149" s="1539"/>
      <c r="BB3149" s="1539"/>
      <c r="BC3149" s="1539"/>
      <c r="BD3149" s="1539"/>
      <c r="BE3149" s="1539"/>
      <c r="BF3149" s="1539"/>
      <c r="BG3149" s="1539"/>
      <c r="BH3149" s="1539"/>
      <c r="BI3149" s="1539"/>
      <c r="BJ3149" s="1539"/>
      <c r="BK3149" s="1539"/>
      <c r="BL3149" s="1539"/>
      <c r="BM3149" s="1539"/>
      <c r="BN3149" s="1539"/>
      <c r="BO3149" s="1539"/>
      <c r="BP3149" s="1539"/>
      <c r="BQ3149" s="1539"/>
      <c r="BR3149" s="1539"/>
      <c r="BS3149" s="1539"/>
      <c r="BT3149" s="1539"/>
      <c r="BU3149" s="1539"/>
      <c r="BV3149" s="1539"/>
      <c r="BW3149" s="1539"/>
      <c r="BX3149" s="1539"/>
      <c r="BY3149" s="1539"/>
      <c r="BZ3149" s="1539"/>
      <c r="CA3149" s="1539"/>
      <c r="CB3149" s="1539"/>
      <c r="CC3149" s="1539"/>
      <c r="CD3149" s="1539"/>
      <c r="CE3149" s="1539"/>
      <c r="CF3149" s="1539"/>
      <c r="CG3149" s="1539"/>
      <c r="CH3149" s="1539"/>
      <c r="CI3149" s="1539"/>
      <c r="CJ3149" s="1539"/>
      <c r="CK3149" s="1539"/>
      <c r="CL3149" s="1539"/>
      <c r="CM3149" s="1539"/>
      <c r="CN3149" s="1539"/>
      <c r="CO3149" s="1539"/>
    </row>
    <row r="3150" spans="1:93" s="1542" customFormat="1" ht="15.5">
      <c r="A3150" s="1598">
        <v>35</v>
      </c>
      <c r="B3150" s="1599" t="s">
        <v>3207</v>
      </c>
      <c r="C3150" s="1643" t="e">
        <f>+SUMIF(#REF!,Final!A3150,#REF!)</f>
        <v>#REF!</v>
      </c>
      <c r="D3150" s="1597" t="e">
        <f>+SUMIF(#REF!,Final!A3150,#REF!)</f>
        <v>#REF!</v>
      </c>
      <c r="E3150" s="1643" t="e">
        <f>SUMIF(#REF!,Final!A3150,#REF!)</f>
        <v>#REF!</v>
      </c>
      <c r="F3150" s="1644" t="e">
        <f>SUMIF(#REF!,Final!A3150,#REF!)</f>
        <v>#REF!</v>
      </c>
      <c r="G3150" s="1597" t="e">
        <f t="shared" si="356"/>
        <v>#REF!</v>
      </c>
      <c r="H3150" s="1644" t="e">
        <f t="shared" si="357"/>
        <v>#REF!</v>
      </c>
      <c r="I3150" s="1597" t="e">
        <f t="shared" si="358"/>
        <v>#REF!</v>
      </c>
      <c r="J3150" s="1644" t="e">
        <f t="shared" si="359"/>
        <v>#REF!</v>
      </c>
      <c r="K3150" s="1539"/>
      <c r="L3150" s="1539"/>
      <c r="M3150" s="1545"/>
      <c r="N3150" s="1545"/>
      <c r="O3150" s="1539"/>
      <c r="P3150" s="1539"/>
      <c r="Q3150" s="1539"/>
      <c r="R3150" s="1539"/>
      <c r="S3150" s="1539"/>
      <c r="T3150" s="1539"/>
      <c r="U3150" s="1539"/>
      <c r="V3150" s="1539"/>
      <c r="W3150" s="1539"/>
      <c r="X3150" s="1539"/>
      <c r="Y3150" s="1539"/>
      <c r="Z3150" s="1539"/>
      <c r="AA3150" s="1539"/>
      <c r="AB3150" s="1539"/>
      <c r="AC3150" s="1539"/>
      <c r="AD3150" s="1539"/>
      <c r="AE3150" s="1539"/>
      <c r="AF3150" s="1539"/>
      <c r="AG3150" s="1539"/>
      <c r="AH3150" s="1539"/>
      <c r="AI3150" s="1539"/>
      <c r="AJ3150" s="1539"/>
      <c r="AK3150" s="1539"/>
      <c r="AL3150" s="1539"/>
      <c r="AM3150" s="1539"/>
      <c r="AN3150" s="1539"/>
      <c r="AO3150" s="1539"/>
      <c r="AP3150" s="1539"/>
      <c r="AQ3150" s="1539"/>
      <c r="AR3150" s="1539"/>
      <c r="AS3150" s="1539"/>
      <c r="AT3150" s="1539"/>
      <c r="AU3150" s="1539"/>
      <c r="AV3150" s="1539"/>
      <c r="AW3150" s="1539"/>
      <c r="AX3150" s="1539"/>
      <c r="AY3150" s="1539"/>
      <c r="AZ3150" s="1539"/>
      <c r="BA3150" s="1539"/>
      <c r="BB3150" s="1539"/>
      <c r="BC3150" s="1539"/>
      <c r="BD3150" s="1539"/>
      <c r="BE3150" s="1539"/>
      <c r="BF3150" s="1539"/>
      <c r="BG3150" s="1539"/>
      <c r="BH3150" s="1539"/>
      <c r="BI3150" s="1539"/>
      <c r="BJ3150" s="1539"/>
      <c r="BK3150" s="1539"/>
      <c r="BL3150" s="1539"/>
      <c r="BM3150" s="1539"/>
      <c r="BN3150" s="1539"/>
      <c r="BO3150" s="1539"/>
      <c r="BP3150" s="1539"/>
      <c r="BQ3150" s="1539"/>
      <c r="BR3150" s="1539"/>
      <c r="BS3150" s="1539"/>
      <c r="BT3150" s="1539"/>
      <c r="BU3150" s="1539"/>
      <c r="BV3150" s="1539"/>
      <c r="BW3150" s="1539"/>
      <c r="BX3150" s="1539"/>
      <c r="BY3150" s="1539"/>
      <c r="BZ3150" s="1539"/>
      <c r="CA3150" s="1539"/>
      <c r="CB3150" s="1539"/>
      <c r="CC3150" s="1539"/>
      <c r="CD3150" s="1539"/>
      <c r="CE3150" s="1539"/>
      <c r="CF3150" s="1539"/>
      <c r="CG3150" s="1539"/>
      <c r="CH3150" s="1539"/>
      <c r="CI3150" s="1539"/>
      <c r="CJ3150" s="1539"/>
      <c r="CK3150" s="1539"/>
      <c r="CL3150" s="1539"/>
      <c r="CM3150" s="1539"/>
      <c r="CN3150" s="1539"/>
      <c r="CO3150" s="1539"/>
    </row>
    <row r="3151" spans="1:93" s="1542" customFormat="1" ht="15.5">
      <c r="A3151" s="1598" t="s">
        <v>1768</v>
      </c>
      <c r="B3151" s="1599" t="s">
        <v>3214</v>
      </c>
      <c r="C3151" s="1643" t="e">
        <f>+SUMIF(#REF!,Final!A3151,#REF!)</f>
        <v>#REF!</v>
      </c>
      <c r="D3151" s="1597" t="e">
        <f>+SUMIF(#REF!,Final!A3151,#REF!)</f>
        <v>#REF!</v>
      </c>
      <c r="E3151" s="1643" t="e">
        <f>SUMIF(#REF!,Final!A3151,#REF!)</f>
        <v>#REF!</v>
      </c>
      <c r="F3151" s="1644" t="e">
        <f>SUMIF(#REF!,Final!A3151,#REF!)</f>
        <v>#REF!</v>
      </c>
      <c r="G3151" s="1597" t="e">
        <f t="shared" si="356"/>
        <v>#REF!</v>
      </c>
      <c r="H3151" s="1644" t="e">
        <f t="shared" si="357"/>
        <v>#REF!</v>
      </c>
      <c r="I3151" s="1597" t="e">
        <f t="shared" si="358"/>
        <v>#REF!</v>
      </c>
      <c r="J3151" s="1644" t="e">
        <f t="shared" si="359"/>
        <v>#REF!</v>
      </c>
      <c r="K3151" s="1539"/>
      <c r="L3151" s="1539"/>
      <c r="M3151" s="1545"/>
      <c r="N3151" s="1545"/>
      <c r="O3151" s="1539"/>
      <c r="P3151" s="1539"/>
      <c r="Q3151" s="1539"/>
      <c r="R3151" s="1539"/>
      <c r="S3151" s="1539"/>
      <c r="T3151" s="1539"/>
      <c r="U3151" s="1539"/>
      <c r="V3151" s="1539"/>
      <c r="W3151" s="1539"/>
      <c r="X3151" s="1539"/>
      <c r="Y3151" s="1539"/>
      <c r="Z3151" s="1539"/>
      <c r="AA3151" s="1539"/>
      <c r="AB3151" s="1539"/>
      <c r="AC3151" s="1539"/>
      <c r="AD3151" s="1539"/>
      <c r="AE3151" s="1539"/>
      <c r="AF3151" s="1539"/>
      <c r="AG3151" s="1539"/>
      <c r="AH3151" s="1539"/>
      <c r="AI3151" s="1539"/>
      <c r="AJ3151" s="1539"/>
      <c r="AK3151" s="1539"/>
      <c r="AL3151" s="1539"/>
      <c r="AM3151" s="1539"/>
      <c r="AN3151" s="1539"/>
      <c r="AO3151" s="1539"/>
      <c r="AP3151" s="1539"/>
      <c r="AQ3151" s="1539"/>
      <c r="AR3151" s="1539"/>
      <c r="AS3151" s="1539"/>
      <c r="AT3151" s="1539"/>
      <c r="AU3151" s="1539"/>
      <c r="AV3151" s="1539"/>
      <c r="AW3151" s="1539"/>
      <c r="AX3151" s="1539"/>
      <c r="AY3151" s="1539"/>
      <c r="AZ3151" s="1539"/>
      <c r="BA3151" s="1539"/>
      <c r="BB3151" s="1539"/>
      <c r="BC3151" s="1539"/>
      <c r="BD3151" s="1539"/>
      <c r="BE3151" s="1539"/>
      <c r="BF3151" s="1539"/>
      <c r="BG3151" s="1539"/>
      <c r="BH3151" s="1539"/>
      <c r="BI3151" s="1539"/>
      <c r="BJ3151" s="1539"/>
      <c r="BK3151" s="1539"/>
      <c r="BL3151" s="1539"/>
      <c r="BM3151" s="1539"/>
      <c r="BN3151" s="1539"/>
      <c r="BO3151" s="1539"/>
      <c r="BP3151" s="1539"/>
      <c r="BQ3151" s="1539"/>
      <c r="BR3151" s="1539"/>
      <c r="BS3151" s="1539"/>
      <c r="BT3151" s="1539"/>
      <c r="BU3151" s="1539"/>
      <c r="BV3151" s="1539"/>
      <c r="BW3151" s="1539"/>
      <c r="BX3151" s="1539"/>
      <c r="BY3151" s="1539"/>
      <c r="BZ3151" s="1539"/>
      <c r="CA3151" s="1539"/>
      <c r="CB3151" s="1539"/>
      <c r="CC3151" s="1539"/>
      <c r="CD3151" s="1539"/>
      <c r="CE3151" s="1539"/>
      <c r="CF3151" s="1539"/>
      <c r="CG3151" s="1539"/>
      <c r="CH3151" s="1539"/>
      <c r="CI3151" s="1539"/>
      <c r="CJ3151" s="1539"/>
      <c r="CK3151" s="1539"/>
      <c r="CL3151" s="1539"/>
      <c r="CM3151" s="1539"/>
      <c r="CN3151" s="1539"/>
      <c r="CO3151" s="1539"/>
    </row>
    <row r="3152" spans="1:93" s="1542" customFormat="1" ht="15.5">
      <c r="A3152" s="1598">
        <v>76.131</v>
      </c>
      <c r="B3152" s="1599" t="s">
        <v>3215</v>
      </c>
      <c r="C3152" s="1643" t="e">
        <f>+SUMIF(#REF!,Final!A3152,#REF!)</f>
        <v>#REF!</v>
      </c>
      <c r="D3152" s="1597" t="e">
        <f>+SUMIF(#REF!,Final!A3152,#REF!)</f>
        <v>#REF!</v>
      </c>
      <c r="E3152" s="1643" t="e">
        <f>SUMIF(#REF!,Final!A3152,#REF!)</f>
        <v>#REF!</v>
      </c>
      <c r="F3152" s="1644" t="e">
        <f>SUMIF(#REF!,Final!A3152,#REF!)</f>
        <v>#REF!</v>
      </c>
      <c r="G3152" s="1597" t="e">
        <f t="shared" si="356"/>
        <v>#REF!</v>
      </c>
      <c r="H3152" s="1644" t="e">
        <f t="shared" si="357"/>
        <v>#REF!</v>
      </c>
      <c r="I3152" s="1597" t="e">
        <f t="shared" si="358"/>
        <v>#REF!</v>
      </c>
      <c r="J3152" s="1644" t="e">
        <f t="shared" si="359"/>
        <v>#REF!</v>
      </c>
      <c r="K3152" s="1539"/>
      <c r="L3152" s="1539"/>
      <c r="M3152" s="1545"/>
      <c r="N3152" s="1545"/>
      <c r="O3152" s="1539"/>
      <c r="P3152" s="1539"/>
      <c r="Q3152" s="1539"/>
      <c r="R3152" s="1539"/>
      <c r="S3152" s="1539"/>
      <c r="T3152" s="1539"/>
      <c r="U3152" s="1539"/>
      <c r="V3152" s="1539"/>
      <c r="W3152" s="1539"/>
      <c r="X3152" s="1539"/>
      <c r="Y3152" s="1539"/>
      <c r="Z3152" s="1539"/>
      <c r="AA3152" s="1539"/>
      <c r="AB3152" s="1539"/>
      <c r="AC3152" s="1539"/>
      <c r="AD3152" s="1539"/>
      <c r="AE3152" s="1539"/>
      <c r="AF3152" s="1539"/>
      <c r="AG3152" s="1539"/>
      <c r="AH3152" s="1539"/>
      <c r="AI3152" s="1539"/>
      <c r="AJ3152" s="1539"/>
      <c r="AK3152" s="1539"/>
      <c r="AL3152" s="1539"/>
      <c r="AM3152" s="1539"/>
      <c r="AN3152" s="1539"/>
      <c r="AO3152" s="1539"/>
      <c r="AP3152" s="1539"/>
      <c r="AQ3152" s="1539"/>
      <c r="AR3152" s="1539"/>
      <c r="AS3152" s="1539"/>
      <c r="AT3152" s="1539"/>
      <c r="AU3152" s="1539"/>
      <c r="AV3152" s="1539"/>
      <c r="AW3152" s="1539"/>
      <c r="AX3152" s="1539"/>
      <c r="AY3152" s="1539"/>
      <c r="AZ3152" s="1539"/>
      <c r="BA3152" s="1539"/>
      <c r="BB3152" s="1539"/>
      <c r="BC3152" s="1539"/>
      <c r="BD3152" s="1539"/>
      <c r="BE3152" s="1539"/>
      <c r="BF3152" s="1539"/>
      <c r="BG3152" s="1539"/>
      <c r="BH3152" s="1539"/>
      <c r="BI3152" s="1539"/>
      <c r="BJ3152" s="1539"/>
      <c r="BK3152" s="1539"/>
      <c r="BL3152" s="1539"/>
      <c r="BM3152" s="1539"/>
      <c r="BN3152" s="1539"/>
      <c r="BO3152" s="1539"/>
      <c r="BP3152" s="1539"/>
      <c r="BQ3152" s="1539"/>
      <c r="BR3152" s="1539"/>
      <c r="BS3152" s="1539"/>
      <c r="BT3152" s="1539"/>
      <c r="BU3152" s="1539"/>
      <c r="BV3152" s="1539"/>
      <c r="BW3152" s="1539"/>
      <c r="BX3152" s="1539"/>
      <c r="BY3152" s="1539"/>
      <c r="BZ3152" s="1539"/>
      <c r="CA3152" s="1539"/>
      <c r="CB3152" s="1539"/>
      <c r="CC3152" s="1539"/>
      <c r="CD3152" s="1539"/>
      <c r="CE3152" s="1539"/>
      <c r="CF3152" s="1539"/>
      <c r="CG3152" s="1539"/>
      <c r="CH3152" s="1539"/>
      <c r="CI3152" s="1539"/>
      <c r="CJ3152" s="1539"/>
      <c r="CK3152" s="1539"/>
      <c r="CL3152" s="1539"/>
      <c r="CM3152" s="1539"/>
      <c r="CN3152" s="1539"/>
      <c r="CO3152" s="1539"/>
    </row>
    <row r="3153" spans="1:93" ht="15.5">
      <c r="A3153" s="1598">
        <v>76.132000000000005</v>
      </c>
      <c r="B3153" s="1599" t="s">
        <v>1080</v>
      </c>
      <c r="C3153" s="1643" t="e">
        <f>+SUMIF(#REF!,Final!A3153,#REF!)</f>
        <v>#REF!</v>
      </c>
      <c r="D3153" s="1597" t="e">
        <f>+SUMIF(#REF!,Final!A3153,#REF!)</f>
        <v>#REF!</v>
      </c>
      <c r="E3153" s="1643" t="e">
        <f>SUMIF(#REF!,Final!A3153,#REF!)</f>
        <v>#REF!</v>
      </c>
      <c r="F3153" s="1644" t="e">
        <f>SUMIF(#REF!,Final!A3153,#REF!)</f>
        <v>#REF!</v>
      </c>
      <c r="G3153" s="1597" t="e">
        <f t="shared" si="356"/>
        <v>#REF!</v>
      </c>
      <c r="H3153" s="1644" t="e">
        <f t="shared" si="357"/>
        <v>#REF!</v>
      </c>
      <c r="I3153" s="1597" t="e">
        <f t="shared" si="358"/>
        <v>#REF!</v>
      </c>
      <c r="J3153" s="1644" t="e">
        <f t="shared" si="359"/>
        <v>#REF!</v>
      </c>
      <c r="M3153" s="1545"/>
      <c r="N3153" s="1545"/>
    </row>
    <row r="3154" spans="1:93" ht="15.5">
      <c r="A3154" s="1598">
        <v>76.132999999999996</v>
      </c>
      <c r="B3154" s="1599" t="s">
        <v>3216</v>
      </c>
      <c r="C3154" s="1643" t="e">
        <f>+SUMIF(#REF!,Final!A3154,#REF!)</f>
        <v>#REF!</v>
      </c>
      <c r="D3154" s="1597" t="e">
        <f>+SUMIF(#REF!,Final!A3154,#REF!)</f>
        <v>#REF!</v>
      </c>
      <c r="E3154" s="1643" t="e">
        <f>SUMIF(#REF!,Final!A3154,#REF!)</f>
        <v>#REF!</v>
      </c>
      <c r="F3154" s="1644" t="e">
        <f>SUMIF(#REF!,Final!A3154,#REF!)</f>
        <v>#REF!</v>
      </c>
      <c r="G3154" s="1597" t="e">
        <f t="shared" si="356"/>
        <v>#REF!</v>
      </c>
      <c r="H3154" s="1644" t="e">
        <f t="shared" si="357"/>
        <v>#REF!</v>
      </c>
      <c r="I3154" s="1597" t="e">
        <f t="shared" si="358"/>
        <v>#REF!</v>
      </c>
      <c r="J3154" s="1644" t="e">
        <f t="shared" si="359"/>
        <v>#REF!</v>
      </c>
      <c r="M3154" s="1545"/>
      <c r="N3154" s="1545"/>
    </row>
    <row r="3155" spans="1:93" ht="15.5">
      <c r="A3155" s="1598">
        <v>76.134</v>
      </c>
      <c r="B3155" s="1599" t="s">
        <v>3217</v>
      </c>
      <c r="C3155" s="1643" t="e">
        <f>+SUMIF(#REF!,Final!A3155,#REF!)</f>
        <v>#REF!</v>
      </c>
      <c r="D3155" s="1597" t="e">
        <f>+SUMIF(#REF!,Final!A3155,#REF!)</f>
        <v>#REF!</v>
      </c>
      <c r="E3155" s="1643" t="e">
        <f>SUMIF(#REF!,Final!A3155,#REF!)</f>
        <v>#REF!</v>
      </c>
      <c r="F3155" s="1644" t="e">
        <f>SUMIF(#REF!,Final!A3155,#REF!)</f>
        <v>#REF!</v>
      </c>
      <c r="G3155" s="1597" t="e">
        <f t="shared" si="356"/>
        <v>#REF!</v>
      </c>
      <c r="H3155" s="1644" t="e">
        <f t="shared" si="357"/>
        <v>#REF!</v>
      </c>
      <c r="I3155" s="1597" t="e">
        <f t="shared" si="358"/>
        <v>#REF!</v>
      </c>
      <c r="J3155" s="1644" t="e">
        <f t="shared" si="359"/>
        <v>#REF!</v>
      </c>
      <c r="M3155" s="1545"/>
      <c r="N3155" s="1545"/>
    </row>
    <row r="3156" spans="1:93" ht="15.5">
      <c r="A3156" s="1598">
        <v>76.135000000000005</v>
      </c>
      <c r="B3156" s="1599" t="s">
        <v>3218</v>
      </c>
      <c r="C3156" s="1643" t="e">
        <f>+SUMIF(#REF!,Final!A3156,#REF!)</f>
        <v>#REF!</v>
      </c>
      <c r="D3156" s="1597" t="e">
        <f>+SUMIF(#REF!,Final!A3156,#REF!)</f>
        <v>#REF!</v>
      </c>
      <c r="E3156" s="1643" t="e">
        <f>SUMIF(#REF!,Final!A3156,#REF!)</f>
        <v>#REF!</v>
      </c>
      <c r="F3156" s="1644" t="e">
        <f>SUMIF(#REF!,Final!A3156,#REF!)</f>
        <v>#REF!</v>
      </c>
      <c r="G3156" s="1597" t="e">
        <f t="shared" si="356"/>
        <v>#REF!</v>
      </c>
      <c r="H3156" s="1644" t="e">
        <f t="shared" si="357"/>
        <v>#REF!</v>
      </c>
      <c r="I3156" s="1597" t="e">
        <f t="shared" si="358"/>
        <v>#REF!</v>
      </c>
      <c r="J3156" s="1644" t="e">
        <f t="shared" si="359"/>
        <v>#REF!</v>
      </c>
      <c r="M3156" s="1545"/>
      <c r="N3156" s="1545"/>
    </row>
    <row r="3157" spans="1:93" ht="15.5">
      <c r="A3157" s="1598">
        <v>76.135999999999996</v>
      </c>
      <c r="B3157" s="1599" t="s">
        <v>3219</v>
      </c>
      <c r="C3157" s="1643" t="e">
        <f>+SUMIF(#REF!,Final!A3157,#REF!)</f>
        <v>#REF!</v>
      </c>
      <c r="D3157" s="1597" t="e">
        <f>+SUMIF(#REF!,Final!A3157,#REF!)</f>
        <v>#REF!</v>
      </c>
      <c r="E3157" s="1643" t="e">
        <f>SUMIF(#REF!,Final!A3157,#REF!)</f>
        <v>#REF!</v>
      </c>
      <c r="F3157" s="1644" t="e">
        <f>SUMIF(#REF!,Final!A3157,#REF!)</f>
        <v>#REF!</v>
      </c>
      <c r="G3157" s="1597" t="e">
        <f t="shared" si="356"/>
        <v>#REF!</v>
      </c>
      <c r="H3157" s="1644" t="e">
        <f t="shared" si="357"/>
        <v>#REF!</v>
      </c>
      <c r="I3157" s="1597" t="e">
        <f t="shared" si="358"/>
        <v>#REF!</v>
      </c>
      <c r="J3157" s="1644" t="e">
        <f t="shared" si="359"/>
        <v>#REF!</v>
      </c>
      <c r="M3157" s="1545"/>
      <c r="N3157" s="1545"/>
    </row>
    <row r="3158" spans="1:93" s="1542" customFormat="1" ht="15.5">
      <c r="A3158" s="1598">
        <v>76.137</v>
      </c>
      <c r="B3158" s="1599" t="s">
        <v>3220</v>
      </c>
      <c r="C3158" s="1643" t="e">
        <f>+SUMIF(#REF!,Final!A3158,#REF!)</f>
        <v>#REF!</v>
      </c>
      <c r="D3158" s="1597" t="e">
        <f>+SUMIF(#REF!,Final!A3158,#REF!)</f>
        <v>#REF!</v>
      </c>
      <c r="E3158" s="1643" t="e">
        <f>SUMIF(#REF!,Final!A3158,#REF!)</f>
        <v>#REF!</v>
      </c>
      <c r="F3158" s="1644" t="e">
        <f>SUMIF(#REF!,Final!A3158,#REF!)</f>
        <v>#REF!</v>
      </c>
      <c r="G3158" s="1597" t="e">
        <f t="shared" si="356"/>
        <v>#REF!</v>
      </c>
      <c r="H3158" s="1644" t="e">
        <f t="shared" si="357"/>
        <v>#REF!</v>
      </c>
      <c r="I3158" s="1597" t="e">
        <f t="shared" si="358"/>
        <v>#REF!</v>
      </c>
      <c r="J3158" s="1644" t="e">
        <f t="shared" si="359"/>
        <v>#REF!</v>
      </c>
      <c r="K3158" s="1539"/>
      <c r="L3158" s="1539"/>
      <c r="M3158" s="1545"/>
      <c r="N3158" s="1545"/>
      <c r="O3158" s="1539"/>
      <c r="P3158" s="1539"/>
      <c r="Q3158" s="1539"/>
      <c r="R3158" s="1539"/>
      <c r="S3158" s="1539"/>
      <c r="T3158" s="1539"/>
      <c r="U3158" s="1539"/>
      <c r="V3158" s="1539"/>
      <c r="W3158" s="1539"/>
      <c r="X3158" s="1539"/>
      <c r="Y3158" s="1539"/>
      <c r="Z3158" s="1539"/>
      <c r="AA3158" s="1539"/>
      <c r="AB3158" s="1539"/>
      <c r="AC3158" s="1539"/>
      <c r="AD3158" s="1539"/>
      <c r="AE3158" s="1539"/>
      <c r="AF3158" s="1539"/>
      <c r="AG3158" s="1539"/>
      <c r="AH3158" s="1539"/>
      <c r="AI3158" s="1539"/>
      <c r="AJ3158" s="1539"/>
      <c r="AK3158" s="1539"/>
      <c r="AL3158" s="1539"/>
      <c r="AM3158" s="1539"/>
      <c r="AN3158" s="1539"/>
      <c r="AO3158" s="1539"/>
      <c r="AP3158" s="1539"/>
      <c r="AQ3158" s="1539"/>
      <c r="AR3158" s="1539"/>
      <c r="AS3158" s="1539"/>
      <c r="AT3158" s="1539"/>
      <c r="AU3158" s="1539"/>
      <c r="AV3158" s="1539"/>
      <c r="AW3158" s="1539"/>
      <c r="AX3158" s="1539"/>
      <c r="AY3158" s="1539"/>
      <c r="AZ3158" s="1539"/>
      <c r="BA3158" s="1539"/>
      <c r="BB3158" s="1539"/>
      <c r="BC3158" s="1539"/>
      <c r="BD3158" s="1539"/>
      <c r="BE3158" s="1539"/>
      <c r="BF3158" s="1539"/>
      <c r="BG3158" s="1539"/>
      <c r="BH3158" s="1539"/>
      <c r="BI3158" s="1539"/>
      <c r="BJ3158" s="1539"/>
      <c r="BK3158" s="1539"/>
      <c r="BL3158" s="1539"/>
      <c r="BM3158" s="1539"/>
      <c r="BN3158" s="1539"/>
      <c r="BO3158" s="1539"/>
      <c r="BP3158" s="1539"/>
      <c r="BQ3158" s="1539"/>
      <c r="BR3158" s="1539"/>
      <c r="BS3158" s="1539"/>
      <c r="BT3158" s="1539"/>
      <c r="BU3158" s="1539"/>
      <c r="BV3158" s="1539"/>
      <c r="BW3158" s="1539"/>
      <c r="BX3158" s="1539"/>
      <c r="BY3158" s="1539"/>
      <c r="BZ3158" s="1539"/>
      <c r="CA3158" s="1539"/>
      <c r="CB3158" s="1539"/>
      <c r="CC3158" s="1539"/>
      <c r="CD3158" s="1539"/>
      <c r="CE3158" s="1539"/>
      <c r="CF3158" s="1539"/>
      <c r="CG3158" s="1539"/>
      <c r="CH3158" s="1539"/>
      <c r="CI3158" s="1539"/>
      <c r="CJ3158" s="1539"/>
      <c r="CK3158" s="1539"/>
      <c r="CL3158" s="1539"/>
      <c r="CM3158" s="1539"/>
      <c r="CN3158" s="1539"/>
      <c r="CO3158" s="1539"/>
    </row>
    <row r="3159" spans="1:93" s="1552" customFormat="1" ht="15.5">
      <c r="A3159" s="1598"/>
      <c r="B3159" s="1599" t="s">
        <v>1747</v>
      </c>
      <c r="C3159" s="1643" t="e">
        <f>+SUMIF(#REF!,Final!A3159,#REF!)</f>
        <v>#REF!</v>
      </c>
      <c r="D3159" s="1597" t="e">
        <f>+SUMIF(#REF!,Final!A3159,#REF!)</f>
        <v>#REF!</v>
      </c>
      <c r="E3159" s="1643" t="e">
        <f>SUMIF(#REF!,Final!A3159,#REF!)</f>
        <v>#REF!</v>
      </c>
      <c r="F3159" s="1644" t="e">
        <f>SUMIF(#REF!,Final!A3159,#REF!)</f>
        <v>#REF!</v>
      </c>
      <c r="G3159" s="1597" t="e">
        <f t="shared" si="356"/>
        <v>#REF!</v>
      </c>
      <c r="H3159" s="1644" t="e">
        <f t="shared" si="357"/>
        <v>#REF!</v>
      </c>
      <c r="I3159" s="1597" t="e">
        <f t="shared" si="358"/>
        <v>#REF!</v>
      </c>
      <c r="J3159" s="1644" t="e">
        <f t="shared" si="359"/>
        <v>#REF!</v>
      </c>
      <c r="K3159" s="1539"/>
      <c r="L3159" s="1539"/>
      <c r="M3159" s="1545"/>
      <c r="N3159" s="1545"/>
      <c r="O3159" s="1539"/>
      <c r="P3159" s="1539"/>
      <c r="Q3159" s="1539"/>
      <c r="R3159" s="1539"/>
      <c r="S3159" s="1539"/>
      <c r="T3159" s="1539"/>
      <c r="U3159" s="1539"/>
      <c r="V3159" s="1539"/>
      <c r="W3159" s="1539"/>
      <c r="X3159" s="1539"/>
      <c r="Y3159" s="1539"/>
      <c r="Z3159" s="1539"/>
      <c r="AA3159" s="1539"/>
      <c r="AB3159" s="1539"/>
      <c r="AC3159" s="1539"/>
      <c r="AD3159" s="1539"/>
      <c r="AE3159" s="1539"/>
      <c r="AF3159" s="1539"/>
      <c r="AG3159" s="1539"/>
      <c r="AH3159" s="1539"/>
      <c r="AI3159" s="1539"/>
      <c r="AJ3159" s="1539"/>
      <c r="AK3159" s="1539"/>
      <c r="AL3159" s="1539"/>
      <c r="AM3159" s="1539"/>
      <c r="AN3159" s="1539"/>
      <c r="AO3159" s="1539"/>
      <c r="AP3159" s="1539"/>
      <c r="AQ3159" s="1539"/>
      <c r="AR3159" s="1539"/>
      <c r="AS3159" s="1539"/>
      <c r="AT3159" s="1539"/>
      <c r="AU3159" s="1539"/>
      <c r="AV3159" s="1539"/>
      <c r="AW3159" s="1539"/>
      <c r="AX3159" s="1539"/>
      <c r="AY3159" s="1539"/>
      <c r="AZ3159" s="1539"/>
      <c r="BA3159" s="1539"/>
      <c r="BB3159" s="1539"/>
      <c r="BC3159" s="1539"/>
      <c r="BD3159" s="1539"/>
      <c r="BE3159" s="1539"/>
      <c r="BF3159" s="1539"/>
      <c r="BG3159" s="1539"/>
      <c r="BH3159" s="1539"/>
      <c r="BI3159" s="1539"/>
      <c r="BJ3159" s="1539"/>
      <c r="BK3159" s="1539"/>
      <c r="BL3159" s="1539"/>
      <c r="BM3159" s="1539"/>
      <c r="BN3159" s="1539"/>
      <c r="BO3159" s="1539"/>
      <c r="BP3159" s="1539"/>
      <c r="BQ3159" s="1539"/>
      <c r="BR3159" s="1539"/>
      <c r="BS3159" s="1539"/>
      <c r="BT3159" s="1539"/>
      <c r="BU3159" s="1539"/>
      <c r="BV3159" s="1539"/>
      <c r="BW3159" s="1539"/>
      <c r="BX3159" s="1539"/>
      <c r="BY3159" s="1539"/>
      <c r="BZ3159" s="1539"/>
      <c r="CA3159" s="1539"/>
      <c r="CB3159" s="1539"/>
      <c r="CC3159" s="1539"/>
      <c r="CD3159" s="1539"/>
      <c r="CE3159" s="1539"/>
      <c r="CF3159" s="1539"/>
      <c r="CG3159" s="1539"/>
      <c r="CH3159" s="1539"/>
      <c r="CI3159" s="1539"/>
      <c r="CJ3159" s="1539"/>
      <c r="CK3159" s="1539"/>
      <c r="CL3159" s="1539"/>
      <c r="CM3159" s="1539"/>
      <c r="CN3159" s="1539"/>
      <c r="CO3159" s="1539"/>
    </row>
    <row r="3160" spans="1:93" s="1552" customFormat="1" ht="15.5">
      <c r="A3160" s="1598"/>
      <c r="B3160" s="1599" t="s">
        <v>1760</v>
      </c>
      <c r="C3160" s="1643" t="e">
        <f>+SUMIF(#REF!,Final!A3160,#REF!)</f>
        <v>#REF!</v>
      </c>
      <c r="D3160" s="1597" t="e">
        <f>+SUMIF(#REF!,Final!A3160,#REF!)</f>
        <v>#REF!</v>
      </c>
      <c r="E3160" s="1643" t="e">
        <f>SUMIF(#REF!,Final!A3160,#REF!)</f>
        <v>#REF!</v>
      </c>
      <c r="F3160" s="1644" t="e">
        <f>SUMIF(#REF!,Final!A3160,#REF!)</f>
        <v>#REF!</v>
      </c>
      <c r="G3160" s="1597" t="e">
        <f t="shared" si="356"/>
        <v>#REF!</v>
      </c>
      <c r="H3160" s="1644" t="e">
        <f t="shared" si="357"/>
        <v>#REF!</v>
      </c>
      <c r="I3160" s="1597" t="e">
        <f t="shared" si="358"/>
        <v>#REF!</v>
      </c>
      <c r="J3160" s="1644" t="e">
        <f t="shared" si="359"/>
        <v>#REF!</v>
      </c>
      <c r="K3160" s="1539"/>
      <c r="L3160" s="1539"/>
      <c r="M3160" s="1545"/>
      <c r="N3160" s="1545"/>
      <c r="O3160" s="1539"/>
      <c r="P3160" s="1539"/>
      <c r="Q3160" s="1539"/>
      <c r="R3160" s="1539"/>
      <c r="S3160" s="1539"/>
      <c r="T3160" s="1539"/>
      <c r="U3160" s="1539"/>
      <c r="V3160" s="1539"/>
      <c r="W3160" s="1539"/>
      <c r="X3160" s="1539"/>
      <c r="Y3160" s="1539"/>
      <c r="Z3160" s="1539"/>
      <c r="AA3160" s="1539"/>
      <c r="AB3160" s="1539"/>
      <c r="AC3160" s="1539"/>
      <c r="AD3160" s="1539"/>
      <c r="AE3160" s="1539"/>
      <c r="AF3160" s="1539"/>
      <c r="AG3160" s="1539"/>
      <c r="AH3160" s="1539"/>
      <c r="AI3160" s="1539"/>
      <c r="AJ3160" s="1539"/>
      <c r="AK3160" s="1539"/>
      <c r="AL3160" s="1539"/>
      <c r="AM3160" s="1539"/>
      <c r="AN3160" s="1539"/>
      <c r="AO3160" s="1539"/>
      <c r="AP3160" s="1539"/>
      <c r="AQ3160" s="1539"/>
      <c r="AR3160" s="1539"/>
      <c r="AS3160" s="1539"/>
      <c r="AT3160" s="1539"/>
      <c r="AU3160" s="1539"/>
      <c r="AV3160" s="1539"/>
      <c r="AW3160" s="1539"/>
      <c r="AX3160" s="1539"/>
      <c r="AY3160" s="1539"/>
      <c r="AZ3160" s="1539"/>
      <c r="BA3160" s="1539"/>
      <c r="BB3160" s="1539"/>
      <c r="BC3160" s="1539"/>
      <c r="BD3160" s="1539"/>
      <c r="BE3160" s="1539"/>
      <c r="BF3160" s="1539"/>
      <c r="BG3160" s="1539"/>
      <c r="BH3160" s="1539"/>
      <c r="BI3160" s="1539"/>
      <c r="BJ3160" s="1539"/>
      <c r="BK3160" s="1539"/>
      <c r="BL3160" s="1539"/>
      <c r="BM3160" s="1539"/>
      <c r="BN3160" s="1539"/>
      <c r="BO3160" s="1539"/>
      <c r="BP3160" s="1539"/>
      <c r="BQ3160" s="1539"/>
      <c r="BR3160" s="1539"/>
      <c r="BS3160" s="1539"/>
      <c r="BT3160" s="1539"/>
      <c r="BU3160" s="1539"/>
      <c r="BV3160" s="1539"/>
      <c r="BW3160" s="1539"/>
      <c r="BX3160" s="1539"/>
      <c r="BY3160" s="1539"/>
      <c r="BZ3160" s="1539"/>
      <c r="CA3160" s="1539"/>
      <c r="CB3160" s="1539"/>
      <c r="CC3160" s="1539"/>
      <c r="CD3160" s="1539"/>
      <c r="CE3160" s="1539"/>
      <c r="CF3160" s="1539"/>
      <c r="CG3160" s="1539"/>
      <c r="CH3160" s="1539"/>
      <c r="CI3160" s="1539"/>
      <c r="CJ3160" s="1539"/>
      <c r="CK3160" s="1539"/>
      <c r="CL3160" s="1539"/>
      <c r="CM3160" s="1539"/>
      <c r="CN3160" s="1539"/>
      <c r="CO3160" s="1539"/>
    </row>
    <row r="3161" spans="1:93" s="1542" customFormat="1" ht="15.5">
      <c r="A3161" s="1598">
        <v>32</v>
      </c>
      <c r="B3161" s="1599" t="s">
        <v>3188</v>
      </c>
      <c r="C3161" s="1643" t="e">
        <f>+SUMIF(#REF!,Final!A3161,#REF!)</f>
        <v>#REF!</v>
      </c>
      <c r="D3161" s="1597" t="e">
        <f>+SUMIF(#REF!,Final!A3161,#REF!)</f>
        <v>#REF!</v>
      </c>
      <c r="E3161" s="1643" t="e">
        <f>SUMIF(#REF!,Final!A3161,#REF!)</f>
        <v>#REF!</v>
      </c>
      <c r="F3161" s="1644" t="e">
        <f>SUMIF(#REF!,Final!A3161,#REF!)</f>
        <v>#REF!</v>
      </c>
      <c r="G3161" s="1597" t="e">
        <f t="shared" si="356"/>
        <v>#REF!</v>
      </c>
      <c r="H3161" s="1644" t="e">
        <f t="shared" si="357"/>
        <v>#REF!</v>
      </c>
      <c r="I3161" s="1597" t="e">
        <f t="shared" si="358"/>
        <v>#REF!</v>
      </c>
      <c r="J3161" s="1644" t="e">
        <f t="shared" si="359"/>
        <v>#REF!</v>
      </c>
      <c r="K3161" s="1539"/>
      <c r="L3161" s="1539"/>
      <c r="M3161" s="1545"/>
      <c r="N3161" s="1545"/>
      <c r="O3161" s="1539"/>
      <c r="P3161" s="1539"/>
      <c r="Q3161" s="1539"/>
      <c r="R3161" s="1539"/>
      <c r="S3161" s="1539"/>
      <c r="T3161" s="1539"/>
      <c r="U3161" s="1539"/>
      <c r="V3161" s="1539"/>
      <c r="W3161" s="1539"/>
      <c r="X3161" s="1539"/>
      <c r="Y3161" s="1539"/>
      <c r="Z3161" s="1539"/>
      <c r="AA3161" s="1539"/>
      <c r="AB3161" s="1539"/>
      <c r="AC3161" s="1539"/>
      <c r="AD3161" s="1539"/>
      <c r="AE3161" s="1539"/>
      <c r="AF3161" s="1539"/>
      <c r="AG3161" s="1539"/>
      <c r="AH3161" s="1539"/>
      <c r="AI3161" s="1539"/>
      <c r="AJ3161" s="1539"/>
      <c r="AK3161" s="1539"/>
      <c r="AL3161" s="1539"/>
      <c r="AM3161" s="1539"/>
      <c r="AN3161" s="1539"/>
      <c r="AO3161" s="1539"/>
      <c r="AP3161" s="1539"/>
      <c r="AQ3161" s="1539"/>
      <c r="AR3161" s="1539"/>
      <c r="AS3161" s="1539"/>
      <c r="AT3161" s="1539"/>
      <c r="AU3161" s="1539"/>
      <c r="AV3161" s="1539"/>
      <c r="AW3161" s="1539"/>
      <c r="AX3161" s="1539"/>
      <c r="AY3161" s="1539"/>
      <c r="AZ3161" s="1539"/>
      <c r="BA3161" s="1539"/>
      <c r="BB3161" s="1539"/>
      <c r="BC3161" s="1539"/>
      <c r="BD3161" s="1539"/>
      <c r="BE3161" s="1539"/>
      <c r="BF3161" s="1539"/>
      <c r="BG3161" s="1539"/>
      <c r="BH3161" s="1539"/>
      <c r="BI3161" s="1539"/>
      <c r="BJ3161" s="1539"/>
      <c r="BK3161" s="1539"/>
      <c r="BL3161" s="1539"/>
      <c r="BM3161" s="1539"/>
      <c r="BN3161" s="1539"/>
      <c r="BO3161" s="1539"/>
      <c r="BP3161" s="1539"/>
      <c r="BQ3161" s="1539"/>
      <c r="BR3161" s="1539"/>
      <c r="BS3161" s="1539"/>
      <c r="BT3161" s="1539"/>
      <c r="BU3161" s="1539"/>
      <c r="BV3161" s="1539"/>
      <c r="BW3161" s="1539"/>
      <c r="BX3161" s="1539"/>
      <c r="BY3161" s="1539"/>
      <c r="BZ3161" s="1539"/>
      <c r="CA3161" s="1539"/>
      <c r="CB3161" s="1539"/>
      <c r="CC3161" s="1539"/>
      <c r="CD3161" s="1539"/>
      <c r="CE3161" s="1539"/>
      <c r="CF3161" s="1539"/>
      <c r="CG3161" s="1539"/>
      <c r="CH3161" s="1539"/>
      <c r="CI3161" s="1539"/>
      <c r="CJ3161" s="1539"/>
      <c r="CK3161" s="1539"/>
      <c r="CL3161" s="1539"/>
      <c r="CM3161" s="1539"/>
      <c r="CN3161" s="1539"/>
      <c r="CO3161" s="1539"/>
    </row>
    <row r="3162" spans="1:93" s="1542" customFormat="1" ht="15.5">
      <c r="A3162" s="1598">
        <v>76.138000000000005</v>
      </c>
      <c r="B3162" s="1599" t="s">
        <v>3189</v>
      </c>
      <c r="C3162" s="1643" t="e">
        <f>+SUMIF(#REF!,Final!A3162,#REF!)</f>
        <v>#REF!</v>
      </c>
      <c r="D3162" s="1597" t="e">
        <f>+SUMIF(#REF!,Final!A3162,#REF!)</f>
        <v>#REF!</v>
      </c>
      <c r="E3162" s="1643" t="e">
        <f>SUMIF(#REF!,Final!A3162,#REF!)</f>
        <v>#REF!</v>
      </c>
      <c r="F3162" s="1644" t="e">
        <f>SUMIF(#REF!,Final!A3162,#REF!)</f>
        <v>#REF!</v>
      </c>
      <c r="G3162" s="1597" t="e">
        <f t="shared" si="356"/>
        <v>#REF!</v>
      </c>
      <c r="H3162" s="1644" t="e">
        <f t="shared" si="357"/>
        <v>#REF!</v>
      </c>
      <c r="I3162" s="1597" t="e">
        <f t="shared" si="358"/>
        <v>#REF!</v>
      </c>
      <c r="J3162" s="1644" t="e">
        <f t="shared" si="359"/>
        <v>#REF!</v>
      </c>
      <c r="K3162" s="1539"/>
      <c r="L3162" s="1539"/>
      <c r="M3162" s="1545"/>
      <c r="N3162" s="1545"/>
      <c r="O3162" s="1539"/>
      <c r="P3162" s="1539"/>
      <c r="Q3162" s="1539"/>
      <c r="R3162" s="1539"/>
      <c r="S3162" s="1539"/>
      <c r="T3162" s="1539"/>
      <c r="U3162" s="1539"/>
      <c r="V3162" s="1539"/>
      <c r="W3162" s="1539"/>
      <c r="X3162" s="1539"/>
      <c r="Y3162" s="1539"/>
      <c r="Z3162" s="1539"/>
      <c r="AA3162" s="1539"/>
      <c r="AB3162" s="1539"/>
      <c r="AC3162" s="1539"/>
      <c r="AD3162" s="1539"/>
      <c r="AE3162" s="1539"/>
      <c r="AF3162" s="1539"/>
      <c r="AG3162" s="1539"/>
      <c r="AH3162" s="1539"/>
      <c r="AI3162" s="1539"/>
      <c r="AJ3162" s="1539"/>
      <c r="AK3162" s="1539"/>
      <c r="AL3162" s="1539"/>
      <c r="AM3162" s="1539"/>
      <c r="AN3162" s="1539"/>
      <c r="AO3162" s="1539"/>
      <c r="AP3162" s="1539"/>
      <c r="AQ3162" s="1539"/>
      <c r="AR3162" s="1539"/>
      <c r="AS3162" s="1539"/>
      <c r="AT3162" s="1539"/>
      <c r="AU3162" s="1539"/>
      <c r="AV3162" s="1539"/>
      <c r="AW3162" s="1539"/>
      <c r="AX3162" s="1539"/>
      <c r="AY3162" s="1539"/>
      <c r="AZ3162" s="1539"/>
      <c r="BA3162" s="1539"/>
      <c r="BB3162" s="1539"/>
      <c r="BC3162" s="1539"/>
      <c r="BD3162" s="1539"/>
      <c r="BE3162" s="1539"/>
      <c r="BF3162" s="1539"/>
      <c r="BG3162" s="1539"/>
      <c r="BH3162" s="1539"/>
      <c r="BI3162" s="1539"/>
      <c r="BJ3162" s="1539"/>
      <c r="BK3162" s="1539"/>
      <c r="BL3162" s="1539"/>
      <c r="BM3162" s="1539"/>
      <c r="BN3162" s="1539"/>
      <c r="BO3162" s="1539"/>
      <c r="BP3162" s="1539"/>
      <c r="BQ3162" s="1539"/>
      <c r="BR3162" s="1539"/>
      <c r="BS3162" s="1539"/>
      <c r="BT3162" s="1539"/>
      <c r="BU3162" s="1539"/>
      <c r="BV3162" s="1539"/>
      <c r="BW3162" s="1539"/>
      <c r="BX3162" s="1539"/>
      <c r="BY3162" s="1539"/>
      <c r="BZ3162" s="1539"/>
      <c r="CA3162" s="1539"/>
      <c r="CB3162" s="1539"/>
      <c r="CC3162" s="1539"/>
      <c r="CD3162" s="1539"/>
      <c r="CE3162" s="1539"/>
      <c r="CF3162" s="1539"/>
      <c r="CG3162" s="1539"/>
      <c r="CH3162" s="1539"/>
      <c r="CI3162" s="1539"/>
      <c r="CJ3162" s="1539"/>
      <c r="CK3162" s="1539"/>
      <c r="CL3162" s="1539"/>
      <c r="CM3162" s="1539"/>
      <c r="CN3162" s="1539"/>
      <c r="CO3162" s="1539"/>
    </row>
    <row r="3163" spans="1:93" s="1552" customFormat="1" ht="15.5">
      <c r="A3163" s="1598"/>
      <c r="B3163" s="1599" t="s">
        <v>1747</v>
      </c>
      <c r="C3163" s="1643" t="e">
        <f>+SUMIF(#REF!,Final!A3163,#REF!)</f>
        <v>#REF!</v>
      </c>
      <c r="D3163" s="1597" t="e">
        <f>+SUMIF(#REF!,Final!A3163,#REF!)</f>
        <v>#REF!</v>
      </c>
      <c r="E3163" s="1643" t="e">
        <f>SUMIF(#REF!,Final!A3163,#REF!)</f>
        <v>#REF!</v>
      </c>
      <c r="F3163" s="1644" t="e">
        <f>SUMIF(#REF!,Final!A3163,#REF!)</f>
        <v>#REF!</v>
      </c>
      <c r="G3163" s="1597" t="e">
        <f t="shared" si="356"/>
        <v>#REF!</v>
      </c>
      <c r="H3163" s="1644" t="e">
        <f t="shared" si="357"/>
        <v>#REF!</v>
      </c>
      <c r="I3163" s="1597" t="e">
        <f t="shared" si="358"/>
        <v>#REF!</v>
      </c>
      <c r="J3163" s="1644" t="e">
        <f t="shared" si="359"/>
        <v>#REF!</v>
      </c>
      <c r="K3163" s="1539"/>
      <c r="L3163" s="1539"/>
      <c r="M3163" s="1545"/>
      <c r="N3163" s="1545"/>
      <c r="O3163" s="1539"/>
      <c r="P3163" s="1539"/>
      <c r="Q3163" s="1539"/>
      <c r="R3163" s="1539"/>
      <c r="S3163" s="1539"/>
      <c r="T3163" s="1539"/>
      <c r="U3163" s="1539"/>
      <c r="V3163" s="1539"/>
      <c r="W3163" s="1539"/>
      <c r="X3163" s="1539"/>
      <c r="Y3163" s="1539"/>
      <c r="Z3163" s="1539"/>
      <c r="AA3163" s="1539"/>
      <c r="AB3163" s="1539"/>
      <c r="AC3163" s="1539"/>
      <c r="AD3163" s="1539"/>
      <c r="AE3163" s="1539"/>
      <c r="AF3163" s="1539"/>
      <c r="AG3163" s="1539"/>
      <c r="AH3163" s="1539"/>
      <c r="AI3163" s="1539"/>
      <c r="AJ3163" s="1539"/>
      <c r="AK3163" s="1539"/>
      <c r="AL3163" s="1539"/>
      <c r="AM3163" s="1539"/>
      <c r="AN3163" s="1539"/>
      <c r="AO3163" s="1539"/>
      <c r="AP3163" s="1539"/>
      <c r="AQ3163" s="1539"/>
      <c r="AR3163" s="1539"/>
      <c r="AS3163" s="1539"/>
      <c r="AT3163" s="1539"/>
      <c r="AU3163" s="1539"/>
      <c r="AV3163" s="1539"/>
      <c r="AW3163" s="1539"/>
      <c r="AX3163" s="1539"/>
      <c r="AY3163" s="1539"/>
      <c r="AZ3163" s="1539"/>
      <c r="BA3163" s="1539"/>
      <c r="BB3163" s="1539"/>
      <c r="BC3163" s="1539"/>
      <c r="BD3163" s="1539"/>
      <c r="BE3163" s="1539"/>
      <c r="BF3163" s="1539"/>
      <c r="BG3163" s="1539"/>
      <c r="BH3163" s="1539"/>
      <c r="BI3163" s="1539"/>
      <c r="BJ3163" s="1539"/>
      <c r="BK3163" s="1539"/>
      <c r="BL3163" s="1539"/>
      <c r="BM3163" s="1539"/>
      <c r="BN3163" s="1539"/>
      <c r="BO3163" s="1539"/>
      <c r="BP3163" s="1539"/>
      <c r="BQ3163" s="1539"/>
      <c r="BR3163" s="1539"/>
      <c r="BS3163" s="1539"/>
      <c r="BT3163" s="1539"/>
      <c r="BU3163" s="1539"/>
      <c r="BV3163" s="1539"/>
      <c r="BW3163" s="1539"/>
      <c r="BX3163" s="1539"/>
      <c r="BY3163" s="1539"/>
      <c r="BZ3163" s="1539"/>
      <c r="CA3163" s="1539"/>
      <c r="CB3163" s="1539"/>
      <c r="CC3163" s="1539"/>
      <c r="CD3163" s="1539"/>
      <c r="CE3163" s="1539"/>
      <c r="CF3163" s="1539"/>
      <c r="CG3163" s="1539"/>
      <c r="CH3163" s="1539"/>
      <c r="CI3163" s="1539"/>
      <c r="CJ3163" s="1539"/>
      <c r="CK3163" s="1539"/>
      <c r="CL3163" s="1539"/>
      <c r="CM3163" s="1539"/>
      <c r="CN3163" s="1539"/>
      <c r="CO3163" s="1539"/>
    </row>
    <row r="3164" spans="1:93" s="1552" customFormat="1" ht="15.5">
      <c r="A3164" s="1598"/>
      <c r="B3164" s="1599" t="s">
        <v>1760</v>
      </c>
      <c r="C3164" s="1643" t="e">
        <f>+SUMIF(#REF!,Final!A3164,#REF!)</f>
        <v>#REF!</v>
      </c>
      <c r="D3164" s="1597" t="e">
        <f>+SUMIF(#REF!,Final!A3164,#REF!)</f>
        <v>#REF!</v>
      </c>
      <c r="E3164" s="1643" t="e">
        <f>SUMIF(#REF!,Final!A3164,#REF!)</f>
        <v>#REF!</v>
      </c>
      <c r="F3164" s="1644" t="e">
        <f>SUMIF(#REF!,Final!A3164,#REF!)</f>
        <v>#REF!</v>
      </c>
      <c r="G3164" s="1597" t="e">
        <f t="shared" si="356"/>
        <v>#REF!</v>
      </c>
      <c r="H3164" s="1644" t="e">
        <f t="shared" si="357"/>
        <v>#REF!</v>
      </c>
      <c r="I3164" s="1597" t="e">
        <f t="shared" si="358"/>
        <v>#REF!</v>
      </c>
      <c r="J3164" s="1644" t="e">
        <f t="shared" si="359"/>
        <v>#REF!</v>
      </c>
      <c r="K3164" s="1539"/>
      <c r="L3164" s="1539"/>
      <c r="M3164" s="1545"/>
      <c r="N3164" s="1545"/>
      <c r="O3164" s="1539"/>
      <c r="P3164" s="1539"/>
      <c r="Q3164" s="1539"/>
      <c r="R3164" s="1539"/>
      <c r="S3164" s="1539"/>
      <c r="T3164" s="1539"/>
      <c r="U3164" s="1539"/>
      <c r="V3164" s="1539"/>
      <c r="W3164" s="1539"/>
      <c r="X3164" s="1539"/>
      <c r="Y3164" s="1539"/>
      <c r="Z3164" s="1539"/>
      <c r="AA3164" s="1539"/>
      <c r="AB3164" s="1539"/>
      <c r="AC3164" s="1539"/>
      <c r="AD3164" s="1539"/>
      <c r="AE3164" s="1539"/>
      <c r="AF3164" s="1539"/>
      <c r="AG3164" s="1539"/>
      <c r="AH3164" s="1539"/>
      <c r="AI3164" s="1539"/>
      <c r="AJ3164" s="1539"/>
      <c r="AK3164" s="1539"/>
      <c r="AL3164" s="1539"/>
      <c r="AM3164" s="1539"/>
      <c r="AN3164" s="1539"/>
      <c r="AO3164" s="1539"/>
      <c r="AP3164" s="1539"/>
      <c r="AQ3164" s="1539"/>
      <c r="AR3164" s="1539"/>
      <c r="AS3164" s="1539"/>
      <c r="AT3164" s="1539"/>
      <c r="AU3164" s="1539"/>
      <c r="AV3164" s="1539"/>
      <c r="AW3164" s="1539"/>
      <c r="AX3164" s="1539"/>
      <c r="AY3164" s="1539"/>
      <c r="AZ3164" s="1539"/>
      <c r="BA3164" s="1539"/>
      <c r="BB3164" s="1539"/>
      <c r="BC3164" s="1539"/>
      <c r="BD3164" s="1539"/>
      <c r="BE3164" s="1539"/>
      <c r="BF3164" s="1539"/>
      <c r="BG3164" s="1539"/>
      <c r="BH3164" s="1539"/>
      <c r="BI3164" s="1539"/>
      <c r="BJ3164" s="1539"/>
      <c r="BK3164" s="1539"/>
      <c r="BL3164" s="1539"/>
      <c r="BM3164" s="1539"/>
      <c r="BN3164" s="1539"/>
      <c r="BO3164" s="1539"/>
      <c r="BP3164" s="1539"/>
      <c r="BQ3164" s="1539"/>
      <c r="BR3164" s="1539"/>
      <c r="BS3164" s="1539"/>
      <c r="BT3164" s="1539"/>
      <c r="BU3164" s="1539"/>
      <c r="BV3164" s="1539"/>
      <c r="BW3164" s="1539"/>
      <c r="BX3164" s="1539"/>
      <c r="BY3164" s="1539"/>
      <c r="BZ3164" s="1539"/>
      <c r="CA3164" s="1539"/>
      <c r="CB3164" s="1539"/>
      <c r="CC3164" s="1539"/>
      <c r="CD3164" s="1539"/>
      <c r="CE3164" s="1539"/>
      <c r="CF3164" s="1539"/>
      <c r="CG3164" s="1539"/>
      <c r="CH3164" s="1539"/>
      <c r="CI3164" s="1539"/>
      <c r="CJ3164" s="1539"/>
      <c r="CK3164" s="1539"/>
      <c r="CL3164" s="1539"/>
      <c r="CM3164" s="1539"/>
      <c r="CN3164" s="1539"/>
      <c r="CO3164" s="1539"/>
    </row>
    <row r="3165" spans="1:93" s="1542" customFormat="1" ht="15.5">
      <c r="A3165" s="1598">
        <v>36</v>
      </c>
      <c r="B3165" s="1599" t="s">
        <v>3200</v>
      </c>
      <c r="C3165" s="1643" t="e">
        <f>+SUMIF(#REF!,Final!A3165,#REF!)</f>
        <v>#REF!</v>
      </c>
      <c r="D3165" s="1597" t="e">
        <f>+SUMIF(#REF!,Final!A3165,#REF!)</f>
        <v>#REF!</v>
      </c>
      <c r="E3165" s="1643" t="e">
        <f>SUMIF(#REF!,Final!A3165,#REF!)</f>
        <v>#REF!</v>
      </c>
      <c r="F3165" s="1644" t="e">
        <f>SUMIF(#REF!,Final!A3165,#REF!)</f>
        <v>#REF!</v>
      </c>
      <c r="G3165" s="1597" t="e">
        <f t="shared" si="356"/>
        <v>#REF!</v>
      </c>
      <c r="H3165" s="1644" t="e">
        <f t="shared" si="357"/>
        <v>#REF!</v>
      </c>
      <c r="I3165" s="1597" t="e">
        <f t="shared" si="358"/>
        <v>#REF!</v>
      </c>
      <c r="J3165" s="1644" t="e">
        <f t="shared" si="359"/>
        <v>#REF!</v>
      </c>
      <c r="K3165" s="1539"/>
      <c r="L3165" s="1539"/>
      <c r="M3165" s="1545"/>
      <c r="N3165" s="1545"/>
      <c r="O3165" s="1539"/>
      <c r="P3165" s="1539"/>
      <c r="Q3165" s="1539"/>
      <c r="R3165" s="1539"/>
      <c r="S3165" s="1539"/>
      <c r="T3165" s="1539"/>
      <c r="U3165" s="1539"/>
      <c r="V3165" s="1539"/>
      <c r="W3165" s="1539"/>
      <c r="X3165" s="1539"/>
      <c r="Y3165" s="1539"/>
      <c r="Z3165" s="1539"/>
      <c r="AA3165" s="1539"/>
      <c r="AB3165" s="1539"/>
      <c r="AC3165" s="1539"/>
      <c r="AD3165" s="1539"/>
      <c r="AE3165" s="1539"/>
      <c r="AF3165" s="1539"/>
      <c r="AG3165" s="1539"/>
      <c r="AH3165" s="1539"/>
      <c r="AI3165" s="1539"/>
      <c r="AJ3165" s="1539"/>
      <c r="AK3165" s="1539"/>
      <c r="AL3165" s="1539"/>
      <c r="AM3165" s="1539"/>
      <c r="AN3165" s="1539"/>
      <c r="AO3165" s="1539"/>
      <c r="AP3165" s="1539"/>
      <c r="AQ3165" s="1539"/>
      <c r="AR3165" s="1539"/>
      <c r="AS3165" s="1539"/>
      <c r="AT3165" s="1539"/>
      <c r="AU3165" s="1539"/>
      <c r="AV3165" s="1539"/>
      <c r="AW3165" s="1539"/>
      <c r="AX3165" s="1539"/>
      <c r="AY3165" s="1539"/>
      <c r="AZ3165" s="1539"/>
      <c r="BA3165" s="1539"/>
      <c r="BB3165" s="1539"/>
      <c r="BC3165" s="1539"/>
      <c r="BD3165" s="1539"/>
      <c r="BE3165" s="1539"/>
      <c r="BF3165" s="1539"/>
      <c r="BG3165" s="1539"/>
      <c r="BH3165" s="1539"/>
      <c r="BI3165" s="1539"/>
      <c r="BJ3165" s="1539"/>
      <c r="BK3165" s="1539"/>
      <c r="BL3165" s="1539"/>
      <c r="BM3165" s="1539"/>
      <c r="BN3165" s="1539"/>
      <c r="BO3165" s="1539"/>
      <c r="BP3165" s="1539"/>
      <c r="BQ3165" s="1539"/>
      <c r="BR3165" s="1539"/>
      <c r="BS3165" s="1539"/>
      <c r="BT3165" s="1539"/>
      <c r="BU3165" s="1539"/>
      <c r="BV3165" s="1539"/>
      <c r="BW3165" s="1539"/>
      <c r="BX3165" s="1539"/>
      <c r="BY3165" s="1539"/>
      <c r="BZ3165" s="1539"/>
      <c r="CA3165" s="1539"/>
      <c r="CB3165" s="1539"/>
      <c r="CC3165" s="1539"/>
      <c r="CD3165" s="1539"/>
      <c r="CE3165" s="1539"/>
      <c r="CF3165" s="1539"/>
      <c r="CG3165" s="1539"/>
      <c r="CH3165" s="1539"/>
      <c r="CI3165" s="1539"/>
      <c r="CJ3165" s="1539"/>
      <c r="CK3165" s="1539"/>
      <c r="CL3165" s="1539"/>
      <c r="CM3165" s="1539"/>
      <c r="CN3165" s="1539"/>
      <c r="CO3165" s="1539"/>
    </row>
    <row r="3166" spans="1:93" s="1542" customFormat="1" ht="15.5">
      <c r="A3166" s="1598" t="s">
        <v>1768</v>
      </c>
      <c r="B3166" s="1599" t="s">
        <v>3203</v>
      </c>
      <c r="C3166" s="1643" t="e">
        <f>+SUMIF(#REF!,Final!A3166,#REF!)</f>
        <v>#REF!</v>
      </c>
      <c r="D3166" s="1597" t="e">
        <f>+SUMIF(#REF!,Final!A3166,#REF!)</f>
        <v>#REF!</v>
      </c>
      <c r="E3166" s="1643" t="e">
        <f>SUMIF(#REF!,Final!A3166,#REF!)</f>
        <v>#REF!</v>
      </c>
      <c r="F3166" s="1644" t="e">
        <f>SUMIF(#REF!,Final!A3166,#REF!)</f>
        <v>#REF!</v>
      </c>
      <c r="G3166" s="1597" t="e">
        <f t="shared" si="356"/>
        <v>#REF!</v>
      </c>
      <c r="H3166" s="1644" t="e">
        <f t="shared" si="357"/>
        <v>#REF!</v>
      </c>
      <c r="I3166" s="1597" t="e">
        <f t="shared" si="358"/>
        <v>#REF!</v>
      </c>
      <c r="J3166" s="1644" t="e">
        <f t="shared" si="359"/>
        <v>#REF!</v>
      </c>
      <c r="K3166" s="1539"/>
      <c r="L3166" s="1539"/>
      <c r="M3166" s="1545"/>
      <c r="N3166" s="1545"/>
      <c r="O3166" s="1539"/>
      <c r="P3166" s="1539"/>
      <c r="Q3166" s="1539"/>
      <c r="R3166" s="1539"/>
      <c r="S3166" s="1539"/>
      <c r="T3166" s="1539"/>
      <c r="U3166" s="1539"/>
      <c r="V3166" s="1539"/>
      <c r="W3166" s="1539"/>
      <c r="X3166" s="1539"/>
      <c r="Y3166" s="1539"/>
      <c r="Z3166" s="1539"/>
      <c r="AA3166" s="1539"/>
      <c r="AB3166" s="1539"/>
      <c r="AC3166" s="1539"/>
      <c r="AD3166" s="1539"/>
      <c r="AE3166" s="1539"/>
      <c r="AF3166" s="1539"/>
      <c r="AG3166" s="1539"/>
      <c r="AH3166" s="1539"/>
      <c r="AI3166" s="1539"/>
      <c r="AJ3166" s="1539"/>
      <c r="AK3166" s="1539"/>
      <c r="AL3166" s="1539"/>
      <c r="AM3166" s="1539"/>
      <c r="AN3166" s="1539"/>
      <c r="AO3166" s="1539"/>
      <c r="AP3166" s="1539"/>
      <c r="AQ3166" s="1539"/>
      <c r="AR3166" s="1539"/>
      <c r="AS3166" s="1539"/>
      <c r="AT3166" s="1539"/>
      <c r="AU3166" s="1539"/>
      <c r="AV3166" s="1539"/>
      <c r="AW3166" s="1539"/>
      <c r="AX3166" s="1539"/>
      <c r="AY3166" s="1539"/>
      <c r="AZ3166" s="1539"/>
      <c r="BA3166" s="1539"/>
      <c r="BB3166" s="1539"/>
      <c r="BC3166" s="1539"/>
      <c r="BD3166" s="1539"/>
      <c r="BE3166" s="1539"/>
      <c r="BF3166" s="1539"/>
      <c r="BG3166" s="1539"/>
      <c r="BH3166" s="1539"/>
      <c r="BI3166" s="1539"/>
      <c r="BJ3166" s="1539"/>
      <c r="BK3166" s="1539"/>
      <c r="BL3166" s="1539"/>
      <c r="BM3166" s="1539"/>
      <c r="BN3166" s="1539"/>
      <c r="BO3166" s="1539"/>
      <c r="BP3166" s="1539"/>
      <c r="BQ3166" s="1539"/>
      <c r="BR3166" s="1539"/>
      <c r="BS3166" s="1539"/>
      <c r="BT3166" s="1539"/>
      <c r="BU3166" s="1539"/>
      <c r="BV3166" s="1539"/>
      <c r="BW3166" s="1539"/>
      <c r="BX3166" s="1539"/>
      <c r="BY3166" s="1539"/>
      <c r="BZ3166" s="1539"/>
      <c r="CA3166" s="1539"/>
      <c r="CB3166" s="1539"/>
      <c r="CC3166" s="1539"/>
      <c r="CD3166" s="1539"/>
      <c r="CE3166" s="1539"/>
      <c r="CF3166" s="1539"/>
      <c r="CG3166" s="1539"/>
      <c r="CH3166" s="1539"/>
      <c r="CI3166" s="1539"/>
      <c r="CJ3166" s="1539"/>
      <c r="CK3166" s="1539"/>
      <c r="CL3166" s="1539"/>
      <c r="CM3166" s="1539"/>
      <c r="CN3166" s="1539"/>
      <c r="CO3166" s="1539"/>
    </row>
    <row r="3167" spans="1:93" s="1542" customFormat="1" ht="15.5">
      <c r="A3167" s="1598">
        <v>76.138999999999996</v>
      </c>
      <c r="B3167" s="1599" t="s">
        <v>3203</v>
      </c>
      <c r="C3167" s="1643" t="e">
        <f>+SUMIF(#REF!,Final!A3167,#REF!)</f>
        <v>#REF!</v>
      </c>
      <c r="D3167" s="1597" t="e">
        <f>+SUMIF(#REF!,Final!A3167,#REF!)</f>
        <v>#REF!</v>
      </c>
      <c r="E3167" s="1643" t="e">
        <f>SUMIF(#REF!,Final!A3167,#REF!)</f>
        <v>#REF!</v>
      </c>
      <c r="F3167" s="1644" t="e">
        <f>SUMIF(#REF!,Final!A3167,#REF!)</f>
        <v>#REF!</v>
      </c>
      <c r="G3167" s="1597" t="e">
        <f t="shared" si="356"/>
        <v>#REF!</v>
      </c>
      <c r="H3167" s="1644" t="e">
        <f t="shared" si="357"/>
        <v>#REF!</v>
      </c>
      <c r="I3167" s="1597" t="e">
        <f t="shared" si="358"/>
        <v>#REF!</v>
      </c>
      <c r="J3167" s="1644" t="e">
        <f t="shared" si="359"/>
        <v>#REF!</v>
      </c>
      <c r="K3167" s="1539"/>
      <c r="L3167" s="1539"/>
      <c r="M3167" s="1545"/>
      <c r="N3167" s="1545"/>
      <c r="O3167" s="1539"/>
      <c r="P3167" s="1539"/>
      <c r="Q3167" s="1539"/>
      <c r="R3167" s="1539"/>
      <c r="S3167" s="1539"/>
      <c r="T3167" s="1539"/>
      <c r="U3167" s="1539"/>
      <c r="V3167" s="1539"/>
      <c r="W3167" s="1539"/>
      <c r="X3167" s="1539"/>
      <c r="Y3167" s="1539"/>
      <c r="Z3167" s="1539"/>
      <c r="AA3167" s="1539"/>
      <c r="AB3167" s="1539"/>
      <c r="AC3167" s="1539"/>
      <c r="AD3167" s="1539"/>
      <c r="AE3167" s="1539"/>
      <c r="AF3167" s="1539"/>
      <c r="AG3167" s="1539"/>
      <c r="AH3167" s="1539"/>
      <c r="AI3167" s="1539"/>
      <c r="AJ3167" s="1539"/>
      <c r="AK3167" s="1539"/>
      <c r="AL3167" s="1539"/>
      <c r="AM3167" s="1539"/>
      <c r="AN3167" s="1539"/>
      <c r="AO3167" s="1539"/>
      <c r="AP3167" s="1539"/>
      <c r="AQ3167" s="1539"/>
      <c r="AR3167" s="1539"/>
      <c r="AS3167" s="1539"/>
      <c r="AT3167" s="1539"/>
      <c r="AU3167" s="1539"/>
      <c r="AV3167" s="1539"/>
      <c r="AW3167" s="1539"/>
      <c r="AX3167" s="1539"/>
      <c r="AY3167" s="1539"/>
      <c r="AZ3167" s="1539"/>
      <c r="BA3167" s="1539"/>
      <c r="BB3167" s="1539"/>
      <c r="BC3167" s="1539"/>
      <c r="BD3167" s="1539"/>
      <c r="BE3167" s="1539"/>
      <c r="BF3167" s="1539"/>
      <c r="BG3167" s="1539"/>
      <c r="BH3167" s="1539"/>
      <c r="BI3167" s="1539"/>
      <c r="BJ3167" s="1539"/>
      <c r="BK3167" s="1539"/>
      <c r="BL3167" s="1539"/>
      <c r="BM3167" s="1539"/>
      <c r="BN3167" s="1539"/>
      <c r="BO3167" s="1539"/>
      <c r="BP3167" s="1539"/>
      <c r="BQ3167" s="1539"/>
      <c r="BR3167" s="1539"/>
      <c r="BS3167" s="1539"/>
      <c r="BT3167" s="1539"/>
      <c r="BU3167" s="1539"/>
      <c r="BV3167" s="1539"/>
      <c r="BW3167" s="1539"/>
      <c r="BX3167" s="1539"/>
      <c r="BY3167" s="1539"/>
      <c r="BZ3167" s="1539"/>
      <c r="CA3167" s="1539"/>
      <c r="CB3167" s="1539"/>
      <c r="CC3167" s="1539"/>
      <c r="CD3167" s="1539"/>
      <c r="CE3167" s="1539"/>
      <c r="CF3167" s="1539"/>
      <c r="CG3167" s="1539"/>
      <c r="CH3167" s="1539"/>
      <c r="CI3167" s="1539"/>
      <c r="CJ3167" s="1539"/>
      <c r="CK3167" s="1539"/>
      <c r="CL3167" s="1539"/>
      <c r="CM3167" s="1539"/>
      <c r="CN3167" s="1539"/>
      <c r="CO3167" s="1539"/>
    </row>
    <row r="3168" spans="1:93" s="1552" customFormat="1" ht="15.5">
      <c r="A3168" s="1598"/>
      <c r="B3168" s="1599" t="s">
        <v>1747</v>
      </c>
      <c r="C3168" s="1643" t="e">
        <f>+SUMIF(#REF!,Final!A3168,#REF!)</f>
        <v>#REF!</v>
      </c>
      <c r="D3168" s="1597" t="e">
        <f>+SUMIF(#REF!,Final!A3168,#REF!)</f>
        <v>#REF!</v>
      </c>
      <c r="E3168" s="1643" t="e">
        <f>SUMIF(#REF!,Final!A3168,#REF!)</f>
        <v>#REF!</v>
      </c>
      <c r="F3168" s="1644" t="e">
        <f>SUMIF(#REF!,Final!A3168,#REF!)</f>
        <v>#REF!</v>
      </c>
      <c r="G3168" s="1597" t="e">
        <f t="shared" si="356"/>
        <v>#REF!</v>
      </c>
      <c r="H3168" s="1644" t="e">
        <f t="shared" si="357"/>
        <v>#REF!</v>
      </c>
      <c r="I3168" s="1597" t="e">
        <f t="shared" si="358"/>
        <v>#REF!</v>
      </c>
      <c r="J3168" s="1644" t="e">
        <f t="shared" si="359"/>
        <v>#REF!</v>
      </c>
      <c r="K3168" s="1539"/>
      <c r="L3168" s="1539"/>
      <c r="M3168" s="1545"/>
      <c r="N3168" s="1545"/>
      <c r="O3168" s="1539"/>
      <c r="P3168" s="1539"/>
      <c r="Q3168" s="1539"/>
      <c r="R3168" s="1539"/>
      <c r="S3168" s="1539"/>
      <c r="T3168" s="1539"/>
      <c r="U3168" s="1539"/>
      <c r="V3168" s="1539"/>
      <c r="W3168" s="1539"/>
      <c r="X3168" s="1539"/>
      <c r="Y3168" s="1539"/>
      <c r="Z3168" s="1539"/>
      <c r="AA3168" s="1539"/>
      <c r="AB3168" s="1539"/>
      <c r="AC3168" s="1539"/>
      <c r="AD3168" s="1539"/>
      <c r="AE3168" s="1539"/>
      <c r="AF3168" s="1539"/>
      <c r="AG3168" s="1539"/>
      <c r="AH3168" s="1539"/>
      <c r="AI3168" s="1539"/>
      <c r="AJ3168" s="1539"/>
      <c r="AK3168" s="1539"/>
      <c r="AL3168" s="1539"/>
      <c r="AM3168" s="1539"/>
      <c r="AN3168" s="1539"/>
      <c r="AO3168" s="1539"/>
      <c r="AP3168" s="1539"/>
      <c r="AQ3168" s="1539"/>
      <c r="AR3168" s="1539"/>
      <c r="AS3168" s="1539"/>
      <c r="AT3168" s="1539"/>
      <c r="AU3168" s="1539"/>
      <c r="AV3168" s="1539"/>
      <c r="AW3168" s="1539"/>
      <c r="AX3168" s="1539"/>
      <c r="AY3168" s="1539"/>
      <c r="AZ3168" s="1539"/>
      <c r="BA3168" s="1539"/>
      <c r="BB3168" s="1539"/>
      <c r="BC3168" s="1539"/>
      <c r="BD3168" s="1539"/>
      <c r="BE3168" s="1539"/>
      <c r="BF3168" s="1539"/>
      <c r="BG3168" s="1539"/>
      <c r="BH3168" s="1539"/>
      <c r="BI3168" s="1539"/>
      <c r="BJ3168" s="1539"/>
      <c r="BK3168" s="1539"/>
      <c r="BL3168" s="1539"/>
      <c r="BM3168" s="1539"/>
      <c r="BN3168" s="1539"/>
      <c r="BO3168" s="1539"/>
      <c r="BP3168" s="1539"/>
      <c r="BQ3168" s="1539"/>
      <c r="BR3168" s="1539"/>
      <c r="BS3168" s="1539"/>
      <c r="BT3168" s="1539"/>
      <c r="BU3168" s="1539"/>
      <c r="BV3168" s="1539"/>
      <c r="BW3168" s="1539"/>
      <c r="BX3168" s="1539"/>
      <c r="BY3168" s="1539"/>
      <c r="BZ3168" s="1539"/>
      <c r="CA3168" s="1539"/>
      <c r="CB3168" s="1539"/>
      <c r="CC3168" s="1539"/>
      <c r="CD3168" s="1539"/>
      <c r="CE3168" s="1539"/>
      <c r="CF3168" s="1539"/>
      <c r="CG3168" s="1539"/>
      <c r="CH3168" s="1539"/>
      <c r="CI3168" s="1539"/>
      <c r="CJ3168" s="1539"/>
      <c r="CK3168" s="1539"/>
      <c r="CL3168" s="1539"/>
      <c r="CM3168" s="1539"/>
      <c r="CN3168" s="1539"/>
      <c r="CO3168" s="1539"/>
    </row>
    <row r="3169" spans="1:93" s="1552" customFormat="1" ht="15.5">
      <c r="A3169" s="1598"/>
      <c r="B3169" s="1599" t="s">
        <v>1760</v>
      </c>
      <c r="C3169" s="1643" t="e">
        <f>+SUMIF(#REF!,Final!A3169,#REF!)</f>
        <v>#REF!</v>
      </c>
      <c r="D3169" s="1597" t="e">
        <f>+SUMIF(#REF!,Final!A3169,#REF!)</f>
        <v>#REF!</v>
      </c>
      <c r="E3169" s="1643" t="e">
        <f>SUMIF(#REF!,Final!A3169,#REF!)</f>
        <v>#REF!</v>
      </c>
      <c r="F3169" s="1644" t="e">
        <f>SUMIF(#REF!,Final!A3169,#REF!)</f>
        <v>#REF!</v>
      </c>
      <c r="G3169" s="1597" t="e">
        <f t="shared" si="356"/>
        <v>#REF!</v>
      </c>
      <c r="H3169" s="1644" t="e">
        <f t="shared" si="357"/>
        <v>#REF!</v>
      </c>
      <c r="I3169" s="1597" t="e">
        <f t="shared" si="358"/>
        <v>#REF!</v>
      </c>
      <c r="J3169" s="1644" t="e">
        <f t="shared" si="359"/>
        <v>#REF!</v>
      </c>
      <c r="K3169" s="1539"/>
      <c r="L3169" s="1539"/>
      <c r="M3169" s="1545"/>
      <c r="N3169" s="1545"/>
      <c r="O3169" s="1539"/>
      <c r="P3169" s="1539"/>
      <c r="Q3169" s="1539"/>
      <c r="R3169" s="1539"/>
      <c r="S3169" s="1539"/>
      <c r="T3169" s="1539"/>
      <c r="U3169" s="1539"/>
      <c r="V3169" s="1539"/>
      <c r="W3169" s="1539"/>
      <c r="X3169" s="1539"/>
      <c r="Y3169" s="1539"/>
      <c r="Z3169" s="1539"/>
      <c r="AA3169" s="1539"/>
      <c r="AB3169" s="1539"/>
      <c r="AC3169" s="1539"/>
      <c r="AD3169" s="1539"/>
      <c r="AE3169" s="1539"/>
      <c r="AF3169" s="1539"/>
      <c r="AG3169" s="1539"/>
      <c r="AH3169" s="1539"/>
      <c r="AI3169" s="1539"/>
      <c r="AJ3169" s="1539"/>
      <c r="AK3169" s="1539"/>
      <c r="AL3169" s="1539"/>
      <c r="AM3169" s="1539"/>
      <c r="AN3169" s="1539"/>
      <c r="AO3169" s="1539"/>
      <c r="AP3169" s="1539"/>
      <c r="AQ3169" s="1539"/>
      <c r="AR3169" s="1539"/>
      <c r="AS3169" s="1539"/>
      <c r="AT3169" s="1539"/>
      <c r="AU3169" s="1539"/>
      <c r="AV3169" s="1539"/>
      <c r="AW3169" s="1539"/>
      <c r="AX3169" s="1539"/>
      <c r="AY3169" s="1539"/>
      <c r="AZ3169" s="1539"/>
      <c r="BA3169" s="1539"/>
      <c r="BB3169" s="1539"/>
      <c r="BC3169" s="1539"/>
      <c r="BD3169" s="1539"/>
      <c r="BE3169" s="1539"/>
      <c r="BF3169" s="1539"/>
      <c r="BG3169" s="1539"/>
      <c r="BH3169" s="1539"/>
      <c r="BI3169" s="1539"/>
      <c r="BJ3169" s="1539"/>
      <c r="BK3169" s="1539"/>
      <c r="BL3169" s="1539"/>
      <c r="BM3169" s="1539"/>
      <c r="BN3169" s="1539"/>
      <c r="BO3169" s="1539"/>
      <c r="BP3169" s="1539"/>
      <c r="BQ3169" s="1539"/>
      <c r="BR3169" s="1539"/>
      <c r="BS3169" s="1539"/>
      <c r="BT3169" s="1539"/>
      <c r="BU3169" s="1539"/>
      <c r="BV3169" s="1539"/>
      <c r="BW3169" s="1539"/>
      <c r="BX3169" s="1539"/>
      <c r="BY3169" s="1539"/>
      <c r="BZ3169" s="1539"/>
      <c r="CA3169" s="1539"/>
      <c r="CB3169" s="1539"/>
      <c r="CC3169" s="1539"/>
      <c r="CD3169" s="1539"/>
      <c r="CE3169" s="1539"/>
      <c r="CF3169" s="1539"/>
      <c r="CG3169" s="1539"/>
      <c r="CH3169" s="1539"/>
      <c r="CI3169" s="1539"/>
      <c r="CJ3169" s="1539"/>
      <c r="CK3169" s="1539"/>
      <c r="CL3169" s="1539"/>
      <c r="CM3169" s="1539"/>
      <c r="CN3169" s="1539"/>
      <c r="CO3169" s="1539"/>
    </row>
    <row r="3170" spans="1:93" s="1542" customFormat="1" ht="15.5">
      <c r="A3170" s="1598">
        <v>36</v>
      </c>
      <c r="B3170" s="1599" t="s">
        <v>3200</v>
      </c>
      <c r="C3170" s="1643" t="e">
        <f>+SUMIF(#REF!,Final!A3170,#REF!)</f>
        <v>#REF!</v>
      </c>
      <c r="D3170" s="1597" t="e">
        <f>+SUMIF(#REF!,Final!A3170,#REF!)</f>
        <v>#REF!</v>
      </c>
      <c r="E3170" s="1643" t="e">
        <f>SUMIF(#REF!,Final!A3170,#REF!)</f>
        <v>#REF!</v>
      </c>
      <c r="F3170" s="1644" t="e">
        <f>SUMIF(#REF!,Final!A3170,#REF!)</f>
        <v>#REF!</v>
      </c>
      <c r="G3170" s="1597" t="e">
        <f t="shared" si="356"/>
        <v>#REF!</v>
      </c>
      <c r="H3170" s="1644" t="e">
        <f t="shared" si="357"/>
        <v>#REF!</v>
      </c>
      <c r="I3170" s="1597" t="e">
        <f t="shared" si="358"/>
        <v>#REF!</v>
      </c>
      <c r="J3170" s="1644" t="e">
        <f t="shared" si="359"/>
        <v>#REF!</v>
      </c>
      <c r="K3170" s="1539"/>
      <c r="L3170" s="1539"/>
      <c r="M3170" s="1545"/>
      <c r="N3170" s="1545"/>
      <c r="O3170" s="1539"/>
      <c r="P3170" s="1539"/>
      <c r="Q3170" s="1539"/>
      <c r="R3170" s="1539"/>
      <c r="S3170" s="1539"/>
      <c r="T3170" s="1539"/>
      <c r="U3170" s="1539"/>
      <c r="V3170" s="1539"/>
      <c r="W3170" s="1539"/>
      <c r="X3170" s="1539"/>
      <c r="Y3170" s="1539"/>
      <c r="Z3170" s="1539"/>
      <c r="AA3170" s="1539"/>
      <c r="AB3170" s="1539"/>
      <c r="AC3170" s="1539"/>
      <c r="AD3170" s="1539"/>
      <c r="AE3170" s="1539"/>
      <c r="AF3170" s="1539"/>
      <c r="AG3170" s="1539"/>
      <c r="AH3170" s="1539"/>
      <c r="AI3170" s="1539"/>
      <c r="AJ3170" s="1539"/>
      <c r="AK3170" s="1539"/>
      <c r="AL3170" s="1539"/>
      <c r="AM3170" s="1539"/>
      <c r="AN3170" s="1539"/>
      <c r="AO3170" s="1539"/>
      <c r="AP3170" s="1539"/>
      <c r="AQ3170" s="1539"/>
      <c r="AR3170" s="1539"/>
      <c r="AS3170" s="1539"/>
      <c r="AT3170" s="1539"/>
      <c r="AU3170" s="1539"/>
      <c r="AV3170" s="1539"/>
      <c r="AW3170" s="1539"/>
      <c r="AX3170" s="1539"/>
      <c r="AY3170" s="1539"/>
      <c r="AZ3170" s="1539"/>
      <c r="BA3170" s="1539"/>
      <c r="BB3170" s="1539"/>
      <c r="BC3170" s="1539"/>
      <c r="BD3170" s="1539"/>
      <c r="BE3170" s="1539"/>
      <c r="BF3170" s="1539"/>
      <c r="BG3170" s="1539"/>
      <c r="BH3170" s="1539"/>
      <c r="BI3170" s="1539"/>
      <c r="BJ3170" s="1539"/>
      <c r="BK3170" s="1539"/>
      <c r="BL3170" s="1539"/>
      <c r="BM3170" s="1539"/>
      <c r="BN3170" s="1539"/>
      <c r="BO3170" s="1539"/>
      <c r="BP3170" s="1539"/>
      <c r="BQ3170" s="1539"/>
      <c r="BR3170" s="1539"/>
      <c r="BS3170" s="1539"/>
      <c r="BT3170" s="1539"/>
      <c r="BU3170" s="1539"/>
      <c r="BV3170" s="1539"/>
      <c r="BW3170" s="1539"/>
      <c r="BX3170" s="1539"/>
      <c r="BY3170" s="1539"/>
      <c r="BZ3170" s="1539"/>
      <c r="CA3170" s="1539"/>
      <c r="CB3170" s="1539"/>
      <c r="CC3170" s="1539"/>
      <c r="CD3170" s="1539"/>
      <c r="CE3170" s="1539"/>
      <c r="CF3170" s="1539"/>
      <c r="CG3170" s="1539"/>
      <c r="CH3170" s="1539"/>
      <c r="CI3170" s="1539"/>
      <c r="CJ3170" s="1539"/>
      <c r="CK3170" s="1539"/>
      <c r="CL3170" s="1539"/>
      <c r="CM3170" s="1539"/>
      <c r="CN3170" s="1539"/>
      <c r="CO3170" s="1539"/>
    </row>
    <row r="3171" spans="1:93" s="1542" customFormat="1" ht="15.5">
      <c r="A3171" s="1598" t="s">
        <v>1815</v>
      </c>
      <c r="B3171" s="1599" t="s">
        <v>3204</v>
      </c>
      <c r="C3171" s="1643" t="e">
        <f>+SUMIF(#REF!,Final!A3171,#REF!)</f>
        <v>#REF!</v>
      </c>
      <c r="D3171" s="1597" t="e">
        <f>+SUMIF(#REF!,Final!A3171,#REF!)</f>
        <v>#REF!</v>
      </c>
      <c r="E3171" s="1643" t="e">
        <f>SUMIF(#REF!,Final!A3171,#REF!)</f>
        <v>#REF!</v>
      </c>
      <c r="F3171" s="1644" t="e">
        <f>SUMIF(#REF!,Final!A3171,#REF!)</f>
        <v>#REF!</v>
      </c>
      <c r="G3171" s="1597" t="e">
        <f t="shared" si="356"/>
        <v>#REF!</v>
      </c>
      <c r="H3171" s="1644" t="e">
        <f t="shared" si="357"/>
        <v>#REF!</v>
      </c>
      <c r="I3171" s="1597" t="e">
        <f t="shared" si="358"/>
        <v>#REF!</v>
      </c>
      <c r="J3171" s="1644" t="e">
        <f t="shared" si="359"/>
        <v>#REF!</v>
      </c>
      <c r="K3171" s="1539"/>
      <c r="L3171" s="1539"/>
      <c r="M3171" s="1545"/>
      <c r="N3171" s="1545"/>
      <c r="O3171" s="1539"/>
      <c r="P3171" s="1539"/>
      <c r="Q3171" s="1539"/>
      <c r="R3171" s="1539"/>
      <c r="S3171" s="1539"/>
      <c r="T3171" s="1539"/>
      <c r="U3171" s="1539"/>
      <c r="V3171" s="1539"/>
      <c r="W3171" s="1539"/>
      <c r="X3171" s="1539"/>
      <c r="Y3171" s="1539"/>
      <c r="Z3171" s="1539"/>
      <c r="AA3171" s="1539"/>
      <c r="AB3171" s="1539"/>
      <c r="AC3171" s="1539"/>
      <c r="AD3171" s="1539"/>
      <c r="AE3171" s="1539"/>
      <c r="AF3171" s="1539"/>
      <c r="AG3171" s="1539"/>
      <c r="AH3171" s="1539"/>
      <c r="AI3171" s="1539"/>
      <c r="AJ3171" s="1539"/>
      <c r="AK3171" s="1539"/>
      <c r="AL3171" s="1539"/>
      <c r="AM3171" s="1539"/>
      <c r="AN3171" s="1539"/>
      <c r="AO3171" s="1539"/>
      <c r="AP3171" s="1539"/>
      <c r="AQ3171" s="1539"/>
      <c r="AR3171" s="1539"/>
      <c r="AS3171" s="1539"/>
      <c r="AT3171" s="1539"/>
      <c r="AU3171" s="1539"/>
      <c r="AV3171" s="1539"/>
      <c r="AW3171" s="1539"/>
      <c r="AX3171" s="1539"/>
      <c r="AY3171" s="1539"/>
      <c r="AZ3171" s="1539"/>
      <c r="BA3171" s="1539"/>
      <c r="BB3171" s="1539"/>
      <c r="BC3171" s="1539"/>
      <c r="BD3171" s="1539"/>
      <c r="BE3171" s="1539"/>
      <c r="BF3171" s="1539"/>
      <c r="BG3171" s="1539"/>
      <c r="BH3171" s="1539"/>
      <c r="BI3171" s="1539"/>
      <c r="BJ3171" s="1539"/>
      <c r="BK3171" s="1539"/>
      <c r="BL3171" s="1539"/>
      <c r="BM3171" s="1539"/>
      <c r="BN3171" s="1539"/>
      <c r="BO3171" s="1539"/>
      <c r="BP3171" s="1539"/>
      <c r="BQ3171" s="1539"/>
      <c r="BR3171" s="1539"/>
      <c r="BS3171" s="1539"/>
      <c r="BT3171" s="1539"/>
      <c r="BU3171" s="1539"/>
      <c r="BV3171" s="1539"/>
      <c r="BW3171" s="1539"/>
      <c r="BX3171" s="1539"/>
      <c r="BY3171" s="1539"/>
      <c r="BZ3171" s="1539"/>
      <c r="CA3171" s="1539"/>
      <c r="CB3171" s="1539"/>
      <c r="CC3171" s="1539"/>
      <c r="CD3171" s="1539"/>
      <c r="CE3171" s="1539"/>
      <c r="CF3171" s="1539"/>
      <c r="CG3171" s="1539"/>
      <c r="CH3171" s="1539"/>
      <c r="CI3171" s="1539"/>
      <c r="CJ3171" s="1539"/>
      <c r="CK3171" s="1539"/>
      <c r="CL3171" s="1539"/>
      <c r="CM3171" s="1539"/>
      <c r="CN3171" s="1539"/>
      <c r="CO3171" s="1539"/>
    </row>
    <row r="3172" spans="1:93" ht="15.5">
      <c r="A3172" s="1598">
        <v>76.14</v>
      </c>
      <c r="B3172" s="1599" t="s">
        <v>3205</v>
      </c>
      <c r="C3172" s="1643" t="e">
        <f>+SUMIF(#REF!,Final!A3172,#REF!)</f>
        <v>#REF!</v>
      </c>
      <c r="D3172" s="1597" t="e">
        <f>+SUMIF(#REF!,Final!A3172,#REF!)</f>
        <v>#REF!</v>
      </c>
      <c r="E3172" s="1643" t="e">
        <f>SUMIF(#REF!,Final!A3172,#REF!)</f>
        <v>#REF!</v>
      </c>
      <c r="F3172" s="1644" t="e">
        <f>SUMIF(#REF!,Final!A3172,#REF!)</f>
        <v>#REF!</v>
      </c>
      <c r="G3172" s="1597" t="e">
        <f t="shared" si="356"/>
        <v>#REF!</v>
      </c>
      <c r="H3172" s="1644" t="e">
        <f t="shared" si="357"/>
        <v>#REF!</v>
      </c>
      <c r="I3172" s="1597" t="e">
        <f t="shared" si="358"/>
        <v>#REF!</v>
      </c>
      <c r="J3172" s="1644" t="e">
        <f t="shared" si="359"/>
        <v>#REF!</v>
      </c>
      <c r="M3172" s="1545"/>
      <c r="N3172" s="1545"/>
    </row>
    <row r="3173" spans="1:93" ht="15.5">
      <c r="A3173" s="1598">
        <v>76.141000000000005</v>
      </c>
      <c r="B3173" s="1599" t="s">
        <v>3976</v>
      </c>
      <c r="C3173" s="1643" t="e">
        <f>+SUMIF(#REF!,Final!A3173,#REF!)</f>
        <v>#REF!</v>
      </c>
      <c r="D3173" s="1597" t="e">
        <f>+SUMIF(#REF!,Final!A3173,#REF!)</f>
        <v>#REF!</v>
      </c>
      <c r="E3173" s="1643" t="e">
        <f>SUMIF(#REF!,Final!A3173,#REF!)</f>
        <v>#REF!</v>
      </c>
      <c r="F3173" s="1644" t="e">
        <f>SUMIF(#REF!,Final!A3173,#REF!)</f>
        <v>#REF!</v>
      </c>
      <c r="G3173" s="1597" t="e">
        <f t="shared" si="356"/>
        <v>#REF!</v>
      </c>
      <c r="H3173" s="1644" t="e">
        <f t="shared" si="357"/>
        <v>#REF!</v>
      </c>
      <c r="I3173" s="1597" t="e">
        <f t="shared" si="358"/>
        <v>#REF!</v>
      </c>
      <c r="J3173" s="1644" t="e">
        <f t="shared" si="359"/>
        <v>#REF!</v>
      </c>
      <c r="M3173" s="1545"/>
      <c r="N3173" s="1545"/>
    </row>
    <row r="3174" spans="1:93" s="1552" customFormat="1" ht="15.5">
      <c r="A3174" s="1598"/>
      <c r="B3174" s="1599" t="s">
        <v>1747</v>
      </c>
      <c r="C3174" s="1643" t="e">
        <f>+SUMIF(#REF!,Final!A3174,#REF!)</f>
        <v>#REF!</v>
      </c>
      <c r="D3174" s="1597" t="e">
        <f>+SUMIF(#REF!,Final!A3174,#REF!)</f>
        <v>#REF!</v>
      </c>
      <c r="E3174" s="1643" t="e">
        <f>SUMIF(#REF!,Final!A3174,#REF!)</f>
        <v>#REF!</v>
      </c>
      <c r="F3174" s="1644" t="e">
        <f>SUMIF(#REF!,Final!A3174,#REF!)</f>
        <v>#REF!</v>
      </c>
      <c r="G3174" s="1597" t="e">
        <f t="shared" si="356"/>
        <v>#REF!</v>
      </c>
      <c r="H3174" s="1644" t="e">
        <f t="shared" si="357"/>
        <v>#REF!</v>
      </c>
      <c r="I3174" s="1597" t="e">
        <f t="shared" si="358"/>
        <v>#REF!</v>
      </c>
      <c r="J3174" s="1644" t="e">
        <f t="shared" si="359"/>
        <v>#REF!</v>
      </c>
      <c r="K3174" s="1539"/>
      <c r="L3174" s="1539"/>
      <c r="M3174" s="1545"/>
      <c r="N3174" s="1545"/>
      <c r="O3174" s="1539"/>
      <c r="P3174" s="1539"/>
      <c r="Q3174" s="1539"/>
      <c r="R3174" s="1539"/>
      <c r="S3174" s="1539"/>
      <c r="T3174" s="1539"/>
      <c r="U3174" s="1539"/>
      <c r="V3174" s="1539"/>
      <c r="W3174" s="1539"/>
      <c r="X3174" s="1539"/>
      <c r="Y3174" s="1539"/>
      <c r="Z3174" s="1539"/>
      <c r="AA3174" s="1539"/>
      <c r="AB3174" s="1539"/>
      <c r="AC3174" s="1539"/>
      <c r="AD3174" s="1539"/>
      <c r="AE3174" s="1539"/>
      <c r="AF3174" s="1539"/>
      <c r="AG3174" s="1539"/>
      <c r="AH3174" s="1539"/>
      <c r="AI3174" s="1539"/>
      <c r="AJ3174" s="1539"/>
      <c r="AK3174" s="1539"/>
      <c r="AL3174" s="1539"/>
      <c r="AM3174" s="1539"/>
      <c r="AN3174" s="1539"/>
      <c r="AO3174" s="1539"/>
      <c r="AP3174" s="1539"/>
      <c r="AQ3174" s="1539"/>
      <c r="AR3174" s="1539"/>
      <c r="AS3174" s="1539"/>
      <c r="AT3174" s="1539"/>
      <c r="AU3174" s="1539"/>
      <c r="AV3174" s="1539"/>
      <c r="AW3174" s="1539"/>
      <c r="AX3174" s="1539"/>
      <c r="AY3174" s="1539"/>
      <c r="AZ3174" s="1539"/>
      <c r="BA3174" s="1539"/>
      <c r="BB3174" s="1539"/>
      <c r="BC3174" s="1539"/>
      <c r="BD3174" s="1539"/>
      <c r="BE3174" s="1539"/>
      <c r="BF3174" s="1539"/>
      <c r="BG3174" s="1539"/>
      <c r="BH3174" s="1539"/>
      <c r="BI3174" s="1539"/>
      <c r="BJ3174" s="1539"/>
      <c r="BK3174" s="1539"/>
      <c r="BL3174" s="1539"/>
      <c r="BM3174" s="1539"/>
      <c r="BN3174" s="1539"/>
      <c r="BO3174" s="1539"/>
      <c r="BP3174" s="1539"/>
      <c r="BQ3174" s="1539"/>
      <c r="BR3174" s="1539"/>
      <c r="BS3174" s="1539"/>
      <c r="BT3174" s="1539"/>
      <c r="BU3174" s="1539"/>
      <c r="BV3174" s="1539"/>
      <c r="BW3174" s="1539"/>
      <c r="BX3174" s="1539"/>
      <c r="BY3174" s="1539"/>
      <c r="BZ3174" s="1539"/>
      <c r="CA3174" s="1539"/>
      <c r="CB3174" s="1539"/>
      <c r="CC3174" s="1539"/>
      <c r="CD3174" s="1539"/>
      <c r="CE3174" s="1539"/>
      <c r="CF3174" s="1539"/>
      <c r="CG3174" s="1539"/>
      <c r="CH3174" s="1539"/>
      <c r="CI3174" s="1539"/>
      <c r="CJ3174" s="1539"/>
      <c r="CK3174" s="1539"/>
      <c r="CL3174" s="1539"/>
      <c r="CM3174" s="1539"/>
      <c r="CN3174" s="1539"/>
      <c r="CO3174" s="1539"/>
    </row>
    <row r="3175" spans="1:93" s="1552" customFormat="1" ht="15.5">
      <c r="A3175" s="1598"/>
      <c r="B3175" s="1599" t="s">
        <v>1760</v>
      </c>
      <c r="C3175" s="1643" t="e">
        <f>+SUMIF(#REF!,Final!A3175,#REF!)</f>
        <v>#REF!</v>
      </c>
      <c r="D3175" s="1597" t="e">
        <f>+SUMIF(#REF!,Final!A3175,#REF!)</f>
        <v>#REF!</v>
      </c>
      <c r="E3175" s="1643" t="e">
        <f>SUMIF(#REF!,Final!A3175,#REF!)</f>
        <v>#REF!</v>
      </c>
      <c r="F3175" s="1644" t="e">
        <f>SUMIF(#REF!,Final!A3175,#REF!)</f>
        <v>#REF!</v>
      </c>
      <c r="G3175" s="1597" t="e">
        <f t="shared" si="356"/>
        <v>#REF!</v>
      </c>
      <c r="H3175" s="1644" t="e">
        <f t="shared" si="357"/>
        <v>#REF!</v>
      </c>
      <c r="I3175" s="1597" t="e">
        <f t="shared" si="358"/>
        <v>#REF!</v>
      </c>
      <c r="J3175" s="1644" t="e">
        <f t="shared" si="359"/>
        <v>#REF!</v>
      </c>
      <c r="K3175" s="1539"/>
      <c r="L3175" s="1539"/>
      <c r="M3175" s="1545"/>
      <c r="N3175" s="1545"/>
      <c r="O3175" s="1539"/>
      <c r="P3175" s="1539"/>
      <c r="Q3175" s="1539"/>
      <c r="R3175" s="1539"/>
      <c r="S3175" s="1539"/>
      <c r="T3175" s="1539"/>
      <c r="U3175" s="1539"/>
      <c r="V3175" s="1539"/>
      <c r="W3175" s="1539"/>
      <c r="X3175" s="1539"/>
      <c r="Y3175" s="1539"/>
      <c r="Z3175" s="1539"/>
      <c r="AA3175" s="1539"/>
      <c r="AB3175" s="1539"/>
      <c r="AC3175" s="1539"/>
      <c r="AD3175" s="1539"/>
      <c r="AE3175" s="1539"/>
      <c r="AF3175" s="1539"/>
      <c r="AG3175" s="1539"/>
      <c r="AH3175" s="1539"/>
      <c r="AI3175" s="1539"/>
      <c r="AJ3175" s="1539"/>
      <c r="AK3175" s="1539"/>
      <c r="AL3175" s="1539"/>
      <c r="AM3175" s="1539"/>
      <c r="AN3175" s="1539"/>
      <c r="AO3175" s="1539"/>
      <c r="AP3175" s="1539"/>
      <c r="AQ3175" s="1539"/>
      <c r="AR3175" s="1539"/>
      <c r="AS3175" s="1539"/>
      <c r="AT3175" s="1539"/>
      <c r="AU3175" s="1539"/>
      <c r="AV3175" s="1539"/>
      <c r="AW3175" s="1539"/>
      <c r="AX3175" s="1539"/>
      <c r="AY3175" s="1539"/>
      <c r="AZ3175" s="1539"/>
      <c r="BA3175" s="1539"/>
      <c r="BB3175" s="1539"/>
      <c r="BC3175" s="1539"/>
      <c r="BD3175" s="1539"/>
      <c r="BE3175" s="1539"/>
      <c r="BF3175" s="1539"/>
      <c r="BG3175" s="1539"/>
      <c r="BH3175" s="1539"/>
      <c r="BI3175" s="1539"/>
      <c r="BJ3175" s="1539"/>
      <c r="BK3175" s="1539"/>
      <c r="BL3175" s="1539"/>
      <c r="BM3175" s="1539"/>
      <c r="BN3175" s="1539"/>
      <c r="BO3175" s="1539"/>
      <c r="BP3175" s="1539"/>
      <c r="BQ3175" s="1539"/>
      <c r="BR3175" s="1539"/>
      <c r="BS3175" s="1539"/>
      <c r="BT3175" s="1539"/>
      <c r="BU3175" s="1539"/>
      <c r="BV3175" s="1539"/>
      <c r="BW3175" s="1539"/>
      <c r="BX3175" s="1539"/>
      <c r="BY3175" s="1539"/>
      <c r="BZ3175" s="1539"/>
      <c r="CA3175" s="1539"/>
      <c r="CB3175" s="1539"/>
      <c r="CC3175" s="1539"/>
      <c r="CD3175" s="1539"/>
      <c r="CE3175" s="1539"/>
      <c r="CF3175" s="1539"/>
      <c r="CG3175" s="1539"/>
      <c r="CH3175" s="1539"/>
      <c r="CI3175" s="1539"/>
      <c r="CJ3175" s="1539"/>
      <c r="CK3175" s="1539"/>
      <c r="CL3175" s="1539"/>
      <c r="CM3175" s="1539"/>
      <c r="CN3175" s="1539"/>
      <c r="CO3175" s="1539"/>
    </row>
    <row r="3176" spans="1:93" s="1552" customFormat="1" ht="15.5">
      <c r="A3176" s="1598"/>
      <c r="B3176" s="1599" t="s">
        <v>4789</v>
      </c>
      <c r="C3176" s="1643" t="e">
        <f>+SUMIF(#REF!,Final!A3176,#REF!)</f>
        <v>#REF!</v>
      </c>
      <c r="D3176" s="1597" t="e">
        <f>+SUMIF(#REF!,Final!A3176,#REF!)</f>
        <v>#REF!</v>
      </c>
      <c r="E3176" s="1643" t="e">
        <f>SUMIF(#REF!,Final!A3176,#REF!)</f>
        <v>#REF!</v>
      </c>
      <c r="F3176" s="1644" t="e">
        <f>SUMIF(#REF!,Final!A3176,#REF!)</f>
        <v>#REF!</v>
      </c>
      <c r="G3176" s="1597" t="e">
        <f t="shared" si="356"/>
        <v>#REF!</v>
      </c>
      <c r="H3176" s="1644" t="e">
        <f t="shared" si="357"/>
        <v>#REF!</v>
      </c>
      <c r="I3176" s="1597" t="e">
        <f t="shared" si="358"/>
        <v>#REF!</v>
      </c>
      <c r="J3176" s="1644" t="e">
        <f t="shared" si="359"/>
        <v>#REF!</v>
      </c>
      <c r="K3176" s="1539"/>
      <c r="L3176" s="1539"/>
      <c r="M3176" s="1545"/>
      <c r="N3176" s="1545"/>
      <c r="O3176" s="1539"/>
      <c r="P3176" s="1539"/>
      <c r="Q3176" s="1539"/>
      <c r="R3176" s="1539"/>
      <c r="S3176" s="1539"/>
      <c r="T3176" s="1539"/>
      <c r="U3176" s="1539"/>
      <c r="V3176" s="1539"/>
      <c r="W3176" s="1539"/>
      <c r="X3176" s="1539"/>
      <c r="Y3176" s="1539"/>
      <c r="Z3176" s="1539"/>
      <c r="AA3176" s="1539"/>
      <c r="AB3176" s="1539"/>
      <c r="AC3176" s="1539"/>
      <c r="AD3176" s="1539"/>
      <c r="AE3176" s="1539"/>
      <c r="AF3176" s="1539"/>
      <c r="AG3176" s="1539"/>
      <c r="AH3176" s="1539"/>
      <c r="AI3176" s="1539"/>
      <c r="AJ3176" s="1539"/>
      <c r="AK3176" s="1539"/>
      <c r="AL3176" s="1539"/>
      <c r="AM3176" s="1539"/>
      <c r="AN3176" s="1539"/>
      <c r="AO3176" s="1539"/>
      <c r="AP3176" s="1539"/>
      <c r="AQ3176" s="1539"/>
      <c r="AR3176" s="1539"/>
      <c r="AS3176" s="1539"/>
      <c r="AT3176" s="1539"/>
      <c r="AU3176" s="1539"/>
      <c r="AV3176" s="1539"/>
      <c r="AW3176" s="1539"/>
      <c r="AX3176" s="1539"/>
      <c r="AY3176" s="1539"/>
      <c r="AZ3176" s="1539"/>
      <c r="BA3176" s="1539"/>
      <c r="BB3176" s="1539"/>
      <c r="BC3176" s="1539"/>
      <c r="BD3176" s="1539"/>
      <c r="BE3176" s="1539"/>
      <c r="BF3176" s="1539"/>
      <c r="BG3176" s="1539"/>
      <c r="BH3176" s="1539"/>
      <c r="BI3176" s="1539"/>
      <c r="BJ3176" s="1539"/>
      <c r="BK3176" s="1539"/>
      <c r="BL3176" s="1539"/>
      <c r="BM3176" s="1539"/>
      <c r="BN3176" s="1539"/>
      <c r="BO3176" s="1539"/>
      <c r="BP3176" s="1539"/>
      <c r="BQ3176" s="1539"/>
      <c r="BR3176" s="1539"/>
      <c r="BS3176" s="1539"/>
      <c r="BT3176" s="1539"/>
      <c r="BU3176" s="1539"/>
      <c r="BV3176" s="1539"/>
      <c r="BW3176" s="1539"/>
      <c r="BX3176" s="1539"/>
      <c r="BY3176" s="1539"/>
      <c r="BZ3176" s="1539"/>
      <c r="CA3176" s="1539"/>
      <c r="CB3176" s="1539"/>
      <c r="CC3176" s="1539"/>
      <c r="CD3176" s="1539"/>
      <c r="CE3176" s="1539"/>
      <c r="CF3176" s="1539"/>
      <c r="CG3176" s="1539"/>
      <c r="CH3176" s="1539"/>
      <c r="CI3176" s="1539"/>
      <c r="CJ3176" s="1539"/>
      <c r="CK3176" s="1539"/>
      <c r="CL3176" s="1539"/>
      <c r="CM3176" s="1539"/>
      <c r="CN3176" s="1539"/>
      <c r="CO3176" s="1539"/>
    </row>
    <row r="3177" spans="1:93" s="1552" customFormat="1" ht="15.5">
      <c r="A3177" s="1598">
        <v>76.141999999999996</v>
      </c>
      <c r="B3177" s="1599" t="s">
        <v>4789</v>
      </c>
      <c r="C3177" s="1643" t="e">
        <f>+SUMIF(#REF!,Final!A3177,#REF!)</f>
        <v>#REF!</v>
      </c>
      <c r="D3177" s="1597" t="e">
        <f>+SUMIF(#REF!,Final!A3177,#REF!)</f>
        <v>#REF!</v>
      </c>
      <c r="E3177" s="1643" t="e">
        <f>SUMIF(#REF!,Final!A3177,#REF!)</f>
        <v>#REF!</v>
      </c>
      <c r="F3177" s="1644" t="e">
        <f>SUMIF(#REF!,Final!A3177,#REF!)</f>
        <v>#REF!</v>
      </c>
      <c r="G3177" s="1597" t="e">
        <f t="shared" si="356"/>
        <v>#REF!</v>
      </c>
      <c r="H3177" s="1644" t="e">
        <f t="shared" si="357"/>
        <v>#REF!</v>
      </c>
      <c r="I3177" s="1597" t="e">
        <f t="shared" si="358"/>
        <v>#REF!</v>
      </c>
      <c r="J3177" s="1644" t="e">
        <f t="shared" si="359"/>
        <v>#REF!</v>
      </c>
      <c r="K3177" s="1539"/>
      <c r="L3177" s="1539"/>
      <c r="M3177" s="1545"/>
      <c r="N3177" s="1545"/>
      <c r="O3177" s="1539"/>
      <c r="P3177" s="1539"/>
      <c r="Q3177" s="1539"/>
      <c r="R3177" s="1539"/>
      <c r="S3177" s="1539"/>
      <c r="T3177" s="1539"/>
      <c r="U3177" s="1539"/>
      <c r="V3177" s="1539"/>
      <c r="W3177" s="1539"/>
      <c r="X3177" s="1539"/>
      <c r="Y3177" s="1539"/>
      <c r="Z3177" s="1539"/>
      <c r="AA3177" s="1539"/>
      <c r="AB3177" s="1539"/>
      <c r="AC3177" s="1539"/>
      <c r="AD3177" s="1539"/>
      <c r="AE3177" s="1539"/>
      <c r="AF3177" s="1539"/>
      <c r="AG3177" s="1539"/>
      <c r="AH3177" s="1539"/>
      <c r="AI3177" s="1539"/>
      <c r="AJ3177" s="1539"/>
      <c r="AK3177" s="1539"/>
      <c r="AL3177" s="1539"/>
      <c r="AM3177" s="1539"/>
      <c r="AN3177" s="1539"/>
      <c r="AO3177" s="1539"/>
      <c r="AP3177" s="1539"/>
      <c r="AQ3177" s="1539"/>
      <c r="AR3177" s="1539"/>
      <c r="AS3177" s="1539"/>
      <c r="AT3177" s="1539"/>
      <c r="AU3177" s="1539"/>
      <c r="AV3177" s="1539"/>
      <c r="AW3177" s="1539"/>
      <c r="AX3177" s="1539"/>
      <c r="AY3177" s="1539"/>
      <c r="AZ3177" s="1539"/>
      <c r="BA3177" s="1539"/>
      <c r="BB3177" s="1539"/>
      <c r="BC3177" s="1539"/>
      <c r="BD3177" s="1539"/>
      <c r="BE3177" s="1539"/>
      <c r="BF3177" s="1539"/>
      <c r="BG3177" s="1539"/>
      <c r="BH3177" s="1539"/>
      <c r="BI3177" s="1539"/>
      <c r="BJ3177" s="1539"/>
      <c r="BK3177" s="1539"/>
      <c r="BL3177" s="1539"/>
      <c r="BM3177" s="1539"/>
      <c r="BN3177" s="1539"/>
      <c r="BO3177" s="1539"/>
      <c r="BP3177" s="1539"/>
      <c r="BQ3177" s="1539"/>
      <c r="BR3177" s="1539"/>
      <c r="BS3177" s="1539"/>
      <c r="BT3177" s="1539"/>
      <c r="BU3177" s="1539"/>
      <c r="BV3177" s="1539"/>
      <c r="BW3177" s="1539"/>
      <c r="BX3177" s="1539"/>
      <c r="BY3177" s="1539"/>
      <c r="BZ3177" s="1539"/>
      <c r="CA3177" s="1539"/>
      <c r="CB3177" s="1539"/>
      <c r="CC3177" s="1539"/>
      <c r="CD3177" s="1539"/>
      <c r="CE3177" s="1539"/>
      <c r="CF3177" s="1539"/>
      <c r="CG3177" s="1539"/>
      <c r="CH3177" s="1539"/>
      <c r="CI3177" s="1539"/>
      <c r="CJ3177" s="1539"/>
      <c r="CK3177" s="1539"/>
      <c r="CL3177" s="1539"/>
      <c r="CM3177" s="1539"/>
      <c r="CN3177" s="1539"/>
      <c r="CO3177" s="1539"/>
    </row>
    <row r="3178" spans="1:93" s="1542" customFormat="1" ht="15.5">
      <c r="A3178" s="1598">
        <v>35</v>
      </c>
      <c r="B3178" s="1599" t="s">
        <v>3207</v>
      </c>
      <c r="C3178" s="1643" t="e">
        <f>+SUMIF(#REF!,Final!A3178,#REF!)</f>
        <v>#REF!</v>
      </c>
      <c r="D3178" s="1597" t="e">
        <f>+SUMIF(#REF!,Final!A3178,#REF!)</f>
        <v>#REF!</v>
      </c>
      <c r="E3178" s="1643" t="e">
        <f>SUMIF(#REF!,Final!A3178,#REF!)</f>
        <v>#REF!</v>
      </c>
      <c r="F3178" s="1644" t="e">
        <f>SUMIF(#REF!,Final!A3178,#REF!)</f>
        <v>#REF!</v>
      </c>
      <c r="G3178" s="1597" t="e">
        <f t="shared" si="356"/>
        <v>#REF!</v>
      </c>
      <c r="H3178" s="1644" t="e">
        <f t="shared" si="357"/>
        <v>#REF!</v>
      </c>
      <c r="I3178" s="1597" t="e">
        <f t="shared" si="358"/>
        <v>#REF!</v>
      </c>
      <c r="J3178" s="1644" t="e">
        <f t="shared" si="359"/>
        <v>#REF!</v>
      </c>
      <c r="K3178" s="1539"/>
      <c r="L3178" s="1539"/>
      <c r="M3178" s="1545"/>
      <c r="N3178" s="1545"/>
      <c r="O3178" s="1539"/>
      <c r="P3178" s="1539"/>
      <c r="Q3178" s="1539"/>
      <c r="R3178" s="1539"/>
      <c r="S3178" s="1539"/>
      <c r="T3178" s="1539"/>
      <c r="U3178" s="1539"/>
      <c r="V3178" s="1539"/>
      <c r="W3178" s="1539"/>
      <c r="X3178" s="1539"/>
      <c r="Y3178" s="1539"/>
      <c r="Z3178" s="1539"/>
      <c r="AA3178" s="1539"/>
      <c r="AB3178" s="1539"/>
      <c r="AC3178" s="1539"/>
      <c r="AD3178" s="1539"/>
      <c r="AE3178" s="1539"/>
      <c r="AF3178" s="1539"/>
      <c r="AG3178" s="1539"/>
      <c r="AH3178" s="1539"/>
      <c r="AI3178" s="1539"/>
      <c r="AJ3178" s="1539"/>
      <c r="AK3178" s="1539"/>
      <c r="AL3178" s="1539"/>
      <c r="AM3178" s="1539"/>
      <c r="AN3178" s="1539"/>
      <c r="AO3178" s="1539"/>
      <c r="AP3178" s="1539"/>
      <c r="AQ3178" s="1539"/>
      <c r="AR3178" s="1539"/>
      <c r="AS3178" s="1539"/>
      <c r="AT3178" s="1539"/>
      <c r="AU3178" s="1539"/>
      <c r="AV3178" s="1539"/>
      <c r="AW3178" s="1539"/>
      <c r="AX3178" s="1539"/>
      <c r="AY3178" s="1539"/>
      <c r="AZ3178" s="1539"/>
      <c r="BA3178" s="1539"/>
      <c r="BB3178" s="1539"/>
      <c r="BC3178" s="1539"/>
      <c r="BD3178" s="1539"/>
      <c r="BE3178" s="1539"/>
      <c r="BF3178" s="1539"/>
      <c r="BG3178" s="1539"/>
      <c r="BH3178" s="1539"/>
      <c r="BI3178" s="1539"/>
      <c r="BJ3178" s="1539"/>
      <c r="BK3178" s="1539"/>
      <c r="BL3178" s="1539"/>
      <c r="BM3178" s="1539"/>
      <c r="BN3178" s="1539"/>
      <c r="BO3178" s="1539"/>
      <c r="BP3178" s="1539"/>
      <c r="BQ3178" s="1539"/>
      <c r="BR3178" s="1539"/>
      <c r="BS3178" s="1539"/>
      <c r="BT3178" s="1539"/>
      <c r="BU3178" s="1539"/>
      <c r="BV3178" s="1539"/>
      <c r="BW3178" s="1539"/>
      <c r="BX3178" s="1539"/>
      <c r="BY3178" s="1539"/>
      <c r="BZ3178" s="1539"/>
      <c r="CA3178" s="1539"/>
      <c r="CB3178" s="1539"/>
      <c r="CC3178" s="1539"/>
      <c r="CD3178" s="1539"/>
      <c r="CE3178" s="1539"/>
      <c r="CF3178" s="1539"/>
      <c r="CG3178" s="1539"/>
      <c r="CH3178" s="1539"/>
      <c r="CI3178" s="1539"/>
      <c r="CJ3178" s="1539"/>
      <c r="CK3178" s="1539"/>
      <c r="CL3178" s="1539"/>
      <c r="CM3178" s="1539"/>
      <c r="CN3178" s="1539"/>
      <c r="CO3178" s="1539"/>
    </row>
    <row r="3179" spans="1:93" s="1542" customFormat="1" ht="15.5">
      <c r="A3179" s="1598" t="s">
        <v>1815</v>
      </c>
      <c r="B3179" s="1599" t="s">
        <v>3221</v>
      </c>
      <c r="C3179" s="1643" t="e">
        <f>+SUMIF(#REF!,Final!A3179,#REF!)</f>
        <v>#REF!</v>
      </c>
      <c r="D3179" s="1597" t="e">
        <f>+SUMIF(#REF!,Final!A3179,#REF!)</f>
        <v>#REF!</v>
      </c>
      <c r="E3179" s="1643" t="e">
        <f>SUMIF(#REF!,Final!A3179,#REF!)</f>
        <v>#REF!</v>
      </c>
      <c r="F3179" s="1644" t="e">
        <f>SUMIF(#REF!,Final!A3179,#REF!)</f>
        <v>#REF!</v>
      </c>
      <c r="G3179" s="1597" t="e">
        <f t="shared" si="356"/>
        <v>#REF!</v>
      </c>
      <c r="H3179" s="1644" t="e">
        <f t="shared" si="357"/>
        <v>#REF!</v>
      </c>
      <c r="I3179" s="1597" t="e">
        <f t="shared" si="358"/>
        <v>#REF!</v>
      </c>
      <c r="J3179" s="1644" t="e">
        <f t="shared" si="359"/>
        <v>#REF!</v>
      </c>
      <c r="K3179" s="1539"/>
      <c r="L3179" s="1539"/>
      <c r="M3179" s="1545"/>
      <c r="N3179" s="1545"/>
      <c r="O3179" s="1539"/>
      <c r="P3179" s="1539"/>
      <c r="Q3179" s="1539"/>
      <c r="R3179" s="1539"/>
      <c r="S3179" s="1539"/>
      <c r="T3179" s="1539"/>
      <c r="U3179" s="1539"/>
      <c r="V3179" s="1539"/>
      <c r="W3179" s="1539"/>
      <c r="X3179" s="1539"/>
      <c r="Y3179" s="1539"/>
      <c r="Z3179" s="1539"/>
      <c r="AA3179" s="1539"/>
      <c r="AB3179" s="1539"/>
      <c r="AC3179" s="1539"/>
      <c r="AD3179" s="1539"/>
      <c r="AE3179" s="1539"/>
      <c r="AF3179" s="1539"/>
      <c r="AG3179" s="1539"/>
      <c r="AH3179" s="1539"/>
      <c r="AI3179" s="1539"/>
      <c r="AJ3179" s="1539"/>
      <c r="AK3179" s="1539"/>
      <c r="AL3179" s="1539"/>
      <c r="AM3179" s="1539"/>
      <c r="AN3179" s="1539"/>
      <c r="AO3179" s="1539"/>
      <c r="AP3179" s="1539"/>
      <c r="AQ3179" s="1539"/>
      <c r="AR3179" s="1539"/>
      <c r="AS3179" s="1539"/>
      <c r="AT3179" s="1539"/>
      <c r="AU3179" s="1539"/>
      <c r="AV3179" s="1539"/>
      <c r="AW3179" s="1539"/>
      <c r="AX3179" s="1539"/>
      <c r="AY3179" s="1539"/>
      <c r="AZ3179" s="1539"/>
      <c r="BA3179" s="1539"/>
      <c r="BB3179" s="1539"/>
      <c r="BC3179" s="1539"/>
      <c r="BD3179" s="1539"/>
      <c r="BE3179" s="1539"/>
      <c r="BF3179" s="1539"/>
      <c r="BG3179" s="1539"/>
      <c r="BH3179" s="1539"/>
      <c r="BI3179" s="1539"/>
      <c r="BJ3179" s="1539"/>
      <c r="BK3179" s="1539"/>
      <c r="BL3179" s="1539"/>
      <c r="BM3179" s="1539"/>
      <c r="BN3179" s="1539"/>
      <c r="BO3179" s="1539"/>
      <c r="BP3179" s="1539"/>
      <c r="BQ3179" s="1539"/>
      <c r="BR3179" s="1539"/>
      <c r="BS3179" s="1539"/>
      <c r="BT3179" s="1539"/>
      <c r="BU3179" s="1539"/>
      <c r="BV3179" s="1539"/>
      <c r="BW3179" s="1539"/>
      <c r="BX3179" s="1539"/>
      <c r="BY3179" s="1539"/>
      <c r="BZ3179" s="1539"/>
      <c r="CA3179" s="1539"/>
      <c r="CB3179" s="1539"/>
      <c r="CC3179" s="1539"/>
      <c r="CD3179" s="1539"/>
      <c r="CE3179" s="1539"/>
      <c r="CF3179" s="1539"/>
      <c r="CG3179" s="1539"/>
      <c r="CH3179" s="1539"/>
      <c r="CI3179" s="1539"/>
      <c r="CJ3179" s="1539"/>
      <c r="CK3179" s="1539"/>
      <c r="CL3179" s="1539"/>
      <c r="CM3179" s="1539"/>
      <c r="CN3179" s="1539"/>
      <c r="CO3179" s="1539"/>
    </row>
    <row r="3180" spans="1:93" s="1542" customFormat="1" ht="15.5">
      <c r="A3180" s="1598">
        <v>76.150000000000006</v>
      </c>
      <c r="B3180" s="1599" t="s">
        <v>3222</v>
      </c>
      <c r="C3180" s="1643" t="e">
        <f>+SUMIF(#REF!,Final!A3180,#REF!)</f>
        <v>#REF!</v>
      </c>
      <c r="D3180" s="1597" t="e">
        <f>+SUMIF(#REF!,Final!A3180,#REF!)</f>
        <v>#REF!</v>
      </c>
      <c r="E3180" s="1643" t="e">
        <f>SUMIF(#REF!,Final!A3180,#REF!)</f>
        <v>#REF!</v>
      </c>
      <c r="F3180" s="1644" t="e">
        <f>SUMIF(#REF!,Final!A3180,#REF!)</f>
        <v>#REF!</v>
      </c>
      <c r="G3180" s="1597" t="e">
        <f t="shared" si="356"/>
        <v>#REF!</v>
      </c>
      <c r="H3180" s="1644" t="e">
        <f t="shared" si="357"/>
        <v>#REF!</v>
      </c>
      <c r="I3180" s="1597" t="e">
        <f t="shared" si="358"/>
        <v>#REF!</v>
      </c>
      <c r="J3180" s="1644" t="e">
        <f t="shared" si="359"/>
        <v>#REF!</v>
      </c>
      <c r="K3180" s="1539"/>
      <c r="L3180" s="1539"/>
      <c r="M3180" s="1545"/>
      <c r="N3180" s="1545"/>
      <c r="O3180" s="1539"/>
      <c r="P3180" s="1539"/>
      <c r="Q3180" s="1539"/>
      <c r="R3180" s="1539"/>
      <c r="S3180" s="1539"/>
      <c r="T3180" s="1539"/>
      <c r="U3180" s="1539"/>
      <c r="V3180" s="1539"/>
      <c r="W3180" s="1539"/>
      <c r="X3180" s="1539"/>
      <c r="Y3180" s="1539"/>
      <c r="Z3180" s="1539"/>
      <c r="AA3180" s="1539"/>
      <c r="AB3180" s="1539"/>
      <c r="AC3180" s="1539"/>
      <c r="AD3180" s="1539"/>
      <c r="AE3180" s="1539"/>
      <c r="AF3180" s="1539"/>
      <c r="AG3180" s="1539"/>
      <c r="AH3180" s="1539"/>
      <c r="AI3180" s="1539"/>
      <c r="AJ3180" s="1539"/>
      <c r="AK3180" s="1539"/>
      <c r="AL3180" s="1539"/>
      <c r="AM3180" s="1539"/>
      <c r="AN3180" s="1539"/>
      <c r="AO3180" s="1539"/>
      <c r="AP3180" s="1539"/>
      <c r="AQ3180" s="1539"/>
      <c r="AR3180" s="1539"/>
      <c r="AS3180" s="1539"/>
      <c r="AT3180" s="1539"/>
      <c r="AU3180" s="1539"/>
      <c r="AV3180" s="1539"/>
      <c r="AW3180" s="1539"/>
      <c r="AX3180" s="1539"/>
      <c r="AY3180" s="1539"/>
      <c r="AZ3180" s="1539"/>
      <c r="BA3180" s="1539"/>
      <c r="BB3180" s="1539"/>
      <c r="BC3180" s="1539"/>
      <c r="BD3180" s="1539"/>
      <c r="BE3180" s="1539"/>
      <c r="BF3180" s="1539"/>
      <c r="BG3180" s="1539"/>
      <c r="BH3180" s="1539"/>
      <c r="BI3180" s="1539"/>
      <c r="BJ3180" s="1539"/>
      <c r="BK3180" s="1539"/>
      <c r="BL3180" s="1539"/>
      <c r="BM3180" s="1539"/>
      <c r="BN3180" s="1539"/>
      <c r="BO3180" s="1539"/>
      <c r="BP3180" s="1539"/>
      <c r="BQ3180" s="1539"/>
      <c r="BR3180" s="1539"/>
      <c r="BS3180" s="1539"/>
      <c r="BT3180" s="1539"/>
      <c r="BU3180" s="1539"/>
      <c r="BV3180" s="1539"/>
      <c r="BW3180" s="1539"/>
      <c r="BX3180" s="1539"/>
      <c r="BY3180" s="1539"/>
      <c r="BZ3180" s="1539"/>
      <c r="CA3180" s="1539"/>
      <c r="CB3180" s="1539"/>
      <c r="CC3180" s="1539"/>
      <c r="CD3180" s="1539"/>
      <c r="CE3180" s="1539"/>
      <c r="CF3180" s="1539"/>
      <c r="CG3180" s="1539"/>
      <c r="CH3180" s="1539"/>
      <c r="CI3180" s="1539"/>
      <c r="CJ3180" s="1539"/>
      <c r="CK3180" s="1539"/>
      <c r="CL3180" s="1539"/>
      <c r="CM3180" s="1539"/>
      <c r="CN3180" s="1539"/>
      <c r="CO3180" s="1539"/>
    </row>
    <row r="3181" spans="1:93" s="1542" customFormat="1" ht="15.5">
      <c r="A3181" s="1598">
        <v>76.144999999999996</v>
      </c>
      <c r="B3181" s="1599" t="s">
        <v>4591</v>
      </c>
      <c r="C3181" s="1643" t="e">
        <f>+SUMIF(#REF!,Final!A3181,#REF!)</f>
        <v>#REF!</v>
      </c>
      <c r="D3181" s="1597" t="e">
        <f>+SUMIF(#REF!,Final!A3181,#REF!)</f>
        <v>#REF!</v>
      </c>
      <c r="E3181" s="1643" t="e">
        <f>SUMIF(#REF!,Final!A3181,#REF!)</f>
        <v>#REF!</v>
      </c>
      <c r="F3181" s="1644" t="e">
        <f>SUMIF(#REF!,Final!A3181,#REF!)</f>
        <v>#REF!</v>
      </c>
      <c r="G3181" s="1597" t="e">
        <f t="shared" si="356"/>
        <v>#REF!</v>
      </c>
      <c r="H3181" s="1644" t="e">
        <f t="shared" si="357"/>
        <v>#REF!</v>
      </c>
      <c r="I3181" s="1597" t="e">
        <f t="shared" si="358"/>
        <v>#REF!</v>
      </c>
      <c r="J3181" s="1644" t="e">
        <f t="shared" si="359"/>
        <v>#REF!</v>
      </c>
      <c r="K3181" s="1539"/>
      <c r="L3181" s="1539"/>
      <c r="M3181" s="1545"/>
      <c r="N3181" s="1545"/>
      <c r="O3181" s="1539"/>
      <c r="P3181" s="1539"/>
      <c r="Q3181" s="1539"/>
      <c r="R3181" s="1539"/>
      <c r="S3181" s="1539"/>
      <c r="T3181" s="1539"/>
      <c r="U3181" s="1539"/>
      <c r="V3181" s="1539"/>
      <c r="W3181" s="1539"/>
      <c r="X3181" s="1539"/>
      <c r="Y3181" s="1539"/>
      <c r="Z3181" s="1539"/>
      <c r="AA3181" s="1539"/>
      <c r="AB3181" s="1539"/>
      <c r="AC3181" s="1539"/>
      <c r="AD3181" s="1539"/>
      <c r="AE3181" s="1539"/>
      <c r="AF3181" s="1539"/>
      <c r="AG3181" s="1539"/>
      <c r="AH3181" s="1539"/>
      <c r="AI3181" s="1539"/>
      <c r="AJ3181" s="1539"/>
      <c r="AK3181" s="1539"/>
      <c r="AL3181" s="1539"/>
      <c r="AM3181" s="1539"/>
      <c r="AN3181" s="1539"/>
      <c r="AO3181" s="1539"/>
      <c r="AP3181" s="1539"/>
      <c r="AQ3181" s="1539"/>
      <c r="AR3181" s="1539"/>
      <c r="AS3181" s="1539"/>
      <c r="AT3181" s="1539"/>
      <c r="AU3181" s="1539"/>
      <c r="AV3181" s="1539"/>
      <c r="AW3181" s="1539"/>
      <c r="AX3181" s="1539"/>
      <c r="AY3181" s="1539"/>
      <c r="AZ3181" s="1539"/>
      <c r="BA3181" s="1539"/>
      <c r="BB3181" s="1539"/>
      <c r="BC3181" s="1539"/>
      <c r="BD3181" s="1539"/>
      <c r="BE3181" s="1539"/>
      <c r="BF3181" s="1539"/>
      <c r="BG3181" s="1539"/>
      <c r="BH3181" s="1539"/>
      <c r="BI3181" s="1539"/>
      <c r="BJ3181" s="1539"/>
      <c r="BK3181" s="1539"/>
      <c r="BL3181" s="1539"/>
      <c r="BM3181" s="1539"/>
      <c r="BN3181" s="1539"/>
      <c r="BO3181" s="1539"/>
      <c r="BP3181" s="1539"/>
      <c r="BQ3181" s="1539"/>
      <c r="BR3181" s="1539"/>
      <c r="BS3181" s="1539"/>
      <c r="BT3181" s="1539"/>
      <c r="BU3181" s="1539"/>
      <c r="BV3181" s="1539"/>
      <c r="BW3181" s="1539"/>
      <c r="BX3181" s="1539"/>
      <c r="BY3181" s="1539"/>
      <c r="BZ3181" s="1539"/>
      <c r="CA3181" s="1539"/>
      <c r="CB3181" s="1539"/>
      <c r="CC3181" s="1539"/>
      <c r="CD3181" s="1539"/>
      <c r="CE3181" s="1539"/>
      <c r="CF3181" s="1539"/>
      <c r="CG3181" s="1539"/>
      <c r="CH3181" s="1539"/>
      <c r="CI3181" s="1539"/>
      <c r="CJ3181" s="1539"/>
      <c r="CK3181" s="1539"/>
      <c r="CL3181" s="1539"/>
      <c r="CM3181" s="1539"/>
      <c r="CN3181" s="1539"/>
      <c r="CO3181" s="1539"/>
    </row>
    <row r="3182" spans="1:93" s="1542" customFormat="1" ht="15.5">
      <c r="A3182" s="1598">
        <v>76.147000000000006</v>
      </c>
      <c r="B3182" s="1599" t="s">
        <v>4592</v>
      </c>
      <c r="C3182" s="1643" t="e">
        <f>+SUMIF(#REF!,Final!A3182,#REF!)</f>
        <v>#REF!</v>
      </c>
      <c r="D3182" s="1597" t="e">
        <f>+SUMIF(#REF!,Final!A3182,#REF!)</f>
        <v>#REF!</v>
      </c>
      <c r="E3182" s="1643" t="e">
        <f>SUMIF(#REF!,Final!A3182,#REF!)</f>
        <v>#REF!</v>
      </c>
      <c r="F3182" s="1644" t="e">
        <f>SUMIF(#REF!,Final!A3182,#REF!)</f>
        <v>#REF!</v>
      </c>
      <c r="G3182" s="1597" t="e">
        <f t="shared" si="356"/>
        <v>#REF!</v>
      </c>
      <c r="H3182" s="1644" t="e">
        <f t="shared" si="357"/>
        <v>#REF!</v>
      </c>
      <c r="I3182" s="1597" t="e">
        <f t="shared" si="358"/>
        <v>#REF!</v>
      </c>
      <c r="J3182" s="1644" t="e">
        <f t="shared" si="359"/>
        <v>#REF!</v>
      </c>
      <c r="K3182" s="1539"/>
      <c r="L3182" s="1539"/>
      <c r="M3182" s="1545"/>
      <c r="N3182" s="1545"/>
      <c r="O3182" s="1539"/>
      <c r="P3182" s="1539"/>
      <c r="Q3182" s="1539"/>
      <c r="R3182" s="1539"/>
      <c r="S3182" s="1539"/>
      <c r="T3182" s="1539"/>
      <c r="U3182" s="1539"/>
      <c r="V3182" s="1539"/>
      <c r="W3182" s="1539"/>
      <c r="X3182" s="1539"/>
      <c r="Y3182" s="1539"/>
      <c r="Z3182" s="1539"/>
      <c r="AA3182" s="1539"/>
      <c r="AB3182" s="1539"/>
      <c r="AC3182" s="1539"/>
      <c r="AD3182" s="1539"/>
      <c r="AE3182" s="1539"/>
      <c r="AF3182" s="1539"/>
      <c r="AG3182" s="1539"/>
      <c r="AH3182" s="1539"/>
      <c r="AI3182" s="1539"/>
      <c r="AJ3182" s="1539"/>
      <c r="AK3182" s="1539"/>
      <c r="AL3182" s="1539"/>
      <c r="AM3182" s="1539"/>
      <c r="AN3182" s="1539"/>
      <c r="AO3182" s="1539"/>
      <c r="AP3182" s="1539"/>
      <c r="AQ3182" s="1539"/>
      <c r="AR3182" s="1539"/>
      <c r="AS3182" s="1539"/>
      <c r="AT3182" s="1539"/>
      <c r="AU3182" s="1539"/>
      <c r="AV3182" s="1539"/>
      <c r="AW3182" s="1539"/>
      <c r="AX3182" s="1539"/>
      <c r="AY3182" s="1539"/>
      <c r="AZ3182" s="1539"/>
      <c r="BA3182" s="1539"/>
      <c r="BB3182" s="1539"/>
      <c r="BC3182" s="1539"/>
      <c r="BD3182" s="1539"/>
      <c r="BE3182" s="1539"/>
      <c r="BF3182" s="1539"/>
      <c r="BG3182" s="1539"/>
      <c r="BH3182" s="1539"/>
      <c r="BI3182" s="1539"/>
      <c r="BJ3182" s="1539"/>
      <c r="BK3182" s="1539"/>
      <c r="BL3182" s="1539"/>
      <c r="BM3182" s="1539"/>
      <c r="BN3182" s="1539"/>
      <c r="BO3182" s="1539"/>
      <c r="BP3182" s="1539"/>
      <c r="BQ3182" s="1539"/>
      <c r="BR3182" s="1539"/>
      <c r="BS3182" s="1539"/>
      <c r="BT3182" s="1539"/>
      <c r="BU3182" s="1539"/>
      <c r="BV3182" s="1539"/>
      <c r="BW3182" s="1539"/>
      <c r="BX3182" s="1539"/>
      <c r="BY3182" s="1539"/>
      <c r="BZ3182" s="1539"/>
      <c r="CA3182" s="1539"/>
      <c r="CB3182" s="1539"/>
      <c r="CC3182" s="1539"/>
      <c r="CD3182" s="1539"/>
      <c r="CE3182" s="1539"/>
      <c r="CF3182" s="1539"/>
      <c r="CG3182" s="1539"/>
      <c r="CH3182" s="1539"/>
      <c r="CI3182" s="1539"/>
      <c r="CJ3182" s="1539"/>
      <c r="CK3182" s="1539"/>
      <c r="CL3182" s="1539"/>
      <c r="CM3182" s="1539"/>
      <c r="CN3182" s="1539"/>
      <c r="CO3182" s="1539"/>
    </row>
    <row r="3183" spans="1:93" s="1542" customFormat="1" ht="15.5">
      <c r="A3183" s="1598">
        <v>76.147999999999996</v>
      </c>
      <c r="B3183" s="1599" t="s">
        <v>4593</v>
      </c>
      <c r="C3183" s="1643" t="e">
        <f>+SUMIF(#REF!,Final!A3183,#REF!)</f>
        <v>#REF!</v>
      </c>
      <c r="D3183" s="1597" t="e">
        <f>+SUMIF(#REF!,Final!A3183,#REF!)</f>
        <v>#REF!</v>
      </c>
      <c r="E3183" s="1643" t="e">
        <f>SUMIF(#REF!,Final!A3183,#REF!)</f>
        <v>#REF!</v>
      </c>
      <c r="F3183" s="1644" t="e">
        <f>SUMIF(#REF!,Final!A3183,#REF!)</f>
        <v>#REF!</v>
      </c>
      <c r="G3183" s="1597" t="e">
        <f t="shared" si="356"/>
        <v>#REF!</v>
      </c>
      <c r="H3183" s="1644" t="e">
        <f t="shared" si="357"/>
        <v>#REF!</v>
      </c>
      <c r="I3183" s="1597" t="e">
        <f t="shared" si="358"/>
        <v>#REF!</v>
      </c>
      <c r="J3183" s="1644" t="e">
        <f t="shared" si="359"/>
        <v>#REF!</v>
      </c>
      <c r="K3183" s="1539"/>
      <c r="L3183" s="1539"/>
      <c r="M3183" s="1545"/>
      <c r="N3183" s="1545"/>
      <c r="O3183" s="1539"/>
      <c r="P3183" s="1539"/>
      <c r="Q3183" s="1539"/>
      <c r="R3183" s="1539"/>
      <c r="S3183" s="1539"/>
      <c r="T3183" s="1539"/>
      <c r="U3183" s="1539"/>
      <c r="V3183" s="1539"/>
      <c r="W3183" s="1539"/>
      <c r="X3183" s="1539"/>
      <c r="Y3183" s="1539"/>
      <c r="Z3183" s="1539"/>
      <c r="AA3183" s="1539"/>
      <c r="AB3183" s="1539"/>
      <c r="AC3183" s="1539"/>
      <c r="AD3183" s="1539"/>
      <c r="AE3183" s="1539"/>
      <c r="AF3183" s="1539"/>
      <c r="AG3183" s="1539"/>
      <c r="AH3183" s="1539"/>
      <c r="AI3183" s="1539"/>
      <c r="AJ3183" s="1539"/>
      <c r="AK3183" s="1539"/>
      <c r="AL3183" s="1539"/>
      <c r="AM3183" s="1539"/>
      <c r="AN3183" s="1539"/>
      <c r="AO3183" s="1539"/>
      <c r="AP3183" s="1539"/>
      <c r="AQ3183" s="1539"/>
      <c r="AR3183" s="1539"/>
      <c r="AS3183" s="1539"/>
      <c r="AT3183" s="1539"/>
      <c r="AU3183" s="1539"/>
      <c r="AV3183" s="1539"/>
      <c r="AW3183" s="1539"/>
      <c r="AX3183" s="1539"/>
      <c r="AY3183" s="1539"/>
      <c r="AZ3183" s="1539"/>
      <c r="BA3183" s="1539"/>
      <c r="BB3183" s="1539"/>
      <c r="BC3183" s="1539"/>
      <c r="BD3183" s="1539"/>
      <c r="BE3183" s="1539"/>
      <c r="BF3183" s="1539"/>
      <c r="BG3183" s="1539"/>
      <c r="BH3183" s="1539"/>
      <c r="BI3183" s="1539"/>
      <c r="BJ3183" s="1539"/>
      <c r="BK3183" s="1539"/>
      <c r="BL3183" s="1539"/>
      <c r="BM3183" s="1539"/>
      <c r="BN3183" s="1539"/>
      <c r="BO3183" s="1539"/>
      <c r="BP3183" s="1539"/>
      <c r="BQ3183" s="1539"/>
      <c r="BR3183" s="1539"/>
      <c r="BS3183" s="1539"/>
      <c r="BT3183" s="1539"/>
      <c r="BU3183" s="1539"/>
      <c r="BV3183" s="1539"/>
      <c r="BW3183" s="1539"/>
      <c r="BX3183" s="1539"/>
      <c r="BY3183" s="1539"/>
      <c r="BZ3183" s="1539"/>
      <c r="CA3183" s="1539"/>
      <c r="CB3183" s="1539"/>
      <c r="CC3183" s="1539"/>
      <c r="CD3183" s="1539"/>
      <c r="CE3183" s="1539"/>
      <c r="CF3183" s="1539"/>
      <c r="CG3183" s="1539"/>
      <c r="CH3183" s="1539"/>
      <c r="CI3183" s="1539"/>
      <c r="CJ3183" s="1539"/>
      <c r="CK3183" s="1539"/>
      <c r="CL3183" s="1539"/>
      <c r="CM3183" s="1539"/>
      <c r="CN3183" s="1539"/>
      <c r="CO3183" s="1539"/>
    </row>
    <row r="3184" spans="1:93" s="1542" customFormat="1" ht="15.5">
      <c r="A3184" s="1598">
        <v>76.146000000000001</v>
      </c>
      <c r="B3184" s="1599" t="s">
        <v>4594</v>
      </c>
      <c r="C3184" s="1643" t="e">
        <f>+SUMIF(#REF!,Final!A3184,#REF!)</f>
        <v>#REF!</v>
      </c>
      <c r="D3184" s="1597" t="e">
        <f>+SUMIF(#REF!,Final!A3184,#REF!)</f>
        <v>#REF!</v>
      </c>
      <c r="E3184" s="1643" t="e">
        <f>SUMIF(#REF!,Final!A3184,#REF!)</f>
        <v>#REF!</v>
      </c>
      <c r="F3184" s="1644" t="e">
        <f>SUMIF(#REF!,Final!A3184,#REF!)</f>
        <v>#REF!</v>
      </c>
      <c r="G3184" s="1597" t="e">
        <f t="shared" si="356"/>
        <v>#REF!</v>
      </c>
      <c r="H3184" s="1644" t="e">
        <f t="shared" si="357"/>
        <v>#REF!</v>
      </c>
      <c r="I3184" s="1597" t="e">
        <f t="shared" si="358"/>
        <v>#REF!</v>
      </c>
      <c r="J3184" s="1644" t="e">
        <f t="shared" si="359"/>
        <v>#REF!</v>
      </c>
      <c r="K3184" s="1539"/>
      <c r="L3184" s="1539"/>
      <c r="M3184" s="1545"/>
      <c r="N3184" s="1545"/>
      <c r="O3184" s="1539"/>
      <c r="P3184" s="1539"/>
      <c r="Q3184" s="1539"/>
      <c r="R3184" s="1539"/>
      <c r="S3184" s="1539"/>
      <c r="T3184" s="1539"/>
      <c r="U3184" s="1539"/>
      <c r="V3184" s="1539"/>
      <c r="W3184" s="1539"/>
      <c r="X3184" s="1539"/>
      <c r="Y3184" s="1539"/>
      <c r="Z3184" s="1539"/>
      <c r="AA3184" s="1539"/>
      <c r="AB3184" s="1539"/>
      <c r="AC3184" s="1539"/>
      <c r="AD3184" s="1539"/>
      <c r="AE3184" s="1539"/>
      <c r="AF3184" s="1539"/>
      <c r="AG3184" s="1539"/>
      <c r="AH3184" s="1539"/>
      <c r="AI3184" s="1539"/>
      <c r="AJ3184" s="1539"/>
      <c r="AK3184" s="1539"/>
      <c r="AL3184" s="1539"/>
      <c r="AM3184" s="1539"/>
      <c r="AN3184" s="1539"/>
      <c r="AO3184" s="1539"/>
      <c r="AP3184" s="1539"/>
      <c r="AQ3184" s="1539"/>
      <c r="AR3184" s="1539"/>
      <c r="AS3184" s="1539"/>
      <c r="AT3184" s="1539"/>
      <c r="AU3184" s="1539"/>
      <c r="AV3184" s="1539"/>
      <c r="AW3184" s="1539"/>
      <c r="AX3184" s="1539"/>
      <c r="AY3184" s="1539"/>
      <c r="AZ3184" s="1539"/>
      <c r="BA3184" s="1539"/>
      <c r="BB3184" s="1539"/>
      <c r="BC3184" s="1539"/>
      <c r="BD3184" s="1539"/>
      <c r="BE3184" s="1539"/>
      <c r="BF3184" s="1539"/>
      <c r="BG3184" s="1539"/>
      <c r="BH3184" s="1539"/>
      <c r="BI3184" s="1539"/>
      <c r="BJ3184" s="1539"/>
      <c r="BK3184" s="1539"/>
      <c r="BL3184" s="1539"/>
      <c r="BM3184" s="1539"/>
      <c r="BN3184" s="1539"/>
      <c r="BO3184" s="1539"/>
      <c r="BP3184" s="1539"/>
      <c r="BQ3184" s="1539"/>
      <c r="BR3184" s="1539"/>
      <c r="BS3184" s="1539"/>
      <c r="BT3184" s="1539"/>
      <c r="BU3184" s="1539"/>
      <c r="BV3184" s="1539"/>
      <c r="BW3184" s="1539"/>
      <c r="BX3184" s="1539"/>
      <c r="BY3184" s="1539"/>
      <c r="BZ3184" s="1539"/>
      <c r="CA3184" s="1539"/>
      <c r="CB3184" s="1539"/>
      <c r="CC3184" s="1539"/>
      <c r="CD3184" s="1539"/>
      <c r="CE3184" s="1539"/>
      <c r="CF3184" s="1539"/>
      <c r="CG3184" s="1539"/>
      <c r="CH3184" s="1539"/>
      <c r="CI3184" s="1539"/>
      <c r="CJ3184" s="1539"/>
      <c r="CK3184" s="1539"/>
      <c r="CL3184" s="1539"/>
      <c r="CM3184" s="1539"/>
      <c r="CN3184" s="1539"/>
      <c r="CO3184" s="1539"/>
    </row>
    <row r="3185" spans="1:93" s="1542" customFormat="1" ht="15.5">
      <c r="A3185" s="1598">
        <v>76.149000000000001</v>
      </c>
      <c r="B3185" s="1599" t="s">
        <v>4595</v>
      </c>
      <c r="C3185" s="1643" t="e">
        <f>+SUMIF(#REF!,Final!A3185,#REF!)</f>
        <v>#REF!</v>
      </c>
      <c r="D3185" s="1597" t="e">
        <f>+SUMIF(#REF!,Final!A3185,#REF!)</f>
        <v>#REF!</v>
      </c>
      <c r="E3185" s="1643" t="e">
        <f>SUMIF(#REF!,Final!A3185,#REF!)</f>
        <v>#REF!</v>
      </c>
      <c r="F3185" s="1644" t="e">
        <f>SUMIF(#REF!,Final!A3185,#REF!)</f>
        <v>#REF!</v>
      </c>
      <c r="G3185" s="1597" t="e">
        <f t="shared" si="356"/>
        <v>#REF!</v>
      </c>
      <c r="H3185" s="1644" t="e">
        <f t="shared" si="357"/>
        <v>#REF!</v>
      </c>
      <c r="I3185" s="1597" t="e">
        <f t="shared" si="358"/>
        <v>#REF!</v>
      </c>
      <c r="J3185" s="1644" t="e">
        <f t="shared" si="359"/>
        <v>#REF!</v>
      </c>
      <c r="K3185" s="1539"/>
      <c r="L3185" s="1539"/>
      <c r="M3185" s="1545"/>
      <c r="N3185" s="1545"/>
      <c r="O3185" s="1539"/>
      <c r="P3185" s="1539"/>
      <c r="Q3185" s="1539"/>
      <c r="R3185" s="1539"/>
      <c r="S3185" s="1539"/>
      <c r="T3185" s="1539"/>
      <c r="U3185" s="1539"/>
      <c r="V3185" s="1539"/>
      <c r="W3185" s="1539"/>
      <c r="X3185" s="1539"/>
      <c r="Y3185" s="1539"/>
      <c r="Z3185" s="1539"/>
      <c r="AA3185" s="1539"/>
      <c r="AB3185" s="1539"/>
      <c r="AC3185" s="1539"/>
      <c r="AD3185" s="1539"/>
      <c r="AE3185" s="1539"/>
      <c r="AF3185" s="1539"/>
      <c r="AG3185" s="1539"/>
      <c r="AH3185" s="1539"/>
      <c r="AI3185" s="1539"/>
      <c r="AJ3185" s="1539"/>
      <c r="AK3185" s="1539"/>
      <c r="AL3185" s="1539"/>
      <c r="AM3185" s="1539"/>
      <c r="AN3185" s="1539"/>
      <c r="AO3185" s="1539"/>
      <c r="AP3185" s="1539"/>
      <c r="AQ3185" s="1539"/>
      <c r="AR3185" s="1539"/>
      <c r="AS3185" s="1539"/>
      <c r="AT3185" s="1539"/>
      <c r="AU3185" s="1539"/>
      <c r="AV3185" s="1539"/>
      <c r="AW3185" s="1539"/>
      <c r="AX3185" s="1539"/>
      <c r="AY3185" s="1539"/>
      <c r="AZ3185" s="1539"/>
      <c r="BA3185" s="1539"/>
      <c r="BB3185" s="1539"/>
      <c r="BC3185" s="1539"/>
      <c r="BD3185" s="1539"/>
      <c r="BE3185" s="1539"/>
      <c r="BF3185" s="1539"/>
      <c r="BG3185" s="1539"/>
      <c r="BH3185" s="1539"/>
      <c r="BI3185" s="1539"/>
      <c r="BJ3185" s="1539"/>
      <c r="BK3185" s="1539"/>
      <c r="BL3185" s="1539"/>
      <c r="BM3185" s="1539"/>
      <c r="BN3185" s="1539"/>
      <c r="BO3185" s="1539"/>
      <c r="BP3185" s="1539"/>
      <c r="BQ3185" s="1539"/>
      <c r="BR3185" s="1539"/>
      <c r="BS3185" s="1539"/>
      <c r="BT3185" s="1539"/>
      <c r="BU3185" s="1539"/>
      <c r="BV3185" s="1539"/>
      <c r="BW3185" s="1539"/>
      <c r="BX3185" s="1539"/>
      <c r="BY3185" s="1539"/>
      <c r="BZ3185" s="1539"/>
      <c r="CA3185" s="1539"/>
      <c r="CB3185" s="1539"/>
      <c r="CC3185" s="1539"/>
      <c r="CD3185" s="1539"/>
      <c r="CE3185" s="1539"/>
      <c r="CF3185" s="1539"/>
      <c r="CG3185" s="1539"/>
      <c r="CH3185" s="1539"/>
      <c r="CI3185" s="1539"/>
      <c r="CJ3185" s="1539"/>
      <c r="CK3185" s="1539"/>
      <c r="CL3185" s="1539"/>
      <c r="CM3185" s="1539"/>
      <c r="CN3185" s="1539"/>
      <c r="CO3185" s="1539"/>
    </row>
    <row r="3186" spans="1:93" s="1542" customFormat="1" ht="15.5">
      <c r="A3186" s="1684" t="s">
        <v>5081</v>
      </c>
      <c r="B3186" s="1703" t="s">
        <v>5082</v>
      </c>
      <c r="C3186" s="1643" t="e">
        <f>+SUMIF(#REF!,Final!A3186,#REF!)</f>
        <v>#REF!</v>
      </c>
      <c r="D3186" s="1597" t="e">
        <f>+SUMIF(#REF!,Final!A3186,#REF!)</f>
        <v>#REF!</v>
      </c>
      <c r="E3186" s="1643" t="e">
        <f>SUMIF(#REF!,Final!A3186,#REF!)</f>
        <v>#REF!</v>
      </c>
      <c r="F3186" s="1644" t="e">
        <f>SUMIF(#REF!,Final!A3186,#REF!)</f>
        <v>#REF!</v>
      </c>
      <c r="G3186" s="1597" t="e">
        <f t="shared" si="356"/>
        <v>#REF!</v>
      </c>
      <c r="H3186" s="1644" t="e">
        <f t="shared" si="357"/>
        <v>#REF!</v>
      </c>
      <c r="I3186" s="1597" t="e">
        <f t="shared" si="358"/>
        <v>#REF!</v>
      </c>
      <c r="J3186" s="1644" t="e">
        <f t="shared" si="359"/>
        <v>#REF!</v>
      </c>
      <c r="K3186" s="1539"/>
      <c r="L3186" s="1539"/>
      <c r="M3186" s="1545"/>
      <c r="N3186" s="1545"/>
      <c r="O3186" s="1539"/>
      <c r="P3186" s="1539"/>
      <c r="Q3186" s="1539"/>
      <c r="R3186" s="1539"/>
      <c r="S3186" s="1539"/>
      <c r="T3186" s="1539"/>
      <c r="U3186" s="1539"/>
      <c r="V3186" s="1539"/>
      <c r="W3186" s="1539"/>
      <c r="X3186" s="1539"/>
      <c r="Y3186" s="1539"/>
      <c r="Z3186" s="1539"/>
      <c r="AA3186" s="1539"/>
      <c r="AB3186" s="1539"/>
      <c r="AC3186" s="1539"/>
      <c r="AD3186" s="1539"/>
      <c r="AE3186" s="1539"/>
      <c r="AF3186" s="1539"/>
      <c r="AG3186" s="1539"/>
      <c r="AH3186" s="1539"/>
      <c r="AI3186" s="1539"/>
      <c r="AJ3186" s="1539"/>
      <c r="AK3186" s="1539"/>
      <c r="AL3186" s="1539"/>
      <c r="AM3186" s="1539"/>
      <c r="AN3186" s="1539"/>
      <c r="AO3186" s="1539"/>
      <c r="AP3186" s="1539"/>
      <c r="AQ3186" s="1539"/>
      <c r="AR3186" s="1539"/>
      <c r="AS3186" s="1539"/>
      <c r="AT3186" s="1539"/>
      <c r="AU3186" s="1539"/>
      <c r="AV3186" s="1539"/>
      <c r="AW3186" s="1539"/>
      <c r="AX3186" s="1539"/>
      <c r="AY3186" s="1539"/>
      <c r="AZ3186" s="1539"/>
      <c r="BA3186" s="1539"/>
      <c r="BB3186" s="1539"/>
      <c r="BC3186" s="1539"/>
      <c r="BD3186" s="1539"/>
      <c r="BE3186" s="1539"/>
      <c r="BF3186" s="1539"/>
      <c r="BG3186" s="1539"/>
      <c r="BH3186" s="1539"/>
      <c r="BI3186" s="1539"/>
      <c r="BJ3186" s="1539"/>
      <c r="BK3186" s="1539"/>
      <c r="BL3186" s="1539"/>
      <c r="BM3186" s="1539"/>
      <c r="BN3186" s="1539"/>
      <c r="BO3186" s="1539"/>
      <c r="BP3186" s="1539"/>
      <c r="BQ3186" s="1539"/>
      <c r="BR3186" s="1539"/>
      <c r="BS3186" s="1539"/>
      <c r="BT3186" s="1539"/>
      <c r="BU3186" s="1539"/>
      <c r="BV3186" s="1539"/>
      <c r="BW3186" s="1539"/>
      <c r="BX3186" s="1539"/>
      <c r="BY3186" s="1539"/>
      <c r="BZ3186" s="1539"/>
      <c r="CA3186" s="1539"/>
      <c r="CB3186" s="1539"/>
      <c r="CC3186" s="1539"/>
      <c r="CD3186" s="1539"/>
      <c r="CE3186" s="1539"/>
      <c r="CF3186" s="1539"/>
      <c r="CG3186" s="1539"/>
      <c r="CH3186" s="1539"/>
      <c r="CI3186" s="1539"/>
      <c r="CJ3186" s="1539"/>
      <c r="CK3186" s="1539"/>
      <c r="CL3186" s="1539"/>
      <c r="CM3186" s="1539"/>
      <c r="CN3186" s="1539"/>
      <c r="CO3186" s="1539"/>
    </row>
    <row r="3187" spans="1:93" s="1542" customFormat="1" ht="15.5">
      <c r="A3187" s="1684" t="s">
        <v>5083</v>
      </c>
      <c r="B3187" s="1703" t="s">
        <v>5084</v>
      </c>
      <c r="C3187" s="1643" t="e">
        <f>+SUMIF(#REF!,Final!A3187,#REF!)</f>
        <v>#REF!</v>
      </c>
      <c r="D3187" s="1597" t="e">
        <f>+SUMIF(#REF!,Final!A3187,#REF!)</f>
        <v>#REF!</v>
      </c>
      <c r="E3187" s="1643" t="e">
        <f>SUMIF(#REF!,Final!A3187,#REF!)</f>
        <v>#REF!</v>
      </c>
      <c r="F3187" s="1644" t="e">
        <f>SUMIF(#REF!,Final!A3187,#REF!)</f>
        <v>#REF!</v>
      </c>
      <c r="G3187" s="1597" t="e">
        <f t="shared" si="356"/>
        <v>#REF!</v>
      </c>
      <c r="H3187" s="1644" t="e">
        <f t="shared" si="357"/>
        <v>#REF!</v>
      </c>
      <c r="I3187" s="1597" t="e">
        <f t="shared" si="358"/>
        <v>#REF!</v>
      </c>
      <c r="J3187" s="1644" t="e">
        <f t="shared" si="359"/>
        <v>#REF!</v>
      </c>
      <c r="K3187" s="1539"/>
      <c r="L3187" s="1539"/>
      <c r="M3187" s="1545"/>
      <c r="N3187" s="1545"/>
      <c r="O3187" s="1539"/>
      <c r="P3187" s="1539"/>
      <c r="Q3187" s="1539"/>
      <c r="R3187" s="1539"/>
      <c r="S3187" s="1539"/>
      <c r="T3187" s="1539"/>
      <c r="U3187" s="1539"/>
      <c r="V3187" s="1539"/>
      <c r="W3187" s="1539"/>
      <c r="X3187" s="1539"/>
      <c r="Y3187" s="1539"/>
      <c r="Z3187" s="1539"/>
      <c r="AA3187" s="1539"/>
      <c r="AB3187" s="1539"/>
      <c r="AC3187" s="1539"/>
      <c r="AD3187" s="1539"/>
      <c r="AE3187" s="1539"/>
      <c r="AF3187" s="1539"/>
      <c r="AG3187" s="1539"/>
      <c r="AH3187" s="1539"/>
      <c r="AI3187" s="1539"/>
      <c r="AJ3187" s="1539"/>
      <c r="AK3187" s="1539"/>
      <c r="AL3187" s="1539"/>
      <c r="AM3187" s="1539"/>
      <c r="AN3187" s="1539"/>
      <c r="AO3187" s="1539"/>
      <c r="AP3187" s="1539"/>
      <c r="AQ3187" s="1539"/>
      <c r="AR3187" s="1539"/>
      <c r="AS3187" s="1539"/>
      <c r="AT3187" s="1539"/>
      <c r="AU3187" s="1539"/>
      <c r="AV3187" s="1539"/>
      <c r="AW3187" s="1539"/>
      <c r="AX3187" s="1539"/>
      <c r="AY3187" s="1539"/>
      <c r="AZ3187" s="1539"/>
      <c r="BA3187" s="1539"/>
      <c r="BB3187" s="1539"/>
      <c r="BC3187" s="1539"/>
      <c r="BD3187" s="1539"/>
      <c r="BE3187" s="1539"/>
      <c r="BF3187" s="1539"/>
      <c r="BG3187" s="1539"/>
      <c r="BH3187" s="1539"/>
      <c r="BI3187" s="1539"/>
      <c r="BJ3187" s="1539"/>
      <c r="BK3187" s="1539"/>
      <c r="BL3187" s="1539"/>
      <c r="BM3187" s="1539"/>
      <c r="BN3187" s="1539"/>
      <c r="BO3187" s="1539"/>
      <c r="BP3187" s="1539"/>
      <c r="BQ3187" s="1539"/>
      <c r="BR3187" s="1539"/>
      <c r="BS3187" s="1539"/>
      <c r="BT3187" s="1539"/>
      <c r="BU3187" s="1539"/>
      <c r="BV3187" s="1539"/>
      <c r="BW3187" s="1539"/>
      <c r="BX3187" s="1539"/>
      <c r="BY3187" s="1539"/>
      <c r="BZ3187" s="1539"/>
      <c r="CA3187" s="1539"/>
      <c r="CB3187" s="1539"/>
      <c r="CC3187" s="1539"/>
      <c r="CD3187" s="1539"/>
      <c r="CE3187" s="1539"/>
      <c r="CF3187" s="1539"/>
      <c r="CG3187" s="1539"/>
      <c r="CH3187" s="1539"/>
      <c r="CI3187" s="1539"/>
      <c r="CJ3187" s="1539"/>
      <c r="CK3187" s="1539"/>
      <c r="CL3187" s="1539"/>
      <c r="CM3187" s="1539"/>
      <c r="CN3187" s="1539"/>
      <c r="CO3187" s="1539"/>
    </row>
    <row r="3188" spans="1:93" s="1542" customFormat="1" ht="15.5">
      <c r="A3188" s="1684" t="s">
        <v>5085</v>
      </c>
      <c r="B3188" s="1703" t="s">
        <v>5086</v>
      </c>
      <c r="C3188" s="1643" t="e">
        <f>+SUMIF(#REF!,Final!A3188,#REF!)</f>
        <v>#REF!</v>
      </c>
      <c r="D3188" s="1597" t="e">
        <f>+SUMIF(#REF!,Final!A3188,#REF!)</f>
        <v>#REF!</v>
      </c>
      <c r="E3188" s="1643" t="e">
        <f>SUMIF(#REF!,Final!A3188,#REF!)</f>
        <v>#REF!</v>
      </c>
      <c r="F3188" s="1644" t="e">
        <f>SUMIF(#REF!,Final!A3188,#REF!)</f>
        <v>#REF!</v>
      </c>
      <c r="G3188" s="1597" t="e">
        <f t="shared" si="356"/>
        <v>#REF!</v>
      </c>
      <c r="H3188" s="1644" t="e">
        <f t="shared" si="357"/>
        <v>#REF!</v>
      </c>
      <c r="I3188" s="1597" t="e">
        <f t="shared" si="358"/>
        <v>#REF!</v>
      </c>
      <c r="J3188" s="1644" t="e">
        <f t="shared" si="359"/>
        <v>#REF!</v>
      </c>
      <c r="K3188" s="1539"/>
      <c r="L3188" s="1539"/>
      <c r="M3188" s="1545"/>
      <c r="N3188" s="1545"/>
      <c r="O3188" s="1539"/>
      <c r="P3188" s="1539"/>
      <c r="Q3188" s="1539"/>
      <c r="R3188" s="1539"/>
      <c r="S3188" s="1539"/>
      <c r="T3188" s="1539"/>
      <c r="U3188" s="1539"/>
      <c r="V3188" s="1539"/>
      <c r="W3188" s="1539"/>
      <c r="X3188" s="1539"/>
      <c r="Y3188" s="1539"/>
      <c r="Z3188" s="1539"/>
      <c r="AA3188" s="1539"/>
      <c r="AB3188" s="1539"/>
      <c r="AC3188" s="1539"/>
      <c r="AD3188" s="1539"/>
      <c r="AE3188" s="1539"/>
      <c r="AF3188" s="1539"/>
      <c r="AG3188" s="1539"/>
      <c r="AH3188" s="1539"/>
      <c r="AI3188" s="1539"/>
      <c r="AJ3188" s="1539"/>
      <c r="AK3188" s="1539"/>
      <c r="AL3188" s="1539"/>
      <c r="AM3188" s="1539"/>
      <c r="AN3188" s="1539"/>
      <c r="AO3188" s="1539"/>
      <c r="AP3188" s="1539"/>
      <c r="AQ3188" s="1539"/>
      <c r="AR3188" s="1539"/>
      <c r="AS3188" s="1539"/>
      <c r="AT3188" s="1539"/>
      <c r="AU3188" s="1539"/>
      <c r="AV3188" s="1539"/>
      <c r="AW3188" s="1539"/>
      <c r="AX3188" s="1539"/>
      <c r="AY3188" s="1539"/>
      <c r="AZ3188" s="1539"/>
      <c r="BA3188" s="1539"/>
      <c r="BB3188" s="1539"/>
      <c r="BC3188" s="1539"/>
      <c r="BD3188" s="1539"/>
      <c r="BE3188" s="1539"/>
      <c r="BF3188" s="1539"/>
      <c r="BG3188" s="1539"/>
      <c r="BH3188" s="1539"/>
      <c r="BI3188" s="1539"/>
      <c r="BJ3188" s="1539"/>
      <c r="BK3188" s="1539"/>
      <c r="BL3188" s="1539"/>
      <c r="BM3188" s="1539"/>
      <c r="BN3188" s="1539"/>
      <c r="BO3188" s="1539"/>
      <c r="BP3188" s="1539"/>
      <c r="BQ3188" s="1539"/>
      <c r="BR3188" s="1539"/>
      <c r="BS3188" s="1539"/>
      <c r="BT3188" s="1539"/>
      <c r="BU3188" s="1539"/>
      <c r="BV3188" s="1539"/>
      <c r="BW3188" s="1539"/>
      <c r="BX3188" s="1539"/>
      <c r="BY3188" s="1539"/>
      <c r="BZ3188" s="1539"/>
      <c r="CA3188" s="1539"/>
      <c r="CB3188" s="1539"/>
      <c r="CC3188" s="1539"/>
      <c r="CD3188" s="1539"/>
      <c r="CE3188" s="1539"/>
      <c r="CF3188" s="1539"/>
      <c r="CG3188" s="1539"/>
      <c r="CH3188" s="1539"/>
      <c r="CI3188" s="1539"/>
      <c r="CJ3188" s="1539"/>
      <c r="CK3188" s="1539"/>
      <c r="CL3188" s="1539"/>
      <c r="CM3188" s="1539"/>
      <c r="CN3188" s="1539"/>
      <c r="CO3188" s="1539"/>
    </row>
    <row r="3189" spans="1:93" s="1542" customFormat="1" ht="15.5">
      <c r="A3189" s="1684" t="s">
        <v>5087</v>
      </c>
      <c r="B3189" s="1703" t="s">
        <v>5088</v>
      </c>
      <c r="C3189" s="1643" t="e">
        <f>+SUMIF(#REF!,Final!A3189,#REF!)</f>
        <v>#REF!</v>
      </c>
      <c r="D3189" s="1597" t="e">
        <f>+SUMIF(#REF!,Final!A3189,#REF!)</f>
        <v>#REF!</v>
      </c>
      <c r="E3189" s="1643" t="e">
        <f>SUMIF(#REF!,Final!A3189,#REF!)</f>
        <v>#REF!</v>
      </c>
      <c r="F3189" s="1644" t="e">
        <f>SUMIF(#REF!,Final!A3189,#REF!)</f>
        <v>#REF!</v>
      </c>
      <c r="G3189" s="1597" t="e">
        <f t="shared" si="356"/>
        <v>#REF!</v>
      </c>
      <c r="H3189" s="1644" t="e">
        <f t="shared" si="357"/>
        <v>#REF!</v>
      </c>
      <c r="I3189" s="1597" t="e">
        <f t="shared" si="358"/>
        <v>#REF!</v>
      </c>
      <c r="J3189" s="1644" t="e">
        <f t="shared" si="359"/>
        <v>#REF!</v>
      </c>
      <c r="K3189" s="1539"/>
      <c r="L3189" s="1539"/>
      <c r="M3189" s="1545"/>
      <c r="N3189" s="1545"/>
      <c r="O3189" s="1539"/>
      <c r="P3189" s="1539"/>
      <c r="Q3189" s="1539"/>
      <c r="R3189" s="1539"/>
      <c r="S3189" s="1539"/>
      <c r="T3189" s="1539"/>
      <c r="U3189" s="1539"/>
      <c r="V3189" s="1539"/>
      <c r="W3189" s="1539"/>
      <c r="X3189" s="1539"/>
      <c r="Y3189" s="1539"/>
      <c r="Z3189" s="1539"/>
      <c r="AA3189" s="1539"/>
      <c r="AB3189" s="1539"/>
      <c r="AC3189" s="1539"/>
      <c r="AD3189" s="1539"/>
      <c r="AE3189" s="1539"/>
      <c r="AF3189" s="1539"/>
      <c r="AG3189" s="1539"/>
      <c r="AH3189" s="1539"/>
      <c r="AI3189" s="1539"/>
      <c r="AJ3189" s="1539"/>
      <c r="AK3189" s="1539"/>
      <c r="AL3189" s="1539"/>
      <c r="AM3189" s="1539"/>
      <c r="AN3189" s="1539"/>
      <c r="AO3189" s="1539"/>
      <c r="AP3189" s="1539"/>
      <c r="AQ3189" s="1539"/>
      <c r="AR3189" s="1539"/>
      <c r="AS3189" s="1539"/>
      <c r="AT3189" s="1539"/>
      <c r="AU3189" s="1539"/>
      <c r="AV3189" s="1539"/>
      <c r="AW3189" s="1539"/>
      <c r="AX3189" s="1539"/>
      <c r="AY3189" s="1539"/>
      <c r="AZ3189" s="1539"/>
      <c r="BA3189" s="1539"/>
      <c r="BB3189" s="1539"/>
      <c r="BC3189" s="1539"/>
      <c r="BD3189" s="1539"/>
      <c r="BE3189" s="1539"/>
      <c r="BF3189" s="1539"/>
      <c r="BG3189" s="1539"/>
      <c r="BH3189" s="1539"/>
      <c r="BI3189" s="1539"/>
      <c r="BJ3189" s="1539"/>
      <c r="BK3189" s="1539"/>
      <c r="BL3189" s="1539"/>
      <c r="BM3189" s="1539"/>
      <c r="BN3189" s="1539"/>
      <c r="BO3189" s="1539"/>
      <c r="BP3189" s="1539"/>
      <c r="BQ3189" s="1539"/>
      <c r="BR3189" s="1539"/>
      <c r="BS3189" s="1539"/>
      <c r="BT3189" s="1539"/>
      <c r="BU3189" s="1539"/>
      <c r="BV3189" s="1539"/>
      <c r="BW3189" s="1539"/>
      <c r="BX3189" s="1539"/>
      <c r="BY3189" s="1539"/>
      <c r="BZ3189" s="1539"/>
      <c r="CA3189" s="1539"/>
      <c r="CB3189" s="1539"/>
      <c r="CC3189" s="1539"/>
      <c r="CD3189" s="1539"/>
      <c r="CE3189" s="1539"/>
      <c r="CF3189" s="1539"/>
      <c r="CG3189" s="1539"/>
      <c r="CH3189" s="1539"/>
      <c r="CI3189" s="1539"/>
      <c r="CJ3189" s="1539"/>
      <c r="CK3189" s="1539"/>
      <c r="CL3189" s="1539"/>
      <c r="CM3189" s="1539"/>
      <c r="CN3189" s="1539"/>
      <c r="CO3189" s="1539"/>
    </row>
    <row r="3190" spans="1:93" s="1542" customFormat="1" ht="15.5">
      <c r="A3190" s="1684" t="s">
        <v>5089</v>
      </c>
      <c r="B3190" s="1703" t="s">
        <v>5090</v>
      </c>
      <c r="C3190" s="1643" t="e">
        <f>+SUMIF(#REF!,Final!A3190,#REF!)</f>
        <v>#REF!</v>
      </c>
      <c r="D3190" s="1597" t="e">
        <f>+SUMIF(#REF!,Final!A3190,#REF!)</f>
        <v>#REF!</v>
      </c>
      <c r="E3190" s="1643" t="e">
        <f>SUMIF(#REF!,Final!A3190,#REF!)</f>
        <v>#REF!</v>
      </c>
      <c r="F3190" s="1644" t="e">
        <f>SUMIF(#REF!,Final!A3190,#REF!)</f>
        <v>#REF!</v>
      </c>
      <c r="G3190" s="1597" t="e">
        <f t="shared" si="356"/>
        <v>#REF!</v>
      </c>
      <c r="H3190" s="1644" t="e">
        <f t="shared" si="357"/>
        <v>#REF!</v>
      </c>
      <c r="I3190" s="1597" t="e">
        <f t="shared" si="358"/>
        <v>#REF!</v>
      </c>
      <c r="J3190" s="1644" t="e">
        <f t="shared" si="359"/>
        <v>#REF!</v>
      </c>
      <c r="K3190" s="1539"/>
      <c r="L3190" s="1539"/>
      <c r="M3190" s="1545"/>
      <c r="N3190" s="1545"/>
      <c r="O3190" s="1539"/>
      <c r="P3190" s="1539"/>
      <c r="Q3190" s="1539"/>
      <c r="R3190" s="1539"/>
      <c r="S3190" s="1539"/>
      <c r="T3190" s="1539"/>
      <c r="U3190" s="1539"/>
      <c r="V3190" s="1539"/>
      <c r="W3190" s="1539"/>
      <c r="X3190" s="1539"/>
      <c r="Y3190" s="1539"/>
      <c r="Z3190" s="1539"/>
      <c r="AA3190" s="1539"/>
      <c r="AB3190" s="1539"/>
      <c r="AC3190" s="1539"/>
      <c r="AD3190" s="1539"/>
      <c r="AE3190" s="1539"/>
      <c r="AF3190" s="1539"/>
      <c r="AG3190" s="1539"/>
      <c r="AH3190" s="1539"/>
      <c r="AI3190" s="1539"/>
      <c r="AJ3190" s="1539"/>
      <c r="AK3190" s="1539"/>
      <c r="AL3190" s="1539"/>
      <c r="AM3190" s="1539"/>
      <c r="AN3190" s="1539"/>
      <c r="AO3190" s="1539"/>
      <c r="AP3190" s="1539"/>
      <c r="AQ3190" s="1539"/>
      <c r="AR3190" s="1539"/>
      <c r="AS3190" s="1539"/>
      <c r="AT3190" s="1539"/>
      <c r="AU3190" s="1539"/>
      <c r="AV3190" s="1539"/>
      <c r="AW3190" s="1539"/>
      <c r="AX3190" s="1539"/>
      <c r="AY3190" s="1539"/>
      <c r="AZ3190" s="1539"/>
      <c r="BA3190" s="1539"/>
      <c r="BB3190" s="1539"/>
      <c r="BC3190" s="1539"/>
      <c r="BD3190" s="1539"/>
      <c r="BE3190" s="1539"/>
      <c r="BF3190" s="1539"/>
      <c r="BG3190" s="1539"/>
      <c r="BH3190" s="1539"/>
      <c r="BI3190" s="1539"/>
      <c r="BJ3190" s="1539"/>
      <c r="BK3190" s="1539"/>
      <c r="BL3190" s="1539"/>
      <c r="BM3190" s="1539"/>
      <c r="BN3190" s="1539"/>
      <c r="BO3190" s="1539"/>
      <c r="BP3190" s="1539"/>
      <c r="BQ3190" s="1539"/>
      <c r="BR3190" s="1539"/>
      <c r="BS3190" s="1539"/>
      <c r="BT3190" s="1539"/>
      <c r="BU3190" s="1539"/>
      <c r="BV3190" s="1539"/>
      <c r="BW3190" s="1539"/>
      <c r="BX3190" s="1539"/>
      <c r="BY3190" s="1539"/>
      <c r="BZ3190" s="1539"/>
      <c r="CA3190" s="1539"/>
      <c r="CB3190" s="1539"/>
      <c r="CC3190" s="1539"/>
      <c r="CD3190" s="1539"/>
      <c r="CE3190" s="1539"/>
      <c r="CF3190" s="1539"/>
      <c r="CG3190" s="1539"/>
      <c r="CH3190" s="1539"/>
      <c r="CI3190" s="1539"/>
      <c r="CJ3190" s="1539"/>
      <c r="CK3190" s="1539"/>
      <c r="CL3190" s="1539"/>
      <c r="CM3190" s="1539"/>
      <c r="CN3190" s="1539"/>
      <c r="CO3190" s="1539"/>
    </row>
    <row r="3191" spans="1:93" s="1542" customFormat="1" ht="15.5">
      <c r="A3191" s="1786" t="s">
        <v>5310</v>
      </c>
      <c r="B3191" s="1787" t="s">
        <v>3978</v>
      </c>
      <c r="C3191" s="1643" t="e">
        <f>+SUMIF(#REF!,Final!A3191,#REF!)</f>
        <v>#REF!</v>
      </c>
      <c r="D3191" s="1597" t="e">
        <f>+SUMIF(#REF!,Final!A3191,#REF!)</f>
        <v>#REF!</v>
      </c>
      <c r="E3191" s="1643" t="e">
        <f>SUMIF(#REF!,Final!A3191,#REF!)</f>
        <v>#REF!</v>
      </c>
      <c r="F3191" s="1644" t="e">
        <f>SUMIF(#REF!,Final!A3191,#REF!)</f>
        <v>#REF!</v>
      </c>
      <c r="G3191" s="1597" t="e">
        <f t="shared" ref="G3191:G3195" si="360">C3191+E3191</f>
        <v>#REF!</v>
      </c>
      <c r="H3191" s="1644" t="e">
        <f t="shared" ref="H3191:H3195" si="361">D3191+F3191</f>
        <v>#REF!</v>
      </c>
      <c r="I3191" s="1597" t="e">
        <f t="shared" ref="I3191:I3195" si="362">IF(G3191&gt;H3191,G3191-H3191,0)</f>
        <v>#REF!</v>
      </c>
      <c r="J3191" s="1644" t="e">
        <f t="shared" ref="J3191:J3195" si="363">IF(H3191&gt;G3191,H3191-G3191,0)</f>
        <v>#REF!</v>
      </c>
      <c r="K3191" s="1539"/>
      <c r="L3191" s="1539"/>
      <c r="M3191" s="1545"/>
      <c r="N3191" s="1545"/>
      <c r="O3191" s="1539"/>
      <c r="P3191" s="1539"/>
      <c r="Q3191" s="1539"/>
      <c r="R3191" s="1539"/>
      <c r="S3191" s="1539"/>
      <c r="T3191" s="1539"/>
      <c r="U3191" s="1539"/>
      <c r="V3191" s="1539"/>
      <c r="W3191" s="1539"/>
      <c r="X3191" s="1539"/>
      <c r="Y3191" s="1539"/>
      <c r="Z3191" s="1539"/>
      <c r="AA3191" s="1539"/>
      <c r="AB3191" s="1539"/>
      <c r="AC3191" s="1539"/>
      <c r="AD3191" s="1539"/>
      <c r="AE3191" s="1539"/>
      <c r="AF3191" s="1539"/>
      <c r="AG3191" s="1539"/>
      <c r="AH3191" s="1539"/>
      <c r="AI3191" s="1539"/>
      <c r="AJ3191" s="1539"/>
      <c r="AK3191" s="1539"/>
      <c r="AL3191" s="1539"/>
      <c r="AM3191" s="1539"/>
      <c r="AN3191" s="1539"/>
      <c r="AO3191" s="1539"/>
      <c r="AP3191" s="1539"/>
      <c r="AQ3191" s="1539"/>
      <c r="AR3191" s="1539"/>
      <c r="AS3191" s="1539"/>
      <c r="AT3191" s="1539"/>
      <c r="AU3191" s="1539"/>
      <c r="AV3191" s="1539"/>
      <c r="AW3191" s="1539"/>
      <c r="AX3191" s="1539"/>
      <c r="AY3191" s="1539"/>
      <c r="AZ3191" s="1539"/>
      <c r="BA3191" s="1539"/>
      <c r="BB3191" s="1539"/>
      <c r="BC3191" s="1539"/>
      <c r="BD3191" s="1539"/>
      <c r="BE3191" s="1539"/>
      <c r="BF3191" s="1539"/>
      <c r="BG3191" s="1539"/>
      <c r="BH3191" s="1539"/>
      <c r="BI3191" s="1539"/>
      <c r="BJ3191" s="1539"/>
      <c r="BK3191" s="1539"/>
      <c r="BL3191" s="1539"/>
      <c r="BM3191" s="1539"/>
      <c r="BN3191" s="1539"/>
      <c r="BO3191" s="1539"/>
      <c r="BP3191" s="1539"/>
      <c r="BQ3191" s="1539"/>
      <c r="BR3191" s="1539"/>
      <c r="BS3191" s="1539"/>
      <c r="BT3191" s="1539"/>
      <c r="BU3191" s="1539"/>
      <c r="BV3191" s="1539"/>
      <c r="BW3191" s="1539"/>
      <c r="BX3191" s="1539"/>
      <c r="BY3191" s="1539"/>
      <c r="BZ3191" s="1539"/>
      <c r="CA3191" s="1539"/>
      <c r="CB3191" s="1539"/>
      <c r="CC3191" s="1539"/>
      <c r="CD3191" s="1539"/>
      <c r="CE3191" s="1539"/>
      <c r="CF3191" s="1539"/>
      <c r="CG3191" s="1539"/>
      <c r="CH3191" s="1539"/>
      <c r="CI3191" s="1539"/>
      <c r="CJ3191" s="1539"/>
      <c r="CK3191" s="1539"/>
      <c r="CL3191" s="1539"/>
      <c r="CM3191" s="1539"/>
      <c r="CN3191" s="1539"/>
      <c r="CO3191" s="1539"/>
    </row>
    <row r="3192" spans="1:93" s="1542" customFormat="1" ht="15.5">
      <c r="A3192" s="1786" t="s">
        <v>5311</v>
      </c>
      <c r="B3192" s="1787" t="s">
        <v>3980</v>
      </c>
      <c r="C3192" s="1643" t="e">
        <f>+SUMIF(#REF!,Final!A3192,#REF!)</f>
        <v>#REF!</v>
      </c>
      <c r="D3192" s="1597" t="e">
        <f>+SUMIF(#REF!,Final!A3192,#REF!)</f>
        <v>#REF!</v>
      </c>
      <c r="E3192" s="1643" t="e">
        <f>SUMIF(#REF!,Final!A3192,#REF!)</f>
        <v>#REF!</v>
      </c>
      <c r="F3192" s="1644" t="e">
        <f>SUMIF(#REF!,Final!A3192,#REF!)</f>
        <v>#REF!</v>
      </c>
      <c r="G3192" s="1597" t="e">
        <f t="shared" si="360"/>
        <v>#REF!</v>
      </c>
      <c r="H3192" s="1644" t="e">
        <f t="shared" si="361"/>
        <v>#REF!</v>
      </c>
      <c r="I3192" s="1597" t="e">
        <f t="shared" si="362"/>
        <v>#REF!</v>
      </c>
      <c r="J3192" s="1644" t="e">
        <f t="shared" si="363"/>
        <v>#REF!</v>
      </c>
      <c r="K3192" s="1539"/>
      <c r="L3192" s="1539"/>
      <c r="M3192" s="1545"/>
      <c r="N3192" s="1545"/>
      <c r="O3192" s="1539"/>
      <c r="P3192" s="1539"/>
      <c r="Q3192" s="1539"/>
      <c r="R3192" s="1539"/>
      <c r="S3192" s="1539"/>
      <c r="T3192" s="1539"/>
      <c r="U3192" s="1539"/>
      <c r="V3192" s="1539"/>
      <c r="W3192" s="1539"/>
      <c r="X3192" s="1539"/>
      <c r="Y3192" s="1539"/>
      <c r="Z3192" s="1539"/>
      <c r="AA3192" s="1539"/>
      <c r="AB3192" s="1539"/>
      <c r="AC3192" s="1539"/>
      <c r="AD3192" s="1539"/>
      <c r="AE3192" s="1539"/>
      <c r="AF3192" s="1539"/>
      <c r="AG3192" s="1539"/>
      <c r="AH3192" s="1539"/>
      <c r="AI3192" s="1539"/>
      <c r="AJ3192" s="1539"/>
      <c r="AK3192" s="1539"/>
      <c r="AL3192" s="1539"/>
      <c r="AM3192" s="1539"/>
      <c r="AN3192" s="1539"/>
      <c r="AO3192" s="1539"/>
      <c r="AP3192" s="1539"/>
      <c r="AQ3192" s="1539"/>
      <c r="AR3192" s="1539"/>
      <c r="AS3192" s="1539"/>
      <c r="AT3192" s="1539"/>
      <c r="AU3192" s="1539"/>
      <c r="AV3192" s="1539"/>
      <c r="AW3192" s="1539"/>
      <c r="AX3192" s="1539"/>
      <c r="AY3192" s="1539"/>
      <c r="AZ3192" s="1539"/>
      <c r="BA3192" s="1539"/>
      <c r="BB3192" s="1539"/>
      <c r="BC3192" s="1539"/>
      <c r="BD3192" s="1539"/>
      <c r="BE3192" s="1539"/>
      <c r="BF3192" s="1539"/>
      <c r="BG3192" s="1539"/>
      <c r="BH3192" s="1539"/>
      <c r="BI3192" s="1539"/>
      <c r="BJ3192" s="1539"/>
      <c r="BK3192" s="1539"/>
      <c r="BL3192" s="1539"/>
      <c r="BM3192" s="1539"/>
      <c r="BN3192" s="1539"/>
      <c r="BO3192" s="1539"/>
      <c r="BP3192" s="1539"/>
      <c r="BQ3192" s="1539"/>
      <c r="BR3192" s="1539"/>
      <c r="BS3192" s="1539"/>
      <c r="BT3192" s="1539"/>
      <c r="BU3192" s="1539"/>
      <c r="BV3192" s="1539"/>
      <c r="BW3192" s="1539"/>
      <c r="BX3192" s="1539"/>
      <c r="BY3192" s="1539"/>
      <c r="BZ3192" s="1539"/>
      <c r="CA3192" s="1539"/>
      <c r="CB3192" s="1539"/>
      <c r="CC3192" s="1539"/>
      <c r="CD3192" s="1539"/>
      <c r="CE3192" s="1539"/>
      <c r="CF3192" s="1539"/>
      <c r="CG3192" s="1539"/>
      <c r="CH3192" s="1539"/>
      <c r="CI3192" s="1539"/>
      <c r="CJ3192" s="1539"/>
      <c r="CK3192" s="1539"/>
      <c r="CL3192" s="1539"/>
      <c r="CM3192" s="1539"/>
      <c r="CN3192" s="1539"/>
      <c r="CO3192" s="1539"/>
    </row>
    <row r="3193" spans="1:93" s="1542" customFormat="1" ht="15.5">
      <c r="A3193" s="1786" t="s">
        <v>5312</v>
      </c>
      <c r="B3193" s="1787" t="s">
        <v>3984</v>
      </c>
      <c r="C3193" s="1643" t="e">
        <f>+SUMIF(#REF!,Final!A3193,#REF!)</f>
        <v>#REF!</v>
      </c>
      <c r="D3193" s="1597" t="e">
        <f>+SUMIF(#REF!,Final!A3193,#REF!)</f>
        <v>#REF!</v>
      </c>
      <c r="E3193" s="1643" t="e">
        <f>SUMIF(#REF!,Final!A3193,#REF!)</f>
        <v>#REF!</v>
      </c>
      <c r="F3193" s="1644" t="e">
        <f>SUMIF(#REF!,Final!A3193,#REF!)</f>
        <v>#REF!</v>
      </c>
      <c r="G3193" s="1597" t="e">
        <f t="shared" si="360"/>
        <v>#REF!</v>
      </c>
      <c r="H3193" s="1644" t="e">
        <f t="shared" si="361"/>
        <v>#REF!</v>
      </c>
      <c r="I3193" s="1597" t="e">
        <f t="shared" si="362"/>
        <v>#REF!</v>
      </c>
      <c r="J3193" s="1644" t="e">
        <f t="shared" si="363"/>
        <v>#REF!</v>
      </c>
      <c r="K3193" s="1539"/>
      <c r="L3193" s="1539"/>
      <c r="M3193" s="1545"/>
      <c r="N3193" s="1545"/>
      <c r="O3193" s="1539"/>
      <c r="P3193" s="1539"/>
      <c r="Q3193" s="1539"/>
      <c r="R3193" s="1539"/>
      <c r="S3193" s="1539"/>
      <c r="T3193" s="1539"/>
      <c r="U3193" s="1539"/>
      <c r="V3193" s="1539"/>
      <c r="W3193" s="1539"/>
      <c r="X3193" s="1539"/>
      <c r="Y3193" s="1539"/>
      <c r="Z3193" s="1539"/>
      <c r="AA3193" s="1539"/>
      <c r="AB3193" s="1539"/>
      <c r="AC3193" s="1539"/>
      <c r="AD3193" s="1539"/>
      <c r="AE3193" s="1539"/>
      <c r="AF3193" s="1539"/>
      <c r="AG3193" s="1539"/>
      <c r="AH3193" s="1539"/>
      <c r="AI3193" s="1539"/>
      <c r="AJ3193" s="1539"/>
      <c r="AK3193" s="1539"/>
      <c r="AL3193" s="1539"/>
      <c r="AM3193" s="1539"/>
      <c r="AN3193" s="1539"/>
      <c r="AO3193" s="1539"/>
      <c r="AP3193" s="1539"/>
      <c r="AQ3193" s="1539"/>
      <c r="AR3193" s="1539"/>
      <c r="AS3193" s="1539"/>
      <c r="AT3193" s="1539"/>
      <c r="AU3193" s="1539"/>
      <c r="AV3193" s="1539"/>
      <c r="AW3193" s="1539"/>
      <c r="AX3193" s="1539"/>
      <c r="AY3193" s="1539"/>
      <c r="AZ3193" s="1539"/>
      <c r="BA3193" s="1539"/>
      <c r="BB3193" s="1539"/>
      <c r="BC3193" s="1539"/>
      <c r="BD3193" s="1539"/>
      <c r="BE3193" s="1539"/>
      <c r="BF3193" s="1539"/>
      <c r="BG3193" s="1539"/>
      <c r="BH3193" s="1539"/>
      <c r="BI3193" s="1539"/>
      <c r="BJ3193" s="1539"/>
      <c r="BK3193" s="1539"/>
      <c r="BL3193" s="1539"/>
      <c r="BM3193" s="1539"/>
      <c r="BN3193" s="1539"/>
      <c r="BO3193" s="1539"/>
      <c r="BP3193" s="1539"/>
      <c r="BQ3193" s="1539"/>
      <c r="BR3193" s="1539"/>
      <c r="BS3193" s="1539"/>
      <c r="BT3193" s="1539"/>
      <c r="BU3193" s="1539"/>
      <c r="BV3193" s="1539"/>
      <c r="BW3193" s="1539"/>
      <c r="BX3193" s="1539"/>
      <c r="BY3193" s="1539"/>
      <c r="BZ3193" s="1539"/>
      <c r="CA3193" s="1539"/>
      <c r="CB3193" s="1539"/>
      <c r="CC3193" s="1539"/>
      <c r="CD3193" s="1539"/>
      <c r="CE3193" s="1539"/>
      <c r="CF3193" s="1539"/>
      <c r="CG3193" s="1539"/>
      <c r="CH3193" s="1539"/>
      <c r="CI3193" s="1539"/>
      <c r="CJ3193" s="1539"/>
      <c r="CK3193" s="1539"/>
      <c r="CL3193" s="1539"/>
      <c r="CM3193" s="1539"/>
      <c r="CN3193" s="1539"/>
      <c r="CO3193" s="1539"/>
    </row>
    <row r="3194" spans="1:93" s="1542" customFormat="1" ht="15.5">
      <c r="A3194" s="1786" t="s">
        <v>5313</v>
      </c>
      <c r="B3194" s="1787" t="s">
        <v>3987</v>
      </c>
      <c r="C3194" s="1643" t="e">
        <f>+SUMIF(#REF!,Final!A3194,#REF!)</f>
        <v>#REF!</v>
      </c>
      <c r="D3194" s="1597" t="e">
        <f>+SUMIF(#REF!,Final!A3194,#REF!)</f>
        <v>#REF!</v>
      </c>
      <c r="E3194" s="1643" t="e">
        <f>SUMIF(#REF!,Final!A3194,#REF!)</f>
        <v>#REF!</v>
      </c>
      <c r="F3194" s="1644" t="e">
        <f>SUMIF(#REF!,Final!A3194,#REF!)</f>
        <v>#REF!</v>
      </c>
      <c r="G3194" s="1597" t="e">
        <f t="shared" si="360"/>
        <v>#REF!</v>
      </c>
      <c r="H3194" s="1644" t="e">
        <f t="shared" si="361"/>
        <v>#REF!</v>
      </c>
      <c r="I3194" s="1597" t="e">
        <f t="shared" si="362"/>
        <v>#REF!</v>
      </c>
      <c r="J3194" s="1644" t="e">
        <f t="shared" si="363"/>
        <v>#REF!</v>
      </c>
      <c r="K3194" s="1539"/>
      <c r="L3194" s="1539"/>
      <c r="M3194" s="1545"/>
      <c r="N3194" s="1545"/>
      <c r="O3194" s="1539"/>
      <c r="P3194" s="1539"/>
      <c r="Q3194" s="1539"/>
      <c r="R3194" s="1539"/>
      <c r="S3194" s="1539"/>
      <c r="T3194" s="1539"/>
      <c r="U3194" s="1539"/>
      <c r="V3194" s="1539"/>
      <c r="W3194" s="1539"/>
      <c r="X3194" s="1539"/>
      <c r="Y3194" s="1539"/>
      <c r="Z3194" s="1539"/>
      <c r="AA3194" s="1539"/>
      <c r="AB3194" s="1539"/>
      <c r="AC3194" s="1539"/>
      <c r="AD3194" s="1539"/>
      <c r="AE3194" s="1539"/>
      <c r="AF3194" s="1539"/>
      <c r="AG3194" s="1539"/>
      <c r="AH3194" s="1539"/>
      <c r="AI3194" s="1539"/>
      <c r="AJ3194" s="1539"/>
      <c r="AK3194" s="1539"/>
      <c r="AL3194" s="1539"/>
      <c r="AM3194" s="1539"/>
      <c r="AN3194" s="1539"/>
      <c r="AO3194" s="1539"/>
      <c r="AP3194" s="1539"/>
      <c r="AQ3194" s="1539"/>
      <c r="AR3194" s="1539"/>
      <c r="AS3194" s="1539"/>
      <c r="AT3194" s="1539"/>
      <c r="AU3194" s="1539"/>
      <c r="AV3194" s="1539"/>
      <c r="AW3194" s="1539"/>
      <c r="AX3194" s="1539"/>
      <c r="AY3194" s="1539"/>
      <c r="AZ3194" s="1539"/>
      <c r="BA3194" s="1539"/>
      <c r="BB3194" s="1539"/>
      <c r="BC3194" s="1539"/>
      <c r="BD3194" s="1539"/>
      <c r="BE3194" s="1539"/>
      <c r="BF3194" s="1539"/>
      <c r="BG3194" s="1539"/>
      <c r="BH3194" s="1539"/>
      <c r="BI3194" s="1539"/>
      <c r="BJ3194" s="1539"/>
      <c r="BK3194" s="1539"/>
      <c r="BL3194" s="1539"/>
      <c r="BM3194" s="1539"/>
      <c r="BN3194" s="1539"/>
      <c r="BO3194" s="1539"/>
      <c r="BP3194" s="1539"/>
      <c r="BQ3194" s="1539"/>
      <c r="BR3194" s="1539"/>
      <c r="BS3194" s="1539"/>
      <c r="BT3194" s="1539"/>
      <c r="BU3194" s="1539"/>
      <c r="BV3194" s="1539"/>
      <c r="BW3194" s="1539"/>
      <c r="BX3194" s="1539"/>
      <c r="BY3194" s="1539"/>
      <c r="BZ3194" s="1539"/>
      <c r="CA3194" s="1539"/>
      <c r="CB3194" s="1539"/>
      <c r="CC3194" s="1539"/>
      <c r="CD3194" s="1539"/>
      <c r="CE3194" s="1539"/>
      <c r="CF3194" s="1539"/>
      <c r="CG3194" s="1539"/>
      <c r="CH3194" s="1539"/>
      <c r="CI3194" s="1539"/>
      <c r="CJ3194" s="1539"/>
      <c r="CK3194" s="1539"/>
      <c r="CL3194" s="1539"/>
      <c r="CM3194" s="1539"/>
      <c r="CN3194" s="1539"/>
      <c r="CO3194" s="1539"/>
    </row>
    <row r="3195" spans="1:93" s="1542" customFormat="1" ht="15.5">
      <c r="A3195" s="1786" t="s">
        <v>5314</v>
      </c>
      <c r="B3195" s="1787" t="s">
        <v>5315</v>
      </c>
      <c r="C3195" s="1643" t="e">
        <f>+SUMIF(#REF!,Final!A3195,#REF!)</f>
        <v>#REF!</v>
      </c>
      <c r="D3195" s="1597" t="e">
        <f>+SUMIF(#REF!,Final!A3195,#REF!)</f>
        <v>#REF!</v>
      </c>
      <c r="E3195" s="1643" t="e">
        <f>SUMIF(#REF!,Final!A3195,#REF!)</f>
        <v>#REF!</v>
      </c>
      <c r="F3195" s="1644" t="e">
        <f>SUMIF(#REF!,Final!A3195,#REF!)</f>
        <v>#REF!</v>
      </c>
      <c r="G3195" s="1597" t="e">
        <f t="shared" si="360"/>
        <v>#REF!</v>
      </c>
      <c r="H3195" s="1644" t="e">
        <f t="shared" si="361"/>
        <v>#REF!</v>
      </c>
      <c r="I3195" s="1597" t="e">
        <f t="shared" si="362"/>
        <v>#REF!</v>
      </c>
      <c r="J3195" s="1644" t="e">
        <f t="shared" si="363"/>
        <v>#REF!</v>
      </c>
      <c r="K3195" s="1539"/>
      <c r="L3195" s="1539"/>
      <c r="M3195" s="1545"/>
      <c r="N3195" s="1545"/>
      <c r="O3195" s="1539"/>
      <c r="P3195" s="1539"/>
      <c r="Q3195" s="1539"/>
      <c r="R3195" s="1539"/>
      <c r="S3195" s="1539"/>
      <c r="T3195" s="1539"/>
      <c r="U3195" s="1539"/>
      <c r="V3195" s="1539"/>
      <c r="W3195" s="1539"/>
      <c r="X3195" s="1539"/>
      <c r="Y3195" s="1539"/>
      <c r="Z3195" s="1539"/>
      <c r="AA3195" s="1539"/>
      <c r="AB3195" s="1539"/>
      <c r="AC3195" s="1539"/>
      <c r="AD3195" s="1539"/>
      <c r="AE3195" s="1539"/>
      <c r="AF3195" s="1539"/>
      <c r="AG3195" s="1539"/>
      <c r="AH3195" s="1539"/>
      <c r="AI3195" s="1539"/>
      <c r="AJ3195" s="1539"/>
      <c r="AK3195" s="1539"/>
      <c r="AL3195" s="1539"/>
      <c r="AM3195" s="1539"/>
      <c r="AN3195" s="1539"/>
      <c r="AO3195" s="1539"/>
      <c r="AP3195" s="1539"/>
      <c r="AQ3195" s="1539"/>
      <c r="AR3195" s="1539"/>
      <c r="AS3195" s="1539"/>
      <c r="AT3195" s="1539"/>
      <c r="AU3195" s="1539"/>
      <c r="AV3195" s="1539"/>
      <c r="AW3195" s="1539"/>
      <c r="AX3195" s="1539"/>
      <c r="AY3195" s="1539"/>
      <c r="AZ3195" s="1539"/>
      <c r="BA3195" s="1539"/>
      <c r="BB3195" s="1539"/>
      <c r="BC3195" s="1539"/>
      <c r="BD3195" s="1539"/>
      <c r="BE3195" s="1539"/>
      <c r="BF3195" s="1539"/>
      <c r="BG3195" s="1539"/>
      <c r="BH3195" s="1539"/>
      <c r="BI3195" s="1539"/>
      <c r="BJ3195" s="1539"/>
      <c r="BK3195" s="1539"/>
      <c r="BL3195" s="1539"/>
      <c r="BM3195" s="1539"/>
      <c r="BN3195" s="1539"/>
      <c r="BO3195" s="1539"/>
      <c r="BP3195" s="1539"/>
      <c r="BQ3195" s="1539"/>
      <c r="BR3195" s="1539"/>
      <c r="BS3195" s="1539"/>
      <c r="BT3195" s="1539"/>
      <c r="BU3195" s="1539"/>
      <c r="BV3195" s="1539"/>
      <c r="BW3195" s="1539"/>
      <c r="BX3195" s="1539"/>
      <c r="BY3195" s="1539"/>
      <c r="BZ3195" s="1539"/>
      <c r="CA3195" s="1539"/>
      <c r="CB3195" s="1539"/>
      <c r="CC3195" s="1539"/>
      <c r="CD3195" s="1539"/>
      <c r="CE3195" s="1539"/>
      <c r="CF3195" s="1539"/>
      <c r="CG3195" s="1539"/>
      <c r="CH3195" s="1539"/>
      <c r="CI3195" s="1539"/>
      <c r="CJ3195" s="1539"/>
      <c r="CK3195" s="1539"/>
      <c r="CL3195" s="1539"/>
      <c r="CM3195" s="1539"/>
      <c r="CN3195" s="1539"/>
      <c r="CO3195" s="1539"/>
    </row>
    <row r="3196" spans="1:93" ht="15.5">
      <c r="A3196" s="1598">
        <v>76.150999999999996</v>
      </c>
      <c r="B3196" s="1599" t="s">
        <v>3223</v>
      </c>
      <c r="C3196" s="1643" t="e">
        <f>+SUMIF(#REF!,Final!A3196,#REF!)</f>
        <v>#REF!</v>
      </c>
      <c r="D3196" s="1597" t="e">
        <f>+SUMIF(#REF!,Final!A3196,#REF!)</f>
        <v>#REF!</v>
      </c>
      <c r="E3196" s="1643" t="e">
        <f>SUMIF(#REF!,Final!A3196,#REF!)</f>
        <v>#REF!</v>
      </c>
      <c r="F3196" s="1644" t="e">
        <f>SUMIF(#REF!,Final!A3196,#REF!)</f>
        <v>#REF!</v>
      </c>
      <c r="G3196" s="1597" t="e">
        <f t="shared" si="356"/>
        <v>#REF!</v>
      </c>
      <c r="H3196" s="1644" t="e">
        <f t="shared" si="357"/>
        <v>#REF!</v>
      </c>
      <c r="I3196" s="1597" t="e">
        <f t="shared" si="358"/>
        <v>#REF!</v>
      </c>
      <c r="J3196" s="1644" t="e">
        <f t="shared" si="359"/>
        <v>#REF!</v>
      </c>
      <c r="M3196" s="1545"/>
      <c r="N3196" s="1545"/>
    </row>
    <row r="3197" spans="1:93" s="1542" customFormat="1" ht="15.5">
      <c r="A3197" s="1598">
        <v>76.152000000000001</v>
      </c>
      <c r="B3197" s="1599" t="s">
        <v>3224</v>
      </c>
      <c r="C3197" s="1643" t="e">
        <f>+SUMIF(#REF!,Final!A3197,#REF!)</f>
        <v>#REF!</v>
      </c>
      <c r="D3197" s="1597" t="e">
        <f>+SUMIF(#REF!,Final!A3197,#REF!)</f>
        <v>#REF!</v>
      </c>
      <c r="E3197" s="1643" t="e">
        <f>SUMIF(#REF!,Final!A3197,#REF!)</f>
        <v>#REF!</v>
      </c>
      <c r="F3197" s="1644" t="e">
        <f>SUMIF(#REF!,Final!A3197,#REF!)</f>
        <v>#REF!</v>
      </c>
      <c r="G3197" s="1597" t="e">
        <f t="shared" si="356"/>
        <v>#REF!</v>
      </c>
      <c r="H3197" s="1644" t="e">
        <f t="shared" si="357"/>
        <v>#REF!</v>
      </c>
      <c r="I3197" s="1597" t="e">
        <f t="shared" si="358"/>
        <v>#REF!</v>
      </c>
      <c r="J3197" s="1644" t="e">
        <f t="shared" si="359"/>
        <v>#REF!</v>
      </c>
      <c r="K3197" s="1539"/>
      <c r="L3197" s="1539"/>
      <c r="M3197" s="1545"/>
      <c r="N3197" s="1545"/>
      <c r="O3197" s="1539"/>
      <c r="P3197" s="1539"/>
      <c r="Q3197" s="1539"/>
      <c r="R3197" s="1539"/>
      <c r="S3197" s="1539"/>
      <c r="T3197" s="1539"/>
      <c r="U3197" s="1539"/>
      <c r="V3197" s="1539"/>
      <c r="W3197" s="1539"/>
      <c r="X3197" s="1539"/>
      <c r="Y3197" s="1539"/>
      <c r="Z3197" s="1539"/>
      <c r="AA3197" s="1539"/>
      <c r="AB3197" s="1539"/>
      <c r="AC3197" s="1539"/>
      <c r="AD3197" s="1539"/>
      <c r="AE3197" s="1539"/>
      <c r="AF3197" s="1539"/>
      <c r="AG3197" s="1539"/>
      <c r="AH3197" s="1539"/>
      <c r="AI3197" s="1539"/>
      <c r="AJ3197" s="1539"/>
      <c r="AK3197" s="1539"/>
      <c r="AL3197" s="1539"/>
      <c r="AM3197" s="1539"/>
      <c r="AN3197" s="1539"/>
      <c r="AO3197" s="1539"/>
      <c r="AP3197" s="1539"/>
      <c r="AQ3197" s="1539"/>
      <c r="AR3197" s="1539"/>
      <c r="AS3197" s="1539"/>
      <c r="AT3197" s="1539"/>
      <c r="AU3197" s="1539"/>
      <c r="AV3197" s="1539"/>
      <c r="AW3197" s="1539"/>
      <c r="AX3197" s="1539"/>
      <c r="AY3197" s="1539"/>
      <c r="AZ3197" s="1539"/>
      <c r="BA3197" s="1539"/>
      <c r="BB3197" s="1539"/>
      <c r="BC3197" s="1539"/>
      <c r="BD3197" s="1539"/>
      <c r="BE3197" s="1539"/>
      <c r="BF3197" s="1539"/>
      <c r="BG3197" s="1539"/>
      <c r="BH3197" s="1539"/>
      <c r="BI3197" s="1539"/>
      <c r="BJ3197" s="1539"/>
      <c r="BK3197" s="1539"/>
      <c r="BL3197" s="1539"/>
      <c r="BM3197" s="1539"/>
      <c r="BN3197" s="1539"/>
      <c r="BO3197" s="1539"/>
      <c r="BP3197" s="1539"/>
      <c r="BQ3197" s="1539"/>
      <c r="BR3197" s="1539"/>
      <c r="BS3197" s="1539"/>
      <c r="BT3197" s="1539"/>
      <c r="BU3197" s="1539"/>
      <c r="BV3197" s="1539"/>
      <c r="BW3197" s="1539"/>
      <c r="BX3197" s="1539"/>
      <c r="BY3197" s="1539"/>
      <c r="BZ3197" s="1539"/>
      <c r="CA3197" s="1539"/>
      <c r="CB3197" s="1539"/>
      <c r="CC3197" s="1539"/>
      <c r="CD3197" s="1539"/>
      <c r="CE3197" s="1539"/>
      <c r="CF3197" s="1539"/>
      <c r="CG3197" s="1539"/>
      <c r="CH3197" s="1539"/>
      <c r="CI3197" s="1539"/>
      <c r="CJ3197" s="1539"/>
      <c r="CK3197" s="1539"/>
      <c r="CL3197" s="1539"/>
      <c r="CM3197" s="1539"/>
      <c r="CN3197" s="1539"/>
      <c r="CO3197" s="1539"/>
    </row>
    <row r="3198" spans="1:93" ht="15.5">
      <c r="A3198" s="1598">
        <v>76.153000000000006</v>
      </c>
      <c r="B3198" s="1599" t="s">
        <v>3225</v>
      </c>
      <c r="C3198" s="1643" t="e">
        <f>+SUMIF(#REF!,Final!A3198,#REF!)</f>
        <v>#REF!</v>
      </c>
      <c r="D3198" s="1597" t="e">
        <f>+SUMIF(#REF!,Final!A3198,#REF!)</f>
        <v>#REF!</v>
      </c>
      <c r="E3198" s="1643" t="e">
        <f>SUMIF(#REF!,Final!A3198,#REF!)</f>
        <v>#REF!</v>
      </c>
      <c r="F3198" s="1644" t="e">
        <f>SUMIF(#REF!,Final!A3198,#REF!)</f>
        <v>#REF!</v>
      </c>
      <c r="G3198" s="1597" t="e">
        <f t="shared" si="356"/>
        <v>#REF!</v>
      </c>
      <c r="H3198" s="1644" t="e">
        <f t="shared" si="357"/>
        <v>#REF!</v>
      </c>
      <c r="I3198" s="1597" t="e">
        <f t="shared" si="358"/>
        <v>#REF!</v>
      </c>
      <c r="J3198" s="1644" t="e">
        <f t="shared" si="359"/>
        <v>#REF!</v>
      </c>
      <c r="M3198" s="1545"/>
      <c r="N3198" s="1545"/>
    </row>
    <row r="3199" spans="1:93" s="1542" customFormat="1" ht="15.5">
      <c r="A3199" s="1598">
        <v>76.153999999999996</v>
      </c>
      <c r="B3199" s="1599" t="s">
        <v>3226</v>
      </c>
      <c r="C3199" s="1643" t="e">
        <f>+SUMIF(#REF!,Final!A3199,#REF!)</f>
        <v>#REF!</v>
      </c>
      <c r="D3199" s="1597" t="e">
        <f>+SUMIF(#REF!,Final!A3199,#REF!)</f>
        <v>#REF!</v>
      </c>
      <c r="E3199" s="1643" t="e">
        <f>SUMIF(#REF!,Final!A3199,#REF!)</f>
        <v>#REF!</v>
      </c>
      <c r="F3199" s="1644" t="e">
        <f>SUMIF(#REF!,Final!A3199,#REF!)</f>
        <v>#REF!</v>
      </c>
      <c r="G3199" s="1597" t="e">
        <f t="shared" si="356"/>
        <v>#REF!</v>
      </c>
      <c r="H3199" s="1644" t="e">
        <f t="shared" si="357"/>
        <v>#REF!</v>
      </c>
      <c r="I3199" s="1597" t="e">
        <f t="shared" si="358"/>
        <v>#REF!</v>
      </c>
      <c r="J3199" s="1644" t="e">
        <f t="shared" si="359"/>
        <v>#REF!</v>
      </c>
      <c r="K3199" s="1539"/>
      <c r="L3199" s="1539"/>
      <c r="M3199" s="1545"/>
      <c r="N3199" s="1545"/>
      <c r="O3199" s="1539"/>
      <c r="P3199" s="1539"/>
      <c r="Q3199" s="1539"/>
      <c r="R3199" s="1539"/>
      <c r="S3199" s="1539"/>
      <c r="T3199" s="1539"/>
      <c r="U3199" s="1539"/>
      <c r="V3199" s="1539"/>
      <c r="W3199" s="1539"/>
      <c r="X3199" s="1539"/>
      <c r="Y3199" s="1539"/>
      <c r="Z3199" s="1539"/>
      <c r="AA3199" s="1539"/>
      <c r="AB3199" s="1539"/>
      <c r="AC3199" s="1539"/>
      <c r="AD3199" s="1539"/>
      <c r="AE3199" s="1539"/>
      <c r="AF3199" s="1539"/>
      <c r="AG3199" s="1539"/>
      <c r="AH3199" s="1539"/>
      <c r="AI3199" s="1539"/>
      <c r="AJ3199" s="1539"/>
      <c r="AK3199" s="1539"/>
      <c r="AL3199" s="1539"/>
      <c r="AM3199" s="1539"/>
      <c r="AN3199" s="1539"/>
      <c r="AO3199" s="1539"/>
      <c r="AP3199" s="1539"/>
      <c r="AQ3199" s="1539"/>
      <c r="AR3199" s="1539"/>
      <c r="AS3199" s="1539"/>
      <c r="AT3199" s="1539"/>
      <c r="AU3199" s="1539"/>
      <c r="AV3199" s="1539"/>
      <c r="AW3199" s="1539"/>
      <c r="AX3199" s="1539"/>
      <c r="AY3199" s="1539"/>
      <c r="AZ3199" s="1539"/>
      <c r="BA3199" s="1539"/>
      <c r="BB3199" s="1539"/>
      <c r="BC3199" s="1539"/>
      <c r="BD3199" s="1539"/>
      <c r="BE3199" s="1539"/>
      <c r="BF3199" s="1539"/>
      <c r="BG3199" s="1539"/>
      <c r="BH3199" s="1539"/>
      <c r="BI3199" s="1539"/>
      <c r="BJ3199" s="1539"/>
      <c r="BK3199" s="1539"/>
      <c r="BL3199" s="1539"/>
      <c r="BM3199" s="1539"/>
      <c r="BN3199" s="1539"/>
      <c r="BO3199" s="1539"/>
      <c r="BP3199" s="1539"/>
      <c r="BQ3199" s="1539"/>
      <c r="BR3199" s="1539"/>
      <c r="BS3199" s="1539"/>
      <c r="BT3199" s="1539"/>
      <c r="BU3199" s="1539"/>
      <c r="BV3199" s="1539"/>
      <c r="BW3199" s="1539"/>
      <c r="BX3199" s="1539"/>
      <c r="BY3199" s="1539"/>
      <c r="BZ3199" s="1539"/>
      <c r="CA3199" s="1539"/>
      <c r="CB3199" s="1539"/>
      <c r="CC3199" s="1539"/>
      <c r="CD3199" s="1539"/>
      <c r="CE3199" s="1539"/>
      <c r="CF3199" s="1539"/>
      <c r="CG3199" s="1539"/>
      <c r="CH3199" s="1539"/>
      <c r="CI3199" s="1539"/>
      <c r="CJ3199" s="1539"/>
      <c r="CK3199" s="1539"/>
      <c r="CL3199" s="1539"/>
      <c r="CM3199" s="1539"/>
      <c r="CN3199" s="1539"/>
      <c r="CO3199" s="1539"/>
    </row>
    <row r="3200" spans="1:93" s="1552" customFormat="1" ht="15.5">
      <c r="A3200" s="1598"/>
      <c r="B3200" s="1599" t="s">
        <v>1747</v>
      </c>
      <c r="C3200" s="1643" t="e">
        <f>+SUMIF(#REF!,Final!A3200,#REF!)</f>
        <v>#REF!</v>
      </c>
      <c r="D3200" s="1597" t="e">
        <f>+SUMIF(#REF!,Final!A3200,#REF!)</f>
        <v>#REF!</v>
      </c>
      <c r="E3200" s="1643" t="e">
        <f>SUMIF(#REF!,Final!A3200,#REF!)</f>
        <v>#REF!</v>
      </c>
      <c r="F3200" s="1644" t="e">
        <f>SUMIF(#REF!,Final!A3200,#REF!)</f>
        <v>#REF!</v>
      </c>
      <c r="G3200" s="1597" t="e">
        <f t="shared" si="356"/>
        <v>#REF!</v>
      </c>
      <c r="H3200" s="1644" t="e">
        <f t="shared" si="357"/>
        <v>#REF!</v>
      </c>
      <c r="I3200" s="1597" t="e">
        <f t="shared" si="358"/>
        <v>#REF!</v>
      </c>
      <c r="J3200" s="1644" t="e">
        <f t="shared" si="359"/>
        <v>#REF!</v>
      </c>
      <c r="K3200" s="1539"/>
      <c r="L3200" s="1539"/>
      <c r="M3200" s="1545"/>
      <c r="N3200" s="1545"/>
      <c r="O3200" s="1539"/>
      <c r="P3200" s="1539"/>
      <c r="Q3200" s="1539"/>
      <c r="R3200" s="1539"/>
      <c r="S3200" s="1539"/>
      <c r="T3200" s="1539"/>
      <c r="U3200" s="1539"/>
      <c r="V3200" s="1539"/>
      <c r="W3200" s="1539"/>
      <c r="X3200" s="1539"/>
      <c r="Y3200" s="1539"/>
      <c r="Z3200" s="1539"/>
      <c r="AA3200" s="1539"/>
      <c r="AB3200" s="1539"/>
      <c r="AC3200" s="1539"/>
      <c r="AD3200" s="1539"/>
      <c r="AE3200" s="1539"/>
      <c r="AF3200" s="1539"/>
      <c r="AG3200" s="1539"/>
      <c r="AH3200" s="1539"/>
      <c r="AI3200" s="1539"/>
      <c r="AJ3200" s="1539"/>
      <c r="AK3200" s="1539"/>
      <c r="AL3200" s="1539"/>
      <c r="AM3200" s="1539"/>
      <c r="AN3200" s="1539"/>
      <c r="AO3200" s="1539"/>
      <c r="AP3200" s="1539"/>
      <c r="AQ3200" s="1539"/>
      <c r="AR3200" s="1539"/>
      <c r="AS3200" s="1539"/>
      <c r="AT3200" s="1539"/>
      <c r="AU3200" s="1539"/>
      <c r="AV3200" s="1539"/>
      <c r="AW3200" s="1539"/>
      <c r="AX3200" s="1539"/>
      <c r="AY3200" s="1539"/>
      <c r="AZ3200" s="1539"/>
      <c r="BA3200" s="1539"/>
      <c r="BB3200" s="1539"/>
      <c r="BC3200" s="1539"/>
      <c r="BD3200" s="1539"/>
      <c r="BE3200" s="1539"/>
      <c r="BF3200" s="1539"/>
      <c r="BG3200" s="1539"/>
      <c r="BH3200" s="1539"/>
      <c r="BI3200" s="1539"/>
      <c r="BJ3200" s="1539"/>
      <c r="BK3200" s="1539"/>
      <c r="BL3200" s="1539"/>
      <c r="BM3200" s="1539"/>
      <c r="BN3200" s="1539"/>
      <c r="BO3200" s="1539"/>
      <c r="BP3200" s="1539"/>
      <c r="BQ3200" s="1539"/>
      <c r="BR3200" s="1539"/>
      <c r="BS3200" s="1539"/>
      <c r="BT3200" s="1539"/>
      <c r="BU3200" s="1539"/>
      <c r="BV3200" s="1539"/>
      <c r="BW3200" s="1539"/>
      <c r="BX3200" s="1539"/>
      <c r="BY3200" s="1539"/>
      <c r="BZ3200" s="1539"/>
      <c r="CA3200" s="1539"/>
      <c r="CB3200" s="1539"/>
      <c r="CC3200" s="1539"/>
      <c r="CD3200" s="1539"/>
      <c r="CE3200" s="1539"/>
      <c r="CF3200" s="1539"/>
      <c r="CG3200" s="1539"/>
      <c r="CH3200" s="1539"/>
      <c r="CI3200" s="1539"/>
      <c r="CJ3200" s="1539"/>
      <c r="CK3200" s="1539"/>
      <c r="CL3200" s="1539"/>
      <c r="CM3200" s="1539"/>
      <c r="CN3200" s="1539"/>
      <c r="CO3200" s="1539"/>
    </row>
    <row r="3201" spans="1:93" s="1552" customFormat="1" ht="15.5">
      <c r="A3201" s="1598"/>
      <c r="B3201" s="1599" t="s">
        <v>1760</v>
      </c>
      <c r="C3201" s="1643" t="e">
        <f>+SUMIF(#REF!,Final!A3201,#REF!)</f>
        <v>#REF!</v>
      </c>
      <c r="D3201" s="1597" t="e">
        <f>+SUMIF(#REF!,Final!A3201,#REF!)</f>
        <v>#REF!</v>
      </c>
      <c r="E3201" s="1643" t="e">
        <f>SUMIF(#REF!,Final!A3201,#REF!)</f>
        <v>#REF!</v>
      </c>
      <c r="F3201" s="1644" t="e">
        <f>SUMIF(#REF!,Final!A3201,#REF!)</f>
        <v>#REF!</v>
      </c>
      <c r="G3201" s="1597" t="e">
        <f t="shared" si="356"/>
        <v>#REF!</v>
      </c>
      <c r="H3201" s="1644" t="e">
        <f t="shared" si="357"/>
        <v>#REF!</v>
      </c>
      <c r="I3201" s="1597" t="e">
        <f t="shared" si="358"/>
        <v>#REF!</v>
      </c>
      <c r="J3201" s="1644" t="e">
        <f t="shared" si="359"/>
        <v>#REF!</v>
      </c>
      <c r="K3201" s="1539"/>
      <c r="L3201" s="1539"/>
      <c r="M3201" s="1545"/>
      <c r="N3201" s="1545"/>
      <c r="O3201" s="1539"/>
      <c r="P3201" s="1539"/>
      <c r="Q3201" s="1539"/>
      <c r="R3201" s="1539"/>
      <c r="S3201" s="1539"/>
      <c r="T3201" s="1539"/>
      <c r="U3201" s="1539"/>
      <c r="V3201" s="1539"/>
      <c r="W3201" s="1539"/>
      <c r="X3201" s="1539"/>
      <c r="Y3201" s="1539"/>
      <c r="Z3201" s="1539"/>
      <c r="AA3201" s="1539"/>
      <c r="AB3201" s="1539"/>
      <c r="AC3201" s="1539"/>
      <c r="AD3201" s="1539"/>
      <c r="AE3201" s="1539"/>
      <c r="AF3201" s="1539"/>
      <c r="AG3201" s="1539"/>
      <c r="AH3201" s="1539"/>
      <c r="AI3201" s="1539"/>
      <c r="AJ3201" s="1539"/>
      <c r="AK3201" s="1539"/>
      <c r="AL3201" s="1539"/>
      <c r="AM3201" s="1539"/>
      <c r="AN3201" s="1539"/>
      <c r="AO3201" s="1539"/>
      <c r="AP3201" s="1539"/>
      <c r="AQ3201" s="1539"/>
      <c r="AR3201" s="1539"/>
      <c r="AS3201" s="1539"/>
      <c r="AT3201" s="1539"/>
      <c r="AU3201" s="1539"/>
      <c r="AV3201" s="1539"/>
      <c r="AW3201" s="1539"/>
      <c r="AX3201" s="1539"/>
      <c r="AY3201" s="1539"/>
      <c r="AZ3201" s="1539"/>
      <c r="BA3201" s="1539"/>
      <c r="BB3201" s="1539"/>
      <c r="BC3201" s="1539"/>
      <c r="BD3201" s="1539"/>
      <c r="BE3201" s="1539"/>
      <c r="BF3201" s="1539"/>
      <c r="BG3201" s="1539"/>
      <c r="BH3201" s="1539"/>
      <c r="BI3201" s="1539"/>
      <c r="BJ3201" s="1539"/>
      <c r="BK3201" s="1539"/>
      <c r="BL3201" s="1539"/>
      <c r="BM3201" s="1539"/>
      <c r="BN3201" s="1539"/>
      <c r="BO3201" s="1539"/>
      <c r="BP3201" s="1539"/>
      <c r="BQ3201" s="1539"/>
      <c r="BR3201" s="1539"/>
      <c r="BS3201" s="1539"/>
      <c r="BT3201" s="1539"/>
      <c r="BU3201" s="1539"/>
      <c r="BV3201" s="1539"/>
      <c r="BW3201" s="1539"/>
      <c r="BX3201" s="1539"/>
      <c r="BY3201" s="1539"/>
      <c r="BZ3201" s="1539"/>
      <c r="CA3201" s="1539"/>
      <c r="CB3201" s="1539"/>
      <c r="CC3201" s="1539"/>
      <c r="CD3201" s="1539"/>
      <c r="CE3201" s="1539"/>
      <c r="CF3201" s="1539"/>
      <c r="CG3201" s="1539"/>
      <c r="CH3201" s="1539"/>
      <c r="CI3201" s="1539"/>
      <c r="CJ3201" s="1539"/>
      <c r="CK3201" s="1539"/>
      <c r="CL3201" s="1539"/>
      <c r="CM3201" s="1539"/>
      <c r="CN3201" s="1539"/>
      <c r="CO3201" s="1539"/>
    </row>
    <row r="3202" spans="1:93" s="1542" customFormat="1" ht="15.5">
      <c r="A3202" s="1598">
        <v>35</v>
      </c>
      <c r="B3202" s="1599" t="s">
        <v>3207</v>
      </c>
      <c r="C3202" s="1643" t="e">
        <f>+SUMIF(#REF!,Final!A3202,#REF!)</f>
        <v>#REF!</v>
      </c>
      <c r="D3202" s="1597" t="e">
        <f>+SUMIF(#REF!,Final!A3202,#REF!)</f>
        <v>#REF!</v>
      </c>
      <c r="E3202" s="1643" t="e">
        <f>SUMIF(#REF!,Final!A3202,#REF!)</f>
        <v>#REF!</v>
      </c>
      <c r="F3202" s="1644" t="e">
        <f>SUMIF(#REF!,Final!A3202,#REF!)</f>
        <v>#REF!</v>
      </c>
      <c r="G3202" s="1597" t="e">
        <f t="shared" ref="G3202:G3265" si="364">C3202+E3202</f>
        <v>#REF!</v>
      </c>
      <c r="H3202" s="1644" t="e">
        <f t="shared" ref="H3202:H3265" si="365">D3202+F3202</f>
        <v>#REF!</v>
      </c>
      <c r="I3202" s="1597" t="e">
        <f t="shared" ref="I3202:I3265" si="366">IF(G3202&gt;H3202,G3202-H3202,0)</f>
        <v>#REF!</v>
      </c>
      <c r="J3202" s="1644" t="e">
        <f t="shared" ref="J3202:J3265" si="367">IF(H3202&gt;G3202,H3202-G3202,0)</f>
        <v>#REF!</v>
      </c>
      <c r="K3202" s="1539"/>
      <c r="L3202" s="1539"/>
      <c r="M3202" s="1545"/>
      <c r="N3202" s="1545"/>
      <c r="O3202" s="1539"/>
      <c r="P3202" s="1539"/>
      <c r="Q3202" s="1539"/>
      <c r="R3202" s="1539"/>
      <c r="S3202" s="1539"/>
      <c r="T3202" s="1539"/>
      <c r="U3202" s="1539"/>
      <c r="V3202" s="1539"/>
      <c r="W3202" s="1539"/>
      <c r="X3202" s="1539"/>
      <c r="Y3202" s="1539"/>
      <c r="Z3202" s="1539"/>
      <c r="AA3202" s="1539"/>
      <c r="AB3202" s="1539"/>
      <c r="AC3202" s="1539"/>
      <c r="AD3202" s="1539"/>
      <c r="AE3202" s="1539"/>
      <c r="AF3202" s="1539"/>
      <c r="AG3202" s="1539"/>
      <c r="AH3202" s="1539"/>
      <c r="AI3202" s="1539"/>
      <c r="AJ3202" s="1539"/>
      <c r="AK3202" s="1539"/>
      <c r="AL3202" s="1539"/>
      <c r="AM3202" s="1539"/>
      <c r="AN3202" s="1539"/>
      <c r="AO3202" s="1539"/>
      <c r="AP3202" s="1539"/>
      <c r="AQ3202" s="1539"/>
      <c r="AR3202" s="1539"/>
      <c r="AS3202" s="1539"/>
      <c r="AT3202" s="1539"/>
      <c r="AU3202" s="1539"/>
      <c r="AV3202" s="1539"/>
      <c r="AW3202" s="1539"/>
      <c r="AX3202" s="1539"/>
      <c r="AY3202" s="1539"/>
      <c r="AZ3202" s="1539"/>
      <c r="BA3202" s="1539"/>
      <c r="BB3202" s="1539"/>
      <c r="BC3202" s="1539"/>
      <c r="BD3202" s="1539"/>
      <c r="BE3202" s="1539"/>
      <c r="BF3202" s="1539"/>
      <c r="BG3202" s="1539"/>
      <c r="BH3202" s="1539"/>
      <c r="BI3202" s="1539"/>
      <c r="BJ3202" s="1539"/>
      <c r="BK3202" s="1539"/>
      <c r="BL3202" s="1539"/>
      <c r="BM3202" s="1539"/>
      <c r="BN3202" s="1539"/>
      <c r="BO3202" s="1539"/>
      <c r="BP3202" s="1539"/>
      <c r="BQ3202" s="1539"/>
      <c r="BR3202" s="1539"/>
      <c r="BS3202" s="1539"/>
      <c r="BT3202" s="1539"/>
      <c r="BU3202" s="1539"/>
      <c r="BV3202" s="1539"/>
      <c r="BW3202" s="1539"/>
      <c r="BX3202" s="1539"/>
      <c r="BY3202" s="1539"/>
      <c r="BZ3202" s="1539"/>
      <c r="CA3202" s="1539"/>
      <c r="CB3202" s="1539"/>
      <c r="CC3202" s="1539"/>
      <c r="CD3202" s="1539"/>
      <c r="CE3202" s="1539"/>
      <c r="CF3202" s="1539"/>
      <c r="CG3202" s="1539"/>
      <c r="CH3202" s="1539"/>
      <c r="CI3202" s="1539"/>
      <c r="CJ3202" s="1539"/>
      <c r="CK3202" s="1539"/>
      <c r="CL3202" s="1539"/>
      <c r="CM3202" s="1539"/>
      <c r="CN3202" s="1539"/>
      <c r="CO3202" s="1539"/>
    </row>
    <row r="3203" spans="1:93" s="1542" customFormat="1" ht="15.5">
      <c r="A3203" s="1598" t="s">
        <v>1818</v>
      </c>
      <c r="B3203" s="1599" t="s">
        <v>3227</v>
      </c>
      <c r="C3203" s="1643" t="e">
        <f>+SUMIF(#REF!,Final!A3203,#REF!)</f>
        <v>#REF!</v>
      </c>
      <c r="D3203" s="1597" t="e">
        <f>+SUMIF(#REF!,Final!A3203,#REF!)</f>
        <v>#REF!</v>
      </c>
      <c r="E3203" s="1643" t="e">
        <f>SUMIF(#REF!,Final!A3203,#REF!)</f>
        <v>#REF!</v>
      </c>
      <c r="F3203" s="1644" t="e">
        <f>SUMIF(#REF!,Final!A3203,#REF!)</f>
        <v>#REF!</v>
      </c>
      <c r="G3203" s="1597" t="e">
        <f t="shared" si="364"/>
        <v>#REF!</v>
      </c>
      <c r="H3203" s="1644" t="e">
        <f t="shared" si="365"/>
        <v>#REF!</v>
      </c>
      <c r="I3203" s="1597" t="e">
        <f t="shared" si="366"/>
        <v>#REF!</v>
      </c>
      <c r="J3203" s="1644" t="e">
        <f t="shared" si="367"/>
        <v>#REF!</v>
      </c>
      <c r="K3203" s="1539"/>
      <c r="L3203" s="1539"/>
      <c r="M3203" s="1545"/>
      <c r="N3203" s="1545"/>
      <c r="O3203" s="1539"/>
      <c r="P3203" s="1539"/>
      <c r="Q3203" s="1539"/>
      <c r="R3203" s="1539"/>
      <c r="S3203" s="1539"/>
      <c r="T3203" s="1539"/>
      <c r="U3203" s="1539"/>
      <c r="V3203" s="1539"/>
      <c r="W3203" s="1539"/>
      <c r="X3203" s="1539"/>
      <c r="Y3203" s="1539"/>
      <c r="Z3203" s="1539"/>
      <c r="AA3203" s="1539"/>
      <c r="AB3203" s="1539"/>
      <c r="AC3203" s="1539"/>
      <c r="AD3203" s="1539"/>
      <c r="AE3203" s="1539"/>
      <c r="AF3203" s="1539"/>
      <c r="AG3203" s="1539"/>
      <c r="AH3203" s="1539"/>
      <c r="AI3203" s="1539"/>
      <c r="AJ3203" s="1539"/>
      <c r="AK3203" s="1539"/>
      <c r="AL3203" s="1539"/>
      <c r="AM3203" s="1539"/>
      <c r="AN3203" s="1539"/>
      <c r="AO3203" s="1539"/>
      <c r="AP3203" s="1539"/>
      <c r="AQ3203" s="1539"/>
      <c r="AR3203" s="1539"/>
      <c r="AS3203" s="1539"/>
      <c r="AT3203" s="1539"/>
      <c r="AU3203" s="1539"/>
      <c r="AV3203" s="1539"/>
      <c r="AW3203" s="1539"/>
      <c r="AX3203" s="1539"/>
      <c r="AY3203" s="1539"/>
      <c r="AZ3203" s="1539"/>
      <c r="BA3203" s="1539"/>
      <c r="BB3203" s="1539"/>
      <c r="BC3203" s="1539"/>
      <c r="BD3203" s="1539"/>
      <c r="BE3203" s="1539"/>
      <c r="BF3203" s="1539"/>
      <c r="BG3203" s="1539"/>
      <c r="BH3203" s="1539"/>
      <c r="BI3203" s="1539"/>
      <c r="BJ3203" s="1539"/>
      <c r="BK3203" s="1539"/>
      <c r="BL3203" s="1539"/>
      <c r="BM3203" s="1539"/>
      <c r="BN3203" s="1539"/>
      <c r="BO3203" s="1539"/>
      <c r="BP3203" s="1539"/>
      <c r="BQ3203" s="1539"/>
      <c r="BR3203" s="1539"/>
      <c r="BS3203" s="1539"/>
      <c r="BT3203" s="1539"/>
      <c r="BU3203" s="1539"/>
      <c r="BV3203" s="1539"/>
      <c r="BW3203" s="1539"/>
      <c r="BX3203" s="1539"/>
      <c r="BY3203" s="1539"/>
      <c r="BZ3203" s="1539"/>
      <c r="CA3203" s="1539"/>
      <c r="CB3203" s="1539"/>
      <c r="CC3203" s="1539"/>
      <c r="CD3203" s="1539"/>
      <c r="CE3203" s="1539"/>
      <c r="CF3203" s="1539"/>
      <c r="CG3203" s="1539"/>
      <c r="CH3203" s="1539"/>
      <c r="CI3203" s="1539"/>
      <c r="CJ3203" s="1539"/>
      <c r="CK3203" s="1539"/>
      <c r="CL3203" s="1539"/>
      <c r="CM3203" s="1539"/>
      <c r="CN3203" s="1539"/>
      <c r="CO3203" s="1539"/>
    </row>
    <row r="3204" spans="1:93" s="1542" customFormat="1" ht="15.5">
      <c r="A3204" s="1598">
        <v>76.155000000000001</v>
      </c>
      <c r="B3204" s="1599" t="s">
        <v>3228</v>
      </c>
      <c r="C3204" s="1643" t="e">
        <f>+SUMIF(#REF!,Final!A3204,#REF!)</f>
        <v>#REF!</v>
      </c>
      <c r="D3204" s="1597" t="e">
        <f>+SUMIF(#REF!,Final!A3204,#REF!)</f>
        <v>#REF!</v>
      </c>
      <c r="E3204" s="1643" t="e">
        <f>SUMIF(#REF!,Final!A3204,#REF!)</f>
        <v>#REF!</v>
      </c>
      <c r="F3204" s="1644" t="e">
        <f>SUMIF(#REF!,Final!A3204,#REF!)</f>
        <v>#REF!</v>
      </c>
      <c r="G3204" s="1597" t="e">
        <f t="shared" si="364"/>
        <v>#REF!</v>
      </c>
      <c r="H3204" s="1644" t="e">
        <f t="shared" si="365"/>
        <v>#REF!</v>
      </c>
      <c r="I3204" s="1597" t="e">
        <f t="shared" si="366"/>
        <v>#REF!</v>
      </c>
      <c r="J3204" s="1644" t="e">
        <f t="shared" si="367"/>
        <v>#REF!</v>
      </c>
      <c r="K3204" s="1539"/>
      <c r="L3204" s="1539"/>
      <c r="M3204" s="1545"/>
      <c r="N3204" s="1545"/>
      <c r="O3204" s="1539"/>
      <c r="P3204" s="1539"/>
      <c r="Q3204" s="1539"/>
      <c r="R3204" s="1539"/>
      <c r="S3204" s="1539"/>
      <c r="T3204" s="1539"/>
      <c r="U3204" s="1539"/>
      <c r="V3204" s="1539"/>
      <c r="W3204" s="1539"/>
      <c r="X3204" s="1539"/>
      <c r="Y3204" s="1539"/>
      <c r="Z3204" s="1539"/>
      <c r="AA3204" s="1539"/>
      <c r="AB3204" s="1539"/>
      <c r="AC3204" s="1539"/>
      <c r="AD3204" s="1539"/>
      <c r="AE3204" s="1539"/>
      <c r="AF3204" s="1539"/>
      <c r="AG3204" s="1539"/>
      <c r="AH3204" s="1539"/>
      <c r="AI3204" s="1539"/>
      <c r="AJ3204" s="1539"/>
      <c r="AK3204" s="1539"/>
      <c r="AL3204" s="1539"/>
      <c r="AM3204" s="1539"/>
      <c r="AN3204" s="1539"/>
      <c r="AO3204" s="1539"/>
      <c r="AP3204" s="1539"/>
      <c r="AQ3204" s="1539"/>
      <c r="AR3204" s="1539"/>
      <c r="AS3204" s="1539"/>
      <c r="AT3204" s="1539"/>
      <c r="AU3204" s="1539"/>
      <c r="AV3204" s="1539"/>
      <c r="AW3204" s="1539"/>
      <c r="AX3204" s="1539"/>
      <c r="AY3204" s="1539"/>
      <c r="AZ3204" s="1539"/>
      <c r="BA3204" s="1539"/>
      <c r="BB3204" s="1539"/>
      <c r="BC3204" s="1539"/>
      <c r="BD3204" s="1539"/>
      <c r="BE3204" s="1539"/>
      <c r="BF3204" s="1539"/>
      <c r="BG3204" s="1539"/>
      <c r="BH3204" s="1539"/>
      <c r="BI3204" s="1539"/>
      <c r="BJ3204" s="1539"/>
      <c r="BK3204" s="1539"/>
      <c r="BL3204" s="1539"/>
      <c r="BM3204" s="1539"/>
      <c r="BN3204" s="1539"/>
      <c r="BO3204" s="1539"/>
      <c r="BP3204" s="1539"/>
      <c r="BQ3204" s="1539"/>
      <c r="BR3204" s="1539"/>
      <c r="BS3204" s="1539"/>
      <c r="BT3204" s="1539"/>
      <c r="BU3204" s="1539"/>
      <c r="BV3204" s="1539"/>
      <c r="BW3204" s="1539"/>
      <c r="BX3204" s="1539"/>
      <c r="BY3204" s="1539"/>
      <c r="BZ3204" s="1539"/>
      <c r="CA3204" s="1539"/>
      <c r="CB3204" s="1539"/>
      <c r="CC3204" s="1539"/>
      <c r="CD3204" s="1539"/>
      <c r="CE3204" s="1539"/>
      <c r="CF3204" s="1539"/>
      <c r="CG3204" s="1539"/>
      <c r="CH3204" s="1539"/>
      <c r="CI3204" s="1539"/>
      <c r="CJ3204" s="1539"/>
      <c r="CK3204" s="1539"/>
      <c r="CL3204" s="1539"/>
      <c r="CM3204" s="1539"/>
      <c r="CN3204" s="1539"/>
      <c r="CO3204" s="1539"/>
    </row>
    <row r="3205" spans="1:93" s="1552" customFormat="1" ht="15.5">
      <c r="A3205" s="1598"/>
      <c r="B3205" s="1599" t="s">
        <v>1747</v>
      </c>
      <c r="C3205" s="1643" t="e">
        <f>+SUMIF(#REF!,Final!A3205,#REF!)</f>
        <v>#REF!</v>
      </c>
      <c r="D3205" s="1597" t="e">
        <f>+SUMIF(#REF!,Final!A3205,#REF!)</f>
        <v>#REF!</v>
      </c>
      <c r="E3205" s="1643" t="e">
        <f>SUMIF(#REF!,Final!A3205,#REF!)</f>
        <v>#REF!</v>
      </c>
      <c r="F3205" s="1644" t="e">
        <f>SUMIF(#REF!,Final!A3205,#REF!)</f>
        <v>#REF!</v>
      </c>
      <c r="G3205" s="1597" t="e">
        <f t="shared" si="364"/>
        <v>#REF!</v>
      </c>
      <c r="H3205" s="1644" t="e">
        <f t="shared" si="365"/>
        <v>#REF!</v>
      </c>
      <c r="I3205" s="1597" t="e">
        <f t="shared" si="366"/>
        <v>#REF!</v>
      </c>
      <c r="J3205" s="1644" t="e">
        <f t="shared" si="367"/>
        <v>#REF!</v>
      </c>
      <c r="K3205" s="1539"/>
      <c r="L3205" s="1539"/>
      <c r="M3205" s="1545"/>
      <c r="N3205" s="1545"/>
      <c r="O3205" s="1539"/>
      <c r="P3205" s="1539"/>
      <c r="Q3205" s="1539"/>
      <c r="R3205" s="1539"/>
      <c r="S3205" s="1539"/>
      <c r="T3205" s="1539"/>
      <c r="U3205" s="1539"/>
      <c r="V3205" s="1539"/>
      <c r="W3205" s="1539"/>
      <c r="X3205" s="1539"/>
      <c r="Y3205" s="1539"/>
      <c r="Z3205" s="1539"/>
      <c r="AA3205" s="1539"/>
      <c r="AB3205" s="1539"/>
      <c r="AC3205" s="1539"/>
      <c r="AD3205" s="1539"/>
      <c r="AE3205" s="1539"/>
      <c r="AF3205" s="1539"/>
      <c r="AG3205" s="1539"/>
      <c r="AH3205" s="1539"/>
      <c r="AI3205" s="1539"/>
      <c r="AJ3205" s="1539"/>
      <c r="AK3205" s="1539"/>
      <c r="AL3205" s="1539"/>
      <c r="AM3205" s="1539"/>
      <c r="AN3205" s="1539"/>
      <c r="AO3205" s="1539"/>
      <c r="AP3205" s="1539"/>
      <c r="AQ3205" s="1539"/>
      <c r="AR3205" s="1539"/>
      <c r="AS3205" s="1539"/>
      <c r="AT3205" s="1539"/>
      <c r="AU3205" s="1539"/>
      <c r="AV3205" s="1539"/>
      <c r="AW3205" s="1539"/>
      <c r="AX3205" s="1539"/>
      <c r="AY3205" s="1539"/>
      <c r="AZ3205" s="1539"/>
      <c r="BA3205" s="1539"/>
      <c r="BB3205" s="1539"/>
      <c r="BC3205" s="1539"/>
      <c r="BD3205" s="1539"/>
      <c r="BE3205" s="1539"/>
      <c r="BF3205" s="1539"/>
      <c r="BG3205" s="1539"/>
      <c r="BH3205" s="1539"/>
      <c r="BI3205" s="1539"/>
      <c r="BJ3205" s="1539"/>
      <c r="BK3205" s="1539"/>
      <c r="BL3205" s="1539"/>
      <c r="BM3205" s="1539"/>
      <c r="BN3205" s="1539"/>
      <c r="BO3205" s="1539"/>
      <c r="BP3205" s="1539"/>
      <c r="BQ3205" s="1539"/>
      <c r="BR3205" s="1539"/>
      <c r="BS3205" s="1539"/>
      <c r="BT3205" s="1539"/>
      <c r="BU3205" s="1539"/>
      <c r="BV3205" s="1539"/>
      <c r="BW3205" s="1539"/>
      <c r="BX3205" s="1539"/>
      <c r="BY3205" s="1539"/>
      <c r="BZ3205" s="1539"/>
      <c r="CA3205" s="1539"/>
      <c r="CB3205" s="1539"/>
      <c r="CC3205" s="1539"/>
      <c r="CD3205" s="1539"/>
      <c r="CE3205" s="1539"/>
      <c r="CF3205" s="1539"/>
      <c r="CG3205" s="1539"/>
      <c r="CH3205" s="1539"/>
      <c r="CI3205" s="1539"/>
      <c r="CJ3205" s="1539"/>
      <c r="CK3205" s="1539"/>
      <c r="CL3205" s="1539"/>
      <c r="CM3205" s="1539"/>
      <c r="CN3205" s="1539"/>
      <c r="CO3205" s="1539"/>
    </row>
    <row r="3206" spans="1:93" s="1552" customFormat="1" ht="15.5">
      <c r="A3206" s="1598"/>
      <c r="B3206" s="1599" t="s">
        <v>1760</v>
      </c>
      <c r="C3206" s="1643" t="e">
        <f>+SUMIF(#REF!,Final!A3206,#REF!)</f>
        <v>#REF!</v>
      </c>
      <c r="D3206" s="1597" t="e">
        <f>+SUMIF(#REF!,Final!A3206,#REF!)</f>
        <v>#REF!</v>
      </c>
      <c r="E3206" s="1643" t="e">
        <f>SUMIF(#REF!,Final!A3206,#REF!)</f>
        <v>#REF!</v>
      </c>
      <c r="F3206" s="1644" t="e">
        <f>SUMIF(#REF!,Final!A3206,#REF!)</f>
        <v>#REF!</v>
      </c>
      <c r="G3206" s="1597" t="e">
        <f t="shared" si="364"/>
        <v>#REF!</v>
      </c>
      <c r="H3206" s="1644" t="e">
        <f t="shared" si="365"/>
        <v>#REF!</v>
      </c>
      <c r="I3206" s="1597" t="e">
        <f t="shared" si="366"/>
        <v>#REF!</v>
      </c>
      <c r="J3206" s="1644" t="e">
        <f t="shared" si="367"/>
        <v>#REF!</v>
      </c>
      <c r="K3206" s="1539"/>
      <c r="L3206" s="1539"/>
      <c r="M3206" s="1545"/>
      <c r="N3206" s="1545"/>
      <c r="O3206" s="1539"/>
      <c r="P3206" s="1539"/>
      <c r="Q3206" s="1539"/>
      <c r="R3206" s="1539"/>
      <c r="S3206" s="1539"/>
      <c r="T3206" s="1539"/>
      <c r="U3206" s="1539"/>
      <c r="V3206" s="1539"/>
      <c r="W3206" s="1539"/>
      <c r="X3206" s="1539"/>
      <c r="Y3206" s="1539"/>
      <c r="Z3206" s="1539"/>
      <c r="AA3206" s="1539"/>
      <c r="AB3206" s="1539"/>
      <c r="AC3206" s="1539"/>
      <c r="AD3206" s="1539"/>
      <c r="AE3206" s="1539"/>
      <c r="AF3206" s="1539"/>
      <c r="AG3206" s="1539"/>
      <c r="AH3206" s="1539"/>
      <c r="AI3206" s="1539"/>
      <c r="AJ3206" s="1539"/>
      <c r="AK3206" s="1539"/>
      <c r="AL3206" s="1539"/>
      <c r="AM3206" s="1539"/>
      <c r="AN3206" s="1539"/>
      <c r="AO3206" s="1539"/>
      <c r="AP3206" s="1539"/>
      <c r="AQ3206" s="1539"/>
      <c r="AR3206" s="1539"/>
      <c r="AS3206" s="1539"/>
      <c r="AT3206" s="1539"/>
      <c r="AU3206" s="1539"/>
      <c r="AV3206" s="1539"/>
      <c r="AW3206" s="1539"/>
      <c r="AX3206" s="1539"/>
      <c r="AY3206" s="1539"/>
      <c r="AZ3206" s="1539"/>
      <c r="BA3206" s="1539"/>
      <c r="BB3206" s="1539"/>
      <c r="BC3206" s="1539"/>
      <c r="BD3206" s="1539"/>
      <c r="BE3206" s="1539"/>
      <c r="BF3206" s="1539"/>
      <c r="BG3206" s="1539"/>
      <c r="BH3206" s="1539"/>
      <c r="BI3206" s="1539"/>
      <c r="BJ3206" s="1539"/>
      <c r="BK3206" s="1539"/>
      <c r="BL3206" s="1539"/>
      <c r="BM3206" s="1539"/>
      <c r="BN3206" s="1539"/>
      <c r="BO3206" s="1539"/>
      <c r="BP3206" s="1539"/>
      <c r="BQ3206" s="1539"/>
      <c r="BR3206" s="1539"/>
      <c r="BS3206" s="1539"/>
      <c r="BT3206" s="1539"/>
      <c r="BU3206" s="1539"/>
      <c r="BV3206" s="1539"/>
      <c r="BW3206" s="1539"/>
      <c r="BX3206" s="1539"/>
      <c r="BY3206" s="1539"/>
      <c r="BZ3206" s="1539"/>
      <c r="CA3206" s="1539"/>
      <c r="CB3206" s="1539"/>
      <c r="CC3206" s="1539"/>
      <c r="CD3206" s="1539"/>
      <c r="CE3206" s="1539"/>
      <c r="CF3206" s="1539"/>
      <c r="CG3206" s="1539"/>
      <c r="CH3206" s="1539"/>
      <c r="CI3206" s="1539"/>
      <c r="CJ3206" s="1539"/>
      <c r="CK3206" s="1539"/>
      <c r="CL3206" s="1539"/>
      <c r="CM3206" s="1539"/>
      <c r="CN3206" s="1539"/>
      <c r="CO3206" s="1539"/>
    </row>
    <row r="3207" spans="1:93" s="1542" customFormat="1" ht="15.5">
      <c r="A3207" s="1598" t="s">
        <v>1821</v>
      </c>
      <c r="B3207" s="1599" t="s">
        <v>3229</v>
      </c>
      <c r="C3207" s="1643" t="e">
        <f>+SUMIF(#REF!,Final!A3207,#REF!)</f>
        <v>#REF!</v>
      </c>
      <c r="D3207" s="1597" t="e">
        <f>+SUMIF(#REF!,Final!A3207,#REF!)</f>
        <v>#REF!</v>
      </c>
      <c r="E3207" s="1643" t="e">
        <f>SUMIF(#REF!,Final!A3207,#REF!)</f>
        <v>#REF!</v>
      </c>
      <c r="F3207" s="1644" t="e">
        <f>SUMIF(#REF!,Final!A3207,#REF!)</f>
        <v>#REF!</v>
      </c>
      <c r="G3207" s="1597" t="e">
        <f t="shared" si="364"/>
        <v>#REF!</v>
      </c>
      <c r="H3207" s="1644" t="e">
        <f t="shared" si="365"/>
        <v>#REF!</v>
      </c>
      <c r="I3207" s="1597" t="e">
        <f t="shared" si="366"/>
        <v>#REF!</v>
      </c>
      <c r="J3207" s="1644" t="e">
        <f t="shared" si="367"/>
        <v>#REF!</v>
      </c>
      <c r="K3207" s="1539"/>
      <c r="L3207" s="1539"/>
      <c r="M3207" s="1545"/>
      <c r="N3207" s="1545"/>
      <c r="O3207" s="1539"/>
      <c r="P3207" s="1539"/>
      <c r="Q3207" s="1539"/>
      <c r="R3207" s="1539"/>
      <c r="S3207" s="1539"/>
      <c r="T3207" s="1539"/>
      <c r="U3207" s="1539"/>
      <c r="V3207" s="1539"/>
      <c r="W3207" s="1539"/>
      <c r="X3207" s="1539"/>
      <c r="Y3207" s="1539"/>
      <c r="Z3207" s="1539"/>
      <c r="AA3207" s="1539"/>
      <c r="AB3207" s="1539"/>
      <c r="AC3207" s="1539"/>
      <c r="AD3207" s="1539"/>
      <c r="AE3207" s="1539"/>
      <c r="AF3207" s="1539"/>
      <c r="AG3207" s="1539"/>
      <c r="AH3207" s="1539"/>
      <c r="AI3207" s="1539"/>
      <c r="AJ3207" s="1539"/>
      <c r="AK3207" s="1539"/>
      <c r="AL3207" s="1539"/>
      <c r="AM3207" s="1539"/>
      <c r="AN3207" s="1539"/>
      <c r="AO3207" s="1539"/>
      <c r="AP3207" s="1539"/>
      <c r="AQ3207" s="1539"/>
      <c r="AR3207" s="1539"/>
      <c r="AS3207" s="1539"/>
      <c r="AT3207" s="1539"/>
      <c r="AU3207" s="1539"/>
      <c r="AV3207" s="1539"/>
      <c r="AW3207" s="1539"/>
      <c r="AX3207" s="1539"/>
      <c r="AY3207" s="1539"/>
      <c r="AZ3207" s="1539"/>
      <c r="BA3207" s="1539"/>
      <c r="BB3207" s="1539"/>
      <c r="BC3207" s="1539"/>
      <c r="BD3207" s="1539"/>
      <c r="BE3207" s="1539"/>
      <c r="BF3207" s="1539"/>
      <c r="BG3207" s="1539"/>
      <c r="BH3207" s="1539"/>
      <c r="BI3207" s="1539"/>
      <c r="BJ3207" s="1539"/>
      <c r="BK3207" s="1539"/>
      <c r="BL3207" s="1539"/>
      <c r="BM3207" s="1539"/>
      <c r="BN3207" s="1539"/>
      <c r="BO3207" s="1539"/>
      <c r="BP3207" s="1539"/>
      <c r="BQ3207" s="1539"/>
      <c r="BR3207" s="1539"/>
      <c r="BS3207" s="1539"/>
      <c r="BT3207" s="1539"/>
      <c r="BU3207" s="1539"/>
      <c r="BV3207" s="1539"/>
      <c r="BW3207" s="1539"/>
      <c r="BX3207" s="1539"/>
      <c r="BY3207" s="1539"/>
      <c r="BZ3207" s="1539"/>
      <c r="CA3207" s="1539"/>
      <c r="CB3207" s="1539"/>
      <c r="CC3207" s="1539"/>
      <c r="CD3207" s="1539"/>
      <c r="CE3207" s="1539"/>
      <c r="CF3207" s="1539"/>
      <c r="CG3207" s="1539"/>
      <c r="CH3207" s="1539"/>
      <c r="CI3207" s="1539"/>
      <c r="CJ3207" s="1539"/>
      <c r="CK3207" s="1539"/>
      <c r="CL3207" s="1539"/>
      <c r="CM3207" s="1539"/>
      <c r="CN3207" s="1539"/>
      <c r="CO3207" s="1539"/>
    </row>
    <row r="3208" spans="1:93" ht="15.5">
      <c r="A3208" s="1598">
        <v>76.156999999999996</v>
      </c>
      <c r="B3208" s="1599" t="s">
        <v>3230</v>
      </c>
      <c r="C3208" s="1643" t="e">
        <f>+SUMIF(#REF!,Final!A3208,#REF!)</f>
        <v>#REF!</v>
      </c>
      <c r="D3208" s="1597" t="e">
        <f>+SUMIF(#REF!,Final!A3208,#REF!)</f>
        <v>#REF!</v>
      </c>
      <c r="E3208" s="1643" t="e">
        <f>SUMIF(#REF!,Final!A3208,#REF!)</f>
        <v>#REF!</v>
      </c>
      <c r="F3208" s="1644" t="e">
        <f>SUMIF(#REF!,Final!A3208,#REF!)</f>
        <v>#REF!</v>
      </c>
      <c r="G3208" s="1597" t="e">
        <f t="shared" si="364"/>
        <v>#REF!</v>
      </c>
      <c r="H3208" s="1644" t="e">
        <f t="shared" si="365"/>
        <v>#REF!</v>
      </c>
      <c r="I3208" s="1597" t="e">
        <f t="shared" si="366"/>
        <v>#REF!</v>
      </c>
      <c r="J3208" s="1644" t="e">
        <f t="shared" si="367"/>
        <v>#REF!</v>
      </c>
      <c r="M3208" s="1545"/>
      <c r="N3208" s="1545"/>
    </row>
    <row r="3209" spans="1:93" s="1552" customFormat="1" ht="15.5">
      <c r="A3209" s="1598"/>
      <c r="B3209" s="1599" t="s">
        <v>1747</v>
      </c>
      <c r="C3209" s="1643" t="e">
        <f>+SUMIF(#REF!,Final!A3209,#REF!)</f>
        <v>#REF!</v>
      </c>
      <c r="D3209" s="1597" t="e">
        <f>+SUMIF(#REF!,Final!A3209,#REF!)</f>
        <v>#REF!</v>
      </c>
      <c r="E3209" s="1643" t="e">
        <f>SUMIF(#REF!,Final!A3209,#REF!)</f>
        <v>#REF!</v>
      </c>
      <c r="F3209" s="1644" t="e">
        <f>SUMIF(#REF!,Final!A3209,#REF!)</f>
        <v>#REF!</v>
      </c>
      <c r="G3209" s="1597" t="e">
        <f t="shared" si="364"/>
        <v>#REF!</v>
      </c>
      <c r="H3209" s="1644" t="e">
        <f t="shared" si="365"/>
        <v>#REF!</v>
      </c>
      <c r="I3209" s="1597" t="e">
        <f t="shared" si="366"/>
        <v>#REF!</v>
      </c>
      <c r="J3209" s="1644" t="e">
        <f t="shared" si="367"/>
        <v>#REF!</v>
      </c>
      <c r="K3209" s="1539"/>
      <c r="L3209" s="1539"/>
      <c r="M3209" s="1545"/>
      <c r="N3209" s="1545"/>
      <c r="O3209" s="1539"/>
      <c r="P3209" s="1539"/>
      <c r="Q3209" s="1539"/>
      <c r="R3209" s="1539"/>
      <c r="S3209" s="1539"/>
      <c r="T3209" s="1539"/>
      <c r="U3209" s="1539"/>
      <c r="V3209" s="1539"/>
      <c r="W3209" s="1539"/>
      <c r="X3209" s="1539"/>
      <c r="Y3209" s="1539"/>
      <c r="Z3209" s="1539"/>
      <c r="AA3209" s="1539"/>
      <c r="AB3209" s="1539"/>
      <c r="AC3209" s="1539"/>
      <c r="AD3209" s="1539"/>
      <c r="AE3209" s="1539"/>
      <c r="AF3209" s="1539"/>
      <c r="AG3209" s="1539"/>
      <c r="AH3209" s="1539"/>
      <c r="AI3209" s="1539"/>
      <c r="AJ3209" s="1539"/>
      <c r="AK3209" s="1539"/>
      <c r="AL3209" s="1539"/>
      <c r="AM3209" s="1539"/>
      <c r="AN3209" s="1539"/>
      <c r="AO3209" s="1539"/>
      <c r="AP3209" s="1539"/>
      <c r="AQ3209" s="1539"/>
      <c r="AR3209" s="1539"/>
      <c r="AS3209" s="1539"/>
      <c r="AT3209" s="1539"/>
      <c r="AU3209" s="1539"/>
      <c r="AV3209" s="1539"/>
      <c r="AW3209" s="1539"/>
      <c r="AX3209" s="1539"/>
      <c r="AY3209" s="1539"/>
      <c r="AZ3209" s="1539"/>
      <c r="BA3209" s="1539"/>
      <c r="BB3209" s="1539"/>
      <c r="BC3209" s="1539"/>
      <c r="BD3209" s="1539"/>
      <c r="BE3209" s="1539"/>
      <c r="BF3209" s="1539"/>
      <c r="BG3209" s="1539"/>
      <c r="BH3209" s="1539"/>
      <c r="BI3209" s="1539"/>
      <c r="BJ3209" s="1539"/>
      <c r="BK3209" s="1539"/>
      <c r="BL3209" s="1539"/>
      <c r="BM3209" s="1539"/>
      <c r="BN3209" s="1539"/>
      <c r="BO3209" s="1539"/>
      <c r="BP3209" s="1539"/>
      <c r="BQ3209" s="1539"/>
      <c r="BR3209" s="1539"/>
      <c r="BS3209" s="1539"/>
      <c r="BT3209" s="1539"/>
      <c r="BU3209" s="1539"/>
      <c r="BV3209" s="1539"/>
      <c r="BW3209" s="1539"/>
      <c r="BX3209" s="1539"/>
      <c r="BY3209" s="1539"/>
      <c r="BZ3209" s="1539"/>
      <c r="CA3209" s="1539"/>
      <c r="CB3209" s="1539"/>
      <c r="CC3209" s="1539"/>
      <c r="CD3209" s="1539"/>
      <c r="CE3209" s="1539"/>
      <c r="CF3209" s="1539"/>
      <c r="CG3209" s="1539"/>
      <c r="CH3209" s="1539"/>
      <c r="CI3209" s="1539"/>
      <c r="CJ3209" s="1539"/>
      <c r="CK3209" s="1539"/>
      <c r="CL3209" s="1539"/>
      <c r="CM3209" s="1539"/>
      <c r="CN3209" s="1539"/>
      <c r="CO3209" s="1539"/>
    </row>
    <row r="3210" spans="1:93" s="1552" customFormat="1" ht="15.5">
      <c r="A3210" s="1598"/>
      <c r="B3210" s="1599" t="s">
        <v>1760</v>
      </c>
      <c r="C3210" s="1643" t="e">
        <f>+SUMIF(#REF!,Final!A3210,#REF!)</f>
        <v>#REF!</v>
      </c>
      <c r="D3210" s="1597" t="e">
        <f>+SUMIF(#REF!,Final!A3210,#REF!)</f>
        <v>#REF!</v>
      </c>
      <c r="E3210" s="1643" t="e">
        <f>SUMIF(#REF!,Final!A3210,#REF!)</f>
        <v>#REF!</v>
      </c>
      <c r="F3210" s="1644" t="e">
        <f>SUMIF(#REF!,Final!A3210,#REF!)</f>
        <v>#REF!</v>
      </c>
      <c r="G3210" s="1597" t="e">
        <f t="shared" si="364"/>
        <v>#REF!</v>
      </c>
      <c r="H3210" s="1644" t="e">
        <f t="shared" si="365"/>
        <v>#REF!</v>
      </c>
      <c r="I3210" s="1597" t="e">
        <f t="shared" si="366"/>
        <v>#REF!</v>
      </c>
      <c r="J3210" s="1644" t="e">
        <f t="shared" si="367"/>
        <v>#REF!</v>
      </c>
      <c r="K3210" s="1539"/>
      <c r="L3210" s="1539"/>
      <c r="M3210" s="1545"/>
      <c r="N3210" s="1545"/>
      <c r="O3210" s="1539"/>
      <c r="P3210" s="1539"/>
      <c r="Q3210" s="1539"/>
      <c r="R3210" s="1539"/>
      <c r="S3210" s="1539"/>
      <c r="T3210" s="1539"/>
      <c r="U3210" s="1539"/>
      <c r="V3210" s="1539"/>
      <c r="W3210" s="1539"/>
      <c r="X3210" s="1539"/>
      <c r="Y3210" s="1539"/>
      <c r="Z3210" s="1539"/>
      <c r="AA3210" s="1539"/>
      <c r="AB3210" s="1539"/>
      <c r="AC3210" s="1539"/>
      <c r="AD3210" s="1539"/>
      <c r="AE3210" s="1539"/>
      <c r="AF3210" s="1539"/>
      <c r="AG3210" s="1539"/>
      <c r="AH3210" s="1539"/>
      <c r="AI3210" s="1539"/>
      <c r="AJ3210" s="1539"/>
      <c r="AK3210" s="1539"/>
      <c r="AL3210" s="1539"/>
      <c r="AM3210" s="1539"/>
      <c r="AN3210" s="1539"/>
      <c r="AO3210" s="1539"/>
      <c r="AP3210" s="1539"/>
      <c r="AQ3210" s="1539"/>
      <c r="AR3210" s="1539"/>
      <c r="AS3210" s="1539"/>
      <c r="AT3210" s="1539"/>
      <c r="AU3210" s="1539"/>
      <c r="AV3210" s="1539"/>
      <c r="AW3210" s="1539"/>
      <c r="AX3210" s="1539"/>
      <c r="AY3210" s="1539"/>
      <c r="AZ3210" s="1539"/>
      <c r="BA3210" s="1539"/>
      <c r="BB3210" s="1539"/>
      <c r="BC3210" s="1539"/>
      <c r="BD3210" s="1539"/>
      <c r="BE3210" s="1539"/>
      <c r="BF3210" s="1539"/>
      <c r="BG3210" s="1539"/>
      <c r="BH3210" s="1539"/>
      <c r="BI3210" s="1539"/>
      <c r="BJ3210" s="1539"/>
      <c r="BK3210" s="1539"/>
      <c r="BL3210" s="1539"/>
      <c r="BM3210" s="1539"/>
      <c r="BN3210" s="1539"/>
      <c r="BO3210" s="1539"/>
      <c r="BP3210" s="1539"/>
      <c r="BQ3210" s="1539"/>
      <c r="BR3210" s="1539"/>
      <c r="BS3210" s="1539"/>
      <c r="BT3210" s="1539"/>
      <c r="BU3210" s="1539"/>
      <c r="BV3210" s="1539"/>
      <c r="BW3210" s="1539"/>
      <c r="BX3210" s="1539"/>
      <c r="BY3210" s="1539"/>
      <c r="BZ3210" s="1539"/>
      <c r="CA3210" s="1539"/>
      <c r="CB3210" s="1539"/>
      <c r="CC3210" s="1539"/>
      <c r="CD3210" s="1539"/>
      <c r="CE3210" s="1539"/>
      <c r="CF3210" s="1539"/>
      <c r="CG3210" s="1539"/>
      <c r="CH3210" s="1539"/>
      <c r="CI3210" s="1539"/>
      <c r="CJ3210" s="1539"/>
      <c r="CK3210" s="1539"/>
      <c r="CL3210" s="1539"/>
      <c r="CM3210" s="1539"/>
      <c r="CN3210" s="1539"/>
      <c r="CO3210" s="1539"/>
    </row>
    <row r="3211" spans="1:93" s="1542" customFormat="1" ht="15.5">
      <c r="A3211" s="1598" t="s">
        <v>1824</v>
      </c>
      <c r="B3211" s="1599" t="s">
        <v>3231</v>
      </c>
      <c r="C3211" s="1643" t="e">
        <f>+SUMIF(#REF!,Final!A3211,#REF!)</f>
        <v>#REF!</v>
      </c>
      <c r="D3211" s="1597" t="e">
        <f>+SUMIF(#REF!,Final!A3211,#REF!)</f>
        <v>#REF!</v>
      </c>
      <c r="E3211" s="1643" t="e">
        <f>SUMIF(#REF!,Final!A3211,#REF!)</f>
        <v>#REF!</v>
      </c>
      <c r="F3211" s="1644" t="e">
        <f>SUMIF(#REF!,Final!A3211,#REF!)</f>
        <v>#REF!</v>
      </c>
      <c r="G3211" s="1597" t="e">
        <f t="shared" si="364"/>
        <v>#REF!</v>
      </c>
      <c r="H3211" s="1644" t="e">
        <f t="shared" si="365"/>
        <v>#REF!</v>
      </c>
      <c r="I3211" s="1597" t="e">
        <f t="shared" si="366"/>
        <v>#REF!</v>
      </c>
      <c r="J3211" s="1644" t="e">
        <f t="shared" si="367"/>
        <v>#REF!</v>
      </c>
      <c r="K3211" s="1539"/>
      <c r="L3211" s="1539"/>
      <c r="M3211" s="1545"/>
      <c r="N3211" s="1545"/>
      <c r="O3211" s="1539"/>
      <c r="P3211" s="1539"/>
      <c r="Q3211" s="1539"/>
      <c r="R3211" s="1539"/>
      <c r="S3211" s="1539"/>
      <c r="T3211" s="1539"/>
      <c r="U3211" s="1539"/>
      <c r="V3211" s="1539"/>
      <c r="W3211" s="1539"/>
      <c r="X3211" s="1539"/>
      <c r="Y3211" s="1539"/>
      <c r="Z3211" s="1539"/>
      <c r="AA3211" s="1539"/>
      <c r="AB3211" s="1539"/>
      <c r="AC3211" s="1539"/>
      <c r="AD3211" s="1539"/>
      <c r="AE3211" s="1539"/>
      <c r="AF3211" s="1539"/>
      <c r="AG3211" s="1539"/>
      <c r="AH3211" s="1539"/>
      <c r="AI3211" s="1539"/>
      <c r="AJ3211" s="1539"/>
      <c r="AK3211" s="1539"/>
      <c r="AL3211" s="1539"/>
      <c r="AM3211" s="1539"/>
      <c r="AN3211" s="1539"/>
      <c r="AO3211" s="1539"/>
      <c r="AP3211" s="1539"/>
      <c r="AQ3211" s="1539"/>
      <c r="AR3211" s="1539"/>
      <c r="AS3211" s="1539"/>
      <c r="AT3211" s="1539"/>
      <c r="AU3211" s="1539"/>
      <c r="AV3211" s="1539"/>
      <c r="AW3211" s="1539"/>
      <c r="AX3211" s="1539"/>
      <c r="AY3211" s="1539"/>
      <c r="AZ3211" s="1539"/>
      <c r="BA3211" s="1539"/>
      <c r="BB3211" s="1539"/>
      <c r="BC3211" s="1539"/>
      <c r="BD3211" s="1539"/>
      <c r="BE3211" s="1539"/>
      <c r="BF3211" s="1539"/>
      <c r="BG3211" s="1539"/>
      <c r="BH3211" s="1539"/>
      <c r="BI3211" s="1539"/>
      <c r="BJ3211" s="1539"/>
      <c r="BK3211" s="1539"/>
      <c r="BL3211" s="1539"/>
      <c r="BM3211" s="1539"/>
      <c r="BN3211" s="1539"/>
      <c r="BO3211" s="1539"/>
      <c r="BP3211" s="1539"/>
      <c r="BQ3211" s="1539"/>
      <c r="BR3211" s="1539"/>
      <c r="BS3211" s="1539"/>
      <c r="BT3211" s="1539"/>
      <c r="BU3211" s="1539"/>
      <c r="BV3211" s="1539"/>
      <c r="BW3211" s="1539"/>
      <c r="BX3211" s="1539"/>
      <c r="BY3211" s="1539"/>
      <c r="BZ3211" s="1539"/>
      <c r="CA3211" s="1539"/>
      <c r="CB3211" s="1539"/>
      <c r="CC3211" s="1539"/>
      <c r="CD3211" s="1539"/>
      <c r="CE3211" s="1539"/>
      <c r="CF3211" s="1539"/>
      <c r="CG3211" s="1539"/>
      <c r="CH3211" s="1539"/>
      <c r="CI3211" s="1539"/>
      <c r="CJ3211" s="1539"/>
      <c r="CK3211" s="1539"/>
      <c r="CL3211" s="1539"/>
      <c r="CM3211" s="1539"/>
      <c r="CN3211" s="1539"/>
      <c r="CO3211" s="1539"/>
    </row>
    <row r="3212" spans="1:93" s="1542" customFormat="1" ht="15.5">
      <c r="A3212" s="1598">
        <v>76.158000000000001</v>
      </c>
      <c r="B3212" s="1599" t="s">
        <v>3232</v>
      </c>
      <c r="C3212" s="1643" t="e">
        <f>+SUMIF(#REF!,Final!A3212,#REF!)</f>
        <v>#REF!</v>
      </c>
      <c r="D3212" s="1597" t="e">
        <f>+SUMIF(#REF!,Final!A3212,#REF!)</f>
        <v>#REF!</v>
      </c>
      <c r="E3212" s="1643" t="e">
        <f>SUMIF(#REF!,Final!A3212,#REF!)</f>
        <v>#REF!</v>
      </c>
      <c r="F3212" s="1644" t="e">
        <f>SUMIF(#REF!,Final!A3212,#REF!)</f>
        <v>#REF!</v>
      </c>
      <c r="G3212" s="1597" t="e">
        <f t="shared" si="364"/>
        <v>#REF!</v>
      </c>
      <c r="H3212" s="1644" t="e">
        <f t="shared" si="365"/>
        <v>#REF!</v>
      </c>
      <c r="I3212" s="1597" t="e">
        <f t="shared" si="366"/>
        <v>#REF!</v>
      </c>
      <c r="J3212" s="1644" t="e">
        <f t="shared" si="367"/>
        <v>#REF!</v>
      </c>
      <c r="K3212" s="1539"/>
      <c r="L3212" s="1539"/>
      <c r="M3212" s="1545"/>
      <c r="N3212" s="1545"/>
      <c r="O3212" s="1539"/>
      <c r="P3212" s="1539"/>
      <c r="Q3212" s="1539"/>
      <c r="R3212" s="1539"/>
      <c r="S3212" s="1539"/>
      <c r="T3212" s="1539"/>
      <c r="U3212" s="1539"/>
      <c r="V3212" s="1539"/>
      <c r="W3212" s="1539"/>
      <c r="X3212" s="1539"/>
      <c r="Y3212" s="1539"/>
      <c r="Z3212" s="1539"/>
      <c r="AA3212" s="1539"/>
      <c r="AB3212" s="1539"/>
      <c r="AC3212" s="1539"/>
      <c r="AD3212" s="1539"/>
      <c r="AE3212" s="1539"/>
      <c r="AF3212" s="1539"/>
      <c r="AG3212" s="1539"/>
      <c r="AH3212" s="1539"/>
      <c r="AI3212" s="1539"/>
      <c r="AJ3212" s="1539"/>
      <c r="AK3212" s="1539"/>
      <c r="AL3212" s="1539"/>
      <c r="AM3212" s="1539"/>
      <c r="AN3212" s="1539"/>
      <c r="AO3212" s="1539"/>
      <c r="AP3212" s="1539"/>
      <c r="AQ3212" s="1539"/>
      <c r="AR3212" s="1539"/>
      <c r="AS3212" s="1539"/>
      <c r="AT3212" s="1539"/>
      <c r="AU3212" s="1539"/>
      <c r="AV3212" s="1539"/>
      <c r="AW3212" s="1539"/>
      <c r="AX3212" s="1539"/>
      <c r="AY3212" s="1539"/>
      <c r="AZ3212" s="1539"/>
      <c r="BA3212" s="1539"/>
      <c r="BB3212" s="1539"/>
      <c r="BC3212" s="1539"/>
      <c r="BD3212" s="1539"/>
      <c r="BE3212" s="1539"/>
      <c r="BF3212" s="1539"/>
      <c r="BG3212" s="1539"/>
      <c r="BH3212" s="1539"/>
      <c r="BI3212" s="1539"/>
      <c r="BJ3212" s="1539"/>
      <c r="BK3212" s="1539"/>
      <c r="BL3212" s="1539"/>
      <c r="BM3212" s="1539"/>
      <c r="BN3212" s="1539"/>
      <c r="BO3212" s="1539"/>
      <c r="BP3212" s="1539"/>
      <c r="BQ3212" s="1539"/>
      <c r="BR3212" s="1539"/>
      <c r="BS3212" s="1539"/>
      <c r="BT3212" s="1539"/>
      <c r="BU3212" s="1539"/>
      <c r="BV3212" s="1539"/>
      <c r="BW3212" s="1539"/>
      <c r="BX3212" s="1539"/>
      <c r="BY3212" s="1539"/>
      <c r="BZ3212" s="1539"/>
      <c r="CA3212" s="1539"/>
      <c r="CB3212" s="1539"/>
      <c r="CC3212" s="1539"/>
      <c r="CD3212" s="1539"/>
      <c r="CE3212" s="1539"/>
      <c r="CF3212" s="1539"/>
      <c r="CG3212" s="1539"/>
      <c r="CH3212" s="1539"/>
      <c r="CI3212" s="1539"/>
      <c r="CJ3212" s="1539"/>
      <c r="CK3212" s="1539"/>
      <c r="CL3212" s="1539"/>
      <c r="CM3212" s="1539"/>
      <c r="CN3212" s="1539"/>
      <c r="CO3212" s="1539"/>
    </row>
    <row r="3213" spans="1:93" ht="15.5">
      <c r="A3213" s="1598" t="s">
        <v>3233</v>
      </c>
      <c r="B3213" s="1599" t="s">
        <v>3234</v>
      </c>
      <c r="C3213" s="1643" t="e">
        <f>+SUMIF(#REF!,Final!A3213,#REF!)</f>
        <v>#REF!</v>
      </c>
      <c r="D3213" s="1597" t="e">
        <f>+SUMIF(#REF!,Final!A3213,#REF!)</f>
        <v>#REF!</v>
      </c>
      <c r="E3213" s="1643" t="e">
        <f>SUMIF(#REF!,Final!A3213,#REF!)</f>
        <v>#REF!</v>
      </c>
      <c r="F3213" s="1644" t="e">
        <f>SUMIF(#REF!,Final!A3213,#REF!)</f>
        <v>#REF!</v>
      </c>
      <c r="G3213" s="1597" t="e">
        <f t="shared" si="364"/>
        <v>#REF!</v>
      </c>
      <c r="H3213" s="1644" t="e">
        <f t="shared" si="365"/>
        <v>#REF!</v>
      </c>
      <c r="I3213" s="1597" t="e">
        <f t="shared" si="366"/>
        <v>#REF!</v>
      </c>
      <c r="J3213" s="1644" t="e">
        <f t="shared" si="367"/>
        <v>#REF!</v>
      </c>
      <c r="M3213" s="1545"/>
      <c r="N3213" s="1545"/>
    </row>
    <row r="3214" spans="1:93" s="1552" customFormat="1" ht="15.5">
      <c r="A3214" s="1598"/>
      <c r="B3214" s="1599" t="s">
        <v>1747</v>
      </c>
      <c r="C3214" s="1643" t="e">
        <f>+SUMIF(#REF!,Final!A3214,#REF!)</f>
        <v>#REF!</v>
      </c>
      <c r="D3214" s="1597" t="e">
        <f>+SUMIF(#REF!,Final!A3214,#REF!)</f>
        <v>#REF!</v>
      </c>
      <c r="E3214" s="1643" t="e">
        <f>SUMIF(#REF!,Final!A3214,#REF!)</f>
        <v>#REF!</v>
      </c>
      <c r="F3214" s="1644" t="e">
        <f>SUMIF(#REF!,Final!A3214,#REF!)</f>
        <v>#REF!</v>
      </c>
      <c r="G3214" s="1597" t="e">
        <f t="shared" si="364"/>
        <v>#REF!</v>
      </c>
      <c r="H3214" s="1644" t="e">
        <f t="shared" si="365"/>
        <v>#REF!</v>
      </c>
      <c r="I3214" s="1597" t="e">
        <f t="shared" si="366"/>
        <v>#REF!</v>
      </c>
      <c r="J3214" s="1644" t="e">
        <f t="shared" si="367"/>
        <v>#REF!</v>
      </c>
      <c r="K3214" s="1539"/>
      <c r="L3214" s="1539"/>
      <c r="M3214" s="1545"/>
      <c r="N3214" s="1545"/>
      <c r="O3214" s="1539"/>
      <c r="P3214" s="1539"/>
      <c r="Q3214" s="1539"/>
      <c r="R3214" s="1539"/>
      <c r="S3214" s="1539"/>
      <c r="T3214" s="1539"/>
      <c r="U3214" s="1539"/>
      <c r="V3214" s="1539"/>
      <c r="W3214" s="1539"/>
      <c r="X3214" s="1539"/>
      <c r="Y3214" s="1539"/>
      <c r="Z3214" s="1539"/>
      <c r="AA3214" s="1539"/>
      <c r="AB3214" s="1539"/>
      <c r="AC3214" s="1539"/>
      <c r="AD3214" s="1539"/>
      <c r="AE3214" s="1539"/>
      <c r="AF3214" s="1539"/>
      <c r="AG3214" s="1539"/>
      <c r="AH3214" s="1539"/>
      <c r="AI3214" s="1539"/>
      <c r="AJ3214" s="1539"/>
      <c r="AK3214" s="1539"/>
      <c r="AL3214" s="1539"/>
      <c r="AM3214" s="1539"/>
      <c r="AN3214" s="1539"/>
      <c r="AO3214" s="1539"/>
      <c r="AP3214" s="1539"/>
      <c r="AQ3214" s="1539"/>
      <c r="AR3214" s="1539"/>
      <c r="AS3214" s="1539"/>
      <c r="AT3214" s="1539"/>
      <c r="AU3214" s="1539"/>
      <c r="AV3214" s="1539"/>
      <c r="AW3214" s="1539"/>
      <c r="AX3214" s="1539"/>
      <c r="AY3214" s="1539"/>
      <c r="AZ3214" s="1539"/>
      <c r="BA3214" s="1539"/>
      <c r="BB3214" s="1539"/>
      <c r="BC3214" s="1539"/>
      <c r="BD3214" s="1539"/>
      <c r="BE3214" s="1539"/>
      <c r="BF3214" s="1539"/>
      <c r="BG3214" s="1539"/>
      <c r="BH3214" s="1539"/>
      <c r="BI3214" s="1539"/>
      <c r="BJ3214" s="1539"/>
      <c r="BK3214" s="1539"/>
      <c r="BL3214" s="1539"/>
      <c r="BM3214" s="1539"/>
      <c r="BN3214" s="1539"/>
      <c r="BO3214" s="1539"/>
      <c r="BP3214" s="1539"/>
      <c r="BQ3214" s="1539"/>
      <c r="BR3214" s="1539"/>
      <c r="BS3214" s="1539"/>
      <c r="BT3214" s="1539"/>
      <c r="BU3214" s="1539"/>
      <c r="BV3214" s="1539"/>
      <c r="BW3214" s="1539"/>
      <c r="BX3214" s="1539"/>
      <c r="BY3214" s="1539"/>
      <c r="BZ3214" s="1539"/>
      <c r="CA3214" s="1539"/>
      <c r="CB3214" s="1539"/>
      <c r="CC3214" s="1539"/>
      <c r="CD3214" s="1539"/>
      <c r="CE3214" s="1539"/>
      <c r="CF3214" s="1539"/>
      <c r="CG3214" s="1539"/>
      <c r="CH3214" s="1539"/>
      <c r="CI3214" s="1539"/>
      <c r="CJ3214" s="1539"/>
      <c r="CK3214" s="1539"/>
      <c r="CL3214" s="1539"/>
      <c r="CM3214" s="1539"/>
      <c r="CN3214" s="1539"/>
      <c r="CO3214" s="1539"/>
    </row>
    <row r="3215" spans="1:93" s="1552" customFormat="1" ht="15.5">
      <c r="A3215" s="1598"/>
      <c r="B3215" s="1599" t="s">
        <v>1760</v>
      </c>
      <c r="C3215" s="1643" t="e">
        <f>+SUMIF(#REF!,Final!A3215,#REF!)</f>
        <v>#REF!</v>
      </c>
      <c r="D3215" s="1597" t="e">
        <f>+SUMIF(#REF!,Final!A3215,#REF!)</f>
        <v>#REF!</v>
      </c>
      <c r="E3215" s="1643" t="e">
        <f>SUMIF(#REF!,Final!A3215,#REF!)</f>
        <v>#REF!</v>
      </c>
      <c r="F3215" s="1644" t="e">
        <f>SUMIF(#REF!,Final!A3215,#REF!)</f>
        <v>#REF!</v>
      </c>
      <c r="G3215" s="1597" t="e">
        <f t="shared" si="364"/>
        <v>#REF!</v>
      </c>
      <c r="H3215" s="1644" t="e">
        <f t="shared" si="365"/>
        <v>#REF!</v>
      </c>
      <c r="I3215" s="1597" t="e">
        <f t="shared" si="366"/>
        <v>#REF!</v>
      </c>
      <c r="J3215" s="1644" t="e">
        <f t="shared" si="367"/>
        <v>#REF!</v>
      </c>
      <c r="K3215" s="1539"/>
      <c r="L3215" s="1539"/>
      <c r="M3215" s="1545"/>
      <c r="N3215" s="1545"/>
      <c r="O3215" s="1539"/>
      <c r="P3215" s="1539"/>
      <c r="Q3215" s="1539"/>
      <c r="R3215" s="1539"/>
      <c r="S3215" s="1539"/>
      <c r="T3215" s="1539"/>
      <c r="U3215" s="1539"/>
      <c r="V3215" s="1539"/>
      <c r="W3215" s="1539"/>
      <c r="X3215" s="1539"/>
      <c r="Y3215" s="1539"/>
      <c r="Z3215" s="1539"/>
      <c r="AA3215" s="1539"/>
      <c r="AB3215" s="1539"/>
      <c r="AC3215" s="1539"/>
      <c r="AD3215" s="1539"/>
      <c r="AE3215" s="1539"/>
      <c r="AF3215" s="1539"/>
      <c r="AG3215" s="1539"/>
      <c r="AH3215" s="1539"/>
      <c r="AI3215" s="1539"/>
      <c r="AJ3215" s="1539"/>
      <c r="AK3215" s="1539"/>
      <c r="AL3215" s="1539"/>
      <c r="AM3215" s="1539"/>
      <c r="AN3215" s="1539"/>
      <c r="AO3215" s="1539"/>
      <c r="AP3215" s="1539"/>
      <c r="AQ3215" s="1539"/>
      <c r="AR3215" s="1539"/>
      <c r="AS3215" s="1539"/>
      <c r="AT3215" s="1539"/>
      <c r="AU3215" s="1539"/>
      <c r="AV3215" s="1539"/>
      <c r="AW3215" s="1539"/>
      <c r="AX3215" s="1539"/>
      <c r="AY3215" s="1539"/>
      <c r="AZ3215" s="1539"/>
      <c r="BA3215" s="1539"/>
      <c r="BB3215" s="1539"/>
      <c r="BC3215" s="1539"/>
      <c r="BD3215" s="1539"/>
      <c r="BE3215" s="1539"/>
      <c r="BF3215" s="1539"/>
      <c r="BG3215" s="1539"/>
      <c r="BH3215" s="1539"/>
      <c r="BI3215" s="1539"/>
      <c r="BJ3215" s="1539"/>
      <c r="BK3215" s="1539"/>
      <c r="BL3215" s="1539"/>
      <c r="BM3215" s="1539"/>
      <c r="BN3215" s="1539"/>
      <c r="BO3215" s="1539"/>
      <c r="BP3215" s="1539"/>
      <c r="BQ3215" s="1539"/>
      <c r="BR3215" s="1539"/>
      <c r="BS3215" s="1539"/>
      <c r="BT3215" s="1539"/>
      <c r="BU3215" s="1539"/>
      <c r="BV3215" s="1539"/>
      <c r="BW3215" s="1539"/>
      <c r="BX3215" s="1539"/>
      <c r="BY3215" s="1539"/>
      <c r="BZ3215" s="1539"/>
      <c r="CA3215" s="1539"/>
      <c r="CB3215" s="1539"/>
      <c r="CC3215" s="1539"/>
      <c r="CD3215" s="1539"/>
      <c r="CE3215" s="1539"/>
      <c r="CF3215" s="1539"/>
      <c r="CG3215" s="1539"/>
      <c r="CH3215" s="1539"/>
      <c r="CI3215" s="1539"/>
      <c r="CJ3215" s="1539"/>
      <c r="CK3215" s="1539"/>
      <c r="CL3215" s="1539"/>
      <c r="CM3215" s="1539"/>
      <c r="CN3215" s="1539"/>
      <c r="CO3215" s="1539"/>
    </row>
    <row r="3216" spans="1:93" s="1542" customFormat="1" ht="15.5">
      <c r="A3216" s="1598">
        <v>32</v>
      </c>
      <c r="B3216" s="1599" t="s">
        <v>3188</v>
      </c>
      <c r="C3216" s="1643" t="e">
        <f>+SUMIF(#REF!,Final!A3216,#REF!)</f>
        <v>#REF!</v>
      </c>
      <c r="D3216" s="1597" t="e">
        <f>+SUMIF(#REF!,Final!A3216,#REF!)</f>
        <v>#REF!</v>
      </c>
      <c r="E3216" s="1643" t="e">
        <f>SUMIF(#REF!,Final!A3216,#REF!)</f>
        <v>#REF!</v>
      </c>
      <c r="F3216" s="1644" t="e">
        <f>SUMIF(#REF!,Final!A3216,#REF!)</f>
        <v>#REF!</v>
      </c>
      <c r="G3216" s="1597" t="e">
        <f t="shared" si="364"/>
        <v>#REF!</v>
      </c>
      <c r="H3216" s="1644" t="e">
        <f t="shared" si="365"/>
        <v>#REF!</v>
      </c>
      <c r="I3216" s="1597" t="e">
        <f t="shared" si="366"/>
        <v>#REF!</v>
      </c>
      <c r="J3216" s="1644" t="e">
        <f t="shared" si="367"/>
        <v>#REF!</v>
      </c>
      <c r="K3216" s="1539"/>
      <c r="L3216" s="1539"/>
      <c r="M3216" s="1545"/>
      <c r="N3216" s="1545"/>
      <c r="O3216" s="1539"/>
      <c r="P3216" s="1539"/>
      <c r="Q3216" s="1539"/>
      <c r="R3216" s="1539"/>
      <c r="S3216" s="1539"/>
      <c r="T3216" s="1539"/>
      <c r="U3216" s="1539"/>
      <c r="V3216" s="1539"/>
      <c r="W3216" s="1539"/>
      <c r="X3216" s="1539"/>
      <c r="Y3216" s="1539"/>
      <c r="Z3216" s="1539"/>
      <c r="AA3216" s="1539"/>
      <c r="AB3216" s="1539"/>
      <c r="AC3216" s="1539"/>
      <c r="AD3216" s="1539"/>
      <c r="AE3216" s="1539"/>
      <c r="AF3216" s="1539"/>
      <c r="AG3216" s="1539"/>
      <c r="AH3216" s="1539"/>
      <c r="AI3216" s="1539"/>
      <c r="AJ3216" s="1539"/>
      <c r="AK3216" s="1539"/>
      <c r="AL3216" s="1539"/>
      <c r="AM3216" s="1539"/>
      <c r="AN3216" s="1539"/>
      <c r="AO3216" s="1539"/>
      <c r="AP3216" s="1539"/>
      <c r="AQ3216" s="1539"/>
      <c r="AR3216" s="1539"/>
      <c r="AS3216" s="1539"/>
      <c r="AT3216" s="1539"/>
      <c r="AU3216" s="1539"/>
      <c r="AV3216" s="1539"/>
      <c r="AW3216" s="1539"/>
      <c r="AX3216" s="1539"/>
      <c r="AY3216" s="1539"/>
      <c r="AZ3216" s="1539"/>
      <c r="BA3216" s="1539"/>
      <c r="BB3216" s="1539"/>
      <c r="BC3216" s="1539"/>
      <c r="BD3216" s="1539"/>
      <c r="BE3216" s="1539"/>
      <c r="BF3216" s="1539"/>
      <c r="BG3216" s="1539"/>
      <c r="BH3216" s="1539"/>
      <c r="BI3216" s="1539"/>
      <c r="BJ3216" s="1539"/>
      <c r="BK3216" s="1539"/>
      <c r="BL3216" s="1539"/>
      <c r="BM3216" s="1539"/>
      <c r="BN3216" s="1539"/>
      <c r="BO3216" s="1539"/>
      <c r="BP3216" s="1539"/>
      <c r="BQ3216" s="1539"/>
      <c r="BR3216" s="1539"/>
      <c r="BS3216" s="1539"/>
      <c r="BT3216" s="1539"/>
      <c r="BU3216" s="1539"/>
      <c r="BV3216" s="1539"/>
      <c r="BW3216" s="1539"/>
      <c r="BX3216" s="1539"/>
      <c r="BY3216" s="1539"/>
      <c r="BZ3216" s="1539"/>
      <c r="CA3216" s="1539"/>
      <c r="CB3216" s="1539"/>
      <c r="CC3216" s="1539"/>
      <c r="CD3216" s="1539"/>
      <c r="CE3216" s="1539"/>
      <c r="CF3216" s="1539"/>
      <c r="CG3216" s="1539"/>
      <c r="CH3216" s="1539"/>
      <c r="CI3216" s="1539"/>
      <c r="CJ3216" s="1539"/>
      <c r="CK3216" s="1539"/>
      <c r="CL3216" s="1539"/>
      <c r="CM3216" s="1539"/>
      <c r="CN3216" s="1539"/>
      <c r="CO3216" s="1539"/>
    </row>
    <row r="3217" spans="1:93" ht="15.5">
      <c r="A3217" s="1598">
        <v>76.159000000000006</v>
      </c>
      <c r="B3217" s="1599" t="s">
        <v>1442</v>
      </c>
      <c r="C3217" s="1643" t="e">
        <f>+SUMIF(#REF!,Final!A3217,#REF!)</f>
        <v>#REF!</v>
      </c>
      <c r="D3217" s="1597" t="e">
        <f>+SUMIF(#REF!,Final!A3217,#REF!)</f>
        <v>#REF!</v>
      </c>
      <c r="E3217" s="1643" t="e">
        <f>SUMIF(#REF!,Final!A3217,#REF!)</f>
        <v>#REF!</v>
      </c>
      <c r="F3217" s="1644" t="e">
        <f>SUMIF(#REF!,Final!A3217,#REF!)</f>
        <v>#REF!</v>
      </c>
      <c r="G3217" s="1597" t="e">
        <f t="shared" si="364"/>
        <v>#REF!</v>
      </c>
      <c r="H3217" s="1644" t="e">
        <f t="shared" si="365"/>
        <v>#REF!</v>
      </c>
      <c r="I3217" s="1597" t="e">
        <f t="shared" si="366"/>
        <v>#REF!</v>
      </c>
      <c r="J3217" s="1644" t="e">
        <f t="shared" si="367"/>
        <v>#REF!</v>
      </c>
      <c r="M3217" s="1545"/>
      <c r="N3217" s="1545"/>
    </row>
    <row r="3218" spans="1:93" s="1542" customFormat="1" ht="15.5">
      <c r="A3218" s="1598">
        <v>76.16</v>
      </c>
      <c r="B3218" s="1599" t="s">
        <v>3190</v>
      </c>
      <c r="C3218" s="1643" t="e">
        <f>+SUMIF(#REF!,Final!A3218,#REF!)</f>
        <v>#REF!</v>
      </c>
      <c r="D3218" s="1597" t="e">
        <f>+SUMIF(#REF!,Final!A3218,#REF!)</f>
        <v>#REF!</v>
      </c>
      <c r="E3218" s="1643" t="e">
        <f>SUMIF(#REF!,Final!A3218,#REF!)</f>
        <v>#REF!</v>
      </c>
      <c r="F3218" s="1644" t="e">
        <f>SUMIF(#REF!,Final!A3218,#REF!)</f>
        <v>#REF!</v>
      </c>
      <c r="G3218" s="1597" t="e">
        <f t="shared" si="364"/>
        <v>#REF!</v>
      </c>
      <c r="H3218" s="1644" t="e">
        <f t="shared" si="365"/>
        <v>#REF!</v>
      </c>
      <c r="I3218" s="1597" t="e">
        <f t="shared" si="366"/>
        <v>#REF!</v>
      </c>
      <c r="J3218" s="1644" t="e">
        <f t="shared" si="367"/>
        <v>#REF!</v>
      </c>
      <c r="K3218" s="1539"/>
      <c r="L3218" s="1539"/>
      <c r="M3218" s="1545"/>
      <c r="N3218" s="1545"/>
      <c r="O3218" s="1539"/>
      <c r="P3218" s="1539"/>
      <c r="Q3218" s="1539"/>
      <c r="R3218" s="1539"/>
      <c r="S3218" s="1539"/>
      <c r="T3218" s="1539"/>
      <c r="U3218" s="1539"/>
      <c r="V3218" s="1539"/>
      <c r="W3218" s="1539"/>
      <c r="X3218" s="1539"/>
      <c r="Y3218" s="1539"/>
      <c r="Z3218" s="1539"/>
      <c r="AA3218" s="1539"/>
      <c r="AB3218" s="1539"/>
      <c r="AC3218" s="1539"/>
      <c r="AD3218" s="1539"/>
      <c r="AE3218" s="1539"/>
      <c r="AF3218" s="1539"/>
      <c r="AG3218" s="1539"/>
      <c r="AH3218" s="1539"/>
      <c r="AI3218" s="1539"/>
      <c r="AJ3218" s="1539"/>
      <c r="AK3218" s="1539"/>
      <c r="AL3218" s="1539"/>
      <c r="AM3218" s="1539"/>
      <c r="AN3218" s="1539"/>
      <c r="AO3218" s="1539"/>
      <c r="AP3218" s="1539"/>
      <c r="AQ3218" s="1539"/>
      <c r="AR3218" s="1539"/>
      <c r="AS3218" s="1539"/>
      <c r="AT3218" s="1539"/>
      <c r="AU3218" s="1539"/>
      <c r="AV3218" s="1539"/>
      <c r="AW3218" s="1539"/>
      <c r="AX3218" s="1539"/>
      <c r="AY3218" s="1539"/>
      <c r="AZ3218" s="1539"/>
      <c r="BA3218" s="1539"/>
      <c r="BB3218" s="1539"/>
      <c r="BC3218" s="1539"/>
      <c r="BD3218" s="1539"/>
      <c r="BE3218" s="1539"/>
      <c r="BF3218" s="1539"/>
      <c r="BG3218" s="1539"/>
      <c r="BH3218" s="1539"/>
      <c r="BI3218" s="1539"/>
      <c r="BJ3218" s="1539"/>
      <c r="BK3218" s="1539"/>
      <c r="BL3218" s="1539"/>
      <c r="BM3218" s="1539"/>
      <c r="BN3218" s="1539"/>
      <c r="BO3218" s="1539"/>
      <c r="BP3218" s="1539"/>
      <c r="BQ3218" s="1539"/>
      <c r="BR3218" s="1539"/>
      <c r="BS3218" s="1539"/>
      <c r="BT3218" s="1539"/>
      <c r="BU3218" s="1539"/>
      <c r="BV3218" s="1539"/>
      <c r="BW3218" s="1539"/>
      <c r="BX3218" s="1539"/>
      <c r="BY3218" s="1539"/>
      <c r="BZ3218" s="1539"/>
      <c r="CA3218" s="1539"/>
      <c r="CB3218" s="1539"/>
      <c r="CC3218" s="1539"/>
      <c r="CD3218" s="1539"/>
      <c r="CE3218" s="1539"/>
      <c r="CF3218" s="1539"/>
      <c r="CG3218" s="1539"/>
      <c r="CH3218" s="1539"/>
      <c r="CI3218" s="1539"/>
      <c r="CJ3218" s="1539"/>
      <c r="CK3218" s="1539"/>
      <c r="CL3218" s="1539"/>
      <c r="CM3218" s="1539"/>
      <c r="CN3218" s="1539"/>
      <c r="CO3218" s="1539"/>
    </row>
    <row r="3219" spans="1:93" s="1552" customFormat="1" ht="15.5">
      <c r="A3219" s="1598"/>
      <c r="B3219" s="1599" t="s">
        <v>1747</v>
      </c>
      <c r="C3219" s="1643" t="e">
        <f>+SUMIF(#REF!,Final!A3219,#REF!)</f>
        <v>#REF!</v>
      </c>
      <c r="D3219" s="1597" t="e">
        <f>+SUMIF(#REF!,Final!A3219,#REF!)</f>
        <v>#REF!</v>
      </c>
      <c r="E3219" s="1643" t="e">
        <f>SUMIF(#REF!,Final!A3219,#REF!)</f>
        <v>#REF!</v>
      </c>
      <c r="F3219" s="1644" t="e">
        <f>SUMIF(#REF!,Final!A3219,#REF!)</f>
        <v>#REF!</v>
      </c>
      <c r="G3219" s="1597" t="e">
        <f t="shared" si="364"/>
        <v>#REF!</v>
      </c>
      <c r="H3219" s="1644" t="e">
        <f t="shared" si="365"/>
        <v>#REF!</v>
      </c>
      <c r="I3219" s="1597" t="e">
        <f t="shared" si="366"/>
        <v>#REF!</v>
      </c>
      <c r="J3219" s="1644" t="e">
        <f t="shared" si="367"/>
        <v>#REF!</v>
      </c>
      <c r="K3219" s="1539"/>
      <c r="L3219" s="1539"/>
      <c r="M3219" s="1545"/>
      <c r="N3219" s="1545"/>
      <c r="O3219" s="1539"/>
      <c r="P3219" s="1539"/>
      <c r="Q3219" s="1539"/>
      <c r="R3219" s="1539"/>
      <c r="S3219" s="1539"/>
      <c r="T3219" s="1539"/>
      <c r="U3219" s="1539"/>
      <c r="V3219" s="1539"/>
      <c r="W3219" s="1539"/>
      <c r="X3219" s="1539"/>
      <c r="Y3219" s="1539"/>
      <c r="Z3219" s="1539"/>
      <c r="AA3219" s="1539"/>
      <c r="AB3219" s="1539"/>
      <c r="AC3219" s="1539"/>
      <c r="AD3219" s="1539"/>
      <c r="AE3219" s="1539"/>
      <c r="AF3219" s="1539"/>
      <c r="AG3219" s="1539"/>
      <c r="AH3219" s="1539"/>
      <c r="AI3219" s="1539"/>
      <c r="AJ3219" s="1539"/>
      <c r="AK3219" s="1539"/>
      <c r="AL3219" s="1539"/>
      <c r="AM3219" s="1539"/>
      <c r="AN3219" s="1539"/>
      <c r="AO3219" s="1539"/>
      <c r="AP3219" s="1539"/>
      <c r="AQ3219" s="1539"/>
      <c r="AR3219" s="1539"/>
      <c r="AS3219" s="1539"/>
      <c r="AT3219" s="1539"/>
      <c r="AU3219" s="1539"/>
      <c r="AV3219" s="1539"/>
      <c r="AW3219" s="1539"/>
      <c r="AX3219" s="1539"/>
      <c r="AY3219" s="1539"/>
      <c r="AZ3219" s="1539"/>
      <c r="BA3219" s="1539"/>
      <c r="BB3219" s="1539"/>
      <c r="BC3219" s="1539"/>
      <c r="BD3219" s="1539"/>
      <c r="BE3219" s="1539"/>
      <c r="BF3219" s="1539"/>
      <c r="BG3219" s="1539"/>
      <c r="BH3219" s="1539"/>
      <c r="BI3219" s="1539"/>
      <c r="BJ3219" s="1539"/>
      <c r="BK3219" s="1539"/>
      <c r="BL3219" s="1539"/>
      <c r="BM3219" s="1539"/>
      <c r="BN3219" s="1539"/>
      <c r="BO3219" s="1539"/>
      <c r="BP3219" s="1539"/>
      <c r="BQ3219" s="1539"/>
      <c r="BR3219" s="1539"/>
      <c r="BS3219" s="1539"/>
      <c r="BT3219" s="1539"/>
      <c r="BU3219" s="1539"/>
      <c r="BV3219" s="1539"/>
      <c r="BW3219" s="1539"/>
      <c r="BX3219" s="1539"/>
      <c r="BY3219" s="1539"/>
      <c r="BZ3219" s="1539"/>
      <c r="CA3219" s="1539"/>
      <c r="CB3219" s="1539"/>
      <c r="CC3219" s="1539"/>
      <c r="CD3219" s="1539"/>
      <c r="CE3219" s="1539"/>
      <c r="CF3219" s="1539"/>
      <c r="CG3219" s="1539"/>
      <c r="CH3219" s="1539"/>
      <c r="CI3219" s="1539"/>
      <c r="CJ3219" s="1539"/>
      <c r="CK3219" s="1539"/>
      <c r="CL3219" s="1539"/>
      <c r="CM3219" s="1539"/>
      <c r="CN3219" s="1539"/>
      <c r="CO3219" s="1539"/>
    </row>
    <row r="3220" spans="1:93" s="1552" customFormat="1" ht="15.5">
      <c r="A3220" s="1598"/>
      <c r="B3220" s="1599" t="s">
        <v>1760</v>
      </c>
      <c r="C3220" s="1643" t="e">
        <f>+SUMIF(#REF!,Final!A3220,#REF!)</f>
        <v>#REF!</v>
      </c>
      <c r="D3220" s="1597" t="e">
        <f>+SUMIF(#REF!,Final!A3220,#REF!)</f>
        <v>#REF!</v>
      </c>
      <c r="E3220" s="1643" t="e">
        <f>SUMIF(#REF!,Final!A3220,#REF!)</f>
        <v>#REF!</v>
      </c>
      <c r="F3220" s="1644" t="e">
        <f>SUMIF(#REF!,Final!A3220,#REF!)</f>
        <v>#REF!</v>
      </c>
      <c r="G3220" s="1597" t="e">
        <f t="shared" si="364"/>
        <v>#REF!</v>
      </c>
      <c r="H3220" s="1644" t="e">
        <f t="shared" si="365"/>
        <v>#REF!</v>
      </c>
      <c r="I3220" s="1597" t="e">
        <f t="shared" si="366"/>
        <v>#REF!</v>
      </c>
      <c r="J3220" s="1644" t="e">
        <f t="shared" si="367"/>
        <v>#REF!</v>
      </c>
      <c r="K3220" s="1539"/>
      <c r="L3220" s="1539"/>
      <c r="M3220" s="1545"/>
      <c r="N3220" s="1545"/>
      <c r="O3220" s="1539"/>
      <c r="P3220" s="1539"/>
      <c r="Q3220" s="1539"/>
      <c r="R3220" s="1539"/>
      <c r="S3220" s="1539"/>
      <c r="T3220" s="1539"/>
      <c r="U3220" s="1539"/>
      <c r="V3220" s="1539"/>
      <c r="W3220" s="1539"/>
      <c r="X3220" s="1539"/>
      <c r="Y3220" s="1539"/>
      <c r="Z3220" s="1539"/>
      <c r="AA3220" s="1539"/>
      <c r="AB3220" s="1539"/>
      <c r="AC3220" s="1539"/>
      <c r="AD3220" s="1539"/>
      <c r="AE3220" s="1539"/>
      <c r="AF3220" s="1539"/>
      <c r="AG3220" s="1539"/>
      <c r="AH3220" s="1539"/>
      <c r="AI3220" s="1539"/>
      <c r="AJ3220" s="1539"/>
      <c r="AK3220" s="1539"/>
      <c r="AL3220" s="1539"/>
      <c r="AM3220" s="1539"/>
      <c r="AN3220" s="1539"/>
      <c r="AO3220" s="1539"/>
      <c r="AP3220" s="1539"/>
      <c r="AQ3220" s="1539"/>
      <c r="AR3220" s="1539"/>
      <c r="AS3220" s="1539"/>
      <c r="AT3220" s="1539"/>
      <c r="AU3220" s="1539"/>
      <c r="AV3220" s="1539"/>
      <c r="AW3220" s="1539"/>
      <c r="AX3220" s="1539"/>
      <c r="AY3220" s="1539"/>
      <c r="AZ3220" s="1539"/>
      <c r="BA3220" s="1539"/>
      <c r="BB3220" s="1539"/>
      <c r="BC3220" s="1539"/>
      <c r="BD3220" s="1539"/>
      <c r="BE3220" s="1539"/>
      <c r="BF3220" s="1539"/>
      <c r="BG3220" s="1539"/>
      <c r="BH3220" s="1539"/>
      <c r="BI3220" s="1539"/>
      <c r="BJ3220" s="1539"/>
      <c r="BK3220" s="1539"/>
      <c r="BL3220" s="1539"/>
      <c r="BM3220" s="1539"/>
      <c r="BN3220" s="1539"/>
      <c r="BO3220" s="1539"/>
      <c r="BP3220" s="1539"/>
      <c r="BQ3220" s="1539"/>
      <c r="BR3220" s="1539"/>
      <c r="BS3220" s="1539"/>
      <c r="BT3220" s="1539"/>
      <c r="BU3220" s="1539"/>
      <c r="BV3220" s="1539"/>
      <c r="BW3220" s="1539"/>
      <c r="BX3220" s="1539"/>
      <c r="BY3220" s="1539"/>
      <c r="BZ3220" s="1539"/>
      <c r="CA3220" s="1539"/>
      <c r="CB3220" s="1539"/>
      <c r="CC3220" s="1539"/>
      <c r="CD3220" s="1539"/>
      <c r="CE3220" s="1539"/>
      <c r="CF3220" s="1539"/>
      <c r="CG3220" s="1539"/>
      <c r="CH3220" s="1539"/>
      <c r="CI3220" s="1539"/>
      <c r="CJ3220" s="1539"/>
      <c r="CK3220" s="1539"/>
      <c r="CL3220" s="1539"/>
      <c r="CM3220" s="1539"/>
      <c r="CN3220" s="1539"/>
      <c r="CO3220" s="1539"/>
    </row>
    <row r="3221" spans="1:93" s="1542" customFormat="1" ht="15.5">
      <c r="A3221" s="1598">
        <v>35</v>
      </c>
      <c r="B3221" s="1599" t="s">
        <v>3207</v>
      </c>
      <c r="C3221" s="1643" t="e">
        <f>+SUMIF(#REF!,Final!A3221,#REF!)</f>
        <v>#REF!</v>
      </c>
      <c r="D3221" s="1597" t="e">
        <f>+SUMIF(#REF!,Final!A3221,#REF!)</f>
        <v>#REF!</v>
      </c>
      <c r="E3221" s="1643" t="e">
        <f>SUMIF(#REF!,Final!A3221,#REF!)</f>
        <v>#REF!</v>
      </c>
      <c r="F3221" s="1644" t="e">
        <f>SUMIF(#REF!,Final!A3221,#REF!)</f>
        <v>#REF!</v>
      </c>
      <c r="G3221" s="1597" t="e">
        <f t="shared" si="364"/>
        <v>#REF!</v>
      </c>
      <c r="H3221" s="1644" t="e">
        <f t="shared" si="365"/>
        <v>#REF!</v>
      </c>
      <c r="I3221" s="1597" t="e">
        <f t="shared" si="366"/>
        <v>#REF!</v>
      </c>
      <c r="J3221" s="1644" t="e">
        <f t="shared" si="367"/>
        <v>#REF!</v>
      </c>
      <c r="K3221" s="1539"/>
      <c r="L3221" s="1539"/>
      <c r="M3221" s="1545"/>
      <c r="N3221" s="1545"/>
      <c r="O3221" s="1539"/>
      <c r="P3221" s="1539"/>
      <c r="Q3221" s="1539"/>
      <c r="R3221" s="1539"/>
      <c r="S3221" s="1539"/>
      <c r="T3221" s="1539"/>
      <c r="U3221" s="1539"/>
      <c r="V3221" s="1539"/>
      <c r="W3221" s="1539"/>
      <c r="X3221" s="1539"/>
      <c r="Y3221" s="1539"/>
      <c r="Z3221" s="1539"/>
      <c r="AA3221" s="1539"/>
      <c r="AB3221" s="1539"/>
      <c r="AC3221" s="1539"/>
      <c r="AD3221" s="1539"/>
      <c r="AE3221" s="1539"/>
      <c r="AF3221" s="1539"/>
      <c r="AG3221" s="1539"/>
      <c r="AH3221" s="1539"/>
      <c r="AI3221" s="1539"/>
      <c r="AJ3221" s="1539"/>
      <c r="AK3221" s="1539"/>
      <c r="AL3221" s="1539"/>
      <c r="AM3221" s="1539"/>
      <c r="AN3221" s="1539"/>
      <c r="AO3221" s="1539"/>
      <c r="AP3221" s="1539"/>
      <c r="AQ3221" s="1539"/>
      <c r="AR3221" s="1539"/>
      <c r="AS3221" s="1539"/>
      <c r="AT3221" s="1539"/>
      <c r="AU3221" s="1539"/>
      <c r="AV3221" s="1539"/>
      <c r="AW3221" s="1539"/>
      <c r="AX3221" s="1539"/>
      <c r="AY3221" s="1539"/>
      <c r="AZ3221" s="1539"/>
      <c r="BA3221" s="1539"/>
      <c r="BB3221" s="1539"/>
      <c r="BC3221" s="1539"/>
      <c r="BD3221" s="1539"/>
      <c r="BE3221" s="1539"/>
      <c r="BF3221" s="1539"/>
      <c r="BG3221" s="1539"/>
      <c r="BH3221" s="1539"/>
      <c r="BI3221" s="1539"/>
      <c r="BJ3221" s="1539"/>
      <c r="BK3221" s="1539"/>
      <c r="BL3221" s="1539"/>
      <c r="BM3221" s="1539"/>
      <c r="BN3221" s="1539"/>
      <c r="BO3221" s="1539"/>
      <c r="BP3221" s="1539"/>
      <c r="BQ3221" s="1539"/>
      <c r="BR3221" s="1539"/>
      <c r="BS3221" s="1539"/>
      <c r="BT3221" s="1539"/>
      <c r="BU3221" s="1539"/>
      <c r="BV3221" s="1539"/>
      <c r="BW3221" s="1539"/>
      <c r="BX3221" s="1539"/>
      <c r="BY3221" s="1539"/>
      <c r="BZ3221" s="1539"/>
      <c r="CA3221" s="1539"/>
      <c r="CB3221" s="1539"/>
      <c r="CC3221" s="1539"/>
      <c r="CD3221" s="1539"/>
      <c r="CE3221" s="1539"/>
      <c r="CF3221" s="1539"/>
      <c r="CG3221" s="1539"/>
      <c r="CH3221" s="1539"/>
      <c r="CI3221" s="1539"/>
      <c r="CJ3221" s="1539"/>
      <c r="CK3221" s="1539"/>
      <c r="CL3221" s="1539"/>
      <c r="CM3221" s="1539"/>
      <c r="CN3221" s="1539"/>
      <c r="CO3221" s="1539"/>
    </row>
    <row r="3222" spans="1:93" s="1542" customFormat="1" ht="15.5">
      <c r="A3222" s="1598" t="s">
        <v>1830</v>
      </c>
      <c r="B3222" s="1599" t="s">
        <v>1525</v>
      </c>
      <c r="C3222" s="1643" t="e">
        <f>+SUMIF(#REF!,Final!A3222,#REF!)</f>
        <v>#REF!</v>
      </c>
      <c r="D3222" s="1597" t="e">
        <f>+SUMIF(#REF!,Final!A3222,#REF!)</f>
        <v>#REF!</v>
      </c>
      <c r="E3222" s="1643" t="e">
        <f>SUMIF(#REF!,Final!A3222,#REF!)</f>
        <v>#REF!</v>
      </c>
      <c r="F3222" s="1644" t="e">
        <f>SUMIF(#REF!,Final!A3222,#REF!)</f>
        <v>#REF!</v>
      </c>
      <c r="G3222" s="1597" t="e">
        <f t="shared" si="364"/>
        <v>#REF!</v>
      </c>
      <c r="H3222" s="1644" t="e">
        <f t="shared" si="365"/>
        <v>#REF!</v>
      </c>
      <c r="I3222" s="1597" t="e">
        <f t="shared" si="366"/>
        <v>#REF!</v>
      </c>
      <c r="J3222" s="1644" t="e">
        <f t="shared" si="367"/>
        <v>#REF!</v>
      </c>
      <c r="K3222" s="1539"/>
      <c r="L3222" s="1539"/>
      <c r="M3222" s="1545"/>
      <c r="N3222" s="1545"/>
      <c r="O3222" s="1539"/>
      <c r="P3222" s="1539"/>
      <c r="Q3222" s="1539"/>
      <c r="R3222" s="1539"/>
      <c r="S3222" s="1539"/>
      <c r="T3222" s="1539"/>
      <c r="U3222" s="1539"/>
      <c r="V3222" s="1539"/>
      <c r="W3222" s="1539"/>
      <c r="X3222" s="1539"/>
      <c r="Y3222" s="1539"/>
      <c r="Z3222" s="1539"/>
      <c r="AA3222" s="1539"/>
      <c r="AB3222" s="1539"/>
      <c r="AC3222" s="1539"/>
      <c r="AD3222" s="1539"/>
      <c r="AE3222" s="1539"/>
      <c r="AF3222" s="1539"/>
      <c r="AG3222" s="1539"/>
      <c r="AH3222" s="1539"/>
      <c r="AI3222" s="1539"/>
      <c r="AJ3222" s="1539"/>
      <c r="AK3222" s="1539"/>
      <c r="AL3222" s="1539"/>
      <c r="AM3222" s="1539"/>
      <c r="AN3222" s="1539"/>
      <c r="AO3222" s="1539"/>
      <c r="AP3222" s="1539"/>
      <c r="AQ3222" s="1539"/>
      <c r="AR3222" s="1539"/>
      <c r="AS3222" s="1539"/>
      <c r="AT3222" s="1539"/>
      <c r="AU3222" s="1539"/>
      <c r="AV3222" s="1539"/>
      <c r="AW3222" s="1539"/>
      <c r="AX3222" s="1539"/>
      <c r="AY3222" s="1539"/>
      <c r="AZ3222" s="1539"/>
      <c r="BA3222" s="1539"/>
      <c r="BB3222" s="1539"/>
      <c r="BC3222" s="1539"/>
      <c r="BD3222" s="1539"/>
      <c r="BE3222" s="1539"/>
      <c r="BF3222" s="1539"/>
      <c r="BG3222" s="1539"/>
      <c r="BH3222" s="1539"/>
      <c r="BI3222" s="1539"/>
      <c r="BJ3222" s="1539"/>
      <c r="BK3222" s="1539"/>
      <c r="BL3222" s="1539"/>
      <c r="BM3222" s="1539"/>
      <c r="BN3222" s="1539"/>
      <c r="BO3222" s="1539"/>
      <c r="BP3222" s="1539"/>
      <c r="BQ3222" s="1539"/>
      <c r="BR3222" s="1539"/>
      <c r="BS3222" s="1539"/>
      <c r="BT3222" s="1539"/>
      <c r="BU3222" s="1539"/>
      <c r="BV3222" s="1539"/>
      <c r="BW3222" s="1539"/>
      <c r="BX3222" s="1539"/>
      <c r="BY3222" s="1539"/>
      <c r="BZ3222" s="1539"/>
      <c r="CA3222" s="1539"/>
      <c r="CB3222" s="1539"/>
      <c r="CC3222" s="1539"/>
      <c r="CD3222" s="1539"/>
      <c r="CE3222" s="1539"/>
      <c r="CF3222" s="1539"/>
      <c r="CG3222" s="1539"/>
      <c r="CH3222" s="1539"/>
      <c r="CI3222" s="1539"/>
      <c r="CJ3222" s="1539"/>
      <c r="CK3222" s="1539"/>
      <c r="CL3222" s="1539"/>
      <c r="CM3222" s="1539"/>
      <c r="CN3222" s="1539"/>
      <c r="CO3222" s="1539"/>
    </row>
    <row r="3223" spans="1:93" ht="15.5">
      <c r="A3223" s="1598">
        <v>76.161000000000001</v>
      </c>
      <c r="B3223" s="1599" t="s">
        <v>645</v>
      </c>
      <c r="C3223" s="1643" t="e">
        <f>+SUMIF(#REF!,Final!A3223,#REF!)</f>
        <v>#REF!</v>
      </c>
      <c r="D3223" s="1597" t="e">
        <f>+SUMIF(#REF!,Final!A3223,#REF!)</f>
        <v>#REF!</v>
      </c>
      <c r="E3223" s="1643" t="e">
        <f>SUMIF(#REF!,Final!A3223,#REF!)</f>
        <v>#REF!</v>
      </c>
      <c r="F3223" s="1644" t="e">
        <f>SUMIF(#REF!,Final!A3223,#REF!)</f>
        <v>#REF!</v>
      </c>
      <c r="G3223" s="1597" t="e">
        <f t="shared" si="364"/>
        <v>#REF!</v>
      </c>
      <c r="H3223" s="1644" t="e">
        <f t="shared" si="365"/>
        <v>#REF!</v>
      </c>
      <c r="I3223" s="1597" t="e">
        <f t="shared" si="366"/>
        <v>#REF!</v>
      </c>
      <c r="J3223" s="1644" t="e">
        <f t="shared" si="367"/>
        <v>#REF!</v>
      </c>
      <c r="M3223" s="1545"/>
      <c r="N3223" s="1545"/>
    </row>
    <row r="3224" spans="1:93" s="1542" customFormat="1" ht="15.5">
      <c r="A3224" s="1598">
        <v>76.162000000000006</v>
      </c>
      <c r="B3224" s="1599" t="s">
        <v>1095</v>
      </c>
      <c r="C3224" s="1643" t="e">
        <f>+SUMIF(#REF!,Final!A3224,#REF!)</f>
        <v>#REF!</v>
      </c>
      <c r="D3224" s="1597" t="e">
        <f>+SUMIF(#REF!,Final!A3224,#REF!)</f>
        <v>#REF!</v>
      </c>
      <c r="E3224" s="1643" t="e">
        <f>SUMIF(#REF!,Final!A3224,#REF!)</f>
        <v>#REF!</v>
      </c>
      <c r="F3224" s="1644" t="e">
        <f>SUMIF(#REF!,Final!A3224,#REF!)</f>
        <v>#REF!</v>
      </c>
      <c r="G3224" s="1597" t="e">
        <f t="shared" si="364"/>
        <v>#REF!</v>
      </c>
      <c r="H3224" s="1644" t="e">
        <f t="shared" si="365"/>
        <v>#REF!</v>
      </c>
      <c r="I3224" s="1597" t="e">
        <f t="shared" si="366"/>
        <v>#REF!</v>
      </c>
      <c r="J3224" s="1644" t="e">
        <f t="shared" si="367"/>
        <v>#REF!</v>
      </c>
      <c r="K3224" s="1539"/>
      <c r="L3224" s="1539"/>
      <c r="M3224" s="1545"/>
      <c r="N3224" s="1545"/>
      <c r="O3224" s="1539"/>
      <c r="P3224" s="1539"/>
      <c r="Q3224" s="1539"/>
      <c r="R3224" s="1539"/>
      <c r="S3224" s="1539"/>
      <c r="T3224" s="1539"/>
      <c r="U3224" s="1539"/>
      <c r="V3224" s="1539"/>
      <c r="W3224" s="1539"/>
      <c r="X3224" s="1539"/>
      <c r="Y3224" s="1539"/>
      <c r="Z3224" s="1539"/>
      <c r="AA3224" s="1539"/>
      <c r="AB3224" s="1539"/>
      <c r="AC3224" s="1539"/>
      <c r="AD3224" s="1539"/>
      <c r="AE3224" s="1539"/>
      <c r="AF3224" s="1539"/>
      <c r="AG3224" s="1539"/>
      <c r="AH3224" s="1539"/>
      <c r="AI3224" s="1539"/>
      <c r="AJ3224" s="1539"/>
      <c r="AK3224" s="1539"/>
      <c r="AL3224" s="1539"/>
      <c r="AM3224" s="1539"/>
      <c r="AN3224" s="1539"/>
      <c r="AO3224" s="1539"/>
      <c r="AP3224" s="1539"/>
      <c r="AQ3224" s="1539"/>
      <c r="AR3224" s="1539"/>
      <c r="AS3224" s="1539"/>
      <c r="AT3224" s="1539"/>
      <c r="AU3224" s="1539"/>
      <c r="AV3224" s="1539"/>
      <c r="AW3224" s="1539"/>
      <c r="AX3224" s="1539"/>
      <c r="AY3224" s="1539"/>
      <c r="AZ3224" s="1539"/>
      <c r="BA3224" s="1539"/>
      <c r="BB3224" s="1539"/>
      <c r="BC3224" s="1539"/>
      <c r="BD3224" s="1539"/>
      <c r="BE3224" s="1539"/>
      <c r="BF3224" s="1539"/>
      <c r="BG3224" s="1539"/>
      <c r="BH3224" s="1539"/>
      <c r="BI3224" s="1539"/>
      <c r="BJ3224" s="1539"/>
      <c r="BK3224" s="1539"/>
      <c r="BL3224" s="1539"/>
      <c r="BM3224" s="1539"/>
      <c r="BN3224" s="1539"/>
      <c r="BO3224" s="1539"/>
      <c r="BP3224" s="1539"/>
      <c r="BQ3224" s="1539"/>
      <c r="BR3224" s="1539"/>
      <c r="BS3224" s="1539"/>
      <c r="BT3224" s="1539"/>
      <c r="BU3224" s="1539"/>
      <c r="BV3224" s="1539"/>
      <c r="BW3224" s="1539"/>
      <c r="BX3224" s="1539"/>
      <c r="BY3224" s="1539"/>
      <c r="BZ3224" s="1539"/>
      <c r="CA3224" s="1539"/>
      <c r="CB3224" s="1539"/>
      <c r="CC3224" s="1539"/>
      <c r="CD3224" s="1539"/>
      <c r="CE3224" s="1539"/>
      <c r="CF3224" s="1539"/>
      <c r="CG3224" s="1539"/>
      <c r="CH3224" s="1539"/>
      <c r="CI3224" s="1539"/>
      <c r="CJ3224" s="1539"/>
      <c r="CK3224" s="1539"/>
      <c r="CL3224" s="1539"/>
      <c r="CM3224" s="1539"/>
      <c r="CN3224" s="1539"/>
      <c r="CO3224" s="1539"/>
    </row>
    <row r="3225" spans="1:93" s="1552" customFormat="1" ht="15.5">
      <c r="A3225" s="1598"/>
      <c r="B3225" s="1599" t="s">
        <v>1747</v>
      </c>
      <c r="C3225" s="1643" t="e">
        <f>+SUMIF(#REF!,Final!A3225,#REF!)</f>
        <v>#REF!</v>
      </c>
      <c r="D3225" s="1597" t="e">
        <f>+SUMIF(#REF!,Final!A3225,#REF!)</f>
        <v>#REF!</v>
      </c>
      <c r="E3225" s="1643" t="e">
        <f>SUMIF(#REF!,Final!A3225,#REF!)</f>
        <v>#REF!</v>
      </c>
      <c r="F3225" s="1644" t="e">
        <f>SUMIF(#REF!,Final!A3225,#REF!)</f>
        <v>#REF!</v>
      </c>
      <c r="G3225" s="1597" t="e">
        <f t="shared" si="364"/>
        <v>#REF!</v>
      </c>
      <c r="H3225" s="1644" t="e">
        <f t="shared" si="365"/>
        <v>#REF!</v>
      </c>
      <c r="I3225" s="1597" t="e">
        <f t="shared" si="366"/>
        <v>#REF!</v>
      </c>
      <c r="J3225" s="1644" t="e">
        <f t="shared" si="367"/>
        <v>#REF!</v>
      </c>
      <c r="K3225" s="1539"/>
      <c r="L3225" s="1539"/>
      <c r="M3225" s="1545"/>
      <c r="N3225" s="1545"/>
      <c r="O3225" s="1539"/>
      <c r="P3225" s="1539"/>
      <c r="Q3225" s="1539"/>
      <c r="R3225" s="1539"/>
      <c r="S3225" s="1539"/>
      <c r="T3225" s="1539"/>
      <c r="U3225" s="1539"/>
      <c r="V3225" s="1539"/>
      <c r="W3225" s="1539"/>
      <c r="X3225" s="1539"/>
      <c r="Y3225" s="1539"/>
      <c r="Z3225" s="1539"/>
      <c r="AA3225" s="1539"/>
      <c r="AB3225" s="1539"/>
      <c r="AC3225" s="1539"/>
      <c r="AD3225" s="1539"/>
      <c r="AE3225" s="1539"/>
      <c r="AF3225" s="1539"/>
      <c r="AG3225" s="1539"/>
      <c r="AH3225" s="1539"/>
      <c r="AI3225" s="1539"/>
      <c r="AJ3225" s="1539"/>
      <c r="AK3225" s="1539"/>
      <c r="AL3225" s="1539"/>
      <c r="AM3225" s="1539"/>
      <c r="AN3225" s="1539"/>
      <c r="AO3225" s="1539"/>
      <c r="AP3225" s="1539"/>
      <c r="AQ3225" s="1539"/>
      <c r="AR3225" s="1539"/>
      <c r="AS3225" s="1539"/>
      <c r="AT3225" s="1539"/>
      <c r="AU3225" s="1539"/>
      <c r="AV3225" s="1539"/>
      <c r="AW3225" s="1539"/>
      <c r="AX3225" s="1539"/>
      <c r="AY3225" s="1539"/>
      <c r="AZ3225" s="1539"/>
      <c r="BA3225" s="1539"/>
      <c r="BB3225" s="1539"/>
      <c r="BC3225" s="1539"/>
      <c r="BD3225" s="1539"/>
      <c r="BE3225" s="1539"/>
      <c r="BF3225" s="1539"/>
      <c r="BG3225" s="1539"/>
      <c r="BH3225" s="1539"/>
      <c r="BI3225" s="1539"/>
      <c r="BJ3225" s="1539"/>
      <c r="BK3225" s="1539"/>
      <c r="BL3225" s="1539"/>
      <c r="BM3225" s="1539"/>
      <c r="BN3225" s="1539"/>
      <c r="BO3225" s="1539"/>
      <c r="BP3225" s="1539"/>
      <c r="BQ3225" s="1539"/>
      <c r="BR3225" s="1539"/>
      <c r="BS3225" s="1539"/>
      <c r="BT3225" s="1539"/>
      <c r="BU3225" s="1539"/>
      <c r="BV3225" s="1539"/>
      <c r="BW3225" s="1539"/>
      <c r="BX3225" s="1539"/>
      <c r="BY3225" s="1539"/>
      <c r="BZ3225" s="1539"/>
      <c r="CA3225" s="1539"/>
      <c r="CB3225" s="1539"/>
      <c r="CC3225" s="1539"/>
      <c r="CD3225" s="1539"/>
      <c r="CE3225" s="1539"/>
      <c r="CF3225" s="1539"/>
      <c r="CG3225" s="1539"/>
      <c r="CH3225" s="1539"/>
      <c r="CI3225" s="1539"/>
      <c r="CJ3225" s="1539"/>
      <c r="CK3225" s="1539"/>
      <c r="CL3225" s="1539"/>
      <c r="CM3225" s="1539"/>
      <c r="CN3225" s="1539"/>
      <c r="CO3225" s="1539"/>
    </row>
    <row r="3226" spans="1:93" s="1552" customFormat="1" ht="15.5">
      <c r="A3226" s="1598"/>
      <c r="B3226" s="1599" t="s">
        <v>1760</v>
      </c>
      <c r="C3226" s="1643" t="e">
        <f>+SUMIF(#REF!,Final!A3226,#REF!)</f>
        <v>#REF!</v>
      </c>
      <c r="D3226" s="1597" t="e">
        <f>+SUMIF(#REF!,Final!A3226,#REF!)</f>
        <v>#REF!</v>
      </c>
      <c r="E3226" s="1643" t="e">
        <f>SUMIF(#REF!,Final!A3226,#REF!)</f>
        <v>#REF!</v>
      </c>
      <c r="F3226" s="1644" t="e">
        <f>SUMIF(#REF!,Final!A3226,#REF!)</f>
        <v>#REF!</v>
      </c>
      <c r="G3226" s="1597" t="e">
        <f t="shared" si="364"/>
        <v>#REF!</v>
      </c>
      <c r="H3226" s="1644" t="e">
        <f t="shared" si="365"/>
        <v>#REF!</v>
      </c>
      <c r="I3226" s="1597" t="e">
        <f t="shared" si="366"/>
        <v>#REF!</v>
      </c>
      <c r="J3226" s="1644" t="e">
        <f t="shared" si="367"/>
        <v>#REF!</v>
      </c>
      <c r="K3226" s="1539"/>
      <c r="L3226" s="1539"/>
      <c r="M3226" s="1545"/>
      <c r="N3226" s="1545"/>
      <c r="O3226" s="1539"/>
      <c r="P3226" s="1539"/>
      <c r="Q3226" s="1539"/>
      <c r="R3226" s="1539"/>
      <c r="S3226" s="1539"/>
      <c r="T3226" s="1539"/>
      <c r="U3226" s="1539"/>
      <c r="V3226" s="1539"/>
      <c r="W3226" s="1539"/>
      <c r="X3226" s="1539"/>
      <c r="Y3226" s="1539"/>
      <c r="Z3226" s="1539"/>
      <c r="AA3226" s="1539"/>
      <c r="AB3226" s="1539"/>
      <c r="AC3226" s="1539"/>
      <c r="AD3226" s="1539"/>
      <c r="AE3226" s="1539"/>
      <c r="AF3226" s="1539"/>
      <c r="AG3226" s="1539"/>
      <c r="AH3226" s="1539"/>
      <c r="AI3226" s="1539"/>
      <c r="AJ3226" s="1539"/>
      <c r="AK3226" s="1539"/>
      <c r="AL3226" s="1539"/>
      <c r="AM3226" s="1539"/>
      <c r="AN3226" s="1539"/>
      <c r="AO3226" s="1539"/>
      <c r="AP3226" s="1539"/>
      <c r="AQ3226" s="1539"/>
      <c r="AR3226" s="1539"/>
      <c r="AS3226" s="1539"/>
      <c r="AT3226" s="1539"/>
      <c r="AU3226" s="1539"/>
      <c r="AV3226" s="1539"/>
      <c r="AW3226" s="1539"/>
      <c r="AX3226" s="1539"/>
      <c r="AY3226" s="1539"/>
      <c r="AZ3226" s="1539"/>
      <c r="BA3226" s="1539"/>
      <c r="BB3226" s="1539"/>
      <c r="BC3226" s="1539"/>
      <c r="BD3226" s="1539"/>
      <c r="BE3226" s="1539"/>
      <c r="BF3226" s="1539"/>
      <c r="BG3226" s="1539"/>
      <c r="BH3226" s="1539"/>
      <c r="BI3226" s="1539"/>
      <c r="BJ3226" s="1539"/>
      <c r="BK3226" s="1539"/>
      <c r="BL3226" s="1539"/>
      <c r="BM3226" s="1539"/>
      <c r="BN3226" s="1539"/>
      <c r="BO3226" s="1539"/>
      <c r="BP3226" s="1539"/>
      <c r="BQ3226" s="1539"/>
      <c r="BR3226" s="1539"/>
      <c r="BS3226" s="1539"/>
      <c r="BT3226" s="1539"/>
      <c r="BU3226" s="1539"/>
      <c r="BV3226" s="1539"/>
      <c r="BW3226" s="1539"/>
      <c r="BX3226" s="1539"/>
      <c r="BY3226" s="1539"/>
      <c r="BZ3226" s="1539"/>
      <c r="CA3226" s="1539"/>
      <c r="CB3226" s="1539"/>
      <c r="CC3226" s="1539"/>
      <c r="CD3226" s="1539"/>
      <c r="CE3226" s="1539"/>
      <c r="CF3226" s="1539"/>
      <c r="CG3226" s="1539"/>
      <c r="CH3226" s="1539"/>
      <c r="CI3226" s="1539"/>
      <c r="CJ3226" s="1539"/>
      <c r="CK3226" s="1539"/>
      <c r="CL3226" s="1539"/>
      <c r="CM3226" s="1539"/>
      <c r="CN3226" s="1539"/>
      <c r="CO3226" s="1539"/>
    </row>
    <row r="3227" spans="1:93" s="1542" customFormat="1" ht="15.5">
      <c r="A3227" s="1598">
        <v>32</v>
      </c>
      <c r="B3227" s="1599" t="s">
        <v>3188</v>
      </c>
      <c r="C3227" s="1643" t="e">
        <f>+SUMIF(#REF!,Final!A3227,#REF!)</f>
        <v>#REF!</v>
      </c>
      <c r="D3227" s="1597" t="e">
        <f>+SUMIF(#REF!,Final!A3227,#REF!)</f>
        <v>#REF!</v>
      </c>
      <c r="E3227" s="1643" t="e">
        <f>SUMIF(#REF!,Final!A3227,#REF!)</f>
        <v>#REF!</v>
      </c>
      <c r="F3227" s="1644" t="e">
        <f>SUMIF(#REF!,Final!A3227,#REF!)</f>
        <v>#REF!</v>
      </c>
      <c r="G3227" s="1597" t="e">
        <f t="shared" si="364"/>
        <v>#REF!</v>
      </c>
      <c r="H3227" s="1644" t="e">
        <f t="shared" si="365"/>
        <v>#REF!</v>
      </c>
      <c r="I3227" s="1597" t="e">
        <f t="shared" si="366"/>
        <v>#REF!</v>
      </c>
      <c r="J3227" s="1644" t="e">
        <f t="shared" si="367"/>
        <v>#REF!</v>
      </c>
      <c r="K3227" s="1539"/>
      <c r="L3227" s="1539"/>
      <c r="M3227" s="1545"/>
      <c r="N3227" s="1545"/>
      <c r="O3227" s="1539"/>
      <c r="P3227" s="1539"/>
      <c r="Q3227" s="1539"/>
      <c r="R3227" s="1539"/>
      <c r="S3227" s="1539"/>
      <c r="T3227" s="1539"/>
      <c r="U3227" s="1539"/>
      <c r="V3227" s="1539"/>
      <c r="W3227" s="1539"/>
      <c r="X3227" s="1539"/>
      <c r="Y3227" s="1539"/>
      <c r="Z3227" s="1539"/>
      <c r="AA3227" s="1539"/>
      <c r="AB3227" s="1539"/>
      <c r="AC3227" s="1539"/>
      <c r="AD3227" s="1539"/>
      <c r="AE3227" s="1539"/>
      <c r="AF3227" s="1539"/>
      <c r="AG3227" s="1539"/>
      <c r="AH3227" s="1539"/>
      <c r="AI3227" s="1539"/>
      <c r="AJ3227" s="1539"/>
      <c r="AK3227" s="1539"/>
      <c r="AL3227" s="1539"/>
      <c r="AM3227" s="1539"/>
      <c r="AN3227" s="1539"/>
      <c r="AO3227" s="1539"/>
      <c r="AP3227" s="1539"/>
      <c r="AQ3227" s="1539"/>
      <c r="AR3227" s="1539"/>
      <c r="AS3227" s="1539"/>
      <c r="AT3227" s="1539"/>
      <c r="AU3227" s="1539"/>
      <c r="AV3227" s="1539"/>
      <c r="AW3227" s="1539"/>
      <c r="AX3227" s="1539"/>
      <c r="AY3227" s="1539"/>
      <c r="AZ3227" s="1539"/>
      <c r="BA3227" s="1539"/>
      <c r="BB3227" s="1539"/>
      <c r="BC3227" s="1539"/>
      <c r="BD3227" s="1539"/>
      <c r="BE3227" s="1539"/>
      <c r="BF3227" s="1539"/>
      <c r="BG3227" s="1539"/>
      <c r="BH3227" s="1539"/>
      <c r="BI3227" s="1539"/>
      <c r="BJ3227" s="1539"/>
      <c r="BK3227" s="1539"/>
      <c r="BL3227" s="1539"/>
      <c r="BM3227" s="1539"/>
      <c r="BN3227" s="1539"/>
      <c r="BO3227" s="1539"/>
      <c r="BP3227" s="1539"/>
      <c r="BQ3227" s="1539"/>
      <c r="BR3227" s="1539"/>
      <c r="BS3227" s="1539"/>
      <c r="BT3227" s="1539"/>
      <c r="BU3227" s="1539"/>
      <c r="BV3227" s="1539"/>
      <c r="BW3227" s="1539"/>
      <c r="BX3227" s="1539"/>
      <c r="BY3227" s="1539"/>
      <c r="BZ3227" s="1539"/>
      <c r="CA3227" s="1539"/>
      <c r="CB3227" s="1539"/>
      <c r="CC3227" s="1539"/>
      <c r="CD3227" s="1539"/>
      <c r="CE3227" s="1539"/>
      <c r="CF3227" s="1539"/>
      <c r="CG3227" s="1539"/>
      <c r="CH3227" s="1539"/>
      <c r="CI3227" s="1539"/>
      <c r="CJ3227" s="1539"/>
      <c r="CK3227" s="1539"/>
      <c r="CL3227" s="1539"/>
      <c r="CM3227" s="1539"/>
      <c r="CN3227" s="1539"/>
      <c r="CO3227" s="1539"/>
    </row>
    <row r="3228" spans="1:93" ht="15.5">
      <c r="A3228" s="1598">
        <v>76.162999999999997</v>
      </c>
      <c r="B3228" s="1599" t="s">
        <v>3191</v>
      </c>
      <c r="C3228" s="1643" t="e">
        <f>+SUMIF(#REF!,Final!A3228,#REF!)</f>
        <v>#REF!</v>
      </c>
      <c r="D3228" s="1597" t="e">
        <f>+SUMIF(#REF!,Final!A3228,#REF!)</f>
        <v>#REF!</v>
      </c>
      <c r="E3228" s="1643" t="e">
        <f>SUMIF(#REF!,Final!A3228,#REF!)</f>
        <v>#REF!</v>
      </c>
      <c r="F3228" s="1644" t="e">
        <f>SUMIF(#REF!,Final!A3228,#REF!)</f>
        <v>#REF!</v>
      </c>
      <c r="G3228" s="1597" t="e">
        <f t="shared" si="364"/>
        <v>#REF!</v>
      </c>
      <c r="H3228" s="1644" t="e">
        <f t="shared" si="365"/>
        <v>#REF!</v>
      </c>
      <c r="I3228" s="1597" t="e">
        <f t="shared" si="366"/>
        <v>#REF!</v>
      </c>
      <c r="J3228" s="1644" t="e">
        <f t="shared" si="367"/>
        <v>#REF!</v>
      </c>
      <c r="M3228" s="1545"/>
      <c r="N3228" s="1545"/>
    </row>
    <row r="3229" spans="1:93" s="1552" customFormat="1" ht="15.5">
      <c r="A3229" s="1598"/>
      <c r="B3229" s="1599" t="s">
        <v>1747</v>
      </c>
      <c r="C3229" s="1643" t="e">
        <f>+SUMIF(#REF!,Final!A3229,#REF!)</f>
        <v>#REF!</v>
      </c>
      <c r="D3229" s="1597" t="e">
        <f>+SUMIF(#REF!,Final!A3229,#REF!)</f>
        <v>#REF!</v>
      </c>
      <c r="E3229" s="1643" t="e">
        <f>SUMIF(#REF!,Final!A3229,#REF!)</f>
        <v>#REF!</v>
      </c>
      <c r="F3229" s="1644" t="e">
        <f>SUMIF(#REF!,Final!A3229,#REF!)</f>
        <v>#REF!</v>
      </c>
      <c r="G3229" s="1597" t="e">
        <f t="shared" si="364"/>
        <v>#REF!</v>
      </c>
      <c r="H3229" s="1644" t="e">
        <f t="shared" si="365"/>
        <v>#REF!</v>
      </c>
      <c r="I3229" s="1597" t="e">
        <f t="shared" si="366"/>
        <v>#REF!</v>
      </c>
      <c r="J3229" s="1644" t="e">
        <f t="shared" si="367"/>
        <v>#REF!</v>
      </c>
      <c r="K3229" s="1539"/>
      <c r="L3229" s="1539"/>
      <c r="M3229" s="1545"/>
      <c r="N3229" s="1545"/>
      <c r="O3229" s="1539"/>
      <c r="P3229" s="1539"/>
      <c r="Q3229" s="1539"/>
      <c r="R3229" s="1539"/>
      <c r="S3229" s="1539"/>
      <c r="T3229" s="1539"/>
      <c r="U3229" s="1539"/>
      <c r="V3229" s="1539"/>
      <c r="W3229" s="1539"/>
      <c r="X3229" s="1539"/>
      <c r="Y3229" s="1539"/>
      <c r="Z3229" s="1539"/>
      <c r="AA3229" s="1539"/>
      <c r="AB3229" s="1539"/>
      <c r="AC3229" s="1539"/>
      <c r="AD3229" s="1539"/>
      <c r="AE3229" s="1539"/>
      <c r="AF3229" s="1539"/>
      <c r="AG3229" s="1539"/>
      <c r="AH3229" s="1539"/>
      <c r="AI3229" s="1539"/>
      <c r="AJ3229" s="1539"/>
      <c r="AK3229" s="1539"/>
      <c r="AL3229" s="1539"/>
      <c r="AM3229" s="1539"/>
      <c r="AN3229" s="1539"/>
      <c r="AO3229" s="1539"/>
      <c r="AP3229" s="1539"/>
      <c r="AQ3229" s="1539"/>
      <c r="AR3229" s="1539"/>
      <c r="AS3229" s="1539"/>
      <c r="AT3229" s="1539"/>
      <c r="AU3229" s="1539"/>
      <c r="AV3229" s="1539"/>
      <c r="AW3229" s="1539"/>
      <c r="AX3229" s="1539"/>
      <c r="AY3229" s="1539"/>
      <c r="AZ3229" s="1539"/>
      <c r="BA3229" s="1539"/>
      <c r="BB3229" s="1539"/>
      <c r="BC3229" s="1539"/>
      <c r="BD3229" s="1539"/>
      <c r="BE3229" s="1539"/>
      <c r="BF3229" s="1539"/>
      <c r="BG3229" s="1539"/>
      <c r="BH3229" s="1539"/>
      <c r="BI3229" s="1539"/>
      <c r="BJ3229" s="1539"/>
      <c r="BK3229" s="1539"/>
      <c r="BL3229" s="1539"/>
      <c r="BM3229" s="1539"/>
      <c r="BN3229" s="1539"/>
      <c r="BO3229" s="1539"/>
      <c r="BP3229" s="1539"/>
      <c r="BQ3229" s="1539"/>
      <c r="BR3229" s="1539"/>
      <c r="BS3229" s="1539"/>
      <c r="BT3229" s="1539"/>
      <c r="BU3229" s="1539"/>
      <c r="BV3229" s="1539"/>
      <c r="BW3229" s="1539"/>
      <c r="BX3229" s="1539"/>
      <c r="BY3229" s="1539"/>
      <c r="BZ3229" s="1539"/>
      <c r="CA3229" s="1539"/>
      <c r="CB3229" s="1539"/>
      <c r="CC3229" s="1539"/>
      <c r="CD3229" s="1539"/>
      <c r="CE3229" s="1539"/>
      <c r="CF3229" s="1539"/>
      <c r="CG3229" s="1539"/>
      <c r="CH3229" s="1539"/>
      <c r="CI3229" s="1539"/>
      <c r="CJ3229" s="1539"/>
      <c r="CK3229" s="1539"/>
      <c r="CL3229" s="1539"/>
      <c r="CM3229" s="1539"/>
      <c r="CN3229" s="1539"/>
      <c r="CO3229" s="1539"/>
    </row>
    <row r="3230" spans="1:93" s="1552" customFormat="1" ht="15.5">
      <c r="A3230" s="1598"/>
      <c r="B3230" s="1599" t="s">
        <v>1760</v>
      </c>
      <c r="C3230" s="1643" t="e">
        <f>+SUMIF(#REF!,Final!A3230,#REF!)</f>
        <v>#REF!</v>
      </c>
      <c r="D3230" s="1597" t="e">
        <f>+SUMIF(#REF!,Final!A3230,#REF!)</f>
        <v>#REF!</v>
      </c>
      <c r="E3230" s="1643" t="e">
        <f>SUMIF(#REF!,Final!A3230,#REF!)</f>
        <v>#REF!</v>
      </c>
      <c r="F3230" s="1644" t="e">
        <f>SUMIF(#REF!,Final!A3230,#REF!)</f>
        <v>#REF!</v>
      </c>
      <c r="G3230" s="1597" t="e">
        <f t="shared" si="364"/>
        <v>#REF!</v>
      </c>
      <c r="H3230" s="1644" t="e">
        <f t="shared" si="365"/>
        <v>#REF!</v>
      </c>
      <c r="I3230" s="1597" t="e">
        <f t="shared" si="366"/>
        <v>#REF!</v>
      </c>
      <c r="J3230" s="1644" t="e">
        <f t="shared" si="367"/>
        <v>#REF!</v>
      </c>
      <c r="K3230" s="1539"/>
      <c r="L3230" s="1539"/>
      <c r="M3230" s="1545"/>
      <c r="N3230" s="1545"/>
      <c r="O3230" s="1539"/>
      <c r="P3230" s="1539"/>
      <c r="Q3230" s="1539"/>
      <c r="R3230" s="1539"/>
      <c r="S3230" s="1539"/>
      <c r="T3230" s="1539"/>
      <c r="U3230" s="1539"/>
      <c r="V3230" s="1539"/>
      <c r="W3230" s="1539"/>
      <c r="X3230" s="1539"/>
      <c r="Y3230" s="1539"/>
      <c r="Z3230" s="1539"/>
      <c r="AA3230" s="1539"/>
      <c r="AB3230" s="1539"/>
      <c r="AC3230" s="1539"/>
      <c r="AD3230" s="1539"/>
      <c r="AE3230" s="1539"/>
      <c r="AF3230" s="1539"/>
      <c r="AG3230" s="1539"/>
      <c r="AH3230" s="1539"/>
      <c r="AI3230" s="1539"/>
      <c r="AJ3230" s="1539"/>
      <c r="AK3230" s="1539"/>
      <c r="AL3230" s="1539"/>
      <c r="AM3230" s="1539"/>
      <c r="AN3230" s="1539"/>
      <c r="AO3230" s="1539"/>
      <c r="AP3230" s="1539"/>
      <c r="AQ3230" s="1539"/>
      <c r="AR3230" s="1539"/>
      <c r="AS3230" s="1539"/>
      <c r="AT3230" s="1539"/>
      <c r="AU3230" s="1539"/>
      <c r="AV3230" s="1539"/>
      <c r="AW3230" s="1539"/>
      <c r="AX3230" s="1539"/>
      <c r="AY3230" s="1539"/>
      <c r="AZ3230" s="1539"/>
      <c r="BA3230" s="1539"/>
      <c r="BB3230" s="1539"/>
      <c r="BC3230" s="1539"/>
      <c r="BD3230" s="1539"/>
      <c r="BE3230" s="1539"/>
      <c r="BF3230" s="1539"/>
      <c r="BG3230" s="1539"/>
      <c r="BH3230" s="1539"/>
      <c r="BI3230" s="1539"/>
      <c r="BJ3230" s="1539"/>
      <c r="BK3230" s="1539"/>
      <c r="BL3230" s="1539"/>
      <c r="BM3230" s="1539"/>
      <c r="BN3230" s="1539"/>
      <c r="BO3230" s="1539"/>
      <c r="BP3230" s="1539"/>
      <c r="BQ3230" s="1539"/>
      <c r="BR3230" s="1539"/>
      <c r="BS3230" s="1539"/>
      <c r="BT3230" s="1539"/>
      <c r="BU3230" s="1539"/>
      <c r="BV3230" s="1539"/>
      <c r="BW3230" s="1539"/>
      <c r="BX3230" s="1539"/>
      <c r="BY3230" s="1539"/>
      <c r="BZ3230" s="1539"/>
      <c r="CA3230" s="1539"/>
      <c r="CB3230" s="1539"/>
      <c r="CC3230" s="1539"/>
      <c r="CD3230" s="1539"/>
      <c r="CE3230" s="1539"/>
      <c r="CF3230" s="1539"/>
      <c r="CG3230" s="1539"/>
      <c r="CH3230" s="1539"/>
      <c r="CI3230" s="1539"/>
      <c r="CJ3230" s="1539"/>
      <c r="CK3230" s="1539"/>
      <c r="CL3230" s="1539"/>
      <c r="CM3230" s="1539"/>
      <c r="CN3230" s="1539"/>
      <c r="CO3230" s="1539"/>
    </row>
    <row r="3231" spans="1:93" s="1542" customFormat="1" ht="15.5">
      <c r="A3231" s="1598">
        <v>35</v>
      </c>
      <c r="B3231" s="1599" t="s">
        <v>3207</v>
      </c>
      <c r="C3231" s="1643" t="e">
        <f>+SUMIF(#REF!,Final!A3231,#REF!)</f>
        <v>#REF!</v>
      </c>
      <c r="D3231" s="1597" t="e">
        <f>+SUMIF(#REF!,Final!A3231,#REF!)</f>
        <v>#REF!</v>
      </c>
      <c r="E3231" s="1643" t="e">
        <f>SUMIF(#REF!,Final!A3231,#REF!)</f>
        <v>#REF!</v>
      </c>
      <c r="F3231" s="1644" t="e">
        <f>SUMIF(#REF!,Final!A3231,#REF!)</f>
        <v>#REF!</v>
      </c>
      <c r="G3231" s="1597" t="e">
        <f t="shared" si="364"/>
        <v>#REF!</v>
      </c>
      <c r="H3231" s="1644" t="e">
        <f t="shared" si="365"/>
        <v>#REF!</v>
      </c>
      <c r="I3231" s="1597" t="e">
        <f t="shared" si="366"/>
        <v>#REF!</v>
      </c>
      <c r="J3231" s="1644" t="e">
        <f t="shared" si="367"/>
        <v>#REF!</v>
      </c>
      <c r="K3231" s="1539"/>
      <c r="L3231" s="1539"/>
      <c r="M3231" s="1545"/>
      <c r="N3231" s="1545"/>
      <c r="O3231" s="1539"/>
      <c r="P3231" s="1539"/>
      <c r="Q3231" s="1539"/>
      <c r="R3231" s="1539"/>
      <c r="S3231" s="1539"/>
      <c r="T3231" s="1539"/>
      <c r="U3231" s="1539"/>
      <c r="V3231" s="1539"/>
      <c r="W3231" s="1539"/>
      <c r="X3231" s="1539"/>
      <c r="Y3231" s="1539"/>
      <c r="Z3231" s="1539"/>
      <c r="AA3231" s="1539"/>
      <c r="AB3231" s="1539"/>
      <c r="AC3231" s="1539"/>
      <c r="AD3231" s="1539"/>
      <c r="AE3231" s="1539"/>
      <c r="AF3231" s="1539"/>
      <c r="AG3231" s="1539"/>
      <c r="AH3231" s="1539"/>
      <c r="AI3231" s="1539"/>
      <c r="AJ3231" s="1539"/>
      <c r="AK3231" s="1539"/>
      <c r="AL3231" s="1539"/>
      <c r="AM3231" s="1539"/>
      <c r="AN3231" s="1539"/>
      <c r="AO3231" s="1539"/>
      <c r="AP3231" s="1539"/>
      <c r="AQ3231" s="1539"/>
      <c r="AR3231" s="1539"/>
      <c r="AS3231" s="1539"/>
      <c r="AT3231" s="1539"/>
      <c r="AU3231" s="1539"/>
      <c r="AV3231" s="1539"/>
      <c r="AW3231" s="1539"/>
      <c r="AX3231" s="1539"/>
      <c r="AY3231" s="1539"/>
      <c r="AZ3231" s="1539"/>
      <c r="BA3231" s="1539"/>
      <c r="BB3231" s="1539"/>
      <c r="BC3231" s="1539"/>
      <c r="BD3231" s="1539"/>
      <c r="BE3231" s="1539"/>
      <c r="BF3231" s="1539"/>
      <c r="BG3231" s="1539"/>
      <c r="BH3231" s="1539"/>
      <c r="BI3231" s="1539"/>
      <c r="BJ3231" s="1539"/>
      <c r="BK3231" s="1539"/>
      <c r="BL3231" s="1539"/>
      <c r="BM3231" s="1539"/>
      <c r="BN3231" s="1539"/>
      <c r="BO3231" s="1539"/>
      <c r="BP3231" s="1539"/>
      <c r="BQ3231" s="1539"/>
      <c r="BR3231" s="1539"/>
      <c r="BS3231" s="1539"/>
      <c r="BT3231" s="1539"/>
      <c r="BU3231" s="1539"/>
      <c r="BV3231" s="1539"/>
      <c r="BW3231" s="1539"/>
      <c r="BX3231" s="1539"/>
      <c r="BY3231" s="1539"/>
      <c r="BZ3231" s="1539"/>
      <c r="CA3231" s="1539"/>
      <c r="CB3231" s="1539"/>
      <c r="CC3231" s="1539"/>
      <c r="CD3231" s="1539"/>
      <c r="CE3231" s="1539"/>
      <c r="CF3231" s="1539"/>
      <c r="CG3231" s="1539"/>
      <c r="CH3231" s="1539"/>
      <c r="CI3231" s="1539"/>
      <c r="CJ3231" s="1539"/>
      <c r="CK3231" s="1539"/>
      <c r="CL3231" s="1539"/>
      <c r="CM3231" s="1539"/>
      <c r="CN3231" s="1539"/>
      <c r="CO3231" s="1539"/>
    </row>
    <row r="3232" spans="1:93" s="1542" customFormat="1" ht="15.5">
      <c r="A3232" s="1598" t="s">
        <v>1830</v>
      </c>
      <c r="B3232" s="1599" t="s">
        <v>1525</v>
      </c>
      <c r="C3232" s="1643" t="e">
        <f>+SUMIF(#REF!,Final!A3232,#REF!)</f>
        <v>#REF!</v>
      </c>
      <c r="D3232" s="1597" t="e">
        <f>+SUMIF(#REF!,Final!A3232,#REF!)</f>
        <v>#REF!</v>
      </c>
      <c r="E3232" s="1643" t="e">
        <f>SUMIF(#REF!,Final!A3232,#REF!)</f>
        <v>#REF!</v>
      </c>
      <c r="F3232" s="1644" t="e">
        <f>SUMIF(#REF!,Final!A3232,#REF!)</f>
        <v>#REF!</v>
      </c>
      <c r="G3232" s="1597" t="e">
        <f t="shared" si="364"/>
        <v>#REF!</v>
      </c>
      <c r="H3232" s="1644" t="e">
        <f t="shared" si="365"/>
        <v>#REF!</v>
      </c>
      <c r="I3232" s="1597" t="e">
        <f t="shared" si="366"/>
        <v>#REF!</v>
      </c>
      <c r="J3232" s="1644" t="e">
        <f t="shared" si="367"/>
        <v>#REF!</v>
      </c>
      <c r="K3232" s="1539"/>
      <c r="L3232" s="1539"/>
      <c r="M3232" s="1545"/>
      <c r="N3232" s="1545"/>
      <c r="O3232" s="1539"/>
      <c r="P3232" s="1539"/>
      <c r="Q3232" s="1539"/>
      <c r="R3232" s="1539"/>
      <c r="S3232" s="1539"/>
      <c r="T3232" s="1539"/>
      <c r="U3232" s="1539"/>
      <c r="V3232" s="1539"/>
      <c r="W3232" s="1539"/>
      <c r="X3232" s="1539"/>
      <c r="Y3232" s="1539"/>
      <c r="Z3232" s="1539"/>
      <c r="AA3232" s="1539"/>
      <c r="AB3232" s="1539"/>
      <c r="AC3232" s="1539"/>
      <c r="AD3232" s="1539"/>
      <c r="AE3232" s="1539"/>
      <c r="AF3232" s="1539"/>
      <c r="AG3232" s="1539"/>
      <c r="AH3232" s="1539"/>
      <c r="AI3232" s="1539"/>
      <c r="AJ3232" s="1539"/>
      <c r="AK3232" s="1539"/>
      <c r="AL3232" s="1539"/>
      <c r="AM3232" s="1539"/>
      <c r="AN3232" s="1539"/>
      <c r="AO3232" s="1539"/>
      <c r="AP3232" s="1539"/>
      <c r="AQ3232" s="1539"/>
      <c r="AR3232" s="1539"/>
      <c r="AS3232" s="1539"/>
      <c r="AT3232" s="1539"/>
      <c r="AU3232" s="1539"/>
      <c r="AV3232" s="1539"/>
      <c r="AW3232" s="1539"/>
      <c r="AX3232" s="1539"/>
      <c r="AY3232" s="1539"/>
      <c r="AZ3232" s="1539"/>
      <c r="BA3232" s="1539"/>
      <c r="BB3232" s="1539"/>
      <c r="BC3232" s="1539"/>
      <c r="BD3232" s="1539"/>
      <c r="BE3232" s="1539"/>
      <c r="BF3232" s="1539"/>
      <c r="BG3232" s="1539"/>
      <c r="BH3232" s="1539"/>
      <c r="BI3232" s="1539"/>
      <c r="BJ3232" s="1539"/>
      <c r="BK3232" s="1539"/>
      <c r="BL3232" s="1539"/>
      <c r="BM3232" s="1539"/>
      <c r="BN3232" s="1539"/>
      <c r="BO3232" s="1539"/>
      <c r="BP3232" s="1539"/>
      <c r="BQ3232" s="1539"/>
      <c r="BR3232" s="1539"/>
      <c r="BS3232" s="1539"/>
      <c r="BT3232" s="1539"/>
      <c r="BU3232" s="1539"/>
      <c r="BV3232" s="1539"/>
      <c r="BW3232" s="1539"/>
      <c r="BX3232" s="1539"/>
      <c r="BY3232" s="1539"/>
      <c r="BZ3232" s="1539"/>
      <c r="CA3232" s="1539"/>
      <c r="CB3232" s="1539"/>
      <c r="CC3232" s="1539"/>
      <c r="CD3232" s="1539"/>
      <c r="CE3232" s="1539"/>
      <c r="CF3232" s="1539"/>
      <c r="CG3232" s="1539"/>
      <c r="CH3232" s="1539"/>
      <c r="CI3232" s="1539"/>
      <c r="CJ3232" s="1539"/>
      <c r="CK3232" s="1539"/>
      <c r="CL3232" s="1539"/>
      <c r="CM3232" s="1539"/>
      <c r="CN3232" s="1539"/>
      <c r="CO3232" s="1539"/>
    </row>
    <row r="3233" spans="1:93" s="1542" customFormat="1" ht="15.5">
      <c r="A3233" s="1598">
        <v>76.164000000000001</v>
      </c>
      <c r="B3233" s="1599" t="s">
        <v>3235</v>
      </c>
      <c r="C3233" s="1643" t="e">
        <f>+SUMIF(#REF!,Final!A3233,#REF!)</f>
        <v>#REF!</v>
      </c>
      <c r="D3233" s="1597" t="e">
        <f>+SUMIF(#REF!,Final!A3233,#REF!)</f>
        <v>#REF!</v>
      </c>
      <c r="E3233" s="1643" t="e">
        <f>SUMIF(#REF!,Final!A3233,#REF!)</f>
        <v>#REF!</v>
      </c>
      <c r="F3233" s="1644" t="e">
        <f>SUMIF(#REF!,Final!A3233,#REF!)</f>
        <v>#REF!</v>
      </c>
      <c r="G3233" s="1597" t="e">
        <f t="shared" si="364"/>
        <v>#REF!</v>
      </c>
      <c r="H3233" s="1644" t="e">
        <f t="shared" si="365"/>
        <v>#REF!</v>
      </c>
      <c r="I3233" s="1597" t="e">
        <f t="shared" si="366"/>
        <v>#REF!</v>
      </c>
      <c r="J3233" s="1644" t="e">
        <f t="shared" si="367"/>
        <v>#REF!</v>
      </c>
      <c r="K3233" s="1539"/>
      <c r="L3233" s="1539"/>
      <c r="M3233" s="1545"/>
      <c r="N3233" s="1545"/>
      <c r="O3233" s="1539"/>
      <c r="P3233" s="1539"/>
      <c r="Q3233" s="1539"/>
      <c r="R3233" s="1539"/>
      <c r="S3233" s="1539"/>
      <c r="T3233" s="1539"/>
      <c r="U3233" s="1539"/>
      <c r="V3233" s="1539"/>
      <c r="W3233" s="1539"/>
      <c r="X3233" s="1539"/>
      <c r="Y3233" s="1539"/>
      <c r="Z3233" s="1539"/>
      <c r="AA3233" s="1539"/>
      <c r="AB3233" s="1539"/>
      <c r="AC3233" s="1539"/>
      <c r="AD3233" s="1539"/>
      <c r="AE3233" s="1539"/>
      <c r="AF3233" s="1539"/>
      <c r="AG3233" s="1539"/>
      <c r="AH3233" s="1539"/>
      <c r="AI3233" s="1539"/>
      <c r="AJ3233" s="1539"/>
      <c r="AK3233" s="1539"/>
      <c r="AL3233" s="1539"/>
      <c r="AM3233" s="1539"/>
      <c r="AN3233" s="1539"/>
      <c r="AO3233" s="1539"/>
      <c r="AP3233" s="1539"/>
      <c r="AQ3233" s="1539"/>
      <c r="AR3233" s="1539"/>
      <c r="AS3233" s="1539"/>
      <c r="AT3233" s="1539"/>
      <c r="AU3233" s="1539"/>
      <c r="AV3233" s="1539"/>
      <c r="AW3233" s="1539"/>
      <c r="AX3233" s="1539"/>
      <c r="AY3233" s="1539"/>
      <c r="AZ3233" s="1539"/>
      <c r="BA3233" s="1539"/>
      <c r="BB3233" s="1539"/>
      <c r="BC3233" s="1539"/>
      <c r="BD3233" s="1539"/>
      <c r="BE3233" s="1539"/>
      <c r="BF3233" s="1539"/>
      <c r="BG3233" s="1539"/>
      <c r="BH3233" s="1539"/>
      <c r="BI3233" s="1539"/>
      <c r="BJ3233" s="1539"/>
      <c r="BK3233" s="1539"/>
      <c r="BL3233" s="1539"/>
      <c r="BM3233" s="1539"/>
      <c r="BN3233" s="1539"/>
      <c r="BO3233" s="1539"/>
      <c r="BP3233" s="1539"/>
      <c r="BQ3233" s="1539"/>
      <c r="BR3233" s="1539"/>
      <c r="BS3233" s="1539"/>
      <c r="BT3233" s="1539"/>
      <c r="BU3233" s="1539"/>
      <c r="BV3233" s="1539"/>
      <c r="BW3233" s="1539"/>
      <c r="BX3233" s="1539"/>
      <c r="BY3233" s="1539"/>
      <c r="BZ3233" s="1539"/>
      <c r="CA3233" s="1539"/>
      <c r="CB3233" s="1539"/>
      <c r="CC3233" s="1539"/>
      <c r="CD3233" s="1539"/>
      <c r="CE3233" s="1539"/>
      <c r="CF3233" s="1539"/>
      <c r="CG3233" s="1539"/>
      <c r="CH3233" s="1539"/>
      <c r="CI3233" s="1539"/>
      <c r="CJ3233" s="1539"/>
      <c r="CK3233" s="1539"/>
      <c r="CL3233" s="1539"/>
      <c r="CM3233" s="1539"/>
      <c r="CN3233" s="1539"/>
      <c r="CO3233" s="1539"/>
    </row>
    <row r="3234" spans="1:93" ht="15.5">
      <c r="A3234" s="1598">
        <v>76.165000000000006</v>
      </c>
      <c r="B3234" s="1599" t="s">
        <v>3236</v>
      </c>
      <c r="C3234" s="1643" t="e">
        <f>+SUMIF(#REF!,Final!A3234,#REF!)</f>
        <v>#REF!</v>
      </c>
      <c r="D3234" s="1597" t="e">
        <f>+SUMIF(#REF!,Final!A3234,#REF!)</f>
        <v>#REF!</v>
      </c>
      <c r="E3234" s="1643" t="e">
        <f>SUMIF(#REF!,Final!A3234,#REF!)</f>
        <v>#REF!</v>
      </c>
      <c r="F3234" s="1644" t="e">
        <f>SUMIF(#REF!,Final!A3234,#REF!)</f>
        <v>#REF!</v>
      </c>
      <c r="G3234" s="1597" t="e">
        <f t="shared" si="364"/>
        <v>#REF!</v>
      </c>
      <c r="H3234" s="1644" t="e">
        <f t="shared" si="365"/>
        <v>#REF!</v>
      </c>
      <c r="I3234" s="1597" t="e">
        <f t="shared" si="366"/>
        <v>#REF!</v>
      </c>
      <c r="J3234" s="1644" t="e">
        <f t="shared" si="367"/>
        <v>#REF!</v>
      </c>
      <c r="M3234" s="1545"/>
      <c r="N3234" s="1545"/>
    </row>
    <row r="3235" spans="1:93" ht="15.5">
      <c r="A3235" s="1598" t="s">
        <v>3237</v>
      </c>
      <c r="B3235" s="1599" t="s">
        <v>3238</v>
      </c>
      <c r="C3235" s="1643" t="e">
        <f>+SUMIF(#REF!,Final!A3235,#REF!)</f>
        <v>#REF!</v>
      </c>
      <c r="D3235" s="1597" t="e">
        <f>+SUMIF(#REF!,Final!A3235,#REF!)</f>
        <v>#REF!</v>
      </c>
      <c r="E3235" s="1643" t="e">
        <f>SUMIF(#REF!,Final!A3235,#REF!)</f>
        <v>#REF!</v>
      </c>
      <c r="F3235" s="1644" t="e">
        <f>SUMIF(#REF!,Final!A3235,#REF!)</f>
        <v>#REF!</v>
      </c>
      <c r="G3235" s="1597" t="e">
        <f t="shared" si="364"/>
        <v>#REF!</v>
      </c>
      <c r="H3235" s="1644" t="e">
        <f t="shared" si="365"/>
        <v>#REF!</v>
      </c>
      <c r="I3235" s="1597" t="e">
        <f t="shared" si="366"/>
        <v>#REF!</v>
      </c>
      <c r="J3235" s="1644" t="e">
        <f t="shared" si="367"/>
        <v>#REF!</v>
      </c>
      <c r="M3235" s="1545"/>
      <c r="N3235" s="1545"/>
    </row>
    <row r="3236" spans="1:93" ht="15.5">
      <c r="A3236" s="1598">
        <v>76.165999999999997</v>
      </c>
      <c r="B3236" s="1599" t="s">
        <v>3239</v>
      </c>
      <c r="C3236" s="1643" t="e">
        <f>+SUMIF(#REF!,Final!A3236,#REF!)</f>
        <v>#REF!</v>
      </c>
      <c r="D3236" s="1597" t="e">
        <f>+SUMIF(#REF!,Final!A3236,#REF!)</f>
        <v>#REF!</v>
      </c>
      <c r="E3236" s="1643" t="e">
        <f>SUMIF(#REF!,Final!A3236,#REF!)</f>
        <v>#REF!</v>
      </c>
      <c r="F3236" s="1644" t="e">
        <f>SUMIF(#REF!,Final!A3236,#REF!)</f>
        <v>#REF!</v>
      </c>
      <c r="G3236" s="1597" t="e">
        <f t="shared" si="364"/>
        <v>#REF!</v>
      </c>
      <c r="H3236" s="1644" t="e">
        <f t="shared" si="365"/>
        <v>#REF!</v>
      </c>
      <c r="I3236" s="1597" t="e">
        <f t="shared" si="366"/>
        <v>#REF!</v>
      </c>
      <c r="J3236" s="1644" t="e">
        <f t="shared" si="367"/>
        <v>#REF!</v>
      </c>
      <c r="M3236" s="1545"/>
      <c r="N3236" s="1545"/>
    </row>
    <row r="3237" spans="1:93" ht="15.5">
      <c r="A3237" s="1598">
        <v>76.167000000000002</v>
      </c>
      <c r="B3237" s="1599" t="s">
        <v>3240</v>
      </c>
      <c r="C3237" s="1643" t="e">
        <f>+SUMIF(#REF!,Final!A3237,#REF!)</f>
        <v>#REF!</v>
      </c>
      <c r="D3237" s="1597" t="e">
        <f>+SUMIF(#REF!,Final!A3237,#REF!)</f>
        <v>#REF!</v>
      </c>
      <c r="E3237" s="1643" t="e">
        <f>SUMIF(#REF!,Final!A3237,#REF!)</f>
        <v>#REF!</v>
      </c>
      <c r="F3237" s="1644" t="e">
        <f>SUMIF(#REF!,Final!A3237,#REF!)</f>
        <v>#REF!</v>
      </c>
      <c r="G3237" s="1597" t="e">
        <f t="shared" si="364"/>
        <v>#REF!</v>
      </c>
      <c r="H3237" s="1644" t="e">
        <f t="shared" si="365"/>
        <v>#REF!</v>
      </c>
      <c r="I3237" s="1597" t="e">
        <f t="shared" si="366"/>
        <v>#REF!</v>
      </c>
      <c r="J3237" s="1644" t="e">
        <f t="shared" si="367"/>
        <v>#REF!</v>
      </c>
      <c r="M3237" s="1545"/>
      <c r="N3237" s="1545"/>
    </row>
    <row r="3238" spans="1:93" s="1542" customFormat="1" ht="15.5">
      <c r="A3238" s="1598">
        <v>76.168000000000006</v>
      </c>
      <c r="B3238" s="1599" t="s">
        <v>3241</v>
      </c>
      <c r="C3238" s="1643" t="e">
        <f>+SUMIF(#REF!,Final!A3238,#REF!)</f>
        <v>#REF!</v>
      </c>
      <c r="D3238" s="1597" t="e">
        <f>+SUMIF(#REF!,Final!A3238,#REF!)</f>
        <v>#REF!</v>
      </c>
      <c r="E3238" s="1643" t="e">
        <f>SUMIF(#REF!,Final!A3238,#REF!)</f>
        <v>#REF!</v>
      </c>
      <c r="F3238" s="1644" t="e">
        <f>SUMIF(#REF!,Final!A3238,#REF!)</f>
        <v>#REF!</v>
      </c>
      <c r="G3238" s="1597" t="e">
        <f t="shared" si="364"/>
        <v>#REF!</v>
      </c>
      <c r="H3238" s="1644" t="e">
        <f t="shared" si="365"/>
        <v>#REF!</v>
      </c>
      <c r="I3238" s="1597" t="e">
        <f t="shared" si="366"/>
        <v>#REF!</v>
      </c>
      <c r="J3238" s="1644" t="e">
        <f t="shared" si="367"/>
        <v>#REF!</v>
      </c>
      <c r="K3238" s="1539"/>
      <c r="L3238" s="1539"/>
      <c r="M3238" s="1545"/>
      <c r="N3238" s="1545"/>
      <c r="O3238" s="1539"/>
      <c r="P3238" s="1539"/>
      <c r="Q3238" s="1539"/>
      <c r="R3238" s="1539"/>
      <c r="S3238" s="1539"/>
      <c r="T3238" s="1539"/>
      <c r="U3238" s="1539"/>
      <c r="V3238" s="1539"/>
      <c r="W3238" s="1539"/>
      <c r="X3238" s="1539"/>
      <c r="Y3238" s="1539"/>
      <c r="Z3238" s="1539"/>
      <c r="AA3238" s="1539"/>
      <c r="AB3238" s="1539"/>
      <c r="AC3238" s="1539"/>
      <c r="AD3238" s="1539"/>
      <c r="AE3238" s="1539"/>
      <c r="AF3238" s="1539"/>
      <c r="AG3238" s="1539"/>
      <c r="AH3238" s="1539"/>
      <c r="AI3238" s="1539"/>
      <c r="AJ3238" s="1539"/>
      <c r="AK3238" s="1539"/>
      <c r="AL3238" s="1539"/>
      <c r="AM3238" s="1539"/>
      <c r="AN3238" s="1539"/>
      <c r="AO3238" s="1539"/>
      <c r="AP3238" s="1539"/>
      <c r="AQ3238" s="1539"/>
      <c r="AR3238" s="1539"/>
      <c r="AS3238" s="1539"/>
      <c r="AT3238" s="1539"/>
      <c r="AU3238" s="1539"/>
      <c r="AV3238" s="1539"/>
      <c r="AW3238" s="1539"/>
      <c r="AX3238" s="1539"/>
      <c r="AY3238" s="1539"/>
      <c r="AZ3238" s="1539"/>
      <c r="BA3238" s="1539"/>
      <c r="BB3238" s="1539"/>
      <c r="BC3238" s="1539"/>
      <c r="BD3238" s="1539"/>
      <c r="BE3238" s="1539"/>
      <c r="BF3238" s="1539"/>
      <c r="BG3238" s="1539"/>
      <c r="BH3238" s="1539"/>
      <c r="BI3238" s="1539"/>
      <c r="BJ3238" s="1539"/>
      <c r="BK3238" s="1539"/>
      <c r="BL3238" s="1539"/>
      <c r="BM3238" s="1539"/>
      <c r="BN3238" s="1539"/>
      <c r="BO3238" s="1539"/>
      <c r="BP3238" s="1539"/>
      <c r="BQ3238" s="1539"/>
      <c r="BR3238" s="1539"/>
      <c r="BS3238" s="1539"/>
      <c r="BT3238" s="1539"/>
      <c r="BU3238" s="1539"/>
      <c r="BV3238" s="1539"/>
      <c r="BW3238" s="1539"/>
      <c r="BX3238" s="1539"/>
      <c r="BY3238" s="1539"/>
      <c r="BZ3238" s="1539"/>
      <c r="CA3238" s="1539"/>
      <c r="CB3238" s="1539"/>
      <c r="CC3238" s="1539"/>
      <c r="CD3238" s="1539"/>
      <c r="CE3238" s="1539"/>
      <c r="CF3238" s="1539"/>
      <c r="CG3238" s="1539"/>
      <c r="CH3238" s="1539"/>
      <c r="CI3238" s="1539"/>
      <c r="CJ3238" s="1539"/>
      <c r="CK3238" s="1539"/>
      <c r="CL3238" s="1539"/>
      <c r="CM3238" s="1539"/>
      <c r="CN3238" s="1539"/>
      <c r="CO3238" s="1539"/>
    </row>
    <row r="3239" spans="1:93" ht="15.5">
      <c r="A3239" s="1598">
        <v>76.168999999999997</v>
      </c>
      <c r="B3239" s="1599" t="s">
        <v>3242</v>
      </c>
      <c r="C3239" s="1643" t="e">
        <f>+SUMIF(#REF!,Final!A3239,#REF!)</f>
        <v>#REF!</v>
      </c>
      <c r="D3239" s="1597" t="e">
        <f>+SUMIF(#REF!,Final!A3239,#REF!)</f>
        <v>#REF!</v>
      </c>
      <c r="E3239" s="1643" t="e">
        <f>SUMIF(#REF!,Final!A3239,#REF!)</f>
        <v>#REF!</v>
      </c>
      <c r="F3239" s="1644" t="e">
        <f>SUMIF(#REF!,Final!A3239,#REF!)</f>
        <v>#REF!</v>
      </c>
      <c r="G3239" s="1597" t="e">
        <f t="shared" si="364"/>
        <v>#REF!</v>
      </c>
      <c r="H3239" s="1644" t="e">
        <f t="shared" si="365"/>
        <v>#REF!</v>
      </c>
      <c r="I3239" s="1597" t="e">
        <f t="shared" si="366"/>
        <v>#REF!</v>
      </c>
      <c r="J3239" s="1644" t="e">
        <f t="shared" si="367"/>
        <v>#REF!</v>
      </c>
      <c r="M3239" s="1545"/>
      <c r="N3239" s="1545"/>
    </row>
    <row r="3240" spans="1:93" s="1552" customFormat="1" ht="15.5">
      <c r="A3240" s="1598"/>
      <c r="B3240" s="1599" t="s">
        <v>1747</v>
      </c>
      <c r="C3240" s="1643" t="e">
        <f>+SUMIF(#REF!,Final!A3240,#REF!)</f>
        <v>#REF!</v>
      </c>
      <c r="D3240" s="1597" t="e">
        <f>+SUMIF(#REF!,Final!A3240,#REF!)</f>
        <v>#REF!</v>
      </c>
      <c r="E3240" s="1643" t="e">
        <f>SUMIF(#REF!,Final!A3240,#REF!)</f>
        <v>#REF!</v>
      </c>
      <c r="F3240" s="1644" t="e">
        <f>SUMIF(#REF!,Final!A3240,#REF!)</f>
        <v>#REF!</v>
      </c>
      <c r="G3240" s="1597" t="e">
        <f t="shared" si="364"/>
        <v>#REF!</v>
      </c>
      <c r="H3240" s="1644" t="e">
        <f t="shared" si="365"/>
        <v>#REF!</v>
      </c>
      <c r="I3240" s="1597" t="e">
        <f t="shared" si="366"/>
        <v>#REF!</v>
      </c>
      <c r="J3240" s="1644" t="e">
        <f t="shared" si="367"/>
        <v>#REF!</v>
      </c>
      <c r="K3240" s="1539"/>
      <c r="L3240" s="1539"/>
      <c r="M3240" s="1545"/>
      <c r="N3240" s="1545"/>
      <c r="O3240" s="1539"/>
      <c r="P3240" s="1539"/>
      <c r="Q3240" s="1539"/>
      <c r="R3240" s="1539"/>
      <c r="S3240" s="1539"/>
      <c r="T3240" s="1539"/>
      <c r="U3240" s="1539"/>
      <c r="V3240" s="1539"/>
      <c r="W3240" s="1539"/>
      <c r="X3240" s="1539"/>
      <c r="Y3240" s="1539"/>
      <c r="Z3240" s="1539"/>
      <c r="AA3240" s="1539"/>
      <c r="AB3240" s="1539"/>
      <c r="AC3240" s="1539"/>
      <c r="AD3240" s="1539"/>
      <c r="AE3240" s="1539"/>
      <c r="AF3240" s="1539"/>
      <c r="AG3240" s="1539"/>
      <c r="AH3240" s="1539"/>
      <c r="AI3240" s="1539"/>
      <c r="AJ3240" s="1539"/>
      <c r="AK3240" s="1539"/>
      <c r="AL3240" s="1539"/>
      <c r="AM3240" s="1539"/>
      <c r="AN3240" s="1539"/>
      <c r="AO3240" s="1539"/>
      <c r="AP3240" s="1539"/>
      <c r="AQ3240" s="1539"/>
      <c r="AR3240" s="1539"/>
      <c r="AS3240" s="1539"/>
      <c r="AT3240" s="1539"/>
      <c r="AU3240" s="1539"/>
      <c r="AV3240" s="1539"/>
      <c r="AW3240" s="1539"/>
      <c r="AX3240" s="1539"/>
      <c r="AY3240" s="1539"/>
      <c r="AZ3240" s="1539"/>
      <c r="BA3240" s="1539"/>
      <c r="BB3240" s="1539"/>
      <c r="BC3240" s="1539"/>
      <c r="BD3240" s="1539"/>
      <c r="BE3240" s="1539"/>
      <c r="BF3240" s="1539"/>
      <c r="BG3240" s="1539"/>
      <c r="BH3240" s="1539"/>
      <c r="BI3240" s="1539"/>
      <c r="BJ3240" s="1539"/>
      <c r="BK3240" s="1539"/>
      <c r="BL3240" s="1539"/>
      <c r="BM3240" s="1539"/>
      <c r="BN3240" s="1539"/>
      <c r="BO3240" s="1539"/>
      <c r="BP3240" s="1539"/>
      <c r="BQ3240" s="1539"/>
      <c r="BR3240" s="1539"/>
      <c r="BS3240" s="1539"/>
      <c r="BT3240" s="1539"/>
      <c r="BU3240" s="1539"/>
      <c r="BV3240" s="1539"/>
      <c r="BW3240" s="1539"/>
      <c r="BX3240" s="1539"/>
      <c r="BY3240" s="1539"/>
      <c r="BZ3240" s="1539"/>
      <c r="CA3240" s="1539"/>
      <c r="CB3240" s="1539"/>
      <c r="CC3240" s="1539"/>
      <c r="CD3240" s="1539"/>
      <c r="CE3240" s="1539"/>
      <c r="CF3240" s="1539"/>
      <c r="CG3240" s="1539"/>
      <c r="CH3240" s="1539"/>
      <c r="CI3240" s="1539"/>
      <c r="CJ3240" s="1539"/>
      <c r="CK3240" s="1539"/>
      <c r="CL3240" s="1539"/>
      <c r="CM3240" s="1539"/>
      <c r="CN3240" s="1539"/>
      <c r="CO3240" s="1539"/>
    </row>
    <row r="3241" spans="1:93" s="1552" customFormat="1" ht="15.5">
      <c r="A3241" s="1598"/>
      <c r="B3241" s="1599" t="s">
        <v>1760</v>
      </c>
      <c r="C3241" s="1643" t="e">
        <f>+SUMIF(#REF!,Final!A3241,#REF!)</f>
        <v>#REF!</v>
      </c>
      <c r="D3241" s="1597" t="e">
        <f>+SUMIF(#REF!,Final!A3241,#REF!)</f>
        <v>#REF!</v>
      </c>
      <c r="E3241" s="1643" t="e">
        <f>SUMIF(#REF!,Final!A3241,#REF!)</f>
        <v>#REF!</v>
      </c>
      <c r="F3241" s="1644" t="e">
        <f>SUMIF(#REF!,Final!A3241,#REF!)</f>
        <v>#REF!</v>
      </c>
      <c r="G3241" s="1597" t="e">
        <f t="shared" si="364"/>
        <v>#REF!</v>
      </c>
      <c r="H3241" s="1644" t="e">
        <f t="shared" si="365"/>
        <v>#REF!</v>
      </c>
      <c r="I3241" s="1597" t="e">
        <f t="shared" si="366"/>
        <v>#REF!</v>
      </c>
      <c r="J3241" s="1644" t="e">
        <f t="shared" si="367"/>
        <v>#REF!</v>
      </c>
      <c r="K3241" s="1539"/>
      <c r="L3241" s="1539"/>
      <c r="M3241" s="1545"/>
      <c r="N3241" s="1545"/>
      <c r="O3241" s="1539"/>
      <c r="P3241" s="1539"/>
      <c r="Q3241" s="1539"/>
      <c r="R3241" s="1539"/>
      <c r="S3241" s="1539"/>
      <c r="T3241" s="1539"/>
      <c r="U3241" s="1539"/>
      <c r="V3241" s="1539"/>
      <c r="W3241" s="1539"/>
      <c r="X3241" s="1539"/>
      <c r="Y3241" s="1539"/>
      <c r="Z3241" s="1539"/>
      <c r="AA3241" s="1539"/>
      <c r="AB3241" s="1539"/>
      <c r="AC3241" s="1539"/>
      <c r="AD3241" s="1539"/>
      <c r="AE3241" s="1539"/>
      <c r="AF3241" s="1539"/>
      <c r="AG3241" s="1539"/>
      <c r="AH3241" s="1539"/>
      <c r="AI3241" s="1539"/>
      <c r="AJ3241" s="1539"/>
      <c r="AK3241" s="1539"/>
      <c r="AL3241" s="1539"/>
      <c r="AM3241" s="1539"/>
      <c r="AN3241" s="1539"/>
      <c r="AO3241" s="1539"/>
      <c r="AP3241" s="1539"/>
      <c r="AQ3241" s="1539"/>
      <c r="AR3241" s="1539"/>
      <c r="AS3241" s="1539"/>
      <c r="AT3241" s="1539"/>
      <c r="AU3241" s="1539"/>
      <c r="AV3241" s="1539"/>
      <c r="AW3241" s="1539"/>
      <c r="AX3241" s="1539"/>
      <c r="AY3241" s="1539"/>
      <c r="AZ3241" s="1539"/>
      <c r="BA3241" s="1539"/>
      <c r="BB3241" s="1539"/>
      <c r="BC3241" s="1539"/>
      <c r="BD3241" s="1539"/>
      <c r="BE3241" s="1539"/>
      <c r="BF3241" s="1539"/>
      <c r="BG3241" s="1539"/>
      <c r="BH3241" s="1539"/>
      <c r="BI3241" s="1539"/>
      <c r="BJ3241" s="1539"/>
      <c r="BK3241" s="1539"/>
      <c r="BL3241" s="1539"/>
      <c r="BM3241" s="1539"/>
      <c r="BN3241" s="1539"/>
      <c r="BO3241" s="1539"/>
      <c r="BP3241" s="1539"/>
      <c r="BQ3241" s="1539"/>
      <c r="BR3241" s="1539"/>
      <c r="BS3241" s="1539"/>
      <c r="BT3241" s="1539"/>
      <c r="BU3241" s="1539"/>
      <c r="BV3241" s="1539"/>
      <c r="BW3241" s="1539"/>
      <c r="BX3241" s="1539"/>
      <c r="BY3241" s="1539"/>
      <c r="BZ3241" s="1539"/>
      <c r="CA3241" s="1539"/>
      <c r="CB3241" s="1539"/>
      <c r="CC3241" s="1539"/>
      <c r="CD3241" s="1539"/>
      <c r="CE3241" s="1539"/>
      <c r="CF3241" s="1539"/>
      <c r="CG3241" s="1539"/>
      <c r="CH3241" s="1539"/>
      <c r="CI3241" s="1539"/>
      <c r="CJ3241" s="1539"/>
      <c r="CK3241" s="1539"/>
      <c r="CL3241" s="1539"/>
      <c r="CM3241" s="1539"/>
      <c r="CN3241" s="1539"/>
      <c r="CO3241" s="1539"/>
    </row>
    <row r="3242" spans="1:93" s="1542" customFormat="1" ht="15.5">
      <c r="A3242" s="1598">
        <v>34</v>
      </c>
      <c r="B3242" s="1599" t="s">
        <v>3535</v>
      </c>
      <c r="C3242" s="1643" t="e">
        <f>+SUMIF(#REF!,Final!A3242,#REF!)</f>
        <v>#REF!</v>
      </c>
      <c r="D3242" s="1597" t="e">
        <f>+SUMIF(#REF!,Final!A3242,#REF!)</f>
        <v>#REF!</v>
      </c>
      <c r="E3242" s="1643" t="e">
        <f>SUMIF(#REF!,Final!A3242,#REF!)</f>
        <v>#REF!</v>
      </c>
      <c r="F3242" s="1644" t="e">
        <f>SUMIF(#REF!,Final!A3242,#REF!)</f>
        <v>#REF!</v>
      </c>
      <c r="G3242" s="1597" t="e">
        <f t="shared" si="364"/>
        <v>#REF!</v>
      </c>
      <c r="H3242" s="1644" t="e">
        <f t="shared" si="365"/>
        <v>#REF!</v>
      </c>
      <c r="I3242" s="1597" t="e">
        <f t="shared" si="366"/>
        <v>#REF!</v>
      </c>
      <c r="J3242" s="1644" t="e">
        <f t="shared" si="367"/>
        <v>#REF!</v>
      </c>
      <c r="K3242" s="1539"/>
      <c r="L3242" s="1539"/>
      <c r="M3242" s="1545"/>
      <c r="N3242" s="1545"/>
      <c r="O3242" s="1539"/>
      <c r="P3242" s="1539"/>
      <c r="Q3242" s="1539"/>
      <c r="R3242" s="1539"/>
      <c r="S3242" s="1539"/>
      <c r="T3242" s="1539"/>
      <c r="U3242" s="1539"/>
      <c r="V3242" s="1539"/>
      <c r="W3242" s="1539"/>
      <c r="X3242" s="1539"/>
      <c r="Y3242" s="1539"/>
      <c r="Z3242" s="1539"/>
      <c r="AA3242" s="1539"/>
      <c r="AB3242" s="1539"/>
      <c r="AC3242" s="1539"/>
      <c r="AD3242" s="1539"/>
      <c r="AE3242" s="1539"/>
      <c r="AF3242" s="1539"/>
      <c r="AG3242" s="1539"/>
      <c r="AH3242" s="1539"/>
      <c r="AI3242" s="1539"/>
      <c r="AJ3242" s="1539"/>
      <c r="AK3242" s="1539"/>
      <c r="AL3242" s="1539"/>
      <c r="AM3242" s="1539"/>
      <c r="AN3242" s="1539"/>
      <c r="AO3242" s="1539"/>
      <c r="AP3242" s="1539"/>
      <c r="AQ3242" s="1539"/>
      <c r="AR3242" s="1539"/>
      <c r="AS3242" s="1539"/>
      <c r="AT3242" s="1539"/>
      <c r="AU3242" s="1539"/>
      <c r="AV3242" s="1539"/>
      <c r="AW3242" s="1539"/>
      <c r="AX3242" s="1539"/>
      <c r="AY3242" s="1539"/>
      <c r="AZ3242" s="1539"/>
      <c r="BA3242" s="1539"/>
      <c r="BB3242" s="1539"/>
      <c r="BC3242" s="1539"/>
      <c r="BD3242" s="1539"/>
      <c r="BE3242" s="1539"/>
      <c r="BF3242" s="1539"/>
      <c r="BG3242" s="1539"/>
      <c r="BH3242" s="1539"/>
      <c r="BI3242" s="1539"/>
      <c r="BJ3242" s="1539"/>
      <c r="BK3242" s="1539"/>
      <c r="BL3242" s="1539"/>
      <c r="BM3242" s="1539"/>
      <c r="BN3242" s="1539"/>
      <c r="BO3242" s="1539"/>
      <c r="BP3242" s="1539"/>
      <c r="BQ3242" s="1539"/>
      <c r="BR3242" s="1539"/>
      <c r="BS3242" s="1539"/>
      <c r="BT3242" s="1539"/>
      <c r="BU3242" s="1539"/>
      <c r="BV3242" s="1539"/>
      <c r="BW3242" s="1539"/>
      <c r="BX3242" s="1539"/>
      <c r="BY3242" s="1539"/>
      <c r="BZ3242" s="1539"/>
      <c r="CA3242" s="1539"/>
      <c r="CB3242" s="1539"/>
      <c r="CC3242" s="1539"/>
      <c r="CD3242" s="1539"/>
      <c r="CE3242" s="1539"/>
      <c r="CF3242" s="1539"/>
      <c r="CG3242" s="1539"/>
      <c r="CH3242" s="1539"/>
      <c r="CI3242" s="1539"/>
      <c r="CJ3242" s="1539"/>
      <c r="CK3242" s="1539"/>
      <c r="CL3242" s="1539"/>
      <c r="CM3242" s="1539"/>
      <c r="CN3242" s="1539"/>
      <c r="CO3242" s="1539"/>
    </row>
    <row r="3243" spans="1:93" s="1555" customFormat="1" ht="15.5">
      <c r="A3243" s="1598">
        <v>76.17</v>
      </c>
      <c r="B3243" s="1599" t="s">
        <v>3536</v>
      </c>
      <c r="C3243" s="1643" t="e">
        <f>+SUMIF(#REF!,Final!A3243,#REF!)</f>
        <v>#REF!</v>
      </c>
      <c r="D3243" s="1597" t="e">
        <f>+SUMIF(#REF!,Final!A3243,#REF!)</f>
        <v>#REF!</v>
      </c>
      <c r="E3243" s="1643" t="e">
        <f>SUMIF(#REF!,Final!A3243,#REF!)</f>
        <v>#REF!</v>
      </c>
      <c r="F3243" s="1644" t="e">
        <f>SUMIF(#REF!,Final!A3243,#REF!)</f>
        <v>#REF!</v>
      </c>
      <c r="G3243" s="1597" t="e">
        <f t="shared" si="364"/>
        <v>#REF!</v>
      </c>
      <c r="H3243" s="1644" t="e">
        <f t="shared" si="365"/>
        <v>#REF!</v>
      </c>
      <c r="I3243" s="1597" t="e">
        <f t="shared" si="366"/>
        <v>#REF!</v>
      </c>
      <c r="J3243" s="1644" t="e">
        <f t="shared" si="367"/>
        <v>#REF!</v>
      </c>
      <c r="K3243" s="1539"/>
      <c r="L3243" s="1539"/>
      <c r="M3243" s="1545"/>
      <c r="N3243" s="1545"/>
      <c r="O3243" s="1539"/>
      <c r="P3243" s="1539"/>
      <c r="Q3243" s="1539"/>
      <c r="R3243" s="1539"/>
      <c r="S3243" s="1539"/>
      <c r="T3243" s="1539"/>
      <c r="U3243" s="1539"/>
      <c r="V3243" s="1539"/>
      <c r="W3243" s="1539"/>
      <c r="X3243" s="1539"/>
      <c r="Y3243" s="1539"/>
      <c r="Z3243" s="1539"/>
      <c r="AA3243" s="1539"/>
      <c r="AB3243" s="1539"/>
      <c r="AC3243" s="1539"/>
      <c r="AD3243" s="1539"/>
      <c r="AE3243" s="1539"/>
      <c r="AF3243" s="1539"/>
      <c r="AG3243" s="1539"/>
      <c r="AH3243" s="1539"/>
      <c r="AI3243" s="1539"/>
      <c r="AJ3243" s="1539"/>
      <c r="AK3243" s="1539"/>
      <c r="AL3243" s="1539"/>
      <c r="AM3243" s="1539"/>
      <c r="AN3243" s="1539"/>
      <c r="AO3243" s="1539"/>
      <c r="AP3243" s="1539"/>
      <c r="AQ3243" s="1539"/>
      <c r="AR3243" s="1539"/>
      <c r="AS3243" s="1539"/>
      <c r="AT3243" s="1539"/>
      <c r="AU3243" s="1539"/>
      <c r="AV3243" s="1539"/>
      <c r="AW3243" s="1539"/>
      <c r="AX3243" s="1539"/>
      <c r="AY3243" s="1539"/>
      <c r="AZ3243" s="1539"/>
      <c r="BA3243" s="1539"/>
      <c r="BB3243" s="1539"/>
      <c r="BC3243" s="1539"/>
      <c r="BD3243" s="1539"/>
      <c r="BE3243" s="1539"/>
      <c r="BF3243" s="1539"/>
      <c r="BG3243" s="1539"/>
      <c r="BH3243" s="1539"/>
      <c r="BI3243" s="1539"/>
      <c r="BJ3243" s="1539"/>
      <c r="BK3243" s="1539"/>
      <c r="BL3243" s="1539"/>
      <c r="BM3243" s="1539"/>
      <c r="BN3243" s="1539"/>
      <c r="BO3243" s="1539"/>
      <c r="BP3243" s="1539"/>
      <c r="BQ3243" s="1539"/>
      <c r="BR3243" s="1539"/>
      <c r="BS3243" s="1539"/>
      <c r="BT3243" s="1539"/>
      <c r="BU3243" s="1539"/>
      <c r="BV3243" s="1539"/>
      <c r="BW3243" s="1539"/>
      <c r="BX3243" s="1539"/>
      <c r="BY3243" s="1539"/>
      <c r="BZ3243" s="1539"/>
      <c r="CA3243" s="1539"/>
      <c r="CB3243" s="1539"/>
      <c r="CC3243" s="1539"/>
      <c r="CD3243" s="1539"/>
      <c r="CE3243" s="1539"/>
      <c r="CF3243" s="1539"/>
      <c r="CG3243" s="1539"/>
      <c r="CH3243" s="1539"/>
      <c r="CI3243" s="1539"/>
      <c r="CJ3243" s="1539"/>
      <c r="CK3243" s="1539"/>
      <c r="CL3243" s="1539"/>
      <c r="CM3243" s="1539"/>
      <c r="CN3243" s="1539"/>
      <c r="CO3243" s="1539"/>
    </row>
    <row r="3244" spans="1:93" s="1552" customFormat="1" ht="15.5">
      <c r="A3244" s="1598"/>
      <c r="B3244" s="1599" t="s">
        <v>1747</v>
      </c>
      <c r="C3244" s="1643" t="e">
        <f>+SUMIF(#REF!,Final!A3244,#REF!)</f>
        <v>#REF!</v>
      </c>
      <c r="D3244" s="1597" t="e">
        <f>+SUMIF(#REF!,Final!A3244,#REF!)</f>
        <v>#REF!</v>
      </c>
      <c r="E3244" s="1643" t="e">
        <f>SUMIF(#REF!,Final!A3244,#REF!)</f>
        <v>#REF!</v>
      </c>
      <c r="F3244" s="1644" t="e">
        <f>SUMIF(#REF!,Final!A3244,#REF!)</f>
        <v>#REF!</v>
      </c>
      <c r="G3244" s="1597" t="e">
        <f t="shared" si="364"/>
        <v>#REF!</v>
      </c>
      <c r="H3244" s="1644" t="e">
        <f t="shared" si="365"/>
        <v>#REF!</v>
      </c>
      <c r="I3244" s="1597" t="e">
        <f t="shared" si="366"/>
        <v>#REF!</v>
      </c>
      <c r="J3244" s="1644" t="e">
        <f t="shared" si="367"/>
        <v>#REF!</v>
      </c>
      <c r="K3244" s="1539"/>
      <c r="L3244" s="1539"/>
      <c r="M3244" s="1545"/>
      <c r="N3244" s="1545"/>
      <c r="O3244" s="1539"/>
      <c r="P3244" s="1539"/>
      <c r="Q3244" s="1539"/>
      <c r="R3244" s="1539"/>
      <c r="S3244" s="1539"/>
      <c r="T3244" s="1539"/>
      <c r="U3244" s="1539"/>
      <c r="V3244" s="1539"/>
      <c r="W3244" s="1539"/>
      <c r="X3244" s="1539"/>
      <c r="Y3244" s="1539"/>
      <c r="Z3244" s="1539"/>
      <c r="AA3244" s="1539"/>
      <c r="AB3244" s="1539"/>
      <c r="AC3244" s="1539"/>
      <c r="AD3244" s="1539"/>
      <c r="AE3244" s="1539"/>
      <c r="AF3244" s="1539"/>
      <c r="AG3244" s="1539"/>
      <c r="AH3244" s="1539"/>
      <c r="AI3244" s="1539"/>
      <c r="AJ3244" s="1539"/>
      <c r="AK3244" s="1539"/>
      <c r="AL3244" s="1539"/>
      <c r="AM3244" s="1539"/>
      <c r="AN3244" s="1539"/>
      <c r="AO3244" s="1539"/>
      <c r="AP3244" s="1539"/>
      <c r="AQ3244" s="1539"/>
      <c r="AR3244" s="1539"/>
      <c r="AS3244" s="1539"/>
      <c r="AT3244" s="1539"/>
      <c r="AU3244" s="1539"/>
      <c r="AV3244" s="1539"/>
      <c r="AW3244" s="1539"/>
      <c r="AX3244" s="1539"/>
      <c r="AY3244" s="1539"/>
      <c r="AZ3244" s="1539"/>
      <c r="BA3244" s="1539"/>
      <c r="BB3244" s="1539"/>
      <c r="BC3244" s="1539"/>
      <c r="BD3244" s="1539"/>
      <c r="BE3244" s="1539"/>
      <c r="BF3244" s="1539"/>
      <c r="BG3244" s="1539"/>
      <c r="BH3244" s="1539"/>
      <c r="BI3244" s="1539"/>
      <c r="BJ3244" s="1539"/>
      <c r="BK3244" s="1539"/>
      <c r="BL3244" s="1539"/>
      <c r="BM3244" s="1539"/>
      <c r="BN3244" s="1539"/>
      <c r="BO3244" s="1539"/>
      <c r="BP3244" s="1539"/>
      <c r="BQ3244" s="1539"/>
      <c r="BR3244" s="1539"/>
      <c r="BS3244" s="1539"/>
      <c r="BT3244" s="1539"/>
      <c r="BU3244" s="1539"/>
      <c r="BV3244" s="1539"/>
      <c r="BW3244" s="1539"/>
      <c r="BX3244" s="1539"/>
      <c r="BY3244" s="1539"/>
      <c r="BZ3244" s="1539"/>
      <c r="CA3244" s="1539"/>
      <c r="CB3244" s="1539"/>
      <c r="CC3244" s="1539"/>
      <c r="CD3244" s="1539"/>
      <c r="CE3244" s="1539"/>
      <c r="CF3244" s="1539"/>
      <c r="CG3244" s="1539"/>
      <c r="CH3244" s="1539"/>
      <c r="CI3244" s="1539"/>
      <c r="CJ3244" s="1539"/>
      <c r="CK3244" s="1539"/>
      <c r="CL3244" s="1539"/>
      <c r="CM3244" s="1539"/>
      <c r="CN3244" s="1539"/>
      <c r="CO3244" s="1539"/>
    </row>
    <row r="3245" spans="1:93" s="1552" customFormat="1" ht="15.5">
      <c r="A3245" s="1598"/>
      <c r="B3245" s="1599" t="s">
        <v>1760</v>
      </c>
      <c r="C3245" s="1643" t="e">
        <f>+SUMIF(#REF!,Final!A3245,#REF!)</f>
        <v>#REF!</v>
      </c>
      <c r="D3245" s="1597" t="e">
        <f>+SUMIF(#REF!,Final!A3245,#REF!)</f>
        <v>#REF!</v>
      </c>
      <c r="E3245" s="1643" t="e">
        <f>SUMIF(#REF!,Final!A3245,#REF!)</f>
        <v>#REF!</v>
      </c>
      <c r="F3245" s="1644" t="e">
        <f>SUMIF(#REF!,Final!A3245,#REF!)</f>
        <v>#REF!</v>
      </c>
      <c r="G3245" s="1597" t="e">
        <f t="shared" si="364"/>
        <v>#REF!</v>
      </c>
      <c r="H3245" s="1644" t="e">
        <f t="shared" si="365"/>
        <v>#REF!</v>
      </c>
      <c r="I3245" s="1597" t="e">
        <f t="shared" si="366"/>
        <v>#REF!</v>
      </c>
      <c r="J3245" s="1644" t="e">
        <f t="shared" si="367"/>
        <v>#REF!</v>
      </c>
      <c r="K3245" s="1539"/>
      <c r="L3245" s="1539"/>
      <c r="M3245" s="1545"/>
      <c r="N3245" s="1545"/>
      <c r="O3245" s="1539"/>
      <c r="P3245" s="1539"/>
      <c r="Q3245" s="1539"/>
      <c r="R3245" s="1539"/>
      <c r="S3245" s="1539"/>
      <c r="T3245" s="1539"/>
      <c r="U3245" s="1539"/>
      <c r="V3245" s="1539"/>
      <c r="W3245" s="1539"/>
      <c r="X3245" s="1539"/>
      <c r="Y3245" s="1539"/>
      <c r="Z3245" s="1539"/>
      <c r="AA3245" s="1539"/>
      <c r="AB3245" s="1539"/>
      <c r="AC3245" s="1539"/>
      <c r="AD3245" s="1539"/>
      <c r="AE3245" s="1539"/>
      <c r="AF3245" s="1539"/>
      <c r="AG3245" s="1539"/>
      <c r="AH3245" s="1539"/>
      <c r="AI3245" s="1539"/>
      <c r="AJ3245" s="1539"/>
      <c r="AK3245" s="1539"/>
      <c r="AL3245" s="1539"/>
      <c r="AM3245" s="1539"/>
      <c r="AN3245" s="1539"/>
      <c r="AO3245" s="1539"/>
      <c r="AP3245" s="1539"/>
      <c r="AQ3245" s="1539"/>
      <c r="AR3245" s="1539"/>
      <c r="AS3245" s="1539"/>
      <c r="AT3245" s="1539"/>
      <c r="AU3245" s="1539"/>
      <c r="AV3245" s="1539"/>
      <c r="AW3245" s="1539"/>
      <c r="AX3245" s="1539"/>
      <c r="AY3245" s="1539"/>
      <c r="AZ3245" s="1539"/>
      <c r="BA3245" s="1539"/>
      <c r="BB3245" s="1539"/>
      <c r="BC3245" s="1539"/>
      <c r="BD3245" s="1539"/>
      <c r="BE3245" s="1539"/>
      <c r="BF3245" s="1539"/>
      <c r="BG3245" s="1539"/>
      <c r="BH3245" s="1539"/>
      <c r="BI3245" s="1539"/>
      <c r="BJ3245" s="1539"/>
      <c r="BK3245" s="1539"/>
      <c r="BL3245" s="1539"/>
      <c r="BM3245" s="1539"/>
      <c r="BN3245" s="1539"/>
      <c r="BO3245" s="1539"/>
      <c r="BP3245" s="1539"/>
      <c r="BQ3245" s="1539"/>
      <c r="BR3245" s="1539"/>
      <c r="BS3245" s="1539"/>
      <c r="BT3245" s="1539"/>
      <c r="BU3245" s="1539"/>
      <c r="BV3245" s="1539"/>
      <c r="BW3245" s="1539"/>
      <c r="BX3245" s="1539"/>
      <c r="BY3245" s="1539"/>
      <c r="BZ3245" s="1539"/>
      <c r="CA3245" s="1539"/>
      <c r="CB3245" s="1539"/>
      <c r="CC3245" s="1539"/>
      <c r="CD3245" s="1539"/>
      <c r="CE3245" s="1539"/>
      <c r="CF3245" s="1539"/>
      <c r="CG3245" s="1539"/>
      <c r="CH3245" s="1539"/>
      <c r="CI3245" s="1539"/>
      <c r="CJ3245" s="1539"/>
      <c r="CK3245" s="1539"/>
      <c r="CL3245" s="1539"/>
      <c r="CM3245" s="1539"/>
      <c r="CN3245" s="1539"/>
      <c r="CO3245" s="1539"/>
    </row>
    <row r="3246" spans="1:93" s="1542" customFormat="1" ht="15.5">
      <c r="A3246" s="1598">
        <v>32</v>
      </c>
      <c r="B3246" s="1599" t="s">
        <v>3188</v>
      </c>
      <c r="C3246" s="1643" t="e">
        <f>+SUMIF(#REF!,Final!A3246,#REF!)</f>
        <v>#REF!</v>
      </c>
      <c r="D3246" s="1597" t="e">
        <f>+SUMIF(#REF!,Final!A3246,#REF!)</f>
        <v>#REF!</v>
      </c>
      <c r="E3246" s="1643" t="e">
        <f>SUMIF(#REF!,Final!A3246,#REF!)</f>
        <v>#REF!</v>
      </c>
      <c r="F3246" s="1644" t="e">
        <f>SUMIF(#REF!,Final!A3246,#REF!)</f>
        <v>#REF!</v>
      </c>
      <c r="G3246" s="1597" t="e">
        <f t="shared" si="364"/>
        <v>#REF!</v>
      </c>
      <c r="H3246" s="1644" t="e">
        <f t="shared" si="365"/>
        <v>#REF!</v>
      </c>
      <c r="I3246" s="1597" t="e">
        <f t="shared" si="366"/>
        <v>#REF!</v>
      </c>
      <c r="J3246" s="1644" t="e">
        <f t="shared" si="367"/>
        <v>#REF!</v>
      </c>
      <c r="K3246" s="1539"/>
      <c r="L3246" s="1539"/>
      <c r="M3246" s="1545"/>
      <c r="N3246" s="1545"/>
      <c r="O3246" s="1539"/>
      <c r="P3246" s="1539"/>
      <c r="Q3246" s="1539"/>
      <c r="R3246" s="1539"/>
      <c r="S3246" s="1539"/>
      <c r="T3246" s="1539"/>
      <c r="U3246" s="1539"/>
      <c r="V3246" s="1539"/>
      <c r="W3246" s="1539"/>
      <c r="X3246" s="1539"/>
      <c r="Y3246" s="1539"/>
      <c r="Z3246" s="1539"/>
      <c r="AA3246" s="1539"/>
      <c r="AB3246" s="1539"/>
      <c r="AC3246" s="1539"/>
      <c r="AD3246" s="1539"/>
      <c r="AE3246" s="1539"/>
      <c r="AF3246" s="1539"/>
      <c r="AG3246" s="1539"/>
      <c r="AH3246" s="1539"/>
      <c r="AI3246" s="1539"/>
      <c r="AJ3246" s="1539"/>
      <c r="AK3246" s="1539"/>
      <c r="AL3246" s="1539"/>
      <c r="AM3246" s="1539"/>
      <c r="AN3246" s="1539"/>
      <c r="AO3246" s="1539"/>
      <c r="AP3246" s="1539"/>
      <c r="AQ3246" s="1539"/>
      <c r="AR3246" s="1539"/>
      <c r="AS3246" s="1539"/>
      <c r="AT3246" s="1539"/>
      <c r="AU3246" s="1539"/>
      <c r="AV3246" s="1539"/>
      <c r="AW3246" s="1539"/>
      <c r="AX3246" s="1539"/>
      <c r="AY3246" s="1539"/>
      <c r="AZ3246" s="1539"/>
      <c r="BA3246" s="1539"/>
      <c r="BB3246" s="1539"/>
      <c r="BC3246" s="1539"/>
      <c r="BD3246" s="1539"/>
      <c r="BE3246" s="1539"/>
      <c r="BF3246" s="1539"/>
      <c r="BG3246" s="1539"/>
      <c r="BH3246" s="1539"/>
      <c r="BI3246" s="1539"/>
      <c r="BJ3246" s="1539"/>
      <c r="BK3246" s="1539"/>
      <c r="BL3246" s="1539"/>
      <c r="BM3246" s="1539"/>
      <c r="BN3246" s="1539"/>
      <c r="BO3246" s="1539"/>
      <c r="BP3246" s="1539"/>
      <c r="BQ3246" s="1539"/>
      <c r="BR3246" s="1539"/>
      <c r="BS3246" s="1539"/>
      <c r="BT3246" s="1539"/>
      <c r="BU3246" s="1539"/>
      <c r="BV3246" s="1539"/>
      <c r="BW3246" s="1539"/>
      <c r="BX3246" s="1539"/>
      <c r="BY3246" s="1539"/>
      <c r="BZ3246" s="1539"/>
      <c r="CA3246" s="1539"/>
      <c r="CB3246" s="1539"/>
      <c r="CC3246" s="1539"/>
      <c r="CD3246" s="1539"/>
      <c r="CE3246" s="1539"/>
      <c r="CF3246" s="1539"/>
      <c r="CG3246" s="1539"/>
      <c r="CH3246" s="1539"/>
      <c r="CI3246" s="1539"/>
      <c r="CJ3246" s="1539"/>
      <c r="CK3246" s="1539"/>
      <c r="CL3246" s="1539"/>
      <c r="CM3246" s="1539"/>
      <c r="CN3246" s="1539"/>
      <c r="CO3246" s="1539"/>
    </row>
    <row r="3247" spans="1:93" ht="15.5">
      <c r="A3247" s="1598">
        <v>76.171000000000006</v>
      </c>
      <c r="B3247" s="1599" t="s">
        <v>3192</v>
      </c>
      <c r="C3247" s="1643" t="e">
        <f>+SUMIF(#REF!,Final!A3247,#REF!)</f>
        <v>#REF!</v>
      </c>
      <c r="D3247" s="1597" t="e">
        <f>+SUMIF(#REF!,Final!A3247,#REF!)</f>
        <v>#REF!</v>
      </c>
      <c r="E3247" s="1643" t="e">
        <f>SUMIF(#REF!,Final!A3247,#REF!)</f>
        <v>#REF!</v>
      </c>
      <c r="F3247" s="1644" t="e">
        <f>SUMIF(#REF!,Final!A3247,#REF!)</f>
        <v>#REF!</v>
      </c>
      <c r="G3247" s="1597" t="e">
        <f t="shared" si="364"/>
        <v>#REF!</v>
      </c>
      <c r="H3247" s="1644" t="e">
        <f t="shared" si="365"/>
        <v>#REF!</v>
      </c>
      <c r="I3247" s="1597" t="e">
        <f t="shared" si="366"/>
        <v>#REF!</v>
      </c>
      <c r="J3247" s="1644" t="e">
        <f t="shared" si="367"/>
        <v>#REF!</v>
      </c>
      <c r="M3247" s="1545"/>
      <c r="N3247" s="1545"/>
    </row>
    <row r="3248" spans="1:93" s="1552" customFormat="1" ht="15.5">
      <c r="A3248" s="1598"/>
      <c r="B3248" s="1599" t="s">
        <v>1747</v>
      </c>
      <c r="C3248" s="1643" t="e">
        <f>+SUMIF(#REF!,Final!A3248,#REF!)</f>
        <v>#REF!</v>
      </c>
      <c r="D3248" s="1597" t="e">
        <f>+SUMIF(#REF!,Final!A3248,#REF!)</f>
        <v>#REF!</v>
      </c>
      <c r="E3248" s="1643" t="e">
        <f>SUMIF(#REF!,Final!A3248,#REF!)</f>
        <v>#REF!</v>
      </c>
      <c r="F3248" s="1644" t="e">
        <f>SUMIF(#REF!,Final!A3248,#REF!)</f>
        <v>#REF!</v>
      </c>
      <c r="G3248" s="1597" t="e">
        <f t="shared" si="364"/>
        <v>#REF!</v>
      </c>
      <c r="H3248" s="1644" t="e">
        <f t="shared" si="365"/>
        <v>#REF!</v>
      </c>
      <c r="I3248" s="1597" t="e">
        <f t="shared" si="366"/>
        <v>#REF!</v>
      </c>
      <c r="J3248" s="1644" t="e">
        <f t="shared" si="367"/>
        <v>#REF!</v>
      </c>
      <c r="K3248" s="1539"/>
      <c r="L3248" s="1539"/>
      <c r="M3248" s="1545"/>
      <c r="N3248" s="1545"/>
      <c r="O3248" s="1539"/>
      <c r="P3248" s="1539"/>
      <c r="Q3248" s="1539"/>
      <c r="R3248" s="1539"/>
      <c r="S3248" s="1539"/>
      <c r="T3248" s="1539"/>
      <c r="U3248" s="1539"/>
      <c r="V3248" s="1539"/>
      <c r="W3248" s="1539"/>
      <c r="X3248" s="1539"/>
      <c r="Y3248" s="1539"/>
      <c r="Z3248" s="1539"/>
      <c r="AA3248" s="1539"/>
      <c r="AB3248" s="1539"/>
      <c r="AC3248" s="1539"/>
      <c r="AD3248" s="1539"/>
      <c r="AE3248" s="1539"/>
      <c r="AF3248" s="1539"/>
      <c r="AG3248" s="1539"/>
      <c r="AH3248" s="1539"/>
      <c r="AI3248" s="1539"/>
      <c r="AJ3248" s="1539"/>
      <c r="AK3248" s="1539"/>
      <c r="AL3248" s="1539"/>
      <c r="AM3248" s="1539"/>
      <c r="AN3248" s="1539"/>
      <c r="AO3248" s="1539"/>
      <c r="AP3248" s="1539"/>
      <c r="AQ3248" s="1539"/>
      <c r="AR3248" s="1539"/>
      <c r="AS3248" s="1539"/>
      <c r="AT3248" s="1539"/>
      <c r="AU3248" s="1539"/>
      <c r="AV3248" s="1539"/>
      <c r="AW3248" s="1539"/>
      <c r="AX3248" s="1539"/>
      <c r="AY3248" s="1539"/>
      <c r="AZ3248" s="1539"/>
      <c r="BA3248" s="1539"/>
      <c r="BB3248" s="1539"/>
      <c r="BC3248" s="1539"/>
      <c r="BD3248" s="1539"/>
      <c r="BE3248" s="1539"/>
      <c r="BF3248" s="1539"/>
      <c r="BG3248" s="1539"/>
      <c r="BH3248" s="1539"/>
      <c r="BI3248" s="1539"/>
      <c r="BJ3248" s="1539"/>
      <c r="BK3248" s="1539"/>
      <c r="BL3248" s="1539"/>
      <c r="BM3248" s="1539"/>
      <c r="BN3248" s="1539"/>
      <c r="BO3248" s="1539"/>
      <c r="BP3248" s="1539"/>
      <c r="BQ3248" s="1539"/>
      <c r="BR3248" s="1539"/>
      <c r="BS3248" s="1539"/>
      <c r="BT3248" s="1539"/>
      <c r="BU3248" s="1539"/>
      <c r="BV3248" s="1539"/>
      <c r="BW3248" s="1539"/>
      <c r="BX3248" s="1539"/>
      <c r="BY3248" s="1539"/>
      <c r="BZ3248" s="1539"/>
      <c r="CA3248" s="1539"/>
      <c r="CB3248" s="1539"/>
      <c r="CC3248" s="1539"/>
      <c r="CD3248" s="1539"/>
      <c r="CE3248" s="1539"/>
      <c r="CF3248" s="1539"/>
      <c r="CG3248" s="1539"/>
      <c r="CH3248" s="1539"/>
      <c r="CI3248" s="1539"/>
      <c r="CJ3248" s="1539"/>
      <c r="CK3248" s="1539"/>
      <c r="CL3248" s="1539"/>
      <c r="CM3248" s="1539"/>
      <c r="CN3248" s="1539"/>
      <c r="CO3248" s="1539"/>
    </row>
    <row r="3249" spans="1:93" s="1552" customFormat="1" ht="15.5">
      <c r="A3249" s="1598"/>
      <c r="B3249" s="1599" t="s">
        <v>1760</v>
      </c>
      <c r="C3249" s="1643" t="e">
        <f>+SUMIF(#REF!,Final!A3249,#REF!)</f>
        <v>#REF!</v>
      </c>
      <c r="D3249" s="1597" t="e">
        <f>+SUMIF(#REF!,Final!A3249,#REF!)</f>
        <v>#REF!</v>
      </c>
      <c r="E3249" s="1643" t="e">
        <f>SUMIF(#REF!,Final!A3249,#REF!)</f>
        <v>#REF!</v>
      </c>
      <c r="F3249" s="1644" t="e">
        <f>SUMIF(#REF!,Final!A3249,#REF!)</f>
        <v>#REF!</v>
      </c>
      <c r="G3249" s="1597" t="e">
        <f t="shared" si="364"/>
        <v>#REF!</v>
      </c>
      <c r="H3249" s="1644" t="e">
        <f t="shared" si="365"/>
        <v>#REF!</v>
      </c>
      <c r="I3249" s="1597" t="e">
        <f t="shared" si="366"/>
        <v>#REF!</v>
      </c>
      <c r="J3249" s="1644" t="e">
        <f t="shared" si="367"/>
        <v>#REF!</v>
      </c>
      <c r="K3249" s="1539"/>
      <c r="L3249" s="1539"/>
      <c r="M3249" s="1545"/>
      <c r="N3249" s="1545"/>
      <c r="O3249" s="1539"/>
      <c r="P3249" s="1539"/>
      <c r="Q3249" s="1539"/>
      <c r="R3249" s="1539"/>
      <c r="S3249" s="1539"/>
      <c r="T3249" s="1539"/>
      <c r="U3249" s="1539"/>
      <c r="V3249" s="1539"/>
      <c r="W3249" s="1539"/>
      <c r="X3249" s="1539"/>
      <c r="Y3249" s="1539"/>
      <c r="Z3249" s="1539"/>
      <c r="AA3249" s="1539"/>
      <c r="AB3249" s="1539"/>
      <c r="AC3249" s="1539"/>
      <c r="AD3249" s="1539"/>
      <c r="AE3249" s="1539"/>
      <c r="AF3249" s="1539"/>
      <c r="AG3249" s="1539"/>
      <c r="AH3249" s="1539"/>
      <c r="AI3249" s="1539"/>
      <c r="AJ3249" s="1539"/>
      <c r="AK3249" s="1539"/>
      <c r="AL3249" s="1539"/>
      <c r="AM3249" s="1539"/>
      <c r="AN3249" s="1539"/>
      <c r="AO3249" s="1539"/>
      <c r="AP3249" s="1539"/>
      <c r="AQ3249" s="1539"/>
      <c r="AR3249" s="1539"/>
      <c r="AS3249" s="1539"/>
      <c r="AT3249" s="1539"/>
      <c r="AU3249" s="1539"/>
      <c r="AV3249" s="1539"/>
      <c r="AW3249" s="1539"/>
      <c r="AX3249" s="1539"/>
      <c r="AY3249" s="1539"/>
      <c r="AZ3249" s="1539"/>
      <c r="BA3249" s="1539"/>
      <c r="BB3249" s="1539"/>
      <c r="BC3249" s="1539"/>
      <c r="BD3249" s="1539"/>
      <c r="BE3249" s="1539"/>
      <c r="BF3249" s="1539"/>
      <c r="BG3249" s="1539"/>
      <c r="BH3249" s="1539"/>
      <c r="BI3249" s="1539"/>
      <c r="BJ3249" s="1539"/>
      <c r="BK3249" s="1539"/>
      <c r="BL3249" s="1539"/>
      <c r="BM3249" s="1539"/>
      <c r="BN3249" s="1539"/>
      <c r="BO3249" s="1539"/>
      <c r="BP3249" s="1539"/>
      <c r="BQ3249" s="1539"/>
      <c r="BR3249" s="1539"/>
      <c r="BS3249" s="1539"/>
      <c r="BT3249" s="1539"/>
      <c r="BU3249" s="1539"/>
      <c r="BV3249" s="1539"/>
      <c r="BW3249" s="1539"/>
      <c r="BX3249" s="1539"/>
      <c r="BY3249" s="1539"/>
      <c r="BZ3249" s="1539"/>
      <c r="CA3249" s="1539"/>
      <c r="CB3249" s="1539"/>
      <c r="CC3249" s="1539"/>
      <c r="CD3249" s="1539"/>
      <c r="CE3249" s="1539"/>
      <c r="CF3249" s="1539"/>
      <c r="CG3249" s="1539"/>
      <c r="CH3249" s="1539"/>
      <c r="CI3249" s="1539"/>
      <c r="CJ3249" s="1539"/>
      <c r="CK3249" s="1539"/>
      <c r="CL3249" s="1539"/>
      <c r="CM3249" s="1539"/>
      <c r="CN3249" s="1539"/>
      <c r="CO3249" s="1539"/>
    </row>
    <row r="3250" spans="1:93" s="1542" customFormat="1" ht="15.5">
      <c r="A3250" s="1598">
        <v>35</v>
      </c>
      <c r="B3250" s="1599" t="s">
        <v>3207</v>
      </c>
      <c r="C3250" s="1643" t="e">
        <f>+SUMIF(#REF!,Final!A3250,#REF!)</f>
        <v>#REF!</v>
      </c>
      <c r="D3250" s="1597" t="e">
        <f>+SUMIF(#REF!,Final!A3250,#REF!)</f>
        <v>#REF!</v>
      </c>
      <c r="E3250" s="1643" t="e">
        <f>SUMIF(#REF!,Final!A3250,#REF!)</f>
        <v>#REF!</v>
      </c>
      <c r="F3250" s="1644" t="e">
        <f>SUMIF(#REF!,Final!A3250,#REF!)</f>
        <v>#REF!</v>
      </c>
      <c r="G3250" s="1597" t="e">
        <f t="shared" si="364"/>
        <v>#REF!</v>
      </c>
      <c r="H3250" s="1644" t="e">
        <f t="shared" si="365"/>
        <v>#REF!</v>
      </c>
      <c r="I3250" s="1597" t="e">
        <f t="shared" si="366"/>
        <v>#REF!</v>
      </c>
      <c r="J3250" s="1644" t="e">
        <f t="shared" si="367"/>
        <v>#REF!</v>
      </c>
      <c r="K3250" s="1539"/>
      <c r="L3250" s="1539"/>
      <c r="M3250" s="1545"/>
      <c r="N3250" s="1545"/>
      <c r="O3250" s="1539"/>
      <c r="P3250" s="1539"/>
      <c r="Q3250" s="1539"/>
      <c r="R3250" s="1539"/>
      <c r="S3250" s="1539"/>
      <c r="T3250" s="1539"/>
      <c r="U3250" s="1539"/>
      <c r="V3250" s="1539"/>
      <c r="W3250" s="1539"/>
      <c r="X3250" s="1539"/>
      <c r="Y3250" s="1539"/>
      <c r="Z3250" s="1539"/>
      <c r="AA3250" s="1539"/>
      <c r="AB3250" s="1539"/>
      <c r="AC3250" s="1539"/>
      <c r="AD3250" s="1539"/>
      <c r="AE3250" s="1539"/>
      <c r="AF3250" s="1539"/>
      <c r="AG3250" s="1539"/>
      <c r="AH3250" s="1539"/>
      <c r="AI3250" s="1539"/>
      <c r="AJ3250" s="1539"/>
      <c r="AK3250" s="1539"/>
      <c r="AL3250" s="1539"/>
      <c r="AM3250" s="1539"/>
      <c r="AN3250" s="1539"/>
      <c r="AO3250" s="1539"/>
      <c r="AP3250" s="1539"/>
      <c r="AQ3250" s="1539"/>
      <c r="AR3250" s="1539"/>
      <c r="AS3250" s="1539"/>
      <c r="AT3250" s="1539"/>
      <c r="AU3250" s="1539"/>
      <c r="AV3250" s="1539"/>
      <c r="AW3250" s="1539"/>
      <c r="AX3250" s="1539"/>
      <c r="AY3250" s="1539"/>
      <c r="AZ3250" s="1539"/>
      <c r="BA3250" s="1539"/>
      <c r="BB3250" s="1539"/>
      <c r="BC3250" s="1539"/>
      <c r="BD3250" s="1539"/>
      <c r="BE3250" s="1539"/>
      <c r="BF3250" s="1539"/>
      <c r="BG3250" s="1539"/>
      <c r="BH3250" s="1539"/>
      <c r="BI3250" s="1539"/>
      <c r="BJ3250" s="1539"/>
      <c r="BK3250" s="1539"/>
      <c r="BL3250" s="1539"/>
      <c r="BM3250" s="1539"/>
      <c r="BN3250" s="1539"/>
      <c r="BO3250" s="1539"/>
      <c r="BP3250" s="1539"/>
      <c r="BQ3250" s="1539"/>
      <c r="BR3250" s="1539"/>
      <c r="BS3250" s="1539"/>
      <c r="BT3250" s="1539"/>
      <c r="BU3250" s="1539"/>
      <c r="BV3250" s="1539"/>
      <c r="BW3250" s="1539"/>
      <c r="BX3250" s="1539"/>
      <c r="BY3250" s="1539"/>
      <c r="BZ3250" s="1539"/>
      <c r="CA3250" s="1539"/>
      <c r="CB3250" s="1539"/>
      <c r="CC3250" s="1539"/>
      <c r="CD3250" s="1539"/>
      <c r="CE3250" s="1539"/>
      <c r="CF3250" s="1539"/>
      <c r="CG3250" s="1539"/>
      <c r="CH3250" s="1539"/>
      <c r="CI3250" s="1539"/>
      <c r="CJ3250" s="1539"/>
      <c r="CK3250" s="1539"/>
      <c r="CL3250" s="1539"/>
      <c r="CM3250" s="1539"/>
      <c r="CN3250" s="1539"/>
      <c r="CO3250" s="1539"/>
    </row>
    <row r="3251" spans="1:93" s="1542" customFormat="1" ht="15.5">
      <c r="A3251" s="1598" t="s">
        <v>1815</v>
      </c>
      <c r="B3251" s="1599" t="s">
        <v>3221</v>
      </c>
      <c r="C3251" s="1643" t="e">
        <f>+SUMIF(#REF!,Final!A3251,#REF!)</f>
        <v>#REF!</v>
      </c>
      <c r="D3251" s="1597" t="e">
        <f>+SUMIF(#REF!,Final!A3251,#REF!)</f>
        <v>#REF!</v>
      </c>
      <c r="E3251" s="1643" t="e">
        <f>SUMIF(#REF!,Final!A3251,#REF!)</f>
        <v>#REF!</v>
      </c>
      <c r="F3251" s="1644" t="e">
        <f>SUMIF(#REF!,Final!A3251,#REF!)</f>
        <v>#REF!</v>
      </c>
      <c r="G3251" s="1597" t="e">
        <f t="shared" si="364"/>
        <v>#REF!</v>
      </c>
      <c r="H3251" s="1644" t="e">
        <f t="shared" si="365"/>
        <v>#REF!</v>
      </c>
      <c r="I3251" s="1597" t="e">
        <f t="shared" si="366"/>
        <v>#REF!</v>
      </c>
      <c r="J3251" s="1644" t="e">
        <f t="shared" si="367"/>
        <v>#REF!</v>
      </c>
      <c r="K3251" s="1539"/>
      <c r="L3251" s="1539"/>
      <c r="M3251" s="1545"/>
      <c r="N3251" s="1545"/>
      <c r="O3251" s="1539"/>
      <c r="P3251" s="1539"/>
      <c r="Q3251" s="1539"/>
      <c r="R3251" s="1539"/>
      <c r="S3251" s="1539"/>
      <c r="T3251" s="1539"/>
      <c r="U3251" s="1539"/>
      <c r="V3251" s="1539"/>
      <c r="W3251" s="1539"/>
      <c r="X3251" s="1539"/>
      <c r="Y3251" s="1539"/>
      <c r="Z3251" s="1539"/>
      <c r="AA3251" s="1539"/>
      <c r="AB3251" s="1539"/>
      <c r="AC3251" s="1539"/>
      <c r="AD3251" s="1539"/>
      <c r="AE3251" s="1539"/>
      <c r="AF3251" s="1539"/>
      <c r="AG3251" s="1539"/>
      <c r="AH3251" s="1539"/>
      <c r="AI3251" s="1539"/>
      <c r="AJ3251" s="1539"/>
      <c r="AK3251" s="1539"/>
      <c r="AL3251" s="1539"/>
      <c r="AM3251" s="1539"/>
      <c r="AN3251" s="1539"/>
      <c r="AO3251" s="1539"/>
      <c r="AP3251" s="1539"/>
      <c r="AQ3251" s="1539"/>
      <c r="AR3251" s="1539"/>
      <c r="AS3251" s="1539"/>
      <c r="AT3251" s="1539"/>
      <c r="AU3251" s="1539"/>
      <c r="AV3251" s="1539"/>
      <c r="AW3251" s="1539"/>
      <c r="AX3251" s="1539"/>
      <c r="AY3251" s="1539"/>
      <c r="AZ3251" s="1539"/>
      <c r="BA3251" s="1539"/>
      <c r="BB3251" s="1539"/>
      <c r="BC3251" s="1539"/>
      <c r="BD3251" s="1539"/>
      <c r="BE3251" s="1539"/>
      <c r="BF3251" s="1539"/>
      <c r="BG3251" s="1539"/>
      <c r="BH3251" s="1539"/>
      <c r="BI3251" s="1539"/>
      <c r="BJ3251" s="1539"/>
      <c r="BK3251" s="1539"/>
      <c r="BL3251" s="1539"/>
      <c r="BM3251" s="1539"/>
      <c r="BN3251" s="1539"/>
      <c r="BO3251" s="1539"/>
      <c r="BP3251" s="1539"/>
      <c r="BQ3251" s="1539"/>
      <c r="BR3251" s="1539"/>
      <c r="BS3251" s="1539"/>
      <c r="BT3251" s="1539"/>
      <c r="BU3251" s="1539"/>
      <c r="BV3251" s="1539"/>
      <c r="BW3251" s="1539"/>
      <c r="BX3251" s="1539"/>
      <c r="BY3251" s="1539"/>
      <c r="BZ3251" s="1539"/>
      <c r="CA3251" s="1539"/>
      <c r="CB3251" s="1539"/>
      <c r="CC3251" s="1539"/>
      <c r="CD3251" s="1539"/>
      <c r="CE3251" s="1539"/>
      <c r="CF3251" s="1539"/>
      <c r="CG3251" s="1539"/>
      <c r="CH3251" s="1539"/>
      <c r="CI3251" s="1539"/>
      <c r="CJ3251" s="1539"/>
      <c r="CK3251" s="1539"/>
      <c r="CL3251" s="1539"/>
      <c r="CM3251" s="1539"/>
      <c r="CN3251" s="1539"/>
      <c r="CO3251" s="1539"/>
    </row>
    <row r="3252" spans="1:93" ht="15.5">
      <c r="A3252" s="1598">
        <v>76.171999999999997</v>
      </c>
      <c r="B3252" s="1599" t="s">
        <v>3243</v>
      </c>
      <c r="C3252" s="1643" t="e">
        <f>+SUMIF(#REF!,Final!A3252,#REF!)</f>
        <v>#REF!</v>
      </c>
      <c r="D3252" s="1597" t="e">
        <f>+SUMIF(#REF!,Final!A3252,#REF!)</f>
        <v>#REF!</v>
      </c>
      <c r="E3252" s="1643" t="e">
        <f>SUMIF(#REF!,Final!A3252,#REF!)</f>
        <v>#REF!</v>
      </c>
      <c r="F3252" s="1644" t="e">
        <f>SUMIF(#REF!,Final!A3252,#REF!)</f>
        <v>#REF!</v>
      </c>
      <c r="G3252" s="1597" t="e">
        <f t="shared" si="364"/>
        <v>#REF!</v>
      </c>
      <c r="H3252" s="1644" t="e">
        <f t="shared" si="365"/>
        <v>#REF!</v>
      </c>
      <c r="I3252" s="1597" t="e">
        <f t="shared" si="366"/>
        <v>#REF!</v>
      </c>
      <c r="J3252" s="1644" t="e">
        <f t="shared" si="367"/>
        <v>#REF!</v>
      </c>
      <c r="M3252" s="1545"/>
      <c r="N3252" s="1545"/>
    </row>
    <row r="3253" spans="1:93" s="1552" customFormat="1" ht="15.5">
      <c r="A3253" s="1598"/>
      <c r="B3253" s="1599" t="s">
        <v>1747</v>
      </c>
      <c r="C3253" s="1643" t="e">
        <f>+SUMIF(#REF!,Final!A3253,#REF!)</f>
        <v>#REF!</v>
      </c>
      <c r="D3253" s="1597" t="e">
        <f>+SUMIF(#REF!,Final!A3253,#REF!)</f>
        <v>#REF!</v>
      </c>
      <c r="E3253" s="1643" t="e">
        <f>SUMIF(#REF!,Final!A3253,#REF!)</f>
        <v>#REF!</v>
      </c>
      <c r="F3253" s="1644" t="e">
        <f>SUMIF(#REF!,Final!A3253,#REF!)</f>
        <v>#REF!</v>
      </c>
      <c r="G3253" s="1597" t="e">
        <f t="shared" si="364"/>
        <v>#REF!</v>
      </c>
      <c r="H3253" s="1644" t="e">
        <f t="shared" si="365"/>
        <v>#REF!</v>
      </c>
      <c r="I3253" s="1597" t="e">
        <f t="shared" si="366"/>
        <v>#REF!</v>
      </c>
      <c r="J3253" s="1644" t="e">
        <f t="shared" si="367"/>
        <v>#REF!</v>
      </c>
      <c r="K3253" s="1539"/>
      <c r="L3253" s="1539"/>
      <c r="M3253" s="1545"/>
      <c r="N3253" s="1545"/>
      <c r="O3253" s="1539"/>
      <c r="P3253" s="1539"/>
      <c r="Q3253" s="1539"/>
      <c r="R3253" s="1539"/>
      <c r="S3253" s="1539"/>
      <c r="T3253" s="1539"/>
      <c r="U3253" s="1539"/>
      <c r="V3253" s="1539"/>
      <c r="W3253" s="1539"/>
      <c r="X3253" s="1539"/>
      <c r="Y3253" s="1539"/>
      <c r="Z3253" s="1539"/>
      <c r="AA3253" s="1539"/>
      <c r="AB3253" s="1539"/>
      <c r="AC3253" s="1539"/>
      <c r="AD3253" s="1539"/>
      <c r="AE3253" s="1539"/>
      <c r="AF3253" s="1539"/>
      <c r="AG3253" s="1539"/>
      <c r="AH3253" s="1539"/>
      <c r="AI3253" s="1539"/>
      <c r="AJ3253" s="1539"/>
      <c r="AK3253" s="1539"/>
      <c r="AL3253" s="1539"/>
      <c r="AM3253" s="1539"/>
      <c r="AN3253" s="1539"/>
      <c r="AO3253" s="1539"/>
      <c r="AP3253" s="1539"/>
      <c r="AQ3253" s="1539"/>
      <c r="AR3253" s="1539"/>
      <c r="AS3253" s="1539"/>
      <c r="AT3253" s="1539"/>
      <c r="AU3253" s="1539"/>
      <c r="AV3253" s="1539"/>
      <c r="AW3253" s="1539"/>
      <c r="AX3253" s="1539"/>
      <c r="AY3253" s="1539"/>
      <c r="AZ3253" s="1539"/>
      <c r="BA3253" s="1539"/>
      <c r="BB3253" s="1539"/>
      <c r="BC3253" s="1539"/>
      <c r="BD3253" s="1539"/>
      <c r="BE3253" s="1539"/>
      <c r="BF3253" s="1539"/>
      <c r="BG3253" s="1539"/>
      <c r="BH3253" s="1539"/>
      <c r="BI3253" s="1539"/>
      <c r="BJ3253" s="1539"/>
      <c r="BK3253" s="1539"/>
      <c r="BL3253" s="1539"/>
      <c r="BM3253" s="1539"/>
      <c r="BN3253" s="1539"/>
      <c r="BO3253" s="1539"/>
      <c r="BP3253" s="1539"/>
      <c r="BQ3253" s="1539"/>
      <c r="BR3253" s="1539"/>
      <c r="BS3253" s="1539"/>
      <c r="BT3253" s="1539"/>
      <c r="BU3253" s="1539"/>
      <c r="BV3253" s="1539"/>
      <c r="BW3253" s="1539"/>
      <c r="BX3253" s="1539"/>
      <c r="BY3253" s="1539"/>
      <c r="BZ3253" s="1539"/>
      <c r="CA3253" s="1539"/>
      <c r="CB3253" s="1539"/>
      <c r="CC3253" s="1539"/>
      <c r="CD3253" s="1539"/>
      <c r="CE3253" s="1539"/>
      <c r="CF3253" s="1539"/>
      <c r="CG3253" s="1539"/>
      <c r="CH3253" s="1539"/>
      <c r="CI3253" s="1539"/>
      <c r="CJ3253" s="1539"/>
      <c r="CK3253" s="1539"/>
      <c r="CL3253" s="1539"/>
      <c r="CM3253" s="1539"/>
      <c r="CN3253" s="1539"/>
      <c r="CO3253" s="1539"/>
    </row>
    <row r="3254" spans="1:93" s="1552" customFormat="1" ht="15.5">
      <c r="A3254" s="1598"/>
      <c r="B3254" s="1599" t="s">
        <v>1760</v>
      </c>
      <c r="C3254" s="1643" t="e">
        <f>+SUMIF(#REF!,Final!A3254,#REF!)</f>
        <v>#REF!</v>
      </c>
      <c r="D3254" s="1597" t="e">
        <f>+SUMIF(#REF!,Final!A3254,#REF!)</f>
        <v>#REF!</v>
      </c>
      <c r="E3254" s="1643" t="e">
        <f>SUMIF(#REF!,Final!A3254,#REF!)</f>
        <v>#REF!</v>
      </c>
      <c r="F3254" s="1644" t="e">
        <f>SUMIF(#REF!,Final!A3254,#REF!)</f>
        <v>#REF!</v>
      </c>
      <c r="G3254" s="1597" t="e">
        <f t="shared" si="364"/>
        <v>#REF!</v>
      </c>
      <c r="H3254" s="1644" t="e">
        <f t="shared" si="365"/>
        <v>#REF!</v>
      </c>
      <c r="I3254" s="1597" t="e">
        <f t="shared" si="366"/>
        <v>#REF!</v>
      </c>
      <c r="J3254" s="1644" t="e">
        <f t="shared" si="367"/>
        <v>#REF!</v>
      </c>
      <c r="K3254" s="1539"/>
      <c r="L3254" s="1539"/>
      <c r="M3254" s="1545"/>
      <c r="N3254" s="1545"/>
      <c r="O3254" s="1539"/>
      <c r="P3254" s="1539"/>
      <c r="Q3254" s="1539"/>
      <c r="R3254" s="1539"/>
      <c r="S3254" s="1539"/>
      <c r="T3254" s="1539"/>
      <c r="U3254" s="1539"/>
      <c r="V3254" s="1539"/>
      <c r="W3254" s="1539"/>
      <c r="X3254" s="1539"/>
      <c r="Y3254" s="1539"/>
      <c r="Z3254" s="1539"/>
      <c r="AA3254" s="1539"/>
      <c r="AB3254" s="1539"/>
      <c r="AC3254" s="1539"/>
      <c r="AD3254" s="1539"/>
      <c r="AE3254" s="1539"/>
      <c r="AF3254" s="1539"/>
      <c r="AG3254" s="1539"/>
      <c r="AH3254" s="1539"/>
      <c r="AI3254" s="1539"/>
      <c r="AJ3254" s="1539"/>
      <c r="AK3254" s="1539"/>
      <c r="AL3254" s="1539"/>
      <c r="AM3254" s="1539"/>
      <c r="AN3254" s="1539"/>
      <c r="AO3254" s="1539"/>
      <c r="AP3254" s="1539"/>
      <c r="AQ3254" s="1539"/>
      <c r="AR3254" s="1539"/>
      <c r="AS3254" s="1539"/>
      <c r="AT3254" s="1539"/>
      <c r="AU3254" s="1539"/>
      <c r="AV3254" s="1539"/>
      <c r="AW3254" s="1539"/>
      <c r="AX3254" s="1539"/>
      <c r="AY3254" s="1539"/>
      <c r="AZ3254" s="1539"/>
      <c r="BA3254" s="1539"/>
      <c r="BB3254" s="1539"/>
      <c r="BC3254" s="1539"/>
      <c r="BD3254" s="1539"/>
      <c r="BE3254" s="1539"/>
      <c r="BF3254" s="1539"/>
      <c r="BG3254" s="1539"/>
      <c r="BH3254" s="1539"/>
      <c r="BI3254" s="1539"/>
      <c r="BJ3254" s="1539"/>
      <c r="BK3254" s="1539"/>
      <c r="BL3254" s="1539"/>
      <c r="BM3254" s="1539"/>
      <c r="BN3254" s="1539"/>
      <c r="BO3254" s="1539"/>
      <c r="BP3254" s="1539"/>
      <c r="BQ3254" s="1539"/>
      <c r="BR3254" s="1539"/>
      <c r="BS3254" s="1539"/>
      <c r="BT3254" s="1539"/>
      <c r="BU3254" s="1539"/>
      <c r="BV3254" s="1539"/>
      <c r="BW3254" s="1539"/>
      <c r="BX3254" s="1539"/>
      <c r="BY3254" s="1539"/>
      <c r="BZ3254" s="1539"/>
      <c r="CA3254" s="1539"/>
      <c r="CB3254" s="1539"/>
      <c r="CC3254" s="1539"/>
      <c r="CD3254" s="1539"/>
      <c r="CE3254" s="1539"/>
      <c r="CF3254" s="1539"/>
      <c r="CG3254" s="1539"/>
      <c r="CH3254" s="1539"/>
      <c r="CI3254" s="1539"/>
      <c r="CJ3254" s="1539"/>
      <c r="CK3254" s="1539"/>
      <c r="CL3254" s="1539"/>
      <c r="CM3254" s="1539"/>
      <c r="CN3254" s="1539"/>
      <c r="CO3254" s="1539"/>
    </row>
    <row r="3255" spans="1:93" s="1542" customFormat="1" ht="15.5">
      <c r="A3255" s="1598">
        <v>35</v>
      </c>
      <c r="B3255" s="1599" t="s">
        <v>3207</v>
      </c>
      <c r="C3255" s="1643" t="e">
        <f>+SUMIF(#REF!,Final!A3255,#REF!)</f>
        <v>#REF!</v>
      </c>
      <c r="D3255" s="1597" t="e">
        <f>+SUMIF(#REF!,Final!A3255,#REF!)</f>
        <v>#REF!</v>
      </c>
      <c r="E3255" s="1643" t="e">
        <f>SUMIF(#REF!,Final!A3255,#REF!)</f>
        <v>#REF!</v>
      </c>
      <c r="F3255" s="1644" t="e">
        <f>SUMIF(#REF!,Final!A3255,#REF!)</f>
        <v>#REF!</v>
      </c>
      <c r="G3255" s="1597" t="e">
        <f t="shared" si="364"/>
        <v>#REF!</v>
      </c>
      <c r="H3255" s="1644" t="e">
        <f t="shared" si="365"/>
        <v>#REF!</v>
      </c>
      <c r="I3255" s="1597" t="e">
        <f t="shared" si="366"/>
        <v>#REF!</v>
      </c>
      <c r="J3255" s="1644" t="e">
        <f t="shared" si="367"/>
        <v>#REF!</v>
      </c>
      <c r="K3255" s="1539"/>
      <c r="L3255" s="1539"/>
      <c r="M3255" s="1545"/>
      <c r="N3255" s="1545"/>
      <c r="O3255" s="1539"/>
      <c r="P3255" s="1539"/>
      <c r="Q3255" s="1539"/>
      <c r="R3255" s="1539"/>
      <c r="S3255" s="1539"/>
      <c r="T3255" s="1539"/>
      <c r="U3255" s="1539"/>
      <c r="V3255" s="1539"/>
      <c r="W3255" s="1539"/>
      <c r="X3255" s="1539"/>
      <c r="Y3255" s="1539"/>
      <c r="Z3255" s="1539"/>
      <c r="AA3255" s="1539"/>
      <c r="AB3255" s="1539"/>
      <c r="AC3255" s="1539"/>
      <c r="AD3255" s="1539"/>
      <c r="AE3255" s="1539"/>
      <c r="AF3255" s="1539"/>
      <c r="AG3255" s="1539"/>
      <c r="AH3255" s="1539"/>
      <c r="AI3255" s="1539"/>
      <c r="AJ3255" s="1539"/>
      <c r="AK3255" s="1539"/>
      <c r="AL3255" s="1539"/>
      <c r="AM3255" s="1539"/>
      <c r="AN3255" s="1539"/>
      <c r="AO3255" s="1539"/>
      <c r="AP3255" s="1539"/>
      <c r="AQ3255" s="1539"/>
      <c r="AR3255" s="1539"/>
      <c r="AS3255" s="1539"/>
      <c r="AT3255" s="1539"/>
      <c r="AU3255" s="1539"/>
      <c r="AV3255" s="1539"/>
      <c r="AW3255" s="1539"/>
      <c r="AX3255" s="1539"/>
      <c r="AY3255" s="1539"/>
      <c r="AZ3255" s="1539"/>
      <c r="BA3255" s="1539"/>
      <c r="BB3255" s="1539"/>
      <c r="BC3255" s="1539"/>
      <c r="BD3255" s="1539"/>
      <c r="BE3255" s="1539"/>
      <c r="BF3255" s="1539"/>
      <c r="BG3255" s="1539"/>
      <c r="BH3255" s="1539"/>
      <c r="BI3255" s="1539"/>
      <c r="BJ3255" s="1539"/>
      <c r="BK3255" s="1539"/>
      <c r="BL3255" s="1539"/>
      <c r="BM3255" s="1539"/>
      <c r="BN3255" s="1539"/>
      <c r="BO3255" s="1539"/>
      <c r="BP3255" s="1539"/>
      <c r="BQ3255" s="1539"/>
      <c r="BR3255" s="1539"/>
      <c r="BS3255" s="1539"/>
      <c r="BT3255" s="1539"/>
      <c r="BU3255" s="1539"/>
      <c r="BV3255" s="1539"/>
      <c r="BW3255" s="1539"/>
      <c r="BX3255" s="1539"/>
      <c r="BY3255" s="1539"/>
      <c r="BZ3255" s="1539"/>
      <c r="CA3255" s="1539"/>
      <c r="CB3255" s="1539"/>
      <c r="CC3255" s="1539"/>
      <c r="CD3255" s="1539"/>
      <c r="CE3255" s="1539"/>
      <c r="CF3255" s="1539"/>
      <c r="CG3255" s="1539"/>
      <c r="CH3255" s="1539"/>
      <c r="CI3255" s="1539"/>
      <c r="CJ3255" s="1539"/>
      <c r="CK3255" s="1539"/>
      <c r="CL3255" s="1539"/>
      <c r="CM3255" s="1539"/>
      <c r="CN3255" s="1539"/>
      <c r="CO3255" s="1539"/>
    </row>
    <row r="3256" spans="1:93" s="1542" customFormat="1" ht="15.5">
      <c r="A3256" s="1598" t="s">
        <v>1830</v>
      </c>
      <c r="B3256" s="1599" t="s">
        <v>1525</v>
      </c>
      <c r="C3256" s="1643" t="e">
        <f>+SUMIF(#REF!,Final!A3256,#REF!)</f>
        <v>#REF!</v>
      </c>
      <c r="D3256" s="1597" t="e">
        <f>+SUMIF(#REF!,Final!A3256,#REF!)</f>
        <v>#REF!</v>
      </c>
      <c r="E3256" s="1643" t="e">
        <f>SUMIF(#REF!,Final!A3256,#REF!)</f>
        <v>#REF!</v>
      </c>
      <c r="F3256" s="1644" t="e">
        <f>SUMIF(#REF!,Final!A3256,#REF!)</f>
        <v>#REF!</v>
      </c>
      <c r="G3256" s="1597" t="e">
        <f t="shared" si="364"/>
        <v>#REF!</v>
      </c>
      <c r="H3256" s="1644" t="e">
        <f t="shared" si="365"/>
        <v>#REF!</v>
      </c>
      <c r="I3256" s="1597" t="e">
        <f t="shared" si="366"/>
        <v>#REF!</v>
      </c>
      <c r="J3256" s="1644" t="e">
        <f t="shared" si="367"/>
        <v>#REF!</v>
      </c>
      <c r="K3256" s="1539"/>
      <c r="L3256" s="1539"/>
      <c r="M3256" s="1545"/>
      <c r="N3256" s="1545"/>
      <c r="O3256" s="1539"/>
      <c r="P3256" s="1539"/>
      <c r="Q3256" s="1539"/>
      <c r="R3256" s="1539"/>
      <c r="S3256" s="1539"/>
      <c r="T3256" s="1539"/>
      <c r="U3256" s="1539"/>
      <c r="V3256" s="1539"/>
      <c r="W3256" s="1539"/>
      <c r="X3256" s="1539"/>
      <c r="Y3256" s="1539"/>
      <c r="Z3256" s="1539"/>
      <c r="AA3256" s="1539"/>
      <c r="AB3256" s="1539"/>
      <c r="AC3256" s="1539"/>
      <c r="AD3256" s="1539"/>
      <c r="AE3256" s="1539"/>
      <c r="AF3256" s="1539"/>
      <c r="AG3256" s="1539"/>
      <c r="AH3256" s="1539"/>
      <c r="AI3256" s="1539"/>
      <c r="AJ3256" s="1539"/>
      <c r="AK3256" s="1539"/>
      <c r="AL3256" s="1539"/>
      <c r="AM3256" s="1539"/>
      <c r="AN3256" s="1539"/>
      <c r="AO3256" s="1539"/>
      <c r="AP3256" s="1539"/>
      <c r="AQ3256" s="1539"/>
      <c r="AR3256" s="1539"/>
      <c r="AS3256" s="1539"/>
      <c r="AT3256" s="1539"/>
      <c r="AU3256" s="1539"/>
      <c r="AV3256" s="1539"/>
      <c r="AW3256" s="1539"/>
      <c r="AX3256" s="1539"/>
      <c r="AY3256" s="1539"/>
      <c r="AZ3256" s="1539"/>
      <c r="BA3256" s="1539"/>
      <c r="BB3256" s="1539"/>
      <c r="BC3256" s="1539"/>
      <c r="BD3256" s="1539"/>
      <c r="BE3256" s="1539"/>
      <c r="BF3256" s="1539"/>
      <c r="BG3256" s="1539"/>
      <c r="BH3256" s="1539"/>
      <c r="BI3256" s="1539"/>
      <c r="BJ3256" s="1539"/>
      <c r="BK3256" s="1539"/>
      <c r="BL3256" s="1539"/>
      <c r="BM3256" s="1539"/>
      <c r="BN3256" s="1539"/>
      <c r="BO3256" s="1539"/>
      <c r="BP3256" s="1539"/>
      <c r="BQ3256" s="1539"/>
      <c r="BR3256" s="1539"/>
      <c r="BS3256" s="1539"/>
      <c r="BT3256" s="1539"/>
      <c r="BU3256" s="1539"/>
      <c r="BV3256" s="1539"/>
      <c r="BW3256" s="1539"/>
      <c r="BX3256" s="1539"/>
      <c r="BY3256" s="1539"/>
      <c r="BZ3256" s="1539"/>
      <c r="CA3256" s="1539"/>
      <c r="CB3256" s="1539"/>
      <c r="CC3256" s="1539"/>
      <c r="CD3256" s="1539"/>
      <c r="CE3256" s="1539"/>
      <c r="CF3256" s="1539"/>
      <c r="CG3256" s="1539"/>
      <c r="CH3256" s="1539"/>
      <c r="CI3256" s="1539"/>
      <c r="CJ3256" s="1539"/>
      <c r="CK3256" s="1539"/>
      <c r="CL3256" s="1539"/>
      <c r="CM3256" s="1539"/>
      <c r="CN3256" s="1539"/>
      <c r="CO3256" s="1539"/>
    </row>
    <row r="3257" spans="1:93" ht="15.5">
      <c r="A3257" s="1598">
        <v>76.173000000000002</v>
      </c>
      <c r="B3257" s="1599" t="s">
        <v>3977</v>
      </c>
      <c r="C3257" s="1643" t="e">
        <f>+SUMIF(#REF!,Final!A3257,#REF!)</f>
        <v>#REF!</v>
      </c>
      <c r="D3257" s="1597" t="e">
        <f>+SUMIF(#REF!,Final!A3257,#REF!)</f>
        <v>#REF!</v>
      </c>
      <c r="E3257" s="1643" t="e">
        <f>SUMIF(#REF!,Final!A3257,#REF!)</f>
        <v>#REF!</v>
      </c>
      <c r="F3257" s="1644" t="e">
        <f>SUMIF(#REF!,Final!A3257,#REF!)</f>
        <v>#REF!</v>
      </c>
      <c r="G3257" s="1597" t="e">
        <f t="shared" si="364"/>
        <v>#REF!</v>
      </c>
      <c r="H3257" s="1644" t="e">
        <f t="shared" si="365"/>
        <v>#REF!</v>
      </c>
      <c r="I3257" s="1597" t="e">
        <f t="shared" si="366"/>
        <v>#REF!</v>
      </c>
      <c r="J3257" s="1644" t="e">
        <f t="shared" si="367"/>
        <v>#REF!</v>
      </c>
      <c r="M3257" s="1545"/>
      <c r="N3257" s="1545"/>
    </row>
    <row r="3258" spans="1:93" ht="15.5">
      <c r="A3258" s="1598">
        <v>76.174000000000007</v>
      </c>
      <c r="B3258" s="1599" t="s">
        <v>3244</v>
      </c>
      <c r="C3258" s="1643" t="e">
        <f>+SUMIF(#REF!,Final!A3258,#REF!)</f>
        <v>#REF!</v>
      </c>
      <c r="D3258" s="1597" t="e">
        <f>+SUMIF(#REF!,Final!A3258,#REF!)</f>
        <v>#REF!</v>
      </c>
      <c r="E3258" s="1643" t="e">
        <f>SUMIF(#REF!,Final!A3258,#REF!)</f>
        <v>#REF!</v>
      </c>
      <c r="F3258" s="1644" t="e">
        <f>SUMIF(#REF!,Final!A3258,#REF!)</f>
        <v>#REF!</v>
      </c>
      <c r="G3258" s="1597" t="e">
        <f t="shared" si="364"/>
        <v>#REF!</v>
      </c>
      <c r="H3258" s="1644" t="e">
        <f t="shared" si="365"/>
        <v>#REF!</v>
      </c>
      <c r="I3258" s="1597" t="e">
        <f t="shared" si="366"/>
        <v>#REF!</v>
      </c>
      <c r="J3258" s="1644" t="e">
        <f t="shared" si="367"/>
        <v>#REF!</v>
      </c>
      <c r="M3258" s="1545"/>
      <c r="N3258" s="1545"/>
    </row>
    <row r="3259" spans="1:93" s="1543" customFormat="1" ht="15.5">
      <c r="A3259" s="1598">
        <v>76.174999999999997</v>
      </c>
      <c r="B3259" s="1599" t="s">
        <v>3245</v>
      </c>
      <c r="C3259" s="1643" t="e">
        <f>+SUMIF(#REF!,Final!A3259,#REF!)</f>
        <v>#REF!</v>
      </c>
      <c r="D3259" s="1597" t="e">
        <f>+SUMIF(#REF!,Final!A3259,#REF!)</f>
        <v>#REF!</v>
      </c>
      <c r="E3259" s="1643" t="e">
        <f>SUMIF(#REF!,Final!A3259,#REF!)</f>
        <v>#REF!</v>
      </c>
      <c r="F3259" s="1644" t="e">
        <f>SUMIF(#REF!,Final!A3259,#REF!)</f>
        <v>#REF!</v>
      </c>
      <c r="G3259" s="1597" t="e">
        <f t="shared" si="364"/>
        <v>#REF!</v>
      </c>
      <c r="H3259" s="1644" t="e">
        <f t="shared" si="365"/>
        <v>#REF!</v>
      </c>
      <c r="I3259" s="1597" t="e">
        <f t="shared" si="366"/>
        <v>#REF!</v>
      </c>
      <c r="J3259" s="1644" t="e">
        <f t="shared" si="367"/>
        <v>#REF!</v>
      </c>
      <c r="K3259" s="1539"/>
      <c r="L3259" s="1539"/>
      <c r="M3259" s="1545"/>
      <c r="N3259" s="1545"/>
      <c r="O3259" s="1539"/>
      <c r="P3259" s="1539"/>
      <c r="Q3259" s="1539"/>
      <c r="R3259" s="1539"/>
      <c r="S3259" s="1539"/>
      <c r="T3259" s="1539"/>
      <c r="U3259" s="1539"/>
      <c r="V3259" s="1539"/>
      <c r="W3259" s="1539"/>
      <c r="X3259" s="1539"/>
      <c r="Y3259" s="1539"/>
      <c r="Z3259" s="1539"/>
      <c r="AA3259" s="1539"/>
      <c r="AB3259" s="1539"/>
      <c r="AC3259" s="1539"/>
      <c r="AD3259" s="1539"/>
      <c r="AE3259" s="1539"/>
      <c r="AF3259" s="1539"/>
      <c r="AG3259" s="1539"/>
      <c r="AH3259" s="1539"/>
      <c r="AI3259" s="1539"/>
      <c r="AJ3259" s="1539"/>
      <c r="AK3259" s="1539"/>
      <c r="AL3259" s="1539"/>
      <c r="AM3259" s="1539"/>
      <c r="AN3259" s="1539"/>
      <c r="AO3259" s="1539"/>
      <c r="AP3259" s="1539"/>
      <c r="AQ3259" s="1539"/>
      <c r="AR3259" s="1539"/>
      <c r="AS3259" s="1539"/>
      <c r="AT3259" s="1539"/>
      <c r="AU3259" s="1539"/>
      <c r="AV3259" s="1539"/>
      <c r="AW3259" s="1539"/>
      <c r="AX3259" s="1539"/>
      <c r="AY3259" s="1539"/>
      <c r="AZ3259" s="1539"/>
      <c r="BA3259" s="1539"/>
      <c r="BB3259" s="1539"/>
      <c r="BC3259" s="1539"/>
      <c r="BD3259" s="1539"/>
      <c r="BE3259" s="1539"/>
      <c r="BF3259" s="1539"/>
      <c r="BG3259" s="1539"/>
      <c r="BH3259" s="1539"/>
      <c r="BI3259" s="1539"/>
      <c r="BJ3259" s="1539"/>
      <c r="BK3259" s="1539"/>
      <c r="BL3259" s="1539"/>
      <c r="BM3259" s="1539"/>
      <c r="BN3259" s="1539"/>
      <c r="BO3259" s="1539"/>
      <c r="BP3259" s="1539"/>
      <c r="BQ3259" s="1539"/>
      <c r="BR3259" s="1539"/>
      <c r="BS3259" s="1539"/>
      <c r="BT3259" s="1539"/>
      <c r="BU3259" s="1539"/>
      <c r="BV3259" s="1539"/>
      <c r="BW3259" s="1539"/>
      <c r="BX3259" s="1539"/>
      <c r="BY3259" s="1539"/>
      <c r="BZ3259" s="1539"/>
      <c r="CA3259" s="1539"/>
      <c r="CB3259" s="1539"/>
      <c r="CC3259" s="1539"/>
      <c r="CD3259" s="1539"/>
      <c r="CE3259" s="1539"/>
      <c r="CF3259" s="1539"/>
      <c r="CG3259" s="1539"/>
      <c r="CH3259" s="1539"/>
      <c r="CI3259" s="1539"/>
      <c r="CJ3259" s="1539"/>
      <c r="CK3259" s="1539"/>
      <c r="CL3259" s="1539"/>
      <c r="CM3259" s="1539"/>
      <c r="CN3259" s="1539"/>
      <c r="CO3259" s="1539"/>
    </row>
    <row r="3260" spans="1:93" s="1543" customFormat="1" ht="15.5">
      <c r="A3260" s="1598">
        <v>76.176000000000002</v>
      </c>
      <c r="B3260" s="1599" t="s">
        <v>3246</v>
      </c>
      <c r="C3260" s="1643" t="e">
        <f>+SUMIF(#REF!,Final!A3260,#REF!)</f>
        <v>#REF!</v>
      </c>
      <c r="D3260" s="1597" t="e">
        <f>+SUMIF(#REF!,Final!A3260,#REF!)</f>
        <v>#REF!</v>
      </c>
      <c r="E3260" s="1643" t="e">
        <f>SUMIF(#REF!,Final!A3260,#REF!)</f>
        <v>#REF!</v>
      </c>
      <c r="F3260" s="1644" t="e">
        <f>SUMIF(#REF!,Final!A3260,#REF!)</f>
        <v>#REF!</v>
      </c>
      <c r="G3260" s="1597" t="e">
        <f t="shared" si="364"/>
        <v>#REF!</v>
      </c>
      <c r="H3260" s="1644" t="e">
        <f t="shared" si="365"/>
        <v>#REF!</v>
      </c>
      <c r="I3260" s="1597" t="e">
        <f t="shared" si="366"/>
        <v>#REF!</v>
      </c>
      <c r="J3260" s="1644" t="e">
        <f t="shared" si="367"/>
        <v>#REF!</v>
      </c>
      <c r="K3260" s="1539"/>
      <c r="L3260" s="1539"/>
      <c r="M3260" s="1545"/>
      <c r="N3260" s="1545"/>
      <c r="O3260" s="1539"/>
      <c r="P3260" s="1539"/>
      <c r="Q3260" s="1539"/>
      <c r="R3260" s="1539"/>
      <c r="S3260" s="1539"/>
      <c r="T3260" s="1539"/>
      <c r="U3260" s="1539"/>
      <c r="V3260" s="1539"/>
      <c r="W3260" s="1539"/>
      <c r="X3260" s="1539"/>
      <c r="Y3260" s="1539"/>
      <c r="Z3260" s="1539"/>
      <c r="AA3260" s="1539"/>
      <c r="AB3260" s="1539"/>
      <c r="AC3260" s="1539"/>
      <c r="AD3260" s="1539"/>
      <c r="AE3260" s="1539"/>
      <c r="AF3260" s="1539"/>
      <c r="AG3260" s="1539"/>
      <c r="AH3260" s="1539"/>
      <c r="AI3260" s="1539"/>
      <c r="AJ3260" s="1539"/>
      <c r="AK3260" s="1539"/>
      <c r="AL3260" s="1539"/>
      <c r="AM3260" s="1539"/>
      <c r="AN3260" s="1539"/>
      <c r="AO3260" s="1539"/>
      <c r="AP3260" s="1539"/>
      <c r="AQ3260" s="1539"/>
      <c r="AR3260" s="1539"/>
      <c r="AS3260" s="1539"/>
      <c r="AT3260" s="1539"/>
      <c r="AU3260" s="1539"/>
      <c r="AV3260" s="1539"/>
      <c r="AW3260" s="1539"/>
      <c r="AX3260" s="1539"/>
      <c r="AY3260" s="1539"/>
      <c r="AZ3260" s="1539"/>
      <c r="BA3260" s="1539"/>
      <c r="BB3260" s="1539"/>
      <c r="BC3260" s="1539"/>
      <c r="BD3260" s="1539"/>
      <c r="BE3260" s="1539"/>
      <c r="BF3260" s="1539"/>
      <c r="BG3260" s="1539"/>
      <c r="BH3260" s="1539"/>
      <c r="BI3260" s="1539"/>
      <c r="BJ3260" s="1539"/>
      <c r="BK3260" s="1539"/>
      <c r="BL3260" s="1539"/>
      <c r="BM3260" s="1539"/>
      <c r="BN3260" s="1539"/>
      <c r="BO3260" s="1539"/>
      <c r="BP3260" s="1539"/>
      <c r="BQ3260" s="1539"/>
      <c r="BR3260" s="1539"/>
      <c r="BS3260" s="1539"/>
      <c r="BT3260" s="1539"/>
      <c r="BU3260" s="1539"/>
      <c r="BV3260" s="1539"/>
      <c r="BW3260" s="1539"/>
      <c r="BX3260" s="1539"/>
      <c r="BY3260" s="1539"/>
      <c r="BZ3260" s="1539"/>
      <c r="CA3260" s="1539"/>
      <c r="CB3260" s="1539"/>
      <c r="CC3260" s="1539"/>
      <c r="CD3260" s="1539"/>
      <c r="CE3260" s="1539"/>
      <c r="CF3260" s="1539"/>
      <c r="CG3260" s="1539"/>
      <c r="CH3260" s="1539"/>
      <c r="CI3260" s="1539"/>
      <c r="CJ3260" s="1539"/>
      <c r="CK3260" s="1539"/>
      <c r="CL3260" s="1539"/>
      <c r="CM3260" s="1539"/>
      <c r="CN3260" s="1539"/>
      <c r="CO3260" s="1539"/>
    </row>
    <row r="3261" spans="1:93" s="1543" customFormat="1" ht="15.5">
      <c r="A3261" s="1598">
        <v>76.177000000000007</v>
      </c>
      <c r="B3261" s="1599" t="s">
        <v>3247</v>
      </c>
      <c r="C3261" s="1643" t="e">
        <f>+SUMIF(#REF!,Final!A3261,#REF!)</f>
        <v>#REF!</v>
      </c>
      <c r="D3261" s="1597" t="e">
        <f>+SUMIF(#REF!,Final!A3261,#REF!)</f>
        <v>#REF!</v>
      </c>
      <c r="E3261" s="1643" t="e">
        <f>SUMIF(#REF!,Final!A3261,#REF!)</f>
        <v>#REF!</v>
      </c>
      <c r="F3261" s="1644" t="e">
        <f>SUMIF(#REF!,Final!A3261,#REF!)</f>
        <v>#REF!</v>
      </c>
      <c r="G3261" s="1597" t="e">
        <f t="shared" si="364"/>
        <v>#REF!</v>
      </c>
      <c r="H3261" s="1644" t="e">
        <f t="shared" si="365"/>
        <v>#REF!</v>
      </c>
      <c r="I3261" s="1597" t="e">
        <f t="shared" si="366"/>
        <v>#REF!</v>
      </c>
      <c r="J3261" s="1644" t="e">
        <f t="shared" si="367"/>
        <v>#REF!</v>
      </c>
      <c r="K3261" s="1539"/>
      <c r="L3261" s="1539"/>
      <c r="M3261" s="1545"/>
      <c r="N3261" s="1545"/>
      <c r="O3261" s="1539"/>
      <c r="P3261" s="1539"/>
      <c r="Q3261" s="1539"/>
      <c r="R3261" s="1539"/>
      <c r="S3261" s="1539"/>
      <c r="T3261" s="1539"/>
      <c r="U3261" s="1539"/>
      <c r="V3261" s="1539"/>
      <c r="W3261" s="1539"/>
      <c r="X3261" s="1539"/>
      <c r="Y3261" s="1539"/>
      <c r="Z3261" s="1539"/>
      <c r="AA3261" s="1539"/>
      <c r="AB3261" s="1539"/>
      <c r="AC3261" s="1539"/>
      <c r="AD3261" s="1539"/>
      <c r="AE3261" s="1539"/>
      <c r="AF3261" s="1539"/>
      <c r="AG3261" s="1539"/>
      <c r="AH3261" s="1539"/>
      <c r="AI3261" s="1539"/>
      <c r="AJ3261" s="1539"/>
      <c r="AK3261" s="1539"/>
      <c r="AL3261" s="1539"/>
      <c r="AM3261" s="1539"/>
      <c r="AN3261" s="1539"/>
      <c r="AO3261" s="1539"/>
      <c r="AP3261" s="1539"/>
      <c r="AQ3261" s="1539"/>
      <c r="AR3261" s="1539"/>
      <c r="AS3261" s="1539"/>
      <c r="AT3261" s="1539"/>
      <c r="AU3261" s="1539"/>
      <c r="AV3261" s="1539"/>
      <c r="AW3261" s="1539"/>
      <c r="AX3261" s="1539"/>
      <c r="AY3261" s="1539"/>
      <c r="AZ3261" s="1539"/>
      <c r="BA3261" s="1539"/>
      <c r="BB3261" s="1539"/>
      <c r="BC3261" s="1539"/>
      <c r="BD3261" s="1539"/>
      <c r="BE3261" s="1539"/>
      <c r="BF3261" s="1539"/>
      <c r="BG3261" s="1539"/>
      <c r="BH3261" s="1539"/>
      <c r="BI3261" s="1539"/>
      <c r="BJ3261" s="1539"/>
      <c r="BK3261" s="1539"/>
      <c r="BL3261" s="1539"/>
      <c r="BM3261" s="1539"/>
      <c r="BN3261" s="1539"/>
      <c r="BO3261" s="1539"/>
      <c r="BP3261" s="1539"/>
      <c r="BQ3261" s="1539"/>
      <c r="BR3261" s="1539"/>
      <c r="BS3261" s="1539"/>
      <c r="BT3261" s="1539"/>
      <c r="BU3261" s="1539"/>
      <c r="BV3261" s="1539"/>
      <c r="BW3261" s="1539"/>
      <c r="BX3261" s="1539"/>
      <c r="BY3261" s="1539"/>
      <c r="BZ3261" s="1539"/>
      <c r="CA3261" s="1539"/>
      <c r="CB3261" s="1539"/>
      <c r="CC3261" s="1539"/>
      <c r="CD3261" s="1539"/>
      <c r="CE3261" s="1539"/>
      <c r="CF3261" s="1539"/>
      <c r="CG3261" s="1539"/>
      <c r="CH3261" s="1539"/>
      <c r="CI3261" s="1539"/>
      <c r="CJ3261" s="1539"/>
      <c r="CK3261" s="1539"/>
      <c r="CL3261" s="1539"/>
      <c r="CM3261" s="1539"/>
      <c r="CN3261" s="1539"/>
      <c r="CO3261" s="1539"/>
    </row>
    <row r="3262" spans="1:93" s="1543" customFormat="1" ht="15.5">
      <c r="A3262" s="1602">
        <v>76.177999999999997</v>
      </c>
      <c r="B3262" s="1714" t="s">
        <v>5091</v>
      </c>
      <c r="C3262" s="1643" t="e">
        <f>+SUMIF(#REF!,Final!A3262,#REF!)</f>
        <v>#REF!</v>
      </c>
      <c r="D3262" s="1597" t="e">
        <f>+SUMIF(#REF!,Final!A3262,#REF!)</f>
        <v>#REF!</v>
      </c>
      <c r="E3262" s="1643" t="e">
        <f>SUMIF(#REF!,Final!A3262,#REF!)</f>
        <v>#REF!</v>
      </c>
      <c r="F3262" s="1644" t="e">
        <f>SUMIF(#REF!,Final!A3262,#REF!)</f>
        <v>#REF!</v>
      </c>
      <c r="G3262" s="1597" t="e">
        <f t="shared" si="364"/>
        <v>#REF!</v>
      </c>
      <c r="H3262" s="1644" t="e">
        <f t="shared" si="365"/>
        <v>#REF!</v>
      </c>
      <c r="I3262" s="1597" t="e">
        <f t="shared" si="366"/>
        <v>#REF!</v>
      </c>
      <c r="J3262" s="1644" t="e">
        <f t="shared" si="367"/>
        <v>#REF!</v>
      </c>
      <c r="K3262" s="1539"/>
      <c r="L3262" s="1539"/>
      <c r="M3262" s="1545"/>
      <c r="N3262" s="1545"/>
      <c r="O3262" s="1539"/>
      <c r="P3262" s="1539"/>
      <c r="Q3262" s="1539"/>
      <c r="R3262" s="1539"/>
      <c r="S3262" s="1539"/>
      <c r="T3262" s="1539"/>
      <c r="U3262" s="1539"/>
      <c r="V3262" s="1539"/>
      <c r="W3262" s="1539"/>
      <c r="X3262" s="1539"/>
      <c r="Y3262" s="1539"/>
      <c r="Z3262" s="1539"/>
      <c r="AA3262" s="1539"/>
      <c r="AB3262" s="1539"/>
      <c r="AC3262" s="1539"/>
      <c r="AD3262" s="1539"/>
      <c r="AE3262" s="1539"/>
      <c r="AF3262" s="1539"/>
      <c r="AG3262" s="1539"/>
      <c r="AH3262" s="1539"/>
      <c r="AI3262" s="1539"/>
      <c r="AJ3262" s="1539"/>
      <c r="AK3262" s="1539"/>
      <c r="AL3262" s="1539"/>
      <c r="AM3262" s="1539"/>
      <c r="AN3262" s="1539"/>
      <c r="AO3262" s="1539"/>
      <c r="AP3262" s="1539"/>
      <c r="AQ3262" s="1539"/>
      <c r="AR3262" s="1539"/>
      <c r="AS3262" s="1539"/>
      <c r="AT3262" s="1539"/>
      <c r="AU3262" s="1539"/>
      <c r="AV3262" s="1539"/>
      <c r="AW3262" s="1539"/>
      <c r="AX3262" s="1539"/>
      <c r="AY3262" s="1539"/>
      <c r="AZ3262" s="1539"/>
      <c r="BA3262" s="1539"/>
      <c r="BB3262" s="1539"/>
      <c r="BC3262" s="1539"/>
      <c r="BD3262" s="1539"/>
      <c r="BE3262" s="1539"/>
      <c r="BF3262" s="1539"/>
      <c r="BG3262" s="1539"/>
      <c r="BH3262" s="1539"/>
      <c r="BI3262" s="1539"/>
      <c r="BJ3262" s="1539"/>
      <c r="BK3262" s="1539"/>
      <c r="BL3262" s="1539"/>
      <c r="BM3262" s="1539"/>
      <c r="BN3262" s="1539"/>
      <c r="BO3262" s="1539"/>
      <c r="BP3262" s="1539"/>
      <c r="BQ3262" s="1539"/>
      <c r="BR3262" s="1539"/>
      <c r="BS3262" s="1539"/>
      <c r="BT3262" s="1539"/>
      <c r="BU3262" s="1539"/>
      <c r="BV3262" s="1539"/>
      <c r="BW3262" s="1539"/>
      <c r="BX3262" s="1539"/>
      <c r="BY3262" s="1539"/>
      <c r="BZ3262" s="1539"/>
      <c r="CA3262" s="1539"/>
      <c r="CB3262" s="1539"/>
      <c r="CC3262" s="1539"/>
      <c r="CD3262" s="1539"/>
      <c r="CE3262" s="1539"/>
      <c r="CF3262" s="1539"/>
      <c r="CG3262" s="1539"/>
      <c r="CH3262" s="1539"/>
      <c r="CI3262" s="1539"/>
      <c r="CJ3262" s="1539"/>
      <c r="CK3262" s="1539"/>
      <c r="CL3262" s="1539"/>
      <c r="CM3262" s="1539"/>
      <c r="CN3262" s="1539"/>
      <c r="CO3262" s="1539"/>
    </row>
    <row r="3263" spans="1:93" s="1543" customFormat="1" ht="15.5">
      <c r="A3263" s="1602">
        <v>76.179000000000002</v>
      </c>
      <c r="B3263" s="1714" t="s">
        <v>5092</v>
      </c>
      <c r="C3263" s="1643" t="e">
        <f>+SUMIF(#REF!,Final!A3263,#REF!)</f>
        <v>#REF!</v>
      </c>
      <c r="D3263" s="1597" t="e">
        <f>+SUMIF(#REF!,Final!A3263,#REF!)</f>
        <v>#REF!</v>
      </c>
      <c r="E3263" s="1643" t="e">
        <f>SUMIF(#REF!,Final!A3263,#REF!)</f>
        <v>#REF!</v>
      </c>
      <c r="F3263" s="1644" t="e">
        <f>SUMIF(#REF!,Final!A3263,#REF!)</f>
        <v>#REF!</v>
      </c>
      <c r="G3263" s="1597" t="e">
        <f t="shared" si="364"/>
        <v>#REF!</v>
      </c>
      <c r="H3263" s="1644" t="e">
        <f t="shared" si="365"/>
        <v>#REF!</v>
      </c>
      <c r="I3263" s="1597" t="e">
        <f t="shared" si="366"/>
        <v>#REF!</v>
      </c>
      <c r="J3263" s="1644" t="e">
        <f t="shared" si="367"/>
        <v>#REF!</v>
      </c>
      <c r="K3263" s="1539"/>
      <c r="L3263" s="1539"/>
      <c r="M3263" s="1545"/>
      <c r="N3263" s="1545"/>
      <c r="O3263" s="1539"/>
      <c r="P3263" s="1539"/>
      <c r="Q3263" s="1539"/>
      <c r="R3263" s="1539"/>
      <c r="S3263" s="1539"/>
      <c r="T3263" s="1539"/>
      <c r="U3263" s="1539"/>
      <c r="V3263" s="1539"/>
      <c r="W3263" s="1539"/>
      <c r="X3263" s="1539"/>
      <c r="Y3263" s="1539"/>
      <c r="Z3263" s="1539"/>
      <c r="AA3263" s="1539"/>
      <c r="AB3263" s="1539"/>
      <c r="AC3263" s="1539"/>
      <c r="AD3263" s="1539"/>
      <c r="AE3263" s="1539"/>
      <c r="AF3263" s="1539"/>
      <c r="AG3263" s="1539"/>
      <c r="AH3263" s="1539"/>
      <c r="AI3263" s="1539"/>
      <c r="AJ3263" s="1539"/>
      <c r="AK3263" s="1539"/>
      <c r="AL3263" s="1539"/>
      <c r="AM3263" s="1539"/>
      <c r="AN3263" s="1539"/>
      <c r="AO3263" s="1539"/>
      <c r="AP3263" s="1539"/>
      <c r="AQ3263" s="1539"/>
      <c r="AR3263" s="1539"/>
      <c r="AS3263" s="1539"/>
      <c r="AT3263" s="1539"/>
      <c r="AU3263" s="1539"/>
      <c r="AV3263" s="1539"/>
      <c r="AW3263" s="1539"/>
      <c r="AX3263" s="1539"/>
      <c r="AY3263" s="1539"/>
      <c r="AZ3263" s="1539"/>
      <c r="BA3263" s="1539"/>
      <c r="BB3263" s="1539"/>
      <c r="BC3263" s="1539"/>
      <c r="BD3263" s="1539"/>
      <c r="BE3263" s="1539"/>
      <c r="BF3263" s="1539"/>
      <c r="BG3263" s="1539"/>
      <c r="BH3263" s="1539"/>
      <c r="BI3263" s="1539"/>
      <c r="BJ3263" s="1539"/>
      <c r="BK3263" s="1539"/>
      <c r="BL3263" s="1539"/>
      <c r="BM3263" s="1539"/>
      <c r="BN3263" s="1539"/>
      <c r="BO3263" s="1539"/>
      <c r="BP3263" s="1539"/>
      <c r="BQ3263" s="1539"/>
      <c r="BR3263" s="1539"/>
      <c r="BS3263" s="1539"/>
      <c r="BT3263" s="1539"/>
      <c r="BU3263" s="1539"/>
      <c r="BV3263" s="1539"/>
      <c r="BW3263" s="1539"/>
      <c r="BX3263" s="1539"/>
      <c r="BY3263" s="1539"/>
      <c r="BZ3263" s="1539"/>
      <c r="CA3263" s="1539"/>
      <c r="CB3263" s="1539"/>
      <c r="CC3263" s="1539"/>
      <c r="CD3263" s="1539"/>
      <c r="CE3263" s="1539"/>
      <c r="CF3263" s="1539"/>
      <c r="CG3263" s="1539"/>
      <c r="CH3263" s="1539"/>
      <c r="CI3263" s="1539"/>
      <c r="CJ3263" s="1539"/>
      <c r="CK3263" s="1539"/>
      <c r="CL3263" s="1539"/>
      <c r="CM3263" s="1539"/>
      <c r="CN3263" s="1539"/>
      <c r="CO3263" s="1539"/>
    </row>
    <row r="3264" spans="1:93" s="1543" customFormat="1" ht="15.5">
      <c r="A3264" s="1598">
        <v>76.180999999999997</v>
      </c>
      <c r="B3264" s="1599" t="s">
        <v>3978</v>
      </c>
      <c r="C3264" s="1643" t="e">
        <f>+SUMIF(#REF!,Final!A3264,#REF!)</f>
        <v>#REF!</v>
      </c>
      <c r="D3264" s="1597" t="e">
        <f>+SUMIF(#REF!,Final!A3264,#REF!)</f>
        <v>#REF!</v>
      </c>
      <c r="E3264" s="1643" t="e">
        <f>SUMIF(#REF!,Final!A3264,#REF!)</f>
        <v>#REF!</v>
      </c>
      <c r="F3264" s="1644" t="e">
        <f>SUMIF(#REF!,Final!A3264,#REF!)</f>
        <v>#REF!</v>
      </c>
      <c r="G3264" s="1597" t="e">
        <f t="shared" si="364"/>
        <v>#REF!</v>
      </c>
      <c r="H3264" s="1644" t="e">
        <f t="shared" si="365"/>
        <v>#REF!</v>
      </c>
      <c r="I3264" s="1597" t="e">
        <f t="shared" si="366"/>
        <v>#REF!</v>
      </c>
      <c r="J3264" s="1644" t="e">
        <f t="shared" si="367"/>
        <v>#REF!</v>
      </c>
      <c r="K3264" s="1539"/>
      <c r="L3264" s="1539"/>
      <c r="M3264" s="1545"/>
      <c r="N3264" s="1545"/>
      <c r="O3264" s="1539"/>
      <c r="P3264" s="1539"/>
      <c r="Q3264" s="1539"/>
      <c r="R3264" s="1539"/>
      <c r="S3264" s="1539"/>
      <c r="T3264" s="1539"/>
      <c r="U3264" s="1539"/>
      <c r="V3264" s="1539"/>
      <c r="W3264" s="1539"/>
      <c r="X3264" s="1539"/>
      <c r="Y3264" s="1539"/>
      <c r="Z3264" s="1539"/>
      <c r="AA3264" s="1539"/>
      <c r="AB3264" s="1539"/>
      <c r="AC3264" s="1539"/>
      <c r="AD3264" s="1539"/>
      <c r="AE3264" s="1539"/>
      <c r="AF3264" s="1539"/>
      <c r="AG3264" s="1539"/>
      <c r="AH3264" s="1539"/>
      <c r="AI3264" s="1539"/>
      <c r="AJ3264" s="1539"/>
      <c r="AK3264" s="1539"/>
      <c r="AL3264" s="1539"/>
      <c r="AM3264" s="1539"/>
      <c r="AN3264" s="1539"/>
      <c r="AO3264" s="1539"/>
      <c r="AP3264" s="1539"/>
      <c r="AQ3264" s="1539"/>
      <c r="AR3264" s="1539"/>
      <c r="AS3264" s="1539"/>
      <c r="AT3264" s="1539"/>
      <c r="AU3264" s="1539"/>
      <c r="AV3264" s="1539"/>
      <c r="AW3264" s="1539"/>
      <c r="AX3264" s="1539"/>
      <c r="AY3264" s="1539"/>
      <c r="AZ3264" s="1539"/>
      <c r="BA3264" s="1539"/>
      <c r="BB3264" s="1539"/>
      <c r="BC3264" s="1539"/>
      <c r="BD3264" s="1539"/>
      <c r="BE3264" s="1539"/>
      <c r="BF3264" s="1539"/>
      <c r="BG3264" s="1539"/>
      <c r="BH3264" s="1539"/>
      <c r="BI3264" s="1539"/>
      <c r="BJ3264" s="1539"/>
      <c r="BK3264" s="1539"/>
      <c r="BL3264" s="1539"/>
      <c r="BM3264" s="1539"/>
      <c r="BN3264" s="1539"/>
      <c r="BO3264" s="1539"/>
      <c r="BP3264" s="1539"/>
      <c r="BQ3264" s="1539"/>
      <c r="BR3264" s="1539"/>
      <c r="BS3264" s="1539"/>
      <c r="BT3264" s="1539"/>
      <c r="BU3264" s="1539"/>
      <c r="BV3264" s="1539"/>
      <c r="BW3264" s="1539"/>
      <c r="BX3264" s="1539"/>
      <c r="BY3264" s="1539"/>
      <c r="BZ3264" s="1539"/>
      <c r="CA3264" s="1539"/>
      <c r="CB3264" s="1539"/>
      <c r="CC3264" s="1539"/>
      <c r="CD3264" s="1539"/>
      <c r="CE3264" s="1539"/>
      <c r="CF3264" s="1539"/>
      <c r="CG3264" s="1539"/>
      <c r="CH3264" s="1539"/>
      <c r="CI3264" s="1539"/>
      <c r="CJ3264" s="1539"/>
      <c r="CK3264" s="1539"/>
      <c r="CL3264" s="1539"/>
      <c r="CM3264" s="1539"/>
      <c r="CN3264" s="1539"/>
      <c r="CO3264" s="1539"/>
    </row>
    <row r="3265" spans="1:93" s="1543" customFormat="1" ht="15.5">
      <c r="A3265" s="1598">
        <v>76.182000000000002</v>
      </c>
      <c r="B3265" s="1599" t="s">
        <v>3979</v>
      </c>
      <c r="C3265" s="1643" t="e">
        <f>+SUMIF(#REF!,Final!A3265,#REF!)</f>
        <v>#REF!</v>
      </c>
      <c r="D3265" s="1597" t="e">
        <f>+SUMIF(#REF!,Final!A3265,#REF!)</f>
        <v>#REF!</v>
      </c>
      <c r="E3265" s="1643" t="e">
        <f>SUMIF(#REF!,Final!A3265,#REF!)</f>
        <v>#REF!</v>
      </c>
      <c r="F3265" s="1644" t="e">
        <f>SUMIF(#REF!,Final!A3265,#REF!)</f>
        <v>#REF!</v>
      </c>
      <c r="G3265" s="1597" t="e">
        <f t="shared" si="364"/>
        <v>#REF!</v>
      </c>
      <c r="H3265" s="1644" t="e">
        <f t="shared" si="365"/>
        <v>#REF!</v>
      </c>
      <c r="I3265" s="1597" t="e">
        <f t="shared" si="366"/>
        <v>#REF!</v>
      </c>
      <c r="J3265" s="1644" t="e">
        <f t="shared" si="367"/>
        <v>#REF!</v>
      </c>
      <c r="K3265" s="1539"/>
      <c r="L3265" s="1539"/>
      <c r="M3265" s="1545"/>
      <c r="N3265" s="1545"/>
      <c r="O3265" s="1539"/>
      <c r="P3265" s="1539"/>
      <c r="Q3265" s="1539"/>
      <c r="R3265" s="1539"/>
      <c r="S3265" s="1539"/>
      <c r="T3265" s="1539"/>
      <c r="U3265" s="1539"/>
      <c r="V3265" s="1539"/>
      <c r="W3265" s="1539"/>
      <c r="X3265" s="1539"/>
      <c r="Y3265" s="1539"/>
      <c r="Z3265" s="1539"/>
      <c r="AA3265" s="1539"/>
      <c r="AB3265" s="1539"/>
      <c r="AC3265" s="1539"/>
      <c r="AD3265" s="1539"/>
      <c r="AE3265" s="1539"/>
      <c r="AF3265" s="1539"/>
      <c r="AG3265" s="1539"/>
      <c r="AH3265" s="1539"/>
      <c r="AI3265" s="1539"/>
      <c r="AJ3265" s="1539"/>
      <c r="AK3265" s="1539"/>
      <c r="AL3265" s="1539"/>
      <c r="AM3265" s="1539"/>
      <c r="AN3265" s="1539"/>
      <c r="AO3265" s="1539"/>
      <c r="AP3265" s="1539"/>
      <c r="AQ3265" s="1539"/>
      <c r="AR3265" s="1539"/>
      <c r="AS3265" s="1539"/>
      <c r="AT3265" s="1539"/>
      <c r="AU3265" s="1539"/>
      <c r="AV3265" s="1539"/>
      <c r="AW3265" s="1539"/>
      <c r="AX3265" s="1539"/>
      <c r="AY3265" s="1539"/>
      <c r="AZ3265" s="1539"/>
      <c r="BA3265" s="1539"/>
      <c r="BB3265" s="1539"/>
      <c r="BC3265" s="1539"/>
      <c r="BD3265" s="1539"/>
      <c r="BE3265" s="1539"/>
      <c r="BF3265" s="1539"/>
      <c r="BG3265" s="1539"/>
      <c r="BH3265" s="1539"/>
      <c r="BI3265" s="1539"/>
      <c r="BJ3265" s="1539"/>
      <c r="BK3265" s="1539"/>
      <c r="BL3265" s="1539"/>
      <c r="BM3265" s="1539"/>
      <c r="BN3265" s="1539"/>
      <c r="BO3265" s="1539"/>
      <c r="BP3265" s="1539"/>
      <c r="BQ3265" s="1539"/>
      <c r="BR3265" s="1539"/>
      <c r="BS3265" s="1539"/>
      <c r="BT3265" s="1539"/>
      <c r="BU3265" s="1539"/>
      <c r="BV3265" s="1539"/>
      <c r="BW3265" s="1539"/>
      <c r="BX3265" s="1539"/>
      <c r="BY3265" s="1539"/>
      <c r="BZ3265" s="1539"/>
      <c r="CA3265" s="1539"/>
      <c r="CB3265" s="1539"/>
      <c r="CC3265" s="1539"/>
      <c r="CD3265" s="1539"/>
      <c r="CE3265" s="1539"/>
      <c r="CF3265" s="1539"/>
      <c r="CG3265" s="1539"/>
      <c r="CH3265" s="1539"/>
      <c r="CI3265" s="1539"/>
      <c r="CJ3265" s="1539"/>
      <c r="CK3265" s="1539"/>
      <c r="CL3265" s="1539"/>
      <c r="CM3265" s="1539"/>
      <c r="CN3265" s="1539"/>
      <c r="CO3265" s="1539"/>
    </row>
    <row r="3266" spans="1:93" s="1543" customFormat="1" ht="15.5">
      <c r="A3266" s="1598">
        <v>76.183000000000007</v>
      </c>
      <c r="B3266" s="1599" t="s">
        <v>3980</v>
      </c>
      <c r="C3266" s="1643" t="e">
        <f>+SUMIF(#REF!,Final!A3266,#REF!)</f>
        <v>#REF!</v>
      </c>
      <c r="D3266" s="1597" t="e">
        <f>+SUMIF(#REF!,Final!A3266,#REF!)</f>
        <v>#REF!</v>
      </c>
      <c r="E3266" s="1643" t="e">
        <f>SUMIF(#REF!,Final!A3266,#REF!)</f>
        <v>#REF!</v>
      </c>
      <c r="F3266" s="1644" t="e">
        <f>SUMIF(#REF!,Final!A3266,#REF!)</f>
        <v>#REF!</v>
      </c>
      <c r="G3266" s="1597" t="e">
        <f t="shared" ref="G3266:G3329" si="368">C3266+E3266</f>
        <v>#REF!</v>
      </c>
      <c r="H3266" s="1644" t="e">
        <f t="shared" ref="H3266:H3329" si="369">D3266+F3266</f>
        <v>#REF!</v>
      </c>
      <c r="I3266" s="1597" t="e">
        <f t="shared" ref="I3266:I3329" si="370">IF(G3266&gt;H3266,G3266-H3266,0)</f>
        <v>#REF!</v>
      </c>
      <c r="J3266" s="1644" t="e">
        <f t="shared" ref="J3266:J3329" si="371">IF(H3266&gt;G3266,H3266-G3266,0)</f>
        <v>#REF!</v>
      </c>
      <c r="K3266" s="1539"/>
      <c r="L3266" s="1539"/>
      <c r="M3266" s="1545"/>
      <c r="N3266" s="1545"/>
      <c r="O3266" s="1539"/>
      <c r="P3266" s="1539"/>
      <c r="Q3266" s="1539"/>
      <c r="R3266" s="1539"/>
      <c r="S3266" s="1539"/>
      <c r="T3266" s="1539"/>
      <c r="U3266" s="1539"/>
      <c r="V3266" s="1539"/>
      <c r="W3266" s="1539"/>
      <c r="X3266" s="1539"/>
      <c r="Y3266" s="1539"/>
      <c r="Z3266" s="1539"/>
      <c r="AA3266" s="1539"/>
      <c r="AB3266" s="1539"/>
      <c r="AC3266" s="1539"/>
      <c r="AD3266" s="1539"/>
      <c r="AE3266" s="1539"/>
      <c r="AF3266" s="1539"/>
      <c r="AG3266" s="1539"/>
      <c r="AH3266" s="1539"/>
      <c r="AI3266" s="1539"/>
      <c r="AJ3266" s="1539"/>
      <c r="AK3266" s="1539"/>
      <c r="AL3266" s="1539"/>
      <c r="AM3266" s="1539"/>
      <c r="AN3266" s="1539"/>
      <c r="AO3266" s="1539"/>
      <c r="AP3266" s="1539"/>
      <c r="AQ3266" s="1539"/>
      <c r="AR3266" s="1539"/>
      <c r="AS3266" s="1539"/>
      <c r="AT3266" s="1539"/>
      <c r="AU3266" s="1539"/>
      <c r="AV3266" s="1539"/>
      <c r="AW3266" s="1539"/>
      <c r="AX3266" s="1539"/>
      <c r="AY3266" s="1539"/>
      <c r="AZ3266" s="1539"/>
      <c r="BA3266" s="1539"/>
      <c r="BB3266" s="1539"/>
      <c r="BC3266" s="1539"/>
      <c r="BD3266" s="1539"/>
      <c r="BE3266" s="1539"/>
      <c r="BF3266" s="1539"/>
      <c r="BG3266" s="1539"/>
      <c r="BH3266" s="1539"/>
      <c r="BI3266" s="1539"/>
      <c r="BJ3266" s="1539"/>
      <c r="BK3266" s="1539"/>
      <c r="BL3266" s="1539"/>
      <c r="BM3266" s="1539"/>
      <c r="BN3266" s="1539"/>
      <c r="BO3266" s="1539"/>
      <c r="BP3266" s="1539"/>
      <c r="BQ3266" s="1539"/>
      <c r="BR3266" s="1539"/>
      <c r="BS3266" s="1539"/>
      <c r="BT3266" s="1539"/>
      <c r="BU3266" s="1539"/>
      <c r="BV3266" s="1539"/>
      <c r="BW3266" s="1539"/>
      <c r="BX3266" s="1539"/>
      <c r="BY3266" s="1539"/>
      <c r="BZ3266" s="1539"/>
      <c r="CA3266" s="1539"/>
      <c r="CB3266" s="1539"/>
      <c r="CC3266" s="1539"/>
      <c r="CD3266" s="1539"/>
      <c r="CE3266" s="1539"/>
      <c r="CF3266" s="1539"/>
      <c r="CG3266" s="1539"/>
      <c r="CH3266" s="1539"/>
      <c r="CI3266" s="1539"/>
      <c r="CJ3266" s="1539"/>
      <c r="CK3266" s="1539"/>
      <c r="CL3266" s="1539"/>
      <c r="CM3266" s="1539"/>
      <c r="CN3266" s="1539"/>
      <c r="CO3266" s="1539"/>
    </row>
    <row r="3267" spans="1:93" s="1543" customFormat="1" ht="15.5">
      <c r="A3267" s="1598">
        <v>76.183999999999997</v>
      </c>
      <c r="B3267" s="1599" t="s">
        <v>3981</v>
      </c>
      <c r="C3267" s="1643" t="e">
        <f>+SUMIF(#REF!,Final!A3267,#REF!)</f>
        <v>#REF!</v>
      </c>
      <c r="D3267" s="1597" t="e">
        <f>+SUMIF(#REF!,Final!A3267,#REF!)</f>
        <v>#REF!</v>
      </c>
      <c r="E3267" s="1643" t="e">
        <f>SUMIF(#REF!,Final!A3267,#REF!)</f>
        <v>#REF!</v>
      </c>
      <c r="F3267" s="1644" t="e">
        <f>SUMIF(#REF!,Final!A3267,#REF!)</f>
        <v>#REF!</v>
      </c>
      <c r="G3267" s="1597" t="e">
        <f t="shared" si="368"/>
        <v>#REF!</v>
      </c>
      <c r="H3267" s="1644" t="e">
        <f t="shared" si="369"/>
        <v>#REF!</v>
      </c>
      <c r="I3267" s="1597" t="e">
        <f t="shared" si="370"/>
        <v>#REF!</v>
      </c>
      <c r="J3267" s="1644" t="e">
        <f t="shared" si="371"/>
        <v>#REF!</v>
      </c>
      <c r="K3267" s="1539"/>
      <c r="L3267" s="1539"/>
      <c r="M3267" s="1545"/>
      <c r="N3267" s="1545"/>
      <c r="O3267" s="1539"/>
      <c r="P3267" s="1539"/>
      <c r="Q3267" s="1539"/>
      <c r="R3267" s="1539"/>
      <c r="S3267" s="1539"/>
      <c r="T3267" s="1539"/>
      <c r="U3267" s="1539"/>
      <c r="V3267" s="1539"/>
      <c r="W3267" s="1539"/>
      <c r="X3267" s="1539"/>
      <c r="Y3267" s="1539"/>
      <c r="Z3267" s="1539"/>
      <c r="AA3267" s="1539"/>
      <c r="AB3267" s="1539"/>
      <c r="AC3267" s="1539"/>
      <c r="AD3267" s="1539"/>
      <c r="AE3267" s="1539"/>
      <c r="AF3267" s="1539"/>
      <c r="AG3267" s="1539"/>
      <c r="AH3267" s="1539"/>
      <c r="AI3267" s="1539"/>
      <c r="AJ3267" s="1539"/>
      <c r="AK3267" s="1539"/>
      <c r="AL3267" s="1539"/>
      <c r="AM3267" s="1539"/>
      <c r="AN3267" s="1539"/>
      <c r="AO3267" s="1539"/>
      <c r="AP3267" s="1539"/>
      <c r="AQ3267" s="1539"/>
      <c r="AR3267" s="1539"/>
      <c r="AS3267" s="1539"/>
      <c r="AT3267" s="1539"/>
      <c r="AU3267" s="1539"/>
      <c r="AV3267" s="1539"/>
      <c r="AW3267" s="1539"/>
      <c r="AX3267" s="1539"/>
      <c r="AY3267" s="1539"/>
      <c r="AZ3267" s="1539"/>
      <c r="BA3267" s="1539"/>
      <c r="BB3267" s="1539"/>
      <c r="BC3267" s="1539"/>
      <c r="BD3267" s="1539"/>
      <c r="BE3267" s="1539"/>
      <c r="BF3267" s="1539"/>
      <c r="BG3267" s="1539"/>
      <c r="BH3267" s="1539"/>
      <c r="BI3267" s="1539"/>
      <c r="BJ3267" s="1539"/>
      <c r="BK3267" s="1539"/>
      <c r="BL3267" s="1539"/>
      <c r="BM3267" s="1539"/>
      <c r="BN3267" s="1539"/>
      <c r="BO3267" s="1539"/>
      <c r="BP3267" s="1539"/>
      <c r="BQ3267" s="1539"/>
      <c r="BR3267" s="1539"/>
      <c r="BS3267" s="1539"/>
      <c r="BT3267" s="1539"/>
      <c r="BU3267" s="1539"/>
      <c r="BV3267" s="1539"/>
      <c r="BW3267" s="1539"/>
      <c r="BX3267" s="1539"/>
      <c r="BY3267" s="1539"/>
      <c r="BZ3267" s="1539"/>
      <c r="CA3267" s="1539"/>
      <c r="CB3267" s="1539"/>
      <c r="CC3267" s="1539"/>
      <c r="CD3267" s="1539"/>
      <c r="CE3267" s="1539"/>
      <c r="CF3267" s="1539"/>
      <c r="CG3267" s="1539"/>
      <c r="CH3267" s="1539"/>
      <c r="CI3267" s="1539"/>
      <c r="CJ3267" s="1539"/>
      <c r="CK3267" s="1539"/>
      <c r="CL3267" s="1539"/>
      <c r="CM3267" s="1539"/>
      <c r="CN3267" s="1539"/>
      <c r="CO3267" s="1539"/>
    </row>
    <row r="3268" spans="1:93" s="1543" customFormat="1" ht="15.5">
      <c r="A3268" s="1598">
        <v>76.185000000000002</v>
      </c>
      <c r="B3268" s="1599" t="s">
        <v>3982</v>
      </c>
      <c r="C3268" s="1643" t="e">
        <f>+SUMIF(#REF!,Final!A3268,#REF!)</f>
        <v>#REF!</v>
      </c>
      <c r="D3268" s="1597" t="e">
        <f>+SUMIF(#REF!,Final!A3268,#REF!)</f>
        <v>#REF!</v>
      </c>
      <c r="E3268" s="1643" t="e">
        <f>SUMIF(#REF!,Final!A3268,#REF!)</f>
        <v>#REF!</v>
      </c>
      <c r="F3268" s="1644" t="e">
        <f>SUMIF(#REF!,Final!A3268,#REF!)</f>
        <v>#REF!</v>
      </c>
      <c r="G3268" s="1597" t="e">
        <f t="shared" si="368"/>
        <v>#REF!</v>
      </c>
      <c r="H3268" s="1644" t="e">
        <f t="shared" si="369"/>
        <v>#REF!</v>
      </c>
      <c r="I3268" s="1597" t="e">
        <f t="shared" si="370"/>
        <v>#REF!</v>
      </c>
      <c r="J3268" s="1644" t="e">
        <f t="shared" si="371"/>
        <v>#REF!</v>
      </c>
      <c r="K3268" s="1539"/>
      <c r="L3268" s="1539"/>
      <c r="M3268" s="1545"/>
      <c r="N3268" s="1545"/>
      <c r="O3268" s="1539"/>
      <c r="P3268" s="1539"/>
      <c r="Q3268" s="1539"/>
      <c r="R3268" s="1539"/>
      <c r="S3268" s="1539"/>
      <c r="T3268" s="1539"/>
      <c r="U3268" s="1539"/>
      <c r="V3268" s="1539"/>
      <c r="W3268" s="1539"/>
      <c r="X3268" s="1539"/>
      <c r="Y3268" s="1539"/>
      <c r="Z3268" s="1539"/>
      <c r="AA3268" s="1539"/>
      <c r="AB3268" s="1539"/>
      <c r="AC3268" s="1539"/>
      <c r="AD3268" s="1539"/>
      <c r="AE3268" s="1539"/>
      <c r="AF3268" s="1539"/>
      <c r="AG3268" s="1539"/>
      <c r="AH3268" s="1539"/>
      <c r="AI3268" s="1539"/>
      <c r="AJ3268" s="1539"/>
      <c r="AK3268" s="1539"/>
      <c r="AL3268" s="1539"/>
      <c r="AM3268" s="1539"/>
      <c r="AN3268" s="1539"/>
      <c r="AO3268" s="1539"/>
      <c r="AP3268" s="1539"/>
      <c r="AQ3268" s="1539"/>
      <c r="AR3268" s="1539"/>
      <c r="AS3268" s="1539"/>
      <c r="AT3268" s="1539"/>
      <c r="AU3268" s="1539"/>
      <c r="AV3268" s="1539"/>
      <c r="AW3268" s="1539"/>
      <c r="AX3268" s="1539"/>
      <c r="AY3268" s="1539"/>
      <c r="AZ3268" s="1539"/>
      <c r="BA3268" s="1539"/>
      <c r="BB3268" s="1539"/>
      <c r="BC3268" s="1539"/>
      <c r="BD3268" s="1539"/>
      <c r="BE3268" s="1539"/>
      <c r="BF3268" s="1539"/>
      <c r="BG3268" s="1539"/>
      <c r="BH3268" s="1539"/>
      <c r="BI3268" s="1539"/>
      <c r="BJ3268" s="1539"/>
      <c r="BK3268" s="1539"/>
      <c r="BL3268" s="1539"/>
      <c r="BM3268" s="1539"/>
      <c r="BN3268" s="1539"/>
      <c r="BO3268" s="1539"/>
      <c r="BP3268" s="1539"/>
      <c r="BQ3268" s="1539"/>
      <c r="BR3268" s="1539"/>
      <c r="BS3268" s="1539"/>
      <c r="BT3268" s="1539"/>
      <c r="BU3268" s="1539"/>
      <c r="BV3268" s="1539"/>
      <c r="BW3268" s="1539"/>
      <c r="BX3268" s="1539"/>
      <c r="BY3268" s="1539"/>
      <c r="BZ3268" s="1539"/>
      <c r="CA3268" s="1539"/>
      <c r="CB3268" s="1539"/>
      <c r="CC3268" s="1539"/>
      <c r="CD3268" s="1539"/>
      <c r="CE3268" s="1539"/>
      <c r="CF3268" s="1539"/>
      <c r="CG3268" s="1539"/>
      <c r="CH3268" s="1539"/>
      <c r="CI3268" s="1539"/>
      <c r="CJ3268" s="1539"/>
      <c r="CK3268" s="1539"/>
      <c r="CL3268" s="1539"/>
      <c r="CM3268" s="1539"/>
      <c r="CN3268" s="1539"/>
      <c r="CO3268" s="1539"/>
    </row>
    <row r="3269" spans="1:93" s="1543" customFormat="1" ht="15.5">
      <c r="A3269" s="1598">
        <v>76.186000000000007</v>
      </c>
      <c r="B3269" s="1599" t="s">
        <v>3983</v>
      </c>
      <c r="C3269" s="1643" t="e">
        <f>+SUMIF(#REF!,Final!A3269,#REF!)</f>
        <v>#REF!</v>
      </c>
      <c r="D3269" s="1597" t="e">
        <f>+SUMIF(#REF!,Final!A3269,#REF!)</f>
        <v>#REF!</v>
      </c>
      <c r="E3269" s="1643" t="e">
        <f>SUMIF(#REF!,Final!A3269,#REF!)</f>
        <v>#REF!</v>
      </c>
      <c r="F3269" s="1644" t="e">
        <f>SUMIF(#REF!,Final!A3269,#REF!)</f>
        <v>#REF!</v>
      </c>
      <c r="G3269" s="1597" t="e">
        <f t="shared" si="368"/>
        <v>#REF!</v>
      </c>
      <c r="H3269" s="1644" t="e">
        <f t="shared" si="369"/>
        <v>#REF!</v>
      </c>
      <c r="I3269" s="1597" t="e">
        <f t="shared" si="370"/>
        <v>#REF!</v>
      </c>
      <c r="J3269" s="1644" t="e">
        <f t="shared" si="371"/>
        <v>#REF!</v>
      </c>
      <c r="K3269" s="1539"/>
      <c r="L3269" s="1539"/>
      <c r="M3269" s="1545"/>
      <c r="N3269" s="1545"/>
      <c r="O3269" s="1539"/>
      <c r="P3269" s="1539"/>
      <c r="Q3269" s="1539"/>
      <c r="R3269" s="1539"/>
      <c r="S3269" s="1539"/>
      <c r="T3269" s="1539"/>
      <c r="U3269" s="1539"/>
      <c r="V3269" s="1539"/>
      <c r="W3269" s="1539"/>
      <c r="X3269" s="1539"/>
      <c r="Y3269" s="1539"/>
      <c r="Z3269" s="1539"/>
      <c r="AA3269" s="1539"/>
      <c r="AB3269" s="1539"/>
      <c r="AC3269" s="1539"/>
      <c r="AD3269" s="1539"/>
      <c r="AE3269" s="1539"/>
      <c r="AF3269" s="1539"/>
      <c r="AG3269" s="1539"/>
      <c r="AH3269" s="1539"/>
      <c r="AI3269" s="1539"/>
      <c r="AJ3269" s="1539"/>
      <c r="AK3269" s="1539"/>
      <c r="AL3269" s="1539"/>
      <c r="AM3269" s="1539"/>
      <c r="AN3269" s="1539"/>
      <c r="AO3269" s="1539"/>
      <c r="AP3269" s="1539"/>
      <c r="AQ3269" s="1539"/>
      <c r="AR3269" s="1539"/>
      <c r="AS3269" s="1539"/>
      <c r="AT3269" s="1539"/>
      <c r="AU3269" s="1539"/>
      <c r="AV3269" s="1539"/>
      <c r="AW3269" s="1539"/>
      <c r="AX3269" s="1539"/>
      <c r="AY3269" s="1539"/>
      <c r="AZ3269" s="1539"/>
      <c r="BA3269" s="1539"/>
      <c r="BB3269" s="1539"/>
      <c r="BC3269" s="1539"/>
      <c r="BD3269" s="1539"/>
      <c r="BE3269" s="1539"/>
      <c r="BF3269" s="1539"/>
      <c r="BG3269" s="1539"/>
      <c r="BH3269" s="1539"/>
      <c r="BI3269" s="1539"/>
      <c r="BJ3269" s="1539"/>
      <c r="BK3269" s="1539"/>
      <c r="BL3269" s="1539"/>
      <c r="BM3269" s="1539"/>
      <c r="BN3269" s="1539"/>
      <c r="BO3269" s="1539"/>
      <c r="BP3269" s="1539"/>
      <c r="BQ3269" s="1539"/>
      <c r="BR3269" s="1539"/>
      <c r="BS3269" s="1539"/>
      <c r="BT3269" s="1539"/>
      <c r="BU3269" s="1539"/>
      <c r="BV3269" s="1539"/>
      <c r="BW3269" s="1539"/>
      <c r="BX3269" s="1539"/>
      <c r="BY3269" s="1539"/>
      <c r="BZ3269" s="1539"/>
      <c r="CA3269" s="1539"/>
      <c r="CB3269" s="1539"/>
      <c r="CC3269" s="1539"/>
      <c r="CD3269" s="1539"/>
      <c r="CE3269" s="1539"/>
      <c r="CF3269" s="1539"/>
      <c r="CG3269" s="1539"/>
      <c r="CH3269" s="1539"/>
      <c r="CI3269" s="1539"/>
      <c r="CJ3269" s="1539"/>
      <c r="CK3269" s="1539"/>
      <c r="CL3269" s="1539"/>
      <c r="CM3269" s="1539"/>
      <c r="CN3269" s="1539"/>
      <c r="CO3269" s="1539"/>
    </row>
    <row r="3270" spans="1:93" s="1543" customFormat="1" ht="15.5">
      <c r="A3270" s="1598">
        <v>76.186999999999998</v>
      </c>
      <c r="B3270" s="1599" t="s">
        <v>3984</v>
      </c>
      <c r="C3270" s="1643" t="e">
        <f>+SUMIF(#REF!,Final!A3270,#REF!)</f>
        <v>#REF!</v>
      </c>
      <c r="D3270" s="1597" t="e">
        <f>+SUMIF(#REF!,Final!A3270,#REF!)</f>
        <v>#REF!</v>
      </c>
      <c r="E3270" s="1643" t="e">
        <f>SUMIF(#REF!,Final!A3270,#REF!)</f>
        <v>#REF!</v>
      </c>
      <c r="F3270" s="1644" t="e">
        <f>SUMIF(#REF!,Final!A3270,#REF!)</f>
        <v>#REF!</v>
      </c>
      <c r="G3270" s="1597" t="e">
        <f t="shared" si="368"/>
        <v>#REF!</v>
      </c>
      <c r="H3270" s="1644" t="e">
        <f t="shared" si="369"/>
        <v>#REF!</v>
      </c>
      <c r="I3270" s="1597" t="e">
        <f t="shared" si="370"/>
        <v>#REF!</v>
      </c>
      <c r="J3270" s="1644" t="e">
        <f t="shared" si="371"/>
        <v>#REF!</v>
      </c>
      <c r="K3270" s="1539"/>
      <c r="L3270" s="1539"/>
      <c r="M3270" s="1545"/>
      <c r="N3270" s="1545"/>
      <c r="O3270" s="1539"/>
      <c r="P3270" s="1539"/>
      <c r="Q3270" s="1539"/>
      <c r="R3270" s="1539"/>
      <c r="S3270" s="1539"/>
      <c r="T3270" s="1539"/>
      <c r="U3270" s="1539"/>
      <c r="V3270" s="1539"/>
      <c r="W3270" s="1539"/>
      <c r="X3270" s="1539"/>
      <c r="Y3270" s="1539"/>
      <c r="Z3270" s="1539"/>
      <c r="AA3270" s="1539"/>
      <c r="AB3270" s="1539"/>
      <c r="AC3270" s="1539"/>
      <c r="AD3270" s="1539"/>
      <c r="AE3270" s="1539"/>
      <c r="AF3270" s="1539"/>
      <c r="AG3270" s="1539"/>
      <c r="AH3270" s="1539"/>
      <c r="AI3270" s="1539"/>
      <c r="AJ3270" s="1539"/>
      <c r="AK3270" s="1539"/>
      <c r="AL3270" s="1539"/>
      <c r="AM3270" s="1539"/>
      <c r="AN3270" s="1539"/>
      <c r="AO3270" s="1539"/>
      <c r="AP3270" s="1539"/>
      <c r="AQ3270" s="1539"/>
      <c r="AR3270" s="1539"/>
      <c r="AS3270" s="1539"/>
      <c r="AT3270" s="1539"/>
      <c r="AU3270" s="1539"/>
      <c r="AV3270" s="1539"/>
      <c r="AW3270" s="1539"/>
      <c r="AX3270" s="1539"/>
      <c r="AY3270" s="1539"/>
      <c r="AZ3270" s="1539"/>
      <c r="BA3270" s="1539"/>
      <c r="BB3270" s="1539"/>
      <c r="BC3270" s="1539"/>
      <c r="BD3270" s="1539"/>
      <c r="BE3270" s="1539"/>
      <c r="BF3270" s="1539"/>
      <c r="BG3270" s="1539"/>
      <c r="BH3270" s="1539"/>
      <c r="BI3270" s="1539"/>
      <c r="BJ3270" s="1539"/>
      <c r="BK3270" s="1539"/>
      <c r="BL3270" s="1539"/>
      <c r="BM3270" s="1539"/>
      <c r="BN3270" s="1539"/>
      <c r="BO3270" s="1539"/>
      <c r="BP3270" s="1539"/>
      <c r="BQ3270" s="1539"/>
      <c r="BR3270" s="1539"/>
      <c r="BS3270" s="1539"/>
      <c r="BT3270" s="1539"/>
      <c r="BU3270" s="1539"/>
      <c r="BV3270" s="1539"/>
      <c r="BW3270" s="1539"/>
      <c r="BX3270" s="1539"/>
      <c r="BY3270" s="1539"/>
      <c r="BZ3270" s="1539"/>
      <c r="CA3270" s="1539"/>
      <c r="CB3270" s="1539"/>
      <c r="CC3270" s="1539"/>
      <c r="CD3270" s="1539"/>
      <c r="CE3270" s="1539"/>
      <c r="CF3270" s="1539"/>
      <c r="CG3270" s="1539"/>
      <c r="CH3270" s="1539"/>
      <c r="CI3270" s="1539"/>
      <c r="CJ3270" s="1539"/>
      <c r="CK3270" s="1539"/>
      <c r="CL3270" s="1539"/>
      <c r="CM3270" s="1539"/>
      <c r="CN3270" s="1539"/>
      <c r="CO3270" s="1539"/>
    </row>
    <row r="3271" spans="1:93" s="1543" customFormat="1" ht="15.5">
      <c r="A3271" s="1598">
        <v>76.188000000000002</v>
      </c>
      <c r="B3271" s="1599" t="s">
        <v>3985</v>
      </c>
      <c r="C3271" s="1643" t="e">
        <f>+SUMIF(#REF!,Final!A3271,#REF!)</f>
        <v>#REF!</v>
      </c>
      <c r="D3271" s="1597" t="e">
        <f>+SUMIF(#REF!,Final!A3271,#REF!)</f>
        <v>#REF!</v>
      </c>
      <c r="E3271" s="1643" t="e">
        <f>SUMIF(#REF!,Final!A3271,#REF!)</f>
        <v>#REF!</v>
      </c>
      <c r="F3271" s="1644" t="e">
        <f>SUMIF(#REF!,Final!A3271,#REF!)</f>
        <v>#REF!</v>
      </c>
      <c r="G3271" s="1597" t="e">
        <f t="shared" si="368"/>
        <v>#REF!</v>
      </c>
      <c r="H3271" s="1644" t="e">
        <f t="shared" si="369"/>
        <v>#REF!</v>
      </c>
      <c r="I3271" s="1597" t="e">
        <f t="shared" si="370"/>
        <v>#REF!</v>
      </c>
      <c r="J3271" s="1644" t="e">
        <f t="shared" si="371"/>
        <v>#REF!</v>
      </c>
      <c r="K3271" s="1539"/>
      <c r="L3271" s="1539"/>
      <c r="M3271" s="1545"/>
      <c r="N3271" s="1545"/>
      <c r="O3271" s="1539"/>
      <c r="P3271" s="1539"/>
      <c r="Q3271" s="1539"/>
      <c r="R3271" s="1539"/>
      <c r="S3271" s="1539"/>
      <c r="T3271" s="1539"/>
      <c r="U3271" s="1539"/>
      <c r="V3271" s="1539"/>
      <c r="W3271" s="1539"/>
      <c r="X3271" s="1539"/>
      <c r="Y3271" s="1539"/>
      <c r="Z3271" s="1539"/>
      <c r="AA3271" s="1539"/>
      <c r="AB3271" s="1539"/>
      <c r="AC3271" s="1539"/>
      <c r="AD3271" s="1539"/>
      <c r="AE3271" s="1539"/>
      <c r="AF3271" s="1539"/>
      <c r="AG3271" s="1539"/>
      <c r="AH3271" s="1539"/>
      <c r="AI3271" s="1539"/>
      <c r="AJ3271" s="1539"/>
      <c r="AK3271" s="1539"/>
      <c r="AL3271" s="1539"/>
      <c r="AM3271" s="1539"/>
      <c r="AN3271" s="1539"/>
      <c r="AO3271" s="1539"/>
      <c r="AP3271" s="1539"/>
      <c r="AQ3271" s="1539"/>
      <c r="AR3271" s="1539"/>
      <c r="AS3271" s="1539"/>
      <c r="AT3271" s="1539"/>
      <c r="AU3271" s="1539"/>
      <c r="AV3271" s="1539"/>
      <c r="AW3271" s="1539"/>
      <c r="AX3271" s="1539"/>
      <c r="AY3271" s="1539"/>
      <c r="AZ3271" s="1539"/>
      <c r="BA3271" s="1539"/>
      <c r="BB3271" s="1539"/>
      <c r="BC3271" s="1539"/>
      <c r="BD3271" s="1539"/>
      <c r="BE3271" s="1539"/>
      <c r="BF3271" s="1539"/>
      <c r="BG3271" s="1539"/>
      <c r="BH3271" s="1539"/>
      <c r="BI3271" s="1539"/>
      <c r="BJ3271" s="1539"/>
      <c r="BK3271" s="1539"/>
      <c r="BL3271" s="1539"/>
      <c r="BM3271" s="1539"/>
      <c r="BN3271" s="1539"/>
      <c r="BO3271" s="1539"/>
      <c r="BP3271" s="1539"/>
      <c r="BQ3271" s="1539"/>
      <c r="BR3271" s="1539"/>
      <c r="BS3271" s="1539"/>
      <c r="BT3271" s="1539"/>
      <c r="BU3271" s="1539"/>
      <c r="BV3271" s="1539"/>
      <c r="BW3271" s="1539"/>
      <c r="BX3271" s="1539"/>
      <c r="BY3271" s="1539"/>
      <c r="BZ3271" s="1539"/>
      <c r="CA3271" s="1539"/>
      <c r="CB3271" s="1539"/>
      <c r="CC3271" s="1539"/>
      <c r="CD3271" s="1539"/>
      <c r="CE3271" s="1539"/>
      <c r="CF3271" s="1539"/>
      <c r="CG3271" s="1539"/>
      <c r="CH3271" s="1539"/>
      <c r="CI3271" s="1539"/>
      <c r="CJ3271" s="1539"/>
      <c r="CK3271" s="1539"/>
      <c r="CL3271" s="1539"/>
      <c r="CM3271" s="1539"/>
      <c r="CN3271" s="1539"/>
      <c r="CO3271" s="1539"/>
    </row>
    <row r="3272" spans="1:93" s="1543" customFormat="1" ht="15.5">
      <c r="A3272" s="1598">
        <v>76.188999999999993</v>
      </c>
      <c r="B3272" s="1599" t="s">
        <v>3986</v>
      </c>
      <c r="C3272" s="1643" t="e">
        <f>+SUMIF(#REF!,Final!A3272,#REF!)</f>
        <v>#REF!</v>
      </c>
      <c r="D3272" s="1597" t="e">
        <f>+SUMIF(#REF!,Final!A3272,#REF!)</f>
        <v>#REF!</v>
      </c>
      <c r="E3272" s="1643" t="e">
        <f>SUMIF(#REF!,Final!A3272,#REF!)</f>
        <v>#REF!</v>
      </c>
      <c r="F3272" s="1644" t="e">
        <f>SUMIF(#REF!,Final!A3272,#REF!)</f>
        <v>#REF!</v>
      </c>
      <c r="G3272" s="1597" t="e">
        <f t="shared" si="368"/>
        <v>#REF!</v>
      </c>
      <c r="H3272" s="1644" t="e">
        <f t="shared" si="369"/>
        <v>#REF!</v>
      </c>
      <c r="I3272" s="1597" t="e">
        <f t="shared" si="370"/>
        <v>#REF!</v>
      </c>
      <c r="J3272" s="1644" t="e">
        <f t="shared" si="371"/>
        <v>#REF!</v>
      </c>
      <c r="K3272" s="1539"/>
      <c r="L3272" s="1539"/>
      <c r="M3272" s="1545"/>
      <c r="N3272" s="1545"/>
      <c r="O3272" s="1539"/>
      <c r="P3272" s="1539"/>
      <c r="Q3272" s="1539"/>
      <c r="R3272" s="1539"/>
      <c r="S3272" s="1539"/>
      <c r="T3272" s="1539"/>
      <c r="U3272" s="1539"/>
      <c r="V3272" s="1539"/>
      <c r="W3272" s="1539"/>
      <c r="X3272" s="1539"/>
      <c r="Y3272" s="1539"/>
      <c r="Z3272" s="1539"/>
      <c r="AA3272" s="1539"/>
      <c r="AB3272" s="1539"/>
      <c r="AC3272" s="1539"/>
      <c r="AD3272" s="1539"/>
      <c r="AE3272" s="1539"/>
      <c r="AF3272" s="1539"/>
      <c r="AG3272" s="1539"/>
      <c r="AH3272" s="1539"/>
      <c r="AI3272" s="1539"/>
      <c r="AJ3272" s="1539"/>
      <c r="AK3272" s="1539"/>
      <c r="AL3272" s="1539"/>
      <c r="AM3272" s="1539"/>
      <c r="AN3272" s="1539"/>
      <c r="AO3272" s="1539"/>
      <c r="AP3272" s="1539"/>
      <c r="AQ3272" s="1539"/>
      <c r="AR3272" s="1539"/>
      <c r="AS3272" s="1539"/>
      <c r="AT3272" s="1539"/>
      <c r="AU3272" s="1539"/>
      <c r="AV3272" s="1539"/>
      <c r="AW3272" s="1539"/>
      <c r="AX3272" s="1539"/>
      <c r="AY3272" s="1539"/>
      <c r="AZ3272" s="1539"/>
      <c r="BA3272" s="1539"/>
      <c r="BB3272" s="1539"/>
      <c r="BC3272" s="1539"/>
      <c r="BD3272" s="1539"/>
      <c r="BE3272" s="1539"/>
      <c r="BF3272" s="1539"/>
      <c r="BG3272" s="1539"/>
      <c r="BH3272" s="1539"/>
      <c r="BI3272" s="1539"/>
      <c r="BJ3272" s="1539"/>
      <c r="BK3272" s="1539"/>
      <c r="BL3272" s="1539"/>
      <c r="BM3272" s="1539"/>
      <c r="BN3272" s="1539"/>
      <c r="BO3272" s="1539"/>
      <c r="BP3272" s="1539"/>
      <c r="BQ3272" s="1539"/>
      <c r="BR3272" s="1539"/>
      <c r="BS3272" s="1539"/>
      <c r="BT3272" s="1539"/>
      <c r="BU3272" s="1539"/>
      <c r="BV3272" s="1539"/>
      <c r="BW3272" s="1539"/>
      <c r="BX3272" s="1539"/>
      <c r="BY3272" s="1539"/>
      <c r="BZ3272" s="1539"/>
      <c r="CA3272" s="1539"/>
      <c r="CB3272" s="1539"/>
      <c r="CC3272" s="1539"/>
      <c r="CD3272" s="1539"/>
      <c r="CE3272" s="1539"/>
      <c r="CF3272" s="1539"/>
      <c r="CG3272" s="1539"/>
      <c r="CH3272" s="1539"/>
      <c r="CI3272" s="1539"/>
      <c r="CJ3272" s="1539"/>
      <c r="CK3272" s="1539"/>
      <c r="CL3272" s="1539"/>
      <c r="CM3272" s="1539"/>
      <c r="CN3272" s="1539"/>
      <c r="CO3272" s="1539"/>
    </row>
    <row r="3273" spans="1:93" s="1542" customFormat="1" ht="15.5">
      <c r="A3273" s="1598">
        <v>76.19</v>
      </c>
      <c r="B3273" s="1599" t="s">
        <v>1170</v>
      </c>
      <c r="C3273" s="1643" t="e">
        <f>+SUMIF(#REF!,Final!A3273,#REF!)</f>
        <v>#REF!</v>
      </c>
      <c r="D3273" s="1597" t="e">
        <f>+SUMIF(#REF!,Final!A3273,#REF!)</f>
        <v>#REF!</v>
      </c>
      <c r="E3273" s="1643" t="e">
        <f>SUMIF(#REF!,Final!A3273,#REF!)</f>
        <v>#REF!</v>
      </c>
      <c r="F3273" s="1644" t="e">
        <f>SUMIF(#REF!,Final!A3273,#REF!)</f>
        <v>#REF!</v>
      </c>
      <c r="G3273" s="1597" t="e">
        <f t="shared" si="368"/>
        <v>#REF!</v>
      </c>
      <c r="H3273" s="1644" t="e">
        <f t="shared" si="369"/>
        <v>#REF!</v>
      </c>
      <c r="I3273" s="1597" t="e">
        <f t="shared" si="370"/>
        <v>#REF!</v>
      </c>
      <c r="J3273" s="1644" t="e">
        <f t="shared" si="371"/>
        <v>#REF!</v>
      </c>
      <c r="K3273" s="1539"/>
      <c r="L3273" s="1539"/>
      <c r="M3273" s="1545"/>
      <c r="N3273" s="1545"/>
      <c r="O3273" s="1539"/>
      <c r="P3273" s="1539"/>
      <c r="Q3273" s="1539"/>
      <c r="R3273" s="1539"/>
      <c r="S3273" s="1539"/>
      <c r="T3273" s="1539"/>
      <c r="U3273" s="1539"/>
      <c r="V3273" s="1539"/>
      <c r="W3273" s="1539"/>
      <c r="X3273" s="1539"/>
      <c r="Y3273" s="1539"/>
      <c r="Z3273" s="1539"/>
      <c r="AA3273" s="1539"/>
      <c r="AB3273" s="1539"/>
      <c r="AC3273" s="1539"/>
      <c r="AD3273" s="1539"/>
      <c r="AE3273" s="1539"/>
      <c r="AF3273" s="1539"/>
      <c r="AG3273" s="1539"/>
      <c r="AH3273" s="1539"/>
      <c r="AI3273" s="1539"/>
      <c r="AJ3273" s="1539"/>
      <c r="AK3273" s="1539"/>
      <c r="AL3273" s="1539"/>
      <c r="AM3273" s="1539"/>
      <c r="AN3273" s="1539"/>
      <c r="AO3273" s="1539"/>
      <c r="AP3273" s="1539"/>
      <c r="AQ3273" s="1539"/>
      <c r="AR3273" s="1539"/>
      <c r="AS3273" s="1539"/>
      <c r="AT3273" s="1539"/>
      <c r="AU3273" s="1539"/>
      <c r="AV3273" s="1539"/>
      <c r="AW3273" s="1539"/>
      <c r="AX3273" s="1539"/>
      <c r="AY3273" s="1539"/>
      <c r="AZ3273" s="1539"/>
      <c r="BA3273" s="1539"/>
      <c r="BB3273" s="1539"/>
      <c r="BC3273" s="1539"/>
      <c r="BD3273" s="1539"/>
      <c r="BE3273" s="1539"/>
      <c r="BF3273" s="1539"/>
      <c r="BG3273" s="1539"/>
      <c r="BH3273" s="1539"/>
      <c r="BI3273" s="1539"/>
      <c r="BJ3273" s="1539"/>
      <c r="BK3273" s="1539"/>
      <c r="BL3273" s="1539"/>
      <c r="BM3273" s="1539"/>
      <c r="BN3273" s="1539"/>
      <c r="BO3273" s="1539"/>
      <c r="BP3273" s="1539"/>
      <c r="BQ3273" s="1539"/>
      <c r="BR3273" s="1539"/>
      <c r="BS3273" s="1539"/>
      <c r="BT3273" s="1539"/>
      <c r="BU3273" s="1539"/>
      <c r="BV3273" s="1539"/>
      <c r="BW3273" s="1539"/>
      <c r="BX3273" s="1539"/>
      <c r="BY3273" s="1539"/>
      <c r="BZ3273" s="1539"/>
      <c r="CA3273" s="1539"/>
      <c r="CB3273" s="1539"/>
      <c r="CC3273" s="1539"/>
      <c r="CD3273" s="1539"/>
      <c r="CE3273" s="1539"/>
      <c r="CF3273" s="1539"/>
      <c r="CG3273" s="1539"/>
      <c r="CH3273" s="1539"/>
      <c r="CI3273" s="1539"/>
      <c r="CJ3273" s="1539"/>
      <c r="CK3273" s="1539"/>
      <c r="CL3273" s="1539"/>
      <c r="CM3273" s="1539"/>
      <c r="CN3273" s="1539"/>
      <c r="CO3273" s="1539"/>
    </row>
    <row r="3274" spans="1:93" s="1542" customFormat="1" ht="15.5">
      <c r="A3274" s="1598">
        <v>76.191000000000003</v>
      </c>
      <c r="B3274" s="1599" t="s">
        <v>3987</v>
      </c>
      <c r="C3274" s="1643" t="e">
        <f>+SUMIF(#REF!,Final!A3274,#REF!)</f>
        <v>#REF!</v>
      </c>
      <c r="D3274" s="1597" t="e">
        <f>+SUMIF(#REF!,Final!A3274,#REF!)</f>
        <v>#REF!</v>
      </c>
      <c r="E3274" s="1643" t="e">
        <f>SUMIF(#REF!,Final!A3274,#REF!)</f>
        <v>#REF!</v>
      </c>
      <c r="F3274" s="1644" t="e">
        <f>SUMIF(#REF!,Final!A3274,#REF!)</f>
        <v>#REF!</v>
      </c>
      <c r="G3274" s="1597" t="e">
        <f t="shared" si="368"/>
        <v>#REF!</v>
      </c>
      <c r="H3274" s="1644" t="e">
        <f t="shared" si="369"/>
        <v>#REF!</v>
      </c>
      <c r="I3274" s="1597" t="e">
        <f t="shared" si="370"/>
        <v>#REF!</v>
      </c>
      <c r="J3274" s="1644" t="e">
        <f t="shared" si="371"/>
        <v>#REF!</v>
      </c>
      <c r="K3274" s="1539"/>
      <c r="L3274" s="1539"/>
      <c r="M3274" s="1545"/>
      <c r="N3274" s="1545"/>
      <c r="O3274" s="1539"/>
      <c r="P3274" s="1539"/>
      <c r="Q3274" s="1539"/>
      <c r="R3274" s="1539"/>
      <c r="S3274" s="1539"/>
      <c r="T3274" s="1539"/>
      <c r="U3274" s="1539"/>
      <c r="V3274" s="1539"/>
      <c r="W3274" s="1539"/>
      <c r="X3274" s="1539"/>
      <c r="Y3274" s="1539"/>
      <c r="Z3274" s="1539"/>
      <c r="AA3274" s="1539"/>
      <c r="AB3274" s="1539"/>
      <c r="AC3274" s="1539"/>
      <c r="AD3274" s="1539"/>
      <c r="AE3274" s="1539"/>
      <c r="AF3274" s="1539"/>
      <c r="AG3274" s="1539"/>
      <c r="AH3274" s="1539"/>
      <c r="AI3274" s="1539"/>
      <c r="AJ3274" s="1539"/>
      <c r="AK3274" s="1539"/>
      <c r="AL3274" s="1539"/>
      <c r="AM3274" s="1539"/>
      <c r="AN3274" s="1539"/>
      <c r="AO3274" s="1539"/>
      <c r="AP3274" s="1539"/>
      <c r="AQ3274" s="1539"/>
      <c r="AR3274" s="1539"/>
      <c r="AS3274" s="1539"/>
      <c r="AT3274" s="1539"/>
      <c r="AU3274" s="1539"/>
      <c r="AV3274" s="1539"/>
      <c r="AW3274" s="1539"/>
      <c r="AX3274" s="1539"/>
      <c r="AY3274" s="1539"/>
      <c r="AZ3274" s="1539"/>
      <c r="BA3274" s="1539"/>
      <c r="BB3274" s="1539"/>
      <c r="BC3274" s="1539"/>
      <c r="BD3274" s="1539"/>
      <c r="BE3274" s="1539"/>
      <c r="BF3274" s="1539"/>
      <c r="BG3274" s="1539"/>
      <c r="BH3274" s="1539"/>
      <c r="BI3274" s="1539"/>
      <c r="BJ3274" s="1539"/>
      <c r="BK3274" s="1539"/>
      <c r="BL3274" s="1539"/>
      <c r="BM3274" s="1539"/>
      <c r="BN3274" s="1539"/>
      <c r="BO3274" s="1539"/>
      <c r="BP3274" s="1539"/>
      <c r="BQ3274" s="1539"/>
      <c r="BR3274" s="1539"/>
      <c r="BS3274" s="1539"/>
      <c r="BT3274" s="1539"/>
      <c r="BU3274" s="1539"/>
      <c r="BV3274" s="1539"/>
      <c r="BW3274" s="1539"/>
      <c r="BX3274" s="1539"/>
      <c r="BY3274" s="1539"/>
      <c r="BZ3274" s="1539"/>
      <c r="CA3274" s="1539"/>
      <c r="CB3274" s="1539"/>
      <c r="CC3274" s="1539"/>
      <c r="CD3274" s="1539"/>
      <c r="CE3274" s="1539"/>
      <c r="CF3274" s="1539"/>
      <c r="CG3274" s="1539"/>
      <c r="CH3274" s="1539"/>
      <c r="CI3274" s="1539"/>
      <c r="CJ3274" s="1539"/>
      <c r="CK3274" s="1539"/>
      <c r="CL3274" s="1539"/>
      <c r="CM3274" s="1539"/>
      <c r="CN3274" s="1539"/>
      <c r="CO3274" s="1539"/>
    </row>
    <row r="3275" spans="1:93" s="1543" customFormat="1" ht="15.5">
      <c r="A3275" s="1598">
        <v>76.195999999999998</v>
      </c>
      <c r="B3275" s="1599" t="s">
        <v>3248</v>
      </c>
      <c r="C3275" s="1643" t="e">
        <f>+SUMIF(#REF!,Final!A3275,#REF!)</f>
        <v>#REF!</v>
      </c>
      <c r="D3275" s="1597" t="e">
        <f>+SUMIF(#REF!,Final!A3275,#REF!)</f>
        <v>#REF!</v>
      </c>
      <c r="E3275" s="1643" t="e">
        <f>SUMIF(#REF!,Final!A3275,#REF!)</f>
        <v>#REF!</v>
      </c>
      <c r="F3275" s="1644" t="e">
        <f>SUMIF(#REF!,Final!A3275,#REF!)</f>
        <v>#REF!</v>
      </c>
      <c r="G3275" s="1597" t="e">
        <f t="shared" si="368"/>
        <v>#REF!</v>
      </c>
      <c r="H3275" s="1644" t="e">
        <f t="shared" si="369"/>
        <v>#REF!</v>
      </c>
      <c r="I3275" s="1597" t="e">
        <f t="shared" si="370"/>
        <v>#REF!</v>
      </c>
      <c r="J3275" s="1644" t="e">
        <f t="shared" si="371"/>
        <v>#REF!</v>
      </c>
      <c r="K3275" s="1539"/>
      <c r="L3275" s="1539"/>
      <c r="M3275" s="1545"/>
      <c r="N3275" s="1545"/>
      <c r="O3275" s="1539"/>
      <c r="P3275" s="1539"/>
      <c r="Q3275" s="1539"/>
      <c r="R3275" s="1539"/>
      <c r="S3275" s="1539"/>
      <c r="T3275" s="1539"/>
      <c r="U3275" s="1539"/>
      <c r="V3275" s="1539"/>
      <c r="W3275" s="1539"/>
      <c r="X3275" s="1539"/>
      <c r="Y3275" s="1539"/>
      <c r="Z3275" s="1539"/>
      <c r="AA3275" s="1539"/>
      <c r="AB3275" s="1539"/>
      <c r="AC3275" s="1539"/>
      <c r="AD3275" s="1539"/>
      <c r="AE3275" s="1539"/>
      <c r="AF3275" s="1539"/>
      <c r="AG3275" s="1539"/>
      <c r="AH3275" s="1539"/>
      <c r="AI3275" s="1539"/>
      <c r="AJ3275" s="1539"/>
      <c r="AK3275" s="1539"/>
      <c r="AL3275" s="1539"/>
      <c r="AM3275" s="1539"/>
      <c r="AN3275" s="1539"/>
      <c r="AO3275" s="1539"/>
      <c r="AP3275" s="1539"/>
      <c r="AQ3275" s="1539"/>
      <c r="AR3275" s="1539"/>
      <c r="AS3275" s="1539"/>
      <c r="AT3275" s="1539"/>
      <c r="AU3275" s="1539"/>
      <c r="AV3275" s="1539"/>
      <c r="AW3275" s="1539"/>
      <c r="AX3275" s="1539"/>
      <c r="AY3275" s="1539"/>
      <c r="AZ3275" s="1539"/>
      <c r="BA3275" s="1539"/>
      <c r="BB3275" s="1539"/>
      <c r="BC3275" s="1539"/>
      <c r="BD3275" s="1539"/>
      <c r="BE3275" s="1539"/>
      <c r="BF3275" s="1539"/>
      <c r="BG3275" s="1539"/>
      <c r="BH3275" s="1539"/>
      <c r="BI3275" s="1539"/>
      <c r="BJ3275" s="1539"/>
      <c r="BK3275" s="1539"/>
      <c r="BL3275" s="1539"/>
      <c r="BM3275" s="1539"/>
      <c r="BN3275" s="1539"/>
      <c r="BO3275" s="1539"/>
      <c r="BP3275" s="1539"/>
      <c r="BQ3275" s="1539"/>
      <c r="BR3275" s="1539"/>
      <c r="BS3275" s="1539"/>
      <c r="BT3275" s="1539"/>
      <c r="BU3275" s="1539"/>
      <c r="BV3275" s="1539"/>
      <c r="BW3275" s="1539"/>
      <c r="BX3275" s="1539"/>
      <c r="BY3275" s="1539"/>
      <c r="BZ3275" s="1539"/>
      <c r="CA3275" s="1539"/>
      <c r="CB3275" s="1539"/>
      <c r="CC3275" s="1539"/>
      <c r="CD3275" s="1539"/>
      <c r="CE3275" s="1539"/>
      <c r="CF3275" s="1539"/>
      <c r="CG3275" s="1539"/>
      <c r="CH3275" s="1539"/>
      <c r="CI3275" s="1539"/>
      <c r="CJ3275" s="1539"/>
      <c r="CK3275" s="1539"/>
      <c r="CL3275" s="1539"/>
      <c r="CM3275" s="1539"/>
      <c r="CN3275" s="1539"/>
      <c r="CO3275" s="1539"/>
    </row>
    <row r="3276" spans="1:93" s="1552" customFormat="1" ht="15.5">
      <c r="A3276" s="1598"/>
      <c r="B3276" s="1599" t="s">
        <v>1747</v>
      </c>
      <c r="C3276" s="1643" t="e">
        <f>+SUMIF(#REF!,Final!A3276,#REF!)</f>
        <v>#REF!</v>
      </c>
      <c r="D3276" s="1597" t="e">
        <f>+SUMIF(#REF!,Final!A3276,#REF!)</f>
        <v>#REF!</v>
      </c>
      <c r="E3276" s="1643" t="e">
        <f>SUMIF(#REF!,Final!A3276,#REF!)</f>
        <v>#REF!</v>
      </c>
      <c r="F3276" s="1644" t="e">
        <f>SUMIF(#REF!,Final!A3276,#REF!)</f>
        <v>#REF!</v>
      </c>
      <c r="G3276" s="1597" t="e">
        <f t="shared" si="368"/>
        <v>#REF!</v>
      </c>
      <c r="H3276" s="1644" t="e">
        <f t="shared" si="369"/>
        <v>#REF!</v>
      </c>
      <c r="I3276" s="1597" t="e">
        <f t="shared" si="370"/>
        <v>#REF!</v>
      </c>
      <c r="J3276" s="1644" t="e">
        <f t="shared" si="371"/>
        <v>#REF!</v>
      </c>
      <c r="K3276" s="1539"/>
      <c r="L3276" s="1539"/>
      <c r="M3276" s="1545"/>
      <c r="N3276" s="1545"/>
      <c r="O3276" s="1539"/>
      <c r="P3276" s="1539"/>
      <c r="Q3276" s="1539"/>
      <c r="R3276" s="1539"/>
      <c r="S3276" s="1539"/>
      <c r="T3276" s="1539"/>
      <c r="U3276" s="1539"/>
      <c r="V3276" s="1539"/>
      <c r="W3276" s="1539"/>
      <c r="X3276" s="1539"/>
      <c r="Y3276" s="1539"/>
      <c r="Z3276" s="1539"/>
      <c r="AA3276" s="1539"/>
      <c r="AB3276" s="1539"/>
      <c r="AC3276" s="1539"/>
      <c r="AD3276" s="1539"/>
      <c r="AE3276" s="1539"/>
      <c r="AF3276" s="1539"/>
      <c r="AG3276" s="1539"/>
      <c r="AH3276" s="1539"/>
      <c r="AI3276" s="1539"/>
      <c r="AJ3276" s="1539"/>
      <c r="AK3276" s="1539"/>
      <c r="AL3276" s="1539"/>
      <c r="AM3276" s="1539"/>
      <c r="AN3276" s="1539"/>
      <c r="AO3276" s="1539"/>
      <c r="AP3276" s="1539"/>
      <c r="AQ3276" s="1539"/>
      <c r="AR3276" s="1539"/>
      <c r="AS3276" s="1539"/>
      <c r="AT3276" s="1539"/>
      <c r="AU3276" s="1539"/>
      <c r="AV3276" s="1539"/>
      <c r="AW3276" s="1539"/>
      <c r="AX3276" s="1539"/>
      <c r="AY3276" s="1539"/>
      <c r="AZ3276" s="1539"/>
      <c r="BA3276" s="1539"/>
      <c r="BB3276" s="1539"/>
      <c r="BC3276" s="1539"/>
      <c r="BD3276" s="1539"/>
      <c r="BE3276" s="1539"/>
      <c r="BF3276" s="1539"/>
      <c r="BG3276" s="1539"/>
      <c r="BH3276" s="1539"/>
      <c r="BI3276" s="1539"/>
      <c r="BJ3276" s="1539"/>
      <c r="BK3276" s="1539"/>
      <c r="BL3276" s="1539"/>
      <c r="BM3276" s="1539"/>
      <c r="BN3276" s="1539"/>
      <c r="BO3276" s="1539"/>
      <c r="BP3276" s="1539"/>
      <c r="BQ3276" s="1539"/>
      <c r="BR3276" s="1539"/>
      <c r="BS3276" s="1539"/>
      <c r="BT3276" s="1539"/>
      <c r="BU3276" s="1539"/>
      <c r="BV3276" s="1539"/>
      <c r="BW3276" s="1539"/>
      <c r="BX3276" s="1539"/>
      <c r="BY3276" s="1539"/>
      <c r="BZ3276" s="1539"/>
      <c r="CA3276" s="1539"/>
      <c r="CB3276" s="1539"/>
      <c r="CC3276" s="1539"/>
      <c r="CD3276" s="1539"/>
      <c r="CE3276" s="1539"/>
      <c r="CF3276" s="1539"/>
      <c r="CG3276" s="1539"/>
      <c r="CH3276" s="1539"/>
      <c r="CI3276" s="1539"/>
      <c r="CJ3276" s="1539"/>
      <c r="CK3276" s="1539"/>
      <c r="CL3276" s="1539"/>
      <c r="CM3276" s="1539"/>
      <c r="CN3276" s="1539"/>
      <c r="CO3276" s="1539"/>
    </row>
    <row r="3277" spans="1:93" s="1552" customFormat="1" ht="15.5">
      <c r="A3277" s="1598"/>
      <c r="B3277" s="1599" t="s">
        <v>1760</v>
      </c>
      <c r="C3277" s="1643" t="e">
        <f>+SUMIF(#REF!,Final!A3277,#REF!)</f>
        <v>#REF!</v>
      </c>
      <c r="D3277" s="1597" t="e">
        <f>+SUMIF(#REF!,Final!A3277,#REF!)</f>
        <v>#REF!</v>
      </c>
      <c r="E3277" s="1643" t="e">
        <f>SUMIF(#REF!,Final!A3277,#REF!)</f>
        <v>#REF!</v>
      </c>
      <c r="F3277" s="1644" t="e">
        <f>SUMIF(#REF!,Final!A3277,#REF!)</f>
        <v>#REF!</v>
      </c>
      <c r="G3277" s="1597" t="e">
        <f t="shared" si="368"/>
        <v>#REF!</v>
      </c>
      <c r="H3277" s="1644" t="e">
        <f t="shared" si="369"/>
        <v>#REF!</v>
      </c>
      <c r="I3277" s="1597" t="e">
        <f t="shared" si="370"/>
        <v>#REF!</v>
      </c>
      <c r="J3277" s="1644" t="e">
        <f t="shared" si="371"/>
        <v>#REF!</v>
      </c>
      <c r="K3277" s="1539"/>
      <c r="L3277" s="1539"/>
      <c r="M3277" s="1545"/>
      <c r="N3277" s="1545"/>
      <c r="O3277" s="1539"/>
      <c r="P3277" s="1539"/>
      <c r="Q3277" s="1539"/>
      <c r="R3277" s="1539"/>
      <c r="S3277" s="1539"/>
      <c r="T3277" s="1539"/>
      <c r="U3277" s="1539"/>
      <c r="V3277" s="1539"/>
      <c r="W3277" s="1539"/>
      <c r="X3277" s="1539"/>
      <c r="Y3277" s="1539"/>
      <c r="Z3277" s="1539"/>
      <c r="AA3277" s="1539"/>
      <c r="AB3277" s="1539"/>
      <c r="AC3277" s="1539"/>
      <c r="AD3277" s="1539"/>
      <c r="AE3277" s="1539"/>
      <c r="AF3277" s="1539"/>
      <c r="AG3277" s="1539"/>
      <c r="AH3277" s="1539"/>
      <c r="AI3277" s="1539"/>
      <c r="AJ3277" s="1539"/>
      <c r="AK3277" s="1539"/>
      <c r="AL3277" s="1539"/>
      <c r="AM3277" s="1539"/>
      <c r="AN3277" s="1539"/>
      <c r="AO3277" s="1539"/>
      <c r="AP3277" s="1539"/>
      <c r="AQ3277" s="1539"/>
      <c r="AR3277" s="1539"/>
      <c r="AS3277" s="1539"/>
      <c r="AT3277" s="1539"/>
      <c r="AU3277" s="1539"/>
      <c r="AV3277" s="1539"/>
      <c r="AW3277" s="1539"/>
      <c r="AX3277" s="1539"/>
      <c r="AY3277" s="1539"/>
      <c r="AZ3277" s="1539"/>
      <c r="BA3277" s="1539"/>
      <c r="BB3277" s="1539"/>
      <c r="BC3277" s="1539"/>
      <c r="BD3277" s="1539"/>
      <c r="BE3277" s="1539"/>
      <c r="BF3277" s="1539"/>
      <c r="BG3277" s="1539"/>
      <c r="BH3277" s="1539"/>
      <c r="BI3277" s="1539"/>
      <c r="BJ3277" s="1539"/>
      <c r="BK3277" s="1539"/>
      <c r="BL3277" s="1539"/>
      <c r="BM3277" s="1539"/>
      <c r="BN3277" s="1539"/>
      <c r="BO3277" s="1539"/>
      <c r="BP3277" s="1539"/>
      <c r="BQ3277" s="1539"/>
      <c r="BR3277" s="1539"/>
      <c r="BS3277" s="1539"/>
      <c r="BT3277" s="1539"/>
      <c r="BU3277" s="1539"/>
      <c r="BV3277" s="1539"/>
      <c r="BW3277" s="1539"/>
      <c r="BX3277" s="1539"/>
      <c r="BY3277" s="1539"/>
      <c r="BZ3277" s="1539"/>
      <c r="CA3277" s="1539"/>
      <c r="CB3277" s="1539"/>
      <c r="CC3277" s="1539"/>
      <c r="CD3277" s="1539"/>
      <c r="CE3277" s="1539"/>
      <c r="CF3277" s="1539"/>
      <c r="CG3277" s="1539"/>
      <c r="CH3277" s="1539"/>
      <c r="CI3277" s="1539"/>
      <c r="CJ3277" s="1539"/>
      <c r="CK3277" s="1539"/>
      <c r="CL3277" s="1539"/>
      <c r="CM3277" s="1539"/>
      <c r="CN3277" s="1539"/>
      <c r="CO3277" s="1539"/>
    </row>
    <row r="3278" spans="1:93" s="1542" customFormat="1" ht="15.5">
      <c r="A3278" s="1598">
        <v>35</v>
      </c>
      <c r="B3278" s="1599" t="s">
        <v>3207</v>
      </c>
      <c r="C3278" s="1643" t="e">
        <f>+SUMIF(#REF!,Final!A3278,#REF!)</f>
        <v>#REF!</v>
      </c>
      <c r="D3278" s="1597" t="e">
        <f>+SUMIF(#REF!,Final!A3278,#REF!)</f>
        <v>#REF!</v>
      </c>
      <c r="E3278" s="1643" t="e">
        <f>SUMIF(#REF!,Final!A3278,#REF!)</f>
        <v>#REF!</v>
      </c>
      <c r="F3278" s="1644" t="e">
        <f>SUMIF(#REF!,Final!A3278,#REF!)</f>
        <v>#REF!</v>
      </c>
      <c r="G3278" s="1597" t="e">
        <f t="shared" si="368"/>
        <v>#REF!</v>
      </c>
      <c r="H3278" s="1644" t="e">
        <f t="shared" si="369"/>
        <v>#REF!</v>
      </c>
      <c r="I3278" s="1597" t="e">
        <f t="shared" si="370"/>
        <v>#REF!</v>
      </c>
      <c r="J3278" s="1644" t="e">
        <f t="shared" si="371"/>
        <v>#REF!</v>
      </c>
      <c r="K3278" s="1539"/>
      <c r="L3278" s="1539"/>
      <c r="M3278" s="1545"/>
      <c r="N3278" s="1545"/>
      <c r="O3278" s="1539"/>
      <c r="P3278" s="1539"/>
      <c r="Q3278" s="1539"/>
      <c r="R3278" s="1539"/>
      <c r="S3278" s="1539"/>
      <c r="T3278" s="1539"/>
      <c r="U3278" s="1539"/>
      <c r="V3278" s="1539"/>
      <c r="W3278" s="1539"/>
      <c r="X3278" s="1539"/>
      <c r="Y3278" s="1539"/>
      <c r="Z3278" s="1539"/>
      <c r="AA3278" s="1539"/>
      <c r="AB3278" s="1539"/>
      <c r="AC3278" s="1539"/>
      <c r="AD3278" s="1539"/>
      <c r="AE3278" s="1539"/>
      <c r="AF3278" s="1539"/>
      <c r="AG3278" s="1539"/>
      <c r="AH3278" s="1539"/>
      <c r="AI3278" s="1539"/>
      <c r="AJ3278" s="1539"/>
      <c r="AK3278" s="1539"/>
      <c r="AL3278" s="1539"/>
      <c r="AM3278" s="1539"/>
      <c r="AN3278" s="1539"/>
      <c r="AO3278" s="1539"/>
      <c r="AP3278" s="1539"/>
      <c r="AQ3278" s="1539"/>
      <c r="AR3278" s="1539"/>
      <c r="AS3278" s="1539"/>
      <c r="AT3278" s="1539"/>
      <c r="AU3278" s="1539"/>
      <c r="AV3278" s="1539"/>
      <c r="AW3278" s="1539"/>
      <c r="AX3278" s="1539"/>
      <c r="AY3278" s="1539"/>
      <c r="AZ3278" s="1539"/>
      <c r="BA3278" s="1539"/>
      <c r="BB3278" s="1539"/>
      <c r="BC3278" s="1539"/>
      <c r="BD3278" s="1539"/>
      <c r="BE3278" s="1539"/>
      <c r="BF3278" s="1539"/>
      <c r="BG3278" s="1539"/>
      <c r="BH3278" s="1539"/>
      <c r="BI3278" s="1539"/>
      <c r="BJ3278" s="1539"/>
      <c r="BK3278" s="1539"/>
      <c r="BL3278" s="1539"/>
      <c r="BM3278" s="1539"/>
      <c r="BN3278" s="1539"/>
      <c r="BO3278" s="1539"/>
      <c r="BP3278" s="1539"/>
      <c r="BQ3278" s="1539"/>
      <c r="BR3278" s="1539"/>
      <c r="BS3278" s="1539"/>
      <c r="BT3278" s="1539"/>
      <c r="BU3278" s="1539"/>
      <c r="BV3278" s="1539"/>
      <c r="BW3278" s="1539"/>
      <c r="BX3278" s="1539"/>
      <c r="BY3278" s="1539"/>
      <c r="BZ3278" s="1539"/>
      <c r="CA3278" s="1539"/>
      <c r="CB3278" s="1539"/>
      <c r="CC3278" s="1539"/>
      <c r="CD3278" s="1539"/>
      <c r="CE3278" s="1539"/>
      <c r="CF3278" s="1539"/>
      <c r="CG3278" s="1539"/>
      <c r="CH3278" s="1539"/>
      <c r="CI3278" s="1539"/>
      <c r="CJ3278" s="1539"/>
      <c r="CK3278" s="1539"/>
      <c r="CL3278" s="1539"/>
      <c r="CM3278" s="1539"/>
      <c r="CN3278" s="1539"/>
      <c r="CO3278" s="1539"/>
    </row>
    <row r="3279" spans="1:93" s="1542" customFormat="1" ht="15.5">
      <c r="A3279" s="1598" t="s">
        <v>1827</v>
      </c>
      <c r="B3279" s="1599" t="s">
        <v>3249</v>
      </c>
      <c r="C3279" s="1643" t="e">
        <f>+SUMIF(#REF!,Final!A3279,#REF!)</f>
        <v>#REF!</v>
      </c>
      <c r="D3279" s="1597" t="e">
        <f>+SUMIF(#REF!,Final!A3279,#REF!)</f>
        <v>#REF!</v>
      </c>
      <c r="E3279" s="1643" t="e">
        <f>SUMIF(#REF!,Final!A3279,#REF!)</f>
        <v>#REF!</v>
      </c>
      <c r="F3279" s="1644" t="e">
        <f>SUMIF(#REF!,Final!A3279,#REF!)</f>
        <v>#REF!</v>
      </c>
      <c r="G3279" s="1597" t="e">
        <f t="shared" si="368"/>
        <v>#REF!</v>
      </c>
      <c r="H3279" s="1644" t="e">
        <f t="shared" si="369"/>
        <v>#REF!</v>
      </c>
      <c r="I3279" s="1597" t="e">
        <f t="shared" si="370"/>
        <v>#REF!</v>
      </c>
      <c r="J3279" s="1644" t="e">
        <f t="shared" si="371"/>
        <v>#REF!</v>
      </c>
      <c r="K3279" s="1539"/>
      <c r="L3279" s="1539"/>
      <c r="M3279" s="1545"/>
      <c r="N3279" s="1545"/>
      <c r="O3279" s="1539"/>
      <c r="P3279" s="1539"/>
      <c r="Q3279" s="1539"/>
      <c r="R3279" s="1539"/>
      <c r="S3279" s="1539"/>
      <c r="T3279" s="1539"/>
      <c r="U3279" s="1539"/>
      <c r="V3279" s="1539"/>
      <c r="W3279" s="1539"/>
      <c r="X3279" s="1539"/>
      <c r="Y3279" s="1539"/>
      <c r="Z3279" s="1539"/>
      <c r="AA3279" s="1539"/>
      <c r="AB3279" s="1539"/>
      <c r="AC3279" s="1539"/>
      <c r="AD3279" s="1539"/>
      <c r="AE3279" s="1539"/>
      <c r="AF3279" s="1539"/>
      <c r="AG3279" s="1539"/>
      <c r="AH3279" s="1539"/>
      <c r="AI3279" s="1539"/>
      <c r="AJ3279" s="1539"/>
      <c r="AK3279" s="1539"/>
      <c r="AL3279" s="1539"/>
      <c r="AM3279" s="1539"/>
      <c r="AN3279" s="1539"/>
      <c r="AO3279" s="1539"/>
      <c r="AP3279" s="1539"/>
      <c r="AQ3279" s="1539"/>
      <c r="AR3279" s="1539"/>
      <c r="AS3279" s="1539"/>
      <c r="AT3279" s="1539"/>
      <c r="AU3279" s="1539"/>
      <c r="AV3279" s="1539"/>
      <c r="AW3279" s="1539"/>
      <c r="AX3279" s="1539"/>
      <c r="AY3279" s="1539"/>
      <c r="AZ3279" s="1539"/>
      <c r="BA3279" s="1539"/>
      <c r="BB3279" s="1539"/>
      <c r="BC3279" s="1539"/>
      <c r="BD3279" s="1539"/>
      <c r="BE3279" s="1539"/>
      <c r="BF3279" s="1539"/>
      <c r="BG3279" s="1539"/>
      <c r="BH3279" s="1539"/>
      <c r="BI3279" s="1539"/>
      <c r="BJ3279" s="1539"/>
      <c r="BK3279" s="1539"/>
      <c r="BL3279" s="1539"/>
      <c r="BM3279" s="1539"/>
      <c r="BN3279" s="1539"/>
      <c r="BO3279" s="1539"/>
      <c r="BP3279" s="1539"/>
      <c r="BQ3279" s="1539"/>
      <c r="BR3279" s="1539"/>
      <c r="BS3279" s="1539"/>
      <c r="BT3279" s="1539"/>
      <c r="BU3279" s="1539"/>
      <c r="BV3279" s="1539"/>
      <c r="BW3279" s="1539"/>
      <c r="BX3279" s="1539"/>
      <c r="BY3279" s="1539"/>
      <c r="BZ3279" s="1539"/>
      <c r="CA3279" s="1539"/>
      <c r="CB3279" s="1539"/>
      <c r="CC3279" s="1539"/>
      <c r="CD3279" s="1539"/>
      <c r="CE3279" s="1539"/>
      <c r="CF3279" s="1539"/>
      <c r="CG3279" s="1539"/>
      <c r="CH3279" s="1539"/>
      <c r="CI3279" s="1539"/>
      <c r="CJ3279" s="1539"/>
      <c r="CK3279" s="1539"/>
      <c r="CL3279" s="1539"/>
      <c r="CM3279" s="1539"/>
      <c r="CN3279" s="1539"/>
      <c r="CO3279" s="1539"/>
    </row>
    <row r="3280" spans="1:93" ht="15.5">
      <c r="A3280" s="1598">
        <v>76.209999999999994</v>
      </c>
      <c r="B3280" s="1599" t="s">
        <v>3250</v>
      </c>
      <c r="C3280" s="1643" t="e">
        <f>+SUMIF(#REF!,Final!A3280,#REF!)</f>
        <v>#REF!</v>
      </c>
      <c r="D3280" s="1597" t="e">
        <f>+SUMIF(#REF!,Final!A3280,#REF!)</f>
        <v>#REF!</v>
      </c>
      <c r="E3280" s="1643" t="e">
        <f>SUMIF(#REF!,Final!A3280,#REF!)</f>
        <v>#REF!</v>
      </c>
      <c r="F3280" s="1644" t="e">
        <f>SUMIF(#REF!,Final!A3280,#REF!)</f>
        <v>#REF!</v>
      </c>
      <c r="G3280" s="1597" t="e">
        <f t="shared" si="368"/>
        <v>#REF!</v>
      </c>
      <c r="H3280" s="1644" t="e">
        <f t="shared" si="369"/>
        <v>#REF!</v>
      </c>
      <c r="I3280" s="1597" t="e">
        <f t="shared" si="370"/>
        <v>#REF!</v>
      </c>
      <c r="J3280" s="1644" t="e">
        <f t="shared" si="371"/>
        <v>#REF!</v>
      </c>
      <c r="M3280" s="1545"/>
      <c r="N3280" s="1545"/>
    </row>
    <row r="3281" spans="1:93" ht="15.5">
      <c r="A3281" s="1598">
        <v>76.221000000000004</v>
      </c>
      <c r="B3281" s="1599" t="s">
        <v>3251</v>
      </c>
      <c r="C3281" s="1643" t="e">
        <f>+SUMIF(#REF!,Final!A3281,#REF!)</f>
        <v>#REF!</v>
      </c>
      <c r="D3281" s="1597" t="e">
        <f>+SUMIF(#REF!,Final!A3281,#REF!)</f>
        <v>#REF!</v>
      </c>
      <c r="E3281" s="1643" t="e">
        <f>SUMIF(#REF!,Final!A3281,#REF!)</f>
        <v>#REF!</v>
      </c>
      <c r="F3281" s="1644" t="e">
        <f>SUMIF(#REF!,Final!A3281,#REF!)</f>
        <v>#REF!</v>
      </c>
      <c r="G3281" s="1597" t="e">
        <f t="shared" si="368"/>
        <v>#REF!</v>
      </c>
      <c r="H3281" s="1644" t="e">
        <f t="shared" si="369"/>
        <v>#REF!</v>
      </c>
      <c r="I3281" s="1597" t="e">
        <f t="shared" si="370"/>
        <v>#REF!</v>
      </c>
      <c r="J3281" s="1644" t="e">
        <f t="shared" si="371"/>
        <v>#REF!</v>
      </c>
      <c r="M3281" s="1545"/>
      <c r="N3281" s="1545"/>
    </row>
    <row r="3282" spans="1:93" s="1552" customFormat="1" ht="15.5">
      <c r="A3282" s="1598"/>
      <c r="B3282" s="1599" t="s">
        <v>1747</v>
      </c>
      <c r="C3282" s="1643" t="e">
        <f>+SUMIF(#REF!,Final!A3282,#REF!)</f>
        <v>#REF!</v>
      </c>
      <c r="D3282" s="1597" t="e">
        <f>+SUMIF(#REF!,Final!A3282,#REF!)</f>
        <v>#REF!</v>
      </c>
      <c r="E3282" s="1643" t="e">
        <f>SUMIF(#REF!,Final!A3282,#REF!)</f>
        <v>#REF!</v>
      </c>
      <c r="F3282" s="1644" t="e">
        <f>SUMIF(#REF!,Final!A3282,#REF!)</f>
        <v>#REF!</v>
      </c>
      <c r="G3282" s="1597" t="e">
        <f t="shared" si="368"/>
        <v>#REF!</v>
      </c>
      <c r="H3282" s="1644" t="e">
        <f t="shared" si="369"/>
        <v>#REF!</v>
      </c>
      <c r="I3282" s="1597" t="e">
        <f t="shared" si="370"/>
        <v>#REF!</v>
      </c>
      <c r="J3282" s="1644" t="e">
        <f t="shared" si="371"/>
        <v>#REF!</v>
      </c>
      <c r="K3282" s="1539"/>
      <c r="L3282" s="1539"/>
      <c r="M3282" s="1545"/>
      <c r="N3282" s="1545"/>
      <c r="O3282" s="1539"/>
      <c r="P3282" s="1539"/>
      <c r="Q3282" s="1539"/>
      <c r="R3282" s="1539"/>
      <c r="S3282" s="1539"/>
      <c r="T3282" s="1539"/>
      <c r="U3282" s="1539"/>
      <c r="V3282" s="1539"/>
      <c r="W3282" s="1539"/>
      <c r="X3282" s="1539"/>
      <c r="Y3282" s="1539"/>
      <c r="Z3282" s="1539"/>
      <c r="AA3282" s="1539"/>
      <c r="AB3282" s="1539"/>
      <c r="AC3282" s="1539"/>
      <c r="AD3282" s="1539"/>
      <c r="AE3282" s="1539"/>
      <c r="AF3282" s="1539"/>
      <c r="AG3282" s="1539"/>
      <c r="AH3282" s="1539"/>
      <c r="AI3282" s="1539"/>
      <c r="AJ3282" s="1539"/>
      <c r="AK3282" s="1539"/>
      <c r="AL3282" s="1539"/>
      <c r="AM3282" s="1539"/>
      <c r="AN3282" s="1539"/>
      <c r="AO3282" s="1539"/>
      <c r="AP3282" s="1539"/>
      <c r="AQ3282" s="1539"/>
      <c r="AR3282" s="1539"/>
      <c r="AS3282" s="1539"/>
      <c r="AT3282" s="1539"/>
      <c r="AU3282" s="1539"/>
      <c r="AV3282" s="1539"/>
      <c r="AW3282" s="1539"/>
      <c r="AX3282" s="1539"/>
      <c r="AY3282" s="1539"/>
      <c r="AZ3282" s="1539"/>
      <c r="BA3282" s="1539"/>
      <c r="BB3282" s="1539"/>
      <c r="BC3282" s="1539"/>
      <c r="BD3282" s="1539"/>
      <c r="BE3282" s="1539"/>
      <c r="BF3282" s="1539"/>
      <c r="BG3282" s="1539"/>
      <c r="BH3282" s="1539"/>
      <c r="BI3282" s="1539"/>
      <c r="BJ3282" s="1539"/>
      <c r="BK3282" s="1539"/>
      <c r="BL3282" s="1539"/>
      <c r="BM3282" s="1539"/>
      <c r="BN3282" s="1539"/>
      <c r="BO3282" s="1539"/>
      <c r="BP3282" s="1539"/>
      <c r="BQ3282" s="1539"/>
      <c r="BR3282" s="1539"/>
      <c r="BS3282" s="1539"/>
      <c r="BT3282" s="1539"/>
      <c r="BU3282" s="1539"/>
      <c r="BV3282" s="1539"/>
      <c r="BW3282" s="1539"/>
      <c r="BX3282" s="1539"/>
      <c r="BY3282" s="1539"/>
      <c r="BZ3282" s="1539"/>
      <c r="CA3282" s="1539"/>
      <c r="CB3282" s="1539"/>
      <c r="CC3282" s="1539"/>
      <c r="CD3282" s="1539"/>
      <c r="CE3282" s="1539"/>
      <c r="CF3282" s="1539"/>
      <c r="CG3282" s="1539"/>
      <c r="CH3282" s="1539"/>
      <c r="CI3282" s="1539"/>
      <c r="CJ3282" s="1539"/>
      <c r="CK3282" s="1539"/>
      <c r="CL3282" s="1539"/>
      <c r="CM3282" s="1539"/>
      <c r="CN3282" s="1539"/>
      <c r="CO3282" s="1539"/>
    </row>
    <row r="3283" spans="1:93" s="1552" customFormat="1" ht="15.5">
      <c r="A3283" s="1598"/>
      <c r="B3283" s="1599" t="s">
        <v>1760</v>
      </c>
      <c r="C3283" s="1643" t="e">
        <f>+SUMIF(#REF!,Final!A3283,#REF!)</f>
        <v>#REF!</v>
      </c>
      <c r="D3283" s="1597" t="e">
        <f>+SUMIF(#REF!,Final!A3283,#REF!)</f>
        <v>#REF!</v>
      </c>
      <c r="E3283" s="1643" t="e">
        <f>SUMIF(#REF!,Final!A3283,#REF!)</f>
        <v>#REF!</v>
      </c>
      <c r="F3283" s="1644" t="e">
        <f>SUMIF(#REF!,Final!A3283,#REF!)</f>
        <v>#REF!</v>
      </c>
      <c r="G3283" s="1597" t="e">
        <f t="shared" si="368"/>
        <v>#REF!</v>
      </c>
      <c r="H3283" s="1644" t="e">
        <f t="shared" si="369"/>
        <v>#REF!</v>
      </c>
      <c r="I3283" s="1597" t="e">
        <f t="shared" si="370"/>
        <v>#REF!</v>
      </c>
      <c r="J3283" s="1644" t="e">
        <f t="shared" si="371"/>
        <v>#REF!</v>
      </c>
      <c r="K3283" s="1539"/>
      <c r="L3283" s="1539"/>
      <c r="M3283" s="1545"/>
      <c r="N3283" s="1545"/>
      <c r="O3283" s="1539"/>
      <c r="P3283" s="1539"/>
      <c r="Q3283" s="1539"/>
      <c r="R3283" s="1539"/>
      <c r="S3283" s="1539"/>
      <c r="T3283" s="1539"/>
      <c r="U3283" s="1539"/>
      <c r="V3283" s="1539"/>
      <c r="W3283" s="1539"/>
      <c r="X3283" s="1539"/>
      <c r="Y3283" s="1539"/>
      <c r="Z3283" s="1539"/>
      <c r="AA3283" s="1539"/>
      <c r="AB3283" s="1539"/>
      <c r="AC3283" s="1539"/>
      <c r="AD3283" s="1539"/>
      <c r="AE3283" s="1539"/>
      <c r="AF3283" s="1539"/>
      <c r="AG3283" s="1539"/>
      <c r="AH3283" s="1539"/>
      <c r="AI3283" s="1539"/>
      <c r="AJ3283" s="1539"/>
      <c r="AK3283" s="1539"/>
      <c r="AL3283" s="1539"/>
      <c r="AM3283" s="1539"/>
      <c r="AN3283" s="1539"/>
      <c r="AO3283" s="1539"/>
      <c r="AP3283" s="1539"/>
      <c r="AQ3283" s="1539"/>
      <c r="AR3283" s="1539"/>
      <c r="AS3283" s="1539"/>
      <c r="AT3283" s="1539"/>
      <c r="AU3283" s="1539"/>
      <c r="AV3283" s="1539"/>
      <c r="AW3283" s="1539"/>
      <c r="AX3283" s="1539"/>
      <c r="AY3283" s="1539"/>
      <c r="AZ3283" s="1539"/>
      <c r="BA3283" s="1539"/>
      <c r="BB3283" s="1539"/>
      <c r="BC3283" s="1539"/>
      <c r="BD3283" s="1539"/>
      <c r="BE3283" s="1539"/>
      <c r="BF3283" s="1539"/>
      <c r="BG3283" s="1539"/>
      <c r="BH3283" s="1539"/>
      <c r="BI3283" s="1539"/>
      <c r="BJ3283" s="1539"/>
      <c r="BK3283" s="1539"/>
      <c r="BL3283" s="1539"/>
      <c r="BM3283" s="1539"/>
      <c r="BN3283" s="1539"/>
      <c r="BO3283" s="1539"/>
      <c r="BP3283" s="1539"/>
      <c r="BQ3283" s="1539"/>
      <c r="BR3283" s="1539"/>
      <c r="BS3283" s="1539"/>
      <c r="BT3283" s="1539"/>
      <c r="BU3283" s="1539"/>
      <c r="BV3283" s="1539"/>
      <c r="BW3283" s="1539"/>
      <c r="BX3283" s="1539"/>
      <c r="BY3283" s="1539"/>
      <c r="BZ3283" s="1539"/>
      <c r="CA3283" s="1539"/>
      <c r="CB3283" s="1539"/>
      <c r="CC3283" s="1539"/>
      <c r="CD3283" s="1539"/>
      <c r="CE3283" s="1539"/>
      <c r="CF3283" s="1539"/>
      <c r="CG3283" s="1539"/>
      <c r="CH3283" s="1539"/>
      <c r="CI3283" s="1539"/>
      <c r="CJ3283" s="1539"/>
      <c r="CK3283" s="1539"/>
      <c r="CL3283" s="1539"/>
      <c r="CM3283" s="1539"/>
      <c r="CN3283" s="1539"/>
      <c r="CO3283" s="1539"/>
    </row>
    <row r="3284" spans="1:93" s="1542" customFormat="1" ht="15.5">
      <c r="A3284" s="1598">
        <v>31</v>
      </c>
      <c r="B3284" s="1599" t="s">
        <v>117</v>
      </c>
      <c r="C3284" s="1643" t="e">
        <f>+SUMIF(#REF!,Final!A3284,#REF!)</f>
        <v>#REF!</v>
      </c>
      <c r="D3284" s="1597" t="e">
        <f>+SUMIF(#REF!,Final!A3284,#REF!)</f>
        <v>#REF!</v>
      </c>
      <c r="E3284" s="1643" t="e">
        <f>SUMIF(#REF!,Final!A3284,#REF!)</f>
        <v>#REF!</v>
      </c>
      <c r="F3284" s="1644" t="e">
        <f>SUMIF(#REF!,Final!A3284,#REF!)</f>
        <v>#REF!</v>
      </c>
      <c r="G3284" s="1597" t="e">
        <f t="shared" si="368"/>
        <v>#REF!</v>
      </c>
      <c r="H3284" s="1644" t="e">
        <f t="shared" si="369"/>
        <v>#REF!</v>
      </c>
      <c r="I3284" s="1597" t="e">
        <f t="shared" si="370"/>
        <v>#REF!</v>
      </c>
      <c r="J3284" s="1644" t="e">
        <f t="shared" si="371"/>
        <v>#REF!</v>
      </c>
      <c r="K3284" s="1539"/>
      <c r="L3284" s="1539"/>
      <c r="M3284" s="1545"/>
      <c r="N3284" s="1545"/>
      <c r="O3284" s="1539"/>
      <c r="P3284" s="1539"/>
      <c r="Q3284" s="1539"/>
      <c r="R3284" s="1539"/>
      <c r="S3284" s="1539"/>
      <c r="T3284" s="1539"/>
      <c r="U3284" s="1539"/>
      <c r="V3284" s="1539"/>
      <c r="W3284" s="1539"/>
      <c r="X3284" s="1539"/>
      <c r="Y3284" s="1539"/>
      <c r="Z3284" s="1539"/>
      <c r="AA3284" s="1539"/>
      <c r="AB3284" s="1539"/>
      <c r="AC3284" s="1539"/>
      <c r="AD3284" s="1539"/>
      <c r="AE3284" s="1539"/>
      <c r="AF3284" s="1539"/>
      <c r="AG3284" s="1539"/>
      <c r="AH3284" s="1539"/>
      <c r="AI3284" s="1539"/>
      <c r="AJ3284" s="1539"/>
      <c r="AK3284" s="1539"/>
      <c r="AL3284" s="1539"/>
      <c r="AM3284" s="1539"/>
      <c r="AN3284" s="1539"/>
      <c r="AO3284" s="1539"/>
      <c r="AP3284" s="1539"/>
      <c r="AQ3284" s="1539"/>
      <c r="AR3284" s="1539"/>
      <c r="AS3284" s="1539"/>
      <c r="AT3284" s="1539"/>
      <c r="AU3284" s="1539"/>
      <c r="AV3284" s="1539"/>
      <c r="AW3284" s="1539"/>
      <c r="AX3284" s="1539"/>
      <c r="AY3284" s="1539"/>
      <c r="AZ3284" s="1539"/>
      <c r="BA3284" s="1539"/>
      <c r="BB3284" s="1539"/>
      <c r="BC3284" s="1539"/>
      <c r="BD3284" s="1539"/>
      <c r="BE3284" s="1539"/>
      <c r="BF3284" s="1539"/>
      <c r="BG3284" s="1539"/>
      <c r="BH3284" s="1539"/>
      <c r="BI3284" s="1539"/>
      <c r="BJ3284" s="1539"/>
      <c r="BK3284" s="1539"/>
      <c r="BL3284" s="1539"/>
      <c r="BM3284" s="1539"/>
      <c r="BN3284" s="1539"/>
      <c r="BO3284" s="1539"/>
      <c r="BP3284" s="1539"/>
      <c r="BQ3284" s="1539"/>
      <c r="BR3284" s="1539"/>
      <c r="BS3284" s="1539"/>
      <c r="BT3284" s="1539"/>
      <c r="BU3284" s="1539"/>
      <c r="BV3284" s="1539"/>
      <c r="BW3284" s="1539"/>
      <c r="BX3284" s="1539"/>
      <c r="BY3284" s="1539"/>
      <c r="BZ3284" s="1539"/>
      <c r="CA3284" s="1539"/>
      <c r="CB3284" s="1539"/>
      <c r="CC3284" s="1539"/>
      <c r="CD3284" s="1539"/>
      <c r="CE3284" s="1539"/>
      <c r="CF3284" s="1539"/>
      <c r="CG3284" s="1539"/>
      <c r="CH3284" s="1539"/>
      <c r="CI3284" s="1539"/>
      <c r="CJ3284" s="1539"/>
      <c r="CK3284" s="1539"/>
      <c r="CL3284" s="1539"/>
      <c r="CM3284" s="1539"/>
      <c r="CN3284" s="1539"/>
      <c r="CO3284" s="1539"/>
    </row>
    <row r="3285" spans="1:93" ht="15.5">
      <c r="A3285" s="1598">
        <v>76.23</v>
      </c>
      <c r="B3285" s="1599" t="s">
        <v>3140</v>
      </c>
      <c r="C3285" s="1643" t="e">
        <f>+SUMIF(#REF!,Final!A3285,#REF!)</f>
        <v>#REF!</v>
      </c>
      <c r="D3285" s="1597" t="e">
        <f>+SUMIF(#REF!,Final!A3285,#REF!)</f>
        <v>#REF!</v>
      </c>
      <c r="E3285" s="1643" t="e">
        <f>SUMIF(#REF!,Final!A3285,#REF!)</f>
        <v>#REF!</v>
      </c>
      <c r="F3285" s="1644" t="e">
        <f>SUMIF(#REF!,Final!A3285,#REF!)</f>
        <v>#REF!</v>
      </c>
      <c r="G3285" s="1597" t="e">
        <f t="shared" si="368"/>
        <v>#REF!</v>
      </c>
      <c r="H3285" s="1644" t="e">
        <f t="shared" si="369"/>
        <v>#REF!</v>
      </c>
      <c r="I3285" s="1597" t="e">
        <f t="shared" si="370"/>
        <v>#REF!</v>
      </c>
      <c r="J3285" s="1644" t="e">
        <f t="shared" si="371"/>
        <v>#REF!</v>
      </c>
      <c r="M3285" s="1545"/>
      <c r="N3285" s="1545"/>
    </row>
    <row r="3286" spans="1:93" s="1552" customFormat="1" ht="15.5">
      <c r="A3286" s="1598"/>
      <c r="B3286" s="1599" t="s">
        <v>1747</v>
      </c>
      <c r="C3286" s="1643" t="e">
        <f>+SUMIF(#REF!,Final!A3286,#REF!)</f>
        <v>#REF!</v>
      </c>
      <c r="D3286" s="1597" t="e">
        <f>+SUMIF(#REF!,Final!A3286,#REF!)</f>
        <v>#REF!</v>
      </c>
      <c r="E3286" s="1643" t="e">
        <f>SUMIF(#REF!,Final!A3286,#REF!)</f>
        <v>#REF!</v>
      </c>
      <c r="F3286" s="1644" t="e">
        <f>SUMIF(#REF!,Final!A3286,#REF!)</f>
        <v>#REF!</v>
      </c>
      <c r="G3286" s="1597" t="e">
        <f t="shared" si="368"/>
        <v>#REF!</v>
      </c>
      <c r="H3286" s="1644" t="e">
        <f t="shared" si="369"/>
        <v>#REF!</v>
      </c>
      <c r="I3286" s="1597" t="e">
        <f t="shared" si="370"/>
        <v>#REF!</v>
      </c>
      <c r="J3286" s="1644" t="e">
        <f t="shared" si="371"/>
        <v>#REF!</v>
      </c>
      <c r="K3286" s="1539"/>
      <c r="L3286" s="1539"/>
      <c r="M3286" s="1545"/>
      <c r="N3286" s="1545"/>
      <c r="O3286" s="1539"/>
      <c r="P3286" s="1539"/>
      <c r="Q3286" s="1539"/>
      <c r="R3286" s="1539"/>
      <c r="S3286" s="1539"/>
      <c r="T3286" s="1539"/>
      <c r="U3286" s="1539"/>
      <c r="V3286" s="1539"/>
      <c r="W3286" s="1539"/>
      <c r="X3286" s="1539"/>
      <c r="Y3286" s="1539"/>
      <c r="Z3286" s="1539"/>
      <c r="AA3286" s="1539"/>
      <c r="AB3286" s="1539"/>
      <c r="AC3286" s="1539"/>
      <c r="AD3286" s="1539"/>
      <c r="AE3286" s="1539"/>
      <c r="AF3286" s="1539"/>
      <c r="AG3286" s="1539"/>
      <c r="AH3286" s="1539"/>
      <c r="AI3286" s="1539"/>
      <c r="AJ3286" s="1539"/>
      <c r="AK3286" s="1539"/>
      <c r="AL3286" s="1539"/>
      <c r="AM3286" s="1539"/>
      <c r="AN3286" s="1539"/>
      <c r="AO3286" s="1539"/>
      <c r="AP3286" s="1539"/>
      <c r="AQ3286" s="1539"/>
      <c r="AR3286" s="1539"/>
      <c r="AS3286" s="1539"/>
      <c r="AT3286" s="1539"/>
      <c r="AU3286" s="1539"/>
      <c r="AV3286" s="1539"/>
      <c r="AW3286" s="1539"/>
      <c r="AX3286" s="1539"/>
      <c r="AY3286" s="1539"/>
      <c r="AZ3286" s="1539"/>
      <c r="BA3286" s="1539"/>
      <c r="BB3286" s="1539"/>
      <c r="BC3286" s="1539"/>
      <c r="BD3286" s="1539"/>
      <c r="BE3286" s="1539"/>
      <c r="BF3286" s="1539"/>
      <c r="BG3286" s="1539"/>
      <c r="BH3286" s="1539"/>
      <c r="BI3286" s="1539"/>
      <c r="BJ3286" s="1539"/>
      <c r="BK3286" s="1539"/>
      <c r="BL3286" s="1539"/>
      <c r="BM3286" s="1539"/>
      <c r="BN3286" s="1539"/>
      <c r="BO3286" s="1539"/>
      <c r="BP3286" s="1539"/>
      <c r="BQ3286" s="1539"/>
      <c r="BR3286" s="1539"/>
      <c r="BS3286" s="1539"/>
      <c r="BT3286" s="1539"/>
      <c r="BU3286" s="1539"/>
      <c r="BV3286" s="1539"/>
      <c r="BW3286" s="1539"/>
      <c r="BX3286" s="1539"/>
      <c r="BY3286" s="1539"/>
      <c r="BZ3286" s="1539"/>
      <c r="CA3286" s="1539"/>
      <c r="CB3286" s="1539"/>
      <c r="CC3286" s="1539"/>
      <c r="CD3286" s="1539"/>
      <c r="CE3286" s="1539"/>
      <c r="CF3286" s="1539"/>
      <c r="CG3286" s="1539"/>
      <c r="CH3286" s="1539"/>
      <c r="CI3286" s="1539"/>
      <c r="CJ3286" s="1539"/>
      <c r="CK3286" s="1539"/>
      <c r="CL3286" s="1539"/>
      <c r="CM3286" s="1539"/>
      <c r="CN3286" s="1539"/>
      <c r="CO3286" s="1539"/>
    </row>
    <row r="3287" spans="1:93" s="1552" customFormat="1" ht="15.5">
      <c r="A3287" s="1598"/>
      <c r="B3287" s="1599" t="s">
        <v>1760</v>
      </c>
      <c r="C3287" s="1643" t="e">
        <f>+SUMIF(#REF!,Final!A3287,#REF!)</f>
        <v>#REF!</v>
      </c>
      <c r="D3287" s="1597" t="e">
        <f>+SUMIF(#REF!,Final!A3287,#REF!)</f>
        <v>#REF!</v>
      </c>
      <c r="E3287" s="1643" t="e">
        <f>SUMIF(#REF!,Final!A3287,#REF!)</f>
        <v>#REF!</v>
      </c>
      <c r="F3287" s="1644" t="e">
        <f>SUMIF(#REF!,Final!A3287,#REF!)</f>
        <v>#REF!</v>
      </c>
      <c r="G3287" s="1597" t="e">
        <f t="shared" si="368"/>
        <v>#REF!</v>
      </c>
      <c r="H3287" s="1644" t="e">
        <f t="shared" si="369"/>
        <v>#REF!</v>
      </c>
      <c r="I3287" s="1597" t="e">
        <f t="shared" si="370"/>
        <v>#REF!</v>
      </c>
      <c r="J3287" s="1644" t="e">
        <f t="shared" si="371"/>
        <v>#REF!</v>
      </c>
      <c r="K3287" s="1539"/>
      <c r="L3287" s="1539"/>
      <c r="M3287" s="1545"/>
      <c r="N3287" s="1545"/>
      <c r="O3287" s="1539"/>
      <c r="P3287" s="1539"/>
      <c r="Q3287" s="1539"/>
      <c r="R3287" s="1539"/>
      <c r="S3287" s="1539"/>
      <c r="T3287" s="1539"/>
      <c r="U3287" s="1539"/>
      <c r="V3287" s="1539"/>
      <c r="W3287" s="1539"/>
      <c r="X3287" s="1539"/>
      <c r="Y3287" s="1539"/>
      <c r="Z3287" s="1539"/>
      <c r="AA3287" s="1539"/>
      <c r="AB3287" s="1539"/>
      <c r="AC3287" s="1539"/>
      <c r="AD3287" s="1539"/>
      <c r="AE3287" s="1539"/>
      <c r="AF3287" s="1539"/>
      <c r="AG3287" s="1539"/>
      <c r="AH3287" s="1539"/>
      <c r="AI3287" s="1539"/>
      <c r="AJ3287" s="1539"/>
      <c r="AK3287" s="1539"/>
      <c r="AL3287" s="1539"/>
      <c r="AM3287" s="1539"/>
      <c r="AN3287" s="1539"/>
      <c r="AO3287" s="1539"/>
      <c r="AP3287" s="1539"/>
      <c r="AQ3287" s="1539"/>
      <c r="AR3287" s="1539"/>
      <c r="AS3287" s="1539"/>
      <c r="AT3287" s="1539"/>
      <c r="AU3287" s="1539"/>
      <c r="AV3287" s="1539"/>
      <c r="AW3287" s="1539"/>
      <c r="AX3287" s="1539"/>
      <c r="AY3287" s="1539"/>
      <c r="AZ3287" s="1539"/>
      <c r="BA3287" s="1539"/>
      <c r="BB3287" s="1539"/>
      <c r="BC3287" s="1539"/>
      <c r="BD3287" s="1539"/>
      <c r="BE3287" s="1539"/>
      <c r="BF3287" s="1539"/>
      <c r="BG3287" s="1539"/>
      <c r="BH3287" s="1539"/>
      <c r="BI3287" s="1539"/>
      <c r="BJ3287" s="1539"/>
      <c r="BK3287" s="1539"/>
      <c r="BL3287" s="1539"/>
      <c r="BM3287" s="1539"/>
      <c r="BN3287" s="1539"/>
      <c r="BO3287" s="1539"/>
      <c r="BP3287" s="1539"/>
      <c r="BQ3287" s="1539"/>
      <c r="BR3287" s="1539"/>
      <c r="BS3287" s="1539"/>
      <c r="BT3287" s="1539"/>
      <c r="BU3287" s="1539"/>
      <c r="BV3287" s="1539"/>
      <c r="BW3287" s="1539"/>
      <c r="BX3287" s="1539"/>
      <c r="BY3287" s="1539"/>
      <c r="BZ3287" s="1539"/>
      <c r="CA3287" s="1539"/>
      <c r="CB3287" s="1539"/>
      <c r="CC3287" s="1539"/>
      <c r="CD3287" s="1539"/>
      <c r="CE3287" s="1539"/>
      <c r="CF3287" s="1539"/>
      <c r="CG3287" s="1539"/>
      <c r="CH3287" s="1539"/>
      <c r="CI3287" s="1539"/>
      <c r="CJ3287" s="1539"/>
      <c r="CK3287" s="1539"/>
      <c r="CL3287" s="1539"/>
      <c r="CM3287" s="1539"/>
      <c r="CN3287" s="1539"/>
      <c r="CO3287" s="1539"/>
    </row>
    <row r="3288" spans="1:93" s="1542" customFormat="1" ht="15.5">
      <c r="A3288" s="1598">
        <v>35</v>
      </c>
      <c r="B3288" s="1599" t="s">
        <v>3207</v>
      </c>
      <c r="C3288" s="1643" t="e">
        <f>+SUMIF(#REF!,Final!A3288,#REF!)</f>
        <v>#REF!</v>
      </c>
      <c r="D3288" s="1597" t="e">
        <f>+SUMIF(#REF!,Final!A3288,#REF!)</f>
        <v>#REF!</v>
      </c>
      <c r="E3288" s="1643" t="e">
        <f>SUMIF(#REF!,Final!A3288,#REF!)</f>
        <v>#REF!</v>
      </c>
      <c r="F3288" s="1644" t="e">
        <f>SUMIF(#REF!,Final!A3288,#REF!)</f>
        <v>#REF!</v>
      </c>
      <c r="G3288" s="1597" t="e">
        <f t="shared" si="368"/>
        <v>#REF!</v>
      </c>
      <c r="H3288" s="1644" t="e">
        <f t="shared" si="369"/>
        <v>#REF!</v>
      </c>
      <c r="I3288" s="1597" t="e">
        <f t="shared" si="370"/>
        <v>#REF!</v>
      </c>
      <c r="J3288" s="1644" t="e">
        <f t="shared" si="371"/>
        <v>#REF!</v>
      </c>
      <c r="K3288" s="1539"/>
      <c r="L3288" s="1539"/>
      <c r="M3288" s="1545"/>
      <c r="N3288" s="1545"/>
      <c r="O3288" s="1539"/>
      <c r="P3288" s="1539"/>
      <c r="Q3288" s="1539"/>
      <c r="R3288" s="1539"/>
      <c r="S3288" s="1539"/>
      <c r="T3288" s="1539"/>
      <c r="U3288" s="1539"/>
      <c r="V3288" s="1539"/>
      <c r="W3288" s="1539"/>
      <c r="X3288" s="1539"/>
      <c r="Y3288" s="1539"/>
      <c r="Z3288" s="1539"/>
      <c r="AA3288" s="1539"/>
      <c r="AB3288" s="1539"/>
      <c r="AC3288" s="1539"/>
      <c r="AD3288" s="1539"/>
      <c r="AE3288" s="1539"/>
      <c r="AF3288" s="1539"/>
      <c r="AG3288" s="1539"/>
      <c r="AH3288" s="1539"/>
      <c r="AI3288" s="1539"/>
      <c r="AJ3288" s="1539"/>
      <c r="AK3288" s="1539"/>
      <c r="AL3288" s="1539"/>
      <c r="AM3288" s="1539"/>
      <c r="AN3288" s="1539"/>
      <c r="AO3288" s="1539"/>
      <c r="AP3288" s="1539"/>
      <c r="AQ3288" s="1539"/>
      <c r="AR3288" s="1539"/>
      <c r="AS3288" s="1539"/>
      <c r="AT3288" s="1539"/>
      <c r="AU3288" s="1539"/>
      <c r="AV3288" s="1539"/>
      <c r="AW3288" s="1539"/>
      <c r="AX3288" s="1539"/>
      <c r="AY3288" s="1539"/>
      <c r="AZ3288" s="1539"/>
      <c r="BA3288" s="1539"/>
      <c r="BB3288" s="1539"/>
      <c r="BC3288" s="1539"/>
      <c r="BD3288" s="1539"/>
      <c r="BE3288" s="1539"/>
      <c r="BF3288" s="1539"/>
      <c r="BG3288" s="1539"/>
      <c r="BH3288" s="1539"/>
      <c r="BI3288" s="1539"/>
      <c r="BJ3288" s="1539"/>
      <c r="BK3288" s="1539"/>
      <c r="BL3288" s="1539"/>
      <c r="BM3288" s="1539"/>
      <c r="BN3288" s="1539"/>
      <c r="BO3288" s="1539"/>
      <c r="BP3288" s="1539"/>
      <c r="BQ3288" s="1539"/>
      <c r="BR3288" s="1539"/>
      <c r="BS3288" s="1539"/>
      <c r="BT3288" s="1539"/>
      <c r="BU3288" s="1539"/>
      <c r="BV3288" s="1539"/>
      <c r="BW3288" s="1539"/>
      <c r="BX3288" s="1539"/>
      <c r="BY3288" s="1539"/>
      <c r="BZ3288" s="1539"/>
      <c r="CA3288" s="1539"/>
      <c r="CB3288" s="1539"/>
      <c r="CC3288" s="1539"/>
      <c r="CD3288" s="1539"/>
      <c r="CE3288" s="1539"/>
      <c r="CF3288" s="1539"/>
      <c r="CG3288" s="1539"/>
      <c r="CH3288" s="1539"/>
      <c r="CI3288" s="1539"/>
      <c r="CJ3288" s="1539"/>
      <c r="CK3288" s="1539"/>
      <c r="CL3288" s="1539"/>
      <c r="CM3288" s="1539"/>
      <c r="CN3288" s="1539"/>
      <c r="CO3288" s="1539"/>
    </row>
    <row r="3289" spans="1:93" s="1542" customFormat="1" ht="15.5">
      <c r="A3289" s="1598" t="s">
        <v>1827</v>
      </c>
      <c r="B3289" s="1599" t="s">
        <v>3249</v>
      </c>
      <c r="C3289" s="1643" t="e">
        <f>+SUMIF(#REF!,Final!A3289,#REF!)</f>
        <v>#REF!</v>
      </c>
      <c r="D3289" s="1597" t="e">
        <f>+SUMIF(#REF!,Final!A3289,#REF!)</f>
        <v>#REF!</v>
      </c>
      <c r="E3289" s="1643" t="e">
        <f>SUMIF(#REF!,Final!A3289,#REF!)</f>
        <v>#REF!</v>
      </c>
      <c r="F3289" s="1644" t="e">
        <f>SUMIF(#REF!,Final!A3289,#REF!)</f>
        <v>#REF!</v>
      </c>
      <c r="G3289" s="1597" t="e">
        <f t="shared" si="368"/>
        <v>#REF!</v>
      </c>
      <c r="H3289" s="1644" t="e">
        <f t="shared" si="369"/>
        <v>#REF!</v>
      </c>
      <c r="I3289" s="1597" t="e">
        <f t="shared" si="370"/>
        <v>#REF!</v>
      </c>
      <c r="J3289" s="1644" t="e">
        <f t="shared" si="371"/>
        <v>#REF!</v>
      </c>
      <c r="K3289" s="1539"/>
      <c r="L3289" s="1539"/>
      <c r="M3289" s="1545"/>
      <c r="N3289" s="1545"/>
      <c r="O3289" s="1539"/>
      <c r="P3289" s="1539"/>
      <c r="Q3289" s="1539"/>
      <c r="R3289" s="1539"/>
      <c r="S3289" s="1539"/>
      <c r="T3289" s="1539"/>
      <c r="U3289" s="1539"/>
      <c r="V3289" s="1539"/>
      <c r="W3289" s="1539"/>
      <c r="X3289" s="1539"/>
      <c r="Y3289" s="1539"/>
      <c r="Z3289" s="1539"/>
      <c r="AA3289" s="1539"/>
      <c r="AB3289" s="1539"/>
      <c r="AC3289" s="1539"/>
      <c r="AD3289" s="1539"/>
      <c r="AE3289" s="1539"/>
      <c r="AF3289" s="1539"/>
      <c r="AG3289" s="1539"/>
      <c r="AH3289" s="1539"/>
      <c r="AI3289" s="1539"/>
      <c r="AJ3289" s="1539"/>
      <c r="AK3289" s="1539"/>
      <c r="AL3289" s="1539"/>
      <c r="AM3289" s="1539"/>
      <c r="AN3289" s="1539"/>
      <c r="AO3289" s="1539"/>
      <c r="AP3289" s="1539"/>
      <c r="AQ3289" s="1539"/>
      <c r="AR3289" s="1539"/>
      <c r="AS3289" s="1539"/>
      <c r="AT3289" s="1539"/>
      <c r="AU3289" s="1539"/>
      <c r="AV3289" s="1539"/>
      <c r="AW3289" s="1539"/>
      <c r="AX3289" s="1539"/>
      <c r="AY3289" s="1539"/>
      <c r="AZ3289" s="1539"/>
      <c r="BA3289" s="1539"/>
      <c r="BB3289" s="1539"/>
      <c r="BC3289" s="1539"/>
      <c r="BD3289" s="1539"/>
      <c r="BE3289" s="1539"/>
      <c r="BF3289" s="1539"/>
      <c r="BG3289" s="1539"/>
      <c r="BH3289" s="1539"/>
      <c r="BI3289" s="1539"/>
      <c r="BJ3289" s="1539"/>
      <c r="BK3289" s="1539"/>
      <c r="BL3289" s="1539"/>
      <c r="BM3289" s="1539"/>
      <c r="BN3289" s="1539"/>
      <c r="BO3289" s="1539"/>
      <c r="BP3289" s="1539"/>
      <c r="BQ3289" s="1539"/>
      <c r="BR3289" s="1539"/>
      <c r="BS3289" s="1539"/>
      <c r="BT3289" s="1539"/>
      <c r="BU3289" s="1539"/>
      <c r="BV3289" s="1539"/>
      <c r="BW3289" s="1539"/>
      <c r="BX3289" s="1539"/>
      <c r="BY3289" s="1539"/>
      <c r="BZ3289" s="1539"/>
      <c r="CA3289" s="1539"/>
      <c r="CB3289" s="1539"/>
      <c r="CC3289" s="1539"/>
      <c r="CD3289" s="1539"/>
      <c r="CE3289" s="1539"/>
      <c r="CF3289" s="1539"/>
      <c r="CG3289" s="1539"/>
      <c r="CH3289" s="1539"/>
      <c r="CI3289" s="1539"/>
      <c r="CJ3289" s="1539"/>
      <c r="CK3289" s="1539"/>
      <c r="CL3289" s="1539"/>
      <c r="CM3289" s="1539"/>
      <c r="CN3289" s="1539"/>
      <c r="CO3289" s="1539"/>
    </row>
    <row r="3290" spans="1:93" ht="15.5">
      <c r="A3290" s="1598">
        <v>76.239999999999995</v>
      </c>
      <c r="B3290" s="1599" t="s">
        <v>3252</v>
      </c>
      <c r="C3290" s="1643" t="e">
        <f>+SUMIF(#REF!,Final!A3290,#REF!)</f>
        <v>#REF!</v>
      </c>
      <c r="D3290" s="1597" t="e">
        <f>+SUMIF(#REF!,Final!A3290,#REF!)</f>
        <v>#REF!</v>
      </c>
      <c r="E3290" s="1643" t="e">
        <f>SUMIF(#REF!,Final!A3290,#REF!)</f>
        <v>#REF!</v>
      </c>
      <c r="F3290" s="1644" t="e">
        <f>SUMIF(#REF!,Final!A3290,#REF!)</f>
        <v>#REF!</v>
      </c>
      <c r="G3290" s="1597" t="e">
        <f t="shared" si="368"/>
        <v>#REF!</v>
      </c>
      <c r="H3290" s="1644" t="e">
        <f t="shared" si="369"/>
        <v>#REF!</v>
      </c>
      <c r="I3290" s="1597" t="e">
        <f t="shared" si="370"/>
        <v>#REF!</v>
      </c>
      <c r="J3290" s="1644" t="e">
        <f t="shared" si="371"/>
        <v>#REF!</v>
      </c>
      <c r="M3290" s="1545"/>
      <c r="N3290" s="1545"/>
    </row>
    <row r="3291" spans="1:93" ht="15.5">
      <c r="A3291" s="1598">
        <v>76.245000000000005</v>
      </c>
      <c r="B3291" s="1599" t="s">
        <v>3253</v>
      </c>
      <c r="C3291" s="1643" t="e">
        <f>+SUMIF(#REF!,Final!A3291,#REF!)</f>
        <v>#REF!</v>
      </c>
      <c r="D3291" s="1597" t="e">
        <f>+SUMIF(#REF!,Final!A3291,#REF!)</f>
        <v>#REF!</v>
      </c>
      <c r="E3291" s="1643" t="e">
        <f>SUMIF(#REF!,Final!A3291,#REF!)</f>
        <v>#REF!</v>
      </c>
      <c r="F3291" s="1644" t="e">
        <f>SUMIF(#REF!,Final!A3291,#REF!)</f>
        <v>#REF!</v>
      </c>
      <c r="G3291" s="1597" t="e">
        <f t="shared" si="368"/>
        <v>#REF!</v>
      </c>
      <c r="H3291" s="1644" t="e">
        <f t="shared" si="369"/>
        <v>#REF!</v>
      </c>
      <c r="I3291" s="1597" t="e">
        <f t="shared" si="370"/>
        <v>#REF!</v>
      </c>
      <c r="J3291" s="1644" t="e">
        <f t="shared" si="371"/>
        <v>#REF!</v>
      </c>
      <c r="M3291" s="1545"/>
      <c r="N3291" s="1545"/>
    </row>
    <row r="3292" spans="1:93" ht="15.5">
      <c r="A3292" s="1598">
        <v>76.248999999999995</v>
      </c>
      <c r="B3292" s="1599" t="s">
        <v>3254</v>
      </c>
      <c r="C3292" s="1643" t="e">
        <f>+SUMIF(#REF!,Final!A3292,#REF!)</f>
        <v>#REF!</v>
      </c>
      <c r="D3292" s="1597" t="e">
        <f>+SUMIF(#REF!,Final!A3292,#REF!)</f>
        <v>#REF!</v>
      </c>
      <c r="E3292" s="1643" t="e">
        <f>SUMIF(#REF!,Final!A3292,#REF!)</f>
        <v>#REF!</v>
      </c>
      <c r="F3292" s="1644" t="e">
        <f>SUMIF(#REF!,Final!A3292,#REF!)</f>
        <v>#REF!</v>
      </c>
      <c r="G3292" s="1597" t="e">
        <f t="shared" si="368"/>
        <v>#REF!</v>
      </c>
      <c r="H3292" s="1644" t="e">
        <f t="shared" si="369"/>
        <v>#REF!</v>
      </c>
      <c r="I3292" s="1597" t="e">
        <f t="shared" si="370"/>
        <v>#REF!</v>
      </c>
      <c r="J3292" s="1644" t="e">
        <f t="shared" si="371"/>
        <v>#REF!</v>
      </c>
      <c r="M3292" s="1545"/>
      <c r="N3292" s="1545"/>
    </row>
    <row r="3293" spans="1:93" ht="15.5">
      <c r="A3293" s="1598">
        <v>76.25</v>
      </c>
      <c r="B3293" s="1599" t="s">
        <v>3255</v>
      </c>
      <c r="C3293" s="1643" t="e">
        <f>+SUMIF(#REF!,Final!A3293,#REF!)</f>
        <v>#REF!</v>
      </c>
      <c r="D3293" s="1597" t="e">
        <f>+SUMIF(#REF!,Final!A3293,#REF!)</f>
        <v>#REF!</v>
      </c>
      <c r="E3293" s="1643" t="e">
        <f>SUMIF(#REF!,Final!A3293,#REF!)</f>
        <v>#REF!</v>
      </c>
      <c r="F3293" s="1644" t="e">
        <f>SUMIF(#REF!,Final!A3293,#REF!)</f>
        <v>#REF!</v>
      </c>
      <c r="G3293" s="1597" t="e">
        <f t="shared" si="368"/>
        <v>#REF!</v>
      </c>
      <c r="H3293" s="1644" t="e">
        <f t="shared" si="369"/>
        <v>#REF!</v>
      </c>
      <c r="I3293" s="1597" t="e">
        <f t="shared" si="370"/>
        <v>#REF!</v>
      </c>
      <c r="J3293" s="1644" t="e">
        <f t="shared" si="371"/>
        <v>#REF!</v>
      </c>
      <c r="M3293" s="1545"/>
      <c r="N3293" s="1545"/>
    </row>
    <row r="3294" spans="1:93" ht="15.5">
      <c r="A3294" s="1598">
        <v>76.251000000000005</v>
      </c>
      <c r="B3294" s="1599" t="s">
        <v>3256</v>
      </c>
      <c r="C3294" s="1643" t="e">
        <f>+SUMIF(#REF!,Final!A3294,#REF!)</f>
        <v>#REF!</v>
      </c>
      <c r="D3294" s="1597" t="e">
        <f>+SUMIF(#REF!,Final!A3294,#REF!)</f>
        <v>#REF!</v>
      </c>
      <c r="E3294" s="1643" t="e">
        <f>SUMIF(#REF!,Final!A3294,#REF!)</f>
        <v>#REF!</v>
      </c>
      <c r="F3294" s="1644" t="e">
        <f>SUMIF(#REF!,Final!A3294,#REF!)</f>
        <v>#REF!</v>
      </c>
      <c r="G3294" s="1597" t="e">
        <f t="shared" si="368"/>
        <v>#REF!</v>
      </c>
      <c r="H3294" s="1644" t="e">
        <f t="shared" si="369"/>
        <v>#REF!</v>
      </c>
      <c r="I3294" s="1597" t="e">
        <f t="shared" si="370"/>
        <v>#REF!</v>
      </c>
      <c r="J3294" s="1644" t="e">
        <f t="shared" si="371"/>
        <v>#REF!</v>
      </c>
      <c r="M3294" s="1545"/>
      <c r="N3294" s="1545"/>
    </row>
    <row r="3295" spans="1:93" s="1552" customFormat="1" ht="15.5">
      <c r="A3295" s="1598"/>
      <c r="B3295" s="1599" t="s">
        <v>1747</v>
      </c>
      <c r="C3295" s="1643" t="e">
        <f>+SUMIF(#REF!,Final!A3295,#REF!)</f>
        <v>#REF!</v>
      </c>
      <c r="D3295" s="1597" t="e">
        <f>+SUMIF(#REF!,Final!A3295,#REF!)</f>
        <v>#REF!</v>
      </c>
      <c r="E3295" s="1643" t="e">
        <f>SUMIF(#REF!,Final!A3295,#REF!)</f>
        <v>#REF!</v>
      </c>
      <c r="F3295" s="1644" t="e">
        <f>SUMIF(#REF!,Final!A3295,#REF!)</f>
        <v>#REF!</v>
      </c>
      <c r="G3295" s="1597" t="e">
        <f t="shared" si="368"/>
        <v>#REF!</v>
      </c>
      <c r="H3295" s="1644" t="e">
        <f t="shared" si="369"/>
        <v>#REF!</v>
      </c>
      <c r="I3295" s="1597" t="e">
        <f t="shared" si="370"/>
        <v>#REF!</v>
      </c>
      <c r="J3295" s="1644" t="e">
        <f t="shared" si="371"/>
        <v>#REF!</v>
      </c>
      <c r="K3295" s="1539"/>
      <c r="L3295" s="1539"/>
      <c r="M3295" s="1545"/>
      <c r="N3295" s="1545"/>
      <c r="O3295" s="1539"/>
      <c r="P3295" s="1539"/>
      <c r="Q3295" s="1539"/>
      <c r="R3295" s="1539"/>
      <c r="S3295" s="1539"/>
      <c r="T3295" s="1539"/>
      <c r="U3295" s="1539"/>
      <c r="V3295" s="1539"/>
      <c r="W3295" s="1539"/>
      <c r="X3295" s="1539"/>
      <c r="Y3295" s="1539"/>
      <c r="Z3295" s="1539"/>
      <c r="AA3295" s="1539"/>
      <c r="AB3295" s="1539"/>
      <c r="AC3295" s="1539"/>
      <c r="AD3295" s="1539"/>
      <c r="AE3295" s="1539"/>
      <c r="AF3295" s="1539"/>
      <c r="AG3295" s="1539"/>
      <c r="AH3295" s="1539"/>
      <c r="AI3295" s="1539"/>
      <c r="AJ3295" s="1539"/>
      <c r="AK3295" s="1539"/>
      <c r="AL3295" s="1539"/>
      <c r="AM3295" s="1539"/>
      <c r="AN3295" s="1539"/>
      <c r="AO3295" s="1539"/>
      <c r="AP3295" s="1539"/>
      <c r="AQ3295" s="1539"/>
      <c r="AR3295" s="1539"/>
      <c r="AS3295" s="1539"/>
      <c r="AT3295" s="1539"/>
      <c r="AU3295" s="1539"/>
      <c r="AV3295" s="1539"/>
      <c r="AW3295" s="1539"/>
      <c r="AX3295" s="1539"/>
      <c r="AY3295" s="1539"/>
      <c r="AZ3295" s="1539"/>
      <c r="BA3295" s="1539"/>
      <c r="BB3295" s="1539"/>
      <c r="BC3295" s="1539"/>
      <c r="BD3295" s="1539"/>
      <c r="BE3295" s="1539"/>
      <c r="BF3295" s="1539"/>
      <c r="BG3295" s="1539"/>
      <c r="BH3295" s="1539"/>
      <c r="BI3295" s="1539"/>
      <c r="BJ3295" s="1539"/>
      <c r="BK3295" s="1539"/>
      <c r="BL3295" s="1539"/>
      <c r="BM3295" s="1539"/>
      <c r="BN3295" s="1539"/>
      <c r="BO3295" s="1539"/>
      <c r="BP3295" s="1539"/>
      <c r="BQ3295" s="1539"/>
      <c r="BR3295" s="1539"/>
      <c r="BS3295" s="1539"/>
      <c r="BT3295" s="1539"/>
      <c r="BU3295" s="1539"/>
      <c r="BV3295" s="1539"/>
      <c r="BW3295" s="1539"/>
      <c r="BX3295" s="1539"/>
      <c r="BY3295" s="1539"/>
      <c r="BZ3295" s="1539"/>
      <c r="CA3295" s="1539"/>
      <c r="CB3295" s="1539"/>
      <c r="CC3295" s="1539"/>
      <c r="CD3295" s="1539"/>
      <c r="CE3295" s="1539"/>
      <c r="CF3295" s="1539"/>
      <c r="CG3295" s="1539"/>
      <c r="CH3295" s="1539"/>
      <c r="CI3295" s="1539"/>
      <c r="CJ3295" s="1539"/>
      <c r="CK3295" s="1539"/>
      <c r="CL3295" s="1539"/>
      <c r="CM3295" s="1539"/>
      <c r="CN3295" s="1539"/>
      <c r="CO3295" s="1539"/>
    </row>
    <row r="3296" spans="1:93" s="1552" customFormat="1" ht="15.5">
      <c r="A3296" s="1598"/>
      <c r="B3296" s="1599" t="s">
        <v>1760</v>
      </c>
      <c r="C3296" s="1643" t="e">
        <f>+SUMIF(#REF!,Final!A3296,#REF!)</f>
        <v>#REF!</v>
      </c>
      <c r="D3296" s="1597" t="e">
        <f>+SUMIF(#REF!,Final!A3296,#REF!)</f>
        <v>#REF!</v>
      </c>
      <c r="E3296" s="1643" t="e">
        <f>SUMIF(#REF!,Final!A3296,#REF!)</f>
        <v>#REF!</v>
      </c>
      <c r="F3296" s="1644" t="e">
        <f>SUMIF(#REF!,Final!A3296,#REF!)</f>
        <v>#REF!</v>
      </c>
      <c r="G3296" s="1597" t="e">
        <f t="shared" si="368"/>
        <v>#REF!</v>
      </c>
      <c r="H3296" s="1644" t="e">
        <f t="shared" si="369"/>
        <v>#REF!</v>
      </c>
      <c r="I3296" s="1597" t="e">
        <f t="shared" si="370"/>
        <v>#REF!</v>
      </c>
      <c r="J3296" s="1644" t="e">
        <f t="shared" si="371"/>
        <v>#REF!</v>
      </c>
      <c r="K3296" s="1539"/>
      <c r="L3296" s="1539"/>
      <c r="M3296" s="1545"/>
      <c r="N3296" s="1545"/>
      <c r="O3296" s="1539"/>
      <c r="P3296" s="1539"/>
      <c r="Q3296" s="1539"/>
      <c r="R3296" s="1539"/>
      <c r="S3296" s="1539"/>
      <c r="T3296" s="1539"/>
      <c r="U3296" s="1539"/>
      <c r="V3296" s="1539"/>
      <c r="W3296" s="1539"/>
      <c r="X3296" s="1539"/>
      <c r="Y3296" s="1539"/>
      <c r="Z3296" s="1539"/>
      <c r="AA3296" s="1539"/>
      <c r="AB3296" s="1539"/>
      <c r="AC3296" s="1539"/>
      <c r="AD3296" s="1539"/>
      <c r="AE3296" s="1539"/>
      <c r="AF3296" s="1539"/>
      <c r="AG3296" s="1539"/>
      <c r="AH3296" s="1539"/>
      <c r="AI3296" s="1539"/>
      <c r="AJ3296" s="1539"/>
      <c r="AK3296" s="1539"/>
      <c r="AL3296" s="1539"/>
      <c r="AM3296" s="1539"/>
      <c r="AN3296" s="1539"/>
      <c r="AO3296" s="1539"/>
      <c r="AP3296" s="1539"/>
      <c r="AQ3296" s="1539"/>
      <c r="AR3296" s="1539"/>
      <c r="AS3296" s="1539"/>
      <c r="AT3296" s="1539"/>
      <c r="AU3296" s="1539"/>
      <c r="AV3296" s="1539"/>
      <c r="AW3296" s="1539"/>
      <c r="AX3296" s="1539"/>
      <c r="AY3296" s="1539"/>
      <c r="AZ3296" s="1539"/>
      <c r="BA3296" s="1539"/>
      <c r="BB3296" s="1539"/>
      <c r="BC3296" s="1539"/>
      <c r="BD3296" s="1539"/>
      <c r="BE3296" s="1539"/>
      <c r="BF3296" s="1539"/>
      <c r="BG3296" s="1539"/>
      <c r="BH3296" s="1539"/>
      <c r="BI3296" s="1539"/>
      <c r="BJ3296" s="1539"/>
      <c r="BK3296" s="1539"/>
      <c r="BL3296" s="1539"/>
      <c r="BM3296" s="1539"/>
      <c r="BN3296" s="1539"/>
      <c r="BO3296" s="1539"/>
      <c r="BP3296" s="1539"/>
      <c r="BQ3296" s="1539"/>
      <c r="BR3296" s="1539"/>
      <c r="BS3296" s="1539"/>
      <c r="BT3296" s="1539"/>
      <c r="BU3296" s="1539"/>
      <c r="BV3296" s="1539"/>
      <c r="BW3296" s="1539"/>
      <c r="BX3296" s="1539"/>
      <c r="BY3296" s="1539"/>
      <c r="BZ3296" s="1539"/>
      <c r="CA3296" s="1539"/>
      <c r="CB3296" s="1539"/>
      <c r="CC3296" s="1539"/>
      <c r="CD3296" s="1539"/>
      <c r="CE3296" s="1539"/>
      <c r="CF3296" s="1539"/>
      <c r="CG3296" s="1539"/>
      <c r="CH3296" s="1539"/>
      <c r="CI3296" s="1539"/>
      <c r="CJ3296" s="1539"/>
      <c r="CK3296" s="1539"/>
      <c r="CL3296" s="1539"/>
      <c r="CM3296" s="1539"/>
      <c r="CN3296" s="1539"/>
      <c r="CO3296" s="1539"/>
    </row>
    <row r="3297" spans="1:93" s="1542" customFormat="1" ht="15.5">
      <c r="A3297" s="1598">
        <v>35</v>
      </c>
      <c r="B3297" s="1599" t="s">
        <v>3207</v>
      </c>
      <c r="C3297" s="1643" t="e">
        <f>+SUMIF(#REF!,Final!A3297,#REF!)</f>
        <v>#REF!</v>
      </c>
      <c r="D3297" s="1597" t="e">
        <f>+SUMIF(#REF!,Final!A3297,#REF!)</f>
        <v>#REF!</v>
      </c>
      <c r="E3297" s="1643" t="e">
        <f>SUMIF(#REF!,Final!A3297,#REF!)</f>
        <v>#REF!</v>
      </c>
      <c r="F3297" s="1644" t="e">
        <f>SUMIF(#REF!,Final!A3297,#REF!)</f>
        <v>#REF!</v>
      </c>
      <c r="G3297" s="1597" t="e">
        <f t="shared" si="368"/>
        <v>#REF!</v>
      </c>
      <c r="H3297" s="1644" t="e">
        <f t="shared" si="369"/>
        <v>#REF!</v>
      </c>
      <c r="I3297" s="1597" t="e">
        <f t="shared" si="370"/>
        <v>#REF!</v>
      </c>
      <c r="J3297" s="1644" t="e">
        <f t="shared" si="371"/>
        <v>#REF!</v>
      </c>
      <c r="K3297" s="1539"/>
      <c r="L3297" s="1539"/>
      <c r="M3297" s="1545"/>
      <c r="N3297" s="1545"/>
      <c r="O3297" s="1539"/>
      <c r="P3297" s="1539"/>
      <c r="Q3297" s="1539"/>
      <c r="R3297" s="1539"/>
      <c r="S3297" s="1539"/>
      <c r="T3297" s="1539"/>
      <c r="U3297" s="1539"/>
      <c r="V3297" s="1539"/>
      <c r="W3297" s="1539"/>
      <c r="X3297" s="1539"/>
      <c r="Y3297" s="1539"/>
      <c r="Z3297" s="1539"/>
      <c r="AA3297" s="1539"/>
      <c r="AB3297" s="1539"/>
      <c r="AC3297" s="1539"/>
      <c r="AD3297" s="1539"/>
      <c r="AE3297" s="1539"/>
      <c r="AF3297" s="1539"/>
      <c r="AG3297" s="1539"/>
      <c r="AH3297" s="1539"/>
      <c r="AI3297" s="1539"/>
      <c r="AJ3297" s="1539"/>
      <c r="AK3297" s="1539"/>
      <c r="AL3297" s="1539"/>
      <c r="AM3297" s="1539"/>
      <c r="AN3297" s="1539"/>
      <c r="AO3297" s="1539"/>
      <c r="AP3297" s="1539"/>
      <c r="AQ3297" s="1539"/>
      <c r="AR3297" s="1539"/>
      <c r="AS3297" s="1539"/>
      <c r="AT3297" s="1539"/>
      <c r="AU3297" s="1539"/>
      <c r="AV3297" s="1539"/>
      <c r="AW3297" s="1539"/>
      <c r="AX3297" s="1539"/>
      <c r="AY3297" s="1539"/>
      <c r="AZ3297" s="1539"/>
      <c r="BA3297" s="1539"/>
      <c r="BB3297" s="1539"/>
      <c r="BC3297" s="1539"/>
      <c r="BD3297" s="1539"/>
      <c r="BE3297" s="1539"/>
      <c r="BF3297" s="1539"/>
      <c r="BG3297" s="1539"/>
      <c r="BH3297" s="1539"/>
      <c r="BI3297" s="1539"/>
      <c r="BJ3297" s="1539"/>
      <c r="BK3297" s="1539"/>
      <c r="BL3297" s="1539"/>
      <c r="BM3297" s="1539"/>
      <c r="BN3297" s="1539"/>
      <c r="BO3297" s="1539"/>
      <c r="BP3297" s="1539"/>
      <c r="BQ3297" s="1539"/>
      <c r="BR3297" s="1539"/>
      <c r="BS3297" s="1539"/>
      <c r="BT3297" s="1539"/>
      <c r="BU3297" s="1539"/>
      <c r="BV3297" s="1539"/>
      <c r="BW3297" s="1539"/>
      <c r="BX3297" s="1539"/>
      <c r="BY3297" s="1539"/>
      <c r="BZ3297" s="1539"/>
      <c r="CA3297" s="1539"/>
      <c r="CB3297" s="1539"/>
      <c r="CC3297" s="1539"/>
      <c r="CD3297" s="1539"/>
      <c r="CE3297" s="1539"/>
      <c r="CF3297" s="1539"/>
      <c r="CG3297" s="1539"/>
      <c r="CH3297" s="1539"/>
      <c r="CI3297" s="1539"/>
      <c r="CJ3297" s="1539"/>
      <c r="CK3297" s="1539"/>
      <c r="CL3297" s="1539"/>
      <c r="CM3297" s="1539"/>
      <c r="CN3297" s="1539"/>
      <c r="CO3297" s="1539"/>
    </row>
    <row r="3298" spans="1:93" s="1542" customFormat="1" ht="15.5">
      <c r="A3298" s="1598" t="s">
        <v>1818</v>
      </c>
      <c r="B3298" s="1599" t="s">
        <v>3227</v>
      </c>
      <c r="C3298" s="1643" t="e">
        <f>+SUMIF(#REF!,Final!A3298,#REF!)</f>
        <v>#REF!</v>
      </c>
      <c r="D3298" s="1597" t="e">
        <f>+SUMIF(#REF!,Final!A3298,#REF!)</f>
        <v>#REF!</v>
      </c>
      <c r="E3298" s="1643" t="e">
        <f>SUMIF(#REF!,Final!A3298,#REF!)</f>
        <v>#REF!</v>
      </c>
      <c r="F3298" s="1644" t="e">
        <f>SUMIF(#REF!,Final!A3298,#REF!)</f>
        <v>#REF!</v>
      </c>
      <c r="G3298" s="1597" t="e">
        <f t="shared" si="368"/>
        <v>#REF!</v>
      </c>
      <c r="H3298" s="1644" t="e">
        <f t="shared" si="369"/>
        <v>#REF!</v>
      </c>
      <c r="I3298" s="1597" t="e">
        <f t="shared" si="370"/>
        <v>#REF!</v>
      </c>
      <c r="J3298" s="1644" t="e">
        <f t="shared" si="371"/>
        <v>#REF!</v>
      </c>
      <c r="K3298" s="1539"/>
      <c r="L3298" s="1539"/>
      <c r="M3298" s="1545"/>
      <c r="N3298" s="1545"/>
      <c r="O3298" s="1539"/>
      <c r="P3298" s="1539"/>
      <c r="Q3298" s="1539"/>
      <c r="R3298" s="1539"/>
      <c r="S3298" s="1539"/>
      <c r="T3298" s="1539"/>
      <c r="U3298" s="1539"/>
      <c r="V3298" s="1539"/>
      <c r="W3298" s="1539"/>
      <c r="X3298" s="1539"/>
      <c r="Y3298" s="1539"/>
      <c r="Z3298" s="1539"/>
      <c r="AA3298" s="1539"/>
      <c r="AB3298" s="1539"/>
      <c r="AC3298" s="1539"/>
      <c r="AD3298" s="1539"/>
      <c r="AE3298" s="1539"/>
      <c r="AF3298" s="1539"/>
      <c r="AG3298" s="1539"/>
      <c r="AH3298" s="1539"/>
      <c r="AI3298" s="1539"/>
      <c r="AJ3298" s="1539"/>
      <c r="AK3298" s="1539"/>
      <c r="AL3298" s="1539"/>
      <c r="AM3298" s="1539"/>
      <c r="AN3298" s="1539"/>
      <c r="AO3298" s="1539"/>
      <c r="AP3298" s="1539"/>
      <c r="AQ3298" s="1539"/>
      <c r="AR3298" s="1539"/>
      <c r="AS3298" s="1539"/>
      <c r="AT3298" s="1539"/>
      <c r="AU3298" s="1539"/>
      <c r="AV3298" s="1539"/>
      <c r="AW3298" s="1539"/>
      <c r="AX3298" s="1539"/>
      <c r="AY3298" s="1539"/>
      <c r="AZ3298" s="1539"/>
      <c r="BA3298" s="1539"/>
      <c r="BB3298" s="1539"/>
      <c r="BC3298" s="1539"/>
      <c r="BD3298" s="1539"/>
      <c r="BE3298" s="1539"/>
      <c r="BF3298" s="1539"/>
      <c r="BG3298" s="1539"/>
      <c r="BH3298" s="1539"/>
      <c r="BI3298" s="1539"/>
      <c r="BJ3298" s="1539"/>
      <c r="BK3298" s="1539"/>
      <c r="BL3298" s="1539"/>
      <c r="BM3298" s="1539"/>
      <c r="BN3298" s="1539"/>
      <c r="BO3298" s="1539"/>
      <c r="BP3298" s="1539"/>
      <c r="BQ3298" s="1539"/>
      <c r="BR3298" s="1539"/>
      <c r="BS3298" s="1539"/>
      <c r="BT3298" s="1539"/>
      <c r="BU3298" s="1539"/>
      <c r="BV3298" s="1539"/>
      <c r="BW3298" s="1539"/>
      <c r="BX3298" s="1539"/>
      <c r="BY3298" s="1539"/>
      <c r="BZ3298" s="1539"/>
      <c r="CA3298" s="1539"/>
      <c r="CB3298" s="1539"/>
      <c r="CC3298" s="1539"/>
      <c r="CD3298" s="1539"/>
      <c r="CE3298" s="1539"/>
      <c r="CF3298" s="1539"/>
      <c r="CG3298" s="1539"/>
      <c r="CH3298" s="1539"/>
      <c r="CI3298" s="1539"/>
      <c r="CJ3298" s="1539"/>
      <c r="CK3298" s="1539"/>
      <c r="CL3298" s="1539"/>
      <c r="CM3298" s="1539"/>
      <c r="CN3298" s="1539"/>
      <c r="CO3298" s="1539"/>
    </row>
    <row r="3299" spans="1:93" ht="15.5">
      <c r="A3299" s="1598">
        <v>76.260000000000005</v>
      </c>
      <c r="B3299" s="1599" t="s">
        <v>3257</v>
      </c>
      <c r="C3299" s="1643" t="e">
        <f>+SUMIF(#REF!,Final!A3299,#REF!)</f>
        <v>#REF!</v>
      </c>
      <c r="D3299" s="1597" t="e">
        <f>+SUMIF(#REF!,Final!A3299,#REF!)</f>
        <v>#REF!</v>
      </c>
      <c r="E3299" s="1643" t="e">
        <f>SUMIF(#REF!,Final!A3299,#REF!)</f>
        <v>#REF!</v>
      </c>
      <c r="F3299" s="1644" t="e">
        <f>SUMIF(#REF!,Final!A3299,#REF!)</f>
        <v>#REF!</v>
      </c>
      <c r="G3299" s="1597" t="e">
        <f t="shared" si="368"/>
        <v>#REF!</v>
      </c>
      <c r="H3299" s="1644" t="e">
        <f t="shared" si="369"/>
        <v>#REF!</v>
      </c>
      <c r="I3299" s="1597" t="e">
        <f t="shared" si="370"/>
        <v>#REF!</v>
      </c>
      <c r="J3299" s="1644" t="e">
        <f t="shared" si="371"/>
        <v>#REF!</v>
      </c>
      <c r="M3299" s="1545"/>
      <c r="N3299" s="1545"/>
    </row>
    <row r="3300" spans="1:93" ht="15.5">
      <c r="A3300" s="1598">
        <v>76.260999999999996</v>
      </c>
      <c r="B3300" s="1599" t="s">
        <v>3258</v>
      </c>
      <c r="C3300" s="1643" t="e">
        <f>+SUMIF(#REF!,Final!A3300,#REF!)</f>
        <v>#REF!</v>
      </c>
      <c r="D3300" s="1597" t="e">
        <f>+SUMIF(#REF!,Final!A3300,#REF!)</f>
        <v>#REF!</v>
      </c>
      <c r="E3300" s="1643" t="e">
        <f>SUMIF(#REF!,Final!A3300,#REF!)</f>
        <v>#REF!</v>
      </c>
      <c r="F3300" s="1644" t="e">
        <f>SUMIF(#REF!,Final!A3300,#REF!)</f>
        <v>#REF!</v>
      </c>
      <c r="G3300" s="1597" t="e">
        <f t="shared" si="368"/>
        <v>#REF!</v>
      </c>
      <c r="H3300" s="1644" t="e">
        <f t="shared" si="369"/>
        <v>#REF!</v>
      </c>
      <c r="I3300" s="1597" t="e">
        <f t="shared" si="370"/>
        <v>#REF!</v>
      </c>
      <c r="J3300" s="1644" t="e">
        <f t="shared" si="371"/>
        <v>#REF!</v>
      </c>
      <c r="M3300" s="1545"/>
      <c r="N3300" s="1545"/>
    </row>
    <row r="3301" spans="1:93" s="1552" customFormat="1" ht="15.5">
      <c r="A3301" s="1598"/>
      <c r="B3301" s="1599" t="s">
        <v>1747</v>
      </c>
      <c r="C3301" s="1643" t="e">
        <f>+SUMIF(#REF!,Final!A3301,#REF!)</f>
        <v>#REF!</v>
      </c>
      <c r="D3301" s="1597" t="e">
        <f>+SUMIF(#REF!,Final!A3301,#REF!)</f>
        <v>#REF!</v>
      </c>
      <c r="E3301" s="1643" t="e">
        <f>SUMIF(#REF!,Final!A3301,#REF!)</f>
        <v>#REF!</v>
      </c>
      <c r="F3301" s="1644" t="e">
        <f>SUMIF(#REF!,Final!A3301,#REF!)</f>
        <v>#REF!</v>
      </c>
      <c r="G3301" s="1597" t="e">
        <f t="shared" si="368"/>
        <v>#REF!</v>
      </c>
      <c r="H3301" s="1644" t="e">
        <f t="shared" si="369"/>
        <v>#REF!</v>
      </c>
      <c r="I3301" s="1597" t="e">
        <f t="shared" si="370"/>
        <v>#REF!</v>
      </c>
      <c r="J3301" s="1644" t="e">
        <f t="shared" si="371"/>
        <v>#REF!</v>
      </c>
      <c r="K3301" s="1539"/>
      <c r="L3301" s="1539"/>
      <c r="M3301" s="1545"/>
      <c r="N3301" s="1545"/>
      <c r="O3301" s="1539"/>
      <c r="P3301" s="1539"/>
      <c r="Q3301" s="1539"/>
      <c r="R3301" s="1539"/>
      <c r="S3301" s="1539"/>
      <c r="T3301" s="1539"/>
      <c r="U3301" s="1539"/>
      <c r="V3301" s="1539"/>
      <c r="W3301" s="1539"/>
      <c r="X3301" s="1539"/>
      <c r="Y3301" s="1539"/>
      <c r="Z3301" s="1539"/>
      <c r="AA3301" s="1539"/>
      <c r="AB3301" s="1539"/>
      <c r="AC3301" s="1539"/>
      <c r="AD3301" s="1539"/>
      <c r="AE3301" s="1539"/>
      <c r="AF3301" s="1539"/>
      <c r="AG3301" s="1539"/>
      <c r="AH3301" s="1539"/>
      <c r="AI3301" s="1539"/>
      <c r="AJ3301" s="1539"/>
      <c r="AK3301" s="1539"/>
      <c r="AL3301" s="1539"/>
      <c r="AM3301" s="1539"/>
      <c r="AN3301" s="1539"/>
      <c r="AO3301" s="1539"/>
      <c r="AP3301" s="1539"/>
      <c r="AQ3301" s="1539"/>
      <c r="AR3301" s="1539"/>
      <c r="AS3301" s="1539"/>
      <c r="AT3301" s="1539"/>
      <c r="AU3301" s="1539"/>
      <c r="AV3301" s="1539"/>
      <c r="AW3301" s="1539"/>
      <c r="AX3301" s="1539"/>
      <c r="AY3301" s="1539"/>
      <c r="AZ3301" s="1539"/>
      <c r="BA3301" s="1539"/>
      <c r="BB3301" s="1539"/>
      <c r="BC3301" s="1539"/>
      <c r="BD3301" s="1539"/>
      <c r="BE3301" s="1539"/>
      <c r="BF3301" s="1539"/>
      <c r="BG3301" s="1539"/>
      <c r="BH3301" s="1539"/>
      <c r="BI3301" s="1539"/>
      <c r="BJ3301" s="1539"/>
      <c r="BK3301" s="1539"/>
      <c r="BL3301" s="1539"/>
      <c r="BM3301" s="1539"/>
      <c r="BN3301" s="1539"/>
      <c r="BO3301" s="1539"/>
      <c r="BP3301" s="1539"/>
      <c r="BQ3301" s="1539"/>
      <c r="BR3301" s="1539"/>
      <c r="BS3301" s="1539"/>
      <c r="BT3301" s="1539"/>
      <c r="BU3301" s="1539"/>
      <c r="BV3301" s="1539"/>
      <c r="BW3301" s="1539"/>
      <c r="BX3301" s="1539"/>
      <c r="BY3301" s="1539"/>
      <c r="BZ3301" s="1539"/>
      <c r="CA3301" s="1539"/>
      <c r="CB3301" s="1539"/>
      <c r="CC3301" s="1539"/>
      <c r="CD3301" s="1539"/>
      <c r="CE3301" s="1539"/>
      <c r="CF3301" s="1539"/>
      <c r="CG3301" s="1539"/>
      <c r="CH3301" s="1539"/>
      <c r="CI3301" s="1539"/>
      <c r="CJ3301" s="1539"/>
      <c r="CK3301" s="1539"/>
      <c r="CL3301" s="1539"/>
      <c r="CM3301" s="1539"/>
      <c r="CN3301" s="1539"/>
      <c r="CO3301" s="1539"/>
    </row>
    <row r="3302" spans="1:93" s="1552" customFormat="1" ht="15.5">
      <c r="A3302" s="1598"/>
      <c r="B3302" s="1599" t="s">
        <v>1760</v>
      </c>
      <c r="C3302" s="1643" t="e">
        <f>+SUMIF(#REF!,Final!A3302,#REF!)</f>
        <v>#REF!</v>
      </c>
      <c r="D3302" s="1597" t="e">
        <f>+SUMIF(#REF!,Final!A3302,#REF!)</f>
        <v>#REF!</v>
      </c>
      <c r="E3302" s="1643" t="e">
        <f>SUMIF(#REF!,Final!A3302,#REF!)</f>
        <v>#REF!</v>
      </c>
      <c r="F3302" s="1644" t="e">
        <f>SUMIF(#REF!,Final!A3302,#REF!)</f>
        <v>#REF!</v>
      </c>
      <c r="G3302" s="1597" t="e">
        <f t="shared" si="368"/>
        <v>#REF!</v>
      </c>
      <c r="H3302" s="1644" t="e">
        <f t="shared" si="369"/>
        <v>#REF!</v>
      </c>
      <c r="I3302" s="1597" t="e">
        <f t="shared" si="370"/>
        <v>#REF!</v>
      </c>
      <c r="J3302" s="1644" t="e">
        <f t="shared" si="371"/>
        <v>#REF!</v>
      </c>
      <c r="K3302" s="1539"/>
      <c r="L3302" s="1539"/>
      <c r="M3302" s="1545"/>
      <c r="N3302" s="1545"/>
      <c r="O3302" s="1539"/>
      <c r="P3302" s="1539"/>
      <c r="Q3302" s="1539"/>
      <c r="R3302" s="1539"/>
      <c r="S3302" s="1539"/>
      <c r="T3302" s="1539"/>
      <c r="U3302" s="1539"/>
      <c r="V3302" s="1539"/>
      <c r="W3302" s="1539"/>
      <c r="X3302" s="1539"/>
      <c r="Y3302" s="1539"/>
      <c r="Z3302" s="1539"/>
      <c r="AA3302" s="1539"/>
      <c r="AB3302" s="1539"/>
      <c r="AC3302" s="1539"/>
      <c r="AD3302" s="1539"/>
      <c r="AE3302" s="1539"/>
      <c r="AF3302" s="1539"/>
      <c r="AG3302" s="1539"/>
      <c r="AH3302" s="1539"/>
      <c r="AI3302" s="1539"/>
      <c r="AJ3302" s="1539"/>
      <c r="AK3302" s="1539"/>
      <c r="AL3302" s="1539"/>
      <c r="AM3302" s="1539"/>
      <c r="AN3302" s="1539"/>
      <c r="AO3302" s="1539"/>
      <c r="AP3302" s="1539"/>
      <c r="AQ3302" s="1539"/>
      <c r="AR3302" s="1539"/>
      <c r="AS3302" s="1539"/>
      <c r="AT3302" s="1539"/>
      <c r="AU3302" s="1539"/>
      <c r="AV3302" s="1539"/>
      <c r="AW3302" s="1539"/>
      <c r="AX3302" s="1539"/>
      <c r="AY3302" s="1539"/>
      <c r="AZ3302" s="1539"/>
      <c r="BA3302" s="1539"/>
      <c r="BB3302" s="1539"/>
      <c r="BC3302" s="1539"/>
      <c r="BD3302" s="1539"/>
      <c r="BE3302" s="1539"/>
      <c r="BF3302" s="1539"/>
      <c r="BG3302" s="1539"/>
      <c r="BH3302" s="1539"/>
      <c r="BI3302" s="1539"/>
      <c r="BJ3302" s="1539"/>
      <c r="BK3302" s="1539"/>
      <c r="BL3302" s="1539"/>
      <c r="BM3302" s="1539"/>
      <c r="BN3302" s="1539"/>
      <c r="BO3302" s="1539"/>
      <c r="BP3302" s="1539"/>
      <c r="BQ3302" s="1539"/>
      <c r="BR3302" s="1539"/>
      <c r="BS3302" s="1539"/>
      <c r="BT3302" s="1539"/>
      <c r="BU3302" s="1539"/>
      <c r="BV3302" s="1539"/>
      <c r="BW3302" s="1539"/>
      <c r="BX3302" s="1539"/>
      <c r="BY3302" s="1539"/>
      <c r="BZ3302" s="1539"/>
      <c r="CA3302" s="1539"/>
      <c r="CB3302" s="1539"/>
      <c r="CC3302" s="1539"/>
      <c r="CD3302" s="1539"/>
      <c r="CE3302" s="1539"/>
      <c r="CF3302" s="1539"/>
      <c r="CG3302" s="1539"/>
      <c r="CH3302" s="1539"/>
      <c r="CI3302" s="1539"/>
      <c r="CJ3302" s="1539"/>
      <c r="CK3302" s="1539"/>
      <c r="CL3302" s="1539"/>
      <c r="CM3302" s="1539"/>
      <c r="CN3302" s="1539"/>
      <c r="CO3302" s="1539"/>
    </row>
    <row r="3303" spans="1:93" s="1542" customFormat="1" ht="15.5">
      <c r="A3303" s="1598">
        <v>35</v>
      </c>
      <c r="B3303" s="1599" t="s">
        <v>3207</v>
      </c>
      <c r="C3303" s="1643" t="e">
        <f>+SUMIF(#REF!,Final!A3303,#REF!)</f>
        <v>#REF!</v>
      </c>
      <c r="D3303" s="1597" t="e">
        <f>+SUMIF(#REF!,Final!A3303,#REF!)</f>
        <v>#REF!</v>
      </c>
      <c r="E3303" s="1643" t="e">
        <f>SUMIF(#REF!,Final!A3303,#REF!)</f>
        <v>#REF!</v>
      </c>
      <c r="F3303" s="1644" t="e">
        <f>SUMIF(#REF!,Final!A3303,#REF!)</f>
        <v>#REF!</v>
      </c>
      <c r="G3303" s="1597" t="e">
        <f t="shared" si="368"/>
        <v>#REF!</v>
      </c>
      <c r="H3303" s="1644" t="e">
        <f t="shared" si="369"/>
        <v>#REF!</v>
      </c>
      <c r="I3303" s="1597" t="e">
        <f t="shared" si="370"/>
        <v>#REF!</v>
      </c>
      <c r="J3303" s="1644" t="e">
        <f t="shared" si="371"/>
        <v>#REF!</v>
      </c>
      <c r="K3303" s="1539"/>
      <c r="L3303" s="1539"/>
      <c r="M3303" s="1545"/>
      <c r="N3303" s="1545"/>
      <c r="O3303" s="1539"/>
      <c r="P3303" s="1539"/>
      <c r="Q3303" s="1539"/>
      <c r="R3303" s="1539"/>
      <c r="S3303" s="1539"/>
      <c r="T3303" s="1539"/>
      <c r="U3303" s="1539"/>
      <c r="V3303" s="1539"/>
      <c r="W3303" s="1539"/>
      <c r="X3303" s="1539"/>
      <c r="Y3303" s="1539"/>
      <c r="Z3303" s="1539"/>
      <c r="AA3303" s="1539"/>
      <c r="AB3303" s="1539"/>
      <c r="AC3303" s="1539"/>
      <c r="AD3303" s="1539"/>
      <c r="AE3303" s="1539"/>
      <c r="AF3303" s="1539"/>
      <c r="AG3303" s="1539"/>
      <c r="AH3303" s="1539"/>
      <c r="AI3303" s="1539"/>
      <c r="AJ3303" s="1539"/>
      <c r="AK3303" s="1539"/>
      <c r="AL3303" s="1539"/>
      <c r="AM3303" s="1539"/>
      <c r="AN3303" s="1539"/>
      <c r="AO3303" s="1539"/>
      <c r="AP3303" s="1539"/>
      <c r="AQ3303" s="1539"/>
      <c r="AR3303" s="1539"/>
      <c r="AS3303" s="1539"/>
      <c r="AT3303" s="1539"/>
      <c r="AU3303" s="1539"/>
      <c r="AV3303" s="1539"/>
      <c r="AW3303" s="1539"/>
      <c r="AX3303" s="1539"/>
      <c r="AY3303" s="1539"/>
      <c r="AZ3303" s="1539"/>
      <c r="BA3303" s="1539"/>
      <c r="BB3303" s="1539"/>
      <c r="BC3303" s="1539"/>
      <c r="BD3303" s="1539"/>
      <c r="BE3303" s="1539"/>
      <c r="BF3303" s="1539"/>
      <c r="BG3303" s="1539"/>
      <c r="BH3303" s="1539"/>
      <c r="BI3303" s="1539"/>
      <c r="BJ3303" s="1539"/>
      <c r="BK3303" s="1539"/>
      <c r="BL3303" s="1539"/>
      <c r="BM3303" s="1539"/>
      <c r="BN3303" s="1539"/>
      <c r="BO3303" s="1539"/>
      <c r="BP3303" s="1539"/>
      <c r="BQ3303" s="1539"/>
      <c r="BR3303" s="1539"/>
      <c r="BS3303" s="1539"/>
      <c r="BT3303" s="1539"/>
      <c r="BU3303" s="1539"/>
      <c r="BV3303" s="1539"/>
      <c r="BW3303" s="1539"/>
      <c r="BX3303" s="1539"/>
      <c r="BY3303" s="1539"/>
      <c r="BZ3303" s="1539"/>
      <c r="CA3303" s="1539"/>
      <c r="CB3303" s="1539"/>
      <c r="CC3303" s="1539"/>
      <c r="CD3303" s="1539"/>
      <c r="CE3303" s="1539"/>
      <c r="CF3303" s="1539"/>
      <c r="CG3303" s="1539"/>
      <c r="CH3303" s="1539"/>
      <c r="CI3303" s="1539"/>
      <c r="CJ3303" s="1539"/>
      <c r="CK3303" s="1539"/>
      <c r="CL3303" s="1539"/>
      <c r="CM3303" s="1539"/>
      <c r="CN3303" s="1539"/>
      <c r="CO3303" s="1539"/>
    </row>
    <row r="3304" spans="1:93" s="1542" customFormat="1" ht="15.5">
      <c r="A3304" s="1598" t="s">
        <v>1827</v>
      </c>
      <c r="B3304" s="1599" t="s">
        <v>3249</v>
      </c>
      <c r="C3304" s="1643" t="e">
        <f>+SUMIF(#REF!,Final!A3304,#REF!)</f>
        <v>#REF!</v>
      </c>
      <c r="D3304" s="1597" t="e">
        <f>+SUMIF(#REF!,Final!A3304,#REF!)</f>
        <v>#REF!</v>
      </c>
      <c r="E3304" s="1643" t="e">
        <f>SUMIF(#REF!,Final!A3304,#REF!)</f>
        <v>#REF!</v>
      </c>
      <c r="F3304" s="1644" t="e">
        <f>SUMIF(#REF!,Final!A3304,#REF!)</f>
        <v>#REF!</v>
      </c>
      <c r="G3304" s="1597" t="e">
        <f t="shared" si="368"/>
        <v>#REF!</v>
      </c>
      <c r="H3304" s="1644" t="e">
        <f t="shared" si="369"/>
        <v>#REF!</v>
      </c>
      <c r="I3304" s="1597" t="e">
        <f t="shared" si="370"/>
        <v>#REF!</v>
      </c>
      <c r="J3304" s="1644" t="e">
        <f t="shared" si="371"/>
        <v>#REF!</v>
      </c>
      <c r="K3304" s="1539"/>
      <c r="L3304" s="1539"/>
      <c r="M3304" s="1545"/>
      <c r="N3304" s="1545"/>
      <c r="O3304" s="1539"/>
      <c r="P3304" s="1539"/>
      <c r="Q3304" s="1539"/>
      <c r="R3304" s="1539"/>
      <c r="S3304" s="1539"/>
      <c r="T3304" s="1539"/>
      <c r="U3304" s="1539"/>
      <c r="V3304" s="1539"/>
      <c r="W3304" s="1539"/>
      <c r="X3304" s="1539"/>
      <c r="Y3304" s="1539"/>
      <c r="Z3304" s="1539"/>
      <c r="AA3304" s="1539"/>
      <c r="AB3304" s="1539"/>
      <c r="AC3304" s="1539"/>
      <c r="AD3304" s="1539"/>
      <c r="AE3304" s="1539"/>
      <c r="AF3304" s="1539"/>
      <c r="AG3304" s="1539"/>
      <c r="AH3304" s="1539"/>
      <c r="AI3304" s="1539"/>
      <c r="AJ3304" s="1539"/>
      <c r="AK3304" s="1539"/>
      <c r="AL3304" s="1539"/>
      <c r="AM3304" s="1539"/>
      <c r="AN3304" s="1539"/>
      <c r="AO3304" s="1539"/>
      <c r="AP3304" s="1539"/>
      <c r="AQ3304" s="1539"/>
      <c r="AR3304" s="1539"/>
      <c r="AS3304" s="1539"/>
      <c r="AT3304" s="1539"/>
      <c r="AU3304" s="1539"/>
      <c r="AV3304" s="1539"/>
      <c r="AW3304" s="1539"/>
      <c r="AX3304" s="1539"/>
      <c r="AY3304" s="1539"/>
      <c r="AZ3304" s="1539"/>
      <c r="BA3304" s="1539"/>
      <c r="BB3304" s="1539"/>
      <c r="BC3304" s="1539"/>
      <c r="BD3304" s="1539"/>
      <c r="BE3304" s="1539"/>
      <c r="BF3304" s="1539"/>
      <c r="BG3304" s="1539"/>
      <c r="BH3304" s="1539"/>
      <c r="BI3304" s="1539"/>
      <c r="BJ3304" s="1539"/>
      <c r="BK3304" s="1539"/>
      <c r="BL3304" s="1539"/>
      <c r="BM3304" s="1539"/>
      <c r="BN3304" s="1539"/>
      <c r="BO3304" s="1539"/>
      <c r="BP3304" s="1539"/>
      <c r="BQ3304" s="1539"/>
      <c r="BR3304" s="1539"/>
      <c r="BS3304" s="1539"/>
      <c r="BT3304" s="1539"/>
      <c r="BU3304" s="1539"/>
      <c r="BV3304" s="1539"/>
      <c r="BW3304" s="1539"/>
      <c r="BX3304" s="1539"/>
      <c r="BY3304" s="1539"/>
      <c r="BZ3304" s="1539"/>
      <c r="CA3304" s="1539"/>
      <c r="CB3304" s="1539"/>
      <c r="CC3304" s="1539"/>
      <c r="CD3304" s="1539"/>
      <c r="CE3304" s="1539"/>
      <c r="CF3304" s="1539"/>
      <c r="CG3304" s="1539"/>
      <c r="CH3304" s="1539"/>
      <c r="CI3304" s="1539"/>
      <c r="CJ3304" s="1539"/>
      <c r="CK3304" s="1539"/>
      <c r="CL3304" s="1539"/>
      <c r="CM3304" s="1539"/>
      <c r="CN3304" s="1539"/>
      <c r="CO3304" s="1539"/>
    </row>
    <row r="3305" spans="1:93" ht="15.5">
      <c r="A3305" s="1598">
        <v>76.281000000000006</v>
      </c>
      <c r="B3305" s="1599" t="s">
        <v>3259</v>
      </c>
      <c r="C3305" s="1643" t="e">
        <f>+SUMIF(#REF!,Final!A3305,#REF!)</f>
        <v>#REF!</v>
      </c>
      <c r="D3305" s="1597" t="e">
        <f>+SUMIF(#REF!,Final!A3305,#REF!)</f>
        <v>#REF!</v>
      </c>
      <c r="E3305" s="1643" t="e">
        <f>SUMIF(#REF!,Final!A3305,#REF!)</f>
        <v>#REF!</v>
      </c>
      <c r="F3305" s="1644" t="e">
        <f>SUMIF(#REF!,Final!A3305,#REF!)</f>
        <v>#REF!</v>
      </c>
      <c r="G3305" s="1597" t="e">
        <f t="shared" si="368"/>
        <v>#REF!</v>
      </c>
      <c r="H3305" s="1644" t="e">
        <f t="shared" si="369"/>
        <v>#REF!</v>
      </c>
      <c r="I3305" s="1597" t="e">
        <f t="shared" si="370"/>
        <v>#REF!</v>
      </c>
      <c r="J3305" s="1644" t="e">
        <f t="shared" si="371"/>
        <v>#REF!</v>
      </c>
      <c r="M3305" s="1545"/>
      <c r="N3305" s="1545"/>
    </row>
    <row r="3306" spans="1:93" ht="15.5">
      <c r="A3306" s="1598">
        <v>76.299000000000007</v>
      </c>
      <c r="B3306" s="1599" t="s">
        <v>3260</v>
      </c>
      <c r="C3306" s="1643" t="e">
        <f>+SUMIF(#REF!,Final!A3306,#REF!)</f>
        <v>#REF!</v>
      </c>
      <c r="D3306" s="1597" t="e">
        <f>+SUMIF(#REF!,Final!A3306,#REF!)</f>
        <v>#REF!</v>
      </c>
      <c r="E3306" s="1643" t="e">
        <f>SUMIF(#REF!,Final!A3306,#REF!)</f>
        <v>#REF!</v>
      </c>
      <c r="F3306" s="1644" t="e">
        <f>SUMIF(#REF!,Final!A3306,#REF!)</f>
        <v>#REF!</v>
      </c>
      <c r="G3306" s="1597" t="e">
        <f t="shared" si="368"/>
        <v>#REF!</v>
      </c>
      <c r="H3306" s="1644" t="e">
        <f t="shared" si="369"/>
        <v>#REF!</v>
      </c>
      <c r="I3306" s="1597" t="e">
        <f t="shared" si="370"/>
        <v>#REF!</v>
      </c>
      <c r="J3306" s="1644" t="e">
        <f t="shared" si="371"/>
        <v>#REF!</v>
      </c>
      <c r="M3306" s="1545"/>
      <c r="N3306" s="1545"/>
    </row>
    <row r="3307" spans="1:93" s="1552" customFormat="1" ht="15.5">
      <c r="A3307" s="1598"/>
      <c r="B3307" s="1599" t="s">
        <v>1747</v>
      </c>
      <c r="C3307" s="1643" t="e">
        <f>+SUMIF(#REF!,Final!A3307,#REF!)</f>
        <v>#REF!</v>
      </c>
      <c r="D3307" s="1597" t="e">
        <f>+SUMIF(#REF!,Final!A3307,#REF!)</f>
        <v>#REF!</v>
      </c>
      <c r="E3307" s="1643" t="e">
        <f>SUMIF(#REF!,Final!A3307,#REF!)</f>
        <v>#REF!</v>
      </c>
      <c r="F3307" s="1644" t="e">
        <f>SUMIF(#REF!,Final!A3307,#REF!)</f>
        <v>#REF!</v>
      </c>
      <c r="G3307" s="1597" t="e">
        <f t="shared" si="368"/>
        <v>#REF!</v>
      </c>
      <c r="H3307" s="1644" t="e">
        <f t="shared" si="369"/>
        <v>#REF!</v>
      </c>
      <c r="I3307" s="1597" t="e">
        <f t="shared" si="370"/>
        <v>#REF!</v>
      </c>
      <c r="J3307" s="1644" t="e">
        <f t="shared" si="371"/>
        <v>#REF!</v>
      </c>
      <c r="K3307" s="1539"/>
      <c r="L3307" s="1539"/>
      <c r="M3307" s="1545"/>
      <c r="N3307" s="1545"/>
      <c r="O3307" s="1539"/>
      <c r="P3307" s="1539"/>
      <c r="Q3307" s="1539"/>
      <c r="R3307" s="1539"/>
      <c r="S3307" s="1539"/>
      <c r="T3307" s="1539"/>
      <c r="U3307" s="1539"/>
      <c r="V3307" s="1539"/>
      <c r="W3307" s="1539"/>
      <c r="X3307" s="1539"/>
      <c r="Y3307" s="1539"/>
      <c r="Z3307" s="1539"/>
      <c r="AA3307" s="1539"/>
      <c r="AB3307" s="1539"/>
      <c r="AC3307" s="1539"/>
      <c r="AD3307" s="1539"/>
      <c r="AE3307" s="1539"/>
      <c r="AF3307" s="1539"/>
      <c r="AG3307" s="1539"/>
      <c r="AH3307" s="1539"/>
      <c r="AI3307" s="1539"/>
      <c r="AJ3307" s="1539"/>
      <c r="AK3307" s="1539"/>
      <c r="AL3307" s="1539"/>
      <c r="AM3307" s="1539"/>
      <c r="AN3307" s="1539"/>
      <c r="AO3307" s="1539"/>
      <c r="AP3307" s="1539"/>
      <c r="AQ3307" s="1539"/>
      <c r="AR3307" s="1539"/>
      <c r="AS3307" s="1539"/>
      <c r="AT3307" s="1539"/>
      <c r="AU3307" s="1539"/>
      <c r="AV3307" s="1539"/>
      <c r="AW3307" s="1539"/>
      <c r="AX3307" s="1539"/>
      <c r="AY3307" s="1539"/>
      <c r="AZ3307" s="1539"/>
      <c r="BA3307" s="1539"/>
      <c r="BB3307" s="1539"/>
      <c r="BC3307" s="1539"/>
      <c r="BD3307" s="1539"/>
      <c r="BE3307" s="1539"/>
      <c r="BF3307" s="1539"/>
      <c r="BG3307" s="1539"/>
      <c r="BH3307" s="1539"/>
      <c r="BI3307" s="1539"/>
      <c r="BJ3307" s="1539"/>
      <c r="BK3307" s="1539"/>
      <c r="BL3307" s="1539"/>
      <c r="BM3307" s="1539"/>
      <c r="BN3307" s="1539"/>
      <c r="BO3307" s="1539"/>
      <c r="BP3307" s="1539"/>
      <c r="BQ3307" s="1539"/>
      <c r="BR3307" s="1539"/>
      <c r="BS3307" s="1539"/>
      <c r="BT3307" s="1539"/>
      <c r="BU3307" s="1539"/>
      <c r="BV3307" s="1539"/>
      <c r="BW3307" s="1539"/>
      <c r="BX3307" s="1539"/>
      <c r="BY3307" s="1539"/>
      <c r="BZ3307" s="1539"/>
      <c r="CA3307" s="1539"/>
      <c r="CB3307" s="1539"/>
      <c r="CC3307" s="1539"/>
      <c r="CD3307" s="1539"/>
      <c r="CE3307" s="1539"/>
      <c r="CF3307" s="1539"/>
      <c r="CG3307" s="1539"/>
      <c r="CH3307" s="1539"/>
      <c r="CI3307" s="1539"/>
      <c r="CJ3307" s="1539"/>
      <c r="CK3307" s="1539"/>
      <c r="CL3307" s="1539"/>
      <c r="CM3307" s="1539"/>
      <c r="CN3307" s="1539"/>
      <c r="CO3307" s="1539"/>
    </row>
    <row r="3308" spans="1:93" s="1552" customFormat="1" ht="15.5">
      <c r="A3308" s="1598"/>
      <c r="B3308" s="1599" t="s">
        <v>1760</v>
      </c>
      <c r="C3308" s="1643" t="e">
        <f>+SUMIF(#REF!,Final!A3308,#REF!)</f>
        <v>#REF!</v>
      </c>
      <c r="D3308" s="1597" t="e">
        <f>+SUMIF(#REF!,Final!A3308,#REF!)</f>
        <v>#REF!</v>
      </c>
      <c r="E3308" s="1643" t="e">
        <f>SUMIF(#REF!,Final!A3308,#REF!)</f>
        <v>#REF!</v>
      </c>
      <c r="F3308" s="1644" t="e">
        <f>SUMIF(#REF!,Final!A3308,#REF!)</f>
        <v>#REF!</v>
      </c>
      <c r="G3308" s="1597" t="e">
        <f t="shared" si="368"/>
        <v>#REF!</v>
      </c>
      <c r="H3308" s="1644" t="e">
        <f t="shared" si="369"/>
        <v>#REF!</v>
      </c>
      <c r="I3308" s="1597" t="e">
        <f t="shared" si="370"/>
        <v>#REF!</v>
      </c>
      <c r="J3308" s="1644" t="e">
        <f t="shared" si="371"/>
        <v>#REF!</v>
      </c>
      <c r="K3308" s="1539"/>
      <c r="L3308" s="1539"/>
      <c r="M3308" s="1545"/>
      <c r="N3308" s="1545"/>
      <c r="O3308" s="1539"/>
      <c r="P3308" s="1539"/>
      <c r="Q3308" s="1539"/>
      <c r="R3308" s="1539"/>
      <c r="S3308" s="1539"/>
      <c r="T3308" s="1539"/>
      <c r="U3308" s="1539"/>
      <c r="V3308" s="1539"/>
      <c r="W3308" s="1539"/>
      <c r="X3308" s="1539"/>
      <c r="Y3308" s="1539"/>
      <c r="Z3308" s="1539"/>
      <c r="AA3308" s="1539"/>
      <c r="AB3308" s="1539"/>
      <c r="AC3308" s="1539"/>
      <c r="AD3308" s="1539"/>
      <c r="AE3308" s="1539"/>
      <c r="AF3308" s="1539"/>
      <c r="AG3308" s="1539"/>
      <c r="AH3308" s="1539"/>
      <c r="AI3308" s="1539"/>
      <c r="AJ3308" s="1539"/>
      <c r="AK3308" s="1539"/>
      <c r="AL3308" s="1539"/>
      <c r="AM3308" s="1539"/>
      <c r="AN3308" s="1539"/>
      <c r="AO3308" s="1539"/>
      <c r="AP3308" s="1539"/>
      <c r="AQ3308" s="1539"/>
      <c r="AR3308" s="1539"/>
      <c r="AS3308" s="1539"/>
      <c r="AT3308" s="1539"/>
      <c r="AU3308" s="1539"/>
      <c r="AV3308" s="1539"/>
      <c r="AW3308" s="1539"/>
      <c r="AX3308" s="1539"/>
      <c r="AY3308" s="1539"/>
      <c r="AZ3308" s="1539"/>
      <c r="BA3308" s="1539"/>
      <c r="BB3308" s="1539"/>
      <c r="BC3308" s="1539"/>
      <c r="BD3308" s="1539"/>
      <c r="BE3308" s="1539"/>
      <c r="BF3308" s="1539"/>
      <c r="BG3308" s="1539"/>
      <c r="BH3308" s="1539"/>
      <c r="BI3308" s="1539"/>
      <c r="BJ3308" s="1539"/>
      <c r="BK3308" s="1539"/>
      <c r="BL3308" s="1539"/>
      <c r="BM3308" s="1539"/>
      <c r="BN3308" s="1539"/>
      <c r="BO3308" s="1539"/>
      <c r="BP3308" s="1539"/>
      <c r="BQ3308" s="1539"/>
      <c r="BR3308" s="1539"/>
      <c r="BS3308" s="1539"/>
      <c r="BT3308" s="1539"/>
      <c r="BU3308" s="1539"/>
      <c r="BV3308" s="1539"/>
      <c r="BW3308" s="1539"/>
      <c r="BX3308" s="1539"/>
      <c r="BY3308" s="1539"/>
      <c r="BZ3308" s="1539"/>
      <c r="CA3308" s="1539"/>
      <c r="CB3308" s="1539"/>
      <c r="CC3308" s="1539"/>
      <c r="CD3308" s="1539"/>
      <c r="CE3308" s="1539"/>
      <c r="CF3308" s="1539"/>
      <c r="CG3308" s="1539"/>
      <c r="CH3308" s="1539"/>
      <c r="CI3308" s="1539"/>
      <c r="CJ3308" s="1539"/>
      <c r="CK3308" s="1539"/>
      <c r="CL3308" s="1539"/>
      <c r="CM3308" s="1539"/>
      <c r="CN3308" s="1539"/>
      <c r="CO3308" s="1539"/>
    </row>
    <row r="3309" spans="1:93" s="1542" customFormat="1" ht="15.5">
      <c r="A3309" s="1598" t="s">
        <v>1830</v>
      </c>
      <c r="B3309" s="1599" t="s">
        <v>1525</v>
      </c>
      <c r="C3309" s="1643" t="e">
        <f>+SUMIF(#REF!,Final!A3309,#REF!)</f>
        <v>#REF!</v>
      </c>
      <c r="D3309" s="1597" t="e">
        <f>+SUMIF(#REF!,Final!A3309,#REF!)</f>
        <v>#REF!</v>
      </c>
      <c r="E3309" s="1643" t="e">
        <f>SUMIF(#REF!,Final!A3309,#REF!)</f>
        <v>#REF!</v>
      </c>
      <c r="F3309" s="1644" t="e">
        <f>SUMIF(#REF!,Final!A3309,#REF!)</f>
        <v>#REF!</v>
      </c>
      <c r="G3309" s="1597" t="e">
        <f t="shared" si="368"/>
        <v>#REF!</v>
      </c>
      <c r="H3309" s="1644" t="e">
        <f t="shared" si="369"/>
        <v>#REF!</v>
      </c>
      <c r="I3309" s="1597" t="e">
        <f t="shared" si="370"/>
        <v>#REF!</v>
      </c>
      <c r="J3309" s="1644" t="e">
        <f t="shared" si="371"/>
        <v>#REF!</v>
      </c>
      <c r="K3309" s="1539"/>
      <c r="L3309" s="1539"/>
      <c r="M3309" s="1545"/>
      <c r="N3309" s="1545"/>
      <c r="O3309" s="1539"/>
      <c r="P3309" s="1539"/>
      <c r="Q3309" s="1539"/>
      <c r="R3309" s="1539"/>
      <c r="S3309" s="1539"/>
      <c r="T3309" s="1539"/>
      <c r="U3309" s="1539"/>
      <c r="V3309" s="1539"/>
      <c r="W3309" s="1539"/>
      <c r="X3309" s="1539"/>
      <c r="Y3309" s="1539"/>
      <c r="Z3309" s="1539"/>
      <c r="AA3309" s="1539"/>
      <c r="AB3309" s="1539"/>
      <c r="AC3309" s="1539"/>
      <c r="AD3309" s="1539"/>
      <c r="AE3309" s="1539"/>
      <c r="AF3309" s="1539"/>
      <c r="AG3309" s="1539"/>
      <c r="AH3309" s="1539"/>
      <c r="AI3309" s="1539"/>
      <c r="AJ3309" s="1539"/>
      <c r="AK3309" s="1539"/>
      <c r="AL3309" s="1539"/>
      <c r="AM3309" s="1539"/>
      <c r="AN3309" s="1539"/>
      <c r="AO3309" s="1539"/>
      <c r="AP3309" s="1539"/>
      <c r="AQ3309" s="1539"/>
      <c r="AR3309" s="1539"/>
      <c r="AS3309" s="1539"/>
      <c r="AT3309" s="1539"/>
      <c r="AU3309" s="1539"/>
      <c r="AV3309" s="1539"/>
      <c r="AW3309" s="1539"/>
      <c r="AX3309" s="1539"/>
      <c r="AY3309" s="1539"/>
      <c r="AZ3309" s="1539"/>
      <c r="BA3309" s="1539"/>
      <c r="BB3309" s="1539"/>
      <c r="BC3309" s="1539"/>
      <c r="BD3309" s="1539"/>
      <c r="BE3309" s="1539"/>
      <c r="BF3309" s="1539"/>
      <c r="BG3309" s="1539"/>
      <c r="BH3309" s="1539"/>
      <c r="BI3309" s="1539"/>
      <c r="BJ3309" s="1539"/>
      <c r="BK3309" s="1539"/>
      <c r="BL3309" s="1539"/>
      <c r="BM3309" s="1539"/>
      <c r="BN3309" s="1539"/>
      <c r="BO3309" s="1539"/>
      <c r="BP3309" s="1539"/>
      <c r="BQ3309" s="1539"/>
      <c r="BR3309" s="1539"/>
      <c r="BS3309" s="1539"/>
      <c r="BT3309" s="1539"/>
      <c r="BU3309" s="1539"/>
      <c r="BV3309" s="1539"/>
      <c r="BW3309" s="1539"/>
      <c r="BX3309" s="1539"/>
      <c r="BY3309" s="1539"/>
      <c r="BZ3309" s="1539"/>
      <c r="CA3309" s="1539"/>
      <c r="CB3309" s="1539"/>
      <c r="CC3309" s="1539"/>
      <c r="CD3309" s="1539"/>
      <c r="CE3309" s="1539"/>
      <c r="CF3309" s="1539"/>
      <c r="CG3309" s="1539"/>
      <c r="CH3309" s="1539"/>
      <c r="CI3309" s="1539"/>
      <c r="CJ3309" s="1539"/>
      <c r="CK3309" s="1539"/>
      <c r="CL3309" s="1539"/>
      <c r="CM3309" s="1539"/>
      <c r="CN3309" s="1539"/>
      <c r="CO3309" s="1539"/>
    </row>
    <row r="3310" spans="1:93" ht="15.5">
      <c r="A3310" s="1598">
        <v>76.605000000000004</v>
      </c>
      <c r="B3310" s="1599"/>
      <c r="C3310" s="1643" t="e">
        <f>+SUMIF(#REF!,Final!A3310,#REF!)</f>
        <v>#REF!</v>
      </c>
      <c r="D3310" s="1597" t="e">
        <f>+SUMIF(#REF!,Final!A3310,#REF!)</f>
        <v>#REF!</v>
      </c>
      <c r="E3310" s="1643" t="e">
        <f>SUMIF(#REF!,Final!A3310,#REF!)</f>
        <v>#REF!</v>
      </c>
      <c r="F3310" s="1644" t="e">
        <f>SUMIF(#REF!,Final!A3310,#REF!)</f>
        <v>#REF!</v>
      </c>
      <c r="G3310" s="1597" t="e">
        <f t="shared" si="368"/>
        <v>#REF!</v>
      </c>
      <c r="H3310" s="1644" t="e">
        <f t="shared" si="369"/>
        <v>#REF!</v>
      </c>
      <c r="I3310" s="1597" t="e">
        <f t="shared" si="370"/>
        <v>#REF!</v>
      </c>
      <c r="J3310" s="1644" t="e">
        <f t="shared" si="371"/>
        <v>#REF!</v>
      </c>
      <c r="M3310" s="1545"/>
      <c r="N3310" s="1545"/>
    </row>
    <row r="3311" spans="1:93" ht="15.5">
      <c r="A3311" s="1598">
        <v>76.805999999999997</v>
      </c>
      <c r="B3311" s="1599"/>
      <c r="C3311" s="1643" t="e">
        <f>+SUMIF(#REF!,Final!A3311,#REF!)</f>
        <v>#REF!</v>
      </c>
      <c r="D3311" s="1597" t="e">
        <f>+SUMIF(#REF!,Final!A3311,#REF!)</f>
        <v>#REF!</v>
      </c>
      <c r="E3311" s="1643" t="e">
        <f>SUMIF(#REF!,Final!A3311,#REF!)</f>
        <v>#REF!</v>
      </c>
      <c r="F3311" s="1644" t="e">
        <f>SUMIF(#REF!,Final!A3311,#REF!)</f>
        <v>#REF!</v>
      </c>
      <c r="G3311" s="1597" t="e">
        <f t="shared" si="368"/>
        <v>#REF!</v>
      </c>
      <c r="H3311" s="1644" t="e">
        <f t="shared" si="369"/>
        <v>#REF!</v>
      </c>
      <c r="I3311" s="1597" t="e">
        <f t="shared" si="370"/>
        <v>#REF!</v>
      </c>
      <c r="J3311" s="1644" t="e">
        <f t="shared" si="371"/>
        <v>#REF!</v>
      </c>
      <c r="M3311" s="1545"/>
      <c r="N3311" s="1545"/>
    </row>
    <row r="3312" spans="1:93" ht="15.5">
      <c r="A3312" s="1598">
        <v>76.811000000000007</v>
      </c>
      <c r="B3312" s="1599"/>
      <c r="C3312" s="1643" t="e">
        <f>+SUMIF(#REF!,Final!A3312,#REF!)</f>
        <v>#REF!</v>
      </c>
      <c r="D3312" s="1597" t="e">
        <f>+SUMIF(#REF!,Final!A3312,#REF!)</f>
        <v>#REF!</v>
      </c>
      <c r="E3312" s="1643" t="e">
        <f>SUMIF(#REF!,Final!A3312,#REF!)</f>
        <v>#REF!</v>
      </c>
      <c r="F3312" s="1644" t="e">
        <f>SUMIF(#REF!,Final!A3312,#REF!)</f>
        <v>#REF!</v>
      </c>
      <c r="G3312" s="1597" t="e">
        <f t="shared" si="368"/>
        <v>#REF!</v>
      </c>
      <c r="H3312" s="1644" t="e">
        <f t="shared" si="369"/>
        <v>#REF!</v>
      </c>
      <c r="I3312" s="1597" t="e">
        <f t="shared" si="370"/>
        <v>#REF!</v>
      </c>
      <c r="J3312" s="1644" t="e">
        <f t="shared" si="371"/>
        <v>#REF!</v>
      </c>
      <c r="M3312" s="1545"/>
      <c r="N3312" s="1545"/>
    </row>
    <row r="3313" spans="1:93" ht="15.5">
      <c r="A3313" s="1598">
        <v>76.811999999999998</v>
      </c>
      <c r="B3313" s="1599"/>
      <c r="C3313" s="1643" t="e">
        <f>+SUMIF(#REF!,Final!A3313,#REF!)</f>
        <v>#REF!</v>
      </c>
      <c r="D3313" s="1597" t="e">
        <f>+SUMIF(#REF!,Final!A3313,#REF!)</f>
        <v>#REF!</v>
      </c>
      <c r="E3313" s="1643" t="e">
        <f>SUMIF(#REF!,Final!A3313,#REF!)</f>
        <v>#REF!</v>
      </c>
      <c r="F3313" s="1644" t="e">
        <f>SUMIF(#REF!,Final!A3313,#REF!)</f>
        <v>#REF!</v>
      </c>
      <c r="G3313" s="1597" t="e">
        <f t="shared" si="368"/>
        <v>#REF!</v>
      </c>
      <c r="H3313" s="1644" t="e">
        <f t="shared" si="369"/>
        <v>#REF!</v>
      </c>
      <c r="I3313" s="1597" t="e">
        <f t="shared" si="370"/>
        <v>#REF!</v>
      </c>
      <c r="J3313" s="1644" t="e">
        <f t="shared" si="371"/>
        <v>#REF!</v>
      </c>
      <c r="M3313" s="1545"/>
      <c r="N3313" s="1545"/>
    </row>
    <row r="3314" spans="1:93" s="1552" customFormat="1" ht="15.5">
      <c r="A3314" s="1598"/>
      <c r="B3314" s="1599" t="s">
        <v>1747</v>
      </c>
      <c r="C3314" s="1643" t="e">
        <f>+SUMIF(#REF!,Final!A3314,#REF!)</f>
        <v>#REF!</v>
      </c>
      <c r="D3314" s="1597" t="e">
        <f>+SUMIF(#REF!,Final!A3314,#REF!)</f>
        <v>#REF!</v>
      </c>
      <c r="E3314" s="1643" t="e">
        <f>SUMIF(#REF!,Final!A3314,#REF!)</f>
        <v>#REF!</v>
      </c>
      <c r="F3314" s="1644" t="e">
        <f>SUMIF(#REF!,Final!A3314,#REF!)</f>
        <v>#REF!</v>
      </c>
      <c r="G3314" s="1597" t="e">
        <f t="shared" si="368"/>
        <v>#REF!</v>
      </c>
      <c r="H3314" s="1644" t="e">
        <f t="shared" si="369"/>
        <v>#REF!</v>
      </c>
      <c r="I3314" s="1597" t="e">
        <f t="shared" si="370"/>
        <v>#REF!</v>
      </c>
      <c r="J3314" s="1644" t="e">
        <f t="shared" si="371"/>
        <v>#REF!</v>
      </c>
      <c r="K3314" s="1539"/>
      <c r="L3314" s="1539"/>
      <c r="M3314" s="1545"/>
      <c r="N3314" s="1545"/>
      <c r="O3314" s="1539"/>
      <c r="P3314" s="1539"/>
      <c r="Q3314" s="1539"/>
      <c r="R3314" s="1539"/>
      <c r="S3314" s="1539"/>
      <c r="T3314" s="1539"/>
      <c r="U3314" s="1539"/>
      <c r="V3314" s="1539"/>
      <c r="W3314" s="1539"/>
      <c r="X3314" s="1539"/>
      <c r="Y3314" s="1539"/>
      <c r="Z3314" s="1539"/>
      <c r="AA3314" s="1539"/>
      <c r="AB3314" s="1539"/>
      <c r="AC3314" s="1539"/>
      <c r="AD3314" s="1539"/>
      <c r="AE3314" s="1539"/>
      <c r="AF3314" s="1539"/>
      <c r="AG3314" s="1539"/>
      <c r="AH3314" s="1539"/>
      <c r="AI3314" s="1539"/>
      <c r="AJ3314" s="1539"/>
      <c r="AK3314" s="1539"/>
      <c r="AL3314" s="1539"/>
      <c r="AM3314" s="1539"/>
      <c r="AN3314" s="1539"/>
      <c r="AO3314" s="1539"/>
      <c r="AP3314" s="1539"/>
      <c r="AQ3314" s="1539"/>
      <c r="AR3314" s="1539"/>
      <c r="AS3314" s="1539"/>
      <c r="AT3314" s="1539"/>
      <c r="AU3314" s="1539"/>
      <c r="AV3314" s="1539"/>
      <c r="AW3314" s="1539"/>
      <c r="AX3314" s="1539"/>
      <c r="AY3314" s="1539"/>
      <c r="AZ3314" s="1539"/>
      <c r="BA3314" s="1539"/>
      <c r="BB3314" s="1539"/>
      <c r="BC3314" s="1539"/>
      <c r="BD3314" s="1539"/>
      <c r="BE3314" s="1539"/>
      <c r="BF3314" s="1539"/>
      <c r="BG3314" s="1539"/>
      <c r="BH3314" s="1539"/>
      <c r="BI3314" s="1539"/>
      <c r="BJ3314" s="1539"/>
      <c r="BK3314" s="1539"/>
      <c r="BL3314" s="1539"/>
      <c r="BM3314" s="1539"/>
      <c r="BN3314" s="1539"/>
      <c r="BO3314" s="1539"/>
      <c r="BP3314" s="1539"/>
      <c r="BQ3314" s="1539"/>
      <c r="BR3314" s="1539"/>
      <c r="BS3314" s="1539"/>
      <c r="BT3314" s="1539"/>
      <c r="BU3314" s="1539"/>
      <c r="BV3314" s="1539"/>
      <c r="BW3314" s="1539"/>
      <c r="BX3314" s="1539"/>
      <c r="BY3314" s="1539"/>
      <c r="BZ3314" s="1539"/>
      <c r="CA3314" s="1539"/>
      <c r="CB3314" s="1539"/>
      <c r="CC3314" s="1539"/>
      <c r="CD3314" s="1539"/>
      <c r="CE3314" s="1539"/>
      <c r="CF3314" s="1539"/>
      <c r="CG3314" s="1539"/>
      <c r="CH3314" s="1539"/>
      <c r="CI3314" s="1539"/>
      <c r="CJ3314" s="1539"/>
      <c r="CK3314" s="1539"/>
      <c r="CL3314" s="1539"/>
      <c r="CM3314" s="1539"/>
      <c r="CN3314" s="1539"/>
      <c r="CO3314" s="1539"/>
    </row>
    <row r="3315" spans="1:93" s="1552" customFormat="1" ht="15.5">
      <c r="A3315" s="1598"/>
      <c r="B3315" s="1599" t="s">
        <v>1760</v>
      </c>
      <c r="C3315" s="1643" t="e">
        <f>+SUMIF(#REF!,Final!A3315,#REF!)</f>
        <v>#REF!</v>
      </c>
      <c r="D3315" s="1597" t="e">
        <f>+SUMIF(#REF!,Final!A3315,#REF!)</f>
        <v>#REF!</v>
      </c>
      <c r="E3315" s="1643" t="e">
        <f>SUMIF(#REF!,Final!A3315,#REF!)</f>
        <v>#REF!</v>
      </c>
      <c r="F3315" s="1644" t="e">
        <f>SUMIF(#REF!,Final!A3315,#REF!)</f>
        <v>#REF!</v>
      </c>
      <c r="G3315" s="1597" t="e">
        <f t="shared" si="368"/>
        <v>#REF!</v>
      </c>
      <c r="H3315" s="1644" t="e">
        <f t="shared" si="369"/>
        <v>#REF!</v>
      </c>
      <c r="I3315" s="1597" t="e">
        <f t="shared" si="370"/>
        <v>#REF!</v>
      </c>
      <c r="J3315" s="1644" t="e">
        <f t="shared" si="371"/>
        <v>#REF!</v>
      </c>
      <c r="K3315" s="1539"/>
      <c r="L3315" s="1539"/>
      <c r="M3315" s="1545"/>
      <c r="N3315" s="1545"/>
      <c r="O3315" s="1539"/>
      <c r="P3315" s="1539"/>
      <c r="Q3315" s="1539"/>
      <c r="R3315" s="1539"/>
      <c r="S3315" s="1539"/>
      <c r="T3315" s="1539"/>
      <c r="U3315" s="1539"/>
      <c r="V3315" s="1539"/>
      <c r="W3315" s="1539"/>
      <c r="X3315" s="1539"/>
      <c r="Y3315" s="1539"/>
      <c r="Z3315" s="1539"/>
      <c r="AA3315" s="1539"/>
      <c r="AB3315" s="1539"/>
      <c r="AC3315" s="1539"/>
      <c r="AD3315" s="1539"/>
      <c r="AE3315" s="1539"/>
      <c r="AF3315" s="1539"/>
      <c r="AG3315" s="1539"/>
      <c r="AH3315" s="1539"/>
      <c r="AI3315" s="1539"/>
      <c r="AJ3315" s="1539"/>
      <c r="AK3315" s="1539"/>
      <c r="AL3315" s="1539"/>
      <c r="AM3315" s="1539"/>
      <c r="AN3315" s="1539"/>
      <c r="AO3315" s="1539"/>
      <c r="AP3315" s="1539"/>
      <c r="AQ3315" s="1539"/>
      <c r="AR3315" s="1539"/>
      <c r="AS3315" s="1539"/>
      <c r="AT3315" s="1539"/>
      <c r="AU3315" s="1539"/>
      <c r="AV3315" s="1539"/>
      <c r="AW3315" s="1539"/>
      <c r="AX3315" s="1539"/>
      <c r="AY3315" s="1539"/>
      <c r="AZ3315" s="1539"/>
      <c r="BA3315" s="1539"/>
      <c r="BB3315" s="1539"/>
      <c r="BC3315" s="1539"/>
      <c r="BD3315" s="1539"/>
      <c r="BE3315" s="1539"/>
      <c r="BF3315" s="1539"/>
      <c r="BG3315" s="1539"/>
      <c r="BH3315" s="1539"/>
      <c r="BI3315" s="1539"/>
      <c r="BJ3315" s="1539"/>
      <c r="BK3315" s="1539"/>
      <c r="BL3315" s="1539"/>
      <c r="BM3315" s="1539"/>
      <c r="BN3315" s="1539"/>
      <c r="BO3315" s="1539"/>
      <c r="BP3315" s="1539"/>
      <c r="BQ3315" s="1539"/>
      <c r="BR3315" s="1539"/>
      <c r="BS3315" s="1539"/>
      <c r="BT3315" s="1539"/>
      <c r="BU3315" s="1539"/>
      <c r="BV3315" s="1539"/>
      <c r="BW3315" s="1539"/>
      <c r="BX3315" s="1539"/>
      <c r="BY3315" s="1539"/>
      <c r="BZ3315" s="1539"/>
      <c r="CA3315" s="1539"/>
      <c r="CB3315" s="1539"/>
      <c r="CC3315" s="1539"/>
      <c r="CD3315" s="1539"/>
      <c r="CE3315" s="1539"/>
      <c r="CF3315" s="1539"/>
      <c r="CG3315" s="1539"/>
      <c r="CH3315" s="1539"/>
      <c r="CI3315" s="1539"/>
      <c r="CJ3315" s="1539"/>
      <c r="CK3315" s="1539"/>
      <c r="CL3315" s="1539"/>
      <c r="CM3315" s="1539"/>
      <c r="CN3315" s="1539"/>
      <c r="CO3315" s="1539"/>
    </row>
    <row r="3316" spans="1:93" s="1542" customFormat="1" ht="15.5">
      <c r="A3316" s="1598">
        <v>27</v>
      </c>
      <c r="B3316" s="1599" t="s">
        <v>3126</v>
      </c>
      <c r="C3316" s="1643" t="e">
        <f>+SUMIF(#REF!,Final!A3316,#REF!)</f>
        <v>#REF!</v>
      </c>
      <c r="D3316" s="1597" t="e">
        <f>+SUMIF(#REF!,Final!A3316,#REF!)</f>
        <v>#REF!</v>
      </c>
      <c r="E3316" s="1643" t="e">
        <f>SUMIF(#REF!,Final!A3316,#REF!)</f>
        <v>#REF!</v>
      </c>
      <c r="F3316" s="1644" t="e">
        <f>SUMIF(#REF!,Final!A3316,#REF!)</f>
        <v>#REF!</v>
      </c>
      <c r="G3316" s="1597" t="e">
        <f t="shared" si="368"/>
        <v>#REF!</v>
      </c>
      <c r="H3316" s="1644" t="e">
        <f t="shared" si="369"/>
        <v>#REF!</v>
      </c>
      <c r="I3316" s="1597" t="e">
        <f t="shared" si="370"/>
        <v>#REF!</v>
      </c>
      <c r="J3316" s="1644" t="e">
        <f t="shared" si="371"/>
        <v>#REF!</v>
      </c>
      <c r="K3316" s="1539"/>
      <c r="L3316" s="1539"/>
      <c r="M3316" s="1545"/>
      <c r="N3316" s="1545"/>
      <c r="O3316" s="1539"/>
      <c r="P3316" s="1539"/>
      <c r="Q3316" s="1539"/>
      <c r="R3316" s="1539"/>
      <c r="S3316" s="1539"/>
      <c r="T3316" s="1539"/>
      <c r="U3316" s="1539"/>
      <c r="V3316" s="1539"/>
      <c r="W3316" s="1539"/>
      <c r="X3316" s="1539"/>
      <c r="Y3316" s="1539"/>
      <c r="Z3316" s="1539"/>
      <c r="AA3316" s="1539"/>
      <c r="AB3316" s="1539"/>
      <c r="AC3316" s="1539"/>
      <c r="AD3316" s="1539"/>
      <c r="AE3316" s="1539"/>
      <c r="AF3316" s="1539"/>
      <c r="AG3316" s="1539"/>
      <c r="AH3316" s="1539"/>
      <c r="AI3316" s="1539"/>
      <c r="AJ3316" s="1539"/>
      <c r="AK3316" s="1539"/>
      <c r="AL3316" s="1539"/>
      <c r="AM3316" s="1539"/>
      <c r="AN3316" s="1539"/>
      <c r="AO3316" s="1539"/>
      <c r="AP3316" s="1539"/>
      <c r="AQ3316" s="1539"/>
      <c r="AR3316" s="1539"/>
      <c r="AS3316" s="1539"/>
      <c r="AT3316" s="1539"/>
      <c r="AU3316" s="1539"/>
      <c r="AV3316" s="1539"/>
      <c r="AW3316" s="1539"/>
      <c r="AX3316" s="1539"/>
      <c r="AY3316" s="1539"/>
      <c r="AZ3316" s="1539"/>
      <c r="BA3316" s="1539"/>
      <c r="BB3316" s="1539"/>
      <c r="BC3316" s="1539"/>
      <c r="BD3316" s="1539"/>
      <c r="BE3316" s="1539"/>
      <c r="BF3316" s="1539"/>
      <c r="BG3316" s="1539"/>
      <c r="BH3316" s="1539"/>
      <c r="BI3316" s="1539"/>
      <c r="BJ3316" s="1539"/>
      <c r="BK3316" s="1539"/>
      <c r="BL3316" s="1539"/>
      <c r="BM3316" s="1539"/>
      <c r="BN3316" s="1539"/>
      <c r="BO3316" s="1539"/>
      <c r="BP3316" s="1539"/>
      <c r="BQ3316" s="1539"/>
      <c r="BR3316" s="1539"/>
      <c r="BS3316" s="1539"/>
      <c r="BT3316" s="1539"/>
      <c r="BU3316" s="1539"/>
      <c r="BV3316" s="1539"/>
      <c r="BW3316" s="1539"/>
      <c r="BX3316" s="1539"/>
      <c r="BY3316" s="1539"/>
      <c r="BZ3316" s="1539"/>
      <c r="CA3316" s="1539"/>
      <c r="CB3316" s="1539"/>
      <c r="CC3316" s="1539"/>
      <c r="CD3316" s="1539"/>
      <c r="CE3316" s="1539"/>
      <c r="CF3316" s="1539"/>
      <c r="CG3316" s="1539"/>
      <c r="CH3316" s="1539"/>
      <c r="CI3316" s="1539"/>
      <c r="CJ3316" s="1539"/>
      <c r="CK3316" s="1539"/>
      <c r="CL3316" s="1539"/>
      <c r="CM3316" s="1539"/>
      <c r="CN3316" s="1539"/>
      <c r="CO3316" s="1539"/>
    </row>
    <row r="3317" spans="1:93" ht="15.5">
      <c r="A3317" s="1598">
        <v>76.91</v>
      </c>
      <c r="B3317" s="1599" t="s">
        <v>3261</v>
      </c>
      <c r="C3317" s="1643" t="e">
        <f>+SUMIF(#REF!,Final!A3317,#REF!)</f>
        <v>#REF!</v>
      </c>
      <c r="D3317" s="1597" t="e">
        <f>+SUMIF(#REF!,Final!A3317,#REF!)</f>
        <v>#REF!</v>
      </c>
      <c r="E3317" s="1643" t="e">
        <f>SUMIF(#REF!,Final!A3317,#REF!)</f>
        <v>#REF!</v>
      </c>
      <c r="F3317" s="1644" t="e">
        <f>SUMIF(#REF!,Final!A3317,#REF!)</f>
        <v>#REF!</v>
      </c>
      <c r="G3317" s="1597" t="e">
        <f t="shared" si="368"/>
        <v>#REF!</v>
      </c>
      <c r="H3317" s="1644" t="e">
        <f t="shared" si="369"/>
        <v>#REF!</v>
      </c>
      <c r="I3317" s="1597" t="e">
        <f t="shared" si="370"/>
        <v>#REF!</v>
      </c>
      <c r="J3317" s="1644" t="e">
        <f t="shared" si="371"/>
        <v>#REF!</v>
      </c>
      <c r="M3317" s="1545"/>
      <c r="N3317" s="1545"/>
    </row>
    <row r="3318" spans="1:93" s="1552" customFormat="1" ht="15.5">
      <c r="A3318" s="1598"/>
      <c r="B3318" s="1599" t="s">
        <v>1747</v>
      </c>
      <c r="C3318" s="1643" t="e">
        <f>+SUMIF(#REF!,Final!A3318,#REF!)</f>
        <v>#REF!</v>
      </c>
      <c r="D3318" s="1597" t="e">
        <f>+SUMIF(#REF!,Final!A3318,#REF!)</f>
        <v>#REF!</v>
      </c>
      <c r="E3318" s="1643" t="e">
        <f>SUMIF(#REF!,Final!A3318,#REF!)</f>
        <v>#REF!</v>
      </c>
      <c r="F3318" s="1644" t="e">
        <f>SUMIF(#REF!,Final!A3318,#REF!)</f>
        <v>#REF!</v>
      </c>
      <c r="G3318" s="1597" t="e">
        <f t="shared" si="368"/>
        <v>#REF!</v>
      </c>
      <c r="H3318" s="1644" t="e">
        <f t="shared" si="369"/>
        <v>#REF!</v>
      </c>
      <c r="I3318" s="1597" t="e">
        <f t="shared" si="370"/>
        <v>#REF!</v>
      </c>
      <c r="J3318" s="1644" t="e">
        <f t="shared" si="371"/>
        <v>#REF!</v>
      </c>
      <c r="K3318" s="1539"/>
      <c r="L3318" s="1539"/>
      <c r="M3318" s="1545"/>
      <c r="N3318" s="1545"/>
      <c r="O3318" s="1539"/>
      <c r="P3318" s="1539"/>
      <c r="Q3318" s="1539"/>
      <c r="R3318" s="1539"/>
      <c r="S3318" s="1539"/>
      <c r="T3318" s="1539"/>
      <c r="U3318" s="1539"/>
      <c r="V3318" s="1539"/>
      <c r="W3318" s="1539"/>
      <c r="X3318" s="1539"/>
      <c r="Y3318" s="1539"/>
      <c r="Z3318" s="1539"/>
      <c r="AA3318" s="1539"/>
      <c r="AB3318" s="1539"/>
      <c r="AC3318" s="1539"/>
      <c r="AD3318" s="1539"/>
      <c r="AE3318" s="1539"/>
      <c r="AF3318" s="1539"/>
      <c r="AG3318" s="1539"/>
      <c r="AH3318" s="1539"/>
      <c r="AI3318" s="1539"/>
      <c r="AJ3318" s="1539"/>
      <c r="AK3318" s="1539"/>
      <c r="AL3318" s="1539"/>
      <c r="AM3318" s="1539"/>
      <c r="AN3318" s="1539"/>
      <c r="AO3318" s="1539"/>
      <c r="AP3318" s="1539"/>
      <c r="AQ3318" s="1539"/>
      <c r="AR3318" s="1539"/>
      <c r="AS3318" s="1539"/>
      <c r="AT3318" s="1539"/>
      <c r="AU3318" s="1539"/>
      <c r="AV3318" s="1539"/>
      <c r="AW3318" s="1539"/>
      <c r="AX3318" s="1539"/>
      <c r="AY3318" s="1539"/>
      <c r="AZ3318" s="1539"/>
      <c r="BA3318" s="1539"/>
      <c r="BB3318" s="1539"/>
      <c r="BC3318" s="1539"/>
      <c r="BD3318" s="1539"/>
      <c r="BE3318" s="1539"/>
      <c r="BF3318" s="1539"/>
      <c r="BG3318" s="1539"/>
      <c r="BH3318" s="1539"/>
      <c r="BI3318" s="1539"/>
      <c r="BJ3318" s="1539"/>
      <c r="BK3318" s="1539"/>
      <c r="BL3318" s="1539"/>
      <c r="BM3318" s="1539"/>
      <c r="BN3318" s="1539"/>
      <c r="BO3318" s="1539"/>
      <c r="BP3318" s="1539"/>
      <c r="BQ3318" s="1539"/>
      <c r="BR3318" s="1539"/>
      <c r="BS3318" s="1539"/>
      <c r="BT3318" s="1539"/>
      <c r="BU3318" s="1539"/>
      <c r="BV3318" s="1539"/>
      <c r="BW3318" s="1539"/>
      <c r="BX3318" s="1539"/>
      <c r="BY3318" s="1539"/>
      <c r="BZ3318" s="1539"/>
      <c r="CA3318" s="1539"/>
      <c r="CB3318" s="1539"/>
      <c r="CC3318" s="1539"/>
      <c r="CD3318" s="1539"/>
      <c r="CE3318" s="1539"/>
      <c r="CF3318" s="1539"/>
      <c r="CG3318" s="1539"/>
      <c r="CH3318" s="1539"/>
      <c r="CI3318" s="1539"/>
      <c r="CJ3318" s="1539"/>
      <c r="CK3318" s="1539"/>
      <c r="CL3318" s="1539"/>
      <c r="CM3318" s="1539"/>
      <c r="CN3318" s="1539"/>
      <c r="CO3318" s="1539"/>
    </row>
    <row r="3319" spans="1:93" s="1552" customFormat="1" ht="15.5">
      <c r="A3319" s="1598"/>
      <c r="B3319" s="1599" t="s">
        <v>1760</v>
      </c>
      <c r="C3319" s="1643" t="e">
        <f>+SUMIF(#REF!,Final!A3319,#REF!)</f>
        <v>#REF!</v>
      </c>
      <c r="D3319" s="1597" t="e">
        <f>+SUMIF(#REF!,Final!A3319,#REF!)</f>
        <v>#REF!</v>
      </c>
      <c r="E3319" s="1643" t="e">
        <f>SUMIF(#REF!,Final!A3319,#REF!)</f>
        <v>#REF!</v>
      </c>
      <c r="F3319" s="1644" t="e">
        <f>SUMIF(#REF!,Final!A3319,#REF!)</f>
        <v>#REF!</v>
      </c>
      <c r="G3319" s="1597" t="e">
        <f t="shared" si="368"/>
        <v>#REF!</v>
      </c>
      <c r="H3319" s="1644" t="e">
        <f t="shared" si="369"/>
        <v>#REF!</v>
      </c>
      <c r="I3319" s="1597" t="e">
        <f t="shared" si="370"/>
        <v>#REF!</v>
      </c>
      <c r="J3319" s="1644" t="e">
        <f t="shared" si="371"/>
        <v>#REF!</v>
      </c>
      <c r="K3319" s="1539"/>
      <c r="L3319" s="1539"/>
      <c r="M3319" s="1545"/>
      <c r="N3319" s="1545"/>
      <c r="O3319" s="1539"/>
      <c r="P3319" s="1539"/>
      <c r="Q3319" s="1539"/>
      <c r="R3319" s="1539"/>
      <c r="S3319" s="1539"/>
      <c r="T3319" s="1539"/>
      <c r="U3319" s="1539"/>
      <c r="V3319" s="1539"/>
      <c r="W3319" s="1539"/>
      <c r="X3319" s="1539"/>
      <c r="Y3319" s="1539"/>
      <c r="Z3319" s="1539"/>
      <c r="AA3319" s="1539"/>
      <c r="AB3319" s="1539"/>
      <c r="AC3319" s="1539"/>
      <c r="AD3319" s="1539"/>
      <c r="AE3319" s="1539"/>
      <c r="AF3319" s="1539"/>
      <c r="AG3319" s="1539"/>
      <c r="AH3319" s="1539"/>
      <c r="AI3319" s="1539"/>
      <c r="AJ3319" s="1539"/>
      <c r="AK3319" s="1539"/>
      <c r="AL3319" s="1539"/>
      <c r="AM3319" s="1539"/>
      <c r="AN3319" s="1539"/>
      <c r="AO3319" s="1539"/>
      <c r="AP3319" s="1539"/>
      <c r="AQ3319" s="1539"/>
      <c r="AR3319" s="1539"/>
      <c r="AS3319" s="1539"/>
      <c r="AT3319" s="1539"/>
      <c r="AU3319" s="1539"/>
      <c r="AV3319" s="1539"/>
      <c r="AW3319" s="1539"/>
      <c r="AX3319" s="1539"/>
      <c r="AY3319" s="1539"/>
      <c r="AZ3319" s="1539"/>
      <c r="BA3319" s="1539"/>
      <c r="BB3319" s="1539"/>
      <c r="BC3319" s="1539"/>
      <c r="BD3319" s="1539"/>
      <c r="BE3319" s="1539"/>
      <c r="BF3319" s="1539"/>
      <c r="BG3319" s="1539"/>
      <c r="BH3319" s="1539"/>
      <c r="BI3319" s="1539"/>
      <c r="BJ3319" s="1539"/>
      <c r="BK3319" s="1539"/>
      <c r="BL3319" s="1539"/>
      <c r="BM3319" s="1539"/>
      <c r="BN3319" s="1539"/>
      <c r="BO3319" s="1539"/>
      <c r="BP3319" s="1539"/>
      <c r="BQ3319" s="1539"/>
      <c r="BR3319" s="1539"/>
      <c r="BS3319" s="1539"/>
      <c r="BT3319" s="1539"/>
      <c r="BU3319" s="1539"/>
      <c r="BV3319" s="1539"/>
      <c r="BW3319" s="1539"/>
      <c r="BX3319" s="1539"/>
      <c r="BY3319" s="1539"/>
      <c r="BZ3319" s="1539"/>
      <c r="CA3319" s="1539"/>
      <c r="CB3319" s="1539"/>
      <c r="CC3319" s="1539"/>
      <c r="CD3319" s="1539"/>
      <c r="CE3319" s="1539"/>
      <c r="CF3319" s="1539"/>
      <c r="CG3319" s="1539"/>
      <c r="CH3319" s="1539"/>
      <c r="CI3319" s="1539"/>
      <c r="CJ3319" s="1539"/>
      <c r="CK3319" s="1539"/>
      <c r="CL3319" s="1539"/>
      <c r="CM3319" s="1539"/>
      <c r="CN3319" s="1539"/>
      <c r="CO3319" s="1539"/>
    </row>
    <row r="3320" spans="1:93" s="1552" customFormat="1" ht="15.5">
      <c r="A3320" s="1598"/>
      <c r="B3320" s="1599" t="s">
        <v>3537</v>
      </c>
      <c r="C3320" s="1643" t="e">
        <f>+SUMIF(#REF!,Final!A3320,#REF!)</f>
        <v>#REF!</v>
      </c>
      <c r="D3320" s="1597" t="e">
        <f>+SUMIF(#REF!,Final!A3320,#REF!)</f>
        <v>#REF!</v>
      </c>
      <c r="E3320" s="1643" t="e">
        <f>SUMIF(#REF!,Final!A3320,#REF!)</f>
        <v>#REF!</v>
      </c>
      <c r="F3320" s="1644" t="e">
        <f>SUMIF(#REF!,Final!A3320,#REF!)</f>
        <v>#REF!</v>
      </c>
      <c r="G3320" s="1597" t="e">
        <f t="shared" si="368"/>
        <v>#REF!</v>
      </c>
      <c r="H3320" s="1644" t="e">
        <f t="shared" si="369"/>
        <v>#REF!</v>
      </c>
      <c r="I3320" s="1597" t="e">
        <f t="shared" si="370"/>
        <v>#REF!</v>
      </c>
      <c r="J3320" s="1644" t="e">
        <f t="shared" si="371"/>
        <v>#REF!</v>
      </c>
      <c r="K3320" s="1539"/>
      <c r="L3320" s="1539"/>
      <c r="M3320" s="1545"/>
      <c r="N3320" s="1545"/>
      <c r="O3320" s="1539"/>
      <c r="P3320" s="1539"/>
      <c r="Q3320" s="1539"/>
      <c r="R3320" s="1539"/>
      <c r="S3320" s="1539"/>
      <c r="T3320" s="1539"/>
      <c r="U3320" s="1539"/>
      <c r="V3320" s="1539"/>
      <c r="W3320" s="1539"/>
      <c r="X3320" s="1539"/>
      <c r="Y3320" s="1539"/>
      <c r="Z3320" s="1539"/>
      <c r="AA3320" s="1539"/>
      <c r="AB3320" s="1539"/>
      <c r="AC3320" s="1539"/>
      <c r="AD3320" s="1539"/>
      <c r="AE3320" s="1539"/>
      <c r="AF3320" s="1539"/>
      <c r="AG3320" s="1539"/>
      <c r="AH3320" s="1539"/>
      <c r="AI3320" s="1539"/>
      <c r="AJ3320" s="1539"/>
      <c r="AK3320" s="1539"/>
      <c r="AL3320" s="1539"/>
      <c r="AM3320" s="1539"/>
      <c r="AN3320" s="1539"/>
      <c r="AO3320" s="1539"/>
      <c r="AP3320" s="1539"/>
      <c r="AQ3320" s="1539"/>
      <c r="AR3320" s="1539"/>
      <c r="AS3320" s="1539"/>
      <c r="AT3320" s="1539"/>
      <c r="AU3320" s="1539"/>
      <c r="AV3320" s="1539"/>
      <c r="AW3320" s="1539"/>
      <c r="AX3320" s="1539"/>
      <c r="AY3320" s="1539"/>
      <c r="AZ3320" s="1539"/>
      <c r="BA3320" s="1539"/>
      <c r="BB3320" s="1539"/>
      <c r="BC3320" s="1539"/>
      <c r="BD3320" s="1539"/>
      <c r="BE3320" s="1539"/>
      <c r="BF3320" s="1539"/>
      <c r="BG3320" s="1539"/>
      <c r="BH3320" s="1539"/>
      <c r="BI3320" s="1539"/>
      <c r="BJ3320" s="1539"/>
      <c r="BK3320" s="1539"/>
      <c r="BL3320" s="1539"/>
      <c r="BM3320" s="1539"/>
      <c r="BN3320" s="1539"/>
      <c r="BO3320" s="1539"/>
      <c r="BP3320" s="1539"/>
      <c r="BQ3320" s="1539"/>
      <c r="BR3320" s="1539"/>
      <c r="BS3320" s="1539"/>
      <c r="BT3320" s="1539"/>
      <c r="BU3320" s="1539"/>
      <c r="BV3320" s="1539"/>
      <c r="BW3320" s="1539"/>
      <c r="BX3320" s="1539"/>
      <c r="BY3320" s="1539"/>
      <c r="BZ3320" s="1539"/>
      <c r="CA3320" s="1539"/>
      <c r="CB3320" s="1539"/>
      <c r="CC3320" s="1539"/>
      <c r="CD3320" s="1539"/>
      <c r="CE3320" s="1539"/>
      <c r="CF3320" s="1539"/>
      <c r="CG3320" s="1539"/>
      <c r="CH3320" s="1539"/>
      <c r="CI3320" s="1539"/>
      <c r="CJ3320" s="1539"/>
      <c r="CK3320" s="1539"/>
      <c r="CL3320" s="1539"/>
      <c r="CM3320" s="1539"/>
      <c r="CN3320" s="1539"/>
      <c r="CO3320" s="1539"/>
    </row>
    <row r="3321" spans="1:93" s="1542" customFormat="1" ht="15.5">
      <c r="A3321" s="1598">
        <v>37</v>
      </c>
      <c r="B3321" s="1599" t="s">
        <v>1684</v>
      </c>
      <c r="C3321" s="1643" t="e">
        <f>+SUMIF(#REF!,Final!A3321,#REF!)</f>
        <v>#REF!</v>
      </c>
      <c r="D3321" s="1597" t="e">
        <f>+SUMIF(#REF!,Final!A3321,#REF!)</f>
        <v>#REF!</v>
      </c>
      <c r="E3321" s="1643" t="e">
        <f>SUMIF(#REF!,Final!A3321,#REF!)</f>
        <v>#REF!</v>
      </c>
      <c r="F3321" s="1644" t="e">
        <f>SUMIF(#REF!,Final!A3321,#REF!)</f>
        <v>#REF!</v>
      </c>
      <c r="G3321" s="1597" t="e">
        <f t="shared" si="368"/>
        <v>#REF!</v>
      </c>
      <c r="H3321" s="1644" t="e">
        <f t="shared" si="369"/>
        <v>#REF!</v>
      </c>
      <c r="I3321" s="1597" t="e">
        <f t="shared" si="370"/>
        <v>#REF!</v>
      </c>
      <c r="J3321" s="1644" t="e">
        <f t="shared" si="371"/>
        <v>#REF!</v>
      </c>
      <c r="K3321" s="1539"/>
      <c r="L3321" s="1539"/>
      <c r="M3321" s="1545"/>
      <c r="N3321" s="1545"/>
      <c r="O3321" s="1539"/>
      <c r="P3321" s="1539"/>
      <c r="Q3321" s="1539"/>
      <c r="R3321" s="1539"/>
      <c r="S3321" s="1539"/>
      <c r="T3321" s="1539"/>
      <c r="U3321" s="1539"/>
      <c r="V3321" s="1539"/>
      <c r="W3321" s="1539"/>
      <c r="X3321" s="1539"/>
      <c r="Y3321" s="1539"/>
      <c r="Z3321" s="1539"/>
      <c r="AA3321" s="1539"/>
      <c r="AB3321" s="1539"/>
      <c r="AC3321" s="1539"/>
      <c r="AD3321" s="1539"/>
      <c r="AE3321" s="1539"/>
      <c r="AF3321" s="1539"/>
      <c r="AG3321" s="1539"/>
      <c r="AH3321" s="1539"/>
      <c r="AI3321" s="1539"/>
      <c r="AJ3321" s="1539"/>
      <c r="AK3321" s="1539"/>
      <c r="AL3321" s="1539"/>
      <c r="AM3321" s="1539"/>
      <c r="AN3321" s="1539"/>
      <c r="AO3321" s="1539"/>
      <c r="AP3321" s="1539"/>
      <c r="AQ3321" s="1539"/>
      <c r="AR3321" s="1539"/>
      <c r="AS3321" s="1539"/>
      <c r="AT3321" s="1539"/>
      <c r="AU3321" s="1539"/>
      <c r="AV3321" s="1539"/>
      <c r="AW3321" s="1539"/>
      <c r="AX3321" s="1539"/>
      <c r="AY3321" s="1539"/>
      <c r="AZ3321" s="1539"/>
      <c r="BA3321" s="1539"/>
      <c r="BB3321" s="1539"/>
      <c r="BC3321" s="1539"/>
      <c r="BD3321" s="1539"/>
      <c r="BE3321" s="1539"/>
      <c r="BF3321" s="1539"/>
      <c r="BG3321" s="1539"/>
      <c r="BH3321" s="1539"/>
      <c r="BI3321" s="1539"/>
      <c r="BJ3321" s="1539"/>
      <c r="BK3321" s="1539"/>
      <c r="BL3321" s="1539"/>
      <c r="BM3321" s="1539"/>
      <c r="BN3321" s="1539"/>
      <c r="BO3321" s="1539"/>
      <c r="BP3321" s="1539"/>
      <c r="BQ3321" s="1539"/>
      <c r="BR3321" s="1539"/>
      <c r="BS3321" s="1539"/>
      <c r="BT3321" s="1539"/>
      <c r="BU3321" s="1539"/>
      <c r="BV3321" s="1539"/>
      <c r="BW3321" s="1539"/>
      <c r="BX3321" s="1539"/>
      <c r="BY3321" s="1539"/>
      <c r="BZ3321" s="1539"/>
      <c r="CA3321" s="1539"/>
      <c r="CB3321" s="1539"/>
      <c r="CC3321" s="1539"/>
      <c r="CD3321" s="1539"/>
      <c r="CE3321" s="1539"/>
      <c r="CF3321" s="1539"/>
      <c r="CG3321" s="1539"/>
      <c r="CH3321" s="1539"/>
      <c r="CI3321" s="1539"/>
      <c r="CJ3321" s="1539"/>
      <c r="CK3321" s="1539"/>
      <c r="CL3321" s="1539"/>
      <c r="CM3321" s="1539"/>
      <c r="CN3321" s="1539"/>
      <c r="CO3321" s="1539"/>
    </row>
    <row r="3322" spans="1:93" s="1555" customFormat="1" ht="15.5">
      <c r="A3322" s="1598">
        <v>77.12</v>
      </c>
      <c r="B3322" s="1599" t="s">
        <v>3538</v>
      </c>
      <c r="C3322" s="1643" t="e">
        <f>+SUMIF(#REF!,Final!A3322,#REF!)</f>
        <v>#REF!</v>
      </c>
      <c r="D3322" s="1597" t="e">
        <f>+SUMIF(#REF!,Final!A3322,#REF!)</f>
        <v>#REF!</v>
      </c>
      <c r="E3322" s="1643" t="e">
        <f>SUMIF(#REF!,Final!A3322,#REF!)</f>
        <v>#REF!</v>
      </c>
      <c r="F3322" s="1644" t="e">
        <f>SUMIF(#REF!,Final!A3322,#REF!)</f>
        <v>#REF!</v>
      </c>
      <c r="G3322" s="1597" t="e">
        <f t="shared" si="368"/>
        <v>#REF!</v>
      </c>
      <c r="H3322" s="1644" t="e">
        <f t="shared" si="369"/>
        <v>#REF!</v>
      </c>
      <c r="I3322" s="1597" t="e">
        <f t="shared" si="370"/>
        <v>#REF!</v>
      </c>
      <c r="J3322" s="1644" t="e">
        <f t="shared" si="371"/>
        <v>#REF!</v>
      </c>
      <c r="K3322" s="1539"/>
      <c r="L3322" s="1539"/>
      <c r="M3322" s="1545"/>
      <c r="N3322" s="1545"/>
      <c r="O3322" s="1539"/>
      <c r="P3322" s="1539"/>
      <c r="Q3322" s="1539"/>
      <c r="R3322" s="1539"/>
      <c r="S3322" s="1539"/>
      <c r="T3322" s="1539"/>
      <c r="U3322" s="1539"/>
      <c r="V3322" s="1539"/>
      <c r="W3322" s="1539"/>
      <c r="X3322" s="1539"/>
      <c r="Y3322" s="1539"/>
      <c r="Z3322" s="1539"/>
      <c r="AA3322" s="1539"/>
      <c r="AB3322" s="1539"/>
      <c r="AC3322" s="1539"/>
      <c r="AD3322" s="1539"/>
      <c r="AE3322" s="1539"/>
      <c r="AF3322" s="1539"/>
      <c r="AG3322" s="1539"/>
      <c r="AH3322" s="1539"/>
      <c r="AI3322" s="1539"/>
      <c r="AJ3322" s="1539"/>
      <c r="AK3322" s="1539"/>
      <c r="AL3322" s="1539"/>
      <c r="AM3322" s="1539"/>
      <c r="AN3322" s="1539"/>
      <c r="AO3322" s="1539"/>
      <c r="AP3322" s="1539"/>
      <c r="AQ3322" s="1539"/>
      <c r="AR3322" s="1539"/>
      <c r="AS3322" s="1539"/>
      <c r="AT3322" s="1539"/>
      <c r="AU3322" s="1539"/>
      <c r="AV3322" s="1539"/>
      <c r="AW3322" s="1539"/>
      <c r="AX3322" s="1539"/>
      <c r="AY3322" s="1539"/>
      <c r="AZ3322" s="1539"/>
      <c r="BA3322" s="1539"/>
      <c r="BB3322" s="1539"/>
      <c r="BC3322" s="1539"/>
      <c r="BD3322" s="1539"/>
      <c r="BE3322" s="1539"/>
      <c r="BF3322" s="1539"/>
      <c r="BG3322" s="1539"/>
      <c r="BH3322" s="1539"/>
      <c r="BI3322" s="1539"/>
      <c r="BJ3322" s="1539"/>
      <c r="BK3322" s="1539"/>
      <c r="BL3322" s="1539"/>
      <c r="BM3322" s="1539"/>
      <c r="BN3322" s="1539"/>
      <c r="BO3322" s="1539"/>
      <c r="BP3322" s="1539"/>
      <c r="BQ3322" s="1539"/>
      <c r="BR3322" s="1539"/>
      <c r="BS3322" s="1539"/>
      <c r="BT3322" s="1539"/>
      <c r="BU3322" s="1539"/>
      <c r="BV3322" s="1539"/>
      <c r="BW3322" s="1539"/>
      <c r="BX3322" s="1539"/>
      <c r="BY3322" s="1539"/>
      <c r="BZ3322" s="1539"/>
      <c r="CA3322" s="1539"/>
      <c r="CB3322" s="1539"/>
      <c r="CC3322" s="1539"/>
      <c r="CD3322" s="1539"/>
      <c r="CE3322" s="1539"/>
      <c r="CF3322" s="1539"/>
      <c r="CG3322" s="1539"/>
      <c r="CH3322" s="1539"/>
      <c r="CI3322" s="1539"/>
      <c r="CJ3322" s="1539"/>
      <c r="CK3322" s="1539"/>
      <c r="CL3322" s="1539"/>
      <c r="CM3322" s="1539"/>
      <c r="CN3322" s="1539"/>
      <c r="CO3322" s="1539"/>
    </row>
    <row r="3323" spans="1:93" s="1555" customFormat="1" ht="15.5">
      <c r="A3323" s="1598">
        <v>77.16</v>
      </c>
      <c r="B3323" s="1599" t="s">
        <v>3539</v>
      </c>
      <c r="C3323" s="1643" t="e">
        <f>+SUMIF(#REF!,Final!A3323,#REF!)</f>
        <v>#REF!</v>
      </c>
      <c r="D3323" s="1597" t="e">
        <f>+SUMIF(#REF!,Final!A3323,#REF!)</f>
        <v>#REF!</v>
      </c>
      <c r="E3323" s="1643" t="e">
        <f>SUMIF(#REF!,Final!A3323,#REF!)</f>
        <v>#REF!</v>
      </c>
      <c r="F3323" s="1644" t="e">
        <f>SUMIF(#REF!,Final!A3323,#REF!)</f>
        <v>#REF!</v>
      </c>
      <c r="G3323" s="1597" t="e">
        <f t="shared" si="368"/>
        <v>#REF!</v>
      </c>
      <c r="H3323" s="1644" t="e">
        <f t="shared" si="369"/>
        <v>#REF!</v>
      </c>
      <c r="I3323" s="1597" t="e">
        <f t="shared" si="370"/>
        <v>#REF!</v>
      </c>
      <c r="J3323" s="1644" t="e">
        <f t="shared" si="371"/>
        <v>#REF!</v>
      </c>
      <c r="K3323" s="1539"/>
      <c r="L3323" s="1539"/>
      <c r="M3323" s="1545"/>
      <c r="N3323" s="1545"/>
      <c r="O3323" s="1539"/>
      <c r="P3323" s="1539"/>
      <c r="Q3323" s="1539"/>
      <c r="R3323" s="1539"/>
      <c r="S3323" s="1539"/>
      <c r="T3323" s="1539"/>
      <c r="U3323" s="1539"/>
      <c r="V3323" s="1539"/>
      <c r="W3323" s="1539"/>
      <c r="X3323" s="1539"/>
      <c r="Y3323" s="1539"/>
      <c r="Z3323" s="1539"/>
      <c r="AA3323" s="1539"/>
      <c r="AB3323" s="1539"/>
      <c r="AC3323" s="1539"/>
      <c r="AD3323" s="1539"/>
      <c r="AE3323" s="1539"/>
      <c r="AF3323" s="1539"/>
      <c r="AG3323" s="1539"/>
      <c r="AH3323" s="1539"/>
      <c r="AI3323" s="1539"/>
      <c r="AJ3323" s="1539"/>
      <c r="AK3323" s="1539"/>
      <c r="AL3323" s="1539"/>
      <c r="AM3323" s="1539"/>
      <c r="AN3323" s="1539"/>
      <c r="AO3323" s="1539"/>
      <c r="AP3323" s="1539"/>
      <c r="AQ3323" s="1539"/>
      <c r="AR3323" s="1539"/>
      <c r="AS3323" s="1539"/>
      <c r="AT3323" s="1539"/>
      <c r="AU3323" s="1539"/>
      <c r="AV3323" s="1539"/>
      <c r="AW3323" s="1539"/>
      <c r="AX3323" s="1539"/>
      <c r="AY3323" s="1539"/>
      <c r="AZ3323" s="1539"/>
      <c r="BA3323" s="1539"/>
      <c r="BB3323" s="1539"/>
      <c r="BC3323" s="1539"/>
      <c r="BD3323" s="1539"/>
      <c r="BE3323" s="1539"/>
      <c r="BF3323" s="1539"/>
      <c r="BG3323" s="1539"/>
      <c r="BH3323" s="1539"/>
      <c r="BI3323" s="1539"/>
      <c r="BJ3323" s="1539"/>
      <c r="BK3323" s="1539"/>
      <c r="BL3323" s="1539"/>
      <c r="BM3323" s="1539"/>
      <c r="BN3323" s="1539"/>
      <c r="BO3323" s="1539"/>
      <c r="BP3323" s="1539"/>
      <c r="BQ3323" s="1539"/>
      <c r="BR3323" s="1539"/>
      <c r="BS3323" s="1539"/>
      <c r="BT3323" s="1539"/>
      <c r="BU3323" s="1539"/>
      <c r="BV3323" s="1539"/>
      <c r="BW3323" s="1539"/>
      <c r="BX3323" s="1539"/>
      <c r="BY3323" s="1539"/>
      <c r="BZ3323" s="1539"/>
      <c r="CA3323" s="1539"/>
      <c r="CB3323" s="1539"/>
      <c r="CC3323" s="1539"/>
      <c r="CD3323" s="1539"/>
      <c r="CE3323" s="1539"/>
      <c r="CF3323" s="1539"/>
      <c r="CG3323" s="1539"/>
      <c r="CH3323" s="1539"/>
      <c r="CI3323" s="1539"/>
      <c r="CJ3323" s="1539"/>
      <c r="CK3323" s="1539"/>
      <c r="CL3323" s="1539"/>
      <c r="CM3323" s="1539"/>
      <c r="CN3323" s="1539"/>
      <c r="CO3323" s="1539"/>
    </row>
    <row r="3324" spans="1:93" s="1555" customFormat="1" ht="15.5">
      <c r="A3324" s="1598">
        <v>77.17</v>
      </c>
      <c r="B3324" s="1599" t="s">
        <v>3540</v>
      </c>
      <c r="C3324" s="1643" t="e">
        <f>+SUMIF(#REF!,Final!A3324,#REF!)</f>
        <v>#REF!</v>
      </c>
      <c r="D3324" s="1597" t="e">
        <f>+SUMIF(#REF!,Final!A3324,#REF!)</f>
        <v>#REF!</v>
      </c>
      <c r="E3324" s="1643" t="e">
        <f>SUMIF(#REF!,Final!A3324,#REF!)</f>
        <v>#REF!</v>
      </c>
      <c r="F3324" s="1644" t="e">
        <f>SUMIF(#REF!,Final!A3324,#REF!)</f>
        <v>#REF!</v>
      </c>
      <c r="G3324" s="1597" t="e">
        <f t="shared" si="368"/>
        <v>#REF!</v>
      </c>
      <c r="H3324" s="1644" t="e">
        <f t="shared" si="369"/>
        <v>#REF!</v>
      </c>
      <c r="I3324" s="1597" t="e">
        <f t="shared" si="370"/>
        <v>#REF!</v>
      </c>
      <c r="J3324" s="1644" t="e">
        <f t="shared" si="371"/>
        <v>#REF!</v>
      </c>
      <c r="K3324" s="1539"/>
      <c r="L3324" s="1539"/>
      <c r="M3324" s="1545"/>
      <c r="N3324" s="1545"/>
      <c r="O3324" s="1539"/>
      <c r="P3324" s="1539"/>
      <c r="Q3324" s="1539"/>
      <c r="R3324" s="1539"/>
      <c r="S3324" s="1539"/>
      <c r="T3324" s="1539"/>
      <c r="U3324" s="1539"/>
      <c r="V3324" s="1539"/>
      <c r="W3324" s="1539"/>
      <c r="X3324" s="1539"/>
      <c r="Y3324" s="1539"/>
      <c r="Z3324" s="1539"/>
      <c r="AA3324" s="1539"/>
      <c r="AB3324" s="1539"/>
      <c r="AC3324" s="1539"/>
      <c r="AD3324" s="1539"/>
      <c r="AE3324" s="1539"/>
      <c r="AF3324" s="1539"/>
      <c r="AG3324" s="1539"/>
      <c r="AH3324" s="1539"/>
      <c r="AI3324" s="1539"/>
      <c r="AJ3324" s="1539"/>
      <c r="AK3324" s="1539"/>
      <c r="AL3324" s="1539"/>
      <c r="AM3324" s="1539"/>
      <c r="AN3324" s="1539"/>
      <c r="AO3324" s="1539"/>
      <c r="AP3324" s="1539"/>
      <c r="AQ3324" s="1539"/>
      <c r="AR3324" s="1539"/>
      <c r="AS3324" s="1539"/>
      <c r="AT3324" s="1539"/>
      <c r="AU3324" s="1539"/>
      <c r="AV3324" s="1539"/>
      <c r="AW3324" s="1539"/>
      <c r="AX3324" s="1539"/>
      <c r="AY3324" s="1539"/>
      <c r="AZ3324" s="1539"/>
      <c r="BA3324" s="1539"/>
      <c r="BB3324" s="1539"/>
      <c r="BC3324" s="1539"/>
      <c r="BD3324" s="1539"/>
      <c r="BE3324" s="1539"/>
      <c r="BF3324" s="1539"/>
      <c r="BG3324" s="1539"/>
      <c r="BH3324" s="1539"/>
      <c r="BI3324" s="1539"/>
      <c r="BJ3324" s="1539"/>
      <c r="BK3324" s="1539"/>
      <c r="BL3324" s="1539"/>
      <c r="BM3324" s="1539"/>
      <c r="BN3324" s="1539"/>
      <c r="BO3324" s="1539"/>
      <c r="BP3324" s="1539"/>
      <c r="BQ3324" s="1539"/>
      <c r="BR3324" s="1539"/>
      <c r="BS3324" s="1539"/>
      <c r="BT3324" s="1539"/>
      <c r="BU3324" s="1539"/>
      <c r="BV3324" s="1539"/>
      <c r="BW3324" s="1539"/>
      <c r="BX3324" s="1539"/>
      <c r="BY3324" s="1539"/>
      <c r="BZ3324" s="1539"/>
      <c r="CA3324" s="1539"/>
      <c r="CB3324" s="1539"/>
      <c r="CC3324" s="1539"/>
      <c r="CD3324" s="1539"/>
      <c r="CE3324" s="1539"/>
      <c r="CF3324" s="1539"/>
      <c r="CG3324" s="1539"/>
      <c r="CH3324" s="1539"/>
      <c r="CI3324" s="1539"/>
      <c r="CJ3324" s="1539"/>
      <c r="CK3324" s="1539"/>
      <c r="CL3324" s="1539"/>
      <c r="CM3324" s="1539"/>
      <c r="CN3324" s="1539"/>
      <c r="CO3324" s="1539"/>
    </row>
    <row r="3325" spans="1:93" s="1555" customFormat="1" ht="15.5">
      <c r="A3325" s="1598">
        <v>77.180000000000007</v>
      </c>
      <c r="B3325" s="1599" t="s">
        <v>3541</v>
      </c>
      <c r="C3325" s="1643" t="e">
        <f>+SUMIF(#REF!,Final!A3325,#REF!)</f>
        <v>#REF!</v>
      </c>
      <c r="D3325" s="1597" t="e">
        <f>+SUMIF(#REF!,Final!A3325,#REF!)</f>
        <v>#REF!</v>
      </c>
      <c r="E3325" s="1643" t="e">
        <f>SUMIF(#REF!,Final!A3325,#REF!)</f>
        <v>#REF!</v>
      </c>
      <c r="F3325" s="1644" t="e">
        <f>SUMIF(#REF!,Final!A3325,#REF!)</f>
        <v>#REF!</v>
      </c>
      <c r="G3325" s="1597" t="e">
        <f t="shared" si="368"/>
        <v>#REF!</v>
      </c>
      <c r="H3325" s="1644" t="e">
        <f t="shared" si="369"/>
        <v>#REF!</v>
      </c>
      <c r="I3325" s="1597" t="e">
        <f t="shared" si="370"/>
        <v>#REF!</v>
      </c>
      <c r="J3325" s="1644" t="e">
        <f t="shared" si="371"/>
        <v>#REF!</v>
      </c>
      <c r="K3325" s="1539"/>
      <c r="L3325" s="1539"/>
      <c r="M3325" s="1545"/>
      <c r="N3325" s="1545"/>
      <c r="O3325" s="1539"/>
      <c r="P3325" s="1539"/>
      <c r="Q3325" s="1539"/>
      <c r="R3325" s="1539"/>
      <c r="S3325" s="1539"/>
      <c r="T3325" s="1539"/>
      <c r="U3325" s="1539"/>
      <c r="V3325" s="1539"/>
      <c r="W3325" s="1539"/>
      <c r="X3325" s="1539"/>
      <c r="Y3325" s="1539"/>
      <c r="Z3325" s="1539"/>
      <c r="AA3325" s="1539"/>
      <c r="AB3325" s="1539"/>
      <c r="AC3325" s="1539"/>
      <c r="AD3325" s="1539"/>
      <c r="AE3325" s="1539"/>
      <c r="AF3325" s="1539"/>
      <c r="AG3325" s="1539"/>
      <c r="AH3325" s="1539"/>
      <c r="AI3325" s="1539"/>
      <c r="AJ3325" s="1539"/>
      <c r="AK3325" s="1539"/>
      <c r="AL3325" s="1539"/>
      <c r="AM3325" s="1539"/>
      <c r="AN3325" s="1539"/>
      <c r="AO3325" s="1539"/>
      <c r="AP3325" s="1539"/>
      <c r="AQ3325" s="1539"/>
      <c r="AR3325" s="1539"/>
      <c r="AS3325" s="1539"/>
      <c r="AT3325" s="1539"/>
      <c r="AU3325" s="1539"/>
      <c r="AV3325" s="1539"/>
      <c r="AW3325" s="1539"/>
      <c r="AX3325" s="1539"/>
      <c r="AY3325" s="1539"/>
      <c r="AZ3325" s="1539"/>
      <c r="BA3325" s="1539"/>
      <c r="BB3325" s="1539"/>
      <c r="BC3325" s="1539"/>
      <c r="BD3325" s="1539"/>
      <c r="BE3325" s="1539"/>
      <c r="BF3325" s="1539"/>
      <c r="BG3325" s="1539"/>
      <c r="BH3325" s="1539"/>
      <c r="BI3325" s="1539"/>
      <c r="BJ3325" s="1539"/>
      <c r="BK3325" s="1539"/>
      <c r="BL3325" s="1539"/>
      <c r="BM3325" s="1539"/>
      <c r="BN3325" s="1539"/>
      <c r="BO3325" s="1539"/>
      <c r="BP3325" s="1539"/>
      <c r="BQ3325" s="1539"/>
      <c r="BR3325" s="1539"/>
      <c r="BS3325" s="1539"/>
      <c r="BT3325" s="1539"/>
      <c r="BU3325" s="1539"/>
      <c r="BV3325" s="1539"/>
      <c r="BW3325" s="1539"/>
      <c r="BX3325" s="1539"/>
      <c r="BY3325" s="1539"/>
      <c r="BZ3325" s="1539"/>
      <c r="CA3325" s="1539"/>
      <c r="CB3325" s="1539"/>
      <c r="CC3325" s="1539"/>
      <c r="CD3325" s="1539"/>
      <c r="CE3325" s="1539"/>
      <c r="CF3325" s="1539"/>
      <c r="CG3325" s="1539"/>
      <c r="CH3325" s="1539"/>
      <c r="CI3325" s="1539"/>
      <c r="CJ3325" s="1539"/>
      <c r="CK3325" s="1539"/>
      <c r="CL3325" s="1539"/>
      <c r="CM3325" s="1539"/>
      <c r="CN3325" s="1539"/>
      <c r="CO3325" s="1539"/>
    </row>
    <row r="3326" spans="1:93" s="1555" customFormat="1" ht="15.5">
      <c r="A3326" s="1598">
        <v>77.19</v>
      </c>
      <c r="B3326" s="1599" t="s">
        <v>3542</v>
      </c>
      <c r="C3326" s="1643" t="e">
        <f>+SUMIF(#REF!,Final!A3326,#REF!)</f>
        <v>#REF!</v>
      </c>
      <c r="D3326" s="1597" t="e">
        <f>+SUMIF(#REF!,Final!A3326,#REF!)</f>
        <v>#REF!</v>
      </c>
      <c r="E3326" s="1643" t="e">
        <f>SUMIF(#REF!,Final!A3326,#REF!)</f>
        <v>#REF!</v>
      </c>
      <c r="F3326" s="1644" t="e">
        <f>SUMIF(#REF!,Final!A3326,#REF!)</f>
        <v>#REF!</v>
      </c>
      <c r="G3326" s="1597" t="e">
        <f t="shared" si="368"/>
        <v>#REF!</v>
      </c>
      <c r="H3326" s="1644" t="e">
        <f t="shared" si="369"/>
        <v>#REF!</v>
      </c>
      <c r="I3326" s="1597" t="e">
        <f t="shared" si="370"/>
        <v>#REF!</v>
      </c>
      <c r="J3326" s="1644" t="e">
        <f t="shared" si="371"/>
        <v>#REF!</v>
      </c>
      <c r="K3326" s="1539"/>
      <c r="L3326" s="1539"/>
      <c r="M3326" s="1545"/>
      <c r="N3326" s="1545"/>
      <c r="O3326" s="1539"/>
      <c r="P3326" s="1539"/>
      <c r="Q3326" s="1539"/>
      <c r="R3326" s="1539"/>
      <c r="S3326" s="1539"/>
      <c r="T3326" s="1539"/>
      <c r="U3326" s="1539"/>
      <c r="V3326" s="1539"/>
      <c r="W3326" s="1539"/>
      <c r="X3326" s="1539"/>
      <c r="Y3326" s="1539"/>
      <c r="Z3326" s="1539"/>
      <c r="AA3326" s="1539"/>
      <c r="AB3326" s="1539"/>
      <c r="AC3326" s="1539"/>
      <c r="AD3326" s="1539"/>
      <c r="AE3326" s="1539"/>
      <c r="AF3326" s="1539"/>
      <c r="AG3326" s="1539"/>
      <c r="AH3326" s="1539"/>
      <c r="AI3326" s="1539"/>
      <c r="AJ3326" s="1539"/>
      <c r="AK3326" s="1539"/>
      <c r="AL3326" s="1539"/>
      <c r="AM3326" s="1539"/>
      <c r="AN3326" s="1539"/>
      <c r="AO3326" s="1539"/>
      <c r="AP3326" s="1539"/>
      <c r="AQ3326" s="1539"/>
      <c r="AR3326" s="1539"/>
      <c r="AS3326" s="1539"/>
      <c r="AT3326" s="1539"/>
      <c r="AU3326" s="1539"/>
      <c r="AV3326" s="1539"/>
      <c r="AW3326" s="1539"/>
      <c r="AX3326" s="1539"/>
      <c r="AY3326" s="1539"/>
      <c r="AZ3326" s="1539"/>
      <c r="BA3326" s="1539"/>
      <c r="BB3326" s="1539"/>
      <c r="BC3326" s="1539"/>
      <c r="BD3326" s="1539"/>
      <c r="BE3326" s="1539"/>
      <c r="BF3326" s="1539"/>
      <c r="BG3326" s="1539"/>
      <c r="BH3326" s="1539"/>
      <c r="BI3326" s="1539"/>
      <c r="BJ3326" s="1539"/>
      <c r="BK3326" s="1539"/>
      <c r="BL3326" s="1539"/>
      <c r="BM3326" s="1539"/>
      <c r="BN3326" s="1539"/>
      <c r="BO3326" s="1539"/>
      <c r="BP3326" s="1539"/>
      <c r="BQ3326" s="1539"/>
      <c r="BR3326" s="1539"/>
      <c r="BS3326" s="1539"/>
      <c r="BT3326" s="1539"/>
      <c r="BU3326" s="1539"/>
      <c r="BV3326" s="1539"/>
      <c r="BW3326" s="1539"/>
      <c r="BX3326" s="1539"/>
      <c r="BY3326" s="1539"/>
      <c r="BZ3326" s="1539"/>
      <c r="CA3326" s="1539"/>
      <c r="CB3326" s="1539"/>
      <c r="CC3326" s="1539"/>
      <c r="CD3326" s="1539"/>
      <c r="CE3326" s="1539"/>
      <c r="CF3326" s="1539"/>
      <c r="CG3326" s="1539"/>
      <c r="CH3326" s="1539"/>
      <c r="CI3326" s="1539"/>
      <c r="CJ3326" s="1539"/>
      <c r="CK3326" s="1539"/>
      <c r="CL3326" s="1539"/>
      <c r="CM3326" s="1539"/>
      <c r="CN3326" s="1539"/>
      <c r="CO3326" s="1539"/>
    </row>
    <row r="3327" spans="1:93" s="1552" customFormat="1" ht="15.5">
      <c r="A3327" s="1598"/>
      <c r="B3327" s="1599" t="s">
        <v>1747</v>
      </c>
      <c r="C3327" s="1643" t="e">
        <f>+SUMIF(#REF!,Final!A3327,#REF!)</f>
        <v>#REF!</v>
      </c>
      <c r="D3327" s="1597" t="e">
        <f>+SUMIF(#REF!,Final!A3327,#REF!)</f>
        <v>#REF!</v>
      </c>
      <c r="E3327" s="1643" t="e">
        <f>SUMIF(#REF!,Final!A3327,#REF!)</f>
        <v>#REF!</v>
      </c>
      <c r="F3327" s="1644" t="e">
        <f>SUMIF(#REF!,Final!A3327,#REF!)</f>
        <v>#REF!</v>
      </c>
      <c r="G3327" s="1597" t="e">
        <f t="shared" si="368"/>
        <v>#REF!</v>
      </c>
      <c r="H3327" s="1644" t="e">
        <f t="shared" si="369"/>
        <v>#REF!</v>
      </c>
      <c r="I3327" s="1597" t="e">
        <f t="shared" si="370"/>
        <v>#REF!</v>
      </c>
      <c r="J3327" s="1644" t="e">
        <f t="shared" si="371"/>
        <v>#REF!</v>
      </c>
      <c r="K3327" s="1539"/>
      <c r="L3327" s="1539"/>
      <c r="M3327" s="1545"/>
      <c r="N3327" s="1545"/>
      <c r="O3327" s="1539"/>
      <c r="P3327" s="1539"/>
      <c r="Q3327" s="1539"/>
      <c r="R3327" s="1539"/>
      <c r="S3327" s="1539"/>
      <c r="T3327" s="1539"/>
      <c r="U3327" s="1539"/>
      <c r="V3327" s="1539"/>
      <c r="W3327" s="1539"/>
      <c r="X3327" s="1539"/>
      <c r="Y3327" s="1539"/>
      <c r="Z3327" s="1539"/>
      <c r="AA3327" s="1539"/>
      <c r="AB3327" s="1539"/>
      <c r="AC3327" s="1539"/>
      <c r="AD3327" s="1539"/>
      <c r="AE3327" s="1539"/>
      <c r="AF3327" s="1539"/>
      <c r="AG3327" s="1539"/>
      <c r="AH3327" s="1539"/>
      <c r="AI3327" s="1539"/>
      <c r="AJ3327" s="1539"/>
      <c r="AK3327" s="1539"/>
      <c r="AL3327" s="1539"/>
      <c r="AM3327" s="1539"/>
      <c r="AN3327" s="1539"/>
      <c r="AO3327" s="1539"/>
      <c r="AP3327" s="1539"/>
      <c r="AQ3327" s="1539"/>
      <c r="AR3327" s="1539"/>
      <c r="AS3327" s="1539"/>
      <c r="AT3327" s="1539"/>
      <c r="AU3327" s="1539"/>
      <c r="AV3327" s="1539"/>
      <c r="AW3327" s="1539"/>
      <c r="AX3327" s="1539"/>
      <c r="AY3327" s="1539"/>
      <c r="AZ3327" s="1539"/>
      <c r="BA3327" s="1539"/>
      <c r="BB3327" s="1539"/>
      <c r="BC3327" s="1539"/>
      <c r="BD3327" s="1539"/>
      <c r="BE3327" s="1539"/>
      <c r="BF3327" s="1539"/>
      <c r="BG3327" s="1539"/>
      <c r="BH3327" s="1539"/>
      <c r="BI3327" s="1539"/>
      <c r="BJ3327" s="1539"/>
      <c r="BK3327" s="1539"/>
      <c r="BL3327" s="1539"/>
      <c r="BM3327" s="1539"/>
      <c r="BN3327" s="1539"/>
      <c r="BO3327" s="1539"/>
      <c r="BP3327" s="1539"/>
      <c r="BQ3327" s="1539"/>
      <c r="BR3327" s="1539"/>
      <c r="BS3327" s="1539"/>
      <c r="BT3327" s="1539"/>
      <c r="BU3327" s="1539"/>
      <c r="BV3327" s="1539"/>
      <c r="BW3327" s="1539"/>
      <c r="BX3327" s="1539"/>
      <c r="BY3327" s="1539"/>
      <c r="BZ3327" s="1539"/>
      <c r="CA3327" s="1539"/>
      <c r="CB3327" s="1539"/>
      <c r="CC3327" s="1539"/>
      <c r="CD3327" s="1539"/>
      <c r="CE3327" s="1539"/>
      <c r="CF3327" s="1539"/>
      <c r="CG3327" s="1539"/>
      <c r="CH3327" s="1539"/>
      <c r="CI3327" s="1539"/>
      <c r="CJ3327" s="1539"/>
      <c r="CK3327" s="1539"/>
      <c r="CL3327" s="1539"/>
      <c r="CM3327" s="1539"/>
      <c r="CN3327" s="1539"/>
      <c r="CO3327" s="1539"/>
    </row>
    <row r="3328" spans="1:93" s="1552" customFormat="1" ht="15.5">
      <c r="A3328" s="1598"/>
      <c r="B3328" s="1599" t="s">
        <v>1760</v>
      </c>
      <c r="C3328" s="1643" t="e">
        <f>+SUMIF(#REF!,Final!A3328,#REF!)</f>
        <v>#REF!</v>
      </c>
      <c r="D3328" s="1597" t="e">
        <f>+SUMIF(#REF!,Final!A3328,#REF!)</f>
        <v>#REF!</v>
      </c>
      <c r="E3328" s="1643" t="e">
        <f>SUMIF(#REF!,Final!A3328,#REF!)</f>
        <v>#REF!</v>
      </c>
      <c r="F3328" s="1644" t="e">
        <f>SUMIF(#REF!,Final!A3328,#REF!)</f>
        <v>#REF!</v>
      </c>
      <c r="G3328" s="1597" t="e">
        <f t="shared" si="368"/>
        <v>#REF!</v>
      </c>
      <c r="H3328" s="1644" t="e">
        <f t="shared" si="369"/>
        <v>#REF!</v>
      </c>
      <c r="I3328" s="1597" t="e">
        <f t="shared" si="370"/>
        <v>#REF!</v>
      </c>
      <c r="J3328" s="1644" t="e">
        <f t="shared" si="371"/>
        <v>#REF!</v>
      </c>
      <c r="K3328" s="1539"/>
      <c r="L3328" s="1539"/>
      <c r="M3328" s="1545"/>
      <c r="N3328" s="1545"/>
      <c r="O3328" s="1539"/>
      <c r="P3328" s="1539"/>
      <c r="Q3328" s="1539"/>
      <c r="R3328" s="1539"/>
      <c r="S3328" s="1539"/>
      <c r="T3328" s="1539"/>
      <c r="U3328" s="1539"/>
      <c r="V3328" s="1539"/>
      <c r="W3328" s="1539"/>
      <c r="X3328" s="1539"/>
      <c r="Y3328" s="1539"/>
      <c r="Z3328" s="1539"/>
      <c r="AA3328" s="1539"/>
      <c r="AB3328" s="1539"/>
      <c r="AC3328" s="1539"/>
      <c r="AD3328" s="1539"/>
      <c r="AE3328" s="1539"/>
      <c r="AF3328" s="1539"/>
      <c r="AG3328" s="1539"/>
      <c r="AH3328" s="1539"/>
      <c r="AI3328" s="1539"/>
      <c r="AJ3328" s="1539"/>
      <c r="AK3328" s="1539"/>
      <c r="AL3328" s="1539"/>
      <c r="AM3328" s="1539"/>
      <c r="AN3328" s="1539"/>
      <c r="AO3328" s="1539"/>
      <c r="AP3328" s="1539"/>
      <c r="AQ3328" s="1539"/>
      <c r="AR3328" s="1539"/>
      <c r="AS3328" s="1539"/>
      <c r="AT3328" s="1539"/>
      <c r="AU3328" s="1539"/>
      <c r="AV3328" s="1539"/>
      <c r="AW3328" s="1539"/>
      <c r="AX3328" s="1539"/>
      <c r="AY3328" s="1539"/>
      <c r="AZ3328" s="1539"/>
      <c r="BA3328" s="1539"/>
      <c r="BB3328" s="1539"/>
      <c r="BC3328" s="1539"/>
      <c r="BD3328" s="1539"/>
      <c r="BE3328" s="1539"/>
      <c r="BF3328" s="1539"/>
      <c r="BG3328" s="1539"/>
      <c r="BH3328" s="1539"/>
      <c r="BI3328" s="1539"/>
      <c r="BJ3328" s="1539"/>
      <c r="BK3328" s="1539"/>
      <c r="BL3328" s="1539"/>
      <c r="BM3328" s="1539"/>
      <c r="BN3328" s="1539"/>
      <c r="BO3328" s="1539"/>
      <c r="BP3328" s="1539"/>
      <c r="BQ3328" s="1539"/>
      <c r="BR3328" s="1539"/>
      <c r="BS3328" s="1539"/>
      <c r="BT3328" s="1539"/>
      <c r="BU3328" s="1539"/>
      <c r="BV3328" s="1539"/>
      <c r="BW3328" s="1539"/>
      <c r="BX3328" s="1539"/>
      <c r="BY3328" s="1539"/>
      <c r="BZ3328" s="1539"/>
      <c r="CA3328" s="1539"/>
      <c r="CB3328" s="1539"/>
      <c r="CC3328" s="1539"/>
      <c r="CD3328" s="1539"/>
      <c r="CE3328" s="1539"/>
      <c r="CF3328" s="1539"/>
      <c r="CG3328" s="1539"/>
      <c r="CH3328" s="1539"/>
      <c r="CI3328" s="1539"/>
      <c r="CJ3328" s="1539"/>
      <c r="CK3328" s="1539"/>
      <c r="CL3328" s="1539"/>
      <c r="CM3328" s="1539"/>
      <c r="CN3328" s="1539"/>
      <c r="CO3328" s="1539"/>
    </row>
    <row r="3329" spans="1:93" s="1542" customFormat="1" ht="15.5">
      <c r="A3329" s="1598">
        <v>35</v>
      </c>
      <c r="B3329" s="1599" t="s">
        <v>3207</v>
      </c>
      <c r="C3329" s="1643" t="e">
        <f>+SUMIF(#REF!,Final!A3329,#REF!)</f>
        <v>#REF!</v>
      </c>
      <c r="D3329" s="1597" t="e">
        <f>+SUMIF(#REF!,Final!A3329,#REF!)</f>
        <v>#REF!</v>
      </c>
      <c r="E3329" s="1643" t="e">
        <f>SUMIF(#REF!,Final!A3329,#REF!)</f>
        <v>#REF!</v>
      </c>
      <c r="F3329" s="1644" t="e">
        <f>SUMIF(#REF!,Final!A3329,#REF!)</f>
        <v>#REF!</v>
      </c>
      <c r="G3329" s="1597" t="e">
        <f t="shared" si="368"/>
        <v>#REF!</v>
      </c>
      <c r="H3329" s="1644" t="e">
        <f t="shared" si="369"/>
        <v>#REF!</v>
      </c>
      <c r="I3329" s="1597" t="e">
        <f t="shared" si="370"/>
        <v>#REF!</v>
      </c>
      <c r="J3329" s="1644" t="e">
        <f t="shared" si="371"/>
        <v>#REF!</v>
      </c>
      <c r="K3329" s="1539"/>
      <c r="L3329" s="1539"/>
      <c r="M3329" s="1545"/>
      <c r="N3329" s="1545"/>
      <c r="O3329" s="1539"/>
      <c r="P3329" s="1539"/>
      <c r="Q3329" s="1539"/>
      <c r="R3329" s="1539"/>
      <c r="S3329" s="1539"/>
      <c r="T3329" s="1539"/>
      <c r="U3329" s="1539"/>
      <c r="V3329" s="1539"/>
      <c r="W3329" s="1539"/>
      <c r="X3329" s="1539"/>
      <c r="Y3329" s="1539"/>
      <c r="Z3329" s="1539"/>
      <c r="AA3329" s="1539"/>
      <c r="AB3329" s="1539"/>
      <c r="AC3329" s="1539"/>
      <c r="AD3329" s="1539"/>
      <c r="AE3329" s="1539"/>
      <c r="AF3329" s="1539"/>
      <c r="AG3329" s="1539"/>
      <c r="AH3329" s="1539"/>
      <c r="AI3329" s="1539"/>
      <c r="AJ3329" s="1539"/>
      <c r="AK3329" s="1539"/>
      <c r="AL3329" s="1539"/>
      <c r="AM3329" s="1539"/>
      <c r="AN3329" s="1539"/>
      <c r="AO3329" s="1539"/>
      <c r="AP3329" s="1539"/>
      <c r="AQ3329" s="1539"/>
      <c r="AR3329" s="1539"/>
      <c r="AS3329" s="1539"/>
      <c r="AT3329" s="1539"/>
      <c r="AU3329" s="1539"/>
      <c r="AV3329" s="1539"/>
      <c r="AW3329" s="1539"/>
      <c r="AX3329" s="1539"/>
      <c r="AY3329" s="1539"/>
      <c r="AZ3329" s="1539"/>
      <c r="BA3329" s="1539"/>
      <c r="BB3329" s="1539"/>
      <c r="BC3329" s="1539"/>
      <c r="BD3329" s="1539"/>
      <c r="BE3329" s="1539"/>
      <c r="BF3329" s="1539"/>
      <c r="BG3329" s="1539"/>
      <c r="BH3329" s="1539"/>
      <c r="BI3329" s="1539"/>
      <c r="BJ3329" s="1539"/>
      <c r="BK3329" s="1539"/>
      <c r="BL3329" s="1539"/>
      <c r="BM3329" s="1539"/>
      <c r="BN3329" s="1539"/>
      <c r="BO3329" s="1539"/>
      <c r="BP3329" s="1539"/>
      <c r="BQ3329" s="1539"/>
      <c r="BR3329" s="1539"/>
      <c r="BS3329" s="1539"/>
      <c r="BT3329" s="1539"/>
      <c r="BU3329" s="1539"/>
      <c r="BV3329" s="1539"/>
      <c r="BW3329" s="1539"/>
      <c r="BX3329" s="1539"/>
      <c r="BY3329" s="1539"/>
      <c r="BZ3329" s="1539"/>
      <c r="CA3329" s="1539"/>
      <c r="CB3329" s="1539"/>
      <c r="CC3329" s="1539"/>
      <c r="CD3329" s="1539"/>
      <c r="CE3329" s="1539"/>
      <c r="CF3329" s="1539"/>
      <c r="CG3329" s="1539"/>
      <c r="CH3329" s="1539"/>
      <c r="CI3329" s="1539"/>
      <c r="CJ3329" s="1539"/>
      <c r="CK3329" s="1539"/>
      <c r="CL3329" s="1539"/>
      <c r="CM3329" s="1539"/>
      <c r="CN3329" s="1539"/>
      <c r="CO3329" s="1539"/>
    </row>
    <row r="3330" spans="1:93" s="1542" customFormat="1" ht="15.5">
      <c r="A3330" s="1598" t="s">
        <v>1830</v>
      </c>
      <c r="B3330" s="1599" t="s">
        <v>1525</v>
      </c>
      <c r="C3330" s="1643" t="e">
        <f>+SUMIF(#REF!,Final!A3330,#REF!)</f>
        <v>#REF!</v>
      </c>
      <c r="D3330" s="1597" t="e">
        <f>+SUMIF(#REF!,Final!A3330,#REF!)</f>
        <v>#REF!</v>
      </c>
      <c r="E3330" s="1643" t="e">
        <f>SUMIF(#REF!,Final!A3330,#REF!)</f>
        <v>#REF!</v>
      </c>
      <c r="F3330" s="1644" t="e">
        <f>SUMIF(#REF!,Final!A3330,#REF!)</f>
        <v>#REF!</v>
      </c>
      <c r="G3330" s="1597" t="e">
        <f t="shared" ref="G3330:G3393" si="372">C3330+E3330</f>
        <v>#REF!</v>
      </c>
      <c r="H3330" s="1644" t="e">
        <f t="shared" ref="H3330:H3393" si="373">D3330+F3330</f>
        <v>#REF!</v>
      </c>
      <c r="I3330" s="1597" t="e">
        <f t="shared" ref="I3330:I3393" si="374">IF(G3330&gt;H3330,G3330-H3330,0)</f>
        <v>#REF!</v>
      </c>
      <c r="J3330" s="1644" t="e">
        <f t="shared" ref="J3330:J3393" si="375">IF(H3330&gt;G3330,H3330-G3330,0)</f>
        <v>#REF!</v>
      </c>
      <c r="K3330" s="1539"/>
      <c r="L3330" s="1539"/>
      <c r="M3330" s="1545"/>
      <c r="N3330" s="1545"/>
      <c r="O3330" s="1539"/>
      <c r="P3330" s="1539"/>
      <c r="Q3330" s="1539"/>
      <c r="R3330" s="1539"/>
      <c r="S3330" s="1539"/>
      <c r="T3330" s="1539"/>
      <c r="U3330" s="1539"/>
      <c r="V3330" s="1539"/>
      <c r="W3330" s="1539"/>
      <c r="X3330" s="1539"/>
      <c r="Y3330" s="1539"/>
      <c r="Z3330" s="1539"/>
      <c r="AA3330" s="1539"/>
      <c r="AB3330" s="1539"/>
      <c r="AC3330" s="1539"/>
      <c r="AD3330" s="1539"/>
      <c r="AE3330" s="1539"/>
      <c r="AF3330" s="1539"/>
      <c r="AG3330" s="1539"/>
      <c r="AH3330" s="1539"/>
      <c r="AI3330" s="1539"/>
      <c r="AJ3330" s="1539"/>
      <c r="AK3330" s="1539"/>
      <c r="AL3330" s="1539"/>
      <c r="AM3330" s="1539"/>
      <c r="AN3330" s="1539"/>
      <c r="AO3330" s="1539"/>
      <c r="AP3330" s="1539"/>
      <c r="AQ3330" s="1539"/>
      <c r="AR3330" s="1539"/>
      <c r="AS3330" s="1539"/>
      <c r="AT3330" s="1539"/>
      <c r="AU3330" s="1539"/>
      <c r="AV3330" s="1539"/>
      <c r="AW3330" s="1539"/>
      <c r="AX3330" s="1539"/>
      <c r="AY3330" s="1539"/>
      <c r="AZ3330" s="1539"/>
      <c r="BA3330" s="1539"/>
      <c r="BB3330" s="1539"/>
      <c r="BC3330" s="1539"/>
      <c r="BD3330" s="1539"/>
      <c r="BE3330" s="1539"/>
      <c r="BF3330" s="1539"/>
      <c r="BG3330" s="1539"/>
      <c r="BH3330" s="1539"/>
      <c r="BI3330" s="1539"/>
      <c r="BJ3330" s="1539"/>
      <c r="BK3330" s="1539"/>
      <c r="BL3330" s="1539"/>
      <c r="BM3330" s="1539"/>
      <c r="BN3330" s="1539"/>
      <c r="BO3330" s="1539"/>
      <c r="BP3330" s="1539"/>
      <c r="BQ3330" s="1539"/>
      <c r="BR3330" s="1539"/>
      <c r="BS3330" s="1539"/>
      <c r="BT3330" s="1539"/>
      <c r="BU3330" s="1539"/>
      <c r="BV3330" s="1539"/>
      <c r="BW3330" s="1539"/>
      <c r="BX3330" s="1539"/>
      <c r="BY3330" s="1539"/>
      <c r="BZ3330" s="1539"/>
      <c r="CA3330" s="1539"/>
      <c r="CB3330" s="1539"/>
      <c r="CC3330" s="1539"/>
      <c r="CD3330" s="1539"/>
      <c r="CE3330" s="1539"/>
      <c r="CF3330" s="1539"/>
      <c r="CG3330" s="1539"/>
      <c r="CH3330" s="1539"/>
      <c r="CI3330" s="1539"/>
      <c r="CJ3330" s="1539"/>
      <c r="CK3330" s="1539"/>
      <c r="CL3330" s="1539"/>
      <c r="CM3330" s="1539"/>
      <c r="CN3330" s="1539"/>
      <c r="CO3330" s="1539"/>
    </row>
    <row r="3331" spans="1:93" ht="15.5">
      <c r="A3331" s="1598">
        <v>77.61</v>
      </c>
      <c r="B3331" s="1599" t="s">
        <v>3276</v>
      </c>
      <c r="C3331" s="1643" t="e">
        <f>+SUMIF(#REF!,Final!A3331,#REF!)</f>
        <v>#REF!</v>
      </c>
      <c r="D3331" s="1597" t="e">
        <f>+SUMIF(#REF!,Final!A3331,#REF!)</f>
        <v>#REF!</v>
      </c>
      <c r="E3331" s="1643" t="e">
        <f>SUMIF(#REF!,Final!A3331,#REF!)</f>
        <v>#REF!</v>
      </c>
      <c r="F3331" s="1644" t="e">
        <f>SUMIF(#REF!,Final!A3331,#REF!)</f>
        <v>#REF!</v>
      </c>
      <c r="G3331" s="1597" t="e">
        <f t="shared" si="372"/>
        <v>#REF!</v>
      </c>
      <c r="H3331" s="1644" t="e">
        <f t="shared" si="373"/>
        <v>#REF!</v>
      </c>
      <c r="I3331" s="1597" t="e">
        <f t="shared" si="374"/>
        <v>#REF!</v>
      </c>
      <c r="J3331" s="1644" t="e">
        <f t="shared" si="375"/>
        <v>#REF!</v>
      </c>
      <c r="M3331" s="1545"/>
      <c r="N3331" s="1545"/>
    </row>
    <row r="3332" spans="1:93" s="1552" customFormat="1" ht="15.5">
      <c r="A3332" s="1598"/>
      <c r="B3332" s="1599" t="s">
        <v>1747</v>
      </c>
      <c r="C3332" s="1643" t="e">
        <f>+SUMIF(#REF!,Final!A3332,#REF!)</f>
        <v>#REF!</v>
      </c>
      <c r="D3332" s="1597" t="e">
        <f>+SUMIF(#REF!,Final!A3332,#REF!)</f>
        <v>#REF!</v>
      </c>
      <c r="E3332" s="1643" t="e">
        <f>SUMIF(#REF!,Final!A3332,#REF!)</f>
        <v>#REF!</v>
      </c>
      <c r="F3332" s="1644" t="e">
        <f>SUMIF(#REF!,Final!A3332,#REF!)</f>
        <v>#REF!</v>
      </c>
      <c r="G3332" s="1597" t="e">
        <f t="shared" si="372"/>
        <v>#REF!</v>
      </c>
      <c r="H3332" s="1644" t="e">
        <f t="shared" si="373"/>
        <v>#REF!</v>
      </c>
      <c r="I3332" s="1597" t="e">
        <f t="shared" si="374"/>
        <v>#REF!</v>
      </c>
      <c r="J3332" s="1644" t="e">
        <f t="shared" si="375"/>
        <v>#REF!</v>
      </c>
      <c r="K3332" s="1539"/>
      <c r="L3332" s="1539"/>
      <c r="M3332" s="1545"/>
      <c r="N3332" s="1545"/>
      <c r="O3332" s="1539"/>
      <c r="P3332" s="1539"/>
      <c r="Q3332" s="1539"/>
      <c r="R3332" s="1539"/>
      <c r="S3332" s="1539"/>
      <c r="T3332" s="1539"/>
      <c r="U3332" s="1539"/>
      <c r="V3332" s="1539"/>
      <c r="W3332" s="1539"/>
      <c r="X3332" s="1539"/>
      <c r="Y3332" s="1539"/>
      <c r="Z3332" s="1539"/>
      <c r="AA3332" s="1539"/>
      <c r="AB3332" s="1539"/>
      <c r="AC3332" s="1539"/>
      <c r="AD3332" s="1539"/>
      <c r="AE3332" s="1539"/>
      <c r="AF3332" s="1539"/>
      <c r="AG3332" s="1539"/>
      <c r="AH3332" s="1539"/>
      <c r="AI3332" s="1539"/>
      <c r="AJ3332" s="1539"/>
      <c r="AK3332" s="1539"/>
      <c r="AL3332" s="1539"/>
      <c r="AM3332" s="1539"/>
      <c r="AN3332" s="1539"/>
      <c r="AO3332" s="1539"/>
      <c r="AP3332" s="1539"/>
      <c r="AQ3332" s="1539"/>
      <c r="AR3332" s="1539"/>
      <c r="AS3332" s="1539"/>
      <c r="AT3332" s="1539"/>
      <c r="AU3332" s="1539"/>
      <c r="AV3332" s="1539"/>
      <c r="AW3332" s="1539"/>
      <c r="AX3332" s="1539"/>
      <c r="AY3332" s="1539"/>
      <c r="AZ3332" s="1539"/>
      <c r="BA3332" s="1539"/>
      <c r="BB3332" s="1539"/>
      <c r="BC3332" s="1539"/>
      <c r="BD3332" s="1539"/>
      <c r="BE3332" s="1539"/>
      <c r="BF3332" s="1539"/>
      <c r="BG3332" s="1539"/>
      <c r="BH3332" s="1539"/>
      <c r="BI3332" s="1539"/>
      <c r="BJ3332" s="1539"/>
      <c r="BK3332" s="1539"/>
      <c r="BL3332" s="1539"/>
      <c r="BM3332" s="1539"/>
      <c r="BN3332" s="1539"/>
      <c r="BO3332" s="1539"/>
      <c r="BP3332" s="1539"/>
      <c r="BQ3332" s="1539"/>
      <c r="BR3332" s="1539"/>
      <c r="BS3332" s="1539"/>
      <c r="BT3332" s="1539"/>
      <c r="BU3332" s="1539"/>
      <c r="BV3332" s="1539"/>
      <c r="BW3332" s="1539"/>
      <c r="BX3332" s="1539"/>
      <c r="BY3332" s="1539"/>
      <c r="BZ3332" s="1539"/>
      <c r="CA3332" s="1539"/>
      <c r="CB3332" s="1539"/>
      <c r="CC3332" s="1539"/>
      <c r="CD3332" s="1539"/>
      <c r="CE3332" s="1539"/>
      <c r="CF3332" s="1539"/>
      <c r="CG3332" s="1539"/>
      <c r="CH3332" s="1539"/>
      <c r="CI3332" s="1539"/>
      <c r="CJ3332" s="1539"/>
      <c r="CK3332" s="1539"/>
      <c r="CL3332" s="1539"/>
      <c r="CM3332" s="1539"/>
      <c r="CN3332" s="1539"/>
      <c r="CO3332" s="1539"/>
    </row>
    <row r="3333" spans="1:93" s="1552" customFormat="1" ht="15.5">
      <c r="A3333" s="1598"/>
      <c r="B3333" s="1599" t="s">
        <v>1760</v>
      </c>
      <c r="C3333" s="1643" t="e">
        <f>+SUMIF(#REF!,Final!A3333,#REF!)</f>
        <v>#REF!</v>
      </c>
      <c r="D3333" s="1597" t="e">
        <f>+SUMIF(#REF!,Final!A3333,#REF!)</f>
        <v>#REF!</v>
      </c>
      <c r="E3333" s="1643" t="e">
        <f>SUMIF(#REF!,Final!A3333,#REF!)</f>
        <v>#REF!</v>
      </c>
      <c r="F3333" s="1644" t="e">
        <f>SUMIF(#REF!,Final!A3333,#REF!)</f>
        <v>#REF!</v>
      </c>
      <c r="G3333" s="1597" t="e">
        <f t="shared" si="372"/>
        <v>#REF!</v>
      </c>
      <c r="H3333" s="1644" t="e">
        <f t="shared" si="373"/>
        <v>#REF!</v>
      </c>
      <c r="I3333" s="1597" t="e">
        <f t="shared" si="374"/>
        <v>#REF!</v>
      </c>
      <c r="J3333" s="1644" t="e">
        <f t="shared" si="375"/>
        <v>#REF!</v>
      </c>
      <c r="K3333" s="1539"/>
      <c r="L3333" s="1539"/>
      <c r="M3333" s="1545"/>
      <c r="N3333" s="1545"/>
      <c r="O3333" s="1539"/>
      <c r="P3333" s="1539"/>
      <c r="Q3333" s="1539"/>
      <c r="R3333" s="1539"/>
      <c r="S3333" s="1539"/>
      <c r="T3333" s="1539"/>
      <c r="U3333" s="1539"/>
      <c r="V3333" s="1539"/>
      <c r="W3333" s="1539"/>
      <c r="X3333" s="1539"/>
      <c r="Y3333" s="1539"/>
      <c r="Z3333" s="1539"/>
      <c r="AA3333" s="1539"/>
      <c r="AB3333" s="1539"/>
      <c r="AC3333" s="1539"/>
      <c r="AD3333" s="1539"/>
      <c r="AE3333" s="1539"/>
      <c r="AF3333" s="1539"/>
      <c r="AG3333" s="1539"/>
      <c r="AH3333" s="1539"/>
      <c r="AI3333" s="1539"/>
      <c r="AJ3333" s="1539"/>
      <c r="AK3333" s="1539"/>
      <c r="AL3333" s="1539"/>
      <c r="AM3333" s="1539"/>
      <c r="AN3333" s="1539"/>
      <c r="AO3333" s="1539"/>
      <c r="AP3333" s="1539"/>
      <c r="AQ3333" s="1539"/>
      <c r="AR3333" s="1539"/>
      <c r="AS3333" s="1539"/>
      <c r="AT3333" s="1539"/>
      <c r="AU3333" s="1539"/>
      <c r="AV3333" s="1539"/>
      <c r="AW3333" s="1539"/>
      <c r="AX3333" s="1539"/>
      <c r="AY3333" s="1539"/>
      <c r="AZ3333" s="1539"/>
      <c r="BA3333" s="1539"/>
      <c r="BB3333" s="1539"/>
      <c r="BC3333" s="1539"/>
      <c r="BD3333" s="1539"/>
      <c r="BE3333" s="1539"/>
      <c r="BF3333" s="1539"/>
      <c r="BG3333" s="1539"/>
      <c r="BH3333" s="1539"/>
      <c r="BI3333" s="1539"/>
      <c r="BJ3333" s="1539"/>
      <c r="BK3333" s="1539"/>
      <c r="BL3333" s="1539"/>
      <c r="BM3333" s="1539"/>
      <c r="BN3333" s="1539"/>
      <c r="BO3333" s="1539"/>
      <c r="BP3333" s="1539"/>
      <c r="BQ3333" s="1539"/>
      <c r="BR3333" s="1539"/>
      <c r="BS3333" s="1539"/>
      <c r="BT3333" s="1539"/>
      <c r="BU3333" s="1539"/>
      <c r="BV3333" s="1539"/>
      <c r="BW3333" s="1539"/>
      <c r="BX3333" s="1539"/>
      <c r="BY3333" s="1539"/>
      <c r="BZ3333" s="1539"/>
      <c r="CA3333" s="1539"/>
      <c r="CB3333" s="1539"/>
      <c r="CC3333" s="1539"/>
      <c r="CD3333" s="1539"/>
      <c r="CE3333" s="1539"/>
      <c r="CF3333" s="1539"/>
      <c r="CG3333" s="1539"/>
      <c r="CH3333" s="1539"/>
      <c r="CI3333" s="1539"/>
      <c r="CJ3333" s="1539"/>
      <c r="CK3333" s="1539"/>
      <c r="CL3333" s="1539"/>
      <c r="CM3333" s="1539"/>
      <c r="CN3333" s="1539"/>
      <c r="CO3333" s="1539"/>
    </row>
    <row r="3334" spans="1:93" s="1552" customFormat="1" ht="15.5">
      <c r="A3334" s="1598"/>
      <c r="B3334" s="1599" t="s">
        <v>3543</v>
      </c>
      <c r="C3334" s="1643" t="e">
        <f>+SUMIF(#REF!,Final!A3334,#REF!)</f>
        <v>#REF!</v>
      </c>
      <c r="D3334" s="1597" t="e">
        <f>+SUMIF(#REF!,Final!A3334,#REF!)</f>
        <v>#REF!</v>
      </c>
      <c r="E3334" s="1643" t="e">
        <f>SUMIF(#REF!,Final!A3334,#REF!)</f>
        <v>#REF!</v>
      </c>
      <c r="F3334" s="1644" t="e">
        <f>SUMIF(#REF!,Final!A3334,#REF!)</f>
        <v>#REF!</v>
      </c>
      <c r="G3334" s="1597" t="e">
        <f t="shared" si="372"/>
        <v>#REF!</v>
      </c>
      <c r="H3334" s="1644" t="e">
        <f t="shared" si="373"/>
        <v>#REF!</v>
      </c>
      <c r="I3334" s="1597" t="e">
        <f t="shared" si="374"/>
        <v>#REF!</v>
      </c>
      <c r="J3334" s="1644" t="e">
        <f t="shared" si="375"/>
        <v>#REF!</v>
      </c>
      <c r="K3334" s="1539"/>
      <c r="L3334" s="1539"/>
      <c r="M3334" s="1545"/>
      <c r="N3334" s="1545"/>
      <c r="O3334" s="1539"/>
      <c r="P3334" s="1539"/>
      <c r="Q3334" s="1539"/>
      <c r="R3334" s="1539"/>
      <c r="S3334" s="1539"/>
      <c r="T3334" s="1539"/>
      <c r="U3334" s="1539"/>
      <c r="V3334" s="1539"/>
      <c r="W3334" s="1539"/>
      <c r="X3334" s="1539"/>
      <c r="Y3334" s="1539"/>
      <c r="Z3334" s="1539"/>
      <c r="AA3334" s="1539"/>
      <c r="AB3334" s="1539"/>
      <c r="AC3334" s="1539"/>
      <c r="AD3334" s="1539"/>
      <c r="AE3334" s="1539"/>
      <c r="AF3334" s="1539"/>
      <c r="AG3334" s="1539"/>
      <c r="AH3334" s="1539"/>
      <c r="AI3334" s="1539"/>
      <c r="AJ3334" s="1539"/>
      <c r="AK3334" s="1539"/>
      <c r="AL3334" s="1539"/>
      <c r="AM3334" s="1539"/>
      <c r="AN3334" s="1539"/>
      <c r="AO3334" s="1539"/>
      <c r="AP3334" s="1539"/>
      <c r="AQ3334" s="1539"/>
      <c r="AR3334" s="1539"/>
      <c r="AS3334" s="1539"/>
      <c r="AT3334" s="1539"/>
      <c r="AU3334" s="1539"/>
      <c r="AV3334" s="1539"/>
      <c r="AW3334" s="1539"/>
      <c r="AX3334" s="1539"/>
      <c r="AY3334" s="1539"/>
      <c r="AZ3334" s="1539"/>
      <c r="BA3334" s="1539"/>
      <c r="BB3334" s="1539"/>
      <c r="BC3334" s="1539"/>
      <c r="BD3334" s="1539"/>
      <c r="BE3334" s="1539"/>
      <c r="BF3334" s="1539"/>
      <c r="BG3334" s="1539"/>
      <c r="BH3334" s="1539"/>
      <c r="BI3334" s="1539"/>
      <c r="BJ3334" s="1539"/>
      <c r="BK3334" s="1539"/>
      <c r="BL3334" s="1539"/>
      <c r="BM3334" s="1539"/>
      <c r="BN3334" s="1539"/>
      <c r="BO3334" s="1539"/>
      <c r="BP3334" s="1539"/>
      <c r="BQ3334" s="1539"/>
      <c r="BR3334" s="1539"/>
      <c r="BS3334" s="1539"/>
      <c r="BT3334" s="1539"/>
      <c r="BU3334" s="1539"/>
      <c r="BV3334" s="1539"/>
      <c r="BW3334" s="1539"/>
      <c r="BX3334" s="1539"/>
      <c r="BY3334" s="1539"/>
      <c r="BZ3334" s="1539"/>
      <c r="CA3334" s="1539"/>
      <c r="CB3334" s="1539"/>
      <c r="CC3334" s="1539"/>
      <c r="CD3334" s="1539"/>
      <c r="CE3334" s="1539"/>
      <c r="CF3334" s="1539"/>
      <c r="CG3334" s="1539"/>
      <c r="CH3334" s="1539"/>
      <c r="CI3334" s="1539"/>
      <c r="CJ3334" s="1539"/>
      <c r="CK3334" s="1539"/>
      <c r="CL3334" s="1539"/>
      <c r="CM3334" s="1539"/>
      <c r="CN3334" s="1539"/>
      <c r="CO3334" s="1539"/>
    </row>
    <row r="3335" spans="1:93" s="1542" customFormat="1" ht="15.5">
      <c r="A3335" s="1598">
        <v>38</v>
      </c>
      <c r="B3335" s="1599" t="s">
        <v>3283</v>
      </c>
      <c r="C3335" s="1643" t="e">
        <f>+SUMIF(#REF!,Final!A3335,#REF!)</f>
        <v>#REF!</v>
      </c>
      <c r="D3335" s="1597" t="e">
        <f>+SUMIF(#REF!,Final!A3335,#REF!)</f>
        <v>#REF!</v>
      </c>
      <c r="E3335" s="1643" t="e">
        <f>SUMIF(#REF!,Final!A3335,#REF!)</f>
        <v>#REF!</v>
      </c>
      <c r="F3335" s="1644" t="e">
        <f>SUMIF(#REF!,Final!A3335,#REF!)</f>
        <v>#REF!</v>
      </c>
      <c r="G3335" s="1597" t="e">
        <f t="shared" si="372"/>
        <v>#REF!</v>
      </c>
      <c r="H3335" s="1644" t="e">
        <f t="shared" si="373"/>
        <v>#REF!</v>
      </c>
      <c r="I3335" s="1597" t="e">
        <f t="shared" si="374"/>
        <v>#REF!</v>
      </c>
      <c r="J3335" s="1644" t="e">
        <f t="shared" si="375"/>
        <v>#REF!</v>
      </c>
      <c r="K3335" s="1539"/>
      <c r="L3335" s="1539"/>
      <c r="M3335" s="1545"/>
      <c r="N3335" s="1545"/>
      <c r="O3335" s="1539"/>
      <c r="P3335" s="1539"/>
      <c r="Q3335" s="1539"/>
      <c r="R3335" s="1539"/>
      <c r="S3335" s="1539"/>
      <c r="T3335" s="1539"/>
      <c r="U3335" s="1539"/>
      <c r="V3335" s="1539"/>
      <c r="W3335" s="1539"/>
      <c r="X3335" s="1539"/>
      <c r="Y3335" s="1539"/>
      <c r="Z3335" s="1539"/>
      <c r="AA3335" s="1539"/>
      <c r="AB3335" s="1539"/>
      <c r="AC3335" s="1539"/>
      <c r="AD3335" s="1539"/>
      <c r="AE3335" s="1539"/>
      <c r="AF3335" s="1539"/>
      <c r="AG3335" s="1539"/>
      <c r="AH3335" s="1539"/>
      <c r="AI3335" s="1539"/>
      <c r="AJ3335" s="1539"/>
      <c r="AK3335" s="1539"/>
      <c r="AL3335" s="1539"/>
      <c r="AM3335" s="1539"/>
      <c r="AN3335" s="1539"/>
      <c r="AO3335" s="1539"/>
      <c r="AP3335" s="1539"/>
      <c r="AQ3335" s="1539"/>
      <c r="AR3335" s="1539"/>
      <c r="AS3335" s="1539"/>
      <c r="AT3335" s="1539"/>
      <c r="AU3335" s="1539"/>
      <c r="AV3335" s="1539"/>
      <c r="AW3335" s="1539"/>
      <c r="AX3335" s="1539"/>
      <c r="AY3335" s="1539"/>
      <c r="AZ3335" s="1539"/>
      <c r="BA3335" s="1539"/>
      <c r="BB3335" s="1539"/>
      <c r="BC3335" s="1539"/>
      <c r="BD3335" s="1539"/>
      <c r="BE3335" s="1539"/>
      <c r="BF3335" s="1539"/>
      <c r="BG3335" s="1539"/>
      <c r="BH3335" s="1539"/>
      <c r="BI3335" s="1539"/>
      <c r="BJ3335" s="1539"/>
      <c r="BK3335" s="1539"/>
      <c r="BL3335" s="1539"/>
      <c r="BM3335" s="1539"/>
      <c r="BN3335" s="1539"/>
      <c r="BO3335" s="1539"/>
      <c r="BP3335" s="1539"/>
      <c r="BQ3335" s="1539"/>
      <c r="BR3335" s="1539"/>
      <c r="BS3335" s="1539"/>
      <c r="BT3335" s="1539"/>
      <c r="BU3335" s="1539"/>
      <c r="BV3335" s="1539"/>
      <c r="BW3335" s="1539"/>
      <c r="BX3335" s="1539"/>
      <c r="BY3335" s="1539"/>
      <c r="BZ3335" s="1539"/>
      <c r="CA3335" s="1539"/>
      <c r="CB3335" s="1539"/>
      <c r="CC3335" s="1539"/>
      <c r="CD3335" s="1539"/>
      <c r="CE3335" s="1539"/>
      <c r="CF3335" s="1539"/>
      <c r="CG3335" s="1539"/>
      <c r="CH3335" s="1539"/>
      <c r="CI3335" s="1539"/>
      <c r="CJ3335" s="1539"/>
      <c r="CK3335" s="1539"/>
      <c r="CL3335" s="1539"/>
      <c r="CM3335" s="1539"/>
      <c r="CN3335" s="1539"/>
      <c r="CO3335" s="1539"/>
    </row>
    <row r="3336" spans="1:93" s="1542" customFormat="1" ht="15.5">
      <c r="A3336" s="1598" t="s">
        <v>1815</v>
      </c>
      <c r="B3336" s="1599" t="s">
        <v>3284</v>
      </c>
      <c r="C3336" s="1643" t="e">
        <f>+SUMIF(#REF!,Final!A3336,#REF!)</f>
        <v>#REF!</v>
      </c>
      <c r="D3336" s="1597" t="e">
        <f>+SUMIF(#REF!,Final!A3336,#REF!)</f>
        <v>#REF!</v>
      </c>
      <c r="E3336" s="1643" t="e">
        <f>SUMIF(#REF!,Final!A3336,#REF!)</f>
        <v>#REF!</v>
      </c>
      <c r="F3336" s="1644" t="e">
        <f>SUMIF(#REF!,Final!A3336,#REF!)</f>
        <v>#REF!</v>
      </c>
      <c r="G3336" s="1597" t="e">
        <f t="shared" si="372"/>
        <v>#REF!</v>
      </c>
      <c r="H3336" s="1644" t="e">
        <f t="shared" si="373"/>
        <v>#REF!</v>
      </c>
      <c r="I3336" s="1597" t="e">
        <f t="shared" si="374"/>
        <v>#REF!</v>
      </c>
      <c r="J3336" s="1644" t="e">
        <f t="shared" si="375"/>
        <v>#REF!</v>
      </c>
      <c r="K3336" s="1539"/>
      <c r="L3336" s="1539"/>
      <c r="M3336" s="1545"/>
      <c r="N3336" s="1545"/>
      <c r="O3336" s="1539"/>
      <c r="P3336" s="1539"/>
      <c r="Q3336" s="1539"/>
      <c r="R3336" s="1539"/>
      <c r="S3336" s="1539"/>
      <c r="T3336" s="1539"/>
      <c r="U3336" s="1539"/>
      <c r="V3336" s="1539"/>
      <c r="W3336" s="1539"/>
      <c r="X3336" s="1539"/>
      <c r="Y3336" s="1539"/>
      <c r="Z3336" s="1539"/>
      <c r="AA3336" s="1539"/>
      <c r="AB3336" s="1539"/>
      <c r="AC3336" s="1539"/>
      <c r="AD3336" s="1539"/>
      <c r="AE3336" s="1539"/>
      <c r="AF3336" s="1539"/>
      <c r="AG3336" s="1539"/>
      <c r="AH3336" s="1539"/>
      <c r="AI3336" s="1539"/>
      <c r="AJ3336" s="1539"/>
      <c r="AK3336" s="1539"/>
      <c r="AL3336" s="1539"/>
      <c r="AM3336" s="1539"/>
      <c r="AN3336" s="1539"/>
      <c r="AO3336" s="1539"/>
      <c r="AP3336" s="1539"/>
      <c r="AQ3336" s="1539"/>
      <c r="AR3336" s="1539"/>
      <c r="AS3336" s="1539"/>
      <c r="AT3336" s="1539"/>
      <c r="AU3336" s="1539"/>
      <c r="AV3336" s="1539"/>
      <c r="AW3336" s="1539"/>
      <c r="AX3336" s="1539"/>
      <c r="AY3336" s="1539"/>
      <c r="AZ3336" s="1539"/>
      <c r="BA3336" s="1539"/>
      <c r="BB3336" s="1539"/>
      <c r="BC3336" s="1539"/>
      <c r="BD3336" s="1539"/>
      <c r="BE3336" s="1539"/>
      <c r="BF3336" s="1539"/>
      <c r="BG3336" s="1539"/>
      <c r="BH3336" s="1539"/>
      <c r="BI3336" s="1539"/>
      <c r="BJ3336" s="1539"/>
      <c r="BK3336" s="1539"/>
      <c r="BL3336" s="1539"/>
      <c r="BM3336" s="1539"/>
      <c r="BN3336" s="1539"/>
      <c r="BO3336" s="1539"/>
      <c r="BP3336" s="1539"/>
      <c r="BQ3336" s="1539"/>
      <c r="BR3336" s="1539"/>
      <c r="BS3336" s="1539"/>
      <c r="BT3336" s="1539"/>
      <c r="BU3336" s="1539"/>
      <c r="BV3336" s="1539"/>
      <c r="BW3336" s="1539"/>
      <c r="BX3336" s="1539"/>
      <c r="BY3336" s="1539"/>
      <c r="BZ3336" s="1539"/>
      <c r="CA3336" s="1539"/>
      <c r="CB3336" s="1539"/>
      <c r="CC3336" s="1539"/>
      <c r="CD3336" s="1539"/>
      <c r="CE3336" s="1539"/>
      <c r="CF3336" s="1539"/>
      <c r="CG3336" s="1539"/>
      <c r="CH3336" s="1539"/>
      <c r="CI3336" s="1539"/>
      <c r="CJ3336" s="1539"/>
      <c r="CK3336" s="1539"/>
      <c r="CL3336" s="1539"/>
      <c r="CM3336" s="1539"/>
      <c r="CN3336" s="1539"/>
      <c r="CO3336" s="1539"/>
    </row>
    <row r="3337" spans="1:93" ht="15.5">
      <c r="A3337" s="1598">
        <v>78.22</v>
      </c>
      <c r="B3337" s="1599" t="s">
        <v>3285</v>
      </c>
      <c r="C3337" s="1643" t="e">
        <f>+SUMIF(#REF!,Final!A3337,#REF!)</f>
        <v>#REF!</v>
      </c>
      <c r="D3337" s="1597" t="e">
        <f>+SUMIF(#REF!,Final!A3337,#REF!)</f>
        <v>#REF!</v>
      </c>
      <c r="E3337" s="1643" t="e">
        <f>SUMIF(#REF!,Final!A3337,#REF!)</f>
        <v>#REF!</v>
      </c>
      <c r="F3337" s="1644" t="e">
        <f>SUMIF(#REF!,Final!A3337,#REF!)</f>
        <v>#REF!</v>
      </c>
      <c r="G3337" s="1597" t="e">
        <f t="shared" si="372"/>
        <v>#REF!</v>
      </c>
      <c r="H3337" s="1644" t="e">
        <f t="shared" si="373"/>
        <v>#REF!</v>
      </c>
      <c r="I3337" s="1597" t="e">
        <f t="shared" si="374"/>
        <v>#REF!</v>
      </c>
      <c r="J3337" s="1644" t="e">
        <f t="shared" si="375"/>
        <v>#REF!</v>
      </c>
      <c r="M3337" s="1545"/>
      <c r="N3337" s="1545"/>
    </row>
    <row r="3338" spans="1:93" s="1552" customFormat="1" ht="15.5">
      <c r="A3338" s="1598"/>
      <c r="B3338" s="1599" t="s">
        <v>1747</v>
      </c>
      <c r="C3338" s="1643" t="e">
        <f>+SUMIF(#REF!,Final!A3338,#REF!)</f>
        <v>#REF!</v>
      </c>
      <c r="D3338" s="1597" t="e">
        <f>+SUMIF(#REF!,Final!A3338,#REF!)</f>
        <v>#REF!</v>
      </c>
      <c r="E3338" s="1643" t="e">
        <f>SUMIF(#REF!,Final!A3338,#REF!)</f>
        <v>#REF!</v>
      </c>
      <c r="F3338" s="1644" t="e">
        <f>SUMIF(#REF!,Final!A3338,#REF!)</f>
        <v>#REF!</v>
      </c>
      <c r="G3338" s="1597" t="e">
        <f t="shared" si="372"/>
        <v>#REF!</v>
      </c>
      <c r="H3338" s="1644" t="e">
        <f t="shared" si="373"/>
        <v>#REF!</v>
      </c>
      <c r="I3338" s="1597" t="e">
        <f t="shared" si="374"/>
        <v>#REF!</v>
      </c>
      <c r="J3338" s="1644" t="e">
        <f t="shared" si="375"/>
        <v>#REF!</v>
      </c>
      <c r="K3338" s="1539"/>
      <c r="L3338" s="1539"/>
      <c r="M3338" s="1545"/>
      <c r="N3338" s="1545"/>
      <c r="O3338" s="1539"/>
      <c r="P3338" s="1539"/>
      <c r="Q3338" s="1539"/>
      <c r="R3338" s="1539"/>
      <c r="S3338" s="1539"/>
      <c r="T3338" s="1539"/>
      <c r="U3338" s="1539"/>
      <c r="V3338" s="1539"/>
      <c r="W3338" s="1539"/>
      <c r="X3338" s="1539"/>
      <c r="Y3338" s="1539"/>
      <c r="Z3338" s="1539"/>
      <c r="AA3338" s="1539"/>
      <c r="AB3338" s="1539"/>
      <c r="AC3338" s="1539"/>
      <c r="AD3338" s="1539"/>
      <c r="AE3338" s="1539"/>
      <c r="AF3338" s="1539"/>
      <c r="AG3338" s="1539"/>
      <c r="AH3338" s="1539"/>
      <c r="AI3338" s="1539"/>
      <c r="AJ3338" s="1539"/>
      <c r="AK3338" s="1539"/>
      <c r="AL3338" s="1539"/>
      <c r="AM3338" s="1539"/>
      <c r="AN3338" s="1539"/>
      <c r="AO3338" s="1539"/>
      <c r="AP3338" s="1539"/>
      <c r="AQ3338" s="1539"/>
      <c r="AR3338" s="1539"/>
      <c r="AS3338" s="1539"/>
      <c r="AT3338" s="1539"/>
      <c r="AU3338" s="1539"/>
      <c r="AV3338" s="1539"/>
      <c r="AW3338" s="1539"/>
      <c r="AX3338" s="1539"/>
      <c r="AY3338" s="1539"/>
      <c r="AZ3338" s="1539"/>
      <c r="BA3338" s="1539"/>
      <c r="BB3338" s="1539"/>
      <c r="BC3338" s="1539"/>
      <c r="BD3338" s="1539"/>
      <c r="BE3338" s="1539"/>
      <c r="BF3338" s="1539"/>
      <c r="BG3338" s="1539"/>
      <c r="BH3338" s="1539"/>
      <c r="BI3338" s="1539"/>
      <c r="BJ3338" s="1539"/>
      <c r="BK3338" s="1539"/>
      <c r="BL3338" s="1539"/>
      <c r="BM3338" s="1539"/>
      <c r="BN3338" s="1539"/>
      <c r="BO3338" s="1539"/>
      <c r="BP3338" s="1539"/>
      <c r="BQ3338" s="1539"/>
      <c r="BR3338" s="1539"/>
      <c r="BS3338" s="1539"/>
      <c r="BT3338" s="1539"/>
      <c r="BU3338" s="1539"/>
      <c r="BV3338" s="1539"/>
      <c r="BW3338" s="1539"/>
      <c r="BX3338" s="1539"/>
      <c r="BY3338" s="1539"/>
      <c r="BZ3338" s="1539"/>
      <c r="CA3338" s="1539"/>
      <c r="CB3338" s="1539"/>
      <c r="CC3338" s="1539"/>
      <c r="CD3338" s="1539"/>
      <c r="CE3338" s="1539"/>
      <c r="CF3338" s="1539"/>
      <c r="CG3338" s="1539"/>
      <c r="CH3338" s="1539"/>
      <c r="CI3338" s="1539"/>
      <c r="CJ3338" s="1539"/>
      <c r="CK3338" s="1539"/>
      <c r="CL3338" s="1539"/>
      <c r="CM3338" s="1539"/>
      <c r="CN3338" s="1539"/>
      <c r="CO3338" s="1539"/>
    </row>
    <row r="3339" spans="1:93" s="1552" customFormat="1" ht="15.5">
      <c r="A3339" s="1598"/>
      <c r="B3339" s="1599" t="s">
        <v>1760</v>
      </c>
      <c r="C3339" s="1643" t="e">
        <f>+SUMIF(#REF!,Final!A3339,#REF!)</f>
        <v>#REF!</v>
      </c>
      <c r="D3339" s="1597" t="e">
        <f>+SUMIF(#REF!,Final!A3339,#REF!)</f>
        <v>#REF!</v>
      </c>
      <c r="E3339" s="1643" t="e">
        <f>SUMIF(#REF!,Final!A3339,#REF!)</f>
        <v>#REF!</v>
      </c>
      <c r="F3339" s="1644" t="e">
        <f>SUMIF(#REF!,Final!A3339,#REF!)</f>
        <v>#REF!</v>
      </c>
      <c r="G3339" s="1597" t="e">
        <f t="shared" si="372"/>
        <v>#REF!</v>
      </c>
      <c r="H3339" s="1644" t="e">
        <f t="shared" si="373"/>
        <v>#REF!</v>
      </c>
      <c r="I3339" s="1597" t="e">
        <f t="shared" si="374"/>
        <v>#REF!</v>
      </c>
      <c r="J3339" s="1644" t="e">
        <f t="shared" si="375"/>
        <v>#REF!</v>
      </c>
      <c r="K3339" s="1539"/>
      <c r="L3339" s="1539"/>
      <c r="M3339" s="1545"/>
      <c r="N3339" s="1545"/>
      <c r="O3339" s="1539"/>
      <c r="P3339" s="1539"/>
      <c r="Q3339" s="1539"/>
      <c r="R3339" s="1539"/>
      <c r="S3339" s="1539"/>
      <c r="T3339" s="1539"/>
      <c r="U3339" s="1539"/>
      <c r="V3339" s="1539"/>
      <c r="W3339" s="1539"/>
      <c r="X3339" s="1539"/>
      <c r="Y3339" s="1539"/>
      <c r="Z3339" s="1539"/>
      <c r="AA3339" s="1539"/>
      <c r="AB3339" s="1539"/>
      <c r="AC3339" s="1539"/>
      <c r="AD3339" s="1539"/>
      <c r="AE3339" s="1539"/>
      <c r="AF3339" s="1539"/>
      <c r="AG3339" s="1539"/>
      <c r="AH3339" s="1539"/>
      <c r="AI3339" s="1539"/>
      <c r="AJ3339" s="1539"/>
      <c r="AK3339" s="1539"/>
      <c r="AL3339" s="1539"/>
      <c r="AM3339" s="1539"/>
      <c r="AN3339" s="1539"/>
      <c r="AO3339" s="1539"/>
      <c r="AP3339" s="1539"/>
      <c r="AQ3339" s="1539"/>
      <c r="AR3339" s="1539"/>
      <c r="AS3339" s="1539"/>
      <c r="AT3339" s="1539"/>
      <c r="AU3339" s="1539"/>
      <c r="AV3339" s="1539"/>
      <c r="AW3339" s="1539"/>
      <c r="AX3339" s="1539"/>
      <c r="AY3339" s="1539"/>
      <c r="AZ3339" s="1539"/>
      <c r="BA3339" s="1539"/>
      <c r="BB3339" s="1539"/>
      <c r="BC3339" s="1539"/>
      <c r="BD3339" s="1539"/>
      <c r="BE3339" s="1539"/>
      <c r="BF3339" s="1539"/>
      <c r="BG3339" s="1539"/>
      <c r="BH3339" s="1539"/>
      <c r="BI3339" s="1539"/>
      <c r="BJ3339" s="1539"/>
      <c r="BK3339" s="1539"/>
      <c r="BL3339" s="1539"/>
      <c r="BM3339" s="1539"/>
      <c r="BN3339" s="1539"/>
      <c r="BO3339" s="1539"/>
      <c r="BP3339" s="1539"/>
      <c r="BQ3339" s="1539"/>
      <c r="BR3339" s="1539"/>
      <c r="BS3339" s="1539"/>
      <c r="BT3339" s="1539"/>
      <c r="BU3339" s="1539"/>
      <c r="BV3339" s="1539"/>
      <c r="BW3339" s="1539"/>
      <c r="BX3339" s="1539"/>
      <c r="BY3339" s="1539"/>
      <c r="BZ3339" s="1539"/>
      <c r="CA3339" s="1539"/>
      <c r="CB3339" s="1539"/>
      <c r="CC3339" s="1539"/>
      <c r="CD3339" s="1539"/>
      <c r="CE3339" s="1539"/>
      <c r="CF3339" s="1539"/>
      <c r="CG3339" s="1539"/>
      <c r="CH3339" s="1539"/>
      <c r="CI3339" s="1539"/>
      <c r="CJ3339" s="1539"/>
      <c r="CK3339" s="1539"/>
      <c r="CL3339" s="1539"/>
      <c r="CM3339" s="1539"/>
      <c r="CN3339" s="1539"/>
      <c r="CO3339" s="1539"/>
    </row>
    <row r="3340" spans="1:93" s="1542" customFormat="1" ht="15.5">
      <c r="A3340" s="1598" t="s">
        <v>1768</v>
      </c>
      <c r="B3340" s="1599" t="s">
        <v>3286</v>
      </c>
      <c r="C3340" s="1643" t="e">
        <f>+SUMIF(#REF!,Final!A3340,#REF!)</f>
        <v>#REF!</v>
      </c>
      <c r="D3340" s="1597" t="e">
        <f>+SUMIF(#REF!,Final!A3340,#REF!)</f>
        <v>#REF!</v>
      </c>
      <c r="E3340" s="1643" t="e">
        <f>SUMIF(#REF!,Final!A3340,#REF!)</f>
        <v>#REF!</v>
      </c>
      <c r="F3340" s="1644" t="e">
        <f>SUMIF(#REF!,Final!A3340,#REF!)</f>
        <v>#REF!</v>
      </c>
      <c r="G3340" s="1597" t="e">
        <f t="shared" si="372"/>
        <v>#REF!</v>
      </c>
      <c r="H3340" s="1644" t="e">
        <f t="shared" si="373"/>
        <v>#REF!</v>
      </c>
      <c r="I3340" s="1597" t="e">
        <f t="shared" si="374"/>
        <v>#REF!</v>
      </c>
      <c r="J3340" s="1644" t="e">
        <f t="shared" si="375"/>
        <v>#REF!</v>
      </c>
      <c r="K3340" s="1539"/>
      <c r="L3340" s="1539"/>
      <c r="M3340" s="1545"/>
      <c r="N3340" s="1545"/>
      <c r="O3340" s="1539"/>
      <c r="P3340" s="1539"/>
      <c r="Q3340" s="1539"/>
      <c r="R3340" s="1539"/>
      <c r="S3340" s="1539"/>
      <c r="T3340" s="1539"/>
      <c r="U3340" s="1539"/>
      <c r="V3340" s="1539"/>
      <c r="W3340" s="1539"/>
      <c r="X3340" s="1539"/>
      <c r="Y3340" s="1539"/>
      <c r="Z3340" s="1539"/>
      <c r="AA3340" s="1539"/>
      <c r="AB3340" s="1539"/>
      <c r="AC3340" s="1539"/>
      <c r="AD3340" s="1539"/>
      <c r="AE3340" s="1539"/>
      <c r="AF3340" s="1539"/>
      <c r="AG3340" s="1539"/>
      <c r="AH3340" s="1539"/>
      <c r="AI3340" s="1539"/>
      <c r="AJ3340" s="1539"/>
      <c r="AK3340" s="1539"/>
      <c r="AL3340" s="1539"/>
      <c r="AM3340" s="1539"/>
      <c r="AN3340" s="1539"/>
      <c r="AO3340" s="1539"/>
      <c r="AP3340" s="1539"/>
      <c r="AQ3340" s="1539"/>
      <c r="AR3340" s="1539"/>
      <c r="AS3340" s="1539"/>
      <c r="AT3340" s="1539"/>
      <c r="AU3340" s="1539"/>
      <c r="AV3340" s="1539"/>
      <c r="AW3340" s="1539"/>
      <c r="AX3340" s="1539"/>
      <c r="AY3340" s="1539"/>
      <c r="AZ3340" s="1539"/>
      <c r="BA3340" s="1539"/>
      <c r="BB3340" s="1539"/>
      <c r="BC3340" s="1539"/>
      <c r="BD3340" s="1539"/>
      <c r="BE3340" s="1539"/>
      <c r="BF3340" s="1539"/>
      <c r="BG3340" s="1539"/>
      <c r="BH3340" s="1539"/>
      <c r="BI3340" s="1539"/>
      <c r="BJ3340" s="1539"/>
      <c r="BK3340" s="1539"/>
      <c r="BL3340" s="1539"/>
      <c r="BM3340" s="1539"/>
      <c r="BN3340" s="1539"/>
      <c r="BO3340" s="1539"/>
      <c r="BP3340" s="1539"/>
      <c r="BQ3340" s="1539"/>
      <c r="BR3340" s="1539"/>
      <c r="BS3340" s="1539"/>
      <c r="BT3340" s="1539"/>
      <c r="BU3340" s="1539"/>
      <c r="BV3340" s="1539"/>
      <c r="BW3340" s="1539"/>
      <c r="BX3340" s="1539"/>
      <c r="BY3340" s="1539"/>
      <c r="BZ3340" s="1539"/>
      <c r="CA3340" s="1539"/>
      <c r="CB3340" s="1539"/>
      <c r="CC3340" s="1539"/>
      <c r="CD3340" s="1539"/>
      <c r="CE3340" s="1539"/>
      <c r="CF3340" s="1539"/>
      <c r="CG3340" s="1539"/>
      <c r="CH3340" s="1539"/>
      <c r="CI3340" s="1539"/>
      <c r="CJ3340" s="1539"/>
      <c r="CK3340" s="1539"/>
      <c r="CL3340" s="1539"/>
      <c r="CM3340" s="1539"/>
      <c r="CN3340" s="1539"/>
      <c r="CO3340" s="1539"/>
    </row>
    <row r="3341" spans="1:93" ht="15.5">
      <c r="A3341" s="1598">
        <v>78.412999999999997</v>
      </c>
      <c r="B3341" s="1599" t="s">
        <v>3287</v>
      </c>
      <c r="C3341" s="1643" t="e">
        <f>+SUMIF(#REF!,Final!A3341,#REF!)</f>
        <v>#REF!</v>
      </c>
      <c r="D3341" s="1597" t="e">
        <f>+SUMIF(#REF!,Final!A3341,#REF!)</f>
        <v>#REF!</v>
      </c>
      <c r="E3341" s="1643" t="e">
        <f>SUMIF(#REF!,Final!A3341,#REF!)</f>
        <v>#REF!</v>
      </c>
      <c r="F3341" s="1644" t="e">
        <f>SUMIF(#REF!,Final!A3341,#REF!)</f>
        <v>#REF!</v>
      </c>
      <c r="G3341" s="1597" t="e">
        <f t="shared" si="372"/>
        <v>#REF!</v>
      </c>
      <c r="H3341" s="1644" t="e">
        <f t="shared" si="373"/>
        <v>#REF!</v>
      </c>
      <c r="I3341" s="1597" t="e">
        <f t="shared" si="374"/>
        <v>#REF!</v>
      </c>
      <c r="J3341" s="1644" t="e">
        <f t="shared" si="375"/>
        <v>#REF!</v>
      </c>
      <c r="M3341" s="1545"/>
      <c r="N3341" s="1545"/>
    </row>
    <row r="3342" spans="1:93" s="1552" customFormat="1" ht="15.5">
      <c r="A3342" s="1598"/>
      <c r="B3342" s="1599" t="s">
        <v>1747</v>
      </c>
      <c r="C3342" s="1643" t="e">
        <f>+SUMIF(#REF!,Final!A3342,#REF!)</f>
        <v>#REF!</v>
      </c>
      <c r="D3342" s="1597" t="e">
        <f>+SUMIF(#REF!,Final!A3342,#REF!)</f>
        <v>#REF!</v>
      </c>
      <c r="E3342" s="1643" t="e">
        <f>SUMIF(#REF!,Final!A3342,#REF!)</f>
        <v>#REF!</v>
      </c>
      <c r="F3342" s="1644" t="e">
        <f>SUMIF(#REF!,Final!A3342,#REF!)</f>
        <v>#REF!</v>
      </c>
      <c r="G3342" s="1597" t="e">
        <f t="shared" si="372"/>
        <v>#REF!</v>
      </c>
      <c r="H3342" s="1644" t="e">
        <f t="shared" si="373"/>
        <v>#REF!</v>
      </c>
      <c r="I3342" s="1597" t="e">
        <f t="shared" si="374"/>
        <v>#REF!</v>
      </c>
      <c r="J3342" s="1644" t="e">
        <f t="shared" si="375"/>
        <v>#REF!</v>
      </c>
      <c r="K3342" s="1539"/>
      <c r="L3342" s="1539"/>
      <c r="M3342" s="1545"/>
      <c r="N3342" s="1545"/>
      <c r="O3342" s="1539"/>
      <c r="P3342" s="1539"/>
      <c r="Q3342" s="1539"/>
      <c r="R3342" s="1539"/>
      <c r="S3342" s="1539"/>
      <c r="T3342" s="1539"/>
      <c r="U3342" s="1539"/>
      <c r="V3342" s="1539"/>
      <c r="W3342" s="1539"/>
      <c r="X3342" s="1539"/>
      <c r="Y3342" s="1539"/>
      <c r="Z3342" s="1539"/>
      <c r="AA3342" s="1539"/>
      <c r="AB3342" s="1539"/>
      <c r="AC3342" s="1539"/>
      <c r="AD3342" s="1539"/>
      <c r="AE3342" s="1539"/>
      <c r="AF3342" s="1539"/>
      <c r="AG3342" s="1539"/>
      <c r="AH3342" s="1539"/>
      <c r="AI3342" s="1539"/>
      <c r="AJ3342" s="1539"/>
      <c r="AK3342" s="1539"/>
      <c r="AL3342" s="1539"/>
      <c r="AM3342" s="1539"/>
      <c r="AN3342" s="1539"/>
      <c r="AO3342" s="1539"/>
      <c r="AP3342" s="1539"/>
      <c r="AQ3342" s="1539"/>
      <c r="AR3342" s="1539"/>
      <c r="AS3342" s="1539"/>
      <c r="AT3342" s="1539"/>
      <c r="AU3342" s="1539"/>
      <c r="AV3342" s="1539"/>
      <c r="AW3342" s="1539"/>
      <c r="AX3342" s="1539"/>
      <c r="AY3342" s="1539"/>
      <c r="AZ3342" s="1539"/>
      <c r="BA3342" s="1539"/>
      <c r="BB3342" s="1539"/>
      <c r="BC3342" s="1539"/>
      <c r="BD3342" s="1539"/>
      <c r="BE3342" s="1539"/>
      <c r="BF3342" s="1539"/>
      <c r="BG3342" s="1539"/>
      <c r="BH3342" s="1539"/>
      <c r="BI3342" s="1539"/>
      <c r="BJ3342" s="1539"/>
      <c r="BK3342" s="1539"/>
      <c r="BL3342" s="1539"/>
      <c r="BM3342" s="1539"/>
      <c r="BN3342" s="1539"/>
      <c r="BO3342" s="1539"/>
      <c r="BP3342" s="1539"/>
      <c r="BQ3342" s="1539"/>
      <c r="BR3342" s="1539"/>
      <c r="BS3342" s="1539"/>
      <c r="BT3342" s="1539"/>
      <c r="BU3342" s="1539"/>
      <c r="BV3342" s="1539"/>
      <c r="BW3342" s="1539"/>
      <c r="BX3342" s="1539"/>
      <c r="BY3342" s="1539"/>
      <c r="BZ3342" s="1539"/>
      <c r="CA3342" s="1539"/>
      <c r="CB3342" s="1539"/>
      <c r="CC3342" s="1539"/>
      <c r="CD3342" s="1539"/>
      <c r="CE3342" s="1539"/>
      <c r="CF3342" s="1539"/>
      <c r="CG3342" s="1539"/>
      <c r="CH3342" s="1539"/>
      <c r="CI3342" s="1539"/>
      <c r="CJ3342" s="1539"/>
      <c r="CK3342" s="1539"/>
      <c r="CL3342" s="1539"/>
      <c r="CM3342" s="1539"/>
      <c r="CN3342" s="1539"/>
      <c r="CO3342" s="1539"/>
    </row>
    <row r="3343" spans="1:93" s="1552" customFormat="1" ht="15.5">
      <c r="A3343" s="1598"/>
      <c r="B3343" s="1599" t="s">
        <v>1760</v>
      </c>
      <c r="C3343" s="1643" t="e">
        <f>+SUMIF(#REF!,Final!A3343,#REF!)</f>
        <v>#REF!</v>
      </c>
      <c r="D3343" s="1597" t="e">
        <f>+SUMIF(#REF!,Final!A3343,#REF!)</f>
        <v>#REF!</v>
      </c>
      <c r="E3343" s="1643" t="e">
        <f>SUMIF(#REF!,Final!A3343,#REF!)</f>
        <v>#REF!</v>
      </c>
      <c r="F3343" s="1644" t="e">
        <f>SUMIF(#REF!,Final!A3343,#REF!)</f>
        <v>#REF!</v>
      </c>
      <c r="G3343" s="1597" t="e">
        <f t="shared" si="372"/>
        <v>#REF!</v>
      </c>
      <c r="H3343" s="1644" t="e">
        <f t="shared" si="373"/>
        <v>#REF!</v>
      </c>
      <c r="I3343" s="1597" t="e">
        <f t="shared" si="374"/>
        <v>#REF!</v>
      </c>
      <c r="J3343" s="1644" t="e">
        <f t="shared" si="375"/>
        <v>#REF!</v>
      </c>
      <c r="K3343" s="1539"/>
      <c r="L3343" s="1539"/>
      <c r="M3343" s="1545"/>
      <c r="N3343" s="1545"/>
      <c r="O3343" s="1539"/>
      <c r="P3343" s="1539"/>
      <c r="Q3343" s="1539"/>
      <c r="R3343" s="1539"/>
      <c r="S3343" s="1539"/>
      <c r="T3343" s="1539"/>
      <c r="U3343" s="1539"/>
      <c r="V3343" s="1539"/>
      <c r="W3343" s="1539"/>
      <c r="X3343" s="1539"/>
      <c r="Y3343" s="1539"/>
      <c r="Z3343" s="1539"/>
      <c r="AA3343" s="1539"/>
      <c r="AB3343" s="1539"/>
      <c r="AC3343" s="1539"/>
      <c r="AD3343" s="1539"/>
      <c r="AE3343" s="1539"/>
      <c r="AF3343" s="1539"/>
      <c r="AG3343" s="1539"/>
      <c r="AH3343" s="1539"/>
      <c r="AI3343" s="1539"/>
      <c r="AJ3343" s="1539"/>
      <c r="AK3343" s="1539"/>
      <c r="AL3343" s="1539"/>
      <c r="AM3343" s="1539"/>
      <c r="AN3343" s="1539"/>
      <c r="AO3343" s="1539"/>
      <c r="AP3343" s="1539"/>
      <c r="AQ3343" s="1539"/>
      <c r="AR3343" s="1539"/>
      <c r="AS3343" s="1539"/>
      <c r="AT3343" s="1539"/>
      <c r="AU3343" s="1539"/>
      <c r="AV3343" s="1539"/>
      <c r="AW3343" s="1539"/>
      <c r="AX3343" s="1539"/>
      <c r="AY3343" s="1539"/>
      <c r="AZ3343" s="1539"/>
      <c r="BA3343" s="1539"/>
      <c r="BB3343" s="1539"/>
      <c r="BC3343" s="1539"/>
      <c r="BD3343" s="1539"/>
      <c r="BE3343" s="1539"/>
      <c r="BF3343" s="1539"/>
      <c r="BG3343" s="1539"/>
      <c r="BH3343" s="1539"/>
      <c r="BI3343" s="1539"/>
      <c r="BJ3343" s="1539"/>
      <c r="BK3343" s="1539"/>
      <c r="BL3343" s="1539"/>
      <c r="BM3343" s="1539"/>
      <c r="BN3343" s="1539"/>
      <c r="BO3343" s="1539"/>
      <c r="BP3343" s="1539"/>
      <c r="BQ3343" s="1539"/>
      <c r="BR3343" s="1539"/>
      <c r="BS3343" s="1539"/>
      <c r="BT3343" s="1539"/>
      <c r="BU3343" s="1539"/>
      <c r="BV3343" s="1539"/>
      <c r="BW3343" s="1539"/>
      <c r="BX3343" s="1539"/>
      <c r="BY3343" s="1539"/>
      <c r="BZ3343" s="1539"/>
      <c r="CA3343" s="1539"/>
      <c r="CB3343" s="1539"/>
      <c r="CC3343" s="1539"/>
      <c r="CD3343" s="1539"/>
      <c r="CE3343" s="1539"/>
      <c r="CF3343" s="1539"/>
      <c r="CG3343" s="1539"/>
      <c r="CH3343" s="1539"/>
      <c r="CI3343" s="1539"/>
      <c r="CJ3343" s="1539"/>
      <c r="CK3343" s="1539"/>
      <c r="CL3343" s="1539"/>
      <c r="CM3343" s="1539"/>
      <c r="CN3343" s="1539"/>
      <c r="CO3343" s="1539"/>
    </row>
    <row r="3344" spans="1:93" s="1542" customFormat="1" ht="15.5">
      <c r="A3344" s="1598" t="s">
        <v>1762</v>
      </c>
      <c r="B3344" s="1599" t="s">
        <v>3288</v>
      </c>
      <c r="C3344" s="1643" t="e">
        <f>+SUMIF(#REF!,Final!A3344,#REF!)</f>
        <v>#REF!</v>
      </c>
      <c r="D3344" s="1597" t="e">
        <f>+SUMIF(#REF!,Final!A3344,#REF!)</f>
        <v>#REF!</v>
      </c>
      <c r="E3344" s="1643" t="e">
        <f>SUMIF(#REF!,Final!A3344,#REF!)</f>
        <v>#REF!</v>
      </c>
      <c r="F3344" s="1644" t="e">
        <f>SUMIF(#REF!,Final!A3344,#REF!)</f>
        <v>#REF!</v>
      </c>
      <c r="G3344" s="1597" t="e">
        <f t="shared" si="372"/>
        <v>#REF!</v>
      </c>
      <c r="H3344" s="1644" t="e">
        <f t="shared" si="373"/>
        <v>#REF!</v>
      </c>
      <c r="I3344" s="1597" t="e">
        <f t="shared" si="374"/>
        <v>#REF!</v>
      </c>
      <c r="J3344" s="1644" t="e">
        <f t="shared" si="375"/>
        <v>#REF!</v>
      </c>
      <c r="K3344" s="1539"/>
      <c r="L3344" s="1539"/>
      <c r="M3344" s="1545"/>
      <c r="N3344" s="1545"/>
      <c r="O3344" s="1539"/>
      <c r="P3344" s="1539"/>
      <c r="Q3344" s="1539"/>
      <c r="R3344" s="1539"/>
      <c r="S3344" s="1539"/>
      <c r="T3344" s="1539"/>
      <c r="U3344" s="1539"/>
      <c r="V3344" s="1539"/>
      <c r="W3344" s="1539"/>
      <c r="X3344" s="1539"/>
      <c r="Y3344" s="1539"/>
      <c r="Z3344" s="1539"/>
      <c r="AA3344" s="1539"/>
      <c r="AB3344" s="1539"/>
      <c r="AC3344" s="1539"/>
      <c r="AD3344" s="1539"/>
      <c r="AE3344" s="1539"/>
      <c r="AF3344" s="1539"/>
      <c r="AG3344" s="1539"/>
      <c r="AH3344" s="1539"/>
      <c r="AI3344" s="1539"/>
      <c r="AJ3344" s="1539"/>
      <c r="AK3344" s="1539"/>
      <c r="AL3344" s="1539"/>
      <c r="AM3344" s="1539"/>
      <c r="AN3344" s="1539"/>
      <c r="AO3344" s="1539"/>
      <c r="AP3344" s="1539"/>
      <c r="AQ3344" s="1539"/>
      <c r="AR3344" s="1539"/>
      <c r="AS3344" s="1539"/>
      <c r="AT3344" s="1539"/>
      <c r="AU3344" s="1539"/>
      <c r="AV3344" s="1539"/>
      <c r="AW3344" s="1539"/>
      <c r="AX3344" s="1539"/>
      <c r="AY3344" s="1539"/>
      <c r="AZ3344" s="1539"/>
      <c r="BA3344" s="1539"/>
      <c r="BB3344" s="1539"/>
      <c r="BC3344" s="1539"/>
      <c r="BD3344" s="1539"/>
      <c r="BE3344" s="1539"/>
      <c r="BF3344" s="1539"/>
      <c r="BG3344" s="1539"/>
      <c r="BH3344" s="1539"/>
      <c r="BI3344" s="1539"/>
      <c r="BJ3344" s="1539"/>
      <c r="BK3344" s="1539"/>
      <c r="BL3344" s="1539"/>
      <c r="BM3344" s="1539"/>
      <c r="BN3344" s="1539"/>
      <c r="BO3344" s="1539"/>
      <c r="BP3344" s="1539"/>
      <c r="BQ3344" s="1539"/>
      <c r="BR3344" s="1539"/>
      <c r="BS3344" s="1539"/>
      <c r="BT3344" s="1539"/>
      <c r="BU3344" s="1539"/>
      <c r="BV3344" s="1539"/>
      <c r="BW3344" s="1539"/>
      <c r="BX3344" s="1539"/>
      <c r="BY3344" s="1539"/>
      <c r="BZ3344" s="1539"/>
      <c r="CA3344" s="1539"/>
      <c r="CB3344" s="1539"/>
      <c r="CC3344" s="1539"/>
      <c r="CD3344" s="1539"/>
      <c r="CE3344" s="1539"/>
      <c r="CF3344" s="1539"/>
      <c r="CG3344" s="1539"/>
      <c r="CH3344" s="1539"/>
      <c r="CI3344" s="1539"/>
      <c r="CJ3344" s="1539"/>
      <c r="CK3344" s="1539"/>
      <c r="CL3344" s="1539"/>
      <c r="CM3344" s="1539"/>
      <c r="CN3344" s="1539"/>
      <c r="CO3344" s="1539"/>
    </row>
    <row r="3345" spans="1:93" ht="15.5">
      <c r="A3345" s="1598">
        <v>78.414000000000001</v>
      </c>
      <c r="B3345" s="1599" t="s">
        <v>3289</v>
      </c>
      <c r="C3345" s="1643" t="e">
        <f>+SUMIF(#REF!,Final!A3345,#REF!)</f>
        <v>#REF!</v>
      </c>
      <c r="D3345" s="1597" t="e">
        <f>+SUMIF(#REF!,Final!A3345,#REF!)</f>
        <v>#REF!</v>
      </c>
      <c r="E3345" s="1643" t="e">
        <f>SUMIF(#REF!,Final!A3345,#REF!)</f>
        <v>#REF!</v>
      </c>
      <c r="F3345" s="1644" t="e">
        <f>SUMIF(#REF!,Final!A3345,#REF!)</f>
        <v>#REF!</v>
      </c>
      <c r="G3345" s="1597" t="e">
        <f t="shared" si="372"/>
        <v>#REF!</v>
      </c>
      <c r="H3345" s="1644" t="e">
        <f t="shared" si="373"/>
        <v>#REF!</v>
      </c>
      <c r="I3345" s="1597" t="e">
        <f t="shared" si="374"/>
        <v>#REF!</v>
      </c>
      <c r="J3345" s="1644" t="e">
        <f t="shared" si="375"/>
        <v>#REF!</v>
      </c>
      <c r="M3345" s="1545"/>
      <c r="N3345" s="1545"/>
    </row>
    <row r="3346" spans="1:93" s="1552" customFormat="1" ht="15.5">
      <c r="A3346" s="1598"/>
      <c r="B3346" s="1599" t="s">
        <v>1747</v>
      </c>
      <c r="C3346" s="1643" t="e">
        <f>+SUMIF(#REF!,Final!A3346,#REF!)</f>
        <v>#REF!</v>
      </c>
      <c r="D3346" s="1597" t="e">
        <f>+SUMIF(#REF!,Final!A3346,#REF!)</f>
        <v>#REF!</v>
      </c>
      <c r="E3346" s="1643" t="e">
        <f>SUMIF(#REF!,Final!A3346,#REF!)</f>
        <v>#REF!</v>
      </c>
      <c r="F3346" s="1644" t="e">
        <f>SUMIF(#REF!,Final!A3346,#REF!)</f>
        <v>#REF!</v>
      </c>
      <c r="G3346" s="1597" t="e">
        <f t="shared" si="372"/>
        <v>#REF!</v>
      </c>
      <c r="H3346" s="1644" t="e">
        <f t="shared" si="373"/>
        <v>#REF!</v>
      </c>
      <c r="I3346" s="1597" t="e">
        <f t="shared" si="374"/>
        <v>#REF!</v>
      </c>
      <c r="J3346" s="1644" t="e">
        <f t="shared" si="375"/>
        <v>#REF!</v>
      </c>
      <c r="K3346" s="1539"/>
      <c r="L3346" s="1539"/>
      <c r="M3346" s="1545"/>
      <c r="N3346" s="1545"/>
      <c r="O3346" s="1539"/>
      <c r="P3346" s="1539"/>
      <c r="Q3346" s="1539"/>
      <c r="R3346" s="1539"/>
      <c r="S3346" s="1539"/>
      <c r="T3346" s="1539"/>
      <c r="U3346" s="1539"/>
      <c r="V3346" s="1539"/>
      <c r="W3346" s="1539"/>
      <c r="X3346" s="1539"/>
      <c r="Y3346" s="1539"/>
      <c r="Z3346" s="1539"/>
      <c r="AA3346" s="1539"/>
      <c r="AB3346" s="1539"/>
      <c r="AC3346" s="1539"/>
      <c r="AD3346" s="1539"/>
      <c r="AE3346" s="1539"/>
      <c r="AF3346" s="1539"/>
      <c r="AG3346" s="1539"/>
      <c r="AH3346" s="1539"/>
      <c r="AI3346" s="1539"/>
      <c r="AJ3346" s="1539"/>
      <c r="AK3346" s="1539"/>
      <c r="AL3346" s="1539"/>
      <c r="AM3346" s="1539"/>
      <c r="AN3346" s="1539"/>
      <c r="AO3346" s="1539"/>
      <c r="AP3346" s="1539"/>
      <c r="AQ3346" s="1539"/>
      <c r="AR3346" s="1539"/>
      <c r="AS3346" s="1539"/>
      <c r="AT3346" s="1539"/>
      <c r="AU3346" s="1539"/>
      <c r="AV3346" s="1539"/>
      <c r="AW3346" s="1539"/>
      <c r="AX3346" s="1539"/>
      <c r="AY3346" s="1539"/>
      <c r="AZ3346" s="1539"/>
      <c r="BA3346" s="1539"/>
      <c r="BB3346" s="1539"/>
      <c r="BC3346" s="1539"/>
      <c r="BD3346" s="1539"/>
      <c r="BE3346" s="1539"/>
      <c r="BF3346" s="1539"/>
      <c r="BG3346" s="1539"/>
      <c r="BH3346" s="1539"/>
      <c r="BI3346" s="1539"/>
      <c r="BJ3346" s="1539"/>
      <c r="BK3346" s="1539"/>
      <c r="BL3346" s="1539"/>
      <c r="BM3346" s="1539"/>
      <c r="BN3346" s="1539"/>
      <c r="BO3346" s="1539"/>
      <c r="BP3346" s="1539"/>
      <c r="BQ3346" s="1539"/>
      <c r="BR3346" s="1539"/>
      <c r="BS3346" s="1539"/>
      <c r="BT3346" s="1539"/>
      <c r="BU3346" s="1539"/>
      <c r="BV3346" s="1539"/>
      <c r="BW3346" s="1539"/>
      <c r="BX3346" s="1539"/>
      <c r="BY3346" s="1539"/>
      <c r="BZ3346" s="1539"/>
      <c r="CA3346" s="1539"/>
      <c r="CB3346" s="1539"/>
      <c r="CC3346" s="1539"/>
      <c r="CD3346" s="1539"/>
      <c r="CE3346" s="1539"/>
      <c r="CF3346" s="1539"/>
      <c r="CG3346" s="1539"/>
      <c r="CH3346" s="1539"/>
      <c r="CI3346" s="1539"/>
      <c r="CJ3346" s="1539"/>
      <c r="CK3346" s="1539"/>
      <c r="CL3346" s="1539"/>
      <c r="CM3346" s="1539"/>
      <c r="CN3346" s="1539"/>
      <c r="CO3346" s="1539"/>
    </row>
    <row r="3347" spans="1:93" s="1552" customFormat="1" ht="15.5">
      <c r="A3347" s="1598"/>
      <c r="B3347" s="1599" t="s">
        <v>1760</v>
      </c>
      <c r="C3347" s="1643" t="e">
        <f>+SUMIF(#REF!,Final!A3347,#REF!)</f>
        <v>#REF!</v>
      </c>
      <c r="D3347" s="1597" t="e">
        <f>+SUMIF(#REF!,Final!A3347,#REF!)</f>
        <v>#REF!</v>
      </c>
      <c r="E3347" s="1643" t="e">
        <f>SUMIF(#REF!,Final!A3347,#REF!)</f>
        <v>#REF!</v>
      </c>
      <c r="F3347" s="1644" t="e">
        <f>SUMIF(#REF!,Final!A3347,#REF!)</f>
        <v>#REF!</v>
      </c>
      <c r="G3347" s="1597" t="e">
        <f t="shared" si="372"/>
        <v>#REF!</v>
      </c>
      <c r="H3347" s="1644" t="e">
        <f t="shared" si="373"/>
        <v>#REF!</v>
      </c>
      <c r="I3347" s="1597" t="e">
        <f t="shared" si="374"/>
        <v>#REF!</v>
      </c>
      <c r="J3347" s="1644" t="e">
        <f t="shared" si="375"/>
        <v>#REF!</v>
      </c>
      <c r="K3347" s="1539"/>
      <c r="L3347" s="1539"/>
      <c r="M3347" s="1545"/>
      <c r="N3347" s="1545"/>
      <c r="O3347" s="1539"/>
      <c r="P3347" s="1539"/>
      <c r="Q3347" s="1539"/>
      <c r="R3347" s="1539"/>
      <c r="S3347" s="1539"/>
      <c r="T3347" s="1539"/>
      <c r="U3347" s="1539"/>
      <c r="V3347" s="1539"/>
      <c r="W3347" s="1539"/>
      <c r="X3347" s="1539"/>
      <c r="Y3347" s="1539"/>
      <c r="Z3347" s="1539"/>
      <c r="AA3347" s="1539"/>
      <c r="AB3347" s="1539"/>
      <c r="AC3347" s="1539"/>
      <c r="AD3347" s="1539"/>
      <c r="AE3347" s="1539"/>
      <c r="AF3347" s="1539"/>
      <c r="AG3347" s="1539"/>
      <c r="AH3347" s="1539"/>
      <c r="AI3347" s="1539"/>
      <c r="AJ3347" s="1539"/>
      <c r="AK3347" s="1539"/>
      <c r="AL3347" s="1539"/>
      <c r="AM3347" s="1539"/>
      <c r="AN3347" s="1539"/>
      <c r="AO3347" s="1539"/>
      <c r="AP3347" s="1539"/>
      <c r="AQ3347" s="1539"/>
      <c r="AR3347" s="1539"/>
      <c r="AS3347" s="1539"/>
      <c r="AT3347" s="1539"/>
      <c r="AU3347" s="1539"/>
      <c r="AV3347" s="1539"/>
      <c r="AW3347" s="1539"/>
      <c r="AX3347" s="1539"/>
      <c r="AY3347" s="1539"/>
      <c r="AZ3347" s="1539"/>
      <c r="BA3347" s="1539"/>
      <c r="BB3347" s="1539"/>
      <c r="BC3347" s="1539"/>
      <c r="BD3347" s="1539"/>
      <c r="BE3347" s="1539"/>
      <c r="BF3347" s="1539"/>
      <c r="BG3347" s="1539"/>
      <c r="BH3347" s="1539"/>
      <c r="BI3347" s="1539"/>
      <c r="BJ3347" s="1539"/>
      <c r="BK3347" s="1539"/>
      <c r="BL3347" s="1539"/>
      <c r="BM3347" s="1539"/>
      <c r="BN3347" s="1539"/>
      <c r="BO3347" s="1539"/>
      <c r="BP3347" s="1539"/>
      <c r="BQ3347" s="1539"/>
      <c r="BR3347" s="1539"/>
      <c r="BS3347" s="1539"/>
      <c r="BT3347" s="1539"/>
      <c r="BU3347" s="1539"/>
      <c r="BV3347" s="1539"/>
      <c r="BW3347" s="1539"/>
      <c r="BX3347" s="1539"/>
      <c r="BY3347" s="1539"/>
      <c r="BZ3347" s="1539"/>
      <c r="CA3347" s="1539"/>
      <c r="CB3347" s="1539"/>
      <c r="CC3347" s="1539"/>
      <c r="CD3347" s="1539"/>
      <c r="CE3347" s="1539"/>
      <c r="CF3347" s="1539"/>
      <c r="CG3347" s="1539"/>
      <c r="CH3347" s="1539"/>
      <c r="CI3347" s="1539"/>
      <c r="CJ3347" s="1539"/>
      <c r="CK3347" s="1539"/>
      <c r="CL3347" s="1539"/>
      <c r="CM3347" s="1539"/>
      <c r="CN3347" s="1539"/>
      <c r="CO3347" s="1539"/>
    </row>
    <row r="3348" spans="1:93" s="1542" customFormat="1" ht="15.5">
      <c r="A3348" s="1598" t="s">
        <v>1818</v>
      </c>
      <c r="B3348" s="1599" t="s">
        <v>3290</v>
      </c>
      <c r="C3348" s="1643" t="e">
        <f>+SUMIF(#REF!,Final!A3348,#REF!)</f>
        <v>#REF!</v>
      </c>
      <c r="D3348" s="1597" t="e">
        <f>+SUMIF(#REF!,Final!A3348,#REF!)</f>
        <v>#REF!</v>
      </c>
      <c r="E3348" s="1643" t="e">
        <f>SUMIF(#REF!,Final!A3348,#REF!)</f>
        <v>#REF!</v>
      </c>
      <c r="F3348" s="1644" t="e">
        <f>SUMIF(#REF!,Final!A3348,#REF!)</f>
        <v>#REF!</v>
      </c>
      <c r="G3348" s="1597" t="e">
        <f t="shared" si="372"/>
        <v>#REF!</v>
      </c>
      <c r="H3348" s="1644" t="e">
        <f t="shared" si="373"/>
        <v>#REF!</v>
      </c>
      <c r="I3348" s="1597" t="e">
        <f t="shared" si="374"/>
        <v>#REF!</v>
      </c>
      <c r="J3348" s="1644" t="e">
        <f t="shared" si="375"/>
        <v>#REF!</v>
      </c>
      <c r="K3348" s="1539"/>
      <c r="L3348" s="1539"/>
      <c r="M3348" s="1545"/>
      <c r="N3348" s="1545"/>
      <c r="O3348" s="1539"/>
      <c r="P3348" s="1539"/>
      <c r="Q3348" s="1539"/>
      <c r="R3348" s="1539"/>
      <c r="S3348" s="1539"/>
      <c r="T3348" s="1539"/>
      <c r="U3348" s="1539"/>
      <c r="V3348" s="1539"/>
      <c r="W3348" s="1539"/>
      <c r="X3348" s="1539"/>
      <c r="Y3348" s="1539"/>
      <c r="Z3348" s="1539"/>
      <c r="AA3348" s="1539"/>
      <c r="AB3348" s="1539"/>
      <c r="AC3348" s="1539"/>
      <c r="AD3348" s="1539"/>
      <c r="AE3348" s="1539"/>
      <c r="AF3348" s="1539"/>
      <c r="AG3348" s="1539"/>
      <c r="AH3348" s="1539"/>
      <c r="AI3348" s="1539"/>
      <c r="AJ3348" s="1539"/>
      <c r="AK3348" s="1539"/>
      <c r="AL3348" s="1539"/>
      <c r="AM3348" s="1539"/>
      <c r="AN3348" s="1539"/>
      <c r="AO3348" s="1539"/>
      <c r="AP3348" s="1539"/>
      <c r="AQ3348" s="1539"/>
      <c r="AR3348" s="1539"/>
      <c r="AS3348" s="1539"/>
      <c r="AT3348" s="1539"/>
      <c r="AU3348" s="1539"/>
      <c r="AV3348" s="1539"/>
      <c r="AW3348" s="1539"/>
      <c r="AX3348" s="1539"/>
      <c r="AY3348" s="1539"/>
      <c r="AZ3348" s="1539"/>
      <c r="BA3348" s="1539"/>
      <c r="BB3348" s="1539"/>
      <c r="BC3348" s="1539"/>
      <c r="BD3348" s="1539"/>
      <c r="BE3348" s="1539"/>
      <c r="BF3348" s="1539"/>
      <c r="BG3348" s="1539"/>
      <c r="BH3348" s="1539"/>
      <c r="BI3348" s="1539"/>
      <c r="BJ3348" s="1539"/>
      <c r="BK3348" s="1539"/>
      <c r="BL3348" s="1539"/>
      <c r="BM3348" s="1539"/>
      <c r="BN3348" s="1539"/>
      <c r="BO3348" s="1539"/>
      <c r="BP3348" s="1539"/>
      <c r="BQ3348" s="1539"/>
      <c r="BR3348" s="1539"/>
      <c r="BS3348" s="1539"/>
      <c r="BT3348" s="1539"/>
      <c r="BU3348" s="1539"/>
      <c r="BV3348" s="1539"/>
      <c r="BW3348" s="1539"/>
      <c r="BX3348" s="1539"/>
      <c r="BY3348" s="1539"/>
      <c r="BZ3348" s="1539"/>
      <c r="CA3348" s="1539"/>
      <c r="CB3348" s="1539"/>
      <c r="CC3348" s="1539"/>
      <c r="CD3348" s="1539"/>
      <c r="CE3348" s="1539"/>
      <c r="CF3348" s="1539"/>
      <c r="CG3348" s="1539"/>
      <c r="CH3348" s="1539"/>
      <c r="CI3348" s="1539"/>
      <c r="CJ3348" s="1539"/>
      <c r="CK3348" s="1539"/>
      <c r="CL3348" s="1539"/>
      <c r="CM3348" s="1539"/>
      <c r="CN3348" s="1539"/>
      <c r="CO3348" s="1539"/>
    </row>
    <row r="3349" spans="1:93" ht="15.5">
      <c r="A3349" s="1598">
        <v>78.521000000000001</v>
      </c>
      <c r="B3349" s="1599" t="s">
        <v>3291</v>
      </c>
      <c r="C3349" s="1643" t="e">
        <f>+SUMIF(#REF!,Final!A3349,#REF!)</f>
        <v>#REF!</v>
      </c>
      <c r="D3349" s="1597" t="e">
        <f>+SUMIF(#REF!,Final!A3349,#REF!)</f>
        <v>#REF!</v>
      </c>
      <c r="E3349" s="1643" t="e">
        <f>SUMIF(#REF!,Final!A3349,#REF!)</f>
        <v>#REF!</v>
      </c>
      <c r="F3349" s="1644" t="e">
        <f>SUMIF(#REF!,Final!A3349,#REF!)</f>
        <v>#REF!</v>
      </c>
      <c r="G3349" s="1597" t="e">
        <f t="shared" si="372"/>
        <v>#REF!</v>
      </c>
      <c r="H3349" s="1644" t="e">
        <f t="shared" si="373"/>
        <v>#REF!</v>
      </c>
      <c r="I3349" s="1597" t="e">
        <f t="shared" si="374"/>
        <v>#REF!</v>
      </c>
      <c r="J3349" s="1644" t="e">
        <f t="shared" si="375"/>
        <v>#REF!</v>
      </c>
      <c r="M3349" s="1545"/>
      <c r="N3349" s="1545"/>
    </row>
    <row r="3350" spans="1:93" s="1552" customFormat="1" ht="15.5">
      <c r="A3350" s="1598"/>
      <c r="B3350" s="1599" t="s">
        <v>1747</v>
      </c>
      <c r="C3350" s="1643" t="e">
        <f>+SUMIF(#REF!,Final!A3350,#REF!)</f>
        <v>#REF!</v>
      </c>
      <c r="D3350" s="1597" t="e">
        <f>+SUMIF(#REF!,Final!A3350,#REF!)</f>
        <v>#REF!</v>
      </c>
      <c r="E3350" s="1643" t="e">
        <f>SUMIF(#REF!,Final!A3350,#REF!)</f>
        <v>#REF!</v>
      </c>
      <c r="F3350" s="1644" t="e">
        <f>SUMIF(#REF!,Final!A3350,#REF!)</f>
        <v>#REF!</v>
      </c>
      <c r="G3350" s="1597" t="e">
        <f t="shared" si="372"/>
        <v>#REF!</v>
      </c>
      <c r="H3350" s="1644" t="e">
        <f t="shared" si="373"/>
        <v>#REF!</v>
      </c>
      <c r="I3350" s="1597" t="e">
        <f t="shared" si="374"/>
        <v>#REF!</v>
      </c>
      <c r="J3350" s="1644" t="e">
        <f t="shared" si="375"/>
        <v>#REF!</v>
      </c>
      <c r="K3350" s="1539"/>
      <c r="L3350" s="1539"/>
      <c r="M3350" s="1545"/>
      <c r="N3350" s="1545"/>
      <c r="O3350" s="1539"/>
      <c r="P3350" s="1539"/>
      <c r="Q3350" s="1539"/>
      <c r="R3350" s="1539"/>
      <c r="S3350" s="1539"/>
      <c r="T3350" s="1539"/>
      <c r="U3350" s="1539"/>
      <c r="V3350" s="1539"/>
      <c r="W3350" s="1539"/>
      <c r="X3350" s="1539"/>
      <c r="Y3350" s="1539"/>
      <c r="Z3350" s="1539"/>
      <c r="AA3350" s="1539"/>
      <c r="AB3350" s="1539"/>
      <c r="AC3350" s="1539"/>
      <c r="AD3350" s="1539"/>
      <c r="AE3350" s="1539"/>
      <c r="AF3350" s="1539"/>
      <c r="AG3350" s="1539"/>
      <c r="AH3350" s="1539"/>
      <c r="AI3350" s="1539"/>
      <c r="AJ3350" s="1539"/>
      <c r="AK3350" s="1539"/>
      <c r="AL3350" s="1539"/>
      <c r="AM3350" s="1539"/>
      <c r="AN3350" s="1539"/>
      <c r="AO3350" s="1539"/>
      <c r="AP3350" s="1539"/>
      <c r="AQ3350" s="1539"/>
      <c r="AR3350" s="1539"/>
      <c r="AS3350" s="1539"/>
      <c r="AT3350" s="1539"/>
      <c r="AU3350" s="1539"/>
      <c r="AV3350" s="1539"/>
      <c r="AW3350" s="1539"/>
      <c r="AX3350" s="1539"/>
      <c r="AY3350" s="1539"/>
      <c r="AZ3350" s="1539"/>
      <c r="BA3350" s="1539"/>
      <c r="BB3350" s="1539"/>
      <c r="BC3350" s="1539"/>
      <c r="BD3350" s="1539"/>
      <c r="BE3350" s="1539"/>
      <c r="BF3350" s="1539"/>
      <c r="BG3350" s="1539"/>
      <c r="BH3350" s="1539"/>
      <c r="BI3350" s="1539"/>
      <c r="BJ3350" s="1539"/>
      <c r="BK3350" s="1539"/>
      <c r="BL3350" s="1539"/>
      <c r="BM3350" s="1539"/>
      <c r="BN3350" s="1539"/>
      <c r="BO3350" s="1539"/>
      <c r="BP3350" s="1539"/>
      <c r="BQ3350" s="1539"/>
      <c r="BR3350" s="1539"/>
      <c r="BS3350" s="1539"/>
      <c r="BT3350" s="1539"/>
      <c r="BU3350" s="1539"/>
      <c r="BV3350" s="1539"/>
      <c r="BW3350" s="1539"/>
      <c r="BX3350" s="1539"/>
      <c r="BY3350" s="1539"/>
      <c r="BZ3350" s="1539"/>
      <c r="CA3350" s="1539"/>
      <c r="CB3350" s="1539"/>
      <c r="CC3350" s="1539"/>
      <c r="CD3350" s="1539"/>
      <c r="CE3350" s="1539"/>
      <c r="CF3350" s="1539"/>
      <c r="CG3350" s="1539"/>
      <c r="CH3350" s="1539"/>
      <c r="CI3350" s="1539"/>
      <c r="CJ3350" s="1539"/>
      <c r="CK3350" s="1539"/>
      <c r="CL3350" s="1539"/>
      <c r="CM3350" s="1539"/>
      <c r="CN3350" s="1539"/>
      <c r="CO3350" s="1539"/>
    </row>
    <row r="3351" spans="1:93" s="1552" customFormat="1" ht="15.5">
      <c r="A3351" s="1598"/>
      <c r="B3351" s="1599" t="s">
        <v>1760</v>
      </c>
      <c r="C3351" s="1643" t="e">
        <f>+SUMIF(#REF!,Final!A3351,#REF!)</f>
        <v>#REF!</v>
      </c>
      <c r="D3351" s="1597" t="e">
        <f>+SUMIF(#REF!,Final!A3351,#REF!)</f>
        <v>#REF!</v>
      </c>
      <c r="E3351" s="1643" t="e">
        <f>SUMIF(#REF!,Final!A3351,#REF!)</f>
        <v>#REF!</v>
      </c>
      <c r="F3351" s="1644" t="e">
        <f>SUMIF(#REF!,Final!A3351,#REF!)</f>
        <v>#REF!</v>
      </c>
      <c r="G3351" s="1597" t="e">
        <f t="shared" si="372"/>
        <v>#REF!</v>
      </c>
      <c r="H3351" s="1644" t="e">
        <f t="shared" si="373"/>
        <v>#REF!</v>
      </c>
      <c r="I3351" s="1597" t="e">
        <f t="shared" si="374"/>
        <v>#REF!</v>
      </c>
      <c r="J3351" s="1644" t="e">
        <f t="shared" si="375"/>
        <v>#REF!</v>
      </c>
      <c r="K3351" s="1539"/>
      <c r="L3351" s="1539"/>
      <c r="M3351" s="1545"/>
      <c r="N3351" s="1545"/>
      <c r="O3351" s="1539"/>
      <c r="P3351" s="1539"/>
      <c r="Q3351" s="1539"/>
      <c r="R3351" s="1539"/>
      <c r="S3351" s="1539"/>
      <c r="T3351" s="1539"/>
      <c r="U3351" s="1539"/>
      <c r="V3351" s="1539"/>
      <c r="W3351" s="1539"/>
      <c r="X3351" s="1539"/>
      <c r="Y3351" s="1539"/>
      <c r="Z3351" s="1539"/>
      <c r="AA3351" s="1539"/>
      <c r="AB3351" s="1539"/>
      <c r="AC3351" s="1539"/>
      <c r="AD3351" s="1539"/>
      <c r="AE3351" s="1539"/>
      <c r="AF3351" s="1539"/>
      <c r="AG3351" s="1539"/>
      <c r="AH3351" s="1539"/>
      <c r="AI3351" s="1539"/>
      <c r="AJ3351" s="1539"/>
      <c r="AK3351" s="1539"/>
      <c r="AL3351" s="1539"/>
      <c r="AM3351" s="1539"/>
      <c r="AN3351" s="1539"/>
      <c r="AO3351" s="1539"/>
      <c r="AP3351" s="1539"/>
      <c r="AQ3351" s="1539"/>
      <c r="AR3351" s="1539"/>
      <c r="AS3351" s="1539"/>
      <c r="AT3351" s="1539"/>
      <c r="AU3351" s="1539"/>
      <c r="AV3351" s="1539"/>
      <c r="AW3351" s="1539"/>
      <c r="AX3351" s="1539"/>
      <c r="AY3351" s="1539"/>
      <c r="AZ3351" s="1539"/>
      <c r="BA3351" s="1539"/>
      <c r="BB3351" s="1539"/>
      <c r="BC3351" s="1539"/>
      <c r="BD3351" s="1539"/>
      <c r="BE3351" s="1539"/>
      <c r="BF3351" s="1539"/>
      <c r="BG3351" s="1539"/>
      <c r="BH3351" s="1539"/>
      <c r="BI3351" s="1539"/>
      <c r="BJ3351" s="1539"/>
      <c r="BK3351" s="1539"/>
      <c r="BL3351" s="1539"/>
      <c r="BM3351" s="1539"/>
      <c r="BN3351" s="1539"/>
      <c r="BO3351" s="1539"/>
      <c r="BP3351" s="1539"/>
      <c r="BQ3351" s="1539"/>
      <c r="BR3351" s="1539"/>
      <c r="BS3351" s="1539"/>
      <c r="BT3351" s="1539"/>
      <c r="BU3351" s="1539"/>
      <c r="BV3351" s="1539"/>
      <c r="BW3351" s="1539"/>
      <c r="BX3351" s="1539"/>
      <c r="BY3351" s="1539"/>
      <c r="BZ3351" s="1539"/>
      <c r="CA3351" s="1539"/>
      <c r="CB3351" s="1539"/>
      <c r="CC3351" s="1539"/>
      <c r="CD3351" s="1539"/>
      <c r="CE3351" s="1539"/>
      <c r="CF3351" s="1539"/>
      <c r="CG3351" s="1539"/>
      <c r="CH3351" s="1539"/>
      <c r="CI3351" s="1539"/>
      <c r="CJ3351" s="1539"/>
      <c r="CK3351" s="1539"/>
      <c r="CL3351" s="1539"/>
      <c r="CM3351" s="1539"/>
      <c r="CN3351" s="1539"/>
      <c r="CO3351" s="1539"/>
    </row>
    <row r="3352" spans="1:93" s="1542" customFormat="1" ht="15.5">
      <c r="A3352" s="1598" t="s">
        <v>1821</v>
      </c>
      <c r="B3352" s="1599" t="s">
        <v>3292</v>
      </c>
      <c r="C3352" s="1643" t="e">
        <f>+SUMIF(#REF!,Final!A3352,#REF!)</f>
        <v>#REF!</v>
      </c>
      <c r="D3352" s="1597" t="e">
        <f>+SUMIF(#REF!,Final!A3352,#REF!)</f>
        <v>#REF!</v>
      </c>
      <c r="E3352" s="1643" t="e">
        <f>SUMIF(#REF!,Final!A3352,#REF!)</f>
        <v>#REF!</v>
      </c>
      <c r="F3352" s="1644" t="e">
        <f>SUMIF(#REF!,Final!A3352,#REF!)</f>
        <v>#REF!</v>
      </c>
      <c r="G3352" s="1597" t="e">
        <f t="shared" si="372"/>
        <v>#REF!</v>
      </c>
      <c r="H3352" s="1644" t="e">
        <f t="shared" si="373"/>
        <v>#REF!</v>
      </c>
      <c r="I3352" s="1597" t="e">
        <f t="shared" si="374"/>
        <v>#REF!</v>
      </c>
      <c r="J3352" s="1644" t="e">
        <f t="shared" si="375"/>
        <v>#REF!</v>
      </c>
      <c r="K3352" s="1539"/>
      <c r="L3352" s="1539"/>
      <c r="M3352" s="1545"/>
      <c r="N3352" s="1545"/>
      <c r="O3352" s="1539"/>
      <c r="P3352" s="1539"/>
      <c r="Q3352" s="1539"/>
      <c r="R3352" s="1539"/>
      <c r="S3352" s="1539"/>
      <c r="T3352" s="1539"/>
      <c r="U3352" s="1539"/>
      <c r="V3352" s="1539"/>
      <c r="W3352" s="1539"/>
      <c r="X3352" s="1539"/>
      <c r="Y3352" s="1539"/>
      <c r="Z3352" s="1539"/>
      <c r="AA3352" s="1539"/>
      <c r="AB3352" s="1539"/>
      <c r="AC3352" s="1539"/>
      <c r="AD3352" s="1539"/>
      <c r="AE3352" s="1539"/>
      <c r="AF3352" s="1539"/>
      <c r="AG3352" s="1539"/>
      <c r="AH3352" s="1539"/>
      <c r="AI3352" s="1539"/>
      <c r="AJ3352" s="1539"/>
      <c r="AK3352" s="1539"/>
      <c r="AL3352" s="1539"/>
      <c r="AM3352" s="1539"/>
      <c r="AN3352" s="1539"/>
      <c r="AO3352" s="1539"/>
      <c r="AP3352" s="1539"/>
      <c r="AQ3352" s="1539"/>
      <c r="AR3352" s="1539"/>
      <c r="AS3352" s="1539"/>
      <c r="AT3352" s="1539"/>
      <c r="AU3352" s="1539"/>
      <c r="AV3352" s="1539"/>
      <c r="AW3352" s="1539"/>
      <c r="AX3352" s="1539"/>
      <c r="AY3352" s="1539"/>
      <c r="AZ3352" s="1539"/>
      <c r="BA3352" s="1539"/>
      <c r="BB3352" s="1539"/>
      <c r="BC3352" s="1539"/>
      <c r="BD3352" s="1539"/>
      <c r="BE3352" s="1539"/>
      <c r="BF3352" s="1539"/>
      <c r="BG3352" s="1539"/>
      <c r="BH3352" s="1539"/>
      <c r="BI3352" s="1539"/>
      <c r="BJ3352" s="1539"/>
      <c r="BK3352" s="1539"/>
      <c r="BL3352" s="1539"/>
      <c r="BM3352" s="1539"/>
      <c r="BN3352" s="1539"/>
      <c r="BO3352" s="1539"/>
      <c r="BP3352" s="1539"/>
      <c r="BQ3352" s="1539"/>
      <c r="BR3352" s="1539"/>
      <c r="BS3352" s="1539"/>
      <c r="BT3352" s="1539"/>
      <c r="BU3352" s="1539"/>
      <c r="BV3352" s="1539"/>
      <c r="BW3352" s="1539"/>
      <c r="BX3352" s="1539"/>
      <c r="BY3352" s="1539"/>
      <c r="BZ3352" s="1539"/>
      <c r="CA3352" s="1539"/>
      <c r="CB3352" s="1539"/>
      <c r="CC3352" s="1539"/>
      <c r="CD3352" s="1539"/>
      <c r="CE3352" s="1539"/>
      <c r="CF3352" s="1539"/>
      <c r="CG3352" s="1539"/>
      <c r="CH3352" s="1539"/>
      <c r="CI3352" s="1539"/>
      <c r="CJ3352" s="1539"/>
      <c r="CK3352" s="1539"/>
      <c r="CL3352" s="1539"/>
      <c r="CM3352" s="1539"/>
      <c r="CN3352" s="1539"/>
      <c r="CO3352" s="1539"/>
    </row>
    <row r="3353" spans="1:93" ht="15.5">
      <c r="A3353" s="1598">
        <v>78.522999999999996</v>
      </c>
      <c r="B3353" s="1599" t="s">
        <v>3293</v>
      </c>
      <c r="C3353" s="1643" t="e">
        <f>+SUMIF(#REF!,Final!A3353,#REF!)</f>
        <v>#REF!</v>
      </c>
      <c r="D3353" s="1597" t="e">
        <f>+SUMIF(#REF!,Final!A3353,#REF!)</f>
        <v>#REF!</v>
      </c>
      <c r="E3353" s="1643" t="e">
        <f>SUMIF(#REF!,Final!A3353,#REF!)</f>
        <v>#REF!</v>
      </c>
      <c r="F3353" s="1644" t="e">
        <f>SUMIF(#REF!,Final!A3353,#REF!)</f>
        <v>#REF!</v>
      </c>
      <c r="G3353" s="1597" t="e">
        <f t="shared" si="372"/>
        <v>#REF!</v>
      </c>
      <c r="H3353" s="1644" t="e">
        <f t="shared" si="373"/>
        <v>#REF!</v>
      </c>
      <c r="I3353" s="1597" t="e">
        <f t="shared" si="374"/>
        <v>#REF!</v>
      </c>
      <c r="J3353" s="1644" t="e">
        <f t="shared" si="375"/>
        <v>#REF!</v>
      </c>
      <c r="M3353" s="1545"/>
      <c r="N3353" s="1545"/>
    </row>
    <row r="3354" spans="1:93" s="1552" customFormat="1" ht="15.5">
      <c r="A3354" s="1598"/>
      <c r="B3354" s="1599" t="s">
        <v>1747</v>
      </c>
      <c r="C3354" s="1643" t="e">
        <f>+SUMIF(#REF!,Final!A3354,#REF!)</f>
        <v>#REF!</v>
      </c>
      <c r="D3354" s="1597" t="e">
        <f>+SUMIF(#REF!,Final!A3354,#REF!)</f>
        <v>#REF!</v>
      </c>
      <c r="E3354" s="1643" t="e">
        <f>SUMIF(#REF!,Final!A3354,#REF!)</f>
        <v>#REF!</v>
      </c>
      <c r="F3354" s="1644" t="e">
        <f>SUMIF(#REF!,Final!A3354,#REF!)</f>
        <v>#REF!</v>
      </c>
      <c r="G3354" s="1597" t="e">
        <f t="shared" si="372"/>
        <v>#REF!</v>
      </c>
      <c r="H3354" s="1644" t="e">
        <f t="shared" si="373"/>
        <v>#REF!</v>
      </c>
      <c r="I3354" s="1597" t="e">
        <f t="shared" si="374"/>
        <v>#REF!</v>
      </c>
      <c r="J3354" s="1644" t="e">
        <f t="shared" si="375"/>
        <v>#REF!</v>
      </c>
      <c r="K3354" s="1539"/>
      <c r="L3354" s="1539"/>
      <c r="M3354" s="1545"/>
      <c r="N3354" s="1545"/>
      <c r="O3354" s="1539"/>
      <c r="P3354" s="1539"/>
      <c r="Q3354" s="1539"/>
      <c r="R3354" s="1539"/>
      <c r="S3354" s="1539"/>
      <c r="T3354" s="1539"/>
      <c r="U3354" s="1539"/>
      <c r="V3354" s="1539"/>
      <c r="W3354" s="1539"/>
      <c r="X3354" s="1539"/>
      <c r="Y3354" s="1539"/>
      <c r="Z3354" s="1539"/>
      <c r="AA3354" s="1539"/>
      <c r="AB3354" s="1539"/>
      <c r="AC3354" s="1539"/>
      <c r="AD3354" s="1539"/>
      <c r="AE3354" s="1539"/>
      <c r="AF3354" s="1539"/>
      <c r="AG3354" s="1539"/>
      <c r="AH3354" s="1539"/>
      <c r="AI3354" s="1539"/>
      <c r="AJ3354" s="1539"/>
      <c r="AK3354" s="1539"/>
      <c r="AL3354" s="1539"/>
      <c r="AM3354" s="1539"/>
      <c r="AN3354" s="1539"/>
      <c r="AO3354" s="1539"/>
      <c r="AP3354" s="1539"/>
      <c r="AQ3354" s="1539"/>
      <c r="AR3354" s="1539"/>
      <c r="AS3354" s="1539"/>
      <c r="AT3354" s="1539"/>
      <c r="AU3354" s="1539"/>
      <c r="AV3354" s="1539"/>
      <c r="AW3354" s="1539"/>
      <c r="AX3354" s="1539"/>
      <c r="AY3354" s="1539"/>
      <c r="AZ3354" s="1539"/>
      <c r="BA3354" s="1539"/>
      <c r="BB3354" s="1539"/>
      <c r="BC3354" s="1539"/>
      <c r="BD3354" s="1539"/>
      <c r="BE3354" s="1539"/>
      <c r="BF3354" s="1539"/>
      <c r="BG3354" s="1539"/>
      <c r="BH3354" s="1539"/>
      <c r="BI3354" s="1539"/>
      <c r="BJ3354" s="1539"/>
      <c r="BK3354" s="1539"/>
      <c r="BL3354" s="1539"/>
      <c r="BM3354" s="1539"/>
      <c r="BN3354" s="1539"/>
      <c r="BO3354" s="1539"/>
      <c r="BP3354" s="1539"/>
      <c r="BQ3354" s="1539"/>
      <c r="BR3354" s="1539"/>
      <c r="BS3354" s="1539"/>
      <c r="BT3354" s="1539"/>
      <c r="BU3354" s="1539"/>
      <c r="BV3354" s="1539"/>
      <c r="BW3354" s="1539"/>
      <c r="BX3354" s="1539"/>
      <c r="BY3354" s="1539"/>
      <c r="BZ3354" s="1539"/>
      <c r="CA3354" s="1539"/>
      <c r="CB3354" s="1539"/>
      <c r="CC3354" s="1539"/>
      <c r="CD3354" s="1539"/>
      <c r="CE3354" s="1539"/>
      <c r="CF3354" s="1539"/>
      <c r="CG3354" s="1539"/>
      <c r="CH3354" s="1539"/>
      <c r="CI3354" s="1539"/>
      <c r="CJ3354" s="1539"/>
      <c r="CK3354" s="1539"/>
      <c r="CL3354" s="1539"/>
      <c r="CM3354" s="1539"/>
      <c r="CN3354" s="1539"/>
      <c r="CO3354" s="1539"/>
    </row>
    <row r="3355" spans="1:93" s="1552" customFormat="1" ht="15.5">
      <c r="A3355" s="1598"/>
      <c r="B3355" s="1599" t="s">
        <v>1760</v>
      </c>
      <c r="C3355" s="1643" t="e">
        <f>+SUMIF(#REF!,Final!A3355,#REF!)</f>
        <v>#REF!</v>
      </c>
      <c r="D3355" s="1597" t="e">
        <f>+SUMIF(#REF!,Final!A3355,#REF!)</f>
        <v>#REF!</v>
      </c>
      <c r="E3355" s="1643" t="e">
        <f>SUMIF(#REF!,Final!A3355,#REF!)</f>
        <v>#REF!</v>
      </c>
      <c r="F3355" s="1644" t="e">
        <f>SUMIF(#REF!,Final!A3355,#REF!)</f>
        <v>#REF!</v>
      </c>
      <c r="G3355" s="1597" t="e">
        <f t="shared" si="372"/>
        <v>#REF!</v>
      </c>
      <c r="H3355" s="1644" t="e">
        <f t="shared" si="373"/>
        <v>#REF!</v>
      </c>
      <c r="I3355" s="1597" t="e">
        <f t="shared" si="374"/>
        <v>#REF!</v>
      </c>
      <c r="J3355" s="1644" t="e">
        <f t="shared" si="375"/>
        <v>#REF!</v>
      </c>
      <c r="K3355" s="1539"/>
      <c r="L3355" s="1539"/>
      <c r="M3355" s="1545"/>
      <c r="N3355" s="1545"/>
      <c r="O3355" s="1539"/>
      <c r="P3355" s="1539"/>
      <c r="Q3355" s="1539"/>
      <c r="R3355" s="1539"/>
      <c r="S3355" s="1539"/>
      <c r="T3355" s="1539"/>
      <c r="U3355" s="1539"/>
      <c r="V3355" s="1539"/>
      <c r="W3355" s="1539"/>
      <c r="X3355" s="1539"/>
      <c r="Y3355" s="1539"/>
      <c r="Z3355" s="1539"/>
      <c r="AA3355" s="1539"/>
      <c r="AB3355" s="1539"/>
      <c r="AC3355" s="1539"/>
      <c r="AD3355" s="1539"/>
      <c r="AE3355" s="1539"/>
      <c r="AF3355" s="1539"/>
      <c r="AG3355" s="1539"/>
      <c r="AH3355" s="1539"/>
      <c r="AI3355" s="1539"/>
      <c r="AJ3355" s="1539"/>
      <c r="AK3355" s="1539"/>
      <c r="AL3355" s="1539"/>
      <c r="AM3355" s="1539"/>
      <c r="AN3355" s="1539"/>
      <c r="AO3355" s="1539"/>
      <c r="AP3355" s="1539"/>
      <c r="AQ3355" s="1539"/>
      <c r="AR3355" s="1539"/>
      <c r="AS3355" s="1539"/>
      <c r="AT3355" s="1539"/>
      <c r="AU3355" s="1539"/>
      <c r="AV3355" s="1539"/>
      <c r="AW3355" s="1539"/>
      <c r="AX3355" s="1539"/>
      <c r="AY3355" s="1539"/>
      <c r="AZ3355" s="1539"/>
      <c r="BA3355" s="1539"/>
      <c r="BB3355" s="1539"/>
      <c r="BC3355" s="1539"/>
      <c r="BD3355" s="1539"/>
      <c r="BE3355" s="1539"/>
      <c r="BF3355" s="1539"/>
      <c r="BG3355" s="1539"/>
      <c r="BH3355" s="1539"/>
      <c r="BI3355" s="1539"/>
      <c r="BJ3355" s="1539"/>
      <c r="BK3355" s="1539"/>
      <c r="BL3355" s="1539"/>
      <c r="BM3355" s="1539"/>
      <c r="BN3355" s="1539"/>
      <c r="BO3355" s="1539"/>
      <c r="BP3355" s="1539"/>
      <c r="BQ3355" s="1539"/>
      <c r="BR3355" s="1539"/>
      <c r="BS3355" s="1539"/>
      <c r="BT3355" s="1539"/>
      <c r="BU3355" s="1539"/>
      <c r="BV3355" s="1539"/>
      <c r="BW3355" s="1539"/>
      <c r="BX3355" s="1539"/>
      <c r="BY3355" s="1539"/>
      <c r="BZ3355" s="1539"/>
      <c r="CA3355" s="1539"/>
      <c r="CB3355" s="1539"/>
      <c r="CC3355" s="1539"/>
      <c r="CD3355" s="1539"/>
      <c r="CE3355" s="1539"/>
      <c r="CF3355" s="1539"/>
      <c r="CG3355" s="1539"/>
      <c r="CH3355" s="1539"/>
      <c r="CI3355" s="1539"/>
      <c r="CJ3355" s="1539"/>
      <c r="CK3355" s="1539"/>
      <c r="CL3355" s="1539"/>
      <c r="CM3355" s="1539"/>
      <c r="CN3355" s="1539"/>
      <c r="CO3355" s="1539"/>
    </row>
    <row r="3356" spans="1:93" ht="15.5">
      <c r="A3356" s="1598" t="s">
        <v>1821</v>
      </c>
      <c r="B3356" s="1599" t="s">
        <v>3294</v>
      </c>
      <c r="C3356" s="1643" t="e">
        <f>+SUMIF(#REF!,Final!A3356,#REF!)</f>
        <v>#REF!</v>
      </c>
      <c r="D3356" s="1597" t="e">
        <f>+SUMIF(#REF!,Final!A3356,#REF!)</f>
        <v>#REF!</v>
      </c>
      <c r="E3356" s="1643" t="e">
        <f>SUMIF(#REF!,Final!A3356,#REF!)</f>
        <v>#REF!</v>
      </c>
      <c r="F3356" s="1644" t="e">
        <f>SUMIF(#REF!,Final!A3356,#REF!)</f>
        <v>#REF!</v>
      </c>
      <c r="G3356" s="1597" t="e">
        <f t="shared" si="372"/>
        <v>#REF!</v>
      </c>
      <c r="H3356" s="1644" t="e">
        <f t="shared" si="373"/>
        <v>#REF!</v>
      </c>
      <c r="I3356" s="1597" t="e">
        <f t="shared" si="374"/>
        <v>#REF!</v>
      </c>
      <c r="J3356" s="1644" t="e">
        <f t="shared" si="375"/>
        <v>#REF!</v>
      </c>
      <c r="M3356" s="1545"/>
      <c r="N3356" s="1545"/>
    </row>
    <row r="3357" spans="1:93" ht="15.5">
      <c r="A3357" s="1598">
        <v>78.524000000000001</v>
      </c>
      <c r="B3357" s="1599" t="s">
        <v>3294</v>
      </c>
      <c r="C3357" s="1643" t="e">
        <f>+SUMIF(#REF!,Final!A3357,#REF!)</f>
        <v>#REF!</v>
      </c>
      <c r="D3357" s="1597" t="e">
        <f>+SUMIF(#REF!,Final!A3357,#REF!)</f>
        <v>#REF!</v>
      </c>
      <c r="E3357" s="1643" t="e">
        <f>SUMIF(#REF!,Final!A3357,#REF!)</f>
        <v>#REF!</v>
      </c>
      <c r="F3357" s="1644" t="e">
        <f>SUMIF(#REF!,Final!A3357,#REF!)</f>
        <v>#REF!</v>
      </c>
      <c r="G3357" s="1597" t="e">
        <f t="shared" si="372"/>
        <v>#REF!</v>
      </c>
      <c r="H3357" s="1644" t="e">
        <f t="shared" si="373"/>
        <v>#REF!</v>
      </c>
      <c r="I3357" s="1597" t="e">
        <f t="shared" si="374"/>
        <v>#REF!</v>
      </c>
      <c r="J3357" s="1644" t="e">
        <f t="shared" si="375"/>
        <v>#REF!</v>
      </c>
      <c r="M3357" s="1545"/>
      <c r="N3357" s="1545"/>
    </row>
    <row r="3358" spans="1:93" s="1552" customFormat="1" ht="15.5">
      <c r="A3358" s="1598"/>
      <c r="B3358" s="1599" t="s">
        <v>1747</v>
      </c>
      <c r="C3358" s="1643" t="e">
        <f>+SUMIF(#REF!,Final!A3358,#REF!)</f>
        <v>#REF!</v>
      </c>
      <c r="D3358" s="1597" t="e">
        <f>+SUMIF(#REF!,Final!A3358,#REF!)</f>
        <v>#REF!</v>
      </c>
      <c r="E3358" s="1643" t="e">
        <f>SUMIF(#REF!,Final!A3358,#REF!)</f>
        <v>#REF!</v>
      </c>
      <c r="F3358" s="1644" t="e">
        <f>SUMIF(#REF!,Final!A3358,#REF!)</f>
        <v>#REF!</v>
      </c>
      <c r="G3358" s="1597" t="e">
        <f t="shared" si="372"/>
        <v>#REF!</v>
      </c>
      <c r="H3358" s="1644" t="e">
        <f t="shared" si="373"/>
        <v>#REF!</v>
      </c>
      <c r="I3358" s="1597" t="e">
        <f t="shared" si="374"/>
        <v>#REF!</v>
      </c>
      <c r="J3358" s="1644" t="e">
        <f t="shared" si="375"/>
        <v>#REF!</v>
      </c>
      <c r="K3358" s="1539"/>
      <c r="L3358" s="1539"/>
      <c r="M3358" s="1545"/>
      <c r="N3358" s="1545"/>
      <c r="O3358" s="1539"/>
      <c r="P3358" s="1539"/>
      <c r="Q3358" s="1539"/>
      <c r="R3358" s="1539"/>
      <c r="S3358" s="1539"/>
      <c r="T3358" s="1539"/>
      <c r="U3358" s="1539"/>
      <c r="V3358" s="1539"/>
      <c r="W3358" s="1539"/>
      <c r="X3358" s="1539"/>
      <c r="Y3358" s="1539"/>
      <c r="Z3358" s="1539"/>
      <c r="AA3358" s="1539"/>
      <c r="AB3358" s="1539"/>
      <c r="AC3358" s="1539"/>
      <c r="AD3358" s="1539"/>
      <c r="AE3358" s="1539"/>
      <c r="AF3358" s="1539"/>
      <c r="AG3358" s="1539"/>
      <c r="AH3358" s="1539"/>
      <c r="AI3358" s="1539"/>
      <c r="AJ3358" s="1539"/>
      <c r="AK3358" s="1539"/>
      <c r="AL3358" s="1539"/>
      <c r="AM3358" s="1539"/>
      <c r="AN3358" s="1539"/>
      <c r="AO3358" s="1539"/>
      <c r="AP3358" s="1539"/>
      <c r="AQ3358" s="1539"/>
      <c r="AR3358" s="1539"/>
      <c r="AS3358" s="1539"/>
      <c r="AT3358" s="1539"/>
      <c r="AU3358" s="1539"/>
      <c r="AV3358" s="1539"/>
      <c r="AW3358" s="1539"/>
      <c r="AX3358" s="1539"/>
      <c r="AY3358" s="1539"/>
      <c r="AZ3358" s="1539"/>
      <c r="BA3358" s="1539"/>
      <c r="BB3358" s="1539"/>
      <c r="BC3358" s="1539"/>
      <c r="BD3358" s="1539"/>
      <c r="BE3358" s="1539"/>
      <c r="BF3358" s="1539"/>
      <c r="BG3358" s="1539"/>
      <c r="BH3358" s="1539"/>
      <c r="BI3358" s="1539"/>
      <c r="BJ3358" s="1539"/>
      <c r="BK3358" s="1539"/>
      <c r="BL3358" s="1539"/>
      <c r="BM3358" s="1539"/>
      <c r="BN3358" s="1539"/>
      <c r="BO3358" s="1539"/>
      <c r="BP3358" s="1539"/>
      <c r="BQ3358" s="1539"/>
      <c r="BR3358" s="1539"/>
      <c r="BS3358" s="1539"/>
      <c r="BT3358" s="1539"/>
      <c r="BU3358" s="1539"/>
      <c r="BV3358" s="1539"/>
      <c r="BW3358" s="1539"/>
      <c r="BX3358" s="1539"/>
      <c r="BY3358" s="1539"/>
      <c r="BZ3358" s="1539"/>
      <c r="CA3358" s="1539"/>
      <c r="CB3358" s="1539"/>
      <c r="CC3358" s="1539"/>
      <c r="CD3358" s="1539"/>
      <c r="CE3358" s="1539"/>
      <c r="CF3358" s="1539"/>
      <c r="CG3358" s="1539"/>
      <c r="CH3358" s="1539"/>
      <c r="CI3358" s="1539"/>
      <c r="CJ3358" s="1539"/>
      <c r="CK3358" s="1539"/>
      <c r="CL3358" s="1539"/>
      <c r="CM3358" s="1539"/>
      <c r="CN3358" s="1539"/>
      <c r="CO3358" s="1539"/>
    </row>
    <row r="3359" spans="1:93" s="1552" customFormat="1" ht="15.5">
      <c r="A3359" s="1598"/>
      <c r="B3359" s="1599" t="s">
        <v>1760</v>
      </c>
      <c r="C3359" s="1643" t="e">
        <f>+SUMIF(#REF!,Final!A3359,#REF!)</f>
        <v>#REF!</v>
      </c>
      <c r="D3359" s="1597" t="e">
        <f>+SUMIF(#REF!,Final!A3359,#REF!)</f>
        <v>#REF!</v>
      </c>
      <c r="E3359" s="1643" t="e">
        <f>SUMIF(#REF!,Final!A3359,#REF!)</f>
        <v>#REF!</v>
      </c>
      <c r="F3359" s="1644" t="e">
        <f>SUMIF(#REF!,Final!A3359,#REF!)</f>
        <v>#REF!</v>
      </c>
      <c r="G3359" s="1597" t="e">
        <f t="shared" si="372"/>
        <v>#REF!</v>
      </c>
      <c r="H3359" s="1644" t="e">
        <f t="shared" si="373"/>
        <v>#REF!</v>
      </c>
      <c r="I3359" s="1597" t="e">
        <f t="shared" si="374"/>
        <v>#REF!</v>
      </c>
      <c r="J3359" s="1644" t="e">
        <f t="shared" si="375"/>
        <v>#REF!</v>
      </c>
      <c r="K3359" s="1539"/>
      <c r="L3359" s="1539"/>
      <c r="M3359" s="1545"/>
      <c r="N3359" s="1545"/>
      <c r="O3359" s="1539"/>
      <c r="P3359" s="1539"/>
      <c r="Q3359" s="1539"/>
      <c r="R3359" s="1539"/>
      <c r="S3359" s="1539"/>
      <c r="T3359" s="1539"/>
      <c r="U3359" s="1539"/>
      <c r="V3359" s="1539"/>
      <c r="W3359" s="1539"/>
      <c r="X3359" s="1539"/>
      <c r="Y3359" s="1539"/>
      <c r="Z3359" s="1539"/>
      <c r="AA3359" s="1539"/>
      <c r="AB3359" s="1539"/>
      <c r="AC3359" s="1539"/>
      <c r="AD3359" s="1539"/>
      <c r="AE3359" s="1539"/>
      <c r="AF3359" s="1539"/>
      <c r="AG3359" s="1539"/>
      <c r="AH3359" s="1539"/>
      <c r="AI3359" s="1539"/>
      <c r="AJ3359" s="1539"/>
      <c r="AK3359" s="1539"/>
      <c r="AL3359" s="1539"/>
      <c r="AM3359" s="1539"/>
      <c r="AN3359" s="1539"/>
      <c r="AO3359" s="1539"/>
      <c r="AP3359" s="1539"/>
      <c r="AQ3359" s="1539"/>
      <c r="AR3359" s="1539"/>
      <c r="AS3359" s="1539"/>
      <c r="AT3359" s="1539"/>
      <c r="AU3359" s="1539"/>
      <c r="AV3359" s="1539"/>
      <c r="AW3359" s="1539"/>
      <c r="AX3359" s="1539"/>
      <c r="AY3359" s="1539"/>
      <c r="AZ3359" s="1539"/>
      <c r="BA3359" s="1539"/>
      <c r="BB3359" s="1539"/>
      <c r="BC3359" s="1539"/>
      <c r="BD3359" s="1539"/>
      <c r="BE3359" s="1539"/>
      <c r="BF3359" s="1539"/>
      <c r="BG3359" s="1539"/>
      <c r="BH3359" s="1539"/>
      <c r="BI3359" s="1539"/>
      <c r="BJ3359" s="1539"/>
      <c r="BK3359" s="1539"/>
      <c r="BL3359" s="1539"/>
      <c r="BM3359" s="1539"/>
      <c r="BN3359" s="1539"/>
      <c r="BO3359" s="1539"/>
      <c r="BP3359" s="1539"/>
      <c r="BQ3359" s="1539"/>
      <c r="BR3359" s="1539"/>
      <c r="BS3359" s="1539"/>
      <c r="BT3359" s="1539"/>
      <c r="BU3359" s="1539"/>
      <c r="BV3359" s="1539"/>
      <c r="BW3359" s="1539"/>
      <c r="BX3359" s="1539"/>
      <c r="BY3359" s="1539"/>
      <c r="BZ3359" s="1539"/>
      <c r="CA3359" s="1539"/>
      <c r="CB3359" s="1539"/>
      <c r="CC3359" s="1539"/>
      <c r="CD3359" s="1539"/>
      <c r="CE3359" s="1539"/>
      <c r="CF3359" s="1539"/>
      <c r="CG3359" s="1539"/>
      <c r="CH3359" s="1539"/>
      <c r="CI3359" s="1539"/>
      <c r="CJ3359" s="1539"/>
      <c r="CK3359" s="1539"/>
      <c r="CL3359" s="1539"/>
      <c r="CM3359" s="1539"/>
      <c r="CN3359" s="1539"/>
      <c r="CO3359" s="1539"/>
    </row>
    <row r="3360" spans="1:93" s="1542" customFormat="1" ht="15.5">
      <c r="A3360" s="1598">
        <v>38</v>
      </c>
      <c r="B3360" s="1599" t="s">
        <v>3283</v>
      </c>
      <c r="C3360" s="1643" t="e">
        <f>+SUMIF(#REF!,Final!A3360,#REF!)</f>
        <v>#REF!</v>
      </c>
      <c r="D3360" s="1597" t="e">
        <f>+SUMIF(#REF!,Final!A3360,#REF!)</f>
        <v>#REF!</v>
      </c>
      <c r="E3360" s="1643" t="e">
        <f>SUMIF(#REF!,Final!A3360,#REF!)</f>
        <v>#REF!</v>
      </c>
      <c r="F3360" s="1644" t="e">
        <f>SUMIF(#REF!,Final!A3360,#REF!)</f>
        <v>#REF!</v>
      </c>
      <c r="G3360" s="1597" t="e">
        <f t="shared" si="372"/>
        <v>#REF!</v>
      </c>
      <c r="H3360" s="1644" t="e">
        <f t="shared" si="373"/>
        <v>#REF!</v>
      </c>
      <c r="I3360" s="1597" t="e">
        <f t="shared" si="374"/>
        <v>#REF!</v>
      </c>
      <c r="J3360" s="1644" t="e">
        <f t="shared" si="375"/>
        <v>#REF!</v>
      </c>
      <c r="K3360" s="1539"/>
      <c r="L3360" s="1539"/>
      <c r="M3360" s="1545"/>
      <c r="N3360" s="1545"/>
      <c r="O3360" s="1539"/>
      <c r="P3360" s="1539"/>
      <c r="Q3360" s="1539"/>
      <c r="R3360" s="1539"/>
      <c r="S3360" s="1539"/>
      <c r="T3360" s="1539"/>
      <c r="U3360" s="1539"/>
      <c r="V3360" s="1539"/>
      <c r="W3360" s="1539"/>
      <c r="X3360" s="1539"/>
      <c r="Y3360" s="1539"/>
      <c r="Z3360" s="1539"/>
      <c r="AA3360" s="1539"/>
      <c r="AB3360" s="1539"/>
      <c r="AC3360" s="1539"/>
      <c r="AD3360" s="1539"/>
      <c r="AE3360" s="1539"/>
      <c r="AF3360" s="1539"/>
      <c r="AG3360" s="1539"/>
      <c r="AH3360" s="1539"/>
      <c r="AI3360" s="1539"/>
      <c r="AJ3360" s="1539"/>
      <c r="AK3360" s="1539"/>
      <c r="AL3360" s="1539"/>
      <c r="AM3360" s="1539"/>
      <c r="AN3360" s="1539"/>
      <c r="AO3360" s="1539"/>
      <c r="AP3360" s="1539"/>
      <c r="AQ3360" s="1539"/>
      <c r="AR3360" s="1539"/>
      <c r="AS3360" s="1539"/>
      <c r="AT3360" s="1539"/>
      <c r="AU3360" s="1539"/>
      <c r="AV3360" s="1539"/>
      <c r="AW3360" s="1539"/>
      <c r="AX3360" s="1539"/>
      <c r="AY3360" s="1539"/>
      <c r="AZ3360" s="1539"/>
      <c r="BA3360" s="1539"/>
      <c r="BB3360" s="1539"/>
      <c r="BC3360" s="1539"/>
      <c r="BD3360" s="1539"/>
      <c r="BE3360" s="1539"/>
      <c r="BF3360" s="1539"/>
      <c r="BG3360" s="1539"/>
      <c r="BH3360" s="1539"/>
      <c r="BI3360" s="1539"/>
      <c r="BJ3360" s="1539"/>
      <c r="BK3360" s="1539"/>
      <c r="BL3360" s="1539"/>
      <c r="BM3360" s="1539"/>
      <c r="BN3360" s="1539"/>
      <c r="BO3360" s="1539"/>
      <c r="BP3360" s="1539"/>
      <c r="BQ3360" s="1539"/>
      <c r="BR3360" s="1539"/>
      <c r="BS3360" s="1539"/>
      <c r="BT3360" s="1539"/>
      <c r="BU3360" s="1539"/>
      <c r="BV3360" s="1539"/>
      <c r="BW3360" s="1539"/>
      <c r="BX3360" s="1539"/>
      <c r="BY3360" s="1539"/>
      <c r="BZ3360" s="1539"/>
      <c r="CA3360" s="1539"/>
      <c r="CB3360" s="1539"/>
      <c r="CC3360" s="1539"/>
      <c r="CD3360" s="1539"/>
      <c r="CE3360" s="1539"/>
      <c r="CF3360" s="1539"/>
      <c r="CG3360" s="1539"/>
      <c r="CH3360" s="1539"/>
      <c r="CI3360" s="1539"/>
      <c r="CJ3360" s="1539"/>
      <c r="CK3360" s="1539"/>
      <c r="CL3360" s="1539"/>
      <c r="CM3360" s="1539"/>
      <c r="CN3360" s="1539"/>
      <c r="CO3360" s="1539"/>
    </row>
    <row r="3361" spans="1:93" s="1542" customFormat="1" ht="15.5">
      <c r="A3361" s="1598" t="s">
        <v>543</v>
      </c>
      <c r="B3361" s="1599" t="s">
        <v>3295</v>
      </c>
      <c r="C3361" s="1643" t="e">
        <f>+SUMIF(#REF!,Final!A3361,#REF!)</f>
        <v>#REF!</v>
      </c>
      <c r="D3361" s="1597" t="e">
        <f>+SUMIF(#REF!,Final!A3361,#REF!)</f>
        <v>#REF!</v>
      </c>
      <c r="E3361" s="1643" t="e">
        <f>SUMIF(#REF!,Final!A3361,#REF!)</f>
        <v>#REF!</v>
      </c>
      <c r="F3361" s="1644" t="e">
        <f>SUMIF(#REF!,Final!A3361,#REF!)</f>
        <v>#REF!</v>
      </c>
      <c r="G3361" s="1597" t="e">
        <f t="shared" si="372"/>
        <v>#REF!</v>
      </c>
      <c r="H3361" s="1644" t="e">
        <f t="shared" si="373"/>
        <v>#REF!</v>
      </c>
      <c r="I3361" s="1597" t="e">
        <f t="shared" si="374"/>
        <v>#REF!</v>
      </c>
      <c r="J3361" s="1644" t="e">
        <f t="shared" si="375"/>
        <v>#REF!</v>
      </c>
      <c r="K3361" s="1539"/>
      <c r="L3361" s="1539"/>
      <c r="M3361" s="1545"/>
      <c r="N3361" s="1545"/>
      <c r="O3361" s="1539"/>
      <c r="P3361" s="1539"/>
      <c r="Q3361" s="1539"/>
      <c r="R3361" s="1539"/>
      <c r="S3361" s="1539"/>
      <c r="T3361" s="1539"/>
      <c r="U3361" s="1539"/>
      <c r="V3361" s="1539"/>
      <c r="W3361" s="1539"/>
      <c r="X3361" s="1539"/>
      <c r="Y3361" s="1539"/>
      <c r="Z3361" s="1539"/>
      <c r="AA3361" s="1539"/>
      <c r="AB3361" s="1539"/>
      <c r="AC3361" s="1539"/>
      <c r="AD3361" s="1539"/>
      <c r="AE3361" s="1539"/>
      <c r="AF3361" s="1539"/>
      <c r="AG3361" s="1539"/>
      <c r="AH3361" s="1539"/>
      <c r="AI3361" s="1539"/>
      <c r="AJ3361" s="1539"/>
      <c r="AK3361" s="1539"/>
      <c r="AL3361" s="1539"/>
      <c r="AM3361" s="1539"/>
      <c r="AN3361" s="1539"/>
      <c r="AO3361" s="1539"/>
      <c r="AP3361" s="1539"/>
      <c r="AQ3361" s="1539"/>
      <c r="AR3361" s="1539"/>
      <c r="AS3361" s="1539"/>
      <c r="AT3361" s="1539"/>
      <c r="AU3361" s="1539"/>
      <c r="AV3361" s="1539"/>
      <c r="AW3361" s="1539"/>
      <c r="AX3361" s="1539"/>
      <c r="AY3361" s="1539"/>
      <c r="AZ3361" s="1539"/>
      <c r="BA3361" s="1539"/>
      <c r="BB3361" s="1539"/>
      <c r="BC3361" s="1539"/>
      <c r="BD3361" s="1539"/>
      <c r="BE3361" s="1539"/>
      <c r="BF3361" s="1539"/>
      <c r="BG3361" s="1539"/>
      <c r="BH3361" s="1539"/>
      <c r="BI3361" s="1539"/>
      <c r="BJ3361" s="1539"/>
      <c r="BK3361" s="1539"/>
      <c r="BL3361" s="1539"/>
      <c r="BM3361" s="1539"/>
      <c r="BN3361" s="1539"/>
      <c r="BO3361" s="1539"/>
      <c r="BP3361" s="1539"/>
      <c r="BQ3361" s="1539"/>
      <c r="BR3361" s="1539"/>
      <c r="BS3361" s="1539"/>
      <c r="BT3361" s="1539"/>
      <c r="BU3361" s="1539"/>
      <c r="BV3361" s="1539"/>
      <c r="BW3361" s="1539"/>
      <c r="BX3361" s="1539"/>
      <c r="BY3361" s="1539"/>
      <c r="BZ3361" s="1539"/>
      <c r="CA3361" s="1539"/>
      <c r="CB3361" s="1539"/>
      <c r="CC3361" s="1539"/>
      <c r="CD3361" s="1539"/>
      <c r="CE3361" s="1539"/>
      <c r="CF3361" s="1539"/>
      <c r="CG3361" s="1539"/>
      <c r="CH3361" s="1539"/>
      <c r="CI3361" s="1539"/>
      <c r="CJ3361" s="1539"/>
      <c r="CK3361" s="1539"/>
      <c r="CL3361" s="1539"/>
      <c r="CM3361" s="1539"/>
      <c r="CN3361" s="1539"/>
      <c r="CO3361" s="1539"/>
    </row>
    <row r="3362" spans="1:93" ht="15.5">
      <c r="A3362" s="1598">
        <v>78.527000000000001</v>
      </c>
      <c r="B3362" s="1599" t="s">
        <v>3296</v>
      </c>
      <c r="C3362" s="1643" t="e">
        <f>+SUMIF(#REF!,Final!A3362,#REF!)</f>
        <v>#REF!</v>
      </c>
      <c r="D3362" s="1597" t="e">
        <f>+SUMIF(#REF!,Final!A3362,#REF!)</f>
        <v>#REF!</v>
      </c>
      <c r="E3362" s="1643" t="e">
        <f>SUMIF(#REF!,Final!A3362,#REF!)</f>
        <v>#REF!</v>
      </c>
      <c r="F3362" s="1644" t="e">
        <f>SUMIF(#REF!,Final!A3362,#REF!)</f>
        <v>#REF!</v>
      </c>
      <c r="G3362" s="1597" t="e">
        <f t="shared" si="372"/>
        <v>#REF!</v>
      </c>
      <c r="H3362" s="1644" t="e">
        <f t="shared" si="373"/>
        <v>#REF!</v>
      </c>
      <c r="I3362" s="1597" t="e">
        <f t="shared" si="374"/>
        <v>#REF!</v>
      </c>
      <c r="J3362" s="1644" t="e">
        <f t="shared" si="375"/>
        <v>#REF!</v>
      </c>
      <c r="M3362" s="1545"/>
      <c r="N3362" s="1545"/>
    </row>
    <row r="3363" spans="1:93" ht="15.5">
      <c r="A3363" s="1598">
        <v>78.531000000000006</v>
      </c>
      <c r="B3363" s="1599" t="s">
        <v>3297</v>
      </c>
      <c r="C3363" s="1643" t="e">
        <f>+SUMIF(#REF!,Final!A3363,#REF!)</f>
        <v>#REF!</v>
      </c>
      <c r="D3363" s="1597" t="e">
        <f>+SUMIF(#REF!,Final!A3363,#REF!)</f>
        <v>#REF!</v>
      </c>
      <c r="E3363" s="1643" t="e">
        <f>SUMIF(#REF!,Final!A3363,#REF!)</f>
        <v>#REF!</v>
      </c>
      <c r="F3363" s="1644" t="e">
        <f>SUMIF(#REF!,Final!A3363,#REF!)</f>
        <v>#REF!</v>
      </c>
      <c r="G3363" s="1597" t="e">
        <f t="shared" si="372"/>
        <v>#REF!</v>
      </c>
      <c r="H3363" s="1644" t="e">
        <f t="shared" si="373"/>
        <v>#REF!</v>
      </c>
      <c r="I3363" s="1597" t="e">
        <f t="shared" si="374"/>
        <v>#REF!</v>
      </c>
      <c r="J3363" s="1644" t="e">
        <f t="shared" si="375"/>
        <v>#REF!</v>
      </c>
      <c r="M3363" s="1545"/>
      <c r="N3363" s="1545"/>
    </row>
    <row r="3364" spans="1:93" s="1552" customFormat="1" ht="15.5">
      <c r="A3364" s="1598"/>
      <c r="B3364" s="1599" t="s">
        <v>1747</v>
      </c>
      <c r="C3364" s="1643" t="e">
        <f>+SUMIF(#REF!,Final!A3364,#REF!)</f>
        <v>#REF!</v>
      </c>
      <c r="D3364" s="1597" t="e">
        <f>+SUMIF(#REF!,Final!A3364,#REF!)</f>
        <v>#REF!</v>
      </c>
      <c r="E3364" s="1643" t="e">
        <f>SUMIF(#REF!,Final!A3364,#REF!)</f>
        <v>#REF!</v>
      </c>
      <c r="F3364" s="1644" t="e">
        <f>SUMIF(#REF!,Final!A3364,#REF!)</f>
        <v>#REF!</v>
      </c>
      <c r="G3364" s="1597" t="e">
        <f t="shared" si="372"/>
        <v>#REF!</v>
      </c>
      <c r="H3364" s="1644" t="e">
        <f t="shared" si="373"/>
        <v>#REF!</v>
      </c>
      <c r="I3364" s="1597" t="e">
        <f t="shared" si="374"/>
        <v>#REF!</v>
      </c>
      <c r="J3364" s="1644" t="e">
        <f t="shared" si="375"/>
        <v>#REF!</v>
      </c>
      <c r="K3364" s="1539"/>
      <c r="L3364" s="1539"/>
      <c r="M3364" s="1545"/>
      <c r="N3364" s="1545"/>
      <c r="O3364" s="1539"/>
      <c r="P3364" s="1539"/>
      <c r="Q3364" s="1539"/>
      <c r="R3364" s="1539"/>
      <c r="S3364" s="1539"/>
      <c r="T3364" s="1539"/>
      <c r="U3364" s="1539"/>
      <c r="V3364" s="1539"/>
      <c r="W3364" s="1539"/>
      <c r="X3364" s="1539"/>
      <c r="Y3364" s="1539"/>
      <c r="Z3364" s="1539"/>
      <c r="AA3364" s="1539"/>
      <c r="AB3364" s="1539"/>
      <c r="AC3364" s="1539"/>
      <c r="AD3364" s="1539"/>
      <c r="AE3364" s="1539"/>
      <c r="AF3364" s="1539"/>
      <c r="AG3364" s="1539"/>
      <c r="AH3364" s="1539"/>
      <c r="AI3364" s="1539"/>
      <c r="AJ3364" s="1539"/>
      <c r="AK3364" s="1539"/>
      <c r="AL3364" s="1539"/>
      <c r="AM3364" s="1539"/>
      <c r="AN3364" s="1539"/>
      <c r="AO3364" s="1539"/>
      <c r="AP3364" s="1539"/>
      <c r="AQ3364" s="1539"/>
      <c r="AR3364" s="1539"/>
      <c r="AS3364" s="1539"/>
      <c r="AT3364" s="1539"/>
      <c r="AU3364" s="1539"/>
      <c r="AV3364" s="1539"/>
      <c r="AW3364" s="1539"/>
      <c r="AX3364" s="1539"/>
      <c r="AY3364" s="1539"/>
      <c r="AZ3364" s="1539"/>
      <c r="BA3364" s="1539"/>
      <c r="BB3364" s="1539"/>
      <c r="BC3364" s="1539"/>
      <c r="BD3364" s="1539"/>
      <c r="BE3364" s="1539"/>
      <c r="BF3364" s="1539"/>
      <c r="BG3364" s="1539"/>
      <c r="BH3364" s="1539"/>
      <c r="BI3364" s="1539"/>
      <c r="BJ3364" s="1539"/>
      <c r="BK3364" s="1539"/>
      <c r="BL3364" s="1539"/>
      <c r="BM3364" s="1539"/>
      <c r="BN3364" s="1539"/>
      <c r="BO3364" s="1539"/>
      <c r="BP3364" s="1539"/>
      <c r="BQ3364" s="1539"/>
      <c r="BR3364" s="1539"/>
      <c r="BS3364" s="1539"/>
      <c r="BT3364" s="1539"/>
      <c r="BU3364" s="1539"/>
      <c r="BV3364" s="1539"/>
      <c r="BW3364" s="1539"/>
      <c r="BX3364" s="1539"/>
      <c r="BY3364" s="1539"/>
      <c r="BZ3364" s="1539"/>
      <c r="CA3364" s="1539"/>
      <c r="CB3364" s="1539"/>
      <c r="CC3364" s="1539"/>
      <c r="CD3364" s="1539"/>
      <c r="CE3364" s="1539"/>
      <c r="CF3364" s="1539"/>
      <c r="CG3364" s="1539"/>
      <c r="CH3364" s="1539"/>
      <c r="CI3364" s="1539"/>
      <c r="CJ3364" s="1539"/>
      <c r="CK3364" s="1539"/>
      <c r="CL3364" s="1539"/>
      <c r="CM3364" s="1539"/>
      <c r="CN3364" s="1539"/>
      <c r="CO3364" s="1539"/>
    </row>
    <row r="3365" spans="1:93" s="1552" customFormat="1" ht="15.5">
      <c r="A3365" s="1598"/>
      <c r="B3365" s="1599" t="s">
        <v>1760</v>
      </c>
      <c r="C3365" s="1643" t="e">
        <f>+SUMIF(#REF!,Final!A3365,#REF!)</f>
        <v>#REF!</v>
      </c>
      <c r="D3365" s="1597" t="e">
        <f>+SUMIF(#REF!,Final!A3365,#REF!)</f>
        <v>#REF!</v>
      </c>
      <c r="E3365" s="1643" t="e">
        <f>SUMIF(#REF!,Final!A3365,#REF!)</f>
        <v>#REF!</v>
      </c>
      <c r="F3365" s="1644" t="e">
        <f>SUMIF(#REF!,Final!A3365,#REF!)</f>
        <v>#REF!</v>
      </c>
      <c r="G3365" s="1597" t="e">
        <f t="shared" si="372"/>
        <v>#REF!</v>
      </c>
      <c r="H3365" s="1644" t="e">
        <f t="shared" si="373"/>
        <v>#REF!</v>
      </c>
      <c r="I3365" s="1597" t="e">
        <f t="shared" si="374"/>
        <v>#REF!</v>
      </c>
      <c r="J3365" s="1644" t="e">
        <f t="shared" si="375"/>
        <v>#REF!</v>
      </c>
      <c r="K3365" s="1539"/>
      <c r="L3365" s="1539"/>
      <c r="M3365" s="1545"/>
      <c r="N3365" s="1545"/>
      <c r="O3365" s="1539"/>
      <c r="P3365" s="1539"/>
      <c r="Q3365" s="1539"/>
      <c r="R3365" s="1539"/>
      <c r="S3365" s="1539"/>
      <c r="T3365" s="1539"/>
      <c r="U3365" s="1539"/>
      <c r="V3365" s="1539"/>
      <c r="W3365" s="1539"/>
      <c r="X3365" s="1539"/>
      <c r="Y3365" s="1539"/>
      <c r="Z3365" s="1539"/>
      <c r="AA3365" s="1539"/>
      <c r="AB3365" s="1539"/>
      <c r="AC3365" s="1539"/>
      <c r="AD3365" s="1539"/>
      <c r="AE3365" s="1539"/>
      <c r="AF3365" s="1539"/>
      <c r="AG3365" s="1539"/>
      <c r="AH3365" s="1539"/>
      <c r="AI3365" s="1539"/>
      <c r="AJ3365" s="1539"/>
      <c r="AK3365" s="1539"/>
      <c r="AL3365" s="1539"/>
      <c r="AM3365" s="1539"/>
      <c r="AN3365" s="1539"/>
      <c r="AO3365" s="1539"/>
      <c r="AP3365" s="1539"/>
      <c r="AQ3365" s="1539"/>
      <c r="AR3365" s="1539"/>
      <c r="AS3365" s="1539"/>
      <c r="AT3365" s="1539"/>
      <c r="AU3365" s="1539"/>
      <c r="AV3365" s="1539"/>
      <c r="AW3365" s="1539"/>
      <c r="AX3365" s="1539"/>
      <c r="AY3365" s="1539"/>
      <c r="AZ3365" s="1539"/>
      <c r="BA3365" s="1539"/>
      <c r="BB3365" s="1539"/>
      <c r="BC3365" s="1539"/>
      <c r="BD3365" s="1539"/>
      <c r="BE3365" s="1539"/>
      <c r="BF3365" s="1539"/>
      <c r="BG3365" s="1539"/>
      <c r="BH3365" s="1539"/>
      <c r="BI3365" s="1539"/>
      <c r="BJ3365" s="1539"/>
      <c r="BK3365" s="1539"/>
      <c r="BL3365" s="1539"/>
      <c r="BM3365" s="1539"/>
      <c r="BN3365" s="1539"/>
      <c r="BO3365" s="1539"/>
      <c r="BP3365" s="1539"/>
      <c r="BQ3365" s="1539"/>
      <c r="BR3365" s="1539"/>
      <c r="BS3365" s="1539"/>
      <c r="BT3365" s="1539"/>
      <c r="BU3365" s="1539"/>
      <c r="BV3365" s="1539"/>
      <c r="BW3365" s="1539"/>
      <c r="BX3365" s="1539"/>
      <c r="BY3365" s="1539"/>
      <c r="BZ3365" s="1539"/>
      <c r="CA3365" s="1539"/>
      <c r="CB3365" s="1539"/>
      <c r="CC3365" s="1539"/>
      <c r="CD3365" s="1539"/>
      <c r="CE3365" s="1539"/>
      <c r="CF3365" s="1539"/>
      <c r="CG3365" s="1539"/>
      <c r="CH3365" s="1539"/>
      <c r="CI3365" s="1539"/>
      <c r="CJ3365" s="1539"/>
      <c r="CK3365" s="1539"/>
      <c r="CL3365" s="1539"/>
      <c r="CM3365" s="1539"/>
      <c r="CN3365" s="1539"/>
      <c r="CO3365" s="1539"/>
    </row>
    <row r="3366" spans="1:93" s="1542" customFormat="1" ht="15.5">
      <c r="A3366" s="1598" t="s">
        <v>1762</v>
      </c>
      <c r="B3366" s="1599" t="s">
        <v>3288</v>
      </c>
      <c r="C3366" s="1643" t="e">
        <f>+SUMIF(#REF!,Final!A3366,#REF!)</f>
        <v>#REF!</v>
      </c>
      <c r="D3366" s="1597" t="e">
        <f>+SUMIF(#REF!,Final!A3366,#REF!)</f>
        <v>#REF!</v>
      </c>
      <c r="E3366" s="1643" t="e">
        <f>SUMIF(#REF!,Final!A3366,#REF!)</f>
        <v>#REF!</v>
      </c>
      <c r="F3366" s="1644" t="e">
        <f>SUMIF(#REF!,Final!A3366,#REF!)</f>
        <v>#REF!</v>
      </c>
      <c r="G3366" s="1597" t="e">
        <f t="shared" si="372"/>
        <v>#REF!</v>
      </c>
      <c r="H3366" s="1644" t="e">
        <f t="shared" si="373"/>
        <v>#REF!</v>
      </c>
      <c r="I3366" s="1597" t="e">
        <f t="shared" si="374"/>
        <v>#REF!</v>
      </c>
      <c r="J3366" s="1644" t="e">
        <f t="shared" si="375"/>
        <v>#REF!</v>
      </c>
      <c r="K3366" s="1539"/>
      <c r="L3366" s="1539"/>
      <c r="M3366" s="1545"/>
      <c r="N3366" s="1545"/>
      <c r="O3366" s="1539"/>
      <c r="P3366" s="1539"/>
      <c r="Q3366" s="1539"/>
      <c r="R3366" s="1539"/>
      <c r="S3366" s="1539"/>
      <c r="T3366" s="1539"/>
      <c r="U3366" s="1539"/>
      <c r="V3366" s="1539"/>
      <c r="W3366" s="1539"/>
      <c r="X3366" s="1539"/>
      <c r="Y3366" s="1539"/>
      <c r="Z3366" s="1539"/>
      <c r="AA3366" s="1539"/>
      <c r="AB3366" s="1539"/>
      <c r="AC3366" s="1539"/>
      <c r="AD3366" s="1539"/>
      <c r="AE3366" s="1539"/>
      <c r="AF3366" s="1539"/>
      <c r="AG3366" s="1539"/>
      <c r="AH3366" s="1539"/>
      <c r="AI3366" s="1539"/>
      <c r="AJ3366" s="1539"/>
      <c r="AK3366" s="1539"/>
      <c r="AL3366" s="1539"/>
      <c r="AM3366" s="1539"/>
      <c r="AN3366" s="1539"/>
      <c r="AO3366" s="1539"/>
      <c r="AP3366" s="1539"/>
      <c r="AQ3366" s="1539"/>
      <c r="AR3366" s="1539"/>
      <c r="AS3366" s="1539"/>
      <c r="AT3366" s="1539"/>
      <c r="AU3366" s="1539"/>
      <c r="AV3366" s="1539"/>
      <c r="AW3366" s="1539"/>
      <c r="AX3366" s="1539"/>
      <c r="AY3366" s="1539"/>
      <c r="AZ3366" s="1539"/>
      <c r="BA3366" s="1539"/>
      <c r="BB3366" s="1539"/>
      <c r="BC3366" s="1539"/>
      <c r="BD3366" s="1539"/>
      <c r="BE3366" s="1539"/>
      <c r="BF3366" s="1539"/>
      <c r="BG3366" s="1539"/>
      <c r="BH3366" s="1539"/>
      <c r="BI3366" s="1539"/>
      <c r="BJ3366" s="1539"/>
      <c r="BK3366" s="1539"/>
      <c r="BL3366" s="1539"/>
      <c r="BM3366" s="1539"/>
      <c r="BN3366" s="1539"/>
      <c r="BO3366" s="1539"/>
      <c r="BP3366" s="1539"/>
      <c r="BQ3366" s="1539"/>
      <c r="BR3366" s="1539"/>
      <c r="BS3366" s="1539"/>
      <c r="BT3366" s="1539"/>
      <c r="BU3366" s="1539"/>
      <c r="BV3366" s="1539"/>
      <c r="BW3366" s="1539"/>
      <c r="BX3366" s="1539"/>
      <c r="BY3366" s="1539"/>
      <c r="BZ3366" s="1539"/>
      <c r="CA3366" s="1539"/>
      <c r="CB3366" s="1539"/>
      <c r="CC3366" s="1539"/>
      <c r="CD3366" s="1539"/>
      <c r="CE3366" s="1539"/>
      <c r="CF3366" s="1539"/>
      <c r="CG3366" s="1539"/>
      <c r="CH3366" s="1539"/>
      <c r="CI3366" s="1539"/>
      <c r="CJ3366" s="1539"/>
      <c r="CK3366" s="1539"/>
      <c r="CL3366" s="1539"/>
      <c r="CM3366" s="1539"/>
      <c r="CN3366" s="1539"/>
      <c r="CO3366" s="1539"/>
    </row>
    <row r="3367" spans="1:93" ht="15.5">
      <c r="A3367" s="1598">
        <v>78.537999999999997</v>
      </c>
      <c r="B3367" s="1599" t="s">
        <v>3544</v>
      </c>
      <c r="C3367" s="1643" t="e">
        <f>+SUMIF(#REF!,Final!A3367,#REF!)</f>
        <v>#REF!</v>
      </c>
      <c r="D3367" s="1597" t="e">
        <f>+SUMIF(#REF!,Final!A3367,#REF!)</f>
        <v>#REF!</v>
      </c>
      <c r="E3367" s="1643" t="e">
        <f>SUMIF(#REF!,Final!A3367,#REF!)</f>
        <v>#REF!</v>
      </c>
      <c r="F3367" s="1644" t="e">
        <f>SUMIF(#REF!,Final!A3367,#REF!)</f>
        <v>#REF!</v>
      </c>
      <c r="G3367" s="1597" t="e">
        <f t="shared" si="372"/>
        <v>#REF!</v>
      </c>
      <c r="H3367" s="1644" t="e">
        <f t="shared" si="373"/>
        <v>#REF!</v>
      </c>
      <c r="I3367" s="1597" t="e">
        <f t="shared" si="374"/>
        <v>#REF!</v>
      </c>
      <c r="J3367" s="1644" t="e">
        <f t="shared" si="375"/>
        <v>#REF!</v>
      </c>
      <c r="M3367" s="1545"/>
      <c r="N3367" s="1545"/>
    </row>
    <row r="3368" spans="1:93" s="1552" customFormat="1" ht="15.5">
      <c r="A3368" s="1598"/>
      <c r="B3368" s="1599" t="s">
        <v>1747</v>
      </c>
      <c r="C3368" s="1643" t="e">
        <f>+SUMIF(#REF!,Final!A3368,#REF!)</f>
        <v>#REF!</v>
      </c>
      <c r="D3368" s="1597" t="e">
        <f>+SUMIF(#REF!,Final!A3368,#REF!)</f>
        <v>#REF!</v>
      </c>
      <c r="E3368" s="1643" t="e">
        <f>SUMIF(#REF!,Final!A3368,#REF!)</f>
        <v>#REF!</v>
      </c>
      <c r="F3368" s="1644" t="e">
        <f>SUMIF(#REF!,Final!A3368,#REF!)</f>
        <v>#REF!</v>
      </c>
      <c r="G3368" s="1597" t="e">
        <f t="shared" si="372"/>
        <v>#REF!</v>
      </c>
      <c r="H3368" s="1644" t="e">
        <f t="shared" si="373"/>
        <v>#REF!</v>
      </c>
      <c r="I3368" s="1597" t="e">
        <f t="shared" si="374"/>
        <v>#REF!</v>
      </c>
      <c r="J3368" s="1644" t="e">
        <f t="shared" si="375"/>
        <v>#REF!</v>
      </c>
      <c r="K3368" s="1539"/>
      <c r="L3368" s="1539"/>
      <c r="M3368" s="1545"/>
      <c r="N3368" s="1545"/>
      <c r="O3368" s="1539"/>
      <c r="P3368" s="1539"/>
      <c r="Q3368" s="1539"/>
      <c r="R3368" s="1539"/>
      <c r="S3368" s="1539"/>
      <c r="T3368" s="1539"/>
      <c r="U3368" s="1539"/>
      <c r="V3368" s="1539"/>
      <c r="W3368" s="1539"/>
      <c r="X3368" s="1539"/>
      <c r="Y3368" s="1539"/>
      <c r="Z3368" s="1539"/>
      <c r="AA3368" s="1539"/>
      <c r="AB3368" s="1539"/>
      <c r="AC3368" s="1539"/>
      <c r="AD3368" s="1539"/>
      <c r="AE3368" s="1539"/>
      <c r="AF3368" s="1539"/>
      <c r="AG3368" s="1539"/>
      <c r="AH3368" s="1539"/>
      <c r="AI3368" s="1539"/>
      <c r="AJ3368" s="1539"/>
      <c r="AK3368" s="1539"/>
      <c r="AL3368" s="1539"/>
      <c r="AM3368" s="1539"/>
      <c r="AN3368" s="1539"/>
      <c r="AO3368" s="1539"/>
      <c r="AP3368" s="1539"/>
      <c r="AQ3368" s="1539"/>
      <c r="AR3368" s="1539"/>
      <c r="AS3368" s="1539"/>
      <c r="AT3368" s="1539"/>
      <c r="AU3368" s="1539"/>
      <c r="AV3368" s="1539"/>
      <c r="AW3368" s="1539"/>
      <c r="AX3368" s="1539"/>
      <c r="AY3368" s="1539"/>
      <c r="AZ3368" s="1539"/>
      <c r="BA3368" s="1539"/>
      <c r="BB3368" s="1539"/>
      <c r="BC3368" s="1539"/>
      <c r="BD3368" s="1539"/>
      <c r="BE3368" s="1539"/>
      <c r="BF3368" s="1539"/>
      <c r="BG3368" s="1539"/>
      <c r="BH3368" s="1539"/>
      <c r="BI3368" s="1539"/>
      <c r="BJ3368" s="1539"/>
      <c r="BK3368" s="1539"/>
      <c r="BL3368" s="1539"/>
      <c r="BM3368" s="1539"/>
      <c r="BN3368" s="1539"/>
      <c r="BO3368" s="1539"/>
      <c r="BP3368" s="1539"/>
      <c r="BQ3368" s="1539"/>
      <c r="BR3368" s="1539"/>
      <c r="BS3368" s="1539"/>
      <c r="BT3368" s="1539"/>
      <c r="BU3368" s="1539"/>
      <c r="BV3368" s="1539"/>
      <c r="BW3368" s="1539"/>
      <c r="BX3368" s="1539"/>
      <c r="BY3368" s="1539"/>
      <c r="BZ3368" s="1539"/>
      <c r="CA3368" s="1539"/>
      <c r="CB3368" s="1539"/>
      <c r="CC3368" s="1539"/>
      <c r="CD3368" s="1539"/>
      <c r="CE3368" s="1539"/>
      <c r="CF3368" s="1539"/>
      <c r="CG3368" s="1539"/>
      <c r="CH3368" s="1539"/>
      <c r="CI3368" s="1539"/>
      <c r="CJ3368" s="1539"/>
      <c r="CK3368" s="1539"/>
      <c r="CL3368" s="1539"/>
      <c r="CM3368" s="1539"/>
      <c r="CN3368" s="1539"/>
      <c r="CO3368" s="1539"/>
    </row>
    <row r="3369" spans="1:93" s="1552" customFormat="1" ht="15.5">
      <c r="A3369" s="1598"/>
      <c r="B3369" s="1599" t="s">
        <v>1760</v>
      </c>
      <c r="C3369" s="1643" t="e">
        <f>+SUMIF(#REF!,Final!A3369,#REF!)</f>
        <v>#REF!</v>
      </c>
      <c r="D3369" s="1597" t="e">
        <f>+SUMIF(#REF!,Final!A3369,#REF!)</f>
        <v>#REF!</v>
      </c>
      <c r="E3369" s="1643" t="e">
        <f>SUMIF(#REF!,Final!A3369,#REF!)</f>
        <v>#REF!</v>
      </c>
      <c r="F3369" s="1644" t="e">
        <f>SUMIF(#REF!,Final!A3369,#REF!)</f>
        <v>#REF!</v>
      </c>
      <c r="G3369" s="1597" t="e">
        <f t="shared" si="372"/>
        <v>#REF!</v>
      </c>
      <c r="H3369" s="1644" t="e">
        <f t="shared" si="373"/>
        <v>#REF!</v>
      </c>
      <c r="I3369" s="1597" t="e">
        <f t="shared" si="374"/>
        <v>#REF!</v>
      </c>
      <c r="J3369" s="1644" t="e">
        <f t="shared" si="375"/>
        <v>#REF!</v>
      </c>
      <c r="K3369" s="1539"/>
      <c r="L3369" s="1539"/>
      <c r="M3369" s="1545"/>
      <c r="N3369" s="1545"/>
      <c r="O3369" s="1539"/>
      <c r="P3369" s="1539"/>
      <c r="Q3369" s="1539"/>
      <c r="R3369" s="1539"/>
      <c r="S3369" s="1539"/>
      <c r="T3369" s="1539"/>
      <c r="U3369" s="1539"/>
      <c r="V3369" s="1539"/>
      <c r="W3369" s="1539"/>
      <c r="X3369" s="1539"/>
      <c r="Y3369" s="1539"/>
      <c r="Z3369" s="1539"/>
      <c r="AA3369" s="1539"/>
      <c r="AB3369" s="1539"/>
      <c r="AC3369" s="1539"/>
      <c r="AD3369" s="1539"/>
      <c r="AE3369" s="1539"/>
      <c r="AF3369" s="1539"/>
      <c r="AG3369" s="1539"/>
      <c r="AH3369" s="1539"/>
      <c r="AI3369" s="1539"/>
      <c r="AJ3369" s="1539"/>
      <c r="AK3369" s="1539"/>
      <c r="AL3369" s="1539"/>
      <c r="AM3369" s="1539"/>
      <c r="AN3369" s="1539"/>
      <c r="AO3369" s="1539"/>
      <c r="AP3369" s="1539"/>
      <c r="AQ3369" s="1539"/>
      <c r="AR3369" s="1539"/>
      <c r="AS3369" s="1539"/>
      <c r="AT3369" s="1539"/>
      <c r="AU3369" s="1539"/>
      <c r="AV3369" s="1539"/>
      <c r="AW3369" s="1539"/>
      <c r="AX3369" s="1539"/>
      <c r="AY3369" s="1539"/>
      <c r="AZ3369" s="1539"/>
      <c r="BA3369" s="1539"/>
      <c r="BB3369" s="1539"/>
      <c r="BC3369" s="1539"/>
      <c r="BD3369" s="1539"/>
      <c r="BE3369" s="1539"/>
      <c r="BF3369" s="1539"/>
      <c r="BG3369" s="1539"/>
      <c r="BH3369" s="1539"/>
      <c r="BI3369" s="1539"/>
      <c r="BJ3369" s="1539"/>
      <c r="BK3369" s="1539"/>
      <c r="BL3369" s="1539"/>
      <c r="BM3369" s="1539"/>
      <c r="BN3369" s="1539"/>
      <c r="BO3369" s="1539"/>
      <c r="BP3369" s="1539"/>
      <c r="BQ3369" s="1539"/>
      <c r="BR3369" s="1539"/>
      <c r="BS3369" s="1539"/>
      <c r="BT3369" s="1539"/>
      <c r="BU3369" s="1539"/>
      <c r="BV3369" s="1539"/>
      <c r="BW3369" s="1539"/>
      <c r="BX3369" s="1539"/>
      <c r="BY3369" s="1539"/>
      <c r="BZ3369" s="1539"/>
      <c r="CA3369" s="1539"/>
      <c r="CB3369" s="1539"/>
      <c r="CC3369" s="1539"/>
      <c r="CD3369" s="1539"/>
      <c r="CE3369" s="1539"/>
      <c r="CF3369" s="1539"/>
      <c r="CG3369" s="1539"/>
      <c r="CH3369" s="1539"/>
      <c r="CI3369" s="1539"/>
      <c r="CJ3369" s="1539"/>
      <c r="CK3369" s="1539"/>
      <c r="CL3369" s="1539"/>
      <c r="CM3369" s="1539"/>
      <c r="CN3369" s="1539"/>
      <c r="CO3369" s="1539"/>
    </row>
    <row r="3370" spans="1:93" s="1542" customFormat="1" ht="15.5">
      <c r="A3370" s="1598" t="s">
        <v>545</v>
      </c>
      <c r="B3370" s="1599" t="s">
        <v>3302</v>
      </c>
      <c r="C3370" s="1643" t="e">
        <f>+SUMIF(#REF!,Final!A3370,#REF!)</f>
        <v>#REF!</v>
      </c>
      <c r="D3370" s="1597" t="e">
        <f>+SUMIF(#REF!,Final!A3370,#REF!)</f>
        <v>#REF!</v>
      </c>
      <c r="E3370" s="1643" t="e">
        <f>SUMIF(#REF!,Final!A3370,#REF!)</f>
        <v>#REF!</v>
      </c>
      <c r="F3370" s="1644" t="e">
        <f>SUMIF(#REF!,Final!A3370,#REF!)</f>
        <v>#REF!</v>
      </c>
      <c r="G3370" s="1597" t="e">
        <f t="shared" si="372"/>
        <v>#REF!</v>
      </c>
      <c r="H3370" s="1644" t="e">
        <f t="shared" si="373"/>
        <v>#REF!</v>
      </c>
      <c r="I3370" s="1597" t="e">
        <f t="shared" si="374"/>
        <v>#REF!</v>
      </c>
      <c r="J3370" s="1644" t="e">
        <f t="shared" si="375"/>
        <v>#REF!</v>
      </c>
      <c r="K3370" s="1539"/>
      <c r="L3370" s="1539"/>
      <c r="M3370" s="1545"/>
      <c r="N3370" s="1545"/>
      <c r="O3370" s="1539"/>
      <c r="P3370" s="1539"/>
      <c r="Q3370" s="1539"/>
      <c r="R3370" s="1539"/>
      <c r="S3370" s="1539"/>
      <c r="T3370" s="1539"/>
      <c r="U3370" s="1539"/>
      <c r="V3370" s="1539"/>
      <c r="W3370" s="1539"/>
      <c r="X3370" s="1539"/>
      <c r="Y3370" s="1539"/>
      <c r="Z3370" s="1539"/>
      <c r="AA3370" s="1539"/>
      <c r="AB3370" s="1539"/>
      <c r="AC3370" s="1539"/>
      <c r="AD3370" s="1539"/>
      <c r="AE3370" s="1539"/>
      <c r="AF3370" s="1539"/>
      <c r="AG3370" s="1539"/>
      <c r="AH3370" s="1539"/>
      <c r="AI3370" s="1539"/>
      <c r="AJ3370" s="1539"/>
      <c r="AK3370" s="1539"/>
      <c r="AL3370" s="1539"/>
      <c r="AM3370" s="1539"/>
      <c r="AN3370" s="1539"/>
      <c r="AO3370" s="1539"/>
      <c r="AP3370" s="1539"/>
      <c r="AQ3370" s="1539"/>
      <c r="AR3370" s="1539"/>
      <c r="AS3370" s="1539"/>
      <c r="AT3370" s="1539"/>
      <c r="AU3370" s="1539"/>
      <c r="AV3370" s="1539"/>
      <c r="AW3370" s="1539"/>
      <c r="AX3370" s="1539"/>
      <c r="AY3370" s="1539"/>
      <c r="AZ3370" s="1539"/>
      <c r="BA3370" s="1539"/>
      <c r="BB3370" s="1539"/>
      <c r="BC3370" s="1539"/>
      <c r="BD3370" s="1539"/>
      <c r="BE3370" s="1539"/>
      <c r="BF3370" s="1539"/>
      <c r="BG3370" s="1539"/>
      <c r="BH3370" s="1539"/>
      <c r="BI3370" s="1539"/>
      <c r="BJ3370" s="1539"/>
      <c r="BK3370" s="1539"/>
      <c r="BL3370" s="1539"/>
      <c r="BM3370" s="1539"/>
      <c r="BN3370" s="1539"/>
      <c r="BO3370" s="1539"/>
      <c r="BP3370" s="1539"/>
      <c r="BQ3370" s="1539"/>
      <c r="BR3370" s="1539"/>
      <c r="BS3370" s="1539"/>
      <c r="BT3370" s="1539"/>
      <c r="BU3370" s="1539"/>
      <c r="BV3370" s="1539"/>
      <c r="BW3370" s="1539"/>
      <c r="BX3370" s="1539"/>
      <c r="BY3370" s="1539"/>
      <c r="BZ3370" s="1539"/>
      <c r="CA3370" s="1539"/>
      <c r="CB3370" s="1539"/>
      <c r="CC3370" s="1539"/>
      <c r="CD3370" s="1539"/>
      <c r="CE3370" s="1539"/>
      <c r="CF3370" s="1539"/>
      <c r="CG3370" s="1539"/>
      <c r="CH3370" s="1539"/>
      <c r="CI3370" s="1539"/>
      <c r="CJ3370" s="1539"/>
      <c r="CK3370" s="1539"/>
      <c r="CL3370" s="1539"/>
      <c r="CM3370" s="1539"/>
      <c r="CN3370" s="1539"/>
      <c r="CO3370" s="1539"/>
    </row>
    <row r="3371" spans="1:93" ht="15.5">
      <c r="A3371" s="1598">
        <v>78.600999999999999</v>
      </c>
      <c r="B3371" s="1599" t="s">
        <v>666</v>
      </c>
      <c r="C3371" s="1643" t="e">
        <f>+SUMIF(#REF!,Final!A3371,#REF!)</f>
        <v>#REF!</v>
      </c>
      <c r="D3371" s="1597" t="e">
        <f>+SUMIF(#REF!,Final!A3371,#REF!)</f>
        <v>#REF!</v>
      </c>
      <c r="E3371" s="1643" t="e">
        <f>SUMIF(#REF!,Final!A3371,#REF!)</f>
        <v>#REF!</v>
      </c>
      <c r="F3371" s="1644" t="e">
        <f>SUMIF(#REF!,Final!A3371,#REF!)</f>
        <v>#REF!</v>
      </c>
      <c r="G3371" s="1597" t="e">
        <f t="shared" si="372"/>
        <v>#REF!</v>
      </c>
      <c r="H3371" s="1644" t="e">
        <f t="shared" si="373"/>
        <v>#REF!</v>
      </c>
      <c r="I3371" s="1597" t="e">
        <f t="shared" si="374"/>
        <v>#REF!</v>
      </c>
      <c r="J3371" s="1644" t="e">
        <f t="shared" si="375"/>
        <v>#REF!</v>
      </c>
      <c r="M3371" s="1545"/>
      <c r="N3371" s="1545"/>
    </row>
    <row r="3372" spans="1:93" ht="15.5">
      <c r="A3372" s="1598">
        <v>78.602000000000004</v>
      </c>
      <c r="B3372" s="1599" t="s">
        <v>1335</v>
      </c>
      <c r="C3372" s="1643" t="e">
        <f>+SUMIF(#REF!,Final!A3372,#REF!)</f>
        <v>#REF!</v>
      </c>
      <c r="D3372" s="1597" t="e">
        <f>+SUMIF(#REF!,Final!A3372,#REF!)</f>
        <v>#REF!</v>
      </c>
      <c r="E3372" s="1643" t="e">
        <f>SUMIF(#REF!,Final!A3372,#REF!)</f>
        <v>#REF!</v>
      </c>
      <c r="F3372" s="1644" t="e">
        <f>SUMIF(#REF!,Final!A3372,#REF!)</f>
        <v>#REF!</v>
      </c>
      <c r="G3372" s="1597" t="e">
        <f t="shared" si="372"/>
        <v>#REF!</v>
      </c>
      <c r="H3372" s="1644" t="e">
        <f t="shared" si="373"/>
        <v>#REF!</v>
      </c>
      <c r="I3372" s="1597" t="e">
        <f t="shared" si="374"/>
        <v>#REF!</v>
      </c>
      <c r="J3372" s="1644" t="e">
        <f t="shared" si="375"/>
        <v>#REF!</v>
      </c>
      <c r="M3372" s="1545"/>
      <c r="N3372" s="1545"/>
    </row>
    <row r="3373" spans="1:93" ht="15.5">
      <c r="A3373" s="1598">
        <v>78.602999999999994</v>
      </c>
      <c r="B3373" s="1599" t="s">
        <v>1899</v>
      </c>
      <c r="C3373" s="1643" t="e">
        <f>+SUMIF(#REF!,Final!A3373,#REF!)</f>
        <v>#REF!</v>
      </c>
      <c r="D3373" s="1597" t="e">
        <f>+SUMIF(#REF!,Final!A3373,#REF!)</f>
        <v>#REF!</v>
      </c>
      <c r="E3373" s="1643" t="e">
        <f>SUMIF(#REF!,Final!A3373,#REF!)</f>
        <v>#REF!</v>
      </c>
      <c r="F3373" s="1644" t="e">
        <f>SUMIF(#REF!,Final!A3373,#REF!)</f>
        <v>#REF!</v>
      </c>
      <c r="G3373" s="1597" t="e">
        <f t="shared" si="372"/>
        <v>#REF!</v>
      </c>
      <c r="H3373" s="1644" t="e">
        <f t="shared" si="373"/>
        <v>#REF!</v>
      </c>
      <c r="I3373" s="1597" t="e">
        <f t="shared" si="374"/>
        <v>#REF!</v>
      </c>
      <c r="J3373" s="1644" t="e">
        <f t="shared" si="375"/>
        <v>#REF!</v>
      </c>
      <c r="M3373" s="1545"/>
      <c r="N3373" s="1545"/>
    </row>
    <row r="3374" spans="1:93" ht="15.5">
      <c r="A3374" s="1598">
        <v>78.603999999999999</v>
      </c>
      <c r="B3374" s="1599" t="s">
        <v>1900</v>
      </c>
      <c r="C3374" s="1643" t="e">
        <f>+SUMIF(#REF!,Final!A3374,#REF!)</f>
        <v>#REF!</v>
      </c>
      <c r="D3374" s="1597" t="e">
        <f>+SUMIF(#REF!,Final!A3374,#REF!)</f>
        <v>#REF!</v>
      </c>
      <c r="E3374" s="1643" t="e">
        <f>SUMIF(#REF!,Final!A3374,#REF!)</f>
        <v>#REF!</v>
      </c>
      <c r="F3374" s="1644" t="e">
        <f>SUMIF(#REF!,Final!A3374,#REF!)</f>
        <v>#REF!</v>
      </c>
      <c r="G3374" s="1597" t="e">
        <f t="shared" si="372"/>
        <v>#REF!</v>
      </c>
      <c r="H3374" s="1644" t="e">
        <f t="shared" si="373"/>
        <v>#REF!</v>
      </c>
      <c r="I3374" s="1597" t="e">
        <f t="shared" si="374"/>
        <v>#REF!</v>
      </c>
      <c r="J3374" s="1644" t="e">
        <f t="shared" si="375"/>
        <v>#REF!</v>
      </c>
      <c r="M3374" s="1545"/>
      <c r="N3374" s="1545"/>
    </row>
    <row r="3375" spans="1:93" ht="15.5">
      <c r="A3375" s="1598">
        <v>78.605000000000004</v>
      </c>
      <c r="B3375" s="1599" t="s">
        <v>890</v>
      </c>
      <c r="C3375" s="1643" t="e">
        <f>+SUMIF(#REF!,Final!A3375,#REF!)</f>
        <v>#REF!</v>
      </c>
      <c r="D3375" s="1597" t="e">
        <f>+SUMIF(#REF!,Final!A3375,#REF!)</f>
        <v>#REF!</v>
      </c>
      <c r="E3375" s="1643" t="e">
        <f>SUMIF(#REF!,Final!A3375,#REF!)</f>
        <v>#REF!</v>
      </c>
      <c r="F3375" s="1644" t="e">
        <f>SUMIF(#REF!,Final!A3375,#REF!)</f>
        <v>#REF!</v>
      </c>
      <c r="G3375" s="1597" t="e">
        <f t="shared" si="372"/>
        <v>#REF!</v>
      </c>
      <c r="H3375" s="1644" t="e">
        <f t="shared" si="373"/>
        <v>#REF!</v>
      </c>
      <c r="I3375" s="1597" t="e">
        <f t="shared" si="374"/>
        <v>#REF!</v>
      </c>
      <c r="J3375" s="1644" t="e">
        <f t="shared" si="375"/>
        <v>#REF!</v>
      </c>
      <c r="M3375" s="1545"/>
      <c r="N3375" s="1545"/>
    </row>
    <row r="3376" spans="1:93" ht="15.5">
      <c r="A3376" s="1598">
        <v>78.606999999999999</v>
      </c>
      <c r="B3376" s="1599" t="s">
        <v>893</v>
      </c>
      <c r="C3376" s="1643" t="e">
        <f>+SUMIF(#REF!,Final!A3376,#REF!)</f>
        <v>#REF!</v>
      </c>
      <c r="D3376" s="1597" t="e">
        <f>+SUMIF(#REF!,Final!A3376,#REF!)</f>
        <v>#REF!</v>
      </c>
      <c r="E3376" s="1643" t="e">
        <f>SUMIF(#REF!,Final!A3376,#REF!)</f>
        <v>#REF!</v>
      </c>
      <c r="F3376" s="1644" t="e">
        <f>SUMIF(#REF!,Final!A3376,#REF!)</f>
        <v>#REF!</v>
      </c>
      <c r="G3376" s="1597" t="e">
        <f t="shared" si="372"/>
        <v>#REF!</v>
      </c>
      <c r="H3376" s="1644" t="e">
        <f t="shared" si="373"/>
        <v>#REF!</v>
      </c>
      <c r="I3376" s="1597" t="e">
        <f t="shared" si="374"/>
        <v>#REF!</v>
      </c>
      <c r="J3376" s="1644" t="e">
        <f t="shared" si="375"/>
        <v>#REF!</v>
      </c>
      <c r="M3376" s="1545"/>
      <c r="N3376" s="1545"/>
    </row>
    <row r="3377" spans="1:93" ht="15.5">
      <c r="A3377" s="1598">
        <v>78.608000000000004</v>
      </c>
      <c r="B3377" s="1599" t="s">
        <v>539</v>
      </c>
      <c r="C3377" s="1643" t="e">
        <f>+SUMIF(#REF!,Final!A3377,#REF!)</f>
        <v>#REF!</v>
      </c>
      <c r="D3377" s="1597" t="e">
        <f>+SUMIF(#REF!,Final!A3377,#REF!)</f>
        <v>#REF!</v>
      </c>
      <c r="E3377" s="1643" t="e">
        <f>SUMIF(#REF!,Final!A3377,#REF!)</f>
        <v>#REF!</v>
      </c>
      <c r="F3377" s="1644" t="e">
        <f>SUMIF(#REF!,Final!A3377,#REF!)</f>
        <v>#REF!</v>
      </c>
      <c r="G3377" s="1597" t="e">
        <f t="shared" si="372"/>
        <v>#REF!</v>
      </c>
      <c r="H3377" s="1644" t="e">
        <f t="shared" si="373"/>
        <v>#REF!</v>
      </c>
      <c r="I3377" s="1597" t="e">
        <f t="shared" si="374"/>
        <v>#REF!</v>
      </c>
      <c r="J3377" s="1644" t="e">
        <f t="shared" si="375"/>
        <v>#REF!</v>
      </c>
      <c r="M3377" s="1545"/>
      <c r="N3377" s="1545"/>
    </row>
    <row r="3378" spans="1:93" ht="15.5">
      <c r="A3378" s="1598">
        <v>78.608999999999995</v>
      </c>
      <c r="B3378" s="1599" t="s">
        <v>540</v>
      </c>
      <c r="C3378" s="1643" t="e">
        <f>+SUMIF(#REF!,Final!A3378,#REF!)</f>
        <v>#REF!</v>
      </c>
      <c r="D3378" s="1597" t="e">
        <f>+SUMIF(#REF!,Final!A3378,#REF!)</f>
        <v>#REF!</v>
      </c>
      <c r="E3378" s="1643" t="e">
        <f>SUMIF(#REF!,Final!A3378,#REF!)</f>
        <v>#REF!</v>
      </c>
      <c r="F3378" s="1644" t="e">
        <f>SUMIF(#REF!,Final!A3378,#REF!)</f>
        <v>#REF!</v>
      </c>
      <c r="G3378" s="1597" t="e">
        <f t="shared" si="372"/>
        <v>#REF!</v>
      </c>
      <c r="H3378" s="1644" t="e">
        <f t="shared" si="373"/>
        <v>#REF!</v>
      </c>
      <c r="I3378" s="1597" t="e">
        <f t="shared" si="374"/>
        <v>#REF!</v>
      </c>
      <c r="J3378" s="1644" t="e">
        <f t="shared" si="375"/>
        <v>#REF!</v>
      </c>
      <c r="M3378" s="1545"/>
      <c r="N3378" s="1545"/>
    </row>
    <row r="3379" spans="1:93" s="1542" customFormat="1" ht="15.5">
      <c r="A3379" s="1598">
        <v>78.61</v>
      </c>
      <c r="B3379" s="1599" t="s">
        <v>1901</v>
      </c>
      <c r="C3379" s="1643" t="e">
        <f>+SUMIF(#REF!,Final!A3379,#REF!)</f>
        <v>#REF!</v>
      </c>
      <c r="D3379" s="1597" t="e">
        <f>+SUMIF(#REF!,Final!A3379,#REF!)</f>
        <v>#REF!</v>
      </c>
      <c r="E3379" s="1643" t="e">
        <f>SUMIF(#REF!,Final!A3379,#REF!)</f>
        <v>#REF!</v>
      </c>
      <c r="F3379" s="1644" t="e">
        <f>SUMIF(#REF!,Final!A3379,#REF!)</f>
        <v>#REF!</v>
      </c>
      <c r="G3379" s="1597" t="e">
        <f t="shared" si="372"/>
        <v>#REF!</v>
      </c>
      <c r="H3379" s="1644" t="e">
        <f t="shared" si="373"/>
        <v>#REF!</v>
      </c>
      <c r="I3379" s="1597" t="e">
        <f t="shared" si="374"/>
        <v>#REF!</v>
      </c>
      <c r="J3379" s="1644" t="e">
        <f t="shared" si="375"/>
        <v>#REF!</v>
      </c>
      <c r="K3379" s="1539"/>
      <c r="L3379" s="1539"/>
      <c r="M3379" s="1545"/>
      <c r="N3379" s="1545"/>
      <c r="O3379" s="1539"/>
      <c r="P3379" s="1539"/>
      <c r="Q3379" s="1539"/>
      <c r="R3379" s="1539"/>
      <c r="S3379" s="1539"/>
      <c r="T3379" s="1539"/>
      <c r="U3379" s="1539"/>
      <c r="V3379" s="1539"/>
      <c r="W3379" s="1539"/>
      <c r="X3379" s="1539"/>
      <c r="Y3379" s="1539"/>
      <c r="Z3379" s="1539"/>
      <c r="AA3379" s="1539"/>
      <c r="AB3379" s="1539"/>
      <c r="AC3379" s="1539"/>
      <c r="AD3379" s="1539"/>
      <c r="AE3379" s="1539"/>
      <c r="AF3379" s="1539"/>
      <c r="AG3379" s="1539"/>
      <c r="AH3379" s="1539"/>
      <c r="AI3379" s="1539"/>
      <c r="AJ3379" s="1539"/>
      <c r="AK3379" s="1539"/>
      <c r="AL3379" s="1539"/>
      <c r="AM3379" s="1539"/>
      <c r="AN3379" s="1539"/>
      <c r="AO3379" s="1539"/>
      <c r="AP3379" s="1539"/>
      <c r="AQ3379" s="1539"/>
      <c r="AR3379" s="1539"/>
      <c r="AS3379" s="1539"/>
      <c r="AT3379" s="1539"/>
      <c r="AU3379" s="1539"/>
      <c r="AV3379" s="1539"/>
      <c r="AW3379" s="1539"/>
      <c r="AX3379" s="1539"/>
      <c r="AY3379" s="1539"/>
      <c r="AZ3379" s="1539"/>
      <c r="BA3379" s="1539"/>
      <c r="BB3379" s="1539"/>
      <c r="BC3379" s="1539"/>
      <c r="BD3379" s="1539"/>
      <c r="BE3379" s="1539"/>
      <c r="BF3379" s="1539"/>
      <c r="BG3379" s="1539"/>
      <c r="BH3379" s="1539"/>
      <c r="BI3379" s="1539"/>
      <c r="BJ3379" s="1539"/>
      <c r="BK3379" s="1539"/>
      <c r="BL3379" s="1539"/>
      <c r="BM3379" s="1539"/>
      <c r="BN3379" s="1539"/>
      <c r="BO3379" s="1539"/>
      <c r="BP3379" s="1539"/>
      <c r="BQ3379" s="1539"/>
      <c r="BR3379" s="1539"/>
      <c r="BS3379" s="1539"/>
      <c r="BT3379" s="1539"/>
      <c r="BU3379" s="1539"/>
      <c r="BV3379" s="1539"/>
      <c r="BW3379" s="1539"/>
      <c r="BX3379" s="1539"/>
      <c r="BY3379" s="1539"/>
      <c r="BZ3379" s="1539"/>
      <c r="CA3379" s="1539"/>
      <c r="CB3379" s="1539"/>
      <c r="CC3379" s="1539"/>
      <c r="CD3379" s="1539"/>
      <c r="CE3379" s="1539"/>
      <c r="CF3379" s="1539"/>
      <c r="CG3379" s="1539"/>
      <c r="CH3379" s="1539"/>
      <c r="CI3379" s="1539"/>
      <c r="CJ3379" s="1539"/>
      <c r="CK3379" s="1539"/>
      <c r="CL3379" s="1539"/>
      <c r="CM3379" s="1539"/>
      <c r="CN3379" s="1539"/>
      <c r="CO3379" s="1539"/>
    </row>
    <row r="3380" spans="1:93" s="1542" customFormat="1" ht="15.5">
      <c r="A3380" s="1598">
        <v>78.611000000000004</v>
      </c>
      <c r="B3380" s="1599" t="s">
        <v>1902</v>
      </c>
      <c r="C3380" s="1643" t="e">
        <f>+SUMIF(#REF!,Final!A3380,#REF!)</f>
        <v>#REF!</v>
      </c>
      <c r="D3380" s="1597" t="e">
        <f>+SUMIF(#REF!,Final!A3380,#REF!)</f>
        <v>#REF!</v>
      </c>
      <c r="E3380" s="1643" t="e">
        <f>SUMIF(#REF!,Final!A3380,#REF!)</f>
        <v>#REF!</v>
      </c>
      <c r="F3380" s="1644" t="e">
        <f>SUMIF(#REF!,Final!A3380,#REF!)</f>
        <v>#REF!</v>
      </c>
      <c r="G3380" s="1597" t="e">
        <f t="shared" si="372"/>
        <v>#REF!</v>
      </c>
      <c r="H3380" s="1644" t="e">
        <f t="shared" si="373"/>
        <v>#REF!</v>
      </c>
      <c r="I3380" s="1597" t="e">
        <f t="shared" si="374"/>
        <v>#REF!</v>
      </c>
      <c r="J3380" s="1644" t="e">
        <f t="shared" si="375"/>
        <v>#REF!</v>
      </c>
      <c r="K3380" s="1539"/>
      <c r="L3380" s="1539"/>
      <c r="M3380" s="1545"/>
      <c r="N3380" s="1545"/>
      <c r="O3380" s="1539"/>
      <c r="P3380" s="1539"/>
      <c r="Q3380" s="1539"/>
      <c r="R3380" s="1539"/>
      <c r="S3380" s="1539"/>
      <c r="T3380" s="1539"/>
      <c r="U3380" s="1539"/>
      <c r="V3380" s="1539"/>
      <c r="W3380" s="1539"/>
      <c r="X3380" s="1539"/>
      <c r="Y3380" s="1539"/>
      <c r="Z3380" s="1539"/>
      <c r="AA3380" s="1539"/>
      <c r="AB3380" s="1539"/>
      <c r="AC3380" s="1539"/>
      <c r="AD3380" s="1539"/>
      <c r="AE3380" s="1539"/>
      <c r="AF3380" s="1539"/>
      <c r="AG3380" s="1539"/>
      <c r="AH3380" s="1539"/>
      <c r="AI3380" s="1539"/>
      <c r="AJ3380" s="1539"/>
      <c r="AK3380" s="1539"/>
      <c r="AL3380" s="1539"/>
      <c r="AM3380" s="1539"/>
      <c r="AN3380" s="1539"/>
      <c r="AO3380" s="1539"/>
      <c r="AP3380" s="1539"/>
      <c r="AQ3380" s="1539"/>
      <c r="AR3380" s="1539"/>
      <c r="AS3380" s="1539"/>
      <c r="AT3380" s="1539"/>
      <c r="AU3380" s="1539"/>
      <c r="AV3380" s="1539"/>
      <c r="AW3380" s="1539"/>
      <c r="AX3380" s="1539"/>
      <c r="AY3380" s="1539"/>
      <c r="AZ3380" s="1539"/>
      <c r="BA3380" s="1539"/>
      <c r="BB3380" s="1539"/>
      <c r="BC3380" s="1539"/>
      <c r="BD3380" s="1539"/>
      <c r="BE3380" s="1539"/>
      <c r="BF3380" s="1539"/>
      <c r="BG3380" s="1539"/>
      <c r="BH3380" s="1539"/>
      <c r="BI3380" s="1539"/>
      <c r="BJ3380" s="1539"/>
      <c r="BK3380" s="1539"/>
      <c r="BL3380" s="1539"/>
      <c r="BM3380" s="1539"/>
      <c r="BN3380" s="1539"/>
      <c r="BO3380" s="1539"/>
      <c r="BP3380" s="1539"/>
      <c r="BQ3380" s="1539"/>
      <c r="BR3380" s="1539"/>
      <c r="BS3380" s="1539"/>
      <c r="BT3380" s="1539"/>
      <c r="BU3380" s="1539"/>
      <c r="BV3380" s="1539"/>
      <c r="BW3380" s="1539"/>
      <c r="BX3380" s="1539"/>
      <c r="BY3380" s="1539"/>
      <c r="BZ3380" s="1539"/>
      <c r="CA3380" s="1539"/>
      <c r="CB3380" s="1539"/>
      <c r="CC3380" s="1539"/>
      <c r="CD3380" s="1539"/>
      <c r="CE3380" s="1539"/>
      <c r="CF3380" s="1539"/>
      <c r="CG3380" s="1539"/>
      <c r="CH3380" s="1539"/>
      <c r="CI3380" s="1539"/>
      <c r="CJ3380" s="1539"/>
      <c r="CK3380" s="1539"/>
      <c r="CL3380" s="1539"/>
      <c r="CM3380" s="1539"/>
      <c r="CN3380" s="1539"/>
      <c r="CO3380" s="1539"/>
    </row>
    <row r="3381" spans="1:93" ht="15.5">
      <c r="A3381" s="1598">
        <v>78.613</v>
      </c>
      <c r="B3381" s="1599" t="s">
        <v>1400</v>
      </c>
      <c r="C3381" s="1643" t="e">
        <f>+SUMIF(#REF!,Final!A3381,#REF!)</f>
        <v>#REF!</v>
      </c>
      <c r="D3381" s="1597" t="e">
        <f>+SUMIF(#REF!,Final!A3381,#REF!)</f>
        <v>#REF!</v>
      </c>
      <c r="E3381" s="1643" t="e">
        <f>SUMIF(#REF!,Final!A3381,#REF!)</f>
        <v>#REF!</v>
      </c>
      <c r="F3381" s="1644" t="e">
        <f>SUMIF(#REF!,Final!A3381,#REF!)</f>
        <v>#REF!</v>
      </c>
      <c r="G3381" s="1597" t="e">
        <f t="shared" si="372"/>
        <v>#REF!</v>
      </c>
      <c r="H3381" s="1644" t="e">
        <f t="shared" si="373"/>
        <v>#REF!</v>
      </c>
      <c r="I3381" s="1597" t="e">
        <f t="shared" si="374"/>
        <v>#REF!</v>
      </c>
      <c r="J3381" s="1644" t="e">
        <f t="shared" si="375"/>
        <v>#REF!</v>
      </c>
      <c r="M3381" s="1545"/>
      <c r="N3381" s="1545"/>
    </row>
    <row r="3382" spans="1:93" ht="15.5">
      <c r="A3382" s="1598">
        <v>78.614000000000004</v>
      </c>
      <c r="B3382" s="1599" t="s">
        <v>1903</v>
      </c>
      <c r="C3382" s="1643" t="e">
        <f>+SUMIF(#REF!,Final!A3382,#REF!)</f>
        <v>#REF!</v>
      </c>
      <c r="D3382" s="1597" t="e">
        <f>+SUMIF(#REF!,Final!A3382,#REF!)</f>
        <v>#REF!</v>
      </c>
      <c r="E3382" s="1643" t="e">
        <f>SUMIF(#REF!,Final!A3382,#REF!)</f>
        <v>#REF!</v>
      </c>
      <c r="F3382" s="1644" t="e">
        <f>SUMIF(#REF!,Final!A3382,#REF!)</f>
        <v>#REF!</v>
      </c>
      <c r="G3382" s="1597" t="e">
        <f t="shared" si="372"/>
        <v>#REF!</v>
      </c>
      <c r="H3382" s="1644" t="e">
        <f t="shared" si="373"/>
        <v>#REF!</v>
      </c>
      <c r="I3382" s="1597" t="e">
        <f t="shared" si="374"/>
        <v>#REF!</v>
      </c>
      <c r="J3382" s="1644" t="e">
        <f t="shared" si="375"/>
        <v>#REF!</v>
      </c>
      <c r="M3382" s="1545"/>
      <c r="N3382" s="1545"/>
    </row>
    <row r="3383" spans="1:93" ht="15.5">
      <c r="A3383" s="1598">
        <v>78.614999999999995</v>
      </c>
      <c r="B3383" s="1599" t="s">
        <v>1904</v>
      </c>
      <c r="C3383" s="1643" t="e">
        <f>+SUMIF(#REF!,Final!A3383,#REF!)</f>
        <v>#REF!</v>
      </c>
      <c r="D3383" s="1597" t="e">
        <f>+SUMIF(#REF!,Final!A3383,#REF!)</f>
        <v>#REF!</v>
      </c>
      <c r="E3383" s="1643" t="e">
        <f>SUMIF(#REF!,Final!A3383,#REF!)</f>
        <v>#REF!</v>
      </c>
      <c r="F3383" s="1644" t="e">
        <f>SUMIF(#REF!,Final!A3383,#REF!)</f>
        <v>#REF!</v>
      </c>
      <c r="G3383" s="1597" t="e">
        <f t="shared" si="372"/>
        <v>#REF!</v>
      </c>
      <c r="H3383" s="1644" t="e">
        <f t="shared" si="373"/>
        <v>#REF!</v>
      </c>
      <c r="I3383" s="1597" t="e">
        <f t="shared" si="374"/>
        <v>#REF!</v>
      </c>
      <c r="J3383" s="1644" t="e">
        <f t="shared" si="375"/>
        <v>#REF!</v>
      </c>
      <c r="M3383" s="1545"/>
      <c r="N3383" s="1545"/>
    </row>
    <row r="3384" spans="1:93" s="1543" customFormat="1" ht="15.5">
      <c r="A3384" s="1598">
        <v>78.616</v>
      </c>
      <c r="B3384" s="1599" t="s">
        <v>423</v>
      </c>
      <c r="C3384" s="1643" t="e">
        <f>+SUMIF(#REF!,Final!A3384,#REF!)</f>
        <v>#REF!</v>
      </c>
      <c r="D3384" s="1597" t="e">
        <f>+SUMIF(#REF!,Final!A3384,#REF!)</f>
        <v>#REF!</v>
      </c>
      <c r="E3384" s="1643" t="e">
        <f>SUMIF(#REF!,Final!A3384,#REF!)</f>
        <v>#REF!</v>
      </c>
      <c r="F3384" s="1644" t="e">
        <f>SUMIF(#REF!,Final!A3384,#REF!)</f>
        <v>#REF!</v>
      </c>
      <c r="G3384" s="1597" t="e">
        <f t="shared" si="372"/>
        <v>#REF!</v>
      </c>
      <c r="H3384" s="1644" t="e">
        <f t="shared" si="373"/>
        <v>#REF!</v>
      </c>
      <c r="I3384" s="1597" t="e">
        <f t="shared" si="374"/>
        <v>#REF!</v>
      </c>
      <c r="J3384" s="1644" t="e">
        <f t="shared" si="375"/>
        <v>#REF!</v>
      </c>
      <c r="K3384" s="1539"/>
      <c r="L3384" s="1539"/>
      <c r="M3384" s="1545"/>
      <c r="N3384" s="1545"/>
      <c r="O3384" s="1539"/>
      <c r="P3384" s="1539"/>
      <c r="Q3384" s="1539"/>
      <c r="R3384" s="1539"/>
      <c r="S3384" s="1539"/>
      <c r="T3384" s="1539"/>
      <c r="U3384" s="1539"/>
      <c r="V3384" s="1539"/>
      <c r="W3384" s="1539"/>
      <c r="X3384" s="1539"/>
      <c r="Y3384" s="1539"/>
      <c r="Z3384" s="1539"/>
      <c r="AA3384" s="1539"/>
      <c r="AB3384" s="1539"/>
      <c r="AC3384" s="1539"/>
      <c r="AD3384" s="1539"/>
      <c r="AE3384" s="1539"/>
      <c r="AF3384" s="1539"/>
      <c r="AG3384" s="1539"/>
      <c r="AH3384" s="1539"/>
      <c r="AI3384" s="1539"/>
      <c r="AJ3384" s="1539"/>
      <c r="AK3384" s="1539"/>
      <c r="AL3384" s="1539"/>
      <c r="AM3384" s="1539"/>
      <c r="AN3384" s="1539"/>
      <c r="AO3384" s="1539"/>
      <c r="AP3384" s="1539"/>
      <c r="AQ3384" s="1539"/>
      <c r="AR3384" s="1539"/>
      <c r="AS3384" s="1539"/>
      <c r="AT3384" s="1539"/>
      <c r="AU3384" s="1539"/>
      <c r="AV3384" s="1539"/>
      <c r="AW3384" s="1539"/>
      <c r="AX3384" s="1539"/>
      <c r="AY3384" s="1539"/>
      <c r="AZ3384" s="1539"/>
      <c r="BA3384" s="1539"/>
      <c r="BB3384" s="1539"/>
      <c r="BC3384" s="1539"/>
      <c r="BD3384" s="1539"/>
      <c r="BE3384" s="1539"/>
      <c r="BF3384" s="1539"/>
      <c r="BG3384" s="1539"/>
      <c r="BH3384" s="1539"/>
      <c r="BI3384" s="1539"/>
      <c r="BJ3384" s="1539"/>
      <c r="BK3384" s="1539"/>
      <c r="BL3384" s="1539"/>
      <c r="BM3384" s="1539"/>
      <c r="BN3384" s="1539"/>
      <c r="BO3384" s="1539"/>
      <c r="BP3384" s="1539"/>
      <c r="BQ3384" s="1539"/>
      <c r="BR3384" s="1539"/>
      <c r="BS3384" s="1539"/>
      <c r="BT3384" s="1539"/>
      <c r="BU3384" s="1539"/>
      <c r="BV3384" s="1539"/>
      <c r="BW3384" s="1539"/>
      <c r="BX3384" s="1539"/>
      <c r="BY3384" s="1539"/>
      <c r="BZ3384" s="1539"/>
      <c r="CA3384" s="1539"/>
      <c r="CB3384" s="1539"/>
      <c r="CC3384" s="1539"/>
      <c r="CD3384" s="1539"/>
      <c r="CE3384" s="1539"/>
      <c r="CF3384" s="1539"/>
      <c r="CG3384" s="1539"/>
      <c r="CH3384" s="1539"/>
      <c r="CI3384" s="1539"/>
      <c r="CJ3384" s="1539"/>
      <c r="CK3384" s="1539"/>
      <c r="CL3384" s="1539"/>
      <c r="CM3384" s="1539"/>
      <c r="CN3384" s="1539"/>
      <c r="CO3384" s="1539"/>
    </row>
    <row r="3385" spans="1:93" s="1543" customFormat="1" ht="15.5">
      <c r="A3385" s="1598">
        <v>78.617000000000004</v>
      </c>
      <c r="B3385" s="1599" t="s">
        <v>1905</v>
      </c>
      <c r="C3385" s="1643" t="e">
        <f>+SUMIF(#REF!,Final!A3385,#REF!)</f>
        <v>#REF!</v>
      </c>
      <c r="D3385" s="1597" t="e">
        <f>+SUMIF(#REF!,Final!A3385,#REF!)</f>
        <v>#REF!</v>
      </c>
      <c r="E3385" s="1643" t="e">
        <f>SUMIF(#REF!,Final!A3385,#REF!)</f>
        <v>#REF!</v>
      </c>
      <c r="F3385" s="1644" t="e">
        <f>SUMIF(#REF!,Final!A3385,#REF!)</f>
        <v>#REF!</v>
      </c>
      <c r="G3385" s="1597" t="e">
        <f t="shared" si="372"/>
        <v>#REF!</v>
      </c>
      <c r="H3385" s="1644" t="e">
        <f t="shared" si="373"/>
        <v>#REF!</v>
      </c>
      <c r="I3385" s="1597" t="e">
        <f t="shared" si="374"/>
        <v>#REF!</v>
      </c>
      <c r="J3385" s="1644" t="e">
        <f t="shared" si="375"/>
        <v>#REF!</v>
      </c>
      <c r="K3385" s="1539"/>
      <c r="L3385" s="1539"/>
      <c r="M3385" s="1545"/>
      <c r="N3385" s="1545"/>
      <c r="O3385" s="1539"/>
      <c r="P3385" s="1539"/>
      <c r="Q3385" s="1539"/>
      <c r="R3385" s="1539"/>
      <c r="S3385" s="1539"/>
      <c r="T3385" s="1539"/>
      <c r="U3385" s="1539"/>
      <c r="V3385" s="1539"/>
      <c r="W3385" s="1539"/>
      <c r="X3385" s="1539"/>
      <c r="Y3385" s="1539"/>
      <c r="Z3385" s="1539"/>
      <c r="AA3385" s="1539"/>
      <c r="AB3385" s="1539"/>
      <c r="AC3385" s="1539"/>
      <c r="AD3385" s="1539"/>
      <c r="AE3385" s="1539"/>
      <c r="AF3385" s="1539"/>
      <c r="AG3385" s="1539"/>
      <c r="AH3385" s="1539"/>
      <c r="AI3385" s="1539"/>
      <c r="AJ3385" s="1539"/>
      <c r="AK3385" s="1539"/>
      <c r="AL3385" s="1539"/>
      <c r="AM3385" s="1539"/>
      <c r="AN3385" s="1539"/>
      <c r="AO3385" s="1539"/>
      <c r="AP3385" s="1539"/>
      <c r="AQ3385" s="1539"/>
      <c r="AR3385" s="1539"/>
      <c r="AS3385" s="1539"/>
      <c r="AT3385" s="1539"/>
      <c r="AU3385" s="1539"/>
      <c r="AV3385" s="1539"/>
      <c r="AW3385" s="1539"/>
      <c r="AX3385" s="1539"/>
      <c r="AY3385" s="1539"/>
      <c r="AZ3385" s="1539"/>
      <c r="BA3385" s="1539"/>
      <c r="BB3385" s="1539"/>
      <c r="BC3385" s="1539"/>
      <c r="BD3385" s="1539"/>
      <c r="BE3385" s="1539"/>
      <c r="BF3385" s="1539"/>
      <c r="BG3385" s="1539"/>
      <c r="BH3385" s="1539"/>
      <c r="BI3385" s="1539"/>
      <c r="BJ3385" s="1539"/>
      <c r="BK3385" s="1539"/>
      <c r="BL3385" s="1539"/>
      <c r="BM3385" s="1539"/>
      <c r="BN3385" s="1539"/>
      <c r="BO3385" s="1539"/>
      <c r="BP3385" s="1539"/>
      <c r="BQ3385" s="1539"/>
      <c r="BR3385" s="1539"/>
      <c r="BS3385" s="1539"/>
      <c r="BT3385" s="1539"/>
      <c r="BU3385" s="1539"/>
      <c r="BV3385" s="1539"/>
      <c r="BW3385" s="1539"/>
      <c r="BX3385" s="1539"/>
      <c r="BY3385" s="1539"/>
      <c r="BZ3385" s="1539"/>
      <c r="CA3385" s="1539"/>
      <c r="CB3385" s="1539"/>
      <c r="CC3385" s="1539"/>
      <c r="CD3385" s="1539"/>
      <c r="CE3385" s="1539"/>
      <c r="CF3385" s="1539"/>
      <c r="CG3385" s="1539"/>
      <c r="CH3385" s="1539"/>
      <c r="CI3385" s="1539"/>
      <c r="CJ3385" s="1539"/>
      <c r="CK3385" s="1539"/>
      <c r="CL3385" s="1539"/>
      <c r="CM3385" s="1539"/>
      <c r="CN3385" s="1539"/>
      <c r="CO3385" s="1539"/>
    </row>
    <row r="3386" spans="1:93" s="1552" customFormat="1" ht="15.5">
      <c r="A3386" s="1598"/>
      <c r="B3386" s="1599" t="s">
        <v>1747</v>
      </c>
      <c r="C3386" s="1643" t="e">
        <f>+SUMIF(#REF!,Final!A3386,#REF!)</f>
        <v>#REF!</v>
      </c>
      <c r="D3386" s="1597" t="e">
        <f>+SUMIF(#REF!,Final!A3386,#REF!)</f>
        <v>#REF!</v>
      </c>
      <c r="E3386" s="1643" t="e">
        <f>SUMIF(#REF!,Final!A3386,#REF!)</f>
        <v>#REF!</v>
      </c>
      <c r="F3386" s="1644" t="e">
        <f>SUMIF(#REF!,Final!A3386,#REF!)</f>
        <v>#REF!</v>
      </c>
      <c r="G3386" s="1597" t="e">
        <f t="shared" si="372"/>
        <v>#REF!</v>
      </c>
      <c r="H3386" s="1644" t="e">
        <f t="shared" si="373"/>
        <v>#REF!</v>
      </c>
      <c r="I3386" s="1597" t="e">
        <f t="shared" si="374"/>
        <v>#REF!</v>
      </c>
      <c r="J3386" s="1644" t="e">
        <f t="shared" si="375"/>
        <v>#REF!</v>
      </c>
      <c r="K3386" s="1539"/>
      <c r="L3386" s="1539"/>
      <c r="M3386" s="1545"/>
      <c r="N3386" s="1545"/>
      <c r="O3386" s="1539"/>
      <c r="P3386" s="1539"/>
      <c r="Q3386" s="1539"/>
      <c r="R3386" s="1539"/>
      <c r="S3386" s="1539"/>
      <c r="T3386" s="1539"/>
      <c r="U3386" s="1539"/>
      <c r="V3386" s="1539"/>
      <c r="W3386" s="1539"/>
      <c r="X3386" s="1539"/>
      <c r="Y3386" s="1539"/>
      <c r="Z3386" s="1539"/>
      <c r="AA3386" s="1539"/>
      <c r="AB3386" s="1539"/>
      <c r="AC3386" s="1539"/>
      <c r="AD3386" s="1539"/>
      <c r="AE3386" s="1539"/>
      <c r="AF3386" s="1539"/>
      <c r="AG3386" s="1539"/>
      <c r="AH3386" s="1539"/>
      <c r="AI3386" s="1539"/>
      <c r="AJ3386" s="1539"/>
      <c r="AK3386" s="1539"/>
      <c r="AL3386" s="1539"/>
      <c r="AM3386" s="1539"/>
      <c r="AN3386" s="1539"/>
      <c r="AO3386" s="1539"/>
      <c r="AP3386" s="1539"/>
      <c r="AQ3386" s="1539"/>
      <c r="AR3386" s="1539"/>
      <c r="AS3386" s="1539"/>
      <c r="AT3386" s="1539"/>
      <c r="AU3386" s="1539"/>
      <c r="AV3386" s="1539"/>
      <c r="AW3386" s="1539"/>
      <c r="AX3386" s="1539"/>
      <c r="AY3386" s="1539"/>
      <c r="AZ3386" s="1539"/>
      <c r="BA3386" s="1539"/>
      <c r="BB3386" s="1539"/>
      <c r="BC3386" s="1539"/>
      <c r="BD3386" s="1539"/>
      <c r="BE3386" s="1539"/>
      <c r="BF3386" s="1539"/>
      <c r="BG3386" s="1539"/>
      <c r="BH3386" s="1539"/>
      <c r="BI3386" s="1539"/>
      <c r="BJ3386" s="1539"/>
      <c r="BK3386" s="1539"/>
      <c r="BL3386" s="1539"/>
      <c r="BM3386" s="1539"/>
      <c r="BN3386" s="1539"/>
      <c r="BO3386" s="1539"/>
      <c r="BP3386" s="1539"/>
      <c r="BQ3386" s="1539"/>
      <c r="BR3386" s="1539"/>
      <c r="BS3386" s="1539"/>
      <c r="BT3386" s="1539"/>
      <c r="BU3386" s="1539"/>
      <c r="BV3386" s="1539"/>
      <c r="BW3386" s="1539"/>
      <c r="BX3386" s="1539"/>
      <c r="BY3386" s="1539"/>
      <c r="BZ3386" s="1539"/>
      <c r="CA3386" s="1539"/>
      <c r="CB3386" s="1539"/>
      <c r="CC3386" s="1539"/>
      <c r="CD3386" s="1539"/>
      <c r="CE3386" s="1539"/>
      <c r="CF3386" s="1539"/>
      <c r="CG3386" s="1539"/>
      <c r="CH3386" s="1539"/>
      <c r="CI3386" s="1539"/>
      <c r="CJ3386" s="1539"/>
      <c r="CK3386" s="1539"/>
      <c r="CL3386" s="1539"/>
      <c r="CM3386" s="1539"/>
      <c r="CN3386" s="1539"/>
      <c r="CO3386" s="1539"/>
    </row>
    <row r="3387" spans="1:93" s="1552" customFormat="1" ht="15.5">
      <c r="A3387" s="1598"/>
      <c r="B3387" s="1599" t="s">
        <v>1760</v>
      </c>
      <c r="C3387" s="1643" t="e">
        <f>+SUMIF(#REF!,Final!A3387,#REF!)</f>
        <v>#REF!</v>
      </c>
      <c r="D3387" s="1597" t="e">
        <f>+SUMIF(#REF!,Final!A3387,#REF!)</f>
        <v>#REF!</v>
      </c>
      <c r="E3387" s="1643" t="e">
        <f>SUMIF(#REF!,Final!A3387,#REF!)</f>
        <v>#REF!</v>
      </c>
      <c r="F3387" s="1644" t="e">
        <f>SUMIF(#REF!,Final!A3387,#REF!)</f>
        <v>#REF!</v>
      </c>
      <c r="G3387" s="1597" t="e">
        <f t="shared" si="372"/>
        <v>#REF!</v>
      </c>
      <c r="H3387" s="1644" t="e">
        <f t="shared" si="373"/>
        <v>#REF!</v>
      </c>
      <c r="I3387" s="1597" t="e">
        <f t="shared" si="374"/>
        <v>#REF!</v>
      </c>
      <c r="J3387" s="1644" t="e">
        <f t="shared" si="375"/>
        <v>#REF!</v>
      </c>
      <c r="K3387" s="1539"/>
      <c r="L3387" s="1539"/>
      <c r="M3387" s="1545"/>
      <c r="N3387" s="1545"/>
      <c r="O3387" s="1539"/>
      <c r="P3387" s="1539"/>
      <c r="Q3387" s="1539"/>
      <c r="R3387" s="1539"/>
      <c r="S3387" s="1539"/>
      <c r="T3387" s="1539"/>
      <c r="U3387" s="1539"/>
      <c r="V3387" s="1539"/>
      <c r="W3387" s="1539"/>
      <c r="X3387" s="1539"/>
      <c r="Y3387" s="1539"/>
      <c r="Z3387" s="1539"/>
      <c r="AA3387" s="1539"/>
      <c r="AB3387" s="1539"/>
      <c r="AC3387" s="1539"/>
      <c r="AD3387" s="1539"/>
      <c r="AE3387" s="1539"/>
      <c r="AF3387" s="1539"/>
      <c r="AG3387" s="1539"/>
      <c r="AH3387" s="1539"/>
      <c r="AI3387" s="1539"/>
      <c r="AJ3387" s="1539"/>
      <c r="AK3387" s="1539"/>
      <c r="AL3387" s="1539"/>
      <c r="AM3387" s="1539"/>
      <c r="AN3387" s="1539"/>
      <c r="AO3387" s="1539"/>
      <c r="AP3387" s="1539"/>
      <c r="AQ3387" s="1539"/>
      <c r="AR3387" s="1539"/>
      <c r="AS3387" s="1539"/>
      <c r="AT3387" s="1539"/>
      <c r="AU3387" s="1539"/>
      <c r="AV3387" s="1539"/>
      <c r="AW3387" s="1539"/>
      <c r="AX3387" s="1539"/>
      <c r="AY3387" s="1539"/>
      <c r="AZ3387" s="1539"/>
      <c r="BA3387" s="1539"/>
      <c r="BB3387" s="1539"/>
      <c r="BC3387" s="1539"/>
      <c r="BD3387" s="1539"/>
      <c r="BE3387" s="1539"/>
      <c r="BF3387" s="1539"/>
      <c r="BG3387" s="1539"/>
      <c r="BH3387" s="1539"/>
      <c r="BI3387" s="1539"/>
      <c r="BJ3387" s="1539"/>
      <c r="BK3387" s="1539"/>
      <c r="BL3387" s="1539"/>
      <c r="BM3387" s="1539"/>
      <c r="BN3387" s="1539"/>
      <c r="BO3387" s="1539"/>
      <c r="BP3387" s="1539"/>
      <c r="BQ3387" s="1539"/>
      <c r="BR3387" s="1539"/>
      <c r="BS3387" s="1539"/>
      <c r="BT3387" s="1539"/>
      <c r="BU3387" s="1539"/>
      <c r="BV3387" s="1539"/>
      <c r="BW3387" s="1539"/>
      <c r="BX3387" s="1539"/>
      <c r="BY3387" s="1539"/>
      <c r="BZ3387" s="1539"/>
      <c r="CA3387" s="1539"/>
      <c r="CB3387" s="1539"/>
      <c r="CC3387" s="1539"/>
      <c r="CD3387" s="1539"/>
      <c r="CE3387" s="1539"/>
      <c r="CF3387" s="1539"/>
      <c r="CG3387" s="1539"/>
      <c r="CH3387" s="1539"/>
      <c r="CI3387" s="1539"/>
      <c r="CJ3387" s="1539"/>
      <c r="CK3387" s="1539"/>
      <c r="CL3387" s="1539"/>
      <c r="CM3387" s="1539"/>
      <c r="CN3387" s="1539"/>
      <c r="CO3387" s="1539"/>
    </row>
    <row r="3388" spans="1:93" s="1542" customFormat="1" ht="15.5">
      <c r="A3388" s="1598" t="s">
        <v>543</v>
      </c>
      <c r="B3388" s="1599" t="s">
        <v>3295</v>
      </c>
      <c r="C3388" s="1643" t="e">
        <f>+SUMIF(#REF!,Final!A3388,#REF!)</f>
        <v>#REF!</v>
      </c>
      <c r="D3388" s="1597" t="e">
        <f>+SUMIF(#REF!,Final!A3388,#REF!)</f>
        <v>#REF!</v>
      </c>
      <c r="E3388" s="1643" t="e">
        <f>SUMIF(#REF!,Final!A3388,#REF!)</f>
        <v>#REF!</v>
      </c>
      <c r="F3388" s="1644" t="e">
        <f>SUMIF(#REF!,Final!A3388,#REF!)</f>
        <v>#REF!</v>
      </c>
      <c r="G3388" s="1597" t="e">
        <f t="shared" si="372"/>
        <v>#REF!</v>
      </c>
      <c r="H3388" s="1644" t="e">
        <f t="shared" si="373"/>
        <v>#REF!</v>
      </c>
      <c r="I3388" s="1597" t="e">
        <f t="shared" si="374"/>
        <v>#REF!</v>
      </c>
      <c r="J3388" s="1644" t="e">
        <f t="shared" si="375"/>
        <v>#REF!</v>
      </c>
      <c r="K3388" s="1539"/>
      <c r="L3388" s="1539"/>
      <c r="M3388" s="1545"/>
      <c r="N3388" s="1545"/>
      <c r="O3388" s="1539"/>
      <c r="P3388" s="1539"/>
      <c r="Q3388" s="1539"/>
      <c r="R3388" s="1539"/>
      <c r="S3388" s="1539"/>
      <c r="T3388" s="1539"/>
      <c r="U3388" s="1539"/>
      <c r="V3388" s="1539"/>
      <c r="W3388" s="1539"/>
      <c r="X3388" s="1539"/>
      <c r="Y3388" s="1539"/>
      <c r="Z3388" s="1539"/>
      <c r="AA3388" s="1539"/>
      <c r="AB3388" s="1539"/>
      <c r="AC3388" s="1539"/>
      <c r="AD3388" s="1539"/>
      <c r="AE3388" s="1539"/>
      <c r="AF3388" s="1539"/>
      <c r="AG3388" s="1539"/>
      <c r="AH3388" s="1539"/>
      <c r="AI3388" s="1539"/>
      <c r="AJ3388" s="1539"/>
      <c r="AK3388" s="1539"/>
      <c r="AL3388" s="1539"/>
      <c r="AM3388" s="1539"/>
      <c r="AN3388" s="1539"/>
      <c r="AO3388" s="1539"/>
      <c r="AP3388" s="1539"/>
      <c r="AQ3388" s="1539"/>
      <c r="AR3388" s="1539"/>
      <c r="AS3388" s="1539"/>
      <c r="AT3388" s="1539"/>
      <c r="AU3388" s="1539"/>
      <c r="AV3388" s="1539"/>
      <c r="AW3388" s="1539"/>
      <c r="AX3388" s="1539"/>
      <c r="AY3388" s="1539"/>
      <c r="AZ3388" s="1539"/>
      <c r="BA3388" s="1539"/>
      <c r="BB3388" s="1539"/>
      <c r="BC3388" s="1539"/>
      <c r="BD3388" s="1539"/>
      <c r="BE3388" s="1539"/>
      <c r="BF3388" s="1539"/>
      <c r="BG3388" s="1539"/>
      <c r="BH3388" s="1539"/>
      <c r="BI3388" s="1539"/>
      <c r="BJ3388" s="1539"/>
      <c r="BK3388" s="1539"/>
      <c r="BL3388" s="1539"/>
      <c r="BM3388" s="1539"/>
      <c r="BN3388" s="1539"/>
      <c r="BO3388" s="1539"/>
      <c r="BP3388" s="1539"/>
      <c r="BQ3388" s="1539"/>
      <c r="BR3388" s="1539"/>
      <c r="BS3388" s="1539"/>
      <c r="BT3388" s="1539"/>
      <c r="BU3388" s="1539"/>
      <c r="BV3388" s="1539"/>
      <c r="BW3388" s="1539"/>
      <c r="BX3388" s="1539"/>
      <c r="BY3388" s="1539"/>
      <c r="BZ3388" s="1539"/>
      <c r="CA3388" s="1539"/>
      <c r="CB3388" s="1539"/>
      <c r="CC3388" s="1539"/>
      <c r="CD3388" s="1539"/>
      <c r="CE3388" s="1539"/>
      <c r="CF3388" s="1539"/>
      <c r="CG3388" s="1539"/>
      <c r="CH3388" s="1539"/>
      <c r="CI3388" s="1539"/>
      <c r="CJ3388" s="1539"/>
      <c r="CK3388" s="1539"/>
      <c r="CL3388" s="1539"/>
      <c r="CM3388" s="1539"/>
      <c r="CN3388" s="1539"/>
      <c r="CO3388" s="1539"/>
    </row>
    <row r="3389" spans="1:93" ht="15.5">
      <c r="A3389" s="1598">
        <v>78.716999999999999</v>
      </c>
      <c r="B3389" s="1599" t="s">
        <v>3298</v>
      </c>
      <c r="C3389" s="1643" t="e">
        <f>+SUMIF(#REF!,Final!A3389,#REF!)</f>
        <v>#REF!</v>
      </c>
      <c r="D3389" s="1597" t="e">
        <f>+SUMIF(#REF!,Final!A3389,#REF!)</f>
        <v>#REF!</v>
      </c>
      <c r="E3389" s="1643" t="e">
        <f>SUMIF(#REF!,Final!A3389,#REF!)</f>
        <v>#REF!</v>
      </c>
      <c r="F3389" s="1644" t="e">
        <f>SUMIF(#REF!,Final!A3389,#REF!)</f>
        <v>#REF!</v>
      </c>
      <c r="G3389" s="1597" t="e">
        <f t="shared" si="372"/>
        <v>#REF!</v>
      </c>
      <c r="H3389" s="1644" t="e">
        <f t="shared" si="373"/>
        <v>#REF!</v>
      </c>
      <c r="I3389" s="1597" t="e">
        <f t="shared" si="374"/>
        <v>#REF!</v>
      </c>
      <c r="J3389" s="1644" t="e">
        <f t="shared" si="375"/>
        <v>#REF!</v>
      </c>
      <c r="M3389" s="1545"/>
      <c r="N3389" s="1545"/>
    </row>
    <row r="3390" spans="1:93" ht="15.5">
      <c r="A3390" s="1598">
        <v>78.718000000000004</v>
      </c>
      <c r="B3390" s="1599" t="s">
        <v>3299</v>
      </c>
      <c r="C3390" s="1643" t="e">
        <f>+SUMIF(#REF!,Final!A3390,#REF!)</f>
        <v>#REF!</v>
      </c>
      <c r="D3390" s="1597" t="e">
        <f>+SUMIF(#REF!,Final!A3390,#REF!)</f>
        <v>#REF!</v>
      </c>
      <c r="E3390" s="1643" t="e">
        <f>SUMIF(#REF!,Final!A3390,#REF!)</f>
        <v>#REF!</v>
      </c>
      <c r="F3390" s="1644" t="e">
        <f>SUMIF(#REF!,Final!A3390,#REF!)</f>
        <v>#REF!</v>
      </c>
      <c r="G3390" s="1597" t="e">
        <f t="shared" si="372"/>
        <v>#REF!</v>
      </c>
      <c r="H3390" s="1644" t="e">
        <f t="shared" si="373"/>
        <v>#REF!</v>
      </c>
      <c r="I3390" s="1597" t="e">
        <f t="shared" si="374"/>
        <v>#REF!</v>
      </c>
      <c r="J3390" s="1644" t="e">
        <f t="shared" si="375"/>
        <v>#REF!</v>
      </c>
      <c r="M3390" s="1545"/>
      <c r="N3390" s="1545"/>
    </row>
    <row r="3391" spans="1:93" s="1542" customFormat="1" ht="15.5">
      <c r="A3391" s="1598">
        <v>78.718999999999994</v>
      </c>
      <c r="B3391" s="1599" t="s">
        <v>3300</v>
      </c>
      <c r="C3391" s="1643" t="e">
        <f>+SUMIF(#REF!,Final!A3391,#REF!)</f>
        <v>#REF!</v>
      </c>
      <c r="D3391" s="1597" t="e">
        <f>+SUMIF(#REF!,Final!A3391,#REF!)</f>
        <v>#REF!</v>
      </c>
      <c r="E3391" s="1643" t="e">
        <f>SUMIF(#REF!,Final!A3391,#REF!)</f>
        <v>#REF!</v>
      </c>
      <c r="F3391" s="1644" t="e">
        <f>SUMIF(#REF!,Final!A3391,#REF!)</f>
        <v>#REF!</v>
      </c>
      <c r="G3391" s="1597" t="e">
        <f t="shared" si="372"/>
        <v>#REF!</v>
      </c>
      <c r="H3391" s="1644" t="e">
        <f t="shared" si="373"/>
        <v>#REF!</v>
      </c>
      <c r="I3391" s="1597" t="e">
        <f t="shared" si="374"/>
        <v>#REF!</v>
      </c>
      <c r="J3391" s="1644" t="e">
        <f t="shared" si="375"/>
        <v>#REF!</v>
      </c>
      <c r="K3391" s="1539"/>
      <c r="L3391" s="1539"/>
      <c r="M3391" s="1545"/>
      <c r="N3391" s="1545"/>
      <c r="O3391" s="1539"/>
      <c r="P3391" s="1539"/>
      <c r="Q3391" s="1539"/>
      <c r="R3391" s="1539"/>
      <c r="S3391" s="1539"/>
      <c r="T3391" s="1539"/>
      <c r="U3391" s="1539"/>
      <c r="V3391" s="1539"/>
      <c r="W3391" s="1539"/>
      <c r="X3391" s="1539"/>
      <c r="Y3391" s="1539"/>
      <c r="Z3391" s="1539"/>
      <c r="AA3391" s="1539"/>
      <c r="AB3391" s="1539"/>
      <c r="AC3391" s="1539"/>
      <c r="AD3391" s="1539"/>
      <c r="AE3391" s="1539"/>
      <c r="AF3391" s="1539"/>
      <c r="AG3391" s="1539"/>
      <c r="AH3391" s="1539"/>
      <c r="AI3391" s="1539"/>
      <c r="AJ3391" s="1539"/>
      <c r="AK3391" s="1539"/>
      <c r="AL3391" s="1539"/>
      <c r="AM3391" s="1539"/>
      <c r="AN3391" s="1539"/>
      <c r="AO3391" s="1539"/>
      <c r="AP3391" s="1539"/>
      <c r="AQ3391" s="1539"/>
      <c r="AR3391" s="1539"/>
      <c r="AS3391" s="1539"/>
      <c r="AT3391" s="1539"/>
      <c r="AU3391" s="1539"/>
      <c r="AV3391" s="1539"/>
      <c r="AW3391" s="1539"/>
      <c r="AX3391" s="1539"/>
      <c r="AY3391" s="1539"/>
      <c r="AZ3391" s="1539"/>
      <c r="BA3391" s="1539"/>
      <c r="BB3391" s="1539"/>
      <c r="BC3391" s="1539"/>
      <c r="BD3391" s="1539"/>
      <c r="BE3391" s="1539"/>
      <c r="BF3391" s="1539"/>
      <c r="BG3391" s="1539"/>
      <c r="BH3391" s="1539"/>
      <c r="BI3391" s="1539"/>
      <c r="BJ3391" s="1539"/>
      <c r="BK3391" s="1539"/>
      <c r="BL3391" s="1539"/>
      <c r="BM3391" s="1539"/>
      <c r="BN3391" s="1539"/>
      <c r="BO3391" s="1539"/>
      <c r="BP3391" s="1539"/>
      <c r="BQ3391" s="1539"/>
      <c r="BR3391" s="1539"/>
      <c r="BS3391" s="1539"/>
      <c r="BT3391" s="1539"/>
      <c r="BU3391" s="1539"/>
      <c r="BV3391" s="1539"/>
      <c r="BW3391" s="1539"/>
      <c r="BX3391" s="1539"/>
      <c r="BY3391" s="1539"/>
      <c r="BZ3391" s="1539"/>
      <c r="CA3391" s="1539"/>
      <c r="CB3391" s="1539"/>
      <c r="CC3391" s="1539"/>
      <c r="CD3391" s="1539"/>
      <c r="CE3391" s="1539"/>
      <c r="CF3391" s="1539"/>
      <c r="CG3391" s="1539"/>
      <c r="CH3391" s="1539"/>
      <c r="CI3391" s="1539"/>
      <c r="CJ3391" s="1539"/>
      <c r="CK3391" s="1539"/>
      <c r="CL3391" s="1539"/>
      <c r="CM3391" s="1539"/>
      <c r="CN3391" s="1539"/>
      <c r="CO3391" s="1539"/>
    </row>
    <row r="3392" spans="1:93" s="1542" customFormat="1" ht="15.5">
      <c r="A3392" s="1598">
        <v>78.72</v>
      </c>
      <c r="B3392" s="1599" t="s">
        <v>3545</v>
      </c>
      <c r="C3392" s="1643" t="e">
        <f>+SUMIF(#REF!,Final!A3392,#REF!)</f>
        <v>#REF!</v>
      </c>
      <c r="D3392" s="1597" t="e">
        <f>+SUMIF(#REF!,Final!A3392,#REF!)</f>
        <v>#REF!</v>
      </c>
      <c r="E3392" s="1643" t="e">
        <f>SUMIF(#REF!,Final!A3392,#REF!)</f>
        <v>#REF!</v>
      </c>
      <c r="F3392" s="1644" t="e">
        <f>SUMIF(#REF!,Final!A3392,#REF!)</f>
        <v>#REF!</v>
      </c>
      <c r="G3392" s="1597" t="e">
        <f t="shared" si="372"/>
        <v>#REF!</v>
      </c>
      <c r="H3392" s="1644" t="e">
        <f t="shared" si="373"/>
        <v>#REF!</v>
      </c>
      <c r="I3392" s="1597" t="e">
        <f t="shared" si="374"/>
        <v>#REF!</v>
      </c>
      <c r="J3392" s="1644" t="e">
        <f t="shared" si="375"/>
        <v>#REF!</v>
      </c>
      <c r="K3392" s="1539"/>
      <c r="L3392" s="1539"/>
      <c r="M3392" s="1545"/>
      <c r="N3392" s="1545"/>
      <c r="O3392" s="1539"/>
      <c r="P3392" s="1539"/>
      <c r="Q3392" s="1539"/>
      <c r="R3392" s="1539"/>
      <c r="S3392" s="1539"/>
      <c r="T3392" s="1539"/>
      <c r="U3392" s="1539"/>
      <c r="V3392" s="1539"/>
      <c r="W3392" s="1539"/>
      <c r="X3392" s="1539"/>
      <c r="Y3392" s="1539"/>
      <c r="Z3392" s="1539"/>
      <c r="AA3392" s="1539"/>
      <c r="AB3392" s="1539"/>
      <c r="AC3392" s="1539"/>
      <c r="AD3392" s="1539"/>
      <c r="AE3392" s="1539"/>
      <c r="AF3392" s="1539"/>
      <c r="AG3392" s="1539"/>
      <c r="AH3392" s="1539"/>
      <c r="AI3392" s="1539"/>
      <c r="AJ3392" s="1539"/>
      <c r="AK3392" s="1539"/>
      <c r="AL3392" s="1539"/>
      <c r="AM3392" s="1539"/>
      <c r="AN3392" s="1539"/>
      <c r="AO3392" s="1539"/>
      <c r="AP3392" s="1539"/>
      <c r="AQ3392" s="1539"/>
      <c r="AR3392" s="1539"/>
      <c r="AS3392" s="1539"/>
      <c r="AT3392" s="1539"/>
      <c r="AU3392" s="1539"/>
      <c r="AV3392" s="1539"/>
      <c r="AW3392" s="1539"/>
      <c r="AX3392" s="1539"/>
      <c r="AY3392" s="1539"/>
      <c r="AZ3392" s="1539"/>
      <c r="BA3392" s="1539"/>
      <c r="BB3392" s="1539"/>
      <c r="BC3392" s="1539"/>
      <c r="BD3392" s="1539"/>
      <c r="BE3392" s="1539"/>
      <c r="BF3392" s="1539"/>
      <c r="BG3392" s="1539"/>
      <c r="BH3392" s="1539"/>
      <c r="BI3392" s="1539"/>
      <c r="BJ3392" s="1539"/>
      <c r="BK3392" s="1539"/>
      <c r="BL3392" s="1539"/>
      <c r="BM3392" s="1539"/>
      <c r="BN3392" s="1539"/>
      <c r="BO3392" s="1539"/>
      <c r="BP3392" s="1539"/>
      <c r="BQ3392" s="1539"/>
      <c r="BR3392" s="1539"/>
      <c r="BS3392" s="1539"/>
      <c r="BT3392" s="1539"/>
      <c r="BU3392" s="1539"/>
      <c r="BV3392" s="1539"/>
      <c r="BW3392" s="1539"/>
      <c r="BX3392" s="1539"/>
      <c r="BY3392" s="1539"/>
      <c r="BZ3392" s="1539"/>
      <c r="CA3392" s="1539"/>
      <c r="CB3392" s="1539"/>
      <c r="CC3392" s="1539"/>
      <c r="CD3392" s="1539"/>
      <c r="CE3392" s="1539"/>
      <c r="CF3392" s="1539"/>
      <c r="CG3392" s="1539"/>
      <c r="CH3392" s="1539"/>
      <c r="CI3392" s="1539"/>
      <c r="CJ3392" s="1539"/>
      <c r="CK3392" s="1539"/>
      <c r="CL3392" s="1539"/>
      <c r="CM3392" s="1539"/>
      <c r="CN3392" s="1539"/>
      <c r="CO3392" s="1539"/>
    </row>
    <row r="3393" spans="1:93" s="1542" customFormat="1" ht="15.5">
      <c r="A3393" s="1598">
        <v>78.721000000000004</v>
      </c>
      <c r="B3393" s="1599" t="s">
        <v>4679</v>
      </c>
      <c r="C3393" s="1643" t="e">
        <f>+SUMIF(#REF!,Final!A3393,#REF!)</f>
        <v>#REF!</v>
      </c>
      <c r="D3393" s="1597" t="e">
        <f>+SUMIF(#REF!,Final!A3393,#REF!)</f>
        <v>#REF!</v>
      </c>
      <c r="E3393" s="1643" t="e">
        <f>SUMIF(#REF!,Final!A3393,#REF!)</f>
        <v>#REF!</v>
      </c>
      <c r="F3393" s="1644" t="e">
        <f>SUMIF(#REF!,Final!A3393,#REF!)</f>
        <v>#REF!</v>
      </c>
      <c r="G3393" s="1597" t="e">
        <f t="shared" si="372"/>
        <v>#REF!</v>
      </c>
      <c r="H3393" s="1644" t="e">
        <f t="shared" si="373"/>
        <v>#REF!</v>
      </c>
      <c r="I3393" s="1597" t="e">
        <f t="shared" si="374"/>
        <v>#REF!</v>
      </c>
      <c r="J3393" s="1644" t="e">
        <f t="shared" si="375"/>
        <v>#REF!</v>
      </c>
      <c r="K3393" s="1539"/>
      <c r="L3393" s="1539"/>
      <c r="M3393" s="1545"/>
      <c r="N3393" s="1545"/>
      <c r="O3393" s="1539"/>
      <c r="P3393" s="1539"/>
      <c r="Q3393" s="1539"/>
      <c r="R3393" s="1539"/>
      <c r="S3393" s="1539"/>
      <c r="T3393" s="1539"/>
      <c r="U3393" s="1539"/>
      <c r="V3393" s="1539"/>
      <c r="W3393" s="1539"/>
      <c r="X3393" s="1539"/>
      <c r="Y3393" s="1539"/>
      <c r="Z3393" s="1539"/>
      <c r="AA3393" s="1539"/>
      <c r="AB3393" s="1539"/>
      <c r="AC3393" s="1539"/>
      <c r="AD3393" s="1539"/>
      <c r="AE3393" s="1539"/>
      <c r="AF3393" s="1539"/>
      <c r="AG3393" s="1539"/>
      <c r="AH3393" s="1539"/>
      <c r="AI3393" s="1539"/>
      <c r="AJ3393" s="1539"/>
      <c r="AK3393" s="1539"/>
      <c r="AL3393" s="1539"/>
      <c r="AM3393" s="1539"/>
      <c r="AN3393" s="1539"/>
      <c r="AO3393" s="1539"/>
      <c r="AP3393" s="1539"/>
      <c r="AQ3393" s="1539"/>
      <c r="AR3393" s="1539"/>
      <c r="AS3393" s="1539"/>
      <c r="AT3393" s="1539"/>
      <c r="AU3393" s="1539"/>
      <c r="AV3393" s="1539"/>
      <c r="AW3393" s="1539"/>
      <c r="AX3393" s="1539"/>
      <c r="AY3393" s="1539"/>
      <c r="AZ3393" s="1539"/>
      <c r="BA3393" s="1539"/>
      <c r="BB3393" s="1539"/>
      <c r="BC3393" s="1539"/>
      <c r="BD3393" s="1539"/>
      <c r="BE3393" s="1539"/>
      <c r="BF3393" s="1539"/>
      <c r="BG3393" s="1539"/>
      <c r="BH3393" s="1539"/>
      <c r="BI3393" s="1539"/>
      <c r="BJ3393" s="1539"/>
      <c r="BK3393" s="1539"/>
      <c r="BL3393" s="1539"/>
      <c r="BM3393" s="1539"/>
      <c r="BN3393" s="1539"/>
      <c r="BO3393" s="1539"/>
      <c r="BP3393" s="1539"/>
      <c r="BQ3393" s="1539"/>
      <c r="BR3393" s="1539"/>
      <c r="BS3393" s="1539"/>
      <c r="BT3393" s="1539"/>
      <c r="BU3393" s="1539"/>
      <c r="BV3393" s="1539"/>
      <c r="BW3393" s="1539"/>
      <c r="BX3393" s="1539"/>
      <c r="BY3393" s="1539"/>
      <c r="BZ3393" s="1539"/>
      <c r="CA3393" s="1539"/>
      <c r="CB3393" s="1539"/>
      <c r="CC3393" s="1539"/>
      <c r="CD3393" s="1539"/>
      <c r="CE3393" s="1539"/>
      <c r="CF3393" s="1539"/>
      <c r="CG3393" s="1539"/>
      <c r="CH3393" s="1539"/>
      <c r="CI3393" s="1539"/>
      <c r="CJ3393" s="1539"/>
      <c r="CK3393" s="1539"/>
      <c r="CL3393" s="1539"/>
      <c r="CM3393" s="1539"/>
      <c r="CN3393" s="1539"/>
      <c r="CO3393" s="1539"/>
    </row>
    <row r="3394" spans="1:93" s="1552" customFormat="1" ht="15.5">
      <c r="A3394" s="1598"/>
      <c r="B3394" s="1599" t="s">
        <v>1747</v>
      </c>
      <c r="C3394" s="1643" t="e">
        <f>+SUMIF(#REF!,Final!A3394,#REF!)</f>
        <v>#REF!</v>
      </c>
      <c r="D3394" s="1597" t="e">
        <f>+SUMIF(#REF!,Final!A3394,#REF!)</f>
        <v>#REF!</v>
      </c>
      <c r="E3394" s="1643" t="e">
        <f>SUMIF(#REF!,Final!A3394,#REF!)</f>
        <v>#REF!</v>
      </c>
      <c r="F3394" s="1644" t="e">
        <f>SUMIF(#REF!,Final!A3394,#REF!)</f>
        <v>#REF!</v>
      </c>
      <c r="G3394" s="1597" t="e">
        <f t="shared" ref="G3394:G3457" si="376">C3394+E3394</f>
        <v>#REF!</v>
      </c>
      <c r="H3394" s="1644" t="e">
        <f t="shared" ref="H3394:H3457" si="377">D3394+F3394</f>
        <v>#REF!</v>
      </c>
      <c r="I3394" s="1597" t="e">
        <f t="shared" ref="I3394:I3457" si="378">IF(G3394&gt;H3394,G3394-H3394,0)</f>
        <v>#REF!</v>
      </c>
      <c r="J3394" s="1644" t="e">
        <f t="shared" ref="J3394:J3457" si="379">IF(H3394&gt;G3394,H3394-G3394,0)</f>
        <v>#REF!</v>
      </c>
      <c r="K3394" s="1539"/>
      <c r="L3394" s="1539"/>
      <c r="M3394" s="1545"/>
      <c r="N3394" s="1545"/>
      <c r="O3394" s="1539"/>
      <c r="P3394" s="1539"/>
      <c r="Q3394" s="1539"/>
      <c r="R3394" s="1539"/>
      <c r="S3394" s="1539"/>
      <c r="T3394" s="1539"/>
      <c r="U3394" s="1539"/>
      <c r="V3394" s="1539"/>
      <c r="W3394" s="1539"/>
      <c r="X3394" s="1539"/>
      <c r="Y3394" s="1539"/>
      <c r="Z3394" s="1539"/>
      <c r="AA3394" s="1539"/>
      <c r="AB3394" s="1539"/>
      <c r="AC3394" s="1539"/>
      <c r="AD3394" s="1539"/>
      <c r="AE3394" s="1539"/>
      <c r="AF3394" s="1539"/>
      <c r="AG3394" s="1539"/>
      <c r="AH3394" s="1539"/>
      <c r="AI3394" s="1539"/>
      <c r="AJ3394" s="1539"/>
      <c r="AK3394" s="1539"/>
      <c r="AL3394" s="1539"/>
      <c r="AM3394" s="1539"/>
      <c r="AN3394" s="1539"/>
      <c r="AO3394" s="1539"/>
      <c r="AP3394" s="1539"/>
      <c r="AQ3394" s="1539"/>
      <c r="AR3394" s="1539"/>
      <c r="AS3394" s="1539"/>
      <c r="AT3394" s="1539"/>
      <c r="AU3394" s="1539"/>
      <c r="AV3394" s="1539"/>
      <c r="AW3394" s="1539"/>
      <c r="AX3394" s="1539"/>
      <c r="AY3394" s="1539"/>
      <c r="AZ3394" s="1539"/>
      <c r="BA3394" s="1539"/>
      <c r="BB3394" s="1539"/>
      <c r="BC3394" s="1539"/>
      <c r="BD3394" s="1539"/>
      <c r="BE3394" s="1539"/>
      <c r="BF3394" s="1539"/>
      <c r="BG3394" s="1539"/>
      <c r="BH3394" s="1539"/>
      <c r="BI3394" s="1539"/>
      <c r="BJ3394" s="1539"/>
      <c r="BK3394" s="1539"/>
      <c r="BL3394" s="1539"/>
      <c r="BM3394" s="1539"/>
      <c r="BN3394" s="1539"/>
      <c r="BO3394" s="1539"/>
      <c r="BP3394" s="1539"/>
      <c r="BQ3394" s="1539"/>
      <c r="BR3394" s="1539"/>
      <c r="BS3394" s="1539"/>
      <c r="BT3394" s="1539"/>
      <c r="BU3394" s="1539"/>
      <c r="BV3394" s="1539"/>
      <c r="BW3394" s="1539"/>
      <c r="BX3394" s="1539"/>
      <c r="BY3394" s="1539"/>
      <c r="BZ3394" s="1539"/>
      <c r="CA3394" s="1539"/>
      <c r="CB3394" s="1539"/>
      <c r="CC3394" s="1539"/>
      <c r="CD3394" s="1539"/>
      <c r="CE3394" s="1539"/>
      <c r="CF3394" s="1539"/>
      <c r="CG3394" s="1539"/>
      <c r="CH3394" s="1539"/>
      <c r="CI3394" s="1539"/>
      <c r="CJ3394" s="1539"/>
      <c r="CK3394" s="1539"/>
      <c r="CL3394" s="1539"/>
      <c r="CM3394" s="1539"/>
      <c r="CN3394" s="1539"/>
      <c r="CO3394" s="1539"/>
    </row>
    <row r="3395" spans="1:93" s="1552" customFormat="1" ht="15.5">
      <c r="A3395" s="1598"/>
      <c r="B3395" s="1599" t="s">
        <v>1760</v>
      </c>
      <c r="C3395" s="1643" t="e">
        <f>+SUMIF(#REF!,Final!A3395,#REF!)</f>
        <v>#REF!</v>
      </c>
      <c r="D3395" s="1597" t="e">
        <f>+SUMIF(#REF!,Final!A3395,#REF!)</f>
        <v>#REF!</v>
      </c>
      <c r="E3395" s="1643" t="e">
        <f>SUMIF(#REF!,Final!A3395,#REF!)</f>
        <v>#REF!</v>
      </c>
      <c r="F3395" s="1644" t="e">
        <f>SUMIF(#REF!,Final!A3395,#REF!)</f>
        <v>#REF!</v>
      </c>
      <c r="G3395" s="1597" t="e">
        <f t="shared" si="376"/>
        <v>#REF!</v>
      </c>
      <c r="H3395" s="1644" t="e">
        <f t="shared" si="377"/>
        <v>#REF!</v>
      </c>
      <c r="I3395" s="1597" t="e">
        <f t="shared" si="378"/>
        <v>#REF!</v>
      </c>
      <c r="J3395" s="1644" t="e">
        <f t="shared" si="379"/>
        <v>#REF!</v>
      </c>
      <c r="K3395" s="1539"/>
      <c r="L3395" s="1539"/>
      <c r="M3395" s="1545"/>
      <c r="N3395" s="1545"/>
      <c r="O3395" s="1539"/>
      <c r="P3395" s="1539"/>
      <c r="Q3395" s="1539"/>
      <c r="R3395" s="1539"/>
      <c r="S3395" s="1539"/>
      <c r="T3395" s="1539"/>
      <c r="U3395" s="1539"/>
      <c r="V3395" s="1539"/>
      <c r="W3395" s="1539"/>
      <c r="X3395" s="1539"/>
      <c r="Y3395" s="1539"/>
      <c r="Z3395" s="1539"/>
      <c r="AA3395" s="1539"/>
      <c r="AB3395" s="1539"/>
      <c r="AC3395" s="1539"/>
      <c r="AD3395" s="1539"/>
      <c r="AE3395" s="1539"/>
      <c r="AF3395" s="1539"/>
      <c r="AG3395" s="1539"/>
      <c r="AH3395" s="1539"/>
      <c r="AI3395" s="1539"/>
      <c r="AJ3395" s="1539"/>
      <c r="AK3395" s="1539"/>
      <c r="AL3395" s="1539"/>
      <c r="AM3395" s="1539"/>
      <c r="AN3395" s="1539"/>
      <c r="AO3395" s="1539"/>
      <c r="AP3395" s="1539"/>
      <c r="AQ3395" s="1539"/>
      <c r="AR3395" s="1539"/>
      <c r="AS3395" s="1539"/>
      <c r="AT3395" s="1539"/>
      <c r="AU3395" s="1539"/>
      <c r="AV3395" s="1539"/>
      <c r="AW3395" s="1539"/>
      <c r="AX3395" s="1539"/>
      <c r="AY3395" s="1539"/>
      <c r="AZ3395" s="1539"/>
      <c r="BA3395" s="1539"/>
      <c r="BB3395" s="1539"/>
      <c r="BC3395" s="1539"/>
      <c r="BD3395" s="1539"/>
      <c r="BE3395" s="1539"/>
      <c r="BF3395" s="1539"/>
      <c r="BG3395" s="1539"/>
      <c r="BH3395" s="1539"/>
      <c r="BI3395" s="1539"/>
      <c r="BJ3395" s="1539"/>
      <c r="BK3395" s="1539"/>
      <c r="BL3395" s="1539"/>
      <c r="BM3395" s="1539"/>
      <c r="BN3395" s="1539"/>
      <c r="BO3395" s="1539"/>
      <c r="BP3395" s="1539"/>
      <c r="BQ3395" s="1539"/>
      <c r="BR3395" s="1539"/>
      <c r="BS3395" s="1539"/>
      <c r="BT3395" s="1539"/>
      <c r="BU3395" s="1539"/>
      <c r="BV3395" s="1539"/>
      <c r="BW3395" s="1539"/>
      <c r="BX3395" s="1539"/>
      <c r="BY3395" s="1539"/>
      <c r="BZ3395" s="1539"/>
      <c r="CA3395" s="1539"/>
      <c r="CB3395" s="1539"/>
      <c r="CC3395" s="1539"/>
      <c r="CD3395" s="1539"/>
      <c r="CE3395" s="1539"/>
      <c r="CF3395" s="1539"/>
      <c r="CG3395" s="1539"/>
      <c r="CH3395" s="1539"/>
      <c r="CI3395" s="1539"/>
      <c r="CJ3395" s="1539"/>
      <c r="CK3395" s="1539"/>
      <c r="CL3395" s="1539"/>
      <c r="CM3395" s="1539"/>
      <c r="CN3395" s="1539"/>
      <c r="CO3395" s="1539"/>
    </row>
    <row r="3396" spans="1:93" s="1542" customFormat="1" ht="15.5">
      <c r="A3396" s="1598">
        <v>21</v>
      </c>
      <c r="B3396" s="1599" t="s">
        <v>3546</v>
      </c>
      <c r="C3396" s="1643" t="e">
        <f>+SUMIF(#REF!,Final!A3396,#REF!)</f>
        <v>#REF!</v>
      </c>
      <c r="D3396" s="1597" t="e">
        <f>+SUMIF(#REF!,Final!A3396,#REF!)</f>
        <v>#REF!</v>
      </c>
      <c r="E3396" s="1643" t="e">
        <f>SUMIF(#REF!,Final!A3396,#REF!)</f>
        <v>#REF!</v>
      </c>
      <c r="F3396" s="1644" t="e">
        <f>SUMIF(#REF!,Final!A3396,#REF!)</f>
        <v>#REF!</v>
      </c>
      <c r="G3396" s="1597" t="e">
        <f t="shared" si="376"/>
        <v>#REF!</v>
      </c>
      <c r="H3396" s="1644" t="e">
        <f t="shared" si="377"/>
        <v>#REF!</v>
      </c>
      <c r="I3396" s="1597" t="e">
        <f t="shared" si="378"/>
        <v>#REF!</v>
      </c>
      <c r="J3396" s="1644" t="e">
        <f t="shared" si="379"/>
        <v>#REF!</v>
      </c>
      <c r="K3396" s="1539"/>
      <c r="L3396" s="1539"/>
      <c r="M3396" s="1545"/>
      <c r="N3396" s="1545"/>
      <c r="O3396" s="1539"/>
      <c r="P3396" s="1539"/>
      <c r="Q3396" s="1539"/>
      <c r="R3396" s="1539"/>
      <c r="S3396" s="1539"/>
      <c r="T3396" s="1539"/>
      <c r="U3396" s="1539"/>
      <c r="V3396" s="1539"/>
      <c r="W3396" s="1539"/>
      <c r="X3396" s="1539"/>
      <c r="Y3396" s="1539"/>
      <c r="Z3396" s="1539"/>
      <c r="AA3396" s="1539"/>
      <c r="AB3396" s="1539"/>
      <c r="AC3396" s="1539"/>
      <c r="AD3396" s="1539"/>
      <c r="AE3396" s="1539"/>
      <c r="AF3396" s="1539"/>
      <c r="AG3396" s="1539"/>
      <c r="AH3396" s="1539"/>
      <c r="AI3396" s="1539"/>
      <c r="AJ3396" s="1539"/>
      <c r="AK3396" s="1539"/>
      <c r="AL3396" s="1539"/>
      <c r="AM3396" s="1539"/>
      <c r="AN3396" s="1539"/>
      <c r="AO3396" s="1539"/>
      <c r="AP3396" s="1539"/>
      <c r="AQ3396" s="1539"/>
      <c r="AR3396" s="1539"/>
      <c r="AS3396" s="1539"/>
      <c r="AT3396" s="1539"/>
      <c r="AU3396" s="1539"/>
      <c r="AV3396" s="1539"/>
      <c r="AW3396" s="1539"/>
      <c r="AX3396" s="1539"/>
      <c r="AY3396" s="1539"/>
      <c r="AZ3396" s="1539"/>
      <c r="BA3396" s="1539"/>
      <c r="BB3396" s="1539"/>
      <c r="BC3396" s="1539"/>
      <c r="BD3396" s="1539"/>
      <c r="BE3396" s="1539"/>
      <c r="BF3396" s="1539"/>
      <c r="BG3396" s="1539"/>
      <c r="BH3396" s="1539"/>
      <c r="BI3396" s="1539"/>
      <c r="BJ3396" s="1539"/>
      <c r="BK3396" s="1539"/>
      <c r="BL3396" s="1539"/>
      <c r="BM3396" s="1539"/>
      <c r="BN3396" s="1539"/>
      <c r="BO3396" s="1539"/>
      <c r="BP3396" s="1539"/>
      <c r="BQ3396" s="1539"/>
      <c r="BR3396" s="1539"/>
      <c r="BS3396" s="1539"/>
      <c r="BT3396" s="1539"/>
      <c r="BU3396" s="1539"/>
      <c r="BV3396" s="1539"/>
      <c r="BW3396" s="1539"/>
      <c r="BX3396" s="1539"/>
      <c r="BY3396" s="1539"/>
      <c r="BZ3396" s="1539"/>
      <c r="CA3396" s="1539"/>
      <c r="CB3396" s="1539"/>
      <c r="CC3396" s="1539"/>
      <c r="CD3396" s="1539"/>
      <c r="CE3396" s="1539"/>
      <c r="CF3396" s="1539"/>
      <c r="CG3396" s="1539"/>
      <c r="CH3396" s="1539"/>
      <c r="CI3396" s="1539"/>
      <c r="CJ3396" s="1539"/>
      <c r="CK3396" s="1539"/>
      <c r="CL3396" s="1539"/>
      <c r="CM3396" s="1539"/>
      <c r="CN3396" s="1539"/>
      <c r="CO3396" s="1539"/>
    </row>
    <row r="3397" spans="1:93" ht="15.5">
      <c r="A3397" s="1598">
        <v>78.820999999999998</v>
      </c>
      <c r="B3397" s="1599" t="s">
        <v>3547</v>
      </c>
      <c r="C3397" s="1643" t="e">
        <f>+SUMIF(#REF!,Final!A3397,#REF!)</f>
        <v>#REF!</v>
      </c>
      <c r="D3397" s="1597" t="e">
        <f>+SUMIF(#REF!,Final!A3397,#REF!)</f>
        <v>#REF!</v>
      </c>
      <c r="E3397" s="1643" t="e">
        <f>SUMIF(#REF!,Final!A3397,#REF!)</f>
        <v>#REF!</v>
      </c>
      <c r="F3397" s="1644" t="e">
        <f>SUMIF(#REF!,Final!A3397,#REF!)</f>
        <v>#REF!</v>
      </c>
      <c r="G3397" s="1597" t="e">
        <f t="shared" si="376"/>
        <v>#REF!</v>
      </c>
      <c r="H3397" s="1644" t="e">
        <f t="shared" si="377"/>
        <v>#REF!</v>
      </c>
      <c r="I3397" s="1597" t="e">
        <f t="shared" si="378"/>
        <v>#REF!</v>
      </c>
      <c r="J3397" s="1644" t="e">
        <f t="shared" si="379"/>
        <v>#REF!</v>
      </c>
      <c r="M3397" s="1545"/>
      <c r="N3397" s="1545"/>
    </row>
    <row r="3398" spans="1:93" ht="15.5">
      <c r="A3398" s="1598">
        <v>78.822000000000003</v>
      </c>
      <c r="B3398" s="1599" t="s">
        <v>3548</v>
      </c>
      <c r="C3398" s="1643" t="e">
        <f>+SUMIF(#REF!,Final!A3398,#REF!)</f>
        <v>#REF!</v>
      </c>
      <c r="D3398" s="1597" t="e">
        <f>+SUMIF(#REF!,Final!A3398,#REF!)</f>
        <v>#REF!</v>
      </c>
      <c r="E3398" s="1643" t="e">
        <f>SUMIF(#REF!,Final!A3398,#REF!)</f>
        <v>#REF!</v>
      </c>
      <c r="F3398" s="1644" t="e">
        <f>SUMIF(#REF!,Final!A3398,#REF!)</f>
        <v>#REF!</v>
      </c>
      <c r="G3398" s="1597" t="e">
        <f t="shared" si="376"/>
        <v>#REF!</v>
      </c>
      <c r="H3398" s="1644" t="e">
        <f t="shared" si="377"/>
        <v>#REF!</v>
      </c>
      <c r="I3398" s="1597" t="e">
        <f t="shared" si="378"/>
        <v>#REF!</v>
      </c>
      <c r="J3398" s="1644" t="e">
        <f t="shared" si="379"/>
        <v>#REF!</v>
      </c>
      <c r="M3398" s="1545"/>
      <c r="N3398" s="1545"/>
    </row>
    <row r="3399" spans="1:93" ht="15.5">
      <c r="A3399" s="1598">
        <v>78.822999999999993</v>
      </c>
      <c r="B3399" s="1599" t="s">
        <v>3549</v>
      </c>
      <c r="C3399" s="1643" t="e">
        <f>+SUMIF(#REF!,Final!A3399,#REF!)</f>
        <v>#REF!</v>
      </c>
      <c r="D3399" s="1597" t="e">
        <f>+SUMIF(#REF!,Final!A3399,#REF!)</f>
        <v>#REF!</v>
      </c>
      <c r="E3399" s="1643" t="e">
        <f>SUMIF(#REF!,Final!A3399,#REF!)</f>
        <v>#REF!</v>
      </c>
      <c r="F3399" s="1644" t="e">
        <f>SUMIF(#REF!,Final!A3399,#REF!)</f>
        <v>#REF!</v>
      </c>
      <c r="G3399" s="1597" t="e">
        <f t="shared" si="376"/>
        <v>#REF!</v>
      </c>
      <c r="H3399" s="1644" t="e">
        <f t="shared" si="377"/>
        <v>#REF!</v>
      </c>
      <c r="I3399" s="1597" t="e">
        <f t="shared" si="378"/>
        <v>#REF!</v>
      </c>
      <c r="J3399" s="1644" t="e">
        <f t="shared" si="379"/>
        <v>#REF!</v>
      </c>
      <c r="M3399" s="1545"/>
      <c r="N3399" s="1545"/>
    </row>
    <row r="3400" spans="1:93" s="1542" customFormat="1" ht="15.5">
      <c r="A3400" s="1598">
        <v>78.823999999999998</v>
      </c>
      <c r="B3400" s="1599" t="s">
        <v>3550</v>
      </c>
      <c r="C3400" s="1643" t="e">
        <f>+SUMIF(#REF!,Final!A3400,#REF!)</f>
        <v>#REF!</v>
      </c>
      <c r="D3400" s="1597" t="e">
        <f>+SUMIF(#REF!,Final!A3400,#REF!)</f>
        <v>#REF!</v>
      </c>
      <c r="E3400" s="1643" t="e">
        <f>SUMIF(#REF!,Final!A3400,#REF!)</f>
        <v>#REF!</v>
      </c>
      <c r="F3400" s="1644" t="e">
        <f>SUMIF(#REF!,Final!A3400,#REF!)</f>
        <v>#REF!</v>
      </c>
      <c r="G3400" s="1597" t="e">
        <f t="shared" si="376"/>
        <v>#REF!</v>
      </c>
      <c r="H3400" s="1644" t="e">
        <f t="shared" si="377"/>
        <v>#REF!</v>
      </c>
      <c r="I3400" s="1597" t="e">
        <f t="shared" si="378"/>
        <v>#REF!</v>
      </c>
      <c r="J3400" s="1644" t="e">
        <f t="shared" si="379"/>
        <v>#REF!</v>
      </c>
      <c r="K3400" s="1539"/>
      <c r="L3400" s="1539"/>
      <c r="M3400" s="1545"/>
      <c r="N3400" s="1545"/>
      <c r="O3400" s="1539"/>
      <c r="P3400" s="1539"/>
      <c r="Q3400" s="1539"/>
      <c r="R3400" s="1539"/>
      <c r="S3400" s="1539"/>
      <c r="T3400" s="1539"/>
      <c r="U3400" s="1539"/>
      <c r="V3400" s="1539"/>
      <c r="W3400" s="1539"/>
      <c r="X3400" s="1539"/>
      <c r="Y3400" s="1539"/>
      <c r="Z3400" s="1539"/>
      <c r="AA3400" s="1539"/>
      <c r="AB3400" s="1539"/>
      <c r="AC3400" s="1539"/>
      <c r="AD3400" s="1539"/>
      <c r="AE3400" s="1539"/>
      <c r="AF3400" s="1539"/>
      <c r="AG3400" s="1539"/>
      <c r="AH3400" s="1539"/>
      <c r="AI3400" s="1539"/>
      <c r="AJ3400" s="1539"/>
      <c r="AK3400" s="1539"/>
      <c r="AL3400" s="1539"/>
      <c r="AM3400" s="1539"/>
      <c r="AN3400" s="1539"/>
      <c r="AO3400" s="1539"/>
      <c r="AP3400" s="1539"/>
      <c r="AQ3400" s="1539"/>
      <c r="AR3400" s="1539"/>
      <c r="AS3400" s="1539"/>
      <c r="AT3400" s="1539"/>
      <c r="AU3400" s="1539"/>
      <c r="AV3400" s="1539"/>
      <c r="AW3400" s="1539"/>
      <c r="AX3400" s="1539"/>
      <c r="AY3400" s="1539"/>
      <c r="AZ3400" s="1539"/>
      <c r="BA3400" s="1539"/>
      <c r="BB3400" s="1539"/>
      <c r="BC3400" s="1539"/>
      <c r="BD3400" s="1539"/>
      <c r="BE3400" s="1539"/>
      <c r="BF3400" s="1539"/>
      <c r="BG3400" s="1539"/>
      <c r="BH3400" s="1539"/>
      <c r="BI3400" s="1539"/>
      <c r="BJ3400" s="1539"/>
      <c r="BK3400" s="1539"/>
      <c r="BL3400" s="1539"/>
      <c r="BM3400" s="1539"/>
      <c r="BN3400" s="1539"/>
      <c r="BO3400" s="1539"/>
      <c r="BP3400" s="1539"/>
      <c r="BQ3400" s="1539"/>
      <c r="BR3400" s="1539"/>
      <c r="BS3400" s="1539"/>
      <c r="BT3400" s="1539"/>
      <c r="BU3400" s="1539"/>
      <c r="BV3400" s="1539"/>
      <c r="BW3400" s="1539"/>
      <c r="BX3400" s="1539"/>
      <c r="BY3400" s="1539"/>
      <c r="BZ3400" s="1539"/>
      <c r="CA3400" s="1539"/>
      <c r="CB3400" s="1539"/>
      <c r="CC3400" s="1539"/>
      <c r="CD3400" s="1539"/>
      <c r="CE3400" s="1539"/>
      <c r="CF3400" s="1539"/>
      <c r="CG3400" s="1539"/>
      <c r="CH3400" s="1539"/>
      <c r="CI3400" s="1539"/>
      <c r="CJ3400" s="1539"/>
      <c r="CK3400" s="1539"/>
      <c r="CL3400" s="1539"/>
      <c r="CM3400" s="1539"/>
      <c r="CN3400" s="1539"/>
      <c r="CO3400" s="1539"/>
    </row>
    <row r="3401" spans="1:93" ht="15.5">
      <c r="A3401" s="1598">
        <v>78.825000000000003</v>
      </c>
      <c r="B3401" s="1599" t="s">
        <v>3551</v>
      </c>
      <c r="C3401" s="1643" t="e">
        <f>+SUMIF(#REF!,Final!A3401,#REF!)</f>
        <v>#REF!</v>
      </c>
      <c r="D3401" s="1597" t="e">
        <f>+SUMIF(#REF!,Final!A3401,#REF!)</f>
        <v>#REF!</v>
      </c>
      <c r="E3401" s="1643" t="e">
        <f>SUMIF(#REF!,Final!A3401,#REF!)</f>
        <v>#REF!</v>
      </c>
      <c r="F3401" s="1644" t="e">
        <f>SUMIF(#REF!,Final!A3401,#REF!)</f>
        <v>#REF!</v>
      </c>
      <c r="G3401" s="1597" t="e">
        <f t="shared" si="376"/>
        <v>#REF!</v>
      </c>
      <c r="H3401" s="1644" t="e">
        <f t="shared" si="377"/>
        <v>#REF!</v>
      </c>
      <c r="I3401" s="1597" t="e">
        <f t="shared" si="378"/>
        <v>#REF!</v>
      </c>
      <c r="J3401" s="1644" t="e">
        <f t="shared" si="379"/>
        <v>#REF!</v>
      </c>
      <c r="M3401" s="1545"/>
      <c r="N3401" s="1545"/>
    </row>
    <row r="3402" spans="1:93" ht="15.5">
      <c r="A3402" s="1598">
        <v>78.826999999999998</v>
      </c>
      <c r="B3402" s="1599" t="s">
        <v>3988</v>
      </c>
      <c r="C3402" s="1643" t="e">
        <f>+SUMIF(#REF!,Final!A3402,#REF!)</f>
        <v>#REF!</v>
      </c>
      <c r="D3402" s="1597" t="e">
        <f>+SUMIF(#REF!,Final!A3402,#REF!)</f>
        <v>#REF!</v>
      </c>
      <c r="E3402" s="1643" t="e">
        <f>SUMIF(#REF!,Final!A3402,#REF!)</f>
        <v>#REF!</v>
      </c>
      <c r="F3402" s="1644" t="e">
        <f>SUMIF(#REF!,Final!A3402,#REF!)</f>
        <v>#REF!</v>
      </c>
      <c r="G3402" s="1597" t="e">
        <f t="shared" si="376"/>
        <v>#REF!</v>
      </c>
      <c r="H3402" s="1644" t="e">
        <f t="shared" si="377"/>
        <v>#REF!</v>
      </c>
      <c r="I3402" s="1597" t="e">
        <f t="shared" si="378"/>
        <v>#REF!</v>
      </c>
      <c r="J3402" s="1644" t="e">
        <f t="shared" si="379"/>
        <v>#REF!</v>
      </c>
      <c r="M3402" s="1545"/>
      <c r="N3402" s="1545"/>
    </row>
    <row r="3403" spans="1:93" ht="15.5">
      <c r="A3403" s="1598">
        <v>78.828000000000003</v>
      </c>
      <c r="B3403" s="1599" t="s">
        <v>3552</v>
      </c>
      <c r="C3403" s="1643" t="e">
        <f>+SUMIF(#REF!,Final!A3403,#REF!)</f>
        <v>#REF!</v>
      </c>
      <c r="D3403" s="1597" t="e">
        <f>+SUMIF(#REF!,Final!A3403,#REF!)</f>
        <v>#REF!</v>
      </c>
      <c r="E3403" s="1643" t="e">
        <f>SUMIF(#REF!,Final!A3403,#REF!)</f>
        <v>#REF!</v>
      </c>
      <c r="F3403" s="1644" t="e">
        <f>SUMIF(#REF!,Final!A3403,#REF!)</f>
        <v>#REF!</v>
      </c>
      <c r="G3403" s="1597" t="e">
        <f t="shared" si="376"/>
        <v>#REF!</v>
      </c>
      <c r="H3403" s="1644" t="e">
        <f t="shared" si="377"/>
        <v>#REF!</v>
      </c>
      <c r="I3403" s="1597" t="e">
        <f t="shared" si="378"/>
        <v>#REF!</v>
      </c>
      <c r="J3403" s="1644" t="e">
        <f t="shared" si="379"/>
        <v>#REF!</v>
      </c>
      <c r="M3403" s="1545"/>
      <c r="N3403" s="1545"/>
    </row>
    <row r="3404" spans="1:93" s="1542" customFormat="1" ht="15.5">
      <c r="A3404" s="1598">
        <v>78.828999999999994</v>
      </c>
      <c r="B3404" s="1599" t="s">
        <v>3553</v>
      </c>
      <c r="C3404" s="1643" t="e">
        <f>+SUMIF(#REF!,Final!A3404,#REF!)</f>
        <v>#REF!</v>
      </c>
      <c r="D3404" s="1597" t="e">
        <f>+SUMIF(#REF!,Final!A3404,#REF!)</f>
        <v>#REF!</v>
      </c>
      <c r="E3404" s="1643" t="e">
        <f>SUMIF(#REF!,Final!A3404,#REF!)</f>
        <v>#REF!</v>
      </c>
      <c r="F3404" s="1644" t="e">
        <f>SUMIF(#REF!,Final!A3404,#REF!)</f>
        <v>#REF!</v>
      </c>
      <c r="G3404" s="1597" t="e">
        <f t="shared" si="376"/>
        <v>#REF!</v>
      </c>
      <c r="H3404" s="1644" t="e">
        <f t="shared" si="377"/>
        <v>#REF!</v>
      </c>
      <c r="I3404" s="1597" t="e">
        <f t="shared" si="378"/>
        <v>#REF!</v>
      </c>
      <c r="J3404" s="1644" t="e">
        <f t="shared" si="379"/>
        <v>#REF!</v>
      </c>
      <c r="K3404" s="1539"/>
      <c r="L3404" s="1539"/>
      <c r="M3404" s="1545"/>
      <c r="N3404" s="1545"/>
      <c r="O3404" s="1539"/>
      <c r="P3404" s="1539"/>
      <c r="Q3404" s="1539"/>
      <c r="R3404" s="1539"/>
      <c r="S3404" s="1539"/>
      <c r="T3404" s="1539"/>
      <c r="U3404" s="1539"/>
      <c r="V3404" s="1539"/>
      <c r="W3404" s="1539"/>
      <c r="X3404" s="1539"/>
      <c r="Y3404" s="1539"/>
      <c r="Z3404" s="1539"/>
      <c r="AA3404" s="1539"/>
      <c r="AB3404" s="1539"/>
      <c r="AC3404" s="1539"/>
      <c r="AD3404" s="1539"/>
      <c r="AE3404" s="1539"/>
      <c r="AF3404" s="1539"/>
      <c r="AG3404" s="1539"/>
      <c r="AH3404" s="1539"/>
      <c r="AI3404" s="1539"/>
      <c r="AJ3404" s="1539"/>
      <c r="AK3404" s="1539"/>
      <c r="AL3404" s="1539"/>
      <c r="AM3404" s="1539"/>
      <c r="AN3404" s="1539"/>
      <c r="AO3404" s="1539"/>
      <c r="AP3404" s="1539"/>
      <c r="AQ3404" s="1539"/>
      <c r="AR3404" s="1539"/>
      <c r="AS3404" s="1539"/>
      <c r="AT3404" s="1539"/>
      <c r="AU3404" s="1539"/>
      <c r="AV3404" s="1539"/>
      <c r="AW3404" s="1539"/>
      <c r="AX3404" s="1539"/>
      <c r="AY3404" s="1539"/>
      <c r="AZ3404" s="1539"/>
      <c r="BA3404" s="1539"/>
      <c r="BB3404" s="1539"/>
      <c r="BC3404" s="1539"/>
      <c r="BD3404" s="1539"/>
      <c r="BE3404" s="1539"/>
      <c r="BF3404" s="1539"/>
      <c r="BG3404" s="1539"/>
      <c r="BH3404" s="1539"/>
      <c r="BI3404" s="1539"/>
      <c r="BJ3404" s="1539"/>
      <c r="BK3404" s="1539"/>
      <c r="BL3404" s="1539"/>
      <c r="BM3404" s="1539"/>
      <c r="BN3404" s="1539"/>
      <c r="BO3404" s="1539"/>
      <c r="BP3404" s="1539"/>
      <c r="BQ3404" s="1539"/>
      <c r="BR3404" s="1539"/>
      <c r="BS3404" s="1539"/>
      <c r="BT3404" s="1539"/>
      <c r="BU3404" s="1539"/>
      <c r="BV3404" s="1539"/>
      <c r="BW3404" s="1539"/>
      <c r="BX3404" s="1539"/>
      <c r="BY3404" s="1539"/>
      <c r="BZ3404" s="1539"/>
      <c r="CA3404" s="1539"/>
      <c r="CB3404" s="1539"/>
      <c r="CC3404" s="1539"/>
      <c r="CD3404" s="1539"/>
      <c r="CE3404" s="1539"/>
      <c r="CF3404" s="1539"/>
      <c r="CG3404" s="1539"/>
      <c r="CH3404" s="1539"/>
      <c r="CI3404" s="1539"/>
      <c r="CJ3404" s="1539"/>
      <c r="CK3404" s="1539"/>
      <c r="CL3404" s="1539"/>
      <c r="CM3404" s="1539"/>
      <c r="CN3404" s="1539"/>
      <c r="CO3404" s="1539"/>
    </row>
    <row r="3405" spans="1:93" ht="15.5">
      <c r="A3405" s="1598">
        <v>78.83</v>
      </c>
      <c r="B3405" s="1599" t="s">
        <v>3554</v>
      </c>
      <c r="C3405" s="1643" t="e">
        <f>+SUMIF(#REF!,Final!A3405,#REF!)</f>
        <v>#REF!</v>
      </c>
      <c r="D3405" s="1597" t="e">
        <f>+SUMIF(#REF!,Final!A3405,#REF!)</f>
        <v>#REF!</v>
      </c>
      <c r="E3405" s="1643" t="e">
        <f>SUMIF(#REF!,Final!A3405,#REF!)</f>
        <v>#REF!</v>
      </c>
      <c r="F3405" s="1644" t="e">
        <f>SUMIF(#REF!,Final!A3405,#REF!)</f>
        <v>#REF!</v>
      </c>
      <c r="G3405" s="1597" t="e">
        <f t="shared" si="376"/>
        <v>#REF!</v>
      </c>
      <c r="H3405" s="1644" t="e">
        <f t="shared" si="377"/>
        <v>#REF!</v>
      </c>
      <c r="I3405" s="1597" t="e">
        <f t="shared" si="378"/>
        <v>#REF!</v>
      </c>
      <c r="J3405" s="1644" t="e">
        <f t="shared" si="379"/>
        <v>#REF!</v>
      </c>
      <c r="M3405" s="1545"/>
      <c r="N3405" s="1545"/>
    </row>
    <row r="3406" spans="1:93" ht="15.5">
      <c r="A3406" s="1598">
        <v>78.831000000000003</v>
      </c>
      <c r="B3406" s="1599" t="s">
        <v>3555</v>
      </c>
      <c r="C3406" s="1643" t="e">
        <f>+SUMIF(#REF!,Final!A3406,#REF!)</f>
        <v>#REF!</v>
      </c>
      <c r="D3406" s="1597" t="e">
        <f>+SUMIF(#REF!,Final!A3406,#REF!)</f>
        <v>#REF!</v>
      </c>
      <c r="E3406" s="1643" t="e">
        <f>SUMIF(#REF!,Final!A3406,#REF!)</f>
        <v>#REF!</v>
      </c>
      <c r="F3406" s="1644" t="e">
        <f>SUMIF(#REF!,Final!A3406,#REF!)</f>
        <v>#REF!</v>
      </c>
      <c r="G3406" s="1597" t="e">
        <f t="shared" si="376"/>
        <v>#REF!</v>
      </c>
      <c r="H3406" s="1644" t="e">
        <f t="shared" si="377"/>
        <v>#REF!</v>
      </c>
      <c r="I3406" s="1597" t="e">
        <f t="shared" si="378"/>
        <v>#REF!</v>
      </c>
      <c r="J3406" s="1644" t="e">
        <f t="shared" si="379"/>
        <v>#REF!</v>
      </c>
      <c r="M3406" s="1545"/>
      <c r="N3406" s="1545"/>
    </row>
    <row r="3407" spans="1:93" s="1542" customFormat="1" ht="15.5">
      <c r="A3407" s="1598">
        <v>78.832999999999998</v>
      </c>
      <c r="B3407" s="1599" t="s">
        <v>3556</v>
      </c>
      <c r="C3407" s="1643" t="e">
        <f>+SUMIF(#REF!,Final!A3407,#REF!)</f>
        <v>#REF!</v>
      </c>
      <c r="D3407" s="1597" t="e">
        <f>+SUMIF(#REF!,Final!A3407,#REF!)</f>
        <v>#REF!</v>
      </c>
      <c r="E3407" s="1643" t="e">
        <f>SUMIF(#REF!,Final!A3407,#REF!)</f>
        <v>#REF!</v>
      </c>
      <c r="F3407" s="1644" t="e">
        <f>SUMIF(#REF!,Final!A3407,#REF!)</f>
        <v>#REF!</v>
      </c>
      <c r="G3407" s="1597" t="e">
        <f t="shared" si="376"/>
        <v>#REF!</v>
      </c>
      <c r="H3407" s="1644" t="e">
        <f t="shared" si="377"/>
        <v>#REF!</v>
      </c>
      <c r="I3407" s="1597" t="e">
        <f t="shared" si="378"/>
        <v>#REF!</v>
      </c>
      <c r="J3407" s="1644" t="e">
        <f t="shared" si="379"/>
        <v>#REF!</v>
      </c>
      <c r="K3407" s="1539"/>
      <c r="L3407" s="1539"/>
      <c r="M3407" s="1545"/>
      <c r="N3407" s="1545"/>
      <c r="O3407" s="1539"/>
      <c r="P3407" s="1539"/>
      <c r="Q3407" s="1539"/>
      <c r="R3407" s="1539"/>
      <c r="S3407" s="1539"/>
      <c r="T3407" s="1539"/>
      <c r="U3407" s="1539"/>
      <c r="V3407" s="1539"/>
      <c r="W3407" s="1539"/>
      <c r="X3407" s="1539"/>
      <c r="Y3407" s="1539"/>
      <c r="Z3407" s="1539"/>
      <c r="AA3407" s="1539"/>
      <c r="AB3407" s="1539"/>
      <c r="AC3407" s="1539"/>
      <c r="AD3407" s="1539"/>
      <c r="AE3407" s="1539"/>
      <c r="AF3407" s="1539"/>
      <c r="AG3407" s="1539"/>
      <c r="AH3407" s="1539"/>
      <c r="AI3407" s="1539"/>
      <c r="AJ3407" s="1539"/>
      <c r="AK3407" s="1539"/>
      <c r="AL3407" s="1539"/>
      <c r="AM3407" s="1539"/>
      <c r="AN3407" s="1539"/>
      <c r="AO3407" s="1539"/>
      <c r="AP3407" s="1539"/>
      <c r="AQ3407" s="1539"/>
      <c r="AR3407" s="1539"/>
      <c r="AS3407" s="1539"/>
      <c r="AT3407" s="1539"/>
      <c r="AU3407" s="1539"/>
      <c r="AV3407" s="1539"/>
      <c r="AW3407" s="1539"/>
      <c r="AX3407" s="1539"/>
      <c r="AY3407" s="1539"/>
      <c r="AZ3407" s="1539"/>
      <c r="BA3407" s="1539"/>
      <c r="BB3407" s="1539"/>
      <c r="BC3407" s="1539"/>
      <c r="BD3407" s="1539"/>
      <c r="BE3407" s="1539"/>
      <c r="BF3407" s="1539"/>
      <c r="BG3407" s="1539"/>
      <c r="BH3407" s="1539"/>
      <c r="BI3407" s="1539"/>
      <c r="BJ3407" s="1539"/>
      <c r="BK3407" s="1539"/>
      <c r="BL3407" s="1539"/>
      <c r="BM3407" s="1539"/>
      <c r="BN3407" s="1539"/>
      <c r="BO3407" s="1539"/>
      <c r="BP3407" s="1539"/>
      <c r="BQ3407" s="1539"/>
      <c r="BR3407" s="1539"/>
      <c r="BS3407" s="1539"/>
      <c r="BT3407" s="1539"/>
      <c r="BU3407" s="1539"/>
      <c r="BV3407" s="1539"/>
      <c r="BW3407" s="1539"/>
      <c r="BX3407" s="1539"/>
      <c r="BY3407" s="1539"/>
      <c r="BZ3407" s="1539"/>
      <c r="CA3407" s="1539"/>
      <c r="CB3407" s="1539"/>
      <c r="CC3407" s="1539"/>
      <c r="CD3407" s="1539"/>
      <c r="CE3407" s="1539"/>
      <c r="CF3407" s="1539"/>
      <c r="CG3407" s="1539"/>
      <c r="CH3407" s="1539"/>
      <c r="CI3407" s="1539"/>
      <c r="CJ3407" s="1539"/>
      <c r="CK3407" s="1539"/>
      <c r="CL3407" s="1539"/>
      <c r="CM3407" s="1539"/>
      <c r="CN3407" s="1539"/>
      <c r="CO3407" s="1539"/>
    </row>
    <row r="3408" spans="1:93" ht="15.5">
      <c r="A3408" s="1598">
        <v>78.834999999999994</v>
      </c>
      <c r="B3408" s="1599" t="s">
        <v>3557</v>
      </c>
      <c r="C3408" s="1643" t="e">
        <f>+SUMIF(#REF!,Final!A3408,#REF!)</f>
        <v>#REF!</v>
      </c>
      <c r="D3408" s="1597" t="e">
        <f>+SUMIF(#REF!,Final!A3408,#REF!)</f>
        <v>#REF!</v>
      </c>
      <c r="E3408" s="1643" t="e">
        <f>SUMIF(#REF!,Final!A3408,#REF!)</f>
        <v>#REF!</v>
      </c>
      <c r="F3408" s="1644" t="e">
        <f>SUMIF(#REF!,Final!A3408,#REF!)</f>
        <v>#REF!</v>
      </c>
      <c r="G3408" s="1597" t="e">
        <f t="shared" si="376"/>
        <v>#REF!</v>
      </c>
      <c r="H3408" s="1644" t="e">
        <f t="shared" si="377"/>
        <v>#REF!</v>
      </c>
      <c r="I3408" s="1597" t="e">
        <f t="shared" si="378"/>
        <v>#REF!</v>
      </c>
      <c r="J3408" s="1644" t="e">
        <f t="shared" si="379"/>
        <v>#REF!</v>
      </c>
      <c r="M3408" s="1545"/>
      <c r="N3408" s="1545"/>
    </row>
    <row r="3409" spans="1:93" s="1543" customFormat="1" ht="15.5">
      <c r="A3409" s="1598">
        <v>78.835999999999999</v>
      </c>
      <c r="B3409" s="1599" t="s">
        <v>3558</v>
      </c>
      <c r="C3409" s="1643" t="e">
        <f>+SUMIF(#REF!,Final!A3409,#REF!)</f>
        <v>#REF!</v>
      </c>
      <c r="D3409" s="1597" t="e">
        <f>+SUMIF(#REF!,Final!A3409,#REF!)</f>
        <v>#REF!</v>
      </c>
      <c r="E3409" s="1643" t="e">
        <f>SUMIF(#REF!,Final!A3409,#REF!)</f>
        <v>#REF!</v>
      </c>
      <c r="F3409" s="1644" t="e">
        <f>SUMIF(#REF!,Final!A3409,#REF!)</f>
        <v>#REF!</v>
      </c>
      <c r="G3409" s="1597" t="e">
        <f t="shared" si="376"/>
        <v>#REF!</v>
      </c>
      <c r="H3409" s="1644" t="e">
        <f t="shared" si="377"/>
        <v>#REF!</v>
      </c>
      <c r="I3409" s="1597" t="e">
        <f t="shared" si="378"/>
        <v>#REF!</v>
      </c>
      <c r="J3409" s="1644" t="e">
        <f t="shared" si="379"/>
        <v>#REF!</v>
      </c>
      <c r="K3409" s="1539"/>
      <c r="L3409" s="1539"/>
      <c r="M3409" s="1545"/>
      <c r="N3409" s="1545"/>
      <c r="O3409" s="1539"/>
      <c r="P3409" s="1539"/>
      <c r="Q3409" s="1539"/>
      <c r="R3409" s="1539"/>
      <c r="S3409" s="1539"/>
      <c r="T3409" s="1539"/>
      <c r="U3409" s="1539"/>
      <c r="V3409" s="1539"/>
      <c r="W3409" s="1539"/>
      <c r="X3409" s="1539"/>
      <c r="Y3409" s="1539"/>
      <c r="Z3409" s="1539"/>
      <c r="AA3409" s="1539"/>
      <c r="AB3409" s="1539"/>
      <c r="AC3409" s="1539"/>
      <c r="AD3409" s="1539"/>
      <c r="AE3409" s="1539"/>
      <c r="AF3409" s="1539"/>
      <c r="AG3409" s="1539"/>
      <c r="AH3409" s="1539"/>
      <c r="AI3409" s="1539"/>
      <c r="AJ3409" s="1539"/>
      <c r="AK3409" s="1539"/>
      <c r="AL3409" s="1539"/>
      <c r="AM3409" s="1539"/>
      <c r="AN3409" s="1539"/>
      <c r="AO3409" s="1539"/>
      <c r="AP3409" s="1539"/>
      <c r="AQ3409" s="1539"/>
      <c r="AR3409" s="1539"/>
      <c r="AS3409" s="1539"/>
      <c r="AT3409" s="1539"/>
      <c r="AU3409" s="1539"/>
      <c r="AV3409" s="1539"/>
      <c r="AW3409" s="1539"/>
      <c r="AX3409" s="1539"/>
      <c r="AY3409" s="1539"/>
      <c r="AZ3409" s="1539"/>
      <c r="BA3409" s="1539"/>
      <c r="BB3409" s="1539"/>
      <c r="BC3409" s="1539"/>
      <c r="BD3409" s="1539"/>
      <c r="BE3409" s="1539"/>
      <c r="BF3409" s="1539"/>
      <c r="BG3409" s="1539"/>
      <c r="BH3409" s="1539"/>
      <c r="BI3409" s="1539"/>
      <c r="BJ3409" s="1539"/>
      <c r="BK3409" s="1539"/>
      <c r="BL3409" s="1539"/>
      <c r="BM3409" s="1539"/>
      <c r="BN3409" s="1539"/>
      <c r="BO3409" s="1539"/>
      <c r="BP3409" s="1539"/>
      <c r="BQ3409" s="1539"/>
      <c r="BR3409" s="1539"/>
      <c r="BS3409" s="1539"/>
      <c r="BT3409" s="1539"/>
      <c r="BU3409" s="1539"/>
      <c r="BV3409" s="1539"/>
      <c r="BW3409" s="1539"/>
      <c r="BX3409" s="1539"/>
      <c r="BY3409" s="1539"/>
      <c r="BZ3409" s="1539"/>
      <c r="CA3409" s="1539"/>
      <c r="CB3409" s="1539"/>
      <c r="CC3409" s="1539"/>
      <c r="CD3409" s="1539"/>
      <c r="CE3409" s="1539"/>
      <c r="CF3409" s="1539"/>
      <c r="CG3409" s="1539"/>
      <c r="CH3409" s="1539"/>
      <c r="CI3409" s="1539"/>
      <c r="CJ3409" s="1539"/>
      <c r="CK3409" s="1539"/>
      <c r="CL3409" s="1539"/>
      <c r="CM3409" s="1539"/>
      <c r="CN3409" s="1539"/>
      <c r="CO3409" s="1539"/>
    </row>
    <row r="3410" spans="1:93" s="1543" customFormat="1" ht="15.5">
      <c r="A3410" s="1598">
        <v>78.837000000000003</v>
      </c>
      <c r="B3410" s="1599" t="s">
        <v>3559</v>
      </c>
      <c r="C3410" s="1643" t="e">
        <f>+SUMIF(#REF!,Final!A3410,#REF!)</f>
        <v>#REF!</v>
      </c>
      <c r="D3410" s="1597" t="e">
        <f>+SUMIF(#REF!,Final!A3410,#REF!)</f>
        <v>#REF!</v>
      </c>
      <c r="E3410" s="1643" t="e">
        <f>SUMIF(#REF!,Final!A3410,#REF!)</f>
        <v>#REF!</v>
      </c>
      <c r="F3410" s="1644" t="e">
        <f>SUMIF(#REF!,Final!A3410,#REF!)</f>
        <v>#REF!</v>
      </c>
      <c r="G3410" s="1597" t="e">
        <f t="shared" si="376"/>
        <v>#REF!</v>
      </c>
      <c r="H3410" s="1644" t="e">
        <f t="shared" si="377"/>
        <v>#REF!</v>
      </c>
      <c r="I3410" s="1597" t="e">
        <f t="shared" si="378"/>
        <v>#REF!</v>
      </c>
      <c r="J3410" s="1644" t="e">
        <f t="shared" si="379"/>
        <v>#REF!</v>
      </c>
      <c r="K3410" s="1539"/>
      <c r="L3410" s="1539"/>
      <c r="M3410" s="1545"/>
      <c r="N3410" s="1545"/>
      <c r="O3410" s="1539"/>
      <c r="P3410" s="1539"/>
      <c r="Q3410" s="1539"/>
      <c r="R3410" s="1539"/>
      <c r="S3410" s="1539"/>
      <c r="T3410" s="1539"/>
      <c r="U3410" s="1539"/>
      <c r="V3410" s="1539"/>
      <c r="W3410" s="1539"/>
      <c r="X3410" s="1539"/>
      <c r="Y3410" s="1539"/>
      <c r="Z3410" s="1539"/>
      <c r="AA3410" s="1539"/>
      <c r="AB3410" s="1539"/>
      <c r="AC3410" s="1539"/>
      <c r="AD3410" s="1539"/>
      <c r="AE3410" s="1539"/>
      <c r="AF3410" s="1539"/>
      <c r="AG3410" s="1539"/>
      <c r="AH3410" s="1539"/>
      <c r="AI3410" s="1539"/>
      <c r="AJ3410" s="1539"/>
      <c r="AK3410" s="1539"/>
      <c r="AL3410" s="1539"/>
      <c r="AM3410" s="1539"/>
      <c r="AN3410" s="1539"/>
      <c r="AO3410" s="1539"/>
      <c r="AP3410" s="1539"/>
      <c r="AQ3410" s="1539"/>
      <c r="AR3410" s="1539"/>
      <c r="AS3410" s="1539"/>
      <c r="AT3410" s="1539"/>
      <c r="AU3410" s="1539"/>
      <c r="AV3410" s="1539"/>
      <c r="AW3410" s="1539"/>
      <c r="AX3410" s="1539"/>
      <c r="AY3410" s="1539"/>
      <c r="AZ3410" s="1539"/>
      <c r="BA3410" s="1539"/>
      <c r="BB3410" s="1539"/>
      <c r="BC3410" s="1539"/>
      <c r="BD3410" s="1539"/>
      <c r="BE3410" s="1539"/>
      <c r="BF3410" s="1539"/>
      <c r="BG3410" s="1539"/>
      <c r="BH3410" s="1539"/>
      <c r="BI3410" s="1539"/>
      <c r="BJ3410" s="1539"/>
      <c r="BK3410" s="1539"/>
      <c r="BL3410" s="1539"/>
      <c r="BM3410" s="1539"/>
      <c r="BN3410" s="1539"/>
      <c r="BO3410" s="1539"/>
      <c r="BP3410" s="1539"/>
      <c r="BQ3410" s="1539"/>
      <c r="BR3410" s="1539"/>
      <c r="BS3410" s="1539"/>
      <c r="BT3410" s="1539"/>
      <c r="BU3410" s="1539"/>
      <c r="BV3410" s="1539"/>
      <c r="BW3410" s="1539"/>
      <c r="BX3410" s="1539"/>
      <c r="BY3410" s="1539"/>
      <c r="BZ3410" s="1539"/>
      <c r="CA3410" s="1539"/>
      <c r="CB3410" s="1539"/>
      <c r="CC3410" s="1539"/>
      <c r="CD3410" s="1539"/>
      <c r="CE3410" s="1539"/>
      <c r="CF3410" s="1539"/>
      <c r="CG3410" s="1539"/>
      <c r="CH3410" s="1539"/>
      <c r="CI3410" s="1539"/>
      <c r="CJ3410" s="1539"/>
      <c r="CK3410" s="1539"/>
      <c r="CL3410" s="1539"/>
      <c r="CM3410" s="1539"/>
      <c r="CN3410" s="1539"/>
      <c r="CO3410" s="1539"/>
    </row>
    <row r="3411" spans="1:93" ht="15.5">
      <c r="A3411" s="1598">
        <v>78.849999999999994</v>
      </c>
      <c r="B3411" s="1599"/>
      <c r="C3411" s="1643" t="e">
        <f>+SUMIF(#REF!,Final!A3411,#REF!)</f>
        <v>#REF!</v>
      </c>
      <c r="D3411" s="1597" t="e">
        <f>+SUMIF(#REF!,Final!A3411,#REF!)</f>
        <v>#REF!</v>
      </c>
      <c r="E3411" s="1643" t="e">
        <f>SUMIF(#REF!,Final!A3411,#REF!)</f>
        <v>#REF!</v>
      </c>
      <c r="F3411" s="1644" t="e">
        <f>SUMIF(#REF!,Final!A3411,#REF!)</f>
        <v>#REF!</v>
      </c>
      <c r="G3411" s="1597" t="e">
        <f t="shared" si="376"/>
        <v>#REF!</v>
      </c>
      <c r="H3411" s="1644" t="e">
        <f t="shared" si="377"/>
        <v>#REF!</v>
      </c>
      <c r="I3411" s="1597" t="e">
        <f t="shared" si="378"/>
        <v>#REF!</v>
      </c>
      <c r="J3411" s="1644" t="e">
        <f t="shared" si="379"/>
        <v>#REF!</v>
      </c>
      <c r="M3411" s="1545"/>
      <c r="N3411" s="1545"/>
    </row>
    <row r="3412" spans="1:93" s="1552" customFormat="1" ht="15.5">
      <c r="A3412" s="1598"/>
      <c r="B3412" s="1599" t="s">
        <v>1747</v>
      </c>
      <c r="C3412" s="1643" t="e">
        <f>+SUMIF(#REF!,Final!A3412,#REF!)</f>
        <v>#REF!</v>
      </c>
      <c r="D3412" s="1597" t="e">
        <f>+SUMIF(#REF!,Final!A3412,#REF!)</f>
        <v>#REF!</v>
      </c>
      <c r="E3412" s="1643" t="e">
        <f>SUMIF(#REF!,Final!A3412,#REF!)</f>
        <v>#REF!</v>
      </c>
      <c r="F3412" s="1644" t="e">
        <f>SUMIF(#REF!,Final!A3412,#REF!)</f>
        <v>#REF!</v>
      </c>
      <c r="G3412" s="1597" t="e">
        <f t="shared" si="376"/>
        <v>#REF!</v>
      </c>
      <c r="H3412" s="1644" t="e">
        <f t="shared" si="377"/>
        <v>#REF!</v>
      </c>
      <c r="I3412" s="1597" t="e">
        <f t="shared" si="378"/>
        <v>#REF!</v>
      </c>
      <c r="J3412" s="1644" t="e">
        <f t="shared" si="379"/>
        <v>#REF!</v>
      </c>
      <c r="K3412" s="1539"/>
      <c r="L3412" s="1539"/>
      <c r="M3412" s="1545"/>
      <c r="N3412" s="1545"/>
      <c r="O3412" s="1539"/>
      <c r="P3412" s="1539"/>
      <c r="Q3412" s="1539"/>
      <c r="R3412" s="1539"/>
      <c r="S3412" s="1539"/>
      <c r="T3412" s="1539"/>
      <c r="U3412" s="1539"/>
      <c r="V3412" s="1539"/>
      <c r="W3412" s="1539"/>
      <c r="X3412" s="1539"/>
      <c r="Y3412" s="1539"/>
      <c r="Z3412" s="1539"/>
      <c r="AA3412" s="1539"/>
      <c r="AB3412" s="1539"/>
      <c r="AC3412" s="1539"/>
      <c r="AD3412" s="1539"/>
      <c r="AE3412" s="1539"/>
      <c r="AF3412" s="1539"/>
      <c r="AG3412" s="1539"/>
      <c r="AH3412" s="1539"/>
      <c r="AI3412" s="1539"/>
      <c r="AJ3412" s="1539"/>
      <c r="AK3412" s="1539"/>
      <c r="AL3412" s="1539"/>
      <c r="AM3412" s="1539"/>
      <c r="AN3412" s="1539"/>
      <c r="AO3412" s="1539"/>
      <c r="AP3412" s="1539"/>
      <c r="AQ3412" s="1539"/>
      <c r="AR3412" s="1539"/>
      <c r="AS3412" s="1539"/>
      <c r="AT3412" s="1539"/>
      <c r="AU3412" s="1539"/>
      <c r="AV3412" s="1539"/>
      <c r="AW3412" s="1539"/>
      <c r="AX3412" s="1539"/>
      <c r="AY3412" s="1539"/>
      <c r="AZ3412" s="1539"/>
      <c r="BA3412" s="1539"/>
      <c r="BB3412" s="1539"/>
      <c r="BC3412" s="1539"/>
      <c r="BD3412" s="1539"/>
      <c r="BE3412" s="1539"/>
      <c r="BF3412" s="1539"/>
      <c r="BG3412" s="1539"/>
      <c r="BH3412" s="1539"/>
      <c r="BI3412" s="1539"/>
      <c r="BJ3412" s="1539"/>
      <c r="BK3412" s="1539"/>
      <c r="BL3412" s="1539"/>
      <c r="BM3412" s="1539"/>
      <c r="BN3412" s="1539"/>
      <c r="BO3412" s="1539"/>
      <c r="BP3412" s="1539"/>
      <c r="BQ3412" s="1539"/>
      <c r="BR3412" s="1539"/>
      <c r="BS3412" s="1539"/>
      <c r="BT3412" s="1539"/>
      <c r="BU3412" s="1539"/>
      <c r="BV3412" s="1539"/>
      <c r="BW3412" s="1539"/>
      <c r="BX3412" s="1539"/>
      <c r="BY3412" s="1539"/>
      <c r="BZ3412" s="1539"/>
      <c r="CA3412" s="1539"/>
      <c r="CB3412" s="1539"/>
      <c r="CC3412" s="1539"/>
      <c r="CD3412" s="1539"/>
      <c r="CE3412" s="1539"/>
      <c r="CF3412" s="1539"/>
      <c r="CG3412" s="1539"/>
      <c r="CH3412" s="1539"/>
      <c r="CI3412" s="1539"/>
      <c r="CJ3412" s="1539"/>
      <c r="CK3412" s="1539"/>
      <c r="CL3412" s="1539"/>
      <c r="CM3412" s="1539"/>
      <c r="CN3412" s="1539"/>
      <c r="CO3412" s="1539"/>
    </row>
    <row r="3413" spans="1:93" s="1552" customFormat="1" ht="15.5">
      <c r="A3413" s="1598"/>
      <c r="B3413" s="1599" t="s">
        <v>1760</v>
      </c>
      <c r="C3413" s="1643" t="e">
        <f>+SUMIF(#REF!,Final!A3413,#REF!)</f>
        <v>#REF!</v>
      </c>
      <c r="D3413" s="1597" t="e">
        <f>+SUMIF(#REF!,Final!A3413,#REF!)</f>
        <v>#REF!</v>
      </c>
      <c r="E3413" s="1643" t="e">
        <f>SUMIF(#REF!,Final!A3413,#REF!)</f>
        <v>#REF!</v>
      </c>
      <c r="F3413" s="1644" t="e">
        <f>SUMIF(#REF!,Final!A3413,#REF!)</f>
        <v>#REF!</v>
      </c>
      <c r="G3413" s="1597" t="e">
        <f t="shared" si="376"/>
        <v>#REF!</v>
      </c>
      <c r="H3413" s="1644" t="e">
        <f t="shared" si="377"/>
        <v>#REF!</v>
      </c>
      <c r="I3413" s="1597" t="e">
        <f t="shared" si="378"/>
        <v>#REF!</v>
      </c>
      <c r="J3413" s="1644" t="e">
        <f t="shared" si="379"/>
        <v>#REF!</v>
      </c>
      <c r="K3413" s="1539"/>
      <c r="L3413" s="1539"/>
      <c r="M3413" s="1545"/>
      <c r="N3413" s="1545"/>
      <c r="O3413" s="1539"/>
      <c r="P3413" s="1539"/>
      <c r="Q3413" s="1539"/>
      <c r="R3413" s="1539"/>
      <c r="S3413" s="1539"/>
      <c r="T3413" s="1539"/>
      <c r="U3413" s="1539"/>
      <c r="V3413" s="1539"/>
      <c r="W3413" s="1539"/>
      <c r="X3413" s="1539"/>
      <c r="Y3413" s="1539"/>
      <c r="Z3413" s="1539"/>
      <c r="AA3413" s="1539"/>
      <c r="AB3413" s="1539"/>
      <c r="AC3413" s="1539"/>
      <c r="AD3413" s="1539"/>
      <c r="AE3413" s="1539"/>
      <c r="AF3413" s="1539"/>
      <c r="AG3413" s="1539"/>
      <c r="AH3413" s="1539"/>
      <c r="AI3413" s="1539"/>
      <c r="AJ3413" s="1539"/>
      <c r="AK3413" s="1539"/>
      <c r="AL3413" s="1539"/>
      <c r="AM3413" s="1539"/>
      <c r="AN3413" s="1539"/>
      <c r="AO3413" s="1539"/>
      <c r="AP3413" s="1539"/>
      <c r="AQ3413" s="1539"/>
      <c r="AR3413" s="1539"/>
      <c r="AS3413" s="1539"/>
      <c r="AT3413" s="1539"/>
      <c r="AU3413" s="1539"/>
      <c r="AV3413" s="1539"/>
      <c r="AW3413" s="1539"/>
      <c r="AX3413" s="1539"/>
      <c r="AY3413" s="1539"/>
      <c r="AZ3413" s="1539"/>
      <c r="BA3413" s="1539"/>
      <c r="BB3413" s="1539"/>
      <c r="BC3413" s="1539"/>
      <c r="BD3413" s="1539"/>
      <c r="BE3413" s="1539"/>
      <c r="BF3413" s="1539"/>
      <c r="BG3413" s="1539"/>
      <c r="BH3413" s="1539"/>
      <c r="BI3413" s="1539"/>
      <c r="BJ3413" s="1539"/>
      <c r="BK3413" s="1539"/>
      <c r="BL3413" s="1539"/>
      <c r="BM3413" s="1539"/>
      <c r="BN3413" s="1539"/>
      <c r="BO3413" s="1539"/>
      <c r="BP3413" s="1539"/>
      <c r="BQ3413" s="1539"/>
      <c r="BR3413" s="1539"/>
      <c r="BS3413" s="1539"/>
      <c r="BT3413" s="1539"/>
      <c r="BU3413" s="1539"/>
      <c r="BV3413" s="1539"/>
      <c r="BW3413" s="1539"/>
      <c r="BX3413" s="1539"/>
      <c r="BY3413" s="1539"/>
      <c r="BZ3413" s="1539"/>
      <c r="CA3413" s="1539"/>
      <c r="CB3413" s="1539"/>
      <c r="CC3413" s="1539"/>
      <c r="CD3413" s="1539"/>
      <c r="CE3413" s="1539"/>
      <c r="CF3413" s="1539"/>
      <c r="CG3413" s="1539"/>
      <c r="CH3413" s="1539"/>
      <c r="CI3413" s="1539"/>
      <c r="CJ3413" s="1539"/>
      <c r="CK3413" s="1539"/>
      <c r="CL3413" s="1539"/>
      <c r="CM3413" s="1539"/>
      <c r="CN3413" s="1539"/>
      <c r="CO3413" s="1539"/>
    </row>
    <row r="3414" spans="1:93" s="1542" customFormat="1" ht="15.5">
      <c r="A3414" s="1598">
        <v>38</v>
      </c>
      <c r="B3414" s="1599" t="s">
        <v>3283</v>
      </c>
      <c r="C3414" s="1643" t="e">
        <f>+SUMIF(#REF!,Final!A3414,#REF!)</f>
        <v>#REF!</v>
      </c>
      <c r="D3414" s="1597" t="e">
        <f>+SUMIF(#REF!,Final!A3414,#REF!)</f>
        <v>#REF!</v>
      </c>
      <c r="E3414" s="1643" t="e">
        <f>SUMIF(#REF!,Final!A3414,#REF!)</f>
        <v>#REF!</v>
      </c>
      <c r="F3414" s="1644" t="e">
        <f>SUMIF(#REF!,Final!A3414,#REF!)</f>
        <v>#REF!</v>
      </c>
      <c r="G3414" s="1597" t="e">
        <f t="shared" si="376"/>
        <v>#REF!</v>
      </c>
      <c r="H3414" s="1644" t="e">
        <f t="shared" si="377"/>
        <v>#REF!</v>
      </c>
      <c r="I3414" s="1597" t="e">
        <f t="shared" si="378"/>
        <v>#REF!</v>
      </c>
      <c r="J3414" s="1644" t="e">
        <f t="shared" si="379"/>
        <v>#REF!</v>
      </c>
      <c r="K3414" s="1539"/>
      <c r="L3414" s="1539"/>
      <c r="M3414" s="1545"/>
      <c r="N3414" s="1545"/>
      <c r="O3414" s="1539"/>
      <c r="P3414" s="1539"/>
      <c r="Q3414" s="1539"/>
      <c r="R3414" s="1539"/>
      <c r="S3414" s="1539"/>
      <c r="T3414" s="1539"/>
      <c r="U3414" s="1539"/>
      <c r="V3414" s="1539"/>
      <c r="W3414" s="1539"/>
      <c r="X3414" s="1539"/>
      <c r="Y3414" s="1539"/>
      <c r="Z3414" s="1539"/>
      <c r="AA3414" s="1539"/>
      <c r="AB3414" s="1539"/>
      <c r="AC3414" s="1539"/>
      <c r="AD3414" s="1539"/>
      <c r="AE3414" s="1539"/>
      <c r="AF3414" s="1539"/>
      <c r="AG3414" s="1539"/>
      <c r="AH3414" s="1539"/>
      <c r="AI3414" s="1539"/>
      <c r="AJ3414" s="1539"/>
      <c r="AK3414" s="1539"/>
      <c r="AL3414" s="1539"/>
      <c r="AM3414" s="1539"/>
      <c r="AN3414" s="1539"/>
      <c r="AO3414" s="1539"/>
      <c r="AP3414" s="1539"/>
      <c r="AQ3414" s="1539"/>
      <c r="AR3414" s="1539"/>
      <c r="AS3414" s="1539"/>
      <c r="AT3414" s="1539"/>
      <c r="AU3414" s="1539"/>
      <c r="AV3414" s="1539"/>
      <c r="AW3414" s="1539"/>
      <c r="AX3414" s="1539"/>
      <c r="AY3414" s="1539"/>
      <c r="AZ3414" s="1539"/>
      <c r="BA3414" s="1539"/>
      <c r="BB3414" s="1539"/>
      <c r="BC3414" s="1539"/>
      <c r="BD3414" s="1539"/>
      <c r="BE3414" s="1539"/>
      <c r="BF3414" s="1539"/>
      <c r="BG3414" s="1539"/>
      <c r="BH3414" s="1539"/>
      <c r="BI3414" s="1539"/>
      <c r="BJ3414" s="1539"/>
      <c r="BK3414" s="1539"/>
      <c r="BL3414" s="1539"/>
      <c r="BM3414" s="1539"/>
      <c r="BN3414" s="1539"/>
      <c r="BO3414" s="1539"/>
      <c r="BP3414" s="1539"/>
      <c r="BQ3414" s="1539"/>
      <c r="BR3414" s="1539"/>
      <c r="BS3414" s="1539"/>
      <c r="BT3414" s="1539"/>
      <c r="BU3414" s="1539"/>
      <c r="BV3414" s="1539"/>
      <c r="BW3414" s="1539"/>
      <c r="BX3414" s="1539"/>
      <c r="BY3414" s="1539"/>
      <c r="BZ3414" s="1539"/>
      <c r="CA3414" s="1539"/>
      <c r="CB3414" s="1539"/>
      <c r="CC3414" s="1539"/>
      <c r="CD3414" s="1539"/>
      <c r="CE3414" s="1539"/>
      <c r="CF3414" s="1539"/>
      <c r="CG3414" s="1539"/>
      <c r="CH3414" s="1539"/>
      <c r="CI3414" s="1539"/>
      <c r="CJ3414" s="1539"/>
      <c r="CK3414" s="1539"/>
      <c r="CL3414" s="1539"/>
      <c r="CM3414" s="1539"/>
      <c r="CN3414" s="1539"/>
      <c r="CO3414" s="1539"/>
    </row>
    <row r="3415" spans="1:93" s="1542" customFormat="1" ht="15.5">
      <c r="A3415" s="1598" t="s">
        <v>1404</v>
      </c>
      <c r="B3415" s="1599" t="s">
        <v>3303</v>
      </c>
      <c r="C3415" s="1643" t="e">
        <f>+SUMIF(#REF!,Final!A3415,#REF!)</f>
        <v>#REF!</v>
      </c>
      <c r="D3415" s="1597" t="e">
        <f>+SUMIF(#REF!,Final!A3415,#REF!)</f>
        <v>#REF!</v>
      </c>
      <c r="E3415" s="1643" t="e">
        <f>SUMIF(#REF!,Final!A3415,#REF!)</f>
        <v>#REF!</v>
      </c>
      <c r="F3415" s="1644" t="e">
        <f>SUMIF(#REF!,Final!A3415,#REF!)</f>
        <v>#REF!</v>
      </c>
      <c r="G3415" s="1597" t="e">
        <f t="shared" si="376"/>
        <v>#REF!</v>
      </c>
      <c r="H3415" s="1644" t="e">
        <f t="shared" si="377"/>
        <v>#REF!</v>
      </c>
      <c r="I3415" s="1597" t="e">
        <f t="shared" si="378"/>
        <v>#REF!</v>
      </c>
      <c r="J3415" s="1644" t="e">
        <f t="shared" si="379"/>
        <v>#REF!</v>
      </c>
      <c r="K3415" s="1539"/>
      <c r="L3415" s="1539"/>
      <c r="M3415" s="1545"/>
      <c r="N3415" s="1545"/>
      <c r="O3415" s="1539"/>
      <c r="P3415" s="1539"/>
      <c r="Q3415" s="1539"/>
      <c r="R3415" s="1539"/>
      <c r="S3415" s="1539"/>
      <c r="T3415" s="1539"/>
      <c r="U3415" s="1539"/>
      <c r="V3415" s="1539"/>
      <c r="W3415" s="1539"/>
      <c r="X3415" s="1539"/>
      <c r="Y3415" s="1539"/>
      <c r="Z3415" s="1539"/>
      <c r="AA3415" s="1539"/>
      <c r="AB3415" s="1539"/>
      <c r="AC3415" s="1539"/>
      <c r="AD3415" s="1539"/>
      <c r="AE3415" s="1539"/>
      <c r="AF3415" s="1539"/>
      <c r="AG3415" s="1539"/>
      <c r="AH3415" s="1539"/>
      <c r="AI3415" s="1539"/>
      <c r="AJ3415" s="1539"/>
      <c r="AK3415" s="1539"/>
      <c r="AL3415" s="1539"/>
      <c r="AM3415" s="1539"/>
      <c r="AN3415" s="1539"/>
      <c r="AO3415" s="1539"/>
      <c r="AP3415" s="1539"/>
      <c r="AQ3415" s="1539"/>
      <c r="AR3415" s="1539"/>
      <c r="AS3415" s="1539"/>
      <c r="AT3415" s="1539"/>
      <c r="AU3415" s="1539"/>
      <c r="AV3415" s="1539"/>
      <c r="AW3415" s="1539"/>
      <c r="AX3415" s="1539"/>
      <c r="AY3415" s="1539"/>
      <c r="AZ3415" s="1539"/>
      <c r="BA3415" s="1539"/>
      <c r="BB3415" s="1539"/>
      <c r="BC3415" s="1539"/>
      <c r="BD3415" s="1539"/>
      <c r="BE3415" s="1539"/>
      <c r="BF3415" s="1539"/>
      <c r="BG3415" s="1539"/>
      <c r="BH3415" s="1539"/>
      <c r="BI3415" s="1539"/>
      <c r="BJ3415" s="1539"/>
      <c r="BK3415" s="1539"/>
      <c r="BL3415" s="1539"/>
      <c r="BM3415" s="1539"/>
      <c r="BN3415" s="1539"/>
      <c r="BO3415" s="1539"/>
      <c r="BP3415" s="1539"/>
      <c r="BQ3415" s="1539"/>
      <c r="BR3415" s="1539"/>
      <c r="BS3415" s="1539"/>
      <c r="BT3415" s="1539"/>
      <c r="BU3415" s="1539"/>
      <c r="BV3415" s="1539"/>
      <c r="BW3415" s="1539"/>
      <c r="BX3415" s="1539"/>
      <c r="BY3415" s="1539"/>
      <c r="BZ3415" s="1539"/>
      <c r="CA3415" s="1539"/>
      <c r="CB3415" s="1539"/>
      <c r="CC3415" s="1539"/>
      <c r="CD3415" s="1539"/>
      <c r="CE3415" s="1539"/>
      <c r="CF3415" s="1539"/>
      <c r="CG3415" s="1539"/>
      <c r="CH3415" s="1539"/>
      <c r="CI3415" s="1539"/>
      <c r="CJ3415" s="1539"/>
      <c r="CK3415" s="1539"/>
      <c r="CL3415" s="1539"/>
      <c r="CM3415" s="1539"/>
      <c r="CN3415" s="1539"/>
      <c r="CO3415" s="1539"/>
    </row>
    <row r="3416" spans="1:93" ht="15.5">
      <c r="A3416" s="1598">
        <v>78.864000000000004</v>
      </c>
      <c r="B3416" s="1599" t="s">
        <v>3304</v>
      </c>
      <c r="C3416" s="1643" t="e">
        <f>+SUMIF(#REF!,Final!A3416,#REF!)</f>
        <v>#REF!</v>
      </c>
      <c r="D3416" s="1597" t="e">
        <f>+SUMIF(#REF!,Final!A3416,#REF!)</f>
        <v>#REF!</v>
      </c>
      <c r="E3416" s="1643" t="e">
        <f>SUMIF(#REF!,Final!A3416,#REF!)</f>
        <v>#REF!</v>
      </c>
      <c r="F3416" s="1644" t="e">
        <f>SUMIF(#REF!,Final!A3416,#REF!)</f>
        <v>#REF!</v>
      </c>
      <c r="G3416" s="1597" t="e">
        <f t="shared" si="376"/>
        <v>#REF!</v>
      </c>
      <c r="H3416" s="1644" t="e">
        <f t="shared" si="377"/>
        <v>#REF!</v>
      </c>
      <c r="I3416" s="1597" t="e">
        <f t="shared" si="378"/>
        <v>#REF!</v>
      </c>
      <c r="J3416" s="1644" t="e">
        <f t="shared" si="379"/>
        <v>#REF!</v>
      </c>
      <c r="M3416" s="1545"/>
      <c r="N3416" s="1545"/>
    </row>
    <row r="3417" spans="1:93" ht="15.5">
      <c r="A3417" s="1598">
        <v>78.881</v>
      </c>
      <c r="B3417" s="1599" t="s">
        <v>3305</v>
      </c>
      <c r="C3417" s="1643" t="e">
        <f>+SUMIF(#REF!,Final!A3417,#REF!)</f>
        <v>#REF!</v>
      </c>
      <c r="D3417" s="1597" t="e">
        <f>+SUMIF(#REF!,Final!A3417,#REF!)</f>
        <v>#REF!</v>
      </c>
      <c r="E3417" s="1643" t="e">
        <f>SUMIF(#REF!,Final!A3417,#REF!)</f>
        <v>#REF!</v>
      </c>
      <c r="F3417" s="1644" t="e">
        <f>SUMIF(#REF!,Final!A3417,#REF!)</f>
        <v>#REF!</v>
      </c>
      <c r="G3417" s="1597" t="e">
        <f t="shared" si="376"/>
        <v>#REF!</v>
      </c>
      <c r="H3417" s="1644" t="e">
        <f t="shared" si="377"/>
        <v>#REF!</v>
      </c>
      <c r="I3417" s="1597" t="e">
        <f t="shared" si="378"/>
        <v>#REF!</v>
      </c>
      <c r="J3417" s="1644" t="e">
        <f t="shared" si="379"/>
        <v>#REF!</v>
      </c>
      <c r="M3417" s="1545"/>
      <c r="N3417" s="1545"/>
    </row>
    <row r="3418" spans="1:93" ht="15.5">
      <c r="A3418" s="1598">
        <v>78.882000000000005</v>
      </c>
      <c r="B3418" s="1599" t="s">
        <v>3306</v>
      </c>
      <c r="C3418" s="1643" t="e">
        <f>+SUMIF(#REF!,Final!A3418,#REF!)</f>
        <v>#REF!</v>
      </c>
      <c r="D3418" s="1597" t="e">
        <f>+SUMIF(#REF!,Final!A3418,#REF!)</f>
        <v>#REF!</v>
      </c>
      <c r="E3418" s="1643" t="e">
        <f>SUMIF(#REF!,Final!A3418,#REF!)</f>
        <v>#REF!</v>
      </c>
      <c r="F3418" s="1644" t="e">
        <f>SUMIF(#REF!,Final!A3418,#REF!)</f>
        <v>#REF!</v>
      </c>
      <c r="G3418" s="1597" t="e">
        <f t="shared" si="376"/>
        <v>#REF!</v>
      </c>
      <c r="H3418" s="1644" t="e">
        <f t="shared" si="377"/>
        <v>#REF!</v>
      </c>
      <c r="I3418" s="1597" t="e">
        <f t="shared" si="378"/>
        <v>#REF!</v>
      </c>
      <c r="J3418" s="1644" t="e">
        <f t="shared" si="379"/>
        <v>#REF!</v>
      </c>
      <c r="M3418" s="1545"/>
      <c r="N3418" s="1545"/>
    </row>
    <row r="3419" spans="1:93" ht="15.5">
      <c r="A3419" s="1598">
        <v>78.882999999999996</v>
      </c>
      <c r="B3419" s="1599" t="s">
        <v>3307</v>
      </c>
      <c r="C3419" s="1643" t="e">
        <f>+SUMIF(#REF!,Final!A3419,#REF!)</f>
        <v>#REF!</v>
      </c>
      <c r="D3419" s="1597" t="e">
        <f>+SUMIF(#REF!,Final!A3419,#REF!)</f>
        <v>#REF!</v>
      </c>
      <c r="E3419" s="1643" t="e">
        <f>SUMIF(#REF!,Final!A3419,#REF!)</f>
        <v>#REF!</v>
      </c>
      <c r="F3419" s="1644" t="e">
        <f>SUMIF(#REF!,Final!A3419,#REF!)</f>
        <v>#REF!</v>
      </c>
      <c r="G3419" s="1597" t="e">
        <f t="shared" si="376"/>
        <v>#REF!</v>
      </c>
      <c r="H3419" s="1644" t="e">
        <f t="shared" si="377"/>
        <v>#REF!</v>
      </c>
      <c r="I3419" s="1597" t="e">
        <f t="shared" si="378"/>
        <v>#REF!</v>
      </c>
      <c r="J3419" s="1644" t="e">
        <f t="shared" si="379"/>
        <v>#REF!</v>
      </c>
      <c r="M3419" s="1545"/>
      <c r="N3419" s="1545"/>
    </row>
    <row r="3420" spans="1:93" ht="15.5">
      <c r="A3420" s="1598">
        <v>78.884</v>
      </c>
      <c r="B3420" s="1599" t="s">
        <v>3308</v>
      </c>
      <c r="C3420" s="1643" t="e">
        <f>+SUMIF(#REF!,Final!A3420,#REF!)</f>
        <v>#REF!</v>
      </c>
      <c r="D3420" s="1597" t="e">
        <f>+SUMIF(#REF!,Final!A3420,#REF!)</f>
        <v>#REF!</v>
      </c>
      <c r="E3420" s="1643" t="e">
        <f>SUMIF(#REF!,Final!A3420,#REF!)</f>
        <v>#REF!</v>
      </c>
      <c r="F3420" s="1644" t="e">
        <f>SUMIF(#REF!,Final!A3420,#REF!)</f>
        <v>#REF!</v>
      </c>
      <c r="G3420" s="1597" t="e">
        <f t="shared" si="376"/>
        <v>#REF!</v>
      </c>
      <c r="H3420" s="1644" t="e">
        <f t="shared" si="377"/>
        <v>#REF!</v>
      </c>
      <c r="I3420" s="1597" t="e">
        <f t="shared" si="378"/>
        <v>#REF!</v>
      </c>
      <c r="J3420" s="1644" t="e">
        <f t="shared" si="379"/>
        <v>#REF!</v>
      </c>
      <c r="M3420" s="1545"/>
      <c r="N3420" s="1545"/>
    </row>
    <row r="3421" spans="1:93" ht="15.5">
      <c r="A3421" s="1598">
        <v>78.885000000000005</v>
      </c>
      <c r="B3421" s="1599" t="s">
        <v>3309</v>
      </c>
      <c r="C3421" s="1643" t="e">
        <f>+SUMIF(#REF!,Final!A3421,#REF!)</f>
        <v>#REF!</v>
      </c>
      <c r="D3421" s="1597" t="e">
        <f>+SUMIF(#REF!,Final!A3421,#REF!)</f>
        <v>#REF!</v>
      </c>
      <c r="E3421" s="1643" t="e">
        <f>SUMIF(#REF!,Final!A3421,#REF!)</f>
        <v>#REF!</v>
      </c>
      <c r="F3421" s="1644" t="e">
        <f>SUMIF(#REF!,Final!A3421,#REF!)</f>
        <v>#REF!</v>
      </c>
      <c r="G3421" s="1597" t="e">
        <f t="shared" si="376"/>
        <v>#REF!</v>
      </c>
      <c r="H3421" s="1644" t="e">
        <f t="shared" si="377"/>
        <v>#REF!</v>
      </c>
      <c r="I3421" s="1597" t="e">
        <f t="shared" si="378"/>
        <v>#REF!</v>
      </c>
      <c r="J3421" s="1644" t="e">
        <f t="shared" si="379"/>
        <v>#REF!</v>
      </c>
      <c r="M3421" s="1545"/>
      <c r="N3421" s="1545"/>
    </row>
    <row r="3422" spans="1:93" ht="15.5">
      <c r="A3422" s="1598">
        <v>78.887</v>
      </c>
      <c r="B3422" s="1599" t="s">
        <v>3310</v>
      </c>
      <c r="C3422" s="1643" t="e">
        <f>+SUMIF(#REF!,Final!A3422,#REF!)</f>
        <v>#REF!</v>
      </c>
      <c r="D3422" s="1597" t="e">
        <f>+SUMIF(#REF!,Final!A3422,#REF!)</f>
        <v>#REF!</v>
      </c>
      <c r="E3422" s="1643" t="e">
        <f>SUMIF(#REF!,Final!A3422,#REF!)</f>
        <v>#REF!</v>
      </c>
      <c r="F3422" s="1644" t="e">
        <f>SUMIF(#REF!,Final!A3422,#REF!)</f>
        <v>#REF!</v>
      </c>
      <c r="G3422" s="1597" t="e">
        <f t="shared" si="376"/>
        <v>#REF!</v>
      </c>
      <c r="H3422" s="1644" t="e">
        <f t="shared" si="377"/>
        <v>#REF!</v>
      </c>
      <c r="I3422" s="1597" t="e">
        <f t="shared" si="378"/>
        <v>#REF!</v>
      </c>
      <c r="J3422" s="1644" t="e">
        <f t="shared" si="379"/>
        <v>#REF!</v>
      </c>
      <c r="M3422" s="1545"/>
      <c r="N3422" s="1545"/>
    </row>
    <row r="3423" spans="1:93" s="1552" customFormat="1" ht="15.5">
      <c r="A3423" s="1598"/>
      <c r="B3423" s="1599" t="s">
        <v>1747</v>
      </c>
      <c r="C3423" s="1643" t="e">
        <f>+SUMIF(#REF!,Final!A3423,#REF!)</f>
        <v>#REF!</v>
      </c>
      <c r="D3423" s="1597" t="e">
        <f>+SUMIF(#REF!,Final!A3423,#REF!)</f>
        <v>#REF!</v>
      </c>
      <c r="E3423" s="1643" t="e">
        <f>SUMIF(#REF!,Final!A3423,#REF!)</f>
        <v>#REF!</v>
      </c>
      <c r="F3423" s="1644" t="e">
        <f>SUMIF(#REF!,Final!A3423,#REF!)</f>
        <v>#REF!</v>
      </c>
      <c r="G3423" s="1597" t="e">
        <f t="shared" si="376"/>
        <v>#REF!</v>
      </c>
      <c r="H3423" s="1644" t="e">
        <f t="shared" si="377"/>
        <v>#REF!</v>
      </c>
      <c r="I3423" s="1597" t="e">
        <f t="shared" si="378"/>
        <v>#REF!</v>
      </c>
      <c r="J3423" s="1644" t="e">
        <f t="shared" si="379"/>
        <v>#REF!</v>
      </c>
      <c r="K3423" s="1539"/>
      <c r="L3423" s="1539"/>
      <c r="M3423" s="1545"/>
      <c r="N3423" s="1545"/>
      <c r="O3423" s="1539"/>
      <c r="P3423" s="1539"/>
      <c r="Q3423" s="1539"/>
      <c r="R3423" s="1539"/>
      <c r="S3423" s="1539"/>
      <c r="T3423" s="1539"/>
      <c r="U3423" s="1539"/>
      <c r="V3423" s="1539"/>
      <c r="W3423" s="1539"/>
      <c r="X3423" s="1539"/>
      <c r="Y3423" s="1539"/>
      <c r="Z3423" s="1539"/>
      <c r="AA3423" s="1539"/>
      <c r="AB3423" s="1539"/>
      <c r="AC3423" s="1539"/>
      <c r="AD3423" s="1539"/>
      <c r="AE3423" s="1539"/>
      <c r="AF3423" s="1539"/>
      <c r="AG3423" s="1539"/>
      <c r="AH3423" s="1539"/>
      <c r="AI3423" s="1539"/>
      <c r="AJ3423" s="1539"/>
      <c r="AK3423" s="1539"/>
      <c r="AL3423" s="1539"/>
      <c r="AM3423" s="1539"/>
      <c r="AN3423" s="1539"/>
      <c r="AO3423" s="1539"/>
      <c r="AP3423" s="1539"/>
      <c r="AQ3423" s="1539"/>
      <c r="AR3423" s="1539"/>
      <c r="AS3423" s="1539"/>
      <c r="AT3423" s="1539"/>
      <c r="AU3423" s="1539"/>
      <c r="AV3423" s="1539"/>
      <c r="AW3423" s="1539"/>
      <c r="AX3423" s="1539"/>
      <c r="AY3423" s="1539"/>
      <c r="AZ3423" s="1539"/>
      <c r="BA3423" s="1539"/>
      <c r="BB3423" s="1539"/>
      <c r="BC3423" s="1539"/>
      <c r="BD3423" s="1539"/>
      <c r="BE3423" s="1539"/>
      <c r="BF3423" s="1539"/>
      <c r="BG3423" s="1539"/>
      <c r="BH3423" s="1539"/>
      <c r="BI3423" s="1539"/>
      <c r="BJ3423" s="1539"/>
      <c r="BK3423" s="1539"/>
      <c r="BL3423" s="1539"/>
      <c r="BM3423" s="1539"/>
      <c r="BN3423" s="1539"/>
      <c r="BO3423" s="1539"/>
      <c r="BP3423" s="1539"/>
      <c r="BQ3423" s="1539"/>
      <c r="BR3423" s="1539"/>
      <c r="BS3423" s="1539"/>
      <c r="BT3423" s="1539"/>
      <c r="BU3423" s="1539"/>
      <c r="BV3423" s="1539"/>
      <c r="BW3423" s="1539"/>
      <c r="BX3423" s="1539"/>
      <c r="BY3423" s="1539"/>
      <c r="BZ3423" s="1539"/>
      <c r="CA3423" s="1539"/>
      <c r="CB3423" s="1539"/>
      <c r="CC3423" s="1539"/>
      <c r="CD3423" s="1539"/>
      <c r="CE3423" s="1539"/>
      <c r="CF3423" s="1539"/>
      <c r="CG3423" s="1539"/>
      <c r="CH3423" s="1539"/>
      <c r="CI3423" s="1539"/>
      <c r="CJ3423" s="1539"/>
      <c r="CK3423" s="1539"/>
      <c r="CL3423" s="1539"/>
      <c r="CM3423" s="1539"/>
      <c r="CN3423" s="1539"/>
      <c r="CO3423" s="1539"/>
    </row>
    <row r="3424" spans="1:93" s="1552" customFormat="1" ht="15.5">
      <c r="A3424" s="1598"/>
      <c r="B3424" s="1599" t="s">
        <v>1760</v>
      </c>
      <c r="C3424" s="1643" t="e">
        <f>+SUMIF(#REF!,Final!A3424,#REF!)</f>
        <v>#REF!</v>
      </c>
      <c r="D3424" s="1597" t="e">
        <f>+SUMIF(#REF!,Final!A3424,#REF!)</f>
        <v>#REF!</v>
      </c>
      <c r="E3424" s="1643" t="e">
        <f>SUMIF(#REF!,Final!A3424,#REF!)</f>
        <v>#REF!</v>
      </c>
      <c r="F3424" s="1644" t="e">
        <f>SUMIF(#REF!,Final!A3424,#REF!)</f>
        <v>#REF!</v>
      </c>
      <c r="G3424" s="1597" t="e">
        <f t="shared" si="376"/>
        <v>#REF!</v>
      </c>
      <c r="H3424" s="1644" t="e">
        <f t="shared" si="377"/>
        <v>#REF!</v>
      </c>
      <c r="I3424" s="1597" t="e">
        <f t="shared" si="378"/>
        <v>#REF!</v>
      </c>
      <c r="J3424" s="1644" t="e">
        <f t="shared" si="379"/>
        <v>#REF!</v>
      </c>
      <c r="K3424" s="1539"/>
      <c r="L3424" s="1539"/>
      <c r="M3424" s="1545"/>
      <c r="N3424" s="1545"/>
      <c r="O3424" s="1539"/>
      <c r="P3424" s="1539"/>
      <c r="Q3424" s="1539"/>
      <c r="R3424" s="1539"/>
      <c r="S3424" s="1539"/>
      <c r="T3424" s="1539"/>
      <c r="U3424" s="1539"/>
      <c r="V3424" s="1539"/>
      <c r="W3424" s="1539"/>
      <c r="X3424" s="1539"/>
      <c r="Y3424" s="1539"/>
      <c r="Z3424" s="1539"/>
      <c r="AA3424" s="1539"/>
      <c r="AB3424" s="1539"/>
      <c r="AC3424" s="1539"/>
      <c r="AD3424" s="1539"/>
      <c r="AE3424" s="1539"/>
      <c r="AF3424" s="1539"/>
      <c r="AG3424" s="1539"/>
      <c r="AH3424" s="1539"/>
      <c r="AI3424" s="1539"/>
      <c r="AJ3424" s="1539"/>
      <c r="AK3424" s="1539"/>
      <c r="AL3424" s="1539"/>
      <c r="AM3424" s="1539"/>
      <c r="AN3424" s="1539"/>
      <c r="AO3424" s="1539"/>
      <c r="AP3424" s="1539"/>
      <c r="AQ3424" s="1539"/>
      <c r="AR3424" s="1539"/>
      <c r="AS3424" s="1539"/>
      <c r="AT3424" s="1539"/>
      <c r="AU3424" s="1539"/>
      <c r="AV3424" s="1539"/>
      <c r="AW3424" s="1539"/>
      <c r="AX3424" s="1539"/>
      <c r="AY3424" s="1539"/>
      <c r="AZ3424" s="1539"/>
      <c r="BA3424" s="1539"/>
      <c r="BB3424" s="1539"/>
      <c r="BC3424" s="1539"/>
      <c r="BD3424" s="1539"/>
      <c r="BE3424" s="1539"/>
      <c r="BF3424" s="1539"/>
      <c r="BG3424" s="1539"/>
      <c r="BH3424" s="1539"/>
      <c r="BI3424" s="1539"/>
      <c r="BJ3424" s="1539"/>
      <c r="BK3424" s="1539"/>
      <c r="BL3424" s="1539"/>
      <c r="BM3424" s="1539"/>
      <c r="BN3424" s="1539"/>
      <c r="BO3424" s="1539"/>
      <c r="BP3424" s="1539"/>
      <c r="BQ3424" s="1539"/>
      <c r="BR3424" s="1539"/>
      <c r="BS3424" s="1539"/>
      <c r="BT3424" s="1539"/>
      <c r="BU3424" s="1539"/>
      <c r="BV3424" s="1539"/>
      <c r="BW3424" s="1539"/>
      <c r="BX3424" s="1539"/>
      <c r="BY3424" s="1539"/>
      <c r="BZ3424" s="1539"/>
      <c r="CA3424" s="1539"/>
      <c r="CB3424" s="1539"/>
      <c r="CC3424" s="1539"/>
      <c r="CD3424" s="1539"/>
      <c r="CE3424" s="1539"/>
      <c r="CF3424" s="1539"/>
      <c r="CG3424" s="1539"/>
      <c r="CH3424" s="1539"/>
      <c r="CI3424" s="1539"/>
      <c r="CJ3424" s="1539"/>
      <c r="CK3424" s="1539"/>
      <c r="CL3424" s="1539"/>
      <c r="CM3424" s="1539"/>
      <c r="CN3424" s="1539"/>
      <c r="CO3424" s="1539"/>
    </row>
    <row r="3425" spans="1:93" s="1542" customFormat="1" ht="15.5">
      <c r="A3425" s="1598">
        <v>38</v>
      </c>
      <c r="B3425" s="1599" t="s">
        <v>3283</v>
      </c>
      <c r="C3425" s="1643" t="e">
        <f>+SUMIF(#REF!,Final!A3425,#REF!)</f>
        <v>#REF!</v>
      </c>
      <c r="D3425" s="1597" t="e">
        <f>+SUMIF(#REF!,Final!A3425,#REF!)</f>
        <v>#REF!</v>
      </c>
      <c r="E3425" s="1643" t="e">
        <f>SUMIF(#REF!,Final!A3425,#REF!)</f>
        <v>#REF!</v>
      </c>
      <c r="F3425" s="1644" t="e">
        <f>SUMIF(#REF!,Final!A3425,#REF!)</f>
        <v>#REF!</v>
      </c>
      <c r="G3425" s="1597" t="e">
        <f t="shared" si="376"/>
        <v>#REF!</v>
      </c>
      <c r="H3425" s="1644" t="e">
        <f t="shared" si="377"/>
        <v>#REF!</v>
      </c>
      <c r="I3425" s="1597" t="e">
        <f t="shared" si="378"/>
        <v>#REF!</v>
      </c>
      <c r="J3425" s="1644" t="e">
        <f t="shared" si="379"/>
        <v>#REF!</v>
      </c>
      <c r="K3425" s="1539"/>
      <c r="L3425" s="1539"/>
      <c r="M3425" s="1545"/>
      <c r="N3425" s="1545"/>
      <c r="O3425" s="1539"/>
      <c r="P3425" s="1539"/>
      <c r="Q3425" s="1539"/>
      <c r="R3425" s="1539"/>
      <c r="S3425" s="1539"/>
      <c r="T3425" s="1539"/>
      <c r="U3425" s="1539"/>
      <c r="V3425" s="1539"/>
      <c r="W3425" s="1539"/>
      <c r="X3425" s="1539"/>
      <c r="Y3425" s="1539"/>
      <c r="Z3425" s="1539"/>
      <c r="AA3425" s="1539"/>
      <c r="AB3425" s="1539"/>
      <c r="AC3425" s="1539"/>
      <c r="AD3425" s="1539"/>
      <c r="AE3425" s="1539"/>
      <c r="AF3425" s="1539"/>
      <c r="AG3425" s="1539"/>
      <c r="AH3425" s="1539"/>
      <c r="AI3425" s="1539"/>
      <c r="AJ3425" s="1539"/>
      <c r="AK3425" s="1539"/>
      <c r="AL3425" s="1539"/>
      <c r="AM3425" s="1539"/>
      <c r="AN3425" s="1539"/>
      <c r="AO3425" s="1539"/>
      <c r="AP3425" s="1539"/>
      <c r="AQ3425" s="1539"/>
      <c r="AR3425" s="1539"/>
      <c r="AS3425" s="1539"/>
      <c r="AT3425" s="1539"/>
      <c r="AU3425" s="1539"/>
      <c r="AV3425" s="1539"/>
      <c r="AW3425" s="1539"/>
      <c r="AX3425" s="1539"/>
      <c r="AY3425" s="1539"/>
      <c r="AZ3425" s="1539"/>
      <c r="BA3425" s="1539"/>
      <c r="BB3425" s="1539"/>
      <c r="BC3425" s="1539"/>
      <c r="BD3425" s="1539"/>
      <c r="BE3425" s="1539"/>
      <c r="BF3425" s="1539"/>
      <c r="BG3425" s="1539"/>
      <c r="BH3425" s="1539"/>
      <c r="BI3425" s="1539"/>
      <c r="BJ3425" s="1539"/>
      <c r="BK3425" s="1539"/>
      <c r="BL3425" s="1539"/>
      <c r="BM3425" s="1539"/>
      <c r="BN3425" s="1539"/>
      <c r="BO3425" s="1539"/>
      <c r="BP3425" s="1539"/>
      <c r="BQ3425" s="1539"/>
      <c r="BR3425" s="1539"/>
      <c r="BS3425" s="1539"/>
      <c r="BT3425" s="1539"/>
      <c r="BU3425" s="1539"/>
      <c r="BV3425" s="1539"/>
      <c r="BW3425" s="1539"/>
      <c r="BX3425" s="1539"/>
      <c r="BY3425" s="1539"/>
      <c r="BZ3425" s="1539"/>
      <c r="CA3425" s="1539"/>
      <c r="CB3425" s="1539"/>
      <c r="CC3425" s="1539"/>
      <c r="CD3425" s="1539"/>
      <c r="CE3425" s="1539"/>
      <c r="CF3425" s="1539"/>
      <c r="CG3425" s="1539"/>
      <c r="CH3425" s="1539"/>
      <c r="CI3425" s="1539"/>
      <c r="CJ3425" s="1539"/>
      <c r="CK3425" s="1539"/>
      <c r="CL3425" s="1539"/>
      <c r="CM3425" s="1539"/>
      <c r="CN3425" s="1539"/>
      <c r="CO3425" s="1539"/>
    </row>
    <row r="3426" spans="1:93" s="1542" customFormat="1" ht="15.5">
      <c r="A3426" s="1598" t="s">
        <v>544</v>
      </c>
      <c r="B3426" s="1599" t="s">
        <v>3301</v>
      </c>
      <c r="C3426" s="1643" t="e">
        <f>+SUMIF(#REF!,Final!A3426,#REF!)</f>
        <v>#REF!</v>
      </c>
      <c r="D3426" s="1597" t="e">
        <f>+SUMIF(#REF!,Final!A3426,#REF!)</f>
        <v>#REF!</v>
      </c>
      <c r="E3426" s="1643" t="e">
        <f>SUMIF(#REF!,Final!A3426,#REF!)</f>
        <v>#REF!</v>
      </c>
      <c r="F3426" s="1644" t="e">
        <f>SUMIF(#REF!,Final!A3426,#REF!)</f>
        <v>#REF!</v>
      </c>
      <c r="G3426" s="1597" t="e">
        <f t="shared" si="376"/>
        <v>#REF!</v>
      </c>
      <c r="H3426" s="1644" t="e">
        <f t="shared" si="377"/>
        <v>#REF!</v>
      </c>
      <c r="I3426" s="1597" t="e">
        <f t="shared" si="378"/>
        <v>#REF!</v>
      </c>
      <c r="J3426" s="1644" t="e">
        <f t="shared" si="379"/>
        <v>#REF!</v>
      </c>
      <c r="K3426" s="1539"/>
      <c r="L3426" s="1539"/>
      <c r="M3426" s="1545"/>
      <c r="N3426" s="1545"/>
      <c r="O3426" s="1539"/>
      <c r="P3426" s="1539"/>
      <c r="Q3426" s="1539"/>
      <c r="R3426" s="1539"/>
      <c r="S3426" s="1539"/>
      <c r="T3426" s="1539"/>
      <c r="U3426" s="1539"/>
      <c r="V3426" s="1539"/>
      <c r="W3426" s="1539"/>
      <c r="X3426" s="1539"/>
      <c r="Y3426" s="1539"/>
      <c r="Z3426" s="1539"/>
      <c r="AA3426" s="1539"/>
      <c r="AB3426" s="1539"/>
      <c r="AC3426" s="1539"/>
      <c r="AD3426" s="1539"/>
      <c r="AE3426" s="1539"/>
      <c r="AF3426" s="1539"/>
      <c r="AG3426" s="1539"/>
      <c r="AH3426" s="1539"/>
      <c r="AI3426" s="1539"/>
      <c r="AJ3426" s="1539"/>
      <c r="AK3426" s="1539"/>
      <c r="AL3426" s="1539"/>
      <c r="AM3426" s="1539"/>
      <c r="AN3426" s="1539"/>
      <c r="AO3426" s="1539"/>
      <c r="AP3426" s="1539"/>
      <c r="AQ3426" s="1539"/>
      <c r="AR3426" s="1539"/>
      <c r="AS3426" s="1539"/>
      <c r="AT3426" s="1539"/>
      <c r="AU3426" s="1539"/>
      <c r="AV3426" s="1539"/>
      <c r="AW3426" s="1539"/>
      <c r="AX3426" s="1539"/>
      <c r="AY3426" s="1539"/>
      <c r="AZ3426" s="1539"/>
      <c r="BA3426" s="1539"/>
      <c r="BB3426" s="1539"/>
      <c r="BC3426" s="1539"/>
      <c r="BD3426" s="1539"/>
      <c r="BE3426" s="1539"/>
      <c r="BF3426" s="1539"/>
      <c r="BG3426" s="1539"/>
      <c r="BH3426" s="1539"/>
      <c r="BI3426" s="1539"/>
      <c r="BJ3426" s="1539"/>
      <c r="BK3426" s="1539"/>
      <c r="BL3426" s="1539"/>
      <c r="BM3426" s="1539"/>
      <c r="BN3426" s="1539"/>
      <c r="BO3426" s="1539"/>
      <c r="BP3426" s="1539"/>
      <c r="BQ3426" s="1539"/>
      <c r="BR3426" s="1539"/>
      <c r="BS3426" s="1539"/>
      <c r="BT3426" s="1539"/>
      <c r="BU3426" s="1539"/>
      <c r="BV3426" s="1539"/>
      <c r="BW3426" s="1539"/>
      <c r="BX3426" s="1539"/>
      <c r="BY3426" s="1539"/>
      <c r="BZ3426" s="1539"/>
      <c r="CA3426" s="1539"/>
      <c r="CB3426" s="1539"/>
      <c r="CC3426" s="1539"/>
      <c r="CD3426" s="1539"/>
      <c r="CE3426" s="1539"/>
      <c r="CF3426" s="1539"/>
      <c r="CG3426" s="1539"/>
      <c r="CH3426" s="1539"/>
      <c r="CI3426" s="1539"/>
      <c r="CJ3426" s="1539"/>
      <c r="CK3426" s="1539"/>
      <c r="CL3426" s="1539"/>
      <c r="CM3426" s="1539"/>
      <c r="CN3426" s="1539"/>
      <c r="CO3426" s="1539"/>
    </row>
    <row r="3427" spans="1:93" ht="15.5">
      <c r="A3427" s="1598">
        <v>78.91</v>
      </c>
      <c r="B3427" s="1599" t="s">
        <v>3301</v>
      </c>
      <c r="C3427" s="1643" t="e">
        <f>+SUMIF(#REF!,Final!A3427,#REF!)</f>
        <v>#REF!</v>
      </c>
      <c r="D3427" s="1597" t="e">
        <f>+SUMIF(#REF!,Final!A3427,#REF!)</f>
        <v>#REF!</v>
      </c>
      <c r="E3427" s="1643" t="e">
        <f>SUMIF(#REF!,Final!A3427,#REF!)</f>
        <v>#REF!</v>
      </c>
      <c r="F3427" s="1644" t="e">
        <f>SUMIF(#REF!,Final!A3427,#REF!)</f>
        <v>#REF!</v>
      </c>
      <c r="G3427" s="1597" t="e">
        <f t="shared" si="376"/>
        <v>#REF!</v>
      </c>
      <c r="H3427" s="1644" t="e">
        <f t="shared" si="377"/>
        <v>#REF!</v>
      </c>
      <c r="I3427" s="1597" t="e">
        <f t="shared" si="378"/>
        <v>#REF!</v>
      </c>
      <c r="J3427" s="1644" t="e">
        <f t="shared" si="379"/>
        <v>#REF!</v>
      </c>
      <c r="M3427" s="1545"/>
      <c r="N3427" s="1545"/>
    </row>
    <row r="3428" spans="1:93" s="1552" customFormat="1" ht="15.5">
      <c r="A3428" s="1598"/>
      <c r="B3428" s="1599" t="s">
        <v>1747</v>
      </c>
      <c r="C3428" s="1643" t="e">
        <f>+SUMIF(#REF!,Final!A3428,#REF!)</f>
        <v>#REF!</v>
      </c>
      <c r="D3428" s="1597" t="e">
        <f>+SUMIF(#REF!,Final!A3428,#REF!)</f>
        <v>#REF!</v>
      </c>
      <c r="E3428" s="1643" t="e">
        <f>SUMIF(#REF!,Final!A3428,#REF!)</f>
        <v>#REF!</v>
      </c>
      <c r="F3428" s="1644" t="e">
        <f>SUMIF(#REF!,Final!A3428,#REF!)</f>
        <v>#REF!</v>
      </c>
      <c r="G3428" s="1597" t="e">
        <f t="shared" si="376"/>
        <v>#REF!</v>
      </c>
      <c r="H3428" s="1644" t="e">
        <f t="shared" si="377"/>
        <v>#REF!</v>
      </c>
      <c r="I3428" s="1597" t="e">
        <f t="shared" si="378"/>
        <v>#REF!</v>
      </c>
      <c r="J3428" s="1644" t="e">
        <f t="shared" si="379"/>
        <v>#REF!</v>
      </c>
      <c r="K3428" s="1539"/>
      <c r="L3428" s="1539"/>
      <c r="M3428" s="1545"/>
      <c r="N3428" s="1545"/>
      <c r="O3428" s="1539"/>
      <c r="P3428" s="1539"/>
      <c r="Q3428" s="1539"/>
      <c r="R3428" s="1539"/>
      <c r="S3428" s="1539"/>
      <c r="T3428" s="1539"/>
      <c r="U3428" s="1539"/>
      <c r="V3428" s="1539"/>
      <c r="W3428" s="1539"/>
      <c r="X3428" s="1539"/>
      <c r="Y3428" s="1539"/>
      <c r="Z3428" s="1539"/>
      <c r="AA3428" s="1539"/>
      <c r="AB3428" s="1539"/>
      <c r="AC3428" s="1539"/>
      <c r="AD3428" s="1539"/>
      <c r="AE3428" s="1539"/>
      <c r="AF3428" s="1539"/>
      <c r="AG3428" s="1539"/>
      <c r="AH3428" s="1539"/>
      <c r="AI3428" s="1539"/>
      <c r="AJ3428" s="1539"/>
      <c r="AK3428" s="1539"/>
      <c r="AL3428" s="1539"/>
      <c r="AM3428" s="1539"/>
      <c r="AN3428" s="1539"/>
      <c r="AO3428" s="1539"/>
      <c r="AP3428" s="1539"/>
      <c r="AQ3428" s="1539"/>
      <c r="AR3428" s="1539"/>
      <c r="AS3428" s="1539"/>
      <c r="AT3428" s="1539"/>
      <c r="AU3428" s="1539"/>
      <c r="AV3428" s="1539"/>
      <c r="AW3428" s="1539"/>
      <c r="AX3428" s="1539"/>
      <c r="AY3428" s="1539"/>
      <c r="AZ3428" s="1539"/>
      <c r="BA3428" s="1539"/>
      <c r="BB3428" s="1539"/>
      <c r="BC3428" s="1539"/>
      <c r="BD3428" s="1539"/>
      <c r="BE3428" s="1539"/>
      <c r="BF3428" s="1539"/>
      <c r="BG3428" s="1539"/>
      <c r="BH3428" s="1539"/>
      <c r="BI3428" s="1539"/>
      <c r="BJ3428" s="1539"/>
      <c r="BK3428" s="1539"/>
      <c r="BL3428" s="1539"/>
      <c r="BM3428" s="1539"/>
      <c r="BN3428" s="1539"/>
      <c r="BO3428" s="1539"/>
      <c r="BP3428" s="1539"/>
      <c r="BQ3428" s="1539"/>
      <c r="BR3428" s="1539"/>
      <c r="BS3428" s="1539"/>
      <c r="BT3428" s="1539"/>
      <c r="BU3428" s="1539"/>
      <c r="BV3428" s="1539"/>
      <c r="BW3428" s="1539"/>
      <c r="BX3428" s="1539"/>
      <c r="BY3428" s="1539"/>
      <c r="BZ3428" s="1539"/>
      <c r="CA3428" s="1539"/>
      <c r="CB3428" s="1539"/>
      <c r="CC3428" s="1539"/>
      <c r="CD3428" s="1539"/>
      <c r="CE3428" s="1539"/>
      <c r="CF3428" s="1539"/>
      <c r="CG3428" s="1539"/>
      <c r="CH3428" s="1539"/>
      <c r="CI3428" s="1539"/>
      <c r="CJ3428" s="1539"/>
      <c r="CK3428" s="1539"/>
      <c r="CL3428" s="1539"/>
      <c r="CM3428" s="1539"/>
      <c r="CN3428" s="1539"/>
      <c r="CO3428" s="1539"/>
    </row>
    <row r="3429" spans="1:93" s="1552" customFormat="1" ht="15.5">
      <c r="A3429" s="1598"/>
      <c r="B3429" s="1599" t="s">
        <v>1760</v>
      </c>
      <c r="C3429" s="1643" t="e">
        <f>+SUMIF(#REF!,Final!A3429,#REF!)</f>
        <v>#REF!</v>
      </c>
      <c r="D3429" s="1597" t="e">
        <f>+SUMIF(#REF!,Final!A3429,#REF!)</f>
        <v>#REF!</v>
      </c>
      <c r="E3429" s="1643" t="e">
        <f>SUMIF(#REF!,Final!A3429,#REF!)</f>
        <v>#REF!</v>
      </c>
      <c r="F3429" s="1644" t="e">
        <f>SUMIF(#REF!,Final!A3429,#REF!)</f>
        <v>#REF!</v>
      </c>
      <c r="G3429" s="1597" t="e">
        <f t="shared" si="376"/>
        <v>#REF!</v>
      </c>
      <c r="H3429" s="1644" t="e">
        <f t="shared" si="377"/>
        <v>#REF!</v>
      </c>
      <c r="I3429" s="1597" t="e">
        <f t="shared" si="378"/>
        <v>#REF!</v>
      </c>
      <c r="J3429" s="1644" t="e">
        <f t="shared" si="379"/>
        <v>#REF!</v>
      </c>
      <c r="K3429" s="1539"/>
      <c r="L3429" s="1539"/>
      <c r="M3429" s="1545"/>
      <c r="N3429" s="1545"/>
      <c r="O3429" s="1539"/>
      <c r="P3429" s="1539"/>
      <c r="Q3429" s="1539"/>
      <c r="R3429" s="1539"/>
      <c r="S3429" s="1539"/>
      <c r="T3429" s="1539"/>
      <c r="U3429" s="1539"/>
      <c r="V3429" s="1539"/>
      <c r="W3429" s="1539"/>
      <c r="X3429" s="1539"/>
      <c r="Y3429" s="1539"/>
      <c r="Z3429" s="1539"/>
      <c r="AA3429" s="1539"/>
      <c r="AB3429" s="1539"/>
      <c r="AC3429" s="1539"/>
      <c r="AD3429" s="1539"/>
      <c r="AE3429" s="1539"/>
      <c r="AF3429" s="1539"/>
      <c r="AG3429" s="1539"/>
      <c r="AH3429" s="1539"/>
      <c r="AI3429" s="1539"/>
      <c r="AJ3429" s="1539"/>
      <c r="AK3429" s="1539"/>
      <c r="AL3429" s="1539"/>
      <c r="AM3429" s="1539"/>
      <c r="AN3429" s="1539"/>
      <c r="AO3429" s="1539"/>
      <c r="AP3429" s="1539"/>
      <c r="AQ3429" s="1539"/>
      <c r="AR3429" s="1539"/>
      <c r="AS3429" s="1539"/>
      <c r="AT3429" s="1539"/>
      <c r="AU3429" s="1539"/>
      <c r="AV3429" s="1539"/>
      <c r="AW3429" s="1539"/>
      <c r="AX3429" s="1539"/>
      <c r="AY3429" s="1539"/>
      <c r="AZ3429" s="1539"/>
      <c r="BA3429" s="1539"/>
      <c r="BB3429" s="1539"/>
      <c r="BC3429" s="1539"/>
      <c r="BD3429" s="1539"/>
      <c r="BE3429" s="1539"/>
      <c r="BF3429" s="1539"/>
      <c r="BG3429" s="1539"/>
      <c r="BH3429" s="1539"/>
      <c r="BI3429" s="1539"/>
      <c r="BJ3429" s="1539"/>
      <c r="BK3429" s="1539"/>
      <c r="BL3429" s="1539"/>
      <c r="BM3429" s="1539"/>
      <c r="BN3429" s="1539"/>
      <c r="BO3429" s="1539"/>
      <c r="BP3429" s="1539"/>
      <c r="BQ3429" s="1539"/>
      <c r="BR3429" s="1539"/>
      <c r="BS3429" s="1539"/>
      <c r="BT3429" s="1539"/>
      <c r="BU3429" s="1539"/>
      <c r="BV3429" s="1539"/>
      <c r="BW3429" s="1539"/>
      <c r="BX3429" s="1539"/>
      <c r="BY3429" s="1539"/>
      <c r="BZ3429" s="1539"/>
      <c r="CA3429" s="1539"/>
      <c r="CB3429" s="1539"/>
      <c r="CC3429" s="1539"/>
      <c r="CD3429" s="1539"/>
      <c r="CE3429" s="1539"/>
      <c r="CF3429" s="1539"/>
      <c r="CG3429" s="1539"/>
      <c r="CH3429" s="1539"/>
      <c r="CI3429" s="1539"/>
      <c r="CJ3429" s="1539"/>
      <c r="CK3429" s="1539"/>
      <c r="CL3429" s="1539"/>
      <c r="CM3429" s="1539"/>
      <c r="CN3429" s="1539"/>
      <c r="CO3429" s="1539"/>
    </row>
    <row r="3430" spans="1:93" s="1552" customFormat="1" ht="15.5">
      <c r="A3430" s="1598"/>
      <c r="B3430" s="1599" t="s">
        <v>3560</v>
      </c>
      <c r="C3430" s="1643" t="e">
        <f>+SUMIF(#REF!,Final!A3430,#REF!)</f>
        <v>#REF!</v>
      </c>
      <c r="D3430" s="1597" t="e">
        <f>+SUMIF(#REF!,Final!A3430,#REF!)</f>
        <v>#REF!</v>
      </c>
      <c r="E3430" s="1643" t="e">
        <f>SUMIF(#REF!,Final!A3430,#REF!)</f>
        <v>#REF!</v>
      </c>
      <c r="F3430" s="1644" t="e">
        <f>SUMIF(#REF!,Final!A3430,#REF!)</f>
        <v>#REF!</v>
      </c>
      <c r="G3430" s="1597" t="e">
        <f t="shared" si="376"/>
        <v>#REF!</v>
      </c>
      <c r="H3430" s="1644" t="e">
        <f t="shared" si="377"/>
        <v>#REF!</v>
      </c>
      <c r="I3430" s="1597" t="e">
        <f t="shared" si="378"/>
        <v>#REF!</v>
      </c>
      <c r="J3430" s="1644" t="e">
        <f t="shared" si="379"/>
        <v>#REF!</v>
      </c>
      <c r="K3430" s="1539"/>
      <c r="L3430" s="1539"/>
      <c r="M3430" s="1545"/>
      <c r="N3430" s="1545"/>
      <c r="O3430" s="1539"/>
      <c r="P3430" s="1539"/>
      <c r="Q3430" s="1539"/>
      <c r="R3430" s="1539"/>
      <c r="S3430" s="1539"/>
      <c r="T3430" s="1539"/>
      <c r="U3430" s="1539"/>
      <c r="V3430" s="1539"/>
      <c r="W3430" s="1539"/>
      <c r="X3430" s="1539"/>
      <c r="Y3430" s="1539"/>
      <c r="Z3430" s="1539"/>
      <c r="AA3430" s="1539"/>
      <c r="AB3430" s="1539"/>
      <c r="AC3430" s="1539"/>
      <c r="AD3430" s="1539"/>
      <c r="AE3430" s="1539"/>
      <c r="AF3430" s="1539"/>
      <c r="AG3430" s="1539"/>
      <c r="AH3430" s="1539"/>
      <c r="AI3430" s="1539"/>
      <c r="AJ3430" s="1539"/>
      <c r="AK3430" s="1539"/>
      <c r="AL3430" s="1539"/>
      <c r="AM3430" s="1539"/>
      <c r="AN3430" s="1539"/>
      <c r="AO3430" s="1539"/>
      <c r="AP3430" s="1539"/>
      <c r="AQ3430" s="1539"/>
      <c r="AR3430" s="1539"/>
      <c r="AS3430" s="1539"/>
      <c r="AT3430" s="1539"/>
      <c r="AU3430" s="1539"/>
      <c r="AV3430" s="1539"/>
      <c r="AW3430" s="1539"/>
      <c r="AX3430" s="1539"/>
      <c r="AY3430" s="1539"/>
      <c r="AZ3430" s="1539"/>
      <c r="BA3430" s="1539"/>
      <c r="BB3430" s="1539"/>
      <c r="BC3430" s="1539"/>
      <c r="BD3430" s="1539"/>
      <c r="BE3430" s="1539"/>
      <c r="BF3430" s="1539"/>
      <c r="BG3430" s="1539"/>
      <c r="BH3430" s="1539"/>
      <c r="BI3430" s="1539"/>
      <c r="BJ3430" s="1539"/>
      <c r="BK3430" s="1539"/>
      <c r="BL3430" s="1539"/>
      <c r="BM3430" s="1539"/>
      <c r="BN3430" s="1539"/>
      <c r="BO3430" s="1539"/>
      <c r="BP3430" s="1539"/>
      <c r="BQ3430" s="1539"/>
      <c r="BR3430" s="1539"/>
      <c r="BS3430" s="1539"/>
      <c r="BT3430" s="1539"/>
      <c r="BU3430" s="1539"/>
      <c r="BV3430" s="1539"/>
      <c r="BW3430" s="1539"/>
      <c r="BX3430" s="1539"/>
      <c r="BY3430" s="1539"/>
      <c r="BZ3430" s="1539"/>
      <c r="CA3430" s="1539"/>
      <c r="CB3430" s="1539"/>
      <c r="CC3430" s="1539"/>
      <c r="CD3430" s="1539"/>
      <c r="CE3430" s="1539"/>
      <c r="CF3430" s="1539"/>
      <c r="CG3430" s="1539"/>
      <c r="CH3430" s="1539"/>
      <c r="CI3430" s="1539"/>
      <c r="CJ3430" s="1539"/>
      <c r="CK3430" s="1539"/>
      <c r="CL3430" s="1539"/>
      <c r="CM3430" s="1539"/>
      <c r="CN3430" s="1539"/>
      <c r="CO3430" s="1539"/>
    </row>
    <row r="3431" spans="1:93" s="1542" customFormat="1" ht="15.5">
      <c r="A3431" s="1598">
        <v>35</v>
      </c>
      <c r="B3431" s="1599" t="s">
        <v>3207</v>
      </c>
      <c r="C3431" s="1643" t="e">
        <f>+SUMIF(#REF!,Final!A3431,#REF!)</f>
        <v>#REF!</v>
      </c>
      <c r="D3431" s="1597" t="e">
        <f>+SUMIF(#REF!,Final!A3431,#REF!)</f>
        <v>#REF!</v>
      </c>
      <c r="E3431" s="1643" t="e">
        <f>SUMIF(#REF!,Final!A3431,#REF!)</f>
        <v>#REF!</v>
      </c>
      <c r="F3431" s="1644" t="e">
        <f>SUMIF(#REF!,Final!A3431,#REF!)</f>
        <v>#REF!</v>
      </c>
      <c r="G3431" s="1597" t="e">
        <f t="shared" si="376"/>
        <v>#REF!</v>
      </c>
      <c r="H3431" s="1644" t="e">
        <f t="shared" si="377"/>
        <v>#REF!</v>
      </c>
      <c r="I3431" s="1597" t="e">
        <f t="shared" si="378"/>
        <v>#REF!</v>
      </c>
      <c r="J3431" s="1644" t="e">
        <f t="shared" si="379"/>
        <v>#REF!</v>
      </c>
      <c r="K3431" s="1539"/>
      <c r="L3431" s="1539"/>
      <c r="M3431" s="1545"/>
      <c r="N3431" s="1545"/>
      <c r="O3431" s="1539"/>
      <c r="P3431" s="1539"/>
      <c r="Q3431" s="1539"/>
      <c r="R3431" s="1539"/>
      <c r="S3431" s="1539"/>
      <c r="T3431" s="1539"/>
      <c r="U3431" s="1539"/>
      <c r="V3431" s="1539"/>
      <c r="W3431" s="1539"/>
      <c r="X3431" s="1539"/>
      <c r="Y3431" s="1539"/>
      <c r="Z3431" s="1539"/>
      <c r="AA3431" s="1539"/>
      <c r="AB3431" s="1539"/>
      <c r="AC3431" s="1539"/>
      <c r="AD3431" s="1539"/>
      <c r="AE3431" s="1539"/>
      <c r="AF3431" s="1539"/>
      <c r="AG3431" s="1539"/>
      <c r="AH3431" s="1539"/>
      <c r="AI3431" s="1539"/>
      <c r="AJ3431" s="1539"/>
      <c r="AK3431" s="1539"/>
      <c r="AL3431" s="1539"/>
      <c r="AM3431" s="1539"/>
      <c r="AN3431" s="1539"/>
      <c r="AO3431" s="1539"/>
      <c r="AP3431" s="1539"/>
      <c r="AQ3431" s="1539"/>
      <c r="AR3431" s="1539"/>
      <c r="AS3431" s="1539"/>
      <c r="AT3431" s="1539"/>
      <c r="AU3431" s="1539"/>
      <c r="AV3431" s="1539"/>
      <c r="AW3431" s="1539"/>
      <c r="AX3431" s="1539"/>
      <c r="AY3431" s="1539"/>
      <c r="AZ3431" s="1539"/>
      <c r="BA3431" s="1539"/>
      <c r="BB3431" s="1539"/>
      <c r="BC3431" s="1539"/>
      <c r="BD3431" s="1539"/>
      <c r="BE3431" s="1539"/>
      <c r="BF3431" s="1539"/>
      <c r="BG3431" s="1539"/>
      <c r="BH3431" s="1539"/>
      <c r="BI3431" s="1539"/>
      <c r="BJ3431" s="1539"/>
      <c r="BK3431" s="1539"/>
      <c r="BL3431" s="1539"/>
      <c r="BM3431" s="1539"/>
      <c r="BN3431" s="1539"/>
      <c r="BO3431" s="1539"/>
      <c r="BP3431" s="1539"/>
      <c r="BQ3431" s="1539"/>
      <c r="BR3431" s="1539"/>
      <c r="BS3431" s="1539"/>
      <c r="BT3431" s="1539"/>
      <c r="BU3431" s="1539"/>
      <c r="BV3431" s="1539"/>
      <c r="BW3431" s="1539"/>
      <c r="BX3431" s="1539"/>
      <c r="BY3431" s="1539"/>
      <c r="BZ3431" s="1539"/>
      <c r="CA3431" s="1539"/>
      <c r="CB3431" s="1539"/>
      <c r="CC3431" s="1539"/>
      <c r="CD3431" s="1539"/>
      <c r="CE3431" s="1539"/>
      <c r="CF3431" s="1539"/>
      <c r="CG3431" s="1539"/>
      <c r="CH3431" s="1539"/>
      <c r="CI3431" s="1539"/>
      <c r="CJ3431" s="1539"/>
      <c r="CK3431" s="1539"/>
      <c r="CL3431" s="1539"/>
      <c r="CM3431" s="1539"/>
      <c r="CN3431" s="1539"/>
      <c r="CO3431" s="1539"/>
    </row>
    <row r="3432" spans="1:93" s="1542" customFormat="1" ht="15.5">
      <c r="A3432" s="1598" t="s">
        <v>1834</v>
      </c>
      <c r="B3432" s="1599" t="s">
        <v>3262</v>
      </c>
      <c r="C3432" s="1643" t="e">
        <f>+SUMIF(#REF!,Final!A3432,#REF!)</f>
        <v>#REF!</v>
      </c>
      <c r="D3432" s="1597" t="e">
        <f>+SUMIF(#REF!,Final!A3432,#REF!)</f>
        <v>#REF!</v>
      </c>
      <c r="E3432" s="1643" t="e">
        <f>SUMIF(#REF!,Final!A3432,#REF!)</f>
        <v>#REF!</v>
      </c>
      <c r="F3432" s="1644" t="e">
        <f>SUMIF(#REF!,Final!A3432,#REF!)</f>
        <v>#REF!</v>
      </c>
      <c r="G3432" s="1597" t="e">
        <f t="shared" si="376"/>
        <v>#REF!</v>
      </c>
      <c r="H3432" s="1644" t="e">
        <f t="shared" si="377"/>
        <v>#REF!</v>
      </c>
      <c r="I3432" s="1597" t="e">
        <f t="shared" si="378"/>
        <v>#REF!</v>
      </c>
      <c r="J3432" s="1644" t="e">
        <f t="shared" si="379"/>
        <v>#REF!</v>
      </c>
      <c r="K3432" s="1539"/>
      <c r="L3432" s="1539"/>
      <c r="M3432" s="1545"/>
      <c r="N3432" s="1545"/>
      <c r="O3432" s="1539"/>
      <c r="P3432" s="1539"/>
      <c r="Q3432" s="1539"/>
      <c r="R3432" s="1539"/>
      <c r="S3432" s="1539"/>
      <c r="T3432" s="1539"/>
      <c r="U3432" s="1539"/>
      <c r="V3432" s="1539"/>
      <c r="W3432" s="1539"/>
      <c r="X3432" s="1539"/>
      <c r="Y3432" s="1539"/>
      <c r="Z3432" s="1539"/>
      <c r="AA3432" s="1539"/>
      <c r="AB3432" s="1539"/>
      <c r="AC3432" s="1539"/>
      <c r="AD3432" s="1539"/>
      <c r="AE3432" s="1539"/>
      <c r="AF3432" s="1539"/>
      <c r="AG3432" s="1539"/>
      <c r="AH3432" s="1539"/>
      <c r="AI3432" s="1539"/>
      <c r="AJ3432" s="1539"/>
      <c r="AK3432" s="1539"/>
      <c r="AL3432" s="1539"/>
      <c r="AM3432" s="1539"/>
      <c r="AN3432" s="1539"/>
      <c r="AO3432" s="1539"/>
      <c r="AP3432" s="1539"/>
      <c r="AQ3432" s="1539"/>
      <c r="AR3432" s="1539"/>
      <c r="AS3432" s="1539"/>
      <c r="AT3432" s="1539"/>
      <c r="AU3432" s="1539"/>
      <c r="AV3432" s="1539"/>
      <c r="AW3432" s="1539"/>
      <c r="AX3432" s="1539"/>
      <c r="AY3432" s="1539"/>
      <c r="AZ3432" s="1539"/>
      <c r="BA3432" s="1539"/>
      <c r="BB3432" s="1539"/>
      <c r="BC3432" s="1539"/>
      <c r="BD3432" s="1539"/>
      <c r="BE3432" s="1539"/>
      <c r="BF3432" s="1539"/>
      <c r="BG3432" s="1539"/>
      <c r="BH3432" s="1539"/>
      <c r="BI3432" s="1539"/>
      <c r="BJ3432" s="1539"/>
      <c r="BK3432" s="1539"/>
      <c r="BL3432" s="1539"/>
      <c r="BM3432" s="1539"/>
      <c r="BN3432" s="1539"/>
      <c r="BO3432" s="1539"/>
      <c r="BP3432" s="1539"/>
      <c r="BQ3432" s="1539"/>
      <c r="BR3432" s="1539"/>
      <c r="BS3432" s="1539"/>
      <c r="BT3432" s="1539"/>
      <c r="BU3432" s="1539"/>
      <c r="BV3432" s="1539"/>
      <c r="BW3432" s="1539"/>
      <c r="BX3432" s="1539"/>
      <c r="BY3432" s="1539"/>
      <c r="BZ3432" s="1539"/>
      <c r="CA3432" s="1539"/>
      <c r="CB3432" s="1539"/>
      <c r="CC3432" s="1539"/>
      <c r="CD3432" s="1539"/>
      <c r="CE3432" s="1539"/>
      <c r="CF3432" s="1539"/>
      <c r="CG3432" s="1539"/>
      <c r="CH3432" s="1539"/>
      <c r="CI3432" s="1539"/>
      <c r="CJ3432" s="1539"/>
      <c r="CK3432" s="1539"/>
      <c r="CL3432" s="1539"/>
      <c r="CM3432" s="1539"/>
      <c r="CN3432" s="1539"/>
      <c r="CO3432" s="1539"/>
    </row>
    <row r="3433" spans="1:93" ht="15.5">
      <c r="A3433" s="1598">
        <v>79.11</v>
      </c>
      <c r="B3433" s="1599" t="s">
        <v>3263</v>
      </c>
      <c r="C3433" s="1643" t="e">
        <f>+SUMIF(#REF!,Final!A3433,#REF!)</f>
        <v>#REF!</v>
      </c>
      <c r="D3433" s="1597" t="e">
        <f>+SUMIF(#REF!,Final!A3433,#REF!)</f>
        <v>#REF!</v>
      </c>
      <c r="E3433" s="1643" t="e">
        <f>SUMIF(#REF!,Final!A3433,#REF!)</f>
        <v>#REF!</v>
      </c>
      <c r="F3433" s="1644" t="e">
        <f>SUMIF(#REF!,Final!A3433,#REF!)</f>
        <v>#REF!</v>
      </c>
      <c r="G3433" s="1597" t="e">
        <f t="shared" si="376"/>
        <v>#REF!</v>
      </c>
      <c r="H3433" s="1644" t="e">
        <f t="shared" si="377"/>
        <v>#REF!</v>
      </c>
      <c r="I3433" s="1597" t="e">
        <f t="shared" si="378"/>
        <v>#REF!</v>
      </c>
      <c r="J3433" s="1644" t="e">
        <f t="shared" si="379"/>
        <v>#REF!</v>
      </c>
      <c r="M3433" s="1545"/>
      <c r="N3433" s="1545"/>
    </row>
    <row r="3434" spans="1:93" s="1552" customFormat="1" ht="15.5">
      <c r="A3434" s="1598"/>
      <c r="B3434" s="1599" t="s">
        <v>1747</v>
      </c>
      <c r="C3434" s="1643" t="e">
        <f>+SUMIF(#REF!,Final!A3434,#REF!)</f>
        <v>#REF!</v>
      </c>
      <c r="D3434" s="1597" t="e">
        <f>+SUMIF(#REF!,Final!A3434,#REF!)</f>
        <v>#REF!</v>
      </c>
      <c r="E3434" s="1643" t="e">
        <f>SUMIF(#REF!,Final!A3434,#REF!)</f>
        <v>#REF!</v>
      </c>
      <c r="F3434" s="1644" t="e">
        <f>SUMIF(#REF!,Final!A3434,#REF!)</f>
        <v>#REF!</v>
      </c>
      <c r="G3434" s="1597" t="e">
        <f t="shared" si="376"/>
        <v>#REF!</v>
      </c>
      <c r="H3434" s="1644" t="e">
        <f t="shared" si="377"/>
        <v>#REF!</v>
      </c>
      <c r="I3434" s="1597" t="e">
        <f t="shared" si="378"/>
        <v>#REF!</v>
      </c>
      <c r="J3434" s="1644" t="e">
        <f t="shared" si="379"/>
        <v>#REF!</v>
      </c>
      <c r="K3434" s="1539"/>
      <c r="L3434" s="1539"/>
      <c r="M3434" s="1545"/>
      <c r="N3434" s="1545"/>
      <c r="O3434" s="1539"/>
      <c r="P3434" s="1539"/>
      <c r="Q3434" s="1539"/>
      <c r="R3434" s="1539"/>
      <c r="S3434" s="1539"/>
      <c r="T3434" s="1539"/>
      <c r="U3434" s="1539"/>
      <c r="V3434" s="1539"/>
      <c r="W3434" s="1539"/>
      <c r="X3434" s="1539"/>
      <c r="Y3434" s="1539"/>
      <c r="Z3434" s="1539"/>
      <c r="AA3434" s="1539"/>
      <c r="AB3434" s="1539"/>
      <c r="AC3434" s="1539"/>
      <c r="AD3434" s="1539"/>
      <c r="AE3434" s="1539"/>
      <c r="AF3434" s="1539"/>
      <c r="AG3434" s="1539"/>
      <c r="AH3434" s="1539"/>
      <c r="AI3434" s="1539"/>
      <c r="AJ3434" s="1539"/>
      <c r="AK3434" s="1539"/>
      <c r="AL3434" s="1539"/>
      <c r="AM3434" s="1539"/>
      <c r="AN3434" s="1539"/>
      <c r="AO3434" s="1539"/>
      <c r="AP3434" s="1539"/>
      <c r="AQ3434" s="1539"/>
      <c r="AR3434" s="1539"/>
      <c r="AS3434" s="1539"/>
      <c r="AT3434" s="1539"/>
      <c r="AU3434" s="1539"/>
      <c r="AV3434" s="1539"/>
      <c r="AW3434" s="1539"/>
      <c r="AX3434" s="1539"/>
      <c r="AY3434" s="1539"/>
      <c r="AZ3434" s="1539"/>
      <c r="BA3434" s="1539"/>
      <c r="BB3434" s="1539"/>
      <c r="BC3434" s="1539"/>
      <c r="BD3434" s="1539"/>
      <c r="BE3434" s="1539"/>
      <c r="BF3434" s="1539"/>
      <c r="BG3434" s="1539"/>
      <c r="BH3434" s="1539"/>
      <c r="BI3434" s="1539"/>
      <c r="BJ3434" s="1539"/>
      <c r="BK3434" s="1539"/>
      <c r="BL3434" s="1539"/>
      <c r="BM3434" s="1539"/>
      <c r="BN3434" s="1539"/>
      <c r="BO3434" s="1539"/>
      <c r="BP3434" s="1539"/>
      <c r="BQ3434" s="1539"/>
      <c r="BR3434" s="1539"/>
      <c r="BS3434" s="1539"/>
      <c r="BT3434" s="1539"/>
      <c r="BU3434" s="1539"/>
      <c r="BV3434" s="1539"/>
      <c r="BW3434" s="1539"/>
      <c r="BX3434" s="1539"/>
      <c r="BY3434" s="1539"/>
      <c r="BZ3434" s="1539"/>
      <c r="CA3434" s="1539"/>
      <c r="CB3434" s="1539"/>
      <c r="CC3434" s="1539"/>
      <c r="CD3434" s="1539"/>
      <c r="CE3434" s="1539"/>
      <c r="CF3434" s="1539"/>
      <c r="CG3434" s="1539"/>
      <c r="CH3434" s="1539"/>
      <c r="CI3434" s="1539"/>
      <c r="CJ3434" s="1539"/>
      <c r="CK3434" s="1539"/>
      <c r="CL3434" s="1539"/>
      <c r="CM3434" s="1539"/>
      <c r="CN3434" s="1539"/>
      <c r="CO3434" s="1539"/>
    </row>
    <row r="3435" spans="1:93" s="1552" customFormat="1" ht="15.5">
      <c r="A3435" s="1598"/>
      <c r="B3435" s="1599" t="s">
        <v>1760</v>
      </c>
      <c r="C3435" s="1643" t="e">
        <f>+SUMIF(#REF!,Final!A3435,#REF!)</f>
        <v>#REF!</v>
      </c>
      <c r="D3435" s="1597" t="e">
        <f>+SUMIF(#REF!,Final!A3435,#REF!)</f>
        <v>#REF!</v>
      </c>
      <c r="E3435" s="1643" t="e">
        <f>SUMIF(#REF!,Final!A3435,#REF!)</f>
        <v>#REF!</v>
      </c>
      <c r="F3435" s="1644" t="e">
        <f>SUMIF(#REF!,Final!A3435,#REF!)</f>
        <v>#REF!</v>
      </c>
      <c r="G3435" s="1597" t="e">
        <f t="shared" si="376"/>
        <v>#REF!</v>
      </c>
      <c r="H3435" s="1644" t="e">
        <f t="shared" si="377"/>
        <v>#REF!</v>
      </c>
      <c r="I3435" s="1597" t="e">
        <f t="shared" si="378"/>
        <v>#REF!</v>
      </c>
      <c r="J3435" s="1644" t="e">
        <f t="shared" si="379"/>
        <v>#REF!</v>
      </c>
      <c r="K3435" s="1539"/>
      <c r="L3435" s="1539"/>
      <c r="M3435" s="1545"/>
      <c r="N3435" s="1545"/>
      <c r="O3435" s="1539"/>
      <c r="P3435" s="1539"/>
      <c r="Q3435" s="1539"/>
      <c r="R3435" s="1539"/>
      <c r="S3435" s="1539"/>
      <c r="T3435" s="1539"/>
      <c r="U3435" s="1539"/>
      <c r="V3435" s="1539"/>
      <c r="W3435" s="1539"/>
      <c r="X3435" s="1539"/>
      <c r="Y3435" s="1539"/>
      <c r="Z3435" s="1539"/>
      <c r="AA3435" s="1539"/>
      <c r="AB3435" s="1539"/>
      <c r="AC3435" s="1539"/>
      <c r="AD3435" s="1539"/>
      <c r="AE3435" s="1539"/>
      <c r="AF3435" s="1539"/>
      <c r="AG3435" s="1539"/>
      <c r="AH3435" s="1539"/>
      <c r="AI3435" s="1539"/>
      <c r="AJ3435" s="1539"/>
      <c r="AK3435" s="1539"/>
      <c r="AL3435" s="1539"/>
      <c r="AM3435" s="1539"/>
      <c r="AN3435" s="1539"/>
      <c r="AO3435" s="1539"/>
      <c r="AP3435" s="1539"/>
      <c r="AQ3435" s="1539"/>
      <c r="AR3435" s="1539"/>
      <c r="AS3435" s="1539"/>
      <c r="AT3435" s="1539"/>
      <c r="AU3435" s="1539"/>
      <c r="AV3435" s="1539"/>
      <c r="AW3435" s="1539"/>
      <c r="AX3435" s="1539"/>
      <c r="AY3435" s="1539"/>
      <c r="AZ3435" s="1539"/>
      <c r="BA3435" s="1539"/>
      <c r="BB3435" s="1539"/>
      <c r="BC3435" s="1539"/>
      <c r="BD3435" s="1539"/>
      <c r="BE3435" s="1539"/>
      <c r="BF3435" s="1539"/>
      <c r="BG3435" s="1539"/>
      <c r="BH3435" s="1539"/>
      <c r="BI3435" s="1539"/>
      <c r="BJ3435" s="1539"/>
      <c r="BK3435" s="1539"/>
      <c r="BL3435" s="1539"/>
      <c r="BM3435" s="1539"/>
      <c r="BN3435" s="1539"/>
      <c r="BO3435" s="1539"/>
      <c r="BP3435" s="1539"/>
      <c r="BQ3435" s="1539"/>
      <c r="BR3435" s="1539"/>
      <c r="BS3435" s="1539"/>
      <c r="BT3435" s="1539"/>
      <c r="BU3435" s="1539"/>
      <c r="BV3435" s="1539"/>
      <c r="BW3435" s="1539"/>
      <c r="BX3435" s="1539"/>
      <c r="BY3435" s="1539"/>
      <c r="BZ3435" s="1539"/>
      <c r="CA3435" s="1539"/>
      <c r="CB3435" s="1539"/>
      <c r="CC3435" s="1539"/>
      <c r="CD3435" s="1539"/>
      <c r="CE3435" s="1539"/>
      <c r="CF3435" s="1539"/>
      <c r="CG3435" s="1539"/>
      <c r="CH3435" s="1539"/>
      <c r="CI3435" s="1539"/>
      <c r="CJ3435" s="1539"/>
      <c r="CK3435" s="1539"/>
      <c r="CL3435" s="1539"/>
      <c r="CM3435" s="1539"/>
      <c r="CN3435" s="1539"/>
      <c r="CO3435" s="1539"/>
    </row>
    <row r="3436" spans="1:93" s="1542" customFormat="1" ht="15.5">
      <c r="A3436" s="1598">
        <v>35</v>
      </c>
      <c r="B3436" s="1599" t="s">
        <v>3207</v>
      </c>
      <c r="C3436" s="1643" t="e">
        <f>+SUMIF(#REF!,Final!A3436,#REF!)</f>
        <v>#REF!</v>
      </c>
      <c r="D3436" s="1597" t="e">
        <f>+SUMIF(#REF!,Final!A3436,#REF!)</f>
        <v>#REF!</v>
      </c>
      <c r="E3436" s="1643" t="e">
        <f>SUMIF(#REF!,Final!A3436,#REF!)</f>
        <v>#REF!</v>
      </c>
      <c r="F3436" s="1644" t="e">
        <f>SUMIF(#REF!,Final!A3436,#REF!)</f>
        <v>#REF!</v>
      </c>
      <c r="G3436" s="1597" t="e">
        <f t="shared" si="376"/>
        <v>#REF!</v>
      </c>
      <c r="H3436" s="1644" t="e">
        <f t="shared" si="377"/>
        <v>#REF!</v>
      </c>
      <c r="I3436" s="1597" t="e">
        <f t="shared" si="378"/>
        <v>#REF!</v>
      </c>
      <c r="J3436" s="1644" t="e">
        <f t="shared" si="379"/>
        <v>#REF!</v>
      </c>
      <c r="K3436" s="1539"/>
      <c r="L3436" s="1539"/>
      <c r="M3436" s="1545"/>
      <c r="N3436" s="1545"/>
      <c r="O3436" s="1539"/>
      <c r="P3436" s="1539"/>
      <c r="Q3436" s="1539"/>
      <c r="R3436" s="1539"/>
      <c r="S3436" s="1539"/>
      <c r="T3436" s="1539"/>
      <c r="U3436" s="1539"/>
      <c r="V3436" s="1539"/>
      <c r="W3436" s="1539"/>
      <c r="X3436" s="1539"/>
      <c r="Y3436" s="1539"/>
      <c r="Z3436" s="1539"/>
      <c r="AA3436" s="1539"/>
      <c r="AB3436" s="1539"/>
      <c r="AC3436" s="1539"/>
      <c r="AD3436" s="1539"/>
      <c r="AE3436" s="1539"/>
      <c r="AF3436" s="1539"/>
      <c r="AG3436" s="1539"/>
      <c r="AH3436" s="1539"/>
      <c r="AI3436" s="1539"/>
      <c r="AJ3436" s="1539"/>
      <c r="AK3436" s="1539"/>
      <c r="AL3436" s="1539"/>
      <c r="AM3436" s="1539"/>
      <c r="AN3436" s="1539"/>
      <c r="AO3436" s="1539"/>
      <c r="AP3436" s="1539"/>
      <c r="AQ3436" s="1539"/>
      <c r="AR3436" s="1539"/>
      <c r="AS3436" s="1539"/>
      <c r="AT3436" s="1539"/>
      <c r="AU3436" s="1539"/>
      <c r="AV3436" s="1539"/>
      <c r="AW3436" s="1539"/>
      <c r="AX3436" s="1539"/>
      <c r="AY3436" s="1539"/>
      <c r="AZ3436" s="1539"/>
      <c r="BA3436" s="1539"/>
      <c r="BB3436" s="1539"/>
      <c r="BC3436" s="1539"/>
      <c r="BD3436" s="1539"/>
      <c r="BE3436" s="1539"/>
      <c r="BF3436" s="1539"/>
      <c r="BG3436" s="1539"/>
      <c r="BH3436" s="1539"/>
      <c r="BI3436" s="1539"/>
      <c r="BJ3436" s="1539"/>
      <c r="BK3436" s="1539"/>
      <c r="BL3436" s="1539"/>
      <c r="BM3436" s="1539"/>
      <c r="BN3436" s="1539"/>
      <c r="BO3436" s="1539"/>
      <c r="BP3436" s="1539"/>
      <c r="BQ3436" s="1539"/>
      <c r="BR3436" s="1539"/>
      <c r="BS3436" s="1539"/>
      <c r="BT3436" s="1539"/>
      <c r="BU3436" s="1539"/>
      <c r="BV3436" s="1539"/>
      <c r="BW3436" s="1539"/>
      <c r="BX3436" s="1539"/>
      <c r="BY3436" s="1539"/>
      <c r="BZ3436" s="1539"/>
      <c r="CA3436" s="1539"/>
      <c r="CB3436" s="1539"/>
      <c r="CC3436" s="1539"/>
      <c r="CD3436" s="1539"/>
      <c r="CE3436" s="1539"/>
      <c r="CF3436" s="1539"/>
      <c r="CG3436" s="1539"/>
      <c r="CH3436" s="1539"/>
      <c r="CI3436" s="1539"/>
      <c r="CJ3436" s="1539"/>
      <c r="CK3436" s="1539"/>
      <c r="CL3436" s="1539"/>
      <c r="CM3436" s="1539"/>
      <c r="CN3436" s="1539"/>
      <c r="CO3436" s="1539"/>
    </row>
    <row r="3437" spans="1:93" s="1542" customFormat="1" ht="15.5">
      <c r="A3437" s="1598" t="s">
        <v>1837</v>
      </c>
      <c r="B3437" s="1599" t="s">
        <v>3264</v>
      </c>
      <c r="C3437" s="1643" t="e">
        <f>+SUMIF(#REF!,Final!A3437,#REF!)</f>
        <v>#REF!</v>
      </c>
      <c r="D3437" s="1597" t="e">
        <f>+SUMIF(#REF!,Final!A3437,#REF!)</f>
        <v>#REF!</v>
      </c>
      <c r="E3437" s="1643" t="e">
        <f>SUMIF(#REF!,Final!A3437,#REF!)</f>
        <v>#REF!</v>
      </c>
      <c r="F3437" s="1644" t="e">
        <f>SUMIF(#REF!,Final!A3437,#REF!)</f>
        <v>#REF!</v>
      </c>
      <c r="G3437" s="1597" t="e">
        <f t="shared" si="376"/>
        <v>#REF!</v>
      </c>
      <c r="H3437" s="1644" t="e">
        <f t="shared" si="377"/>
        <v>#REF!</v>
      </c>
      <c r="I3437" s="1597" t="e">
        <f t="shared" si="378"/>
        <v>#REF!</v>
      </c>
      <c r="J3437" s="1644" t="e">
        <f t="shared" si="379"/>
        <v>#REF!</v>
      </c>
      <c r="K3437" s="1539"/>
      <c r="L3437" s="1539"/>
      <c r="M3437" s="1545"/>
      <c r="N3437" s="1545"/>
      <c r="O3437" s="1539"/>
      <c r="P3437" s="1539"/>
      <c r="Q3437" s="1539"/>
      <c r="R3437" s="1539"/>
      <c r="S3437" s="1539"/>
      <c r="T3437" s="1539"/>
      <c r="U3437" s="1539"/>
      <c r="V3437" s="1539"/>
      <c r="W3437" s="1539"/>
      <c r="X3437" s="1539"/>
      <c r="Y3437" s="1539"/>
      <c r="Z3437" s="1539"/>
      <c r="AA3437" s="1539"/>
      <c r="AB3437" s="1539"/>
      <c r="AC3437" s="1539"/>
      <c r="AD3437" s="1539"/>
      <c r="AE3437" s="1539"/>
      <c r="AF3437" s="1539"/>
      <c r="AG3437" s="1539"/>
      <c r="AH3437" s="1539"/>
      <c r="AI3437" s="1539"/>
      <c r="AJ3437" s="1539"/>
      <c r="AK3437" s="1539"/>
      <c r="AL3437" s="1539"/>
      <c r="AM3437" s="1539"/>
      <c r="AN3437" s="1539"/>
      <c r="AO3437" s="1539"/>
      <c r="AP3437" s="1539"/>
      <c r="AQ3437" s="1539"/>
      <c r="AR3437" s="1539"/>
      <c r="AS3437" s="1539"/>
      <c r="AT3437" s="1539"/>
      <c r="AU3437" s="1539"/>
      <c r="AV3437" s="1539"/>
      <c r="AW3437" s="1539"/>
      <c r="AX3437" s="1539"/>
      <c r="AY3437" s="1539"/>
      <c r="AZ3437" s="1539"/>
      <c r="BA3437" s="1539"/>
      <c r="BB3437" s="1539"/>
      <c r="BC3437" s="1539"/>
      <c r="BD3437" s="1539"/>
      <c r="BE3437" s="1539"/>
      <c r="BF3437" s="1539"/>
      <c r="BG3437" s="1539"/>
      <c r="BH3437" s="1539"/>
      <c r="BI3437" s="1539"/>
      <c r="BJ3437" s="1539"/>
      <c r="BK3437" s="1539"/>
      <c r="BL3437" s="1539"/>
      <c r="BM3437" s="1539"/>
      <c r="BN3437" s="1539"/>
      <c r="BO3437" s="1539"/>
      <c r="BP3437" s="1539"/>
      <c r="BQ3437" s="1539"/>
      <c r="BR3437" s="1539"/>
      <c r="BS3437" s="1539"/>
      <c r="BT3437" s="1539"/>
      <c r="BU3437" s="1539"/>
      <c r="BV3437" s="1539"/>
      <c r="BW3437" s="1539"/>
      <c r="BX3437" s="1539"/>
      <c r="BY3437" s="1539"/>
      <c r="BZ3437" s="1539"/>
      <c r="CA3437" s="1539"/>
      <c r="CB3437" s="1539"/>
      <c r="CC3437" s="1539"/>
      <c r="CD3437" s="1539"/>
      <c r="CE3437" s="1539"/>
      <c r="CF3437" s="1539"/>
      <c r="CG3437" s="1539"/>
      <c r="CH3437" s="1539"/>
      <c r="CI3437" s="1539"/>
      <c r="CJ3437" s="1539"/>
      <c r="CK3437" s="1539"/>
      <c r="CL3437" s="1539"/>
      <c r="CM3437" s="1539"/>
      <c r="CN3437" s="1539"/>
      <c r="CO3437" s="1539"/>
    </row>
    <row r="3438" spans="1:93" s="1542" customFormat="1" ht="15.5">
      <c r="A3438" s="1598">
        <v>79.41</v>
      </c>
      <c r="B3438" s="1599" t="s">
        <v>3265</v>
      </c>
      <c r="C3438" s="1643" t="e">
        <f>+SUMIF(#REF!,Final!A3438,#REF!)</f>
        <v>#REF!</v>
      </c>
      <c r="D3438" s="1597" t="e">
        <f>+SUMIF(#REF!,Final!A3438,#REF!)</f>
        <v>#REF!</v>
      </c>
      <c r="E3438" s="1643" t="e">
        <f>SUMIF(#REF!,Final!A3438,#REF!)</f>
        <v>#REF!</v>
      </c>
      <c r="F3438" s="1644" t="e">
        <f>SUMIF(#REF!,Final!A3438,#REF!)</f>
        <v>#REF!</v>
      </c>
      <c r="G3438" s="1597" t="e">
        <f t="shared" si="376"/>
        <v>#REF!</v>
      </c>
      <c r="H3438" s="1644" t="e">
        <f t="shared" si="377"/>
        <v>#REF!</v>
      </c>
      <c r="I3438" s="1597" t="e">
        <f t="shared" si="378"/>
        <v>#REF!</v>
      </c>
      <c r="J3438" s="1644" t="e">
        <f t="shared" si="379"/>
        <v>#REF!</v>
      </c>
      <c r="K3438" s="1539"/>
      <c r="L3438" s="1539"/>
      <c r="M3438" s="1545"/>
      <c r="N3438" s="1545"/>
      <c r="O3438" s="1539"/>
      <c r="P3438" s="1539"/>
      <c r="Q3438" s="1539"/>
      <c r="R3438" s="1539"/>
      <c r="S3438" s="1539"/>
      <c r="T3438" s="1539"/>
      <c r="U3438" s="1539"/>
      <c r="V3438" s="1539"/>
      <c r="W3438" s="1539"/>
      <c r="X3438" s="1539"/>
      <c r="Y3438" s="1539"/>
      <c r="Z3438" s="1539"/>
      <c r="AA3438" s="1539"/>
      <c r="AB3438" s="1539"/>
      <c r="AC3438" s="1539"/>
      <c r="AD3438" s="1539"/>
      <c r="AE3438" s="1539"/>
      <c r="AF3438" s="1539"/>
      <c r="AG3438" s="1539"/>
      <c r="AH3438" s="1539"/>
      <c r="AI3438" s="1539"/>
      <c r="AJ3438" s="1539"/>
      <c r="AK3438" s="1539"/>
      <c r="AL3438" s="1539"/>
      <c r="AM3438" s="1539"/>
      <c r="AN3438" s="1539"/>
      <c r="AO3438" s="1539"/>
      <c r="AP3438" s="1539"/>
      <c r="AQ3438" s="1539"/>
      <c r="AR3438" s="1539"/>
      <c r="AS3438" s="1539"/>
      <c r="AT3438" s="1539"/>
      <c r="AU3438" s="1539"/>
      <c r="AV3438" s="1539"/>
      <c r="AW3438" s="1539"/>
      <c r="AX3438" s="1539"/>
      <c r="AY3438" s="1539"/>
      <c r="AZ3438" s="1539"/>
      <c r="BA3438" s="1539"/>
      <c r="BB3438" s="1539"/>
      <c r="BC3438" s="1539"/>
      <c r="BD3438" s="1539"/>
      <c r="BE3438" s="1539"/>
      <c r="BF3438" s="1539"/>
      <c r="BG3438" s="1539"/>
      <c r="BH3438" s="1539"/>
      <c r="BI3438" s="1539"/>
      <c r="BJ3438" s="1539"/>
      <c r="BK3438" s="1539"/>
      <c r="BL3438" s="1539"/>
      <c r="BM3438" s="1539"/>
      <c r="BN3438" s="1539"/>
      <c r="BO3438" s="1539"/>
      <c r="BP3438" s="1539"/>
      <c r="BQ3438" s="1539"/>
      <c r="BR3438" s="1539"/>
      <c r="BS3438" s="1539"/>
      <c r="BT3438" s="1539"/>
      <c r="BU3438" s="1539"/>
      <c r="BV3438" s="1539"/>
      <c r="BW3438" s="1539"/>
      <c r="BX3438" s="1539"/>
      <c r="BY3438" s="1539"/>
      <c r="BZ3438" s="1539"/>
      <c r="CA3438" s="1539"/>
      <c r="CB3438" s="1539"/>
      <c r="CC3438" s="1539"/>
      <c r="CD3438" s="1539"/>
      <c r="CE3438" s="1539"/>
      <c r="CF3438" s="1539"/>
      <c r="CG3438" s="1539"/>
      <c r="CH3438" s="1539"/>
      <c r="CI3438" s="1539"/>
      <c r="CJ3438" s="1539"/>
      <c r="CK3438" s="1539"/>
      <c r="CL3438" s="1539"/>
      <c r="CM3438" s="1539"/>
      <c r="CN3438" s="1539"/>
      <c r="CO3438" s="1539"/>
    </row>
    <row r="3439" spans="1:93" s="1552" customFormat="1" ht="15.5">
      <c r="A3439" s="1598"/>
      <c r="B3439" s="1599" t="s">
        <v>1747</v>
      </c>
      <c r="C3439" s="1643" t="e">
        <f>+SUMIF(#REF!,Final!A3439,#REF!)</f>
        <v>#REF!</v>
      </c>
      <c r="D3439" s="1597" t="e">
        <f>+SUMIF(#REF!,Final!A3439,#REF!)</f>
        <v>#REF!</v>
      </c>
      <c r="E3439" s="1643" t="e">
        <f>SUMIF(#REF!,Final!A3439,#REF!)</f>
        <v>#REF!</v>
      </c>
      <c r="F3439" s="1644" t="e">
        <f>SUMIF(#REF!,Final!A3439,#REF!)</f>
        <v>#REF!</v>
      </c>
      <c r="G3439" s="1597" t="e">
        <f t="shared" si="376"/>
        <v>#REF!</v>
      </c>
      <c r="H3439" s="1644" t="e">
        <f t="shared" si="377"/>
        <v>#REF!</v>
      </c>
      <c r="I3439" s="1597" t="e">
        <f t="shared" si="378"/>
        <v>#REF!</v>
      </c>
      <c r="J3439" s="1644" t="e">
        <f t="shared" si="379"/>
        <v>#REF!</v>
      </c>
      <c r="K3439" s="1539"/>
      <c r="L3439" s="1539"/>
      <c r="M3439" s="1545"/>
      <c r="N3439" s="1545"/>
      <c r="O3439" s="1539"/>
      <c r="P3439" s="1539"/>
      <c r="Q3439" s="1539"/>
      <c r="R3439" s="1539"/>
      <c r="S3439" s="1539"/>
      <c r="T3439" s="1539"/>
      <c r="U3439" s="1539"/>
      <c r="V3439" s="1539"/>
      <c r="W3439" s="1539"/>
      <c r="X3439" s="1539"/>
      <c r="Y3439" s="1539"/>
      <c r="Z3439" s="1539"/>
      <c r="AA3439" s="1539"/>
      <c r="AB3439" s="1539"/>
      <c r="AC3439" s="1539"/>
      <c r="AD3439" s="1539"/>
      <c r="AE3439" s="1539"/>
      <c r="AF3439" s="1539"/>
      <c r="AG3439" s="1539"/>
      <c r="AH3439" s="1539"/>
      <c r="AI3439" s="1539"/>
      <c r="AJ3439" s="1539"/>
      <c r="AK3439" s="1539"/>
      <c r="AL3439" s="1539"/>
      <c r="AM3439" s="1539"/>
      <c r="AN3439" s="1539"/>
      <c r="AO3439" s="1539"/>
      <c r="AP3439" s="1539"/>
      <c r="AQ3439" s="1539"/>
      <c r="AR3439" s="1539"/>
      <c r="AS3439" s="1539"/>
      <c r="AT3439" s="1539"/>
      <c r="AU3439" s="1539"/>
      <c r="AV3439" s="1539"/>
      <c r="AW3439" s="1539"/>
      <c r="AX3439" s="1539"/>
      <c r="AY3439" s="1539"/>
      <c r="AZ3439" s="1539"/>
      <c r="BA3439" s="1539"/>
      <c r="BB3439" s="1539"/>
      <c r="BC3439" s="1539"/>
      <c r="BD3439" s="1539"/>
      <c r="BE3439" s="1539"/>
      <c r="BF3439" s="1539"/>
      <c r="BG3439" s="1539"/>
      <c r="BH3439" s="1539"/>
      <c r="BI3439" s="1539"/>
      <c r="BJ3439" s="1539"/>
      <c r="BK3439" s="1539"/>
      <c r="BL3439" s="1539"/>
      <c r="BM3439" s="1539"/>
      <c r="BN3439" s="1539"/>
      <c r="BO3439" s="1539"/>
      <c r="BP3439" s="1539"/>
      <c r="BQ3439" s="1539"/>
      <c r="BR3439" s="1539"/>
      <c r="BS3439" s="1539"/>
      <c r="BT3439" s="1539"/>
      <c r="BU3439" s="1539"/>
      <c r="BV3439" s="1539"/>
      <c r="BW3439" s="1539"/>
      <c r="BX3439" s="1539"/>
      <c r="BY3439" s="1539"/>
      <c r="BZ3439" s="1539"/>
      <c r="CA3439" s="1539"/>
      <c r="CB3439" s="1539"/>
      <c r="CC3439" s="1539"/>
      <c r="CD3439" s="1539"/>
      <c r="CE3439" s="1539"/>
      <c r="CF3439" s="1539"/>
      <c r="CG3439" s="1539"/>
      <c r="CH3439" s="1539"/>
      <c r="CI3439" s="1539"/>
      <c r="CJ3439" s="1539"/>
      <c r="CK3439" s="1539"/>
      <c r="CL3439" s="1539"/>
      <c r="CM3439" s="1539"/>
      <c r="CN3439" s="1539"/>
      <c r="CO3439" s="1539"/>
    </row>
    <row r="3440" spans="1:93" s="1552" customFormat="1" ht="15.5">
      <c r="A3440" s="1598"/>
      <c r="B3440" s="1599" t="s">
        <v>1760</v>
      </c>
      <c r="C3440" s="1643" t="e">
        <f>+SUMIF(#REF!,Final!A3440,#REF!)</f>
        <v>#REF!</v>
      </c>
      <c r="D3440" s="1597" t="e">
        <f>+SUMIF(#REF!,Final!A3440,#REF!)</f>
        <v>#REF!</v>
      </c>
      <c r="E3440" s="1643" t="e">
        <f>SUMIF(#REF!,Final!A3440,#REF!)</f>
        <v>#REF!</v>
      </c>
      <c r="F3440" s="1644" t="e">
        <f>SUMIF(#REF!,Final!A3440,#REF!)</f>
        <v>#REF!</v>
      </c>
      <c r="G3440" s="1597" t="e">
        <f t="shared" si="376"/>
        <v>#REF!</v>
      </c>
      <c r="H3440" s="1644" t="e">
        <f t="shared" si="377"/>
        <v>#REF!</v>
      </c>
      <c r="I3440" s="1597" t="e">
        <f t="shared" si="378"/>
        <v>#REF!</v>
      </c>
      <c r="J3440" s="1644" t="e">
        <f t="shared" si="379"/>
        <v>#REF!</v>
      </c>
      <c r="K3440" s="1539"/>
      <c r="L3440" s="1539"/>
      <c r="M3440" s="1545"/>
      <c r="N3440" s="1545"/>
      <c r="O3440" s="1539"/>
      <c r="P3440" s="1539"/>
      <c r="Q3440" s="1539"/>
      <c r="R3440" s="1539"/>
      <c r="S3440" s="1539"/>
      <c r="T3440" s="1539"/>
      <c r="U3440" s="1539"/>
      <c r="V3440" s="1539"/>
      <c r="W3440" s="1539"/>
      <c r="X3440" s="1539"/>
      <c r="Y3440" s="1539"/>
      <c r="Z3440" s="1539"/>
      <c r="AA3440" s="1539"/>
      <c r="AB3440" s="1539"/>
      <c r="AC3440" s="1539"/>
      <c r="AD3440" s="1539"/>
      <c r="AE3440" s="1539"/>
      <c r="AF3440" s="1539"/>
      <c r="AG3440" s="1539"/>
      <c r="AH3440" s="1539"/>
      <c r="AI3440" s="1539"/>
      <c r="AJ3440" s="1539"/>
      <c r="AK3440" s="1539"/>
      <c r="AL3440" s="1539"/>
      <c r="AM3440" s="1539"/>
      <c r="AN3440" s="1539"/>
      <c r="AO3440" s="1539"/>
      <c r="AP3440" s="1539"/>
      <c r="AQ3440" s="1539"/>
      <c r="AR3440" s="1539"/>
      <c r="AS3440" s="1539"/>
      <c r="AT3440" s="1539"/>
      <c r="AU3440" s="1539"/>
      <c r="AV3440" s="1539"/>
      <c r="AW3440" s="1539"/>
      <c r="AX3440" s="1539"/>
      <c r="AY3440" s="1539"/>
      <c r="AZ3440" s="1539"/>
      <c r="BA3440" s="1539"/>
      <c r="BB3440" s="1539"/>
      <c r="BC3440" s="1539"/>
      <c r="BD3440" s="1539"/>
      <c r="BE3440" s="1539"/>
      <c r="BF3440" s="1539"/>
      <c r="BG3440" s="1539"/>
      <c r="BH3440" s="1539"/>
      <c r="BI3440" s="1539"/>
      <c r="BJ3440" s="1539"/>
      <c r="BK3440" s="1539"/>
      <c r="BL3440" s="1539"/>
      <c r="BM3440" s="1539"/>
      <c r="BN3440" s="1539"/>
      <c r="BO3440" s="1539"/>
      <c r="BP3440" s="1539"/>
      <c r="BQ3440" s="1539"/>
      <c r="BR3440" s="1539"/>
      <c r="BS3440" s="1539"/>
      <c r="BT3440" s="1539"/>
      <c r="BU3440" s="1539"/>
      <c r="BV3440" s="1539"/>
      <c r="BW3440" s="1539"/>
      <c r="BX3440" s="1539"/>
      <c r="BY3440" s="1539"/>
      <c r="BZ3440" s="1539"/>
      <c r="CA3440" s="1539"/>
      <c r="CB3440" s="1539"/>
      <c r="CC3440" s="1539"/>
      <c r="CD3440" s="1539"/>
      <c r="CE3440" s="1539"/>
      <c r="CF3440" s="1539"/>
      <c r="CG3440" s="1539"/>
      <c r="CH3440" s="1539"/>
      <c r="CI3440" s="1539"/>
      <c r="CJ3440" s="1539"/>
      <c r="CK3440" s="1539"/>
      <c r="CL3440" s="1539"/>
      <c r="CM3440" s="1539"/>
      <c r="CN3440" s="1539"/>
      <c r="CO3440" s="1539"/>
    </row>
    <row r="3441" spans="1:93" s="1542" customFormat="1" ht="15.5">
      <c r="A3441" s="1598">
        <v>40</v>
      </c>
      <c r="B3441" s="1599" t="s">
        <v>1736</v>
      </c>
      <c r="C3441" s="1643" t="e">
        <f>+SUMIF(#REF!,Final!A3441,#REF!)</f>
        <v>#REF!</v>
      </c>
      <c r="D3441" s="1597" t="e">
        <f>+SUMIF(#REF!,Final!A3441,#REF!)</f>
        <v>#REF!</v>
      </c>
      <c r="E3441" s="1643" t="e">
        <f>SUMIF(#REF!,Final!A3441,#REF!)</f>
        <v>#REF!</v>
      </c>
      <c r="F3441" s="1644" t="e">
        <f>SUMIF(#REF!,Final!A3441,#REF!)</f>
        <v>#REF!</v>
      </c>
      <c r="G3441" s="1597" t="e">
        <f t="shared" si="376"/>
        <v>#REF!</v>
      </c>
      <c r="H3441" s="1644" t="e">
        <f t="shared" si="377"/>
        <v>#REF!</v>
      </c>
      <c r="I3441" s="1597" t="e">
        <f t="shared" si="378"/>
        <v>#REF!</v>
      </c>
      <c r="J3441" s="1644" t="e">
        <f t="shared" si="379"/>
        <v>#REF!</v>
      </c>
      <c r="K3441" s="1539"/>
      <c r="L3441" s="1539"/>
      <c r="M3441" s="1545"/>
      <c r="N3441" s="1545"/>
      <c r="O3441" s="1539"/>
      <c r="P3441" s="1539"/>
      <c r="Q3441" s="1539"/>
      <c r="R3441" s="1539"/>
      <c r="S3441" s="1539"/>
      <c r="T3441" s="1539"/>
      <c r="U3441" s="1539"/>
      <c r="V3441" s="1539"/>
      <c r="W3441" s="1539"/>
      <c r="X3441" s="1539"/>
      <c r="Y3441" s="1539"/>
      <c r="Z3441" s="1539"/>
      <c r="AA3441" s="1539"/>
      <c r="AB3441" s="1539"/>
      <c r="AC3441" s="1539"/>
      <c r="AD3441" s="1539"/>
      <c r="AE3441" s="1539"/>
      <c r="AF3441" s="1539"/>
      <c r="AG3441" s="1539"/>
      <c r="AH3441" s="1539"/>
      <c r="AI3441" s="1539"/>
      <c r="AJ3441" s="1539"/>
      <c r="AK3441" s="1539"/>
      <c r="AL3441" s="1539"/>
      <c r="AM3441" s="1539"/>
      <c r="AN3441" s="1539"/>
      <c r="AO3441" s="1539"/>
      <c r="AP3441" s="1539"/>
      <c r="AQ3441" s="1539"/>
      <c r="AR3441" s="1539"/>
      <c r="AS3441" s="1539"/>
      <c r="AT3441" s="1539"/>
      <c r="AU3441" s="1539"/>
      <c r="AV3441" s="1539"/>
      <c r="AW3441" s="1539"/>
      <c r="AX3441" s="1539"/>
      <c r="AY3441" s="1539"/>
      <c r="AZ3441" s="1539"/>
      <c r="BA3441" s="1539"/>
      <c r="BB3441" s="1539"/>
      <c r="BC3441" s="1539"/>
      <c r="BD3441" s="1539"/>
      <c r="BE3441" s="1539"/>
      <c r="BF3441" s="1539"/>
      <c r="BG3441" s="1539"/>
      <c r="BH3441" s="1539"/>
      <c r="BI3441" s="1539"/>
      <c r="BJ3441" s="1539"/>
      <c r="BK3441" s="1539"/>
      <c r="BL3441" s="1539"/>
      <c r="BM3441" s="1539"/>
      <c r="BN3441" s="1539"/>
      <c r="BO3441" s="1539"/>
      <c r="BP3441" s="1539"/>
      <c r="BQ3441" s="1539"/>
      <c r="BR3441" s="1539"/>
      <c r="BS3441" s="1539"/>
      <c r="BT3441" s="1539"/>
      <c r="BU3441" s="1539"/>
      <c r="BV3441" s="1539"/>
      <c r="BW3441" s="1539"/>
      <c r="BX3441" s="1539"/>
      <c r="BY3441" s="1539"/>
      <c r="BZ3441" s="1539"/>
      <c r="CA3441" s="1539"/>
      <c r="CB3441" s="1539"/>
      <c r="CC3441" s="1539"/>
      <c r="CD3441" s="1539"/>
      <c r="CE3441" s="1539"/>
      <c r="CF3441" s="1539"/>
      <c r="CG3441" s="1539"/>
      <c r="CH3441" s="1539"/>
      <c r="CI3441" s="1539"/>
      <c r="CJ3441" s="1539"/>
      <c r="CK3441" s="1539"/>
      <c r="CL3441" s="1539"/>
      <c r="CM3441" s="1539"/>
      <c r="CN3441" s="1539"/>
      <c r="CO3441" s="1539"/>
    </row>
    <row r="3442" spans="1:93" ht="15.5">
      <c r="A3442" s="1598">
        <v>79.459999999999994</v>
      </c>
      <c r="B3442" s="1599" t="s">
        <v>1736</v>
      </c>
      <c r="C3442" s="1643" t="e">
        <f>+SUMIF(#REF!,Final!A3442,#REF!)</f>
        <v>#REF!</v>
      </c>
      <c r="D3442" s="1597" t="e">
        <f>+SUMIF(#REF!,Final!A3442,#REF!)</f>
        <v>#REF!</v>
      </c>
      <c r="E3442" s="1643" t="e">
        <f>SUMIF(#REF!,Final!A3442,#REF!)</f>
        <v>#REF!</v>
      </c>
      <c r="F3442" s="1644" t="e">
        <f>SUMIF(#REF!,Final!A3442,#REF!)</f>
        <v>#REF!</v>
      </c>
      <c r="G3442" s="1597" t="e">
        <f t="shared" si="376"/>
        <v>#REF!</v>
      </c>
      <c r="H3442" s="1644" t="e">
        <f t="shared" si="377"/>
        <v>#REF!</v>
      </c>
      <c r="I3442" s="1597" t="e">
        <f t="shared" si="378"/>
        <v>#REF!</v>
      </c>
      <c r="J3442" s="1644" t="e">
        <f t="shared" si="379"/>
        <v>#REF!</v>
      </c>
      <c r="M3442" s="1545"/>
      <c r="N3442" s="1545"/>
    </row>
    <row r="3443" spans="1:93" s="1552" customFormat="1" ht="15.5">
      <c r="A3443" s="1598"/>
      <c r="B3443" s="1599" t="s">
        <v>1747</v>
      </c>
      <c r="C3443" s="1643" t="e">
        <f>+SUMIF(#REF!,Final!A3443,#REF!)</f>
        <v>#REF!</v>
      </c>
      <c r="D3443" s="1597" t="e">
        <f>+SUMIF(#REF!,Final!A3443,#REF!)</f>
        <v>#REF!</v>
      </c>
      <c r="E3443" s="1643" t="e">
        <f>SUMIF(#REF!,Final!A3443,#REF!)</f>
        <v>#REF!</v>
      </c>
      <c r="F3443" s="1644" t="e">
        <f>SUMIF(#REF!,Final!A3443,#REF!)</f>
        <v>#REF!</v>
      </c>
      <c r="G3443" s="1597" t="e">
        <f t="shared" si="376"/>
        <v>#REF!</v>
      </c>
      <c r="H3443" s="1644" t="e">
        <f t="shared" si="377"/>
        <v>#REF!</v>
      </c>
      <c r="I3443" s="1597" t="e">
        <f t="shared" si="378"/>
        <v>#REF!</v>
      </c>
      <c r="J3443" s="1644" t="e">
        <f t="shared" si="379"/>
        <v>#REF!</v>
      </c>
      <c r="K3443" s="1539"/>
      <c r="L3443" s="1539"/>
      <c r="M3443" s="1545"/>
      <c r="N3443" s="1545"/>
      <c r="O3443" s="1539"/>
      <c r="P3443" s="1539"/>
      <c r="Q3443" s="1539"/>
      <c r="R3443" s="1539"/>
      <c r="S3443" s="1539"/>
      <c r="T3443" s="1539"/>
      <c r="U3443" s="1539"/>
      <c r="V3443" s="1539"/>
      <c r="W3443" s="1539"/>
      <c r="X3443" s="1539"/>
      <c r="Y3443" s="1539"/>
      <c r="Z3443" s="1539"/>
      <c r="AA3443" s="1539"/>
      <c r="AB3443" s="1539"/>
      <c r="AC3443" s="1539"/>
      <c r="AD3443" s="1539"/>
      <c r="AE3443" s="1539"/>
      <c r="AF3443" s="1539"/>
      <c r="AG3443" s="1539"/>
      <c r="AH3443" s="1539"/>
      <c r="AI3443" s="1539"/>
      <c r="AJ3443" s="1539"/>
      <c r="AK3443" s="1539"/>
      <c r="AL3443" s="1539"/>
      <c r="AM3443" s="1539"/>
      <c r="AN3443" s="1539"/>
      <c r="AO3443" s="1539"/>
      <c r="AP3443" s="1539"/>
      <c r="AQ3443" s="1539"/>
      <c r="AR3443" s="1539"/>
      <c r="AS3443" s="1539"/>
      <c r="AT3443" s="1539"/>
      <c r="AU3443" s="1539"/>
      <c r="AV3443" s="1539"/>
      <c r="AW3443" s="1539"/>
      <c r="AX3443" s="1539"/>
      <c r="AY3443" s="1539"/>
      <c r="AZ3443" s="1539"/>
      <c r="BA3443" s="1539"/>
      <c r="BB3443" s="1539"/>
      <c r="BC3443" s="1539"/>
      <c r="BD3443" s="1539"/>
      <c r="BE3443" s="1539"/>
      <c r="BF3443" s="1539"/>
      <c r="BG3443" s="1539"/>
      <c r="BH3443" s="1539"/>
      <c r="BI3443" s="1539"/>
      <c r="BJ3443" s="1539"/>
      <c r="BK3443" s="1539"/>
      <c r="BL3443" s="1539"/>
      <c r="BM3443" s="1539"/>
      <c r="BN3443" s="1539"/>
      <c r="BO3443" s="1539"/>
      <c r="BP3443" s="1539"/>
      <c r="BQ3443" s="1539"/>
      <c r="BR3443" s="1539"/>
      <c r="BS3443" s="1539"/>
      <c r="BT3443" s="1539"/>
      <c r="BU3443" s="1539"/>
      <c r="BV3443" s="1539"/>
      <c r="BW3443" s="1539"/>
      <c r="BX3443" s="1539"/>
      <c r="BY3443" s="1539"/>
      <c r="BZ3443" s="1539"/>
      <c r="CA3443" s="1539"/>
      <c r="CB3443" s="1539"/>
      <c r="CC3443" s="1539"/>
      <c r="CD3443" s="1539"/>
      <c r="CE3443" s="1539"/>
      <c r="CF3443" s="1539"/>
      <c r="CG3443" s="1539"/>
      <c r="CH3443" s="1539"/>
      <c r="CI3443" s="1539"/>
      <c r="CJ3443" s="1539"/>
      <c r="CK3443" s="1539"/>
      <c r="CL3443" s="1539"/>
      <c r="CM3443" s="1539"/>
      <c r="CN3443" s="1539"/>
      <c r="CO3443" s="1539"/>
    </row>
    <row r="3444" spans="1:93" s="1552" customFormat="1" ht="15.5">
      <c r="A3444" s="1598"/>
      <c r="B3444" s="1599" t="s">
        <v>1760</v>
      </c>
      <c r="C3444" s="1643" t="e">
        <f>+SUMIF(#REF!,Final!A3444,#REF!)</f>
        <v>#REF!</v>
      </c>
      <c r="D3444" s="1597" t="e">
        <f>+SUMIF(#REF!,Final!A3444,#REF!)</f>
        <v>#REF!</v>
      </c>
      <c r="E3444" s="1643" t="e">
        <f>SUMIF(#REF!,Final!A3444,#REF!)</f>
        <v>#REF!</v>
      </c>
      <c r="F3444" s="1644" t="e">
        <f>SUMIF(#REF!,Final!A3444,#REF!)</f>
        <v>#REF!</v>
      </c>
      <c r="G3444" s="1597" t="e">
        <f t="shared" si="376"/>
        <v>#REF!</v>
      </c>
      <c r="H3444" s="1644" t="e">
        <f t="shared" si="377"/>
        <v>#REF!</v>
      </c>
      <c r="I3444" s="1597" t="e">
        <f t="shared" si="378"/>
        <v>#REF!</v>
      </c>
      <c r="J3444" s="1644" t="e">
        <f t="shared" si="379"/>
        <v>#REF!</v>
      </c>
      <c r="K3444" s="1539"/>
      <c r="L3444" s="1539"/>
      <c r="M3444" s="1545"/>
      <c r="N3444" s="1545"/>
      <c r="O3444" s="1539"/>
      <c r="P3444" s="1539"/>
      <c r="Q3444" s="1539"/>
      <c r="R3444" s="1539"/>
      <c r="S3444" s="1539"/>
      <c r="T3444" s="1539"/>
      <c r="U3444" s="1539"/>
      <c r="V3444" s="1539"/>
      <c r="W3444" s="1539"/>
      <c r="X3444" s="1539"/>
      <c r="Y3444" s="1539"/>
      <c r="Z3444" s="1539"/>
      <c r="AA3444" s="1539"/>
      <c r="AB3444" s="1539"/>
      <c r="AC3444" s="1539"/>
      <c r="AD3444" s="1539"/>
      <c r="AE3444" s="1539"/>
      <c r="AF3444" s="1539"/>
      <c r="AG3444" s="1539"/>
      <c r="AH3444" s="1539"/>
      <c r="AI3444" s="1539"/>
      <c r="AJ3444" s="1539"/>
      <c r="AK3444" s="1539"/>
      <c r="AL3444" s="1539"/>
      <c r="AM3444" s="1539"/>
      <c r="AN3444" s="1539"/>
      <c r="AO3444" s="1539"/>
      <c r="AP3444" s="1539"/>
      <c r="AQ3444" s="1539"/>
      <c r="AR3444" s="1539"/>
      <c r="AS3444" s="1539"/>
      <c r="AT3444" s="1539"/>
      <c r="AU3444" s="1539"/>
      <c r="AV3444" s="1539"/>
      <c r="AW3444" s="1539"/>
      <c r="AX3444" s="1539"/>
      <c r="AY3444" s="1539"/>
      <c r="AZ3444" s="1539"/>
      <c r="BA3444" s="1539"/>
      <c r="BB3444" s="1539"/>
      <c r="BC3444" s="1539"/>
      <c r="BD3444" s="1539"/>
      <c r="BE3444" s="1539"/>
      <c r="BF3444" s="1539"/>
      <c r="BG3444" s="1539"/>
      <c r="BH3444" s="1539"/>
      <c r="BI3444" s="1539"/>
      <c r="BJ3444" s="1539"/>
      <c r="BK3444" s="1539"/>
      <c r="BL3444" s="1539"/>
      <c r="BM3444" s="1539"/>
      <c r="BN3444" s="1539"/>
      <c r="BO3444" s="1539"/>
      <c r="BP3444" s="1539"/>
      <c r="BQ3444" s="1539"/>
      <c r="BR3444" s="1539"/>
      <c r="BS3444" s="1539"/>
      <c r="BT3444" s="1539"/>
      <c r="BU3444" s="1539"/>
      <c r="BV3444" s="1539"/>
      <c r="BW3444" s="1539"/>
      <c r="BX3444" s="1539"/>
      <c r="BY3444" s="1539"/>
      <c r="BZ3444" s="1539"/>
      <c r="CA3444" s="1539"/>
      <c r="CB3444" s="1539"/>
      <c r="CC3444" s="1539"/>
      <c r="CD3444" s="1539"/>
      <c r="CE3444" s="1539"/>
      <c r="CF3444" s="1539"/>
      <c r="CG3444" s="1539"/>
      <c r="CH3444" s="1539"/>
      <c r="CI3444" s="1539"/>
      <c r="CJ3444" s="1539"/>
      <c r="CK3444" s="1539"/>
      <c r="CL3444" s="1539"/>
      <c r="CM3444" s="1539"/>
      <c r="CN3444" s="1539"/>
      <c r="CO3444" s="1539"/>
    </row>
    <row r="3445" spans="1:93" s="1542" customFormat="1" ht="15.5">
      <c r="A3445" s="1598">
        <v>35</v>
      </c>
      <c r="B3445" s="1599" t="s">
        <v>3207</v>
      </c>
      <c r="C3445" s="1643" t="e">
        <f>+SUMIF(#REF!,Final!A3445,#REF!)</f>
        <v>#REF!</v>
      </c>
      <c r="D3445" s="1597" t="e">
        <f>+SUMIF(#REF!,Final!A3445,#REF!)</f>
        <v>#REF!</v>
      </c>
      <c r="E3445" s="1643" t="e">
        <f>SUMIF(#REF!,Final!A3445,#REF!)</f>
        <v>#REF!</v>
      </c>
      <c r="F3445" s="1644" t="e">
        <f>SUMIF(#REF!,Final!A3445,#REF!)</f>
        <v>#REF!</v>
      </c>
      <c r="G3445" s="1597" t="e">
        <f t="shared" si="376"/>
        <v>#REF!</v>
      </c>
      <c r="H3445" s="1644" t="e">
        <f t="shared" si="377"/>
        <v>#REF!</v>
      </c>
      <c r="I3445" s="1597" t="e">
        <f t="shared" si="378"/>
        <v>#REF!</v>
      </c>
      <c r="J3445" s="1644" t="e">
        <f t="shared" si="379"/>
        <v>#REF!</v>
      </c>
      <c r="K3445" s="1539"/>
      <c r="L3445" s="1539"/>
      <c r="M3445" s="1545"/>
      <c r="N3445" s="1545"/>
      <c r="O3445" s="1539"/>
      <c r="P3445" s="1539"/>
      <c r="Q3445" s="1539"/>
      <c r="R3445" s="1539"/>
      <c r="S3445" s="1539"/>
      <c r="T3445" s="1539"/>
      <c r="U3445" s="1539"/>
      <c r="V3445" s="1539"/>
      <c r="W3445" s="1539"/>
      <c r="X3445" s="1539"/>
      <c r="Y3445" s="1539"/>
      <c r="Z3445" s="1539"/>
      <c r="AA3445" s="1539"/>
      <c r="AB3445" s="1539"/>
      <c r="AC3445" s="1539"/>
      <c r="AD3445" s="1539"/>
      <c r="AE3445" s="1539"/>
      <c r="AF3445" s="1539"/>
      <c r="AG3445" s="1539"/>
      <c r="AH3445" s="1539"/>
      <c r="AI3445" s="1539"/>
      <c r="AJ3445" s="1539"/>
      <c r="AK3445" s="1539"/>
      <c r="AL3445" s="1539"/>
      <c r="AM3445" s="1539"/>
      <c r="AN3445" s="1539"/>
      <c r="AO3445" s="1539"/>
      <c r="AP3445" s="1539"/>
      <c r="AQ3445" s="1539"/>
      <c r="AR3445" s="1539"/>
      <c r="AS3445" s="1539"/>
      <c r="AT3445" s="1539"/>
      <c r="AU3445" s="1539"/>
      <c r="AV3445" s="1539"/>
      <c r="AW3445" s="1539"/>
      <c r="AX3445" s="1539"/>
      <c r="AY3445" s="1539"/>
      <c r="AZ3445" s="1539"/>
      <c r="BA3445" s="1539"/>
      <c r="BB3445" s="1539"/>
      <c r="BC3445" s="1539"/>
      <c r="BD3445" s="1539"/>
      <c r="BE3445" s="1539"/>
      <c r="BF3445" s="1539"/>
      <c r="BG3445" s="1539"/>
      <c r="BH3445" s="1539"/>
      <c r="BI3445" s="1539"/>
      <c r="BJ3445" s="1539"/>
      <c r="BK3445" s="1539"/>
      <c r="BL3445" s="1539"/>
      <c r="BM3445" s="1539"/>
      <c r="BN3445" s="1539"/>
      <c r="BO3445" s="1539"/>
      <c r="BP3445" s="1539"/>
      <c r="BQ3445" s="1539"/>
      <c r="BR3445" s="1539"/>
      <c r="BS3445" s="1539"/>
      <c r="BT3445" s="1539"/>
      <c r="BU3445" s="1539"/>
      <c r="BV3445" s="1539"/>
      <c r="BW3445" s="1539"/>
      <c r="BX3445" s="1539"/>
      <c r="BY3445" s="1539"/>
      <c r="BZ3445" s="1539"/>
      <c r="CA3445" s="1539"/>
      <c r="CB3445" s="1539"/>
      <c r="CC3445" s="1539"/>
      <c r="CD3445" s="1539"/>
      <c r="CE3445" s="1539"/>
      <c r="CF3445" s="1539"/>
      <c r="CG3445" s="1539"/>
      <c r="CH3445" s="1539"/>
      <c r="CI3445" s="1539"/>
      <c r="CJ3445" s="1539"/>
      <c r="CK3445" s="1539"/>
      <c r="CL3445" s="1539"/>
      <c r="CM3445" s="1539"/>
      <c r="CN3445" s="1539"/>
      <c r="CO3445" s="1539"/>
    </row>
    <row r="3446" spans="1:93" s="1542" customFormat="1" ht="15.5">
      <c r="A3446" s="1598" t="s">
        <v>1837</v>
      </c>
      <c r="B3446" s="1599" t="s">
        <v>3264</v>
      </c>
      <c r="C3446" s="1643" t="e">
        <f>+SUMIF(#REF!,Final!A3446,#REF!)</f>
        <v>#REF!</v>
      </c>
      <c r="D3446" s="1597" t="e">
        <f>+SUMIF(#REF!,Final!A3446,#REF!)</f>
        <v>#REF!</v>
      </c>
      <c r="E3446" s="1643" t="e">
        <f>SUMIF(#REF!,Final!A3446,#REF!)</f>
        <v>#REF!</v>
      </c>
      <c r="F3446" s="1644" t="e">
        <f>SUMIF(#REF!,Final!A3446,#REF!)</f>
        <v>#REF!</v>
      </c>
      <c r="G3446" s="1597" t="e">
        <f t="shared" si="376"/>
        <v>#REF!</v>
      </c>
      <c r="H3446" s="1644" t="e">
        <f t="shared" si="377"/>
        <v>#REF!</v>
      </c>
      <c r="I3446" s="1597" t="e">
        <f t="shared" si="378"/>
        <v>#REF!</v>
      </c>
      <c r="J3446" s="1644" t="e">
        <f t="shared" si="379"/>
        <v>#REF!</v>
      </c>
      <c r="K3446" s="1539"/>
      <c r="L3446" s="1539"/>
      <c r="M3446" s="1545"/>
      <c r="N3446" s="1545"/>
      <c r="O3446" s="1539"/>
      <c r="P3446" s="1539"/>
      <c r="Q3446" s="1539"/>
      <c r="R3446" s="1539"/>
      <c r="S3446" s="1539"/>
      <c r="T3446" s="1539"/>
      <c r="U3446" s="1539"/>
      <c r="V3446" s="1539"/>
      <c r="W3446" s="1539"/>
      <c r="X3446" s="1539"/>
      <c r="Y3446" s="1539"/>
      <c r="Z3446" s="1539"/>
      <c r="AA3446" s="1539"/>
      <c r="AB3446" s="1539"/>
      <c r="AC3446" s="1539"/>
      <c r="AD3446" s="1539"/>
      <c r="AE3446" s="1539"/>
      <c r="AF3446" s="1539"/>
      <c r="AG3446" s="1539"/>
      <c r="AH3446" s="1539"/>
      <c r="AI3446" s="1539"/>
      <c r="AJ3446" s="1539"/>
      <c r="AK3446" s="1539"/>
      <c r="AL3446" s="1539"/>
      <c r="AM3446" s="1539"/>
      <c r="AN3446" s="1539"/>
      <c r="AO3446" s="1539"/>
      <c r="AP3446" s="1539"/>
      <c r="AQ3446" s="1539"/>
      <c r="AR3446" s="1539"/>
      <c r="AS3446" s="1539"/>
      <c r="AT3446" s="1539"/>
      <c r="AU3446" s="1539"/>
      <c r="AV3446" s="1539"/>
      <c r="AW3446" s="1539"/>
      <c r="AX3446" s="1539"/>
      <c r="AY3446" s="1539"/>
      <c r="AZ3446" s="1539"/>
      <c r="BA3446" s="1539"/>
      <c r="BB3446" s="1539"/>
      <c r="BC3446" s="1539"/>
      <c r="BD3446" s="1539"/>
      <c r="BE3446" s="1539"/>
      <c r="BF3446" s="1539"/>
      <c r="BG3446" s="1539"/>
      <c r="BH3446" s="1539"/>
      <c r="BI3446" s="1539"/>
      <c r="BJ3446" s="1539"/>
      <c r="BK3446" s="1539"/>
      <c r="BL3446" s="1539"/>
      <c r="BM3446" s="1539"/>
      <c r="BN3446" s="1539"/>
      <c r="BO3446" s="1539"/>
      <c r="BP3446" s="1539"/>
      <c r="BQ3446" s="1539"/>
      <c r="BR3446" s="1539"/>
      <c r="BS3446" s="1539"/>
      <c r="BT3446" s="1539"/>
      <c r="BU3446" s="1539"/>
      <c r="BV3446" s="1539"/>
      <c r="BW3446" s="1539"/>
      <c r="BX3446" s="1539"/>
      <c r="BY3446" s="1539"/>
      <c r="BZ3446" s="1539"/>
      <c r="CA3446" s="1539"/>
      <c r="CB3446" s="1539"/>
      <c r="CC3446" s="1539"/>
      <c r="CD3446" s="1539"/>
      <c r="CE3446" s="1539"/>
      <c r="CF3446" s="1539"/>
      <c r="CG3446" s="1539"/>
      <c r="CH3446" s="1539"/>
      <c r="CI3446" s="1539"/>
      <c r="CJ3446" s="1539"/>
      <c r="CK3446" s="1539"/>
      <c r="CL3446" s="1539"/>
      <c r="CM3446" s="1539"/>
      <c r="CN3446" s="1539"/>
      <c r="CO3446" s="1539"/>
    </row>
    <row r="3447" spans="1:93" s="1542" customFormat="1" ht="15.5">
      <c r="A3447" s="1598">
        <v>79.510000000000005</v>
      </c>
      <c r="B3447" s="1599" t="s">
        <v>3266</v>
      </c>
      <c r="C3447" s="1643" t="e">
        <f>+SUMIF(#REF!,Final!A3447,#REF!)</f>
        <v>#REF!</v>
      </c>
      <c r="D3447" s="1597" t="e">
        <f>+SUMIF(#REF!,Final!A3447,#REF!)</f>
        <v>#REF!</v>
      </c>
      <c r="E3447" s="1643" t="e">
        <f>SUMIF(#REF!,Final!A3447,#REF!)</f>
        <v>#REF!</v>
      </c>
      <c r="F3447" s="1644" t="e">
        <f>SUMIF(#REF!,Final!A3447,#REF!)</f>
        <v>#REF!</v>
      </c>
      <c r="G3447" s="1597" t="e">
        <f t="shared" si="376"/>
        <v>#REF!</v>
      </c>
      <c r="H3447" s="1644" t="e">
        <f t="shared" si="377"/>
        <v>#REF!</v>
      </c>
      <c r="I3447" s="1597" t="e">
        <f t="shared" si="378"/>
        <v>#REF!</v>
      </c>
      <c r="J3447" s="1644" t="e">
        <f t="shared" si="379"/>
        <v>#REF!</v>
      </c>
      <c r="K3447" s="1539"/>
      <c r="L3447" s="1539"/>
      <c r="M3447" s="1545"/>
      <c r="N3447" s="1545"/>
      <c r="O3447" s="1539"/>
      <c r="P3447" s="1539"/>
      <c r="Q3447" s="1539"/>
      <c r="R3447" s="1539"/>
      <c r="S3447" s="1539"/>
      <c r="T3447" s="1539"/>
      <c r="U3447" s="1539"/>
      <c r="V3447" s="1539"/>
      <c r="W3447" s="1539"/>
      <c r="X3447" s="1539"/>
      <c r="Y3447" s="1539"/>
      <c r="Z3447" s="1539"/>
      <c r="AA3447" s="1539"/>
      <c r="AB3447" s="1539"/>
      <c r="AC3447" s="1539"/>
      <c r="AD3447" s="1539"/>
      <c r="AE3447" s="1539"/>
      <c r="AF3447" s="1539"/>
      <c r="AG3447" s="1539"/>
      <c r="AH3447" s="1539"/>
      <c r="AI3447" s="1539"/>
      <c r="AJ3447" s="1539"/>
      <c r="AK3447" s="1539"/>
      <c r="AL3447" s="1539"/>
      <c r="AM3447" s="1539"/>
      <c r="AN3447" s="1539"/>
      <c r="AO3447" s="1539"/>
      <c r="AP3447" s="1539"/>
      <c r="AQ3447" s="1539"/>
      <c r="AR3447" s="1539"/>
      <c r="AS3447" s="1539"/>
      <c r="AT3447" s="1539"/>
      <c r="AU3447" s="1539"/>
      <c r="AV3447" s="1539"/>
      <c r="AW3447" s="1539"/>
      <c r="AX3447" s="1539"/>
      <c r="AY3447" s="1539"/>
      <c r="AZ3447" s="1539"/>
      <c r="BA3447" s="1539"/>
      <c r="BB3447" s="1539"/>
      <c r="BC3447" s="1539"/>
      <c r="BD3447" s="1539"/>
      <c r="BE3447" s="1539"/>
      <c r="BF3447" s="1539"/>
      <c r="BG3447" s="1539"/>
      <c r="BH3447" s="1539"/>
      <c r="BI3447" s="1539"/>
      <c r="BJ3447" s="1539"/>
      <c r="BK3447" s="1539"/>
      <c r="BL3447" s="1539"/>
      <c r="BM3447" s="1539"/>
      <c r="BN3447" s="1539"/>
      <c r="BO3447" s="1539"/>
      <c r="BP3447" s="1539"/>
      <c r="BQ3447" s="1539"/>
      <c r="BR3447" s="1539"/>
      <c r="BS3447" s="1539"/>
      <c r="BT3447" s="1539"/>
      <c r="BU3447" s="1539"/>
      <c r="BV3447" s="1539"/>
      <c r="BW3447" s="1539"/>
      <c r="BX3447" s="1539"/>
      <c r="BY3447" s="1539"/>
      <c r="BZ3447" s="1539"/>
      <c r="CA3447" s="1539"/>
      <c r="CB3447" s="1539"/>
      <c r="CC3447" s="1539"/>
      <c r="CD3447" s="1539"/>
      <c r="CE3447" s="1539"/>
      <c r="CF3447" s="1539"/>
      <c r="CG3447" s="1539"/>
      <c r="CH3447" s="1539"/>
      <c r="CI3447" s="1539"/>
      <c r="CJ3447" s="1539"/>
      <c r="CK3447" s="1539"/>
      <c r="CL3447" s="1539"/>
      <c r="CM3447" s="1539"/>
      <c r="CN3447" s="1539"/>
      <c r="CO3447" s="1539"/>
    </row>
    <row r="3448" spans="1:93" ht="15.5">
      <c r="A3448" s="1598">
        <v>79.510999999999996</v>
      </c>
      <c r="B3448" s="1599" t="s">
        <v>3267</v>
      </c>
      <c r="C3448" s="1643" t="e">
        <f>+SUMIF(#REF!,Final!A3448,#REF!)</f>
        <v>#REF!</v>
      </c>
      <c r="D3448" s="1597" t="e">
        <f>+SUMIF(#REF!,Final!A3448,#REF!)</f>
        <v>#REF!</v>
      </c>
      <c r="E3448" s="1643" t="e">
        <f>SUMIF(#REF!,Final!A3448,#REF!)</f>
        <v>#REF!</v>
      </c>
      <c r="F3448" s="1644" t="e">
        <f>SUMIF(#REF!,Final!A3448,#REF!)</f>
        <v>#REF!</v>
      </c>
      <c r="G3448" s="1597" t="e">
        <f t="shared" si="376"/>
        <v>#REF!</v>
      </c>
      <c r="H3448" s="1644" t="e">
        <f t="shared" si="377"/>
        <v>#REF!</v>
      </c>
      <c r="I3448" s="1597" t="e">
        <f t="shared" si="378"/>
        <v>#REF!</v>
      </c>
      <c r="J3448" s="1644" t="e">
        <f t="shared" si="379"/>
        <v>#REF!</v>
      </c>
      <c r="M3448" s="1545"/>
      <c r="N3448" s="1545"/>
    </row>
    <row r="3449" spans="1:93" s="1552" customFormat="1" ht="15.5">
      <c r="A3449" s="1598"/>
      <c r="B3449" s="1599" t="s">
        <v>1747</v>
      </c>
      <c r="C3449" s="1643" t="e">
        <f>+SUMIF(#REF!,Final!A3449,#REF!)</f>
        <v>#REF!</v>
      </c>
      <c r="D3449" s="1597" t="e">
        <f>+SUMIF(#REF!,Final!A3449,#REF!)</f>
        <v>#REF!</v>
      </c>
      <c r="E3449" s="1643" t="e">
        <f>SUMIF(#REF!,Final!A3449,#REF!)</f>
        <v>#REF!</v>
      </c>
      <c r="F3449" s="1644" t="e">
        <f>SUMIF(#REF!,Final!A3449,#REF!)</f>
        <v>#REF!</v>
      </c>
      <c r="G3449" s="1597" t="e">
        <f t="shared" si="376"/>
        <v>#REF!</v>
      </c>
      <c r="H3449" s="1644" t="e">
        <f t="shared" si="377"/>
        <v>#REF!</v>
      </c>
      <c r="I3449" s="1597" t="e">
        <f t="shared" si="378"/>
        <v>#REF!</v>
      </c>
      <c r="J3449" s="1644" t="e">
        <f t="shared" si="379"/>
        <v>#REF!</v>
      </c>
      <c r="K3449" s="1539"/>
      <c r="L3449" s="1539"/>
      <c r="M3449" s="1545"/>
      <c r="N3449" s="1545"/>
      <c r="O3449" s="1539"/>
      <c r="P3449" s="1539"/>
      <c r="Q3449" s="1539"/>
      <c r="R3449" s="1539"/>
      <c r="S3449" s="1539"/>
      <c r="T3449" s="1539"/>
      <c r="U3449" s="1539"/>
      <c r="V3449" s="1539"/>
      <c r="W3449" s="1539"/>
      <c r="X3449" s="1539"/>
      <c r="Y3449" s="1539"/>
      <c r="Z3449" s="1539"/>
      <c r="AA3449" s="1539"/>
      <c r="AB3449" s="1539"/>
      <c r="AC3449" s="1539"/>
      <c r="AD3449" s="1539"/>
      <c r="AE3449" s="1539"/>
      <c r="AF3449" s="1539"/>
      <c r="AG3449" s="1539"/>
      <c r="AH3449" s="1539"/>
      <c r="AI3449" s="1539"/>
      <c r="AJ3449" s="1539"/>
      <c r="AK3449" s="1539"/>
      <c r="AL3449" s="1539"/>
      <c r="AM3449" s="1539"/>
      <c r="AN3449" s="1539"/>
      <c r="AO3449" s="1539"/>
      <c r="AP3449" s="1539"/>
      <c r="AQ3449" s="1539"/>
      <c r="AR3449" s="1539"/>
      <c r="AS3449" s="1539"/>
      <c r="AT3449" s="1539"/>
      <c r="AU3449" s="1539"/>
      <c r="AV3449" s="1539"/>
      <c r="AW3449" s="1539"/>
      <c r="AX3449" s="1539"/>
      <c r="AY3449" s="1539"/>
      <c r="AZ3449" s="1539"/>
      <c r="BA3449" s="1539"/>
      <c r="BB3449" s="1539"/>
      <c r="BC3449" s="1539"/>
      <c r="BD3449" s="1539"/>
      <c r="BE3449" s="1539"/>
      <c r="BF3449" s="1539"/>
      <c r="BG3449" s="1539"/>
      <c r="BH3449" s="1539"/>
      <c r="BI3449" s="1539"/>
      <c r="BJ3449" s="1539"/>
      <c r="BK3449" s="1539"/>
      <c r="BL3449" s="1539"/>
      <c r="BM3449" s="1539"/>
      <c r="BN3449" s="1539"/>
      <c r="BO3449" s="1539"/>
      <c r="BP3449" s="1539"/>
      <c r="BQ3449" s="1539"/>
      <c r="BR3449" s="1539"/>
      <c r="BS3449" s="1539"/>
      <c r="BT3449" s="1539"/>
      <c r="BU3449" s="1539"/>
      <c r="BV3449" s="1539"/>
      <c r="BW3449" s="1539"/>
      <c r="BX3449" s="1539"/>
      <c r="BY3449" s="1539"/>
      <c r="BZ3449" s="1539"/>
      <c r="CA3449" s="1539"/>
      <c r="CB3449" s="1539"/>
      <c r="CC3449" s="1539"/>
      <c r="CD3449" s="1539"/>
      <c r="CE3449" s="1539"/>
      <c r="CF3449" s="1539"/>
      <c r="CG3449" s="1539"/>
      <c r="CH3449" s="1539"/>
      <c r="CI3449" s="1539"/>
      <c r="CJ3449" s="1539"/>
      <c r="CK3449" s="1539"/>
      <c r="CL3449" s="1539"/>
      <c r="CM3449" s="1539"/>
      <c r="CN3449" s="1539"/>
      <c r="CO3449" s="1539"/>
    </row>
    <row r="3450" spans="1:93" s="1552" customFormat="1" ht="15.5">
      <c r="A3450" s="1598"/>
      <c r="B3450" s="1599" t="s">
        <v>1760</v>
      </c>
      <c r="C3450" s="1643" t="e">
        <f>+SUMIF(#REF!,Final!A3450,#REF!)</f>
        <v>#REF!</v>
      </c>
      <c r="D3450" s="1597" t="e">
        <f>+SUMIF(#REF!,Final!A3450,#REF!)</f>
        <v>#REF!</v>
      </c>
      <c r="E3450" s="1643" t="e">
        <f>SUMIF(#REF!,Final!A3450,#REF!)</f>
        <v>#REF!</v>
      </c>
      <c r="F3450" s="1644" t="e">
        <f>SUMIF(#REF!,Final!A3450,#REF!)</f>
        <v>#REF!</v>
      </c>
      <c r="G3450" s="1597" t="e">
        <f t="shared" si="376"/>
        <v>#REF!</v>
      </c>
      <c r="H3450" s="1644" t="e">
        <f t="shared" si="377"/>
        <v>#REF!</v>
      </c>
      <c r="I3450" s="1597" t="e">
        <f t="shared" si="378"/>
        <v>#REF!</v>
      </c>
      <c r="J3450" s="1644" t="e">
        <f t="shared" si="379"/>
        <v>#REF!</v>
      </c>
      <c r="K3450" s="1539"/>
      <c r="L3450" s="1539"/>
      <c r="M3450" s="1545"/>
      <c r="N3450" s="1545"/>
      <c r="O3450" s="1539"/>
      <c r="P3450" s="1539"/>
      <c r="Q3450" s="1539"/>
      <c r="R3450" s="1539"/>
      <c r="S3450" s="1539"/>
      <c r="T3450" s="1539"/>
      <c r="U3450" s="1539"/>
      <c r="V3450" s="1539"/>
      <c r="W3450" s="1539"/>
      <c r="X3450" s="1539"/>
      <c r="Y3450" s="1539"/>
      <c r="Z3450" s="1539"/>
      <c r="AA3450" s="1539"/>
      <c r="AB3450" s="1539"/>
      <c r="AC3450" s="1539"/>
      <c r="AD3450" s="1539"/>
      <c r="AE3450" s="1539"/>
      <c r="AF3450" s="1539"/>
      <c r="AG3450" s="1539"/>
      <c r="AH3450" s="1539"/>
      <c r="AI3450" s="1539"/>
      <c r="AJ3450" s="1539"/>
      <c r="AK3450" s="1539"/>
      <c r="AL3450" s="1539"/>
      <c r="AM3450" s="1539"/>
      <c r="AN3450" s="1539"/>
      <c r="AO3450" s="1539"/>
      <c r="AP3450" s="1539"/>
      <c r="AQ3450" s="1539"/>
      <c r="AR3450" s="1539"/>
      <c r="AS3450" s="1539"/>
      <c r="AT3450" s="1539"/>
      <c r="AU3450" s="1539"/>
      <c r="AV3450" s="1539"/>
      <c r="AW3450" s="1539"/>
      <c r="AX3450" s="1539"/>
      <c r="AY3450" s="1539"/>
      <c r="AZ3450" s="1539"/>
      <c r="BA3450" s="1539"/>
      <c r="BB3450" s="1539"/>
      <c r="BC3450" s="1539"/>
      <c r="BD3450" s="1539"/>
      <c r="BE3450" s="1539"/>
      <c r="BF3450" s="1539"/>
      <c r="BG3450" s="1539"/>
      <c r="BH3450" s="1539"/>
      <c r="BI3450" s="1539"/>
      <c r="BJ3450" s="1539"/>
      <c r="BK3450" s="1539"/>
      <c r="BL3450" s="1539"/>
      <c r="BM3450" s="1539"/>
      <c r="BN3450" s="1539"/>
      <c r="BO3450" s="1539"/>
      <c r="BP3450" s="1539"/>
      <c r="BQ3450" s="1539"/>
      <c r="BR3450" s="1539"/>
      <c r="BS3450" s="1539"/>
      <c r="BT3450" s="1539"/>
      <c r="BU3450" s="1539"/>
      <c r="BV3450" s="1539"/>
      <c r="BW3450" s="1539"/>
      <c r="BX3450" s="1539"/>
      <c r="BY3450" s="1539"/>
      <c r="BZ3450" s="1539"/>
      <c r="CA3450" s="1539"/>
      <c r="CB3450" s="1539"/>
      <c r="CC3450" s="1539"/>
      <c r="CD3450" s="1539"/>
      <c r="CE3450" s="1539"/>
      <c r="CF3450" s="1539"/>
      <c r="CG3450" s="1539"/>
      <c r="CH3450" s="1539"/>
      <c r="CI3450" s="1539"/>
      <c r="CJ3450" s="1539"/>
      <c r="CK3450" s="1539"/>
      <c r="CL3450" s="1539"/>
      <c r="CM3450" s="1539"/>
      <c r="CN3450" s="1539"/>
      <c r="CO3450" s="1539"/>
    </row>
    <row r="3451" spans="1:93" s="1542" customFormat="1" ht="15.5">
      <c r="A3451" s="1598">
        <v>35</v>
      </c>
      <c r="B3451" s="1599" t="s">
        <v>3207</v>
      </c>
      <c r="C3451" s="1643" t="e">
        <f>+SUMIF(#REF!,Final!A3451,#REF!)</f>
        <v>#REF!</v>
      </c>
      <c r="D3451" s="1597" t="e">
        <f>+SUMIF(#REF!,Final!A3451,#REF!)</f>
        <v>#REF!</v>
      </c>
      <c r="E3451" s="1643" t="e">
        <f>SUMIF(#REF!,Final!A3451,#REF!)</f>
        <v>#REF!</v>
      </c>
      <c r="F3451" s="1644" t="e">
        <f>SUMIF(#REF!,Final!A3451,#REF!)</f>
        <v>#REF!</v>
      </c>
      <c r="G3451" s="1597" t="e">
        <f t="shared" si="376"/>
        <v>#REF!</v>
      </c>
      <c r="H3451" s="1644" t="e">
        <f t="shared" si="377"/>
        <v>#REF!</v>
      </c>
      <c r="I3451" s="1597" t="e">
        <f t="shared" si="378"/>
        <v>#REF!</v>
      </c>
      <c r="J3451" s="1644" t="e">
        <f t="shared" si="379"/>
        <v>#REF!</v>
      </c>
      <c r="K3451" s="1539"/>
      <c r="L3451" s="1539"/>
      <c r="M3451" s="1545"/>
      <c r="N3451" s="1545"/>
      <c r="O3451" s="1539"/>
      <c r="P3451" s="1539"/>
      <c r="Q3451" s="1539"/>
      <c r="R3451" s="1539"/>
      <c r="S3451" s="1539"/>
      <c r="T3451" s="1539"/>
      <c r="U3451" s="1539"/>
      <c r="V3451" s="1539"/>
      <c r="W3451" s="1539"/>
      <c r="X3451" s="1539"/>
      <c r="Y3451" s="1539"/>
      <c r="Z3451" s="1539"/>
      <c r="AA3451" s="1539"/>
      <c r="AB3451" s="1539"/>
      <c r="AC3451" s="1539"/>
      <c r="AD3451" s="1539"/>
      <c r="AE3451" s="1539"/>
      <c r="AF3451" s="1539"/>
      <c r="AG3451" s="1539"/>
      <c r="AH3451" s="1539"/>
      <c r="AI3451" s="1539"/>
      <c r="AJ3451" s="1539"/>
      <c r="AK3451" s="1539"/>
      <c r="AL3451" s="1539"/>
      <c r="AM3451" s="1539"/>
      <c r="AN3451" s="1539"/>
      <c r="AO3451" s="1539"/>
      <c r="AP3451" s="1539"/>
      <c r="AQ3451" s="1539"/>
      <c r="AR3451" s="1539"/>
      <c r="AS3451" s="1539"/>
      <c r="AT3451" s="1539"/>
      <c r="AU3451" s="1539"/>
      <c r="AV3451" s="1539"/>
      <c r="AW3451" s="1539"/>
      <c r="AX3451" s="1539"/>
      <c r="AY3451" s="1539"/>
      <c r="AZ3451" s="1539"/>
      <c r="BA3451" s="1539"/>
      <c r="BB3451" s="1539"/>
      <c r="BC3451" s="1539"/>
      <c r="BD3451" s="1539"/>
      <c r="BE3451" s="1539"/>
      <c r="BF3451" s="1539"/>
      <c r="BG3451" s="1539"/>
      <c r="BH3451" s="1539"/>
      <c r="BI3451" s="1539"/>
      <c r="BJ3451" s="1539"/>
      <c r="BK3451" s="1539"/>
      <c r="BL3451" s="1539"/>
      <c r="BM3451" s="1539"/>
      <c r="BN3451" s="1539"/>
      <c r="BO3451" s="1539"/>
      <c r="BP3451" s="1539"/>
      <c r="BQ3451" s="1539"/>
      <c r="BR3451" s="1539"/>
      <c r="BS3451" s="1539"/>
      <c r="BT3451" s="1539"/>
      <c r="BU3451" s="1539"/>
      <c r="BV3451" s="1539"/>
      <c r="BW3451" s="1539"/>
      <c r="BX3451" s="1539"/>
      <c r="BY3451" s="1539"/>
      <c r="BZ3451" s="1539"/>
      <c r="CA3451" s="1539"/>
      <c r="CB3451" s="1539"/>
      <c r="CC3451" s="1539"/>
      <c r="CD3451" s="1539"/>
      <c r="CE3451" s="1539"/>
      <c r="CF3451" s="1539"/>
      <c r="CG3451" s="1539"/>
      <c r="CH3451" s="1539"/>
      <c r="CI3451" s="1539"/>
      <c r="CJ3451" s="1539"/>
      <c r="CK3451" s="1539"/>
      <c r="CL3451" s="1539"/>
      <c r="CM3451" s="1539"/>
      <c r="CN3451" s="1539"/>
      <c r="CO3451" s="1539"/>
    </row>
    <row r="3452" spans="1:93" s="1542" customFormat="1" ht="15.5">
      <c r="A3452" s="1598" t="s">
        <v>3268</v>
      </c>
      <c r="B3452" s="1599" t="s">
        <v>3269</v>
      </c>
      <c r="C3452" s="1643" t="e">
        <f>+SUMIF(#REF!,Final!A3452,#REF!)</f>
        <v>#REF!</v>
      </c>
      <c r="D3452" s="1597" t="e">
        <f>+SUMIF(#REF!,Final!A3452,#REF!)</f>
        <v>#REF!</v>
      </c>
      <c r="E3452" s="1643" t="e">
        <f>SUMIF(#REF!,Final!A3452,#REF!)</f>
        <v>#REF!</v>
      </c>
      <c r="F3452" s="1644" t="e">
        <f>SUMIF(#REF!,Final!A3452,#REF!)</f>
        <v>#REF!</v>
      </c>
      <c r="G3452" s="1597" t="e">
        <f t="shared" si="376"/>
        <v>#REF!</v>
      </c>
      <c r="H3452" s="1644" t="e">
        <f t="shared" si="377"/>
        <v>#REF!</v>
      </c>
      <c r="I3452" s="1597" t="e">
        <f t="shared" si="378"/>
        <v>#REF!</v>
      </c>
      <c r="J3452" s="1644" t="e">
        <f t="shared" si="379"/>
        <v>#REF!</v>
      </c>
      <c r="K3452" s="1539"/>
      <c r="L3452" s="1539"/>
      <c r="M3452" s="1545"/>
      <c r="N3452" s="1545"/>
      <c r="O3452" s="1539"/>
      <c r="P3452" s="1539"/>
      <c r="Q3452" s="1539"/>
      <c r="R3452" s="1539"/>
      <c r="S3452" s="1539"/>
      <c r="T3452" s="1539"/>
      <c r="U3452" s="1539"/>
      <c r="V3452" s="1539"/>
      <c r="W3452" s="1539"/>
      <c r="X3452" s="1539"/>
      <c r="Y3452" s="1539"/>
      <c r="Z3452" s="1539"/>
      <c r="AA3452" s="1539"/>
      <c r="AB3452" s="1539"/>
      <c r="AC3452" s="1539"/>
      <c r="AD3452" s="1539"/>
      <c r="AE3452" s="1539"/>
      <c r="AF3452" s="1539"/>
      <c r="AG3452" s="1539"/>
      <c r="AH3452" s="1539"/>
      <c r="AI3452" s="1539"/>
      <c r="AJ3452" s="1539"/>
      <c r="AK3452" s="1539"/>
      <c r="AL3452" s="1539"/>
      <c r="AM3452" s="1539"/>
      <c r="AN3452" s="1539"/>
      <c r="AO3452" s="1539"/>
      <c r="AP3452" s="1539"/>
      <c r="AQ3452" s="1539"/>
      <c r="AR3452" s="1539"/>
      <c r="AS3452" s="1539"/>
      <c r="AT3452" s="1539"/>
      <c r="AU3452" s="1539"/>
      <c r="AV3452" s="1539"/>
      <c r="AW3452" s="1539"/>
      <c r="AX3452" s="1539"/>
      <c r="AY3452" s="1539"/>
      <c r="AZ3452" s="1539"/>
      <c r="BA3452" s="1539"/>
      <c r="BB3452" s="1539"/>
      <c r="BC3452" s="1539"/>
      <c r="BD3452" s="1539"/>
      <c r="BE3452" s="1539"/>
      <c r="BF3452" s="1539"/>
      <c r="BG3452" s="1539"/>
      <c r="BH3452" s="1539"/>
      <c r="BI3452" s="1539"/>
      <c r="BJ3452" s="1539"/>
      <c r="BK3452" s="1539"/>
      <c r="BL3452" s="1539"/>
      <c r="BM3452" s="1539"/>
      <c r="BN3452" s="1539"/>
      <c r="BO3452" s="1539"/>
      <c r="BP3452" s="1539"/>
      <c r="BQ3452" s="1539"/>
      <c r="BR3452" s="1539"/>
      <c r="BS3452" s="1539"/>
      <c r="BT3452" s="1539"/>
      <c r="BU3452" s="1539"/>
      <c r="BV3452" s="1539"/>
      <c r="BW3452" s="1539"/>
      <c r="BX3452" s="1539"/>
      <c r="BY3452" s="1539"/>
      <c r="BZ3452" s="1539"/>
      <c r="CA3452" s="1539"/>
      <c r="CB3452" s="1539"/>
      <c r="CC3452" s="1539"/>
      <c r="CD3452" s="1539"/>
      <c r="CE3452" s="1539"/>
      <c r="CF3452" s="1539"/>
      <c r="CG3452" s="1539"/>
      <c r="CH3452" s="1539"/>
      <c r="CI3452" s="1539"/>
      <c r="CJ3452" s="1539"/>
      <c r="CK3452" s="1539"/>
      <c r="CL3452" s="1539"/>
      <c r="CM3452" s="1539"/>
      <c r="CN3452" s="1539"/>
      <c r="CO3452" s="1539"/>
    </row>
    <row r="3453" spans="1:93" s="1542" customFormat="1" ht="15.5">
      <c r="A3453" s="1598">
        <v>79.52</v>
      </c>
      <c r="B3453" s="1599" t="s">
        <v>3270</v>
      </c>
      <c r="C3453" s="1643" t="e">
        <f>+SUMIF(#REF!,Final!A3453,#REF!)</f>
        <v>#REF!</v>
      </c>
      <c r="D3453" s="1597" t="e">
        <f>+SUMIF(#REF!,Final!A3453,#REF!)</f>
        <v>#REF!</v>
      </c>
      <c r="E3453" s="1643" t="e">
        <f>SUMIF(#REF!,Final!A3453,#REF!)</f>
        <v>#REF!</v>
      </c>
      <c r="F3453" s="1644" t="e">
        <f>SUMIF(#REF!,Final!A3453,#REF!)</f>
        <v>#REF!</v>
      </c>
      <c r="G3453" s="1597" t="e">
        <f t="shared" si="376"/>
        <v>#REF!</v>
      </c>
      <c r="H3453" s="1644" t="e">
        <f t="shared" si="377"/>
        <v>#REF!</v>
      </c>
      <c r="I3453" s="1597" t="e">
        <f t="shared" si="378"/>
        <v>#REF!</v>
      </c>
      <c r="J3453" s="1644" t="e">
        <f t="shared" si="379"/>
        <v>#REF!</v>
      </c>
      <c r="K3453" s="1539"/>
      <c r="L3453" s="1539"/>
      <c r="M3453" s="1545"/>
      <c r="N3453" s="1545"/>
      <c r="O3453" s="1539"/>
      <c r="P3453" s="1539"/>
      <c r="Q3453" s="1539"/>
      <c r="R3453" s="1539"/>
      <c r="S3453" s="1539"/>
      <c r="T3453" s="1539"/>
      <c r="U3453" s="1539"/>
      <c r="V3453" s="1539"/>
      <c r="W3453" s="1539"/>
      <c r="X3453" s="1539"/>
      <c r="Y3453" s="1539"/>
      <c r="Z3453" s="1539"/>
      <c r="AA3453" s="1539"/>
      <c r="AB3453" s="1539"/>
      <c r="AC3453" s="1539"/>
      <c r="AD3453" s="1539"/>
      <c r="AE3453" s="1539"/>
      <c r="AF3453" s="1539"/>
      <c r="AG3453" s="1539"/>
      <c r="AH3453" s="1539"/>
      <c r="AI3453" s="1539"/>
      <c r="AJ3453" s="1539"/>
      <c r="AK3453" s="1539"/>
      <c r="AL3453" s="1539"/>
      <c r="AM3453" s="1539"/>
      <c r="AN3453" s="1539"/>
      <c r="AO3453" s="1539"/>
      <c r="AP3453" s="1539"/>
      <c r="AQ3453" s="1539"/>
      <c r="AR3453" s="1539"/>
      <c r="AS3453" s="1539"/>
      <c r="AT3453" s="1539"/>
      <c r="AU3453" s="1539"/>
      <c r="AV3453" s="1539"/>
      <c r="AW3453" s="1539"/>
      <c r="AX3453" s="1539"/>
      <c r="AY3453" s="1539"/>
      <c r="AZ3453" s="1539"/>
      <c r="BA3453" s="1539"/>
      <c r="BB3453" s="1539"/>
      <c r="BC3453" s="1539"/>
      <c r="BD3453" s="1539"/>
      <c r="BE3453" s="1539"/>
      <c r="BF3453" s="1539"/>
      <c r="BG3453" s="1539"/>
      <c r="BH3453" s="1539"/>
      <c r="BI3453" s="1539"/>
      <c r="BJ3453" s="1539"/>
      <c r="BK3453" s="1539"/>
      <c r="BL3453" s="1539"/>
      <c r="BM3453" s="1539"/>
      <c r="BN3453" s="1539"/>
      <c r="BO3453" s="1539"/>
      <c r="BP3453" s="1539"/>
      <c r="BQ3453" s="1539"/>
      <c r="BR3453" s="1539"/>
      <c r="BS3453" s="1539"/>
      <c r="BT3453" s="1539"/>
      <c r="BU3453" s="1539"/>
      <c r="BV3453" s="1539"/>
      <c r="BW3453" s="1539"/>
      <c r="BX3453" s="1539"/>
      <c r="BY3453" s="1539"/>
      <c r="BZ3453" s="1539"/>
      <c r="CA3453" s="1539"/>
      <c r="CB3453" s="1539"/>
      <c r="CC3453" s="1539"/>
      <c r="CD3453" s="1539"/>
      <c r="CE3453" s="1539"/>
      <c r="CF3453" s="1539"/>
      <c r="CG3453" s="1539"/>
      <c r="CH3453" s="1539"/>
      <c r="CI3453" s="1539"/>
      <c r="CJ3453" s="1539"/>
      <c r="CK3453" s="1539"/>
      <c r="CL3453" s="1539"/>
      <c r="CM3453" s="1539"/>
      <c r="CN3453" s="1539"/>
      <c r="CO3453" s="1539"/>
    </row>
    <row r="3454" spans="1:93" s="1552" customFormat="1" ht="15.5">
      <c r="A3454" s="1598"/>
      <c r="B3454" s="1599" t="s">
        <v>1747</v>
      </c>
      <c r="C3454" s="1643" t="e">
        <f>+SUMIF(#REF!,Final!A3454,#REF!)</f>
        <v>#REF!</v>
      </c>
      <c r="D3454" s="1597" t="e">
        <f>+SUMIF(#REF!,Final!A3454,#REF!)</f>
        <v>#REF!</v>
      </c>
      <c r="E3454" s="1643" t="e">
        <f>SUMIF(#REF!,Final!A3454,#REF!)</f>
        <v>#REF!</v>
      </c>
      <c r="F3454" s="1644" t="e">
        <f>SUMIF(#REF!,Final!A3454,#REF!)</f>
        <v>#REF!</v>
      </c>
      <c r="G3454" s="1597" t="e">
        <f t="shared" si="376"/>
        <v>#REF!</v>
      </c>
      <c r="H3454" s="1644" t="e">
        <f t="shared" si="377"/>
        <v>#REF!</v>
      </c>
      <c r="I3454" s="1597" t="e">
        <f t="shared" si="378"/>
        <v>#REF!</v>
      </c>
      <c r="J3454" s="1644" t="e">
        <f t="shared" si="379"/>
        <v>#REF!</v>
      </c>
      <c r="K3454" s="1539"/>
      <c r="L3454" s="1539"/>
      <c r="M3454" s="1545"/>
      <c r="N3454" s="1545"/>
      <c r="O3454" s="1539"/>
      <c r="P3454" s="1539"/>
      <c r="Q3454" s="1539"/>
      <c r="R3454" s="1539"/>
      <c r="S3454" s="1539"/>
      <c r="T3454" s="1539"/>
      <c r="U3454" s="1539"/>
      <c r="V3454" s="1539"/>
      <c r="W3454" s="1539"/>
      <c r="X3454" s="1539"/>
      <c r="Y3454" s="1539"/>
      <c r="Z3454" s="1539"/>
      <c r="AA3454" s="1539"/>
      <c r="AB3454" s="1539"/>
      <c r="AC3454" s="1539"/>
      <c r="AD3454" s="1539"/>
      <c r="AE3454" s="1539"/>
      <c r="AF3454" s="1539"/>
      <c r="AG3454" s="1539"/>
      <c r="AH3454" s="1539"/>
      <c r="AI3454" s="1539"/>
      <c r="AJ3454" s="1539"/>
      <c r="AK3454" s="1539"/>
      <c r="AL3454" s="1539"/>
      <c r="AM3454" s="1539"/>
      <c r="AN3454" s="1539"/>
      <c r="AO3454" s="1539"/>
      <c r="AP3454" s="1539"/>
      <c r="AQ3454" s="1539"/>
      <c r="AR3454" s="1539"/>
      <c r="AS3454" s="1539"/>
      <c r="AT3454" s="1539"/>
      <c r="AU3454" s="1539"/>
      <c r="AV3454" s="1539"/>
      <c r="AW3454" s="1539"/>
      <c r="AX3454" s="1539"/>
      <c r="AY3454" s="1539"/>
      <c r="AZ3454" s="1539"/>
      <c r="BA3454" s="1539"/>
      <c r="BB3454" s="1539"/>
      <c r="BC3454" s="1539"/>
      <c r="BD3454" s="1539"/>
      <c r="BE3454" s="1539"/>
      <c r="BF3454" s="1539"/>
      <c r="BG3454" s="1539"/>
      <c r="BH3454" s="1539"/>
      <c r="BI3454" s="1539"/>
      <c r="BJ3454" s="1539"/>
      <c r="BK3454" s="1539"/>
      <c r="BL3454" s="1539"/>
      <c r="BM3454" s="1539"/>
      <c r="BN3454" s="1539"/>
      <c r="BO3454" s="1539"/>
      <c r="BP3454" s="1539"/>
      <c r="BQ3454" s="1539"/>
      <c r="BR3454" s="1539"/>
      <c r="BS3454" s="1539"/>
      <c r="BT3454" s="1539"/>
      <c r="BU3454" s="1539"/>
      <c r="BV3454" s="1539"/>
      <c r="BW3454" s="1539"/>
      <c r="BX3454" s="1539"/>
      <c r="BY3454" s="1539"/>
      <c r="BZ3454" s="1539"/>
      <c r="CA3454" s="1539"/>
      <c r="CB3454" s="1539"/>
      <c r="CC3454" s="1539"/>
      <c r="CD3454" s="1539"/>
      <c r="CE3454" s="1539"/>
      <c r="CF3454" s="1539"/>
      <c r="CG3454" s="1539"/>
      <c r="CH3454" s="1539"/>
      <c r="CI3454" s="1539"/>
      <c r="CJ3454" s="1539"/>
      <c r="CK3454" s="1539"/>
      <c r="CL3454" s="1539"/>
      <c r="CM3454" s="1539"/>
      <c r="CN3454" s="1539"/>
      <c r="CO3454" s="1539"/>
    </row>
    <row r="3455" spans="1:93" s="1552" customFormat="1" ht="15.5">
      <c r="A3455" s="1598"/>
      <c r="B3455" s="1599" t="s">
        <v>1760</v>
      </c>
      <c r="C3455" s="1643" t="e">
        <f>+SUMIF(#REF!,Final!A3455,#REF!)</f>
        <v>#REF!</v>
      </c>
      <c r="D3455" s="1597" t="e">
        <f>+SUMIF(#REF!,Final!A3455,#REF!)</f>
        <v>#REF!</v>
      </c>
      <c r="E3455" s="1643" t="e">
        <f>SUMIF(#REF!,Final!A3455,#REF!)</f>
        <v>#REF!</v>
      </c>
      <c r="F3455" s="1644" t="e">
        <f>SUMIF(#REF!,Final!A3455,#REF!)</f>
        <v>#REF!</v>
      </c>
      <c r="G3455" s="1597" t="e">
        <f t="shared" si="376"/>
        <v>#REF!</v>
      </c>
      <c r="H3455" s="1644" t="e">
        <f t="shared" si="377"/>
        <v>#REF!</v>
      </c>
      <c r="I3455" s="1597" t="e">
        <f t="shared" si="378"/>
        <v>#REF!</v>
      </c>
      <c r="J3455" s="1644" t="e">
        <f t="shared" si="379"/>
        <v>#REF!</v>
      </c>
      <c r="K3455" s="1539"/>
      <c r="L3455" s="1539"/>
      <c r="M3455" s="1545"/>
      <c r="N3455" s="1545"/>
      <c r="O3455" s="1539"/>
      <c r="P3455" s="1539"/>
      <c r="Q3455" s="1539"/>
      <c r="R3455" s="1539"/>
      <c r="S3455" s="1539"/>
      <c r="T3455" s="1539"/>
      <c r="U3455" s="1539"/>
      <c r="V3455" s="1539"/>
      <c r="W3455" s="1539"/>
      <c r="X3455" s="1539"/>
      <c r="Y3455" s="1539"/>
      <c r="Z3455" s="1539"/>
      <c r="AA3455" s="1539"/>
      <c r="AB3455" s="1539"/>
      <c r="AC3455" s="1539"/>
      <c r="AD3455" s="1539"/>
      <c r="AE3455" s="1539"/>
      <c r="AF3455" s="1539"/>
      <c r="AG3455" s="1539"/>
      <c r="AH3455" s="1539"/>
      <c r="AI3455" s="1539"/>
      <c r="AJ3455" s="1539"/>
      <c r="AK3455" s="1539"/>
      <c r="AL3455" s="1539"/>
      <c r="AM3455" s="1539"/>
      <c r="AN3455" s="1539"/>
      <c r="AO3455" s="1539"/>
      <c r="AP3455" s="1539"/>
      <c r="AQ3455" s="1539"/>
      <c r="AR3455" s="1539"/>
      <c r="AS3455" s="1539"/>
      <c r="AT3455" s="1539"/>
      <c r="AU3455" s="1539"/>
      <c r="AV3455" s="1539"/>
      <c r="AW3455" s="1539"/>
      <c r="AX3455" s="1539"/>
      <c r="AY3455" s="1539"/>
      <c r="AZ3455" s="1539"/>
      <c r="BA3455" s="1539"/>
      <c r="BB3455" s="1539"/>
      <c r="BC3455" s="1539"/>
      <c r="BD3455" s="1539"/>
      <c r="BE3455" s="1539"/>
      <c r="BF3455" s="1539"/>
      <c r="BG3455" s="1539"/>
      <c r="BH3455" s="1539"/>
      <c r="BI3455" s="1539"/>
      <c r="BJ3455" s="1539"/>
      <c r="BK3455" s="1539"/>
      <c r="BL3455" s="1539"/>
      <c r="BM3455" s="1539"/>
      <c r="BN3455" s="1539"/>
      <c r="BO3455" s="1539"/>
      <c r="BP3455" s="1539"/>
      <c r="BQ3455" s="1539"/>
      <c r="BR3455" s="1539"/>
      <c r="BS3455" s="1539"/>
      <c r="BT3455" s="1539"/>
      <c r="BU3455" s="1539"/>
      <c r="BV3455" s="1539"/>
      <c r="BW3455" s="1539"/>
      <c r="BX3455" s="1539"/>
      <c r="BY3455" s="1539"/>
      <c r="BZ3455" s="1539"/>
      <c r="CA3455" s="1539"/>
      <c r="CB3455" s="1539"/>
      <c r="CC3455" s="1539"/>
      <c r="CD3455" s="1539"/>
      <c r="CE3455" s="1539"/>
      <c r="CF3455" s="1539"/>
      <c r="CG3455" s="1539"/>
      <c r="CH3455" s="1539"/>
      <c r="CI3455" s="1539"/>
      <c r="CJ3455" s="1539"/>
      <c r="CK3455" s="1539"/>
      <c r="CL3455" s="1539"/>
      <c r="CM3455" s="1539"/>
      <c r="CN3455" s="1539"/>
      <c r="CO3455" s="1539"/>
    </row>
    <row r="3456" spans="1:93" s="1542" customFormat="1" ht="15.5">
      <c r="A3456" s="1598">
        <v>35</v>
      </c>
      <c r="B3456" s="1599" t="s">
        <v>3207</v>
      </c>
      <c r="C3456" s="1643" t="e">
        <f>+SUMIF(#REF!,Final!A3456,#REF!)</f>
        <v>#REF!</v>
      </c>
      <c r="D3456" s="1597" t="e">
        <f>+SUMIF(#REF!,Final!A3456,#REF!)</f>
        <v>#REF!</v>
      </c>
      <c r="E3456" s="1643" t="e">
        <f>SUMIF(#REF!,Final!A3456,#REF!)</f>
        <v>#REF!</v>
      </c>
      <c r="F3456" s="1644" t="e">
        <f>SUMIF(#REF!,Final!A3456,#REF!)</f>
        <v>#REF!</v>
      </c>
      <c r="G3456" s="1597" t="e">
        <f t="shared" si="376"/>
        <v>#REF!</v>
      </c>
      <c r="H3456" s="1644" t="e">
        <f t="shared" si="377"/>
        <v>#REF!</v>
      </c>
      <c r="I3456" s="1597" t="e">
        <f t="shared" si="378"/>
        <v>#REF!</v>
      </c>
      <c r="J3456" s="1644" t="e">
        <f t="shared" si="379"/>
        <v>#REF!</v>
      </c>
      <c r="K3456" s="1539"/>
      <c r="L3456" s="1539"/>
      <c r="M3456" s="1545"/>
      <c r="N3456" s="1545"/>
      <c r="O3456" s="1539"/>
      <c r="P3456" s="1539"/>
      <c r="Q3456" s="1539"/>
      <c r="R3456" s="1539"/>
      <c r="S3456" s="1539"/>
      <c r="T3456" s="1539"/>
      <c r="U3456" s="1539"/>
      <c r="V3456" s="1539"/>
      <c r="W3456" s="1539"/>
      <c r="X3456" s="1539"/>
      <c r="Y3456" s="1539"/>
      <c r="Z3456" s="1539"/>
      <c r="AA3456" s="1539"/>
      <c r="AB3456" s="1539"/>
      <c r="AC3456" s="1539"/>
      <c r="AD3456" s="1539"/>
      <c r="AE3456" s="1539"/>
      <c r="AF3456" s="1539"/>
      <c r="AG3456" s="1539"/>
      <c r="AH3456" s="1539"/>
      <c r="AI3456" s="1539"/>
      <c r="AJ3456" s="1539"/>
      <c r="AK3456" s="1539"/>
      <c r="AL3456" s="1539"/>
      <c r="AM3456" s="1539"/>
      <c r="AN3456" s="1539"/>
      <c r="AO3456" s="1539"/>
      <c r="AP3456" s="1539"/>
      <c r="AQ3456" s="1539"/>
      <c r="AR3456" s="1539"/>
      <c r="AS3456" s="1539"/>
      <c r="AT3456" s="1539"/>
      <c r="AU3456" s="1539"/>
      <c r="AV3456" s="1539"/>
      <c r="AW3456" s="1539"/>
      <c r="AX3456" s="1539"/>
      <c r="AY3456" s="1539"/>
      <c r="AZ3456" s="1539"/>
      <c r="BA3456" s="1539"/>
      <c r="BB3456" s="1539"/>
      <c r="BC3456" s="1539"/>
      <c r="BD3456" s="1539"/>
      <c r="BE3456" s="1539"/>
      <c r="BF3456" s="1539"/>
      <c r="BG3456" s="1539"/>
      <c r="BH3456" s="1539"/>
      <c r="BI3456" s="1539"/>
      <c r="BJ3456" s="1539"/>
      <c r="BK3456" s="1539"/>
      <c r="BL3456" s="1539"/>
      <c r="BM3456" s="1539"/>
      <c r="BN3456" s="1539"/>
      <c r="BO3456" s="1539"/>
      <c r="BP3456" s="1539"/>
      <c r="BQ3456" s="1539"/>
      <c r="BR3456" s="1539"/>
      <c r="BS3456" s="1539"/>
      <c r="BT3456" s="1539"/>
      <c r="BU3456" s="1539"/>
      <c r="BV3456" s="1539"/>
      <c r="BW3456" s="1539"/>
      <c r="BX3456" s="1539"/>
      <c r="BY3456" s="1539"/>
      <c r="BZ3456" s="1539"/>
      <c r="CA3456" s="1539"/>
      <c r="CB3456" s="1539"/>
      <c r="CC3456" s="1539"/>
      <c r="CD3456" s="1539"/>
      <c r="CE3456" s="1539"/>
      <c r="CF3456" s="1539"/>
      <c r="CG3456" s="1539"/>
      <c r="CH3456" s="1539"/>
      <c r="CI3456" s="1539"/>
      <c r="CJ3456" s="1539"/>
      <c r="CK3456" s="1539"/>
      <c r="CL3456" s="1539"/>
      <c r="CM3456" s="1539"/>
      <c r="CN3456" s="1539"/>
      <c r="CO3456" s="1539"/>
    </row>
    <row r="3457" spans="1:93" s="1542" customFormat="1" ht="15.5">
      <c r="A3457" s="1598" t="s">
        <v>1851</v>
      </c>
      <c r="B3457" s="1599" t="s">
        <v>3271</v>
      </c>
      <c r="C3457" s="1643" t="e">
        <f>+SUMIF(#REF!,Final!A3457,#REF!)</f>
        <v>#REF!</v>
      </c>
      <c r="D3457" s="1597" t="e">
        <f>+SUMIF(#REF!,Final!A3457,#REF!)</f>
        <v>#REF!</v>
      </c>
      <c r="E3457" s="1643" t="e">
        <f>SUMIF(#REF!,Final!A3457,#REF!)</f>
        <v>#REF!</v>
      </c>
      <c r="F3457" s="1644" t="e">
        <f>SUMIF(#REF!,Final!A3457,#REF!)</f>
        <v>#REF!</v>
      </c>
      <c r="G3457" s="1597" t="e">
        <f t="shared" si="376"/>
        <v>#REF!</v>
      </c>
      <c r="H3457" s="1644" t="e">
        <f t="shared" si="377"/>
        <v>#REF!</v>
      </c>
      <c r="I3457" s="1597" t="e">
        <f t="shared" si="378"/>
        <v>#REF!</v>
      </c>
      <c r="J3457" s="1644" t="e">
        <f t="shared" si="379"/>
        <v>#REF!</v>
      </c>
      <c r="K3457" s="1539"/>
      <c r="L3457" s="1539"/>
      <c r="M3457" s="1545"/>
      <c r="N3457" s="1545"/>
      <c r="O3457" s="1539"/>
      <c r="P3457" s="1539"/>
      <c r="Q3457" s="1539"/>
      <c r="R3457" s="1539"/>
      <c r="S3457" s="1539"/>
      <c r="T3457" s="1539"/>
      <c r="U3457" s="1539"/>
      <c r="V3457" s="1539"/>
      <c r="W3457" s="1539"/>
      <c r="X3457" s="1539"/>
      <c r="Y3457" s="1539"/>
      <c r="Z3457" s="1539"/>
      <c r="AA3457" s="1539"/>
      <c r="AB3457" s="1539"/>
      <c r="AC3457" s="1539"/>
      <c r="AD3457" s="1539"/>
      <c r="AE3457" s="1539"/>
      <c r="AF3457" s="1539"/>
      <c r="AG3457" s="1539"/>
      <c r="AH3457" s="1539"/>
      <c r="AI3457" s="1539"/>
      <c r="AJ3457" s="1539"/>
      <c r="AK3457" s="1539"/>
      <c r="AL3457" s="1539"/>
      <c r="AM3457" s="1539"/>
      <c r="AN3457" s="1539"/>
      <c r="AO3457" s="1539"/>
      <c r="AP3457" s="1539"/>
      <c r="AQ3457" s="1539"/>
      <c r="AR3457" s="1539"/>
      <c r="AS3457" s="1539"/>
      <c r="AT3457" s="1539"/>
      <c r="AU3457" s="1539"/>
      <c r="AV3457" s="1539"/>
      <c r="AW3457" s="1539"/>
      <c r="AX3457" s="1539"/>
      <c r="AY3457" s="1539"/>
      <c r="AZ3457" s="1539"/>
      <c r="BA3457" s="1539"/>
      <c r="BB3457" s="1539"/>
      <c r="BC3457" s="1539"/>
      <c r="BD3457" s="1539"/>
      <c r="BE3457" s="1539"/>
      <c r="BF3457" s="1539"/>
      <c r="BG3457" s="1539"/>
      <c r="BH3457" s="1539"/>
      <c r="BI3457" s="1539"/>
      <c r="BJ3457" s="1539"/>
      <c r="BK3457" s="1539"/>
      <c r="BL3457" s="1539"/>
      <c r="BM3457" s="1539"/>
      <c r="BN3457" s="1539"/>
      <c r="BO3457" s="1539"/>
      <c r="BP3457" s="1539"/>
      <c r="BQ3457" s="1539"/>
      <c r="BR3457" s="1539"/>
      <c r="BS3457" s="1539"/>
      <c r="BT3457" s="1539"/>
      <c r="BU3457" s="1539"/>
      <c r="BV3457" s="1539"/>
      <c r="BW3457" s="1539"/>
      <c r="BX3457" s="1539"/>
      <c r="BY3457" s="1539"/>
      <c r="BZ3457" s="1539"/>
      <c r="CA3457" s="1539"/>
      <c r="CB3457" s="1539"/>
      <c r="CC3457" s="1539"/>
      <c r="CD3457" s="1539"/>
      <c r="CE3457" s="1539"/>
      <c r="CF3457" s="1539"/>
      <c r="CG3457" s="1539"/>
      <c r="CH3457" s="1539"/>
      <c r="CI3457" s="1539"/>
      <c r="CJ3457" s="1539"/>
      <c r="CK3457" s="1539"/>
      <c r="CL3457" s="1539"/>
      <c r="CM3457" s="1539"/>
      <c r="CN3457" s="1539"/>
      <c r="CO3457" s="1539"/>
    </row>
    <row r="3458" spans="1:93" ht="15.5">
      <c r="A3458" s="1598">
        <v>79.53</v>
      </c>
      <c r="B3458" s="1599" t="s">
        <v>3272</v>
      </c>
      <c r="C3458" s="1643" t="e">
        <f>+SUMIF(#REF!,Final!A3458,#REF!)</f>
        <v>#REF!</v>
      </c>
      <c r="D3458" s="1597" t="e">
        <f>+SUMIF(#REF!,Final!A3458,#REF!)</f>
        <v>#REF!</v>
      </c>
      <c r="E3458" s="1643" t="e">
        <f>SUMIF(#REF!,Final!A3458,#REF!)</f>
        <v>#REF!</v>
      </c>
      <c r="F3458" s="1644" t="e">
        <f>SUMIF(#REF!,Final!A3458,#REF!)</f>
        <v>#REF!</v>
      </c>
      <c r="G3458" s="1597" t="e">
        <f t="shared" ref="G3458:G3507" si="380">C3458+E3458</f>
        <v>#REF!</v>
      </c>
      <c r="H3458" s="1644" t="e">
        <f t="shared" ref="H3458:H3507" si="381">D3458+F3458</f>
        <v>#REF!</v>
      </c>
      <c r="I3458" s="1597" t="e">
        <f t="shared" ref="I3458:I3507" si="382">IF(G3458&gt;H3458,G3458-H3458,0)</f>
        <v>#REF!</v>
      </c>
      <c r="J3458" s="1644" t="e">
        <f t="shared" ref="J3458:J3507" si="383">IF(H3458&gt;G3458,H3458-G3458,0)</f>
        <v>#REF!</v>
      </c>
      <c r="M3458" s="1545"/>
      <c r="N3458" s="1545"/>
    </row>
    <row r="3459" spans="1:93" ht="15.5">
      <c r="A3459" s="1598">
        <v>79.531000000000006</v>
      </c>
      <c r="B3459" s="1599" t="s">
        <v>3273</v>
      </c>
      <c r="C3459" s="1643" t="e">
        <f>+SUMIF(#REF!,Final!A3459,#REF!)</f>
        <v>#REF!</v>
      </c>
      <c r="D3459" s="1597" t="e">
        <f>+SUMIF(#REF!,Final!A3459,#REF!)</f>
        <v>#REF!</v>
      </c>
      <c r="E3459" s="1643" t="e">
        <f>SUMIF(#REF!,Final!A3459,#REF!)</f>
        <v>#REF!</v>
      </c>
      <c r="F3459" s="1644" t="e">
        <f>SUMIF(#REF!,Final!A3459,#REF!)</f>
        <v>#REF!</v>
      </c>
      <c r="G3459" s="1597" t="e">
        <f t="shared" si="380"/>
        <v>#REF!</v>
      </c>
      <c r="H3459" s="1644" t="e">
        <f t="shared" si="381"/>
        <v>#REF!</v>
      </c>
      <c r="I3459" s="1597" t="e">
        <f t="shared" si="382"/>
        <v>#REF!</v>
      </c>
      <c r="J3459" s="1644" t="e">
        <f t="shared" si="383"/>
        <v>#REF!</v>
      </c>
      <c r="M3459" s="1545"/>
      <c r="N3459" s="1545"/>
    </row>
    <row r="3460" spans="1:93" s="1552" customFormat="1" ht="15.5">
      <c r="A3460" s="1598"/>
      <c r="B3460" s="1599" t="s">
        <v>1747</v>
      </c>
      <c r="C3460" s="1643" t="e">
        <f>+SUMIF(#REF!,Final!A3460,#REF!)</f>
        <v>#REF!</v>
      </c>
      <c r="D3460" s="1597" t="e">
        <f>+SUMIF(#REF!,Final!A3460,#REF!)</f>
        <v>#REF!</v>
      </c>
      <c r="E3460" s="1643" t="e">
        <f>SUMIF(#REF!,Final!A3460,#REF!)</f>
        <v>#REF!</v>
      </c>
      <c r="F3460" s="1644" t="e">
        <f>SUMIF(#REF!,Final!A3460,#REF!)</f>
        <v>#REF!</v>
      </c>
      <c r="G3460" s="1597" t="e">
        <f t="shared" si="380"/>
        <v>#REF!</v>
      </c>
      <c r="H3460" s="1644" t="e">
        <f t="shared" si="381"/>
        <v>#REF!</v>
      </c>
      <c r="I3460" s="1597" t="e">
        <f t="shared" si="382"/>
        <v>#REF!</v>
      </c>
      <c r="J3460" s="1644" t="e">
        <f t="shared" si="383"/>
        <v>#REF!</v>
      </c>
      <c r="K3460" s="1539"/>
      <c r="L3460" s="1539"/>
      <c r="M3460" s="1545"/>
      <c r="N3460" s="1545"/>
      <c r="O3460" s="1539"/>
      <c r="P3460" s="1539"/>
      <c r="Q3460" s="1539"/>
      <c r="R3460" s="1539"/>
      <c r="S3460" s="1539"/>
      <c r="T3460" s="1539"/>
      <c r="U3460" s="1539"/>
      <c r="V3460" s="1539"/>
      <c r="W3460" s="1539"/>
      <c r="X3460" s="1539"/>
      <c r="Y3460" s="1539"/>
      <c r="Z3460" s="1539"/>
      <c r="AA3460" s="1539"/>
      <c r="AB3460" s="1539"/>
      <c r="AC3460" s="1539"/>
      <c r="AD3460" s="1539"/>
      <c r="AE3460" s="1539"/>
      <c r="AF3460" s="1539"/>
      <c r="AG3460" s="1539"/>
      <c r="AH3460" s="1539"/>
      <c r="AI3460" s="1539"/>
      <c r="AJ3460" s="1539"/>
      <c r="AK3460" s="1539"/>
      <c r="AL3460" s="1539"/>
      <c r="AM3460" s="1539"/>
      <c r="AN3460" s="1539"/>
      <c r="AO3460" s="1539"/>
      <c r="AP3460" s="1539"/>
      <c r="AQ3460" s="1539"/>
      <c r="AR3460" s="1539"/>
      <c r="AS3460" s="1539"/>
      <c r="AT3460" s="1539"/>
      <c r="AU3460" s="1539"/>
      <c r="AV3460" s="1539"/>
      <c r="AW3460" s="1539"/>
      <c r="AX3460" s="1539"/>
      <c r="AY3460" s="1539"/>
      <c r="AZ3460" s="1539"/>
      <c r="BA3460" s="1539"/>
      <c r="BB3460" s="1539"/>
      <c r="BC3460" s="1539"/>
      <c r="BD3460" s="1539"/>
      <c r="BE3460" s="1539"/>
      <c r="BF3460" s="1539"/>
      <c r="BG3460" s="1539"/>
      <c r="BH3460" s="1539"/>
      <c r="BI3460" s="1539"/>
      <c r="BJ3460" s="1539"/>
      <c r="BK3460" s="1539"/>
      <c r="BL3460" s="1539"/>
      <c r="BM3460" s="1539"/>
      <c r="BN3460" s="1539"/>
      <c r="BO3460" s="1539"/>
      <c r="BP3460" s="1539"/>
      <c r="BQ3460" s="1539"/>
      <c r="BR3460" s="1539"/>
      <c r="BS3460" s="1539"/>
      <c r="BT3460" s="1539"/>
      <c r="BU3460" s="1539"/>
      <c r="BV3460" s="1539"/>
      <c r="BW3460" s="1539"/>
      <c r="BX3460" s="1539"/>
      <c r="BY3460" s="1539"/>
      <c r="BZ3460" s="1539"/>
      <c r="CA3460" s="1539"/>
      <c r="CB3460" s="1539"/>
      <c r="CC3460" s="1539"/>
      <c r="CD3460" s="1539"/>
      <c r="CE3460" s="1539"/>
      <c r="CF3460" s="1539"/>
      <c r="CG3460" s="1539"/>
      <c r="CH3460" s="1539"/>
      <c r="CI3460" s="1539"/>
      <c r="CJ3460" s="1539"/>
      <c r="CK3460" s="1539"/>
      <c r="CL3460" s="1539"/>
      <c r="CM3460" s="1539"/>
      <c r="CN3460" s="1539"/>
      <c r="CO3460" s="1539"/>
    </row>
    <row r="3461" spans="1:93" s="1552" customFormat="1" ht="15.5">
      <c r="A3461" s="1598"/>
      <c r="B3461" s="1599" t="s">
        <v>1760</v>
      </c>
      <c r="C3461" s="1643" t="e">
        <f>+SUMIF(#REF!,Final!A3461,#REF!)</f>
        <v>#REF!</v>
      </c>
      <c r="D3461" s="1597" t="e">
        <f>+SUMIF(#REF!,Final!A3461,#REF!)</f>
        <v>#REF!</v>
      </c>
      <c r="E3461" s="1643" t="e">
        <f>SUMIF(#REF!,Final!A3461,#REF!)</f>
        <v>#REF!</v>
      </c>
      <c r="F3461" s="1644" t="e">
        <f>SUMIF(#REF!,Final!A3461,#REF!)</f>
        <v>#REF!</v>
      </c>
      <c r="G3461" s="1597" t="e">
        <f t="shared" si="380"/>
        <v>#REF!</v>
      </c>
      <c r="H3461" s="1644" t="e">
        <f t="shared" si="381"/>
        <v>#REF!</v>
      </c>
      <c r="I3461" s="1597" t="e">
        <f t="shared" si="382"/>
        <v>#REF!</v>
      </c>
      <c r="J3461" s="1644" t="e">
        <f t="shared" si="383"/>
        <v>#REF!</v>
      </c>
      <c r="K3461" s="1539"/>
      <c r="L3461" s="1539"/>
      <c r="M3461" s="1545"/>
      <c r="N3461" s="1545"/>
      <c r="O3461" s="1539"/>
      <c r="P3461" s="1539"/>
      <c r="Q3461" s="1539"/>
      <c r="R3461" s="1539"/>
      <c r="S3461" s="1539"/>
      <c r="T3461" s="1539"/>
      <c r="U3461" s="1539"/>
      <c r="V3461" s="1539"/>
      <c r="W3461" s="1539"/>
      <c r="X3461" s="1539"/>
      <c r="Y3461" s="1539"/>
      <c r="Z3461" s="1539"/>
      <c r="AA3461" s="1539"/>
      <c r="AB3461" s="1539"/>
      <c r="AC3461" s="1539"/>
      <c r="AD3461" s="1539"/>
      <c r="AE3461" s="1539"/>
      <c r="AF3461" s="1539"/>
      <c r="AG3461" s="1539"/>
      <c r="AH3461" s="1539"/>
      <c r="AI3461" s="1539"/>
      <c r="AJ3461" s="1539"/>
      <c r="AK3461" s="1539"/>
      <c r="AL3461" s="1539"/>
      <c r="AM3461" s="1539"/>
      <c r="AN3461" s="1539"/>
      <c r="AO3461" s="1539"/>
      <c r="AP3461" s="1539"/>
      <c r="AQ3461" s="1539"/>
      <c r="AR3461" s="1539"/>
      <c r="AS3461" s="1539"/>
      <c r="AT3461" s="1539"/>
      <c r="AU3461" s="1539"/>
      <c r="AV3461" s="1539"/>
      <c r="AW3461" s="1539"/>
      <c r="AX3461" s="1539"/>
      <c r="AY3461" s="1539"/>
      <c r="AZ3461" s="1539"/>
      <c r="BA3461" s="1539"/>
      <c r="BB3461" s="1539"/>
      <c r="BC3461" s="1539"/>
      <c r="BD3461" s="1539"/>
      <c r="BE3461" s="1539"/>
      <c r="BF3461" s="1539"/>
      <c r="BG3461" s="1539"/>
      <c r="BH3461" s="1539"/>
      <c r="BI3461" s="1539"/>
      <c r="BJ3461" s="1539"/>
      <c r="BK3461" s="1539"/>
      <c r="BL3461" s="1539"/>
      <c r="BM3461" s="1539"/>
      <c r="BN3461" s="1539"/>
      <c r="BO3461" s="1539"/>
      <c r="BP3461" s="1539"/>
      <c r="BQ3461" s="1539"/>
      <c r="BR3461" s="1539"/>
      <c r="BS3461" s="1539"/>
      <c r="BT3461" s="1539"/>
      <c r="BU3461" s="1539"/>
      <c r="BV3461" s="1539"/>
      <c r="BW3461" s="1539"/>
      <c r="BX3461" s="1539"/>
      <c r="BY3461" s="1539"/>
      <c r="BZ3461" s="1539"/>
      <c r="CA3461" s="1539"/>
      <c r="CB3461" s="1539"/>
      <c r="CC3461" s="1539"/>
      <c r="CD3461" s="1539"/>
      <c r="CE3461" s="1539"/>
      <c r="CF3461" s="1539"/>
      <c r="CG3461" s="1539"/>
      <c r="CH3461" s="1539"/>
      <c r="CI3461" s="1539"/>
      <c r="CJ3461" s="1539"/>
      <c r="CK3461" s="1539"/>
      <c r="CL3461" s="1539"/>
      <c r="CM3461" s="1539"/>
      <c r="CN3461" s="1539"/>
      <c r="CO3461" s="1539"/>
    </row>
    <row r="3462" spans="1:93" s="1542" customFormat="1" ht="15.5">
      <c r="A3462" s="1598">
        <v>35</v>
      </c>
      <c r="B3462" s="1599" t="s">
        <v>3207</v>
      </c>
      <c r="C3462" s="1643" t="e">
        <f>+SUMIF(#REF!,Final!A3462,#REF!)</f>
        <v>#REF!</v>
      </c>
      <c r="D3462" s="1597" t="e">
        <f>+SUMIF(#REF!,Final!A3462,#REF!)</f>
        <v>#REF!</v>
      </c>
      <c r="E3462" s="1643" t="e">
        <f>SUMIF(#REF!,Final!A3462,#REF!)</f>
        <v>#REF!</v>
      </c>
      <c r="F3462" s="1644" t="e">
        <f>SUMIF(#REF!,Final!A3462,#REF!)</f>
        <v>#REF!</v>
      </c>
      <c r="G3462" s="1597" t="e">
        <f t="shared" si="380"/>
        <v>#REF!</v>
      </c>
      <c r="H3462" s="1644" t="e">
        <f t="shared" si="381"/>
        <v>#REF!</v>
      </c>
      <c r="I3462" s="1597" t="e">
        <f t="shared" si="382"/>
        <v>#REF!</v>
      </c>
      <c r="J3462" s="1644" t="e">
        <f t="shared" si="383"/>
        <v>#REF!</v>
      </c>
      <c r="K3462" s="1539"/>
      <c r="L3462" s="1539"/>
      <c r="M3462" s="1545"/>
      <c r="N3462" s="1545"/>
      <c r="O3462" s="1539"/>
      <c r="P3462" s="1539"/>
      <c r="Q3462" s="1539"/>
      <c r="R3462" s="1539"/>
      <c r="S3462" s="1539"/>
      <c r="T3462" s="1539"/>
      <c r="U3462" s="1539"/>
      <c r="V3462" s="1539"/>
      <c r="W3462" s="1539"/>
      <c r="X3462" s="1539"/>
      <c r="Y3462" s="1539"/>
      <c r="Z3462" s="1539"/>
      <c r="AA3462" s="1539"/>
      <c r="AB3462" s="1539"/>
      <c r="AC3462" s="1539"/>
      <c r="AD3462" s="1539"/>
      <c r="AE3462" s="1539"/>
      <c r="AF3462" s="1539"/>
      <c r="AG3462" s="1539"/>
      <c r="AH3462" s="1539"/>
      <c r="AI3462" s="1539"/>
      <c r="AJ3462" s="1539"/>
      <c r="AK3462" s="1539"/>
      <c r="AL3462" s="1539"/>
      <c r="AM3462" s="1539"/>
      <c r="AN3462" s="1539"/>
      <c r="AO3462" s="1539"/>
      <c r="AP3462" s="1539"/>
      <c r="AQ3462" s="1539"/>
      <c r="AR3462" s="1539"/>
      <c r="AS3462" s="1539"/>
      <c r="AT3462" s="1539"/>
      <c r="AU3462" s="1539"/>
      <c r="AV3462" s="1539"/>
      <c r="AW3462" s="1539"/>
      <c r="AX3462" s="1539"/>
      <c r="AY3462" s="1539"/>
      <c r="AZ3462" s="1539"/>
      <c r="BA3462" s="1539"/>
      <c r="BB3462" s="1539"/>
      <c r="BC3462" s="1539"/>
      <c r="BD3462" s="1539"/>
      <c r="BE3462" s="1539"/>
      <c r="BF3462" s="1539"/>
      <c r="BG3462" s="1539"/>
      <c r="BH3462" s="1539"/>
      <c r="BI3462" s="1539"/>
      <c r="BJ3462" s="1539"/>
      <c r="BK3462" s="1539"/>
      <c r="BL3462" s="1539"/>
      <c r="BM3462" s="1539"/>
      <c r="BN3462" s="1539"/>
      <c r="BO3462" s="1539"/>
      <c r="BP3462" s="1539"/>
      <c r="BQ3462" s="1539"/>
      <c r="BR3462" s="1539"/>
      <c r="BS3462" s="1539"/>
      <c r="BT3462" s="1539"/>
      <c r="BU3462" s="1539"/>
      <c r="BV3462" s="1539"/>
      <c r="BW3462" s="1539"/>
      <c r="BX3462" s="1539"/>
      <c r="BY3462" s="1539"/>
      <c r="BZ3462" s="1539"/>
      <c r="CA3462" s="1539"/>
      <c r="CB3462" s="1539"/>
      <c r="CC3462" s="1539"/>
      <c r="CD3462" s="1539"/>
      <c r="CE3462" s="1539"/>
      <c r="CF3462" s="1539"/>
      <c r="CG3462" s="1539"/>
      <c r="CH3462" s="1539"/>
      <c r="CI3462" s="1539"/>
      <c r="CJ3462" s="1539"/>
      <c r="CK3462" s="1539"/>
      <c r="CL3462" s="1539"/>
      <c r="CM3462" s="1539"/>
      <c r="CN3462" s="1539"/>
      <c r="CO3462" s="1539"/>
    </row>
    <row r="3463" spans="1:93" s="1542" customFormat="1" ht="15.5">
      <c r="A3463" s="1598" t="s">
        <v>3274</v>
      </c>
      <c r="B3463" s="1599" t="s">
        <v>3275</v>
      </c>
      <c r="C3463" s="1643" t="e">
        <f>+SUMIF(#REF!,Final!A3463,#REF!)</f>
        <v>#REF!</v>
      </c>
      <c r="D3463" s="1597" t="e">
        <f>+SUMIF(#REF!,Final!A3463,#REF!)</f>
        <v>#REF!</v>
      </c>
      <c r="E3463" s="1643" t="e">
        <f>SUMIF(#REF!,Final!A3463,#REF!)</f>
        <v>#REF!</v>
      </c>
      <c r="F3463" s="1644" t="e">
        <f>SUMIF(#REF!,Final!A3463,#REF!)</f>
        <v>#REF!</v>
      </c>
      <c r="G3463" s="1597" t="e">
        <f t="shared" si="380"/>
        <v>#REF!</v>
      </c>
      <c r="H3463" s="1644" t="e">
        <f t="shared" si="381"/>
        <v>#REF!</v>
      </c>
      <c r="I3463" s="1597" t="e">
        <f t="shared" si="382"/>
        <v>#REF!</v>
      </c>
      <c r="J3463" s="1644" t="e">
        <f t="shared" si="383"/>
        <v>#REF!</v>
      </c>
      <c r="K3463" s="1539"/>
      <c r="L3463" s="1539"/>
      <c r="M3463" s="1545"/>
      <c r="N3463" s="1545"/>
      <c r="O3463" s="1539"/>
      <c r="P3463" s="1539"/>
      <c r="Q3463" s="1539"/>
      <c r="R3463" s="1539"/>
      <c r="S3463" s="1539"/>
      <c r="T3463" s="1539"/>
      <c r="U3463" s="1539"/>
      <c r="V3463" s="1539"/>
      <c r="W3463" s="1539"/>
      <c r="X3463" s="1539"/>
      <c r="Y3463" s="1539"/>
      <c r="Z3463" s="1539"/>
      <c r="AA3463" s="1539"/>
      <c r="AB3463" s="1539"/>
      <c r="AC3463" s="1539"/>
      <c r="AD3463" s="1539"/>
      <c r="AE3463" s="1539"/>
      <c r="AF3463" s="1539"/>
      <c r="AG3463" s="1539"/>
      <c r="AH3463" s="1539"/>
      <c r="AI3463" s="1539"/>
      <c r="AJ3463" s="1539"/>
      <c r="AK3463" s="1539"/>
      <c r="AL3463" s="1539"/>
      <c r="AM3463" s="1539"/>
      <c r="AN3463" s="1539"/>
      <c r="AO3463" s="1539"/>
      <c r="AP3463" s="1539"/>
      <c r="AQ3463" s="1539"/>
      <c r="AR3463" s="1539"/>
      <c r="AS3463" s="1539"/>
      <c r="AT3463" s="1539"/>
      <c r="AU3463" s="1539"/>
      <c r="AV3463" s="1539"/>
      <c r="AW3463" s="1539"/>
      <c r="AX3463" s="1539"/>
      <c r="AY3463" s="1539"/>
      <c r="AZ3463" s="1539"/>
      <c r="BA3463" s="1539"/>
      <c r="BB3463" s="1539"/>
      <c r="BC3463" s="1539"/>
      <c r="BD3463" s="1539"/>
      <c r="BE3463" s="1539"/>
      <c r="BF3463" s="1539"/>
      <c r="BG3463" s="1539"/>
      <c r="BH3463" s="1539"/>
      <c r="BI3463" s="1539"/>
      <c r="BJ3463" s="1539"/>
      <c r="BK3463" s="1539"/>
      <c r="BL3463" s="1539"/>
      <c r="BM3463" s="1539"/>
      <c r="BN3463" s="1539"/>
      <c r="BO3463" s="1539"/>
      <c r="BP3463" s="1539"/>
      <c r="BQ3463" s="1539"/>
      <c r="BR3463" s="1539"/>
      <c r="BS3463" s="1539"/>
      <c r="BT3463" s="1539"/>
      <c r="BU3463" s="1539"/>
      <c r="BV3463" s="1539"/>
      <c r="BW3463" s="1539"/>
      <c r="BX3463" s="1539"/>
      <c r="BY3463" s="1539"/>
      <c r="BZ3463" s="1539"/>
      <c r="CA3463" s="1539"/>
      <c r="CB3463" s="1539"/>
      <c r="CC3463" s="1539"/>
      <c r="CD3463" s="1539"/>
      <c r="CE3463" s="1539"/>
      <c r="CF3463" s="1539"/>
      <c r="CG3463" s="1539"/>
      <c r="CH3463" s="1539"/>
      <c r="CI3463" s="1539"/>
      <c r="CJ3463" s="1539"/>
      <c r="CK3463" s="1539"/>
      <c r="CL3463" s="1539"/>
      <c r="CM3463" s="1539"/>
      <c r="CN3463" s="1539"/>
      <c r="CO3463" s="1539"/>
    </row>
    <row r="3464" spans="1:93" ht="15.5">
      <c r="A3464" s="1598">
        <v>79.56</v>
      </c>
      <c r="B3464" s="1599" t="s">
        <v>3277</v>
      </c>
      <c r="C3464" s="1643" t="e">
        <f>+SUMIF(#REF!,Final!A3464,#REF!)</f>
        <v>#REF!</v>
      </c>
      <c r="D3464" s="1597" t="e">
        <f>+SUMIF(#REF!,Final!A3464,#REF!)</f>
        <v>#REF!</v>
      </c>
      <c r="E3464" s="1643" t="e">
        <f>SUMIF(#REF!,Final!A3464,#REF!)</f>
        <v>#REF!</v>
      </c>
      <c r="F3464" s="1644" t="e">
        <f>SUMIF(#REF!,Final!A3464,#REF!)</f>
        <v>#REF!</v>
      </c>
      <c r="G3464" s="1597" t="e">
        <f t="shared" si="380"/>
        <v>#REF!</v>
      </c>
      <c r="H3464" s="1644" t="e">
        <f t="shared" si="381"/>
        <v>#REF!</v>
      </c>
      <c r="I3464" s="1597" t="e">
        <f t="shared" si="382"/>
        <v>#REF!</v>
      </c>
      <c r="J3464" s="1644" t="e">
        <f t="shared" si="383"/>
        <v>#REF!</v>
      </c>
      <c r="M3464" s="1545"/>
      <c r="N3464" s="1545"/>
    </row>
    <row r="3465" spans="1:93" ht="15.5">
      <c r="A3465" s="1598">
        <v>79.561000000000007</v>
      </c>
      <c r="B3465" s="1599" t="s">
        <v>3278</v>
      </c>
      <c r="C3465" s="1643" t="e">
        <f>+SUMIF(#REF!,Final!A3465,#REF!)</f>
        <v>#REF!</v>
      </c>
      <c r="D3465" s="1597" t="e">
        <f>+SUMIF(#REF!,Final!A3465,#REF!)</f>
        <v>#REF!</v>
      </c>
      <c r="E3465" s="1643" t="e">
        <f>SUMIF(#REF!,Final!A3465,#REF!)</f>
        <v>#REF!</v>
      </c>
      <c r="F3465" s="1644" t="e">
        <f>SUMIF(#REF!,Final!A3465,#REF!)</f>
        <v>#REF!</v>
      </c>
      <c r="G3465" s="1597" t="e">
        <f t="shared" si="380"/>
        <v>#REF!</v>
      </c>
      <c r="H3465" s="1644" t="e">
        <f t="shared" si="381"/>
        <v>#REF!</v>
      </c>
      <c r="I3465" s="1597" t="e">
        <f t="shared" si="382"/>
        <v>#REF!</v>
      </c>
      <c r="J3465" s="1644" t="e">
        <f t="shared" si="383"/>
        <v>#REF!</v>
      </c>
      <c r="M3465" s="1545"/>
      <c r="N3465" s="1545"/>
    </row>
    <row r="3466" spans="1:93" ht="15.5">
      <c r="A3466" s="1598">
        <v>79.570999999999998</v>
      </c>
      <c r="B3466" s="1599" t="s">
        <v>3279</v>
      </c>
      <c r="C3466" s="1643" t="e">
        <f>+SUMIF(#REF!,Final!A3466,#REF!)</f>
        <v>#REF!</v>
      </c>
      <c r="D3466" s="1597" t="e">
        <f>+SUMIF(#REF!,Final!A3466,#REF!)</f>
        <v>#REF!</v>
      </c>
      <c r="E3466" s="1643" t="e">
        <f>SUMIF(#REF!,Final!A3466,#REF!)</f>
        <v>#REF!</v>
      </c>
      <c r="F3466" s="1644" t="e">
        <f>SUMIF(#REF!,Final!A3466,#REF!)</f>
        <v>#REF!</v>
      </c>
      <c r="G3466" s="1597" t="e">
        <f t="shared" si="380"/>
        <v>#REF!</v>
      </c>
      <c r="H3466" s="1644" t="e">
        <f t="shared" si="381"/>
        <v>#REF!</v>
      </c>
      <c r="I3466" s="1597" t="e">
        <f t="shared" si="382"/>
        <v>#REF!</v>
      </c>
      <c r="J3466" s="1644" t="e">
        <f t="shared" si="383"/>
        <v>#REF!</v>
      </c>
      <c r="M3466" s="1545"/>
      <c r="N3466" s="1545"/>
    </row>
    <row r="3467" spans="1:93" ht="15.5">
      <c r="A3467" s="1598">
        <v>79.572000000000003</v>
      </c>
      <c r="B3467" s="1599" t="s">
        <v>3280</v>
      </c>
      <c r="C3467" s="1643" t="e">
        <f>+SUMIF(#REF!,Final!A3467,#REF!)</f>
        <v>#REF!</v>
      </c>
      <c r="D3467" s="1597" t="e">
        <f>+SUMIF(#REF!,Final!A3467,#REF!)</f>
        <v>#REF!</v>
      </c>
      <c r="E3467" s="1643" t="e">
        <f>SUMIF(#REF!,Final!A3467,#REF!)</f>
        <v>#REF!</v>
      </c>
      <c r="F3467" s="1644" t="e">
        <f>SUMIF(#REF!,Final!A3467,#REF!)</f>
        <v>#REF!</v>
      </c>
      <c r="G3467" s="1597" t="e">
        <f t="shared" si="380"/>
        <v>#REF!</v>
      </c>
      <c r="H3467" s="1644" t="e">
        <f t="shared" si="381"/>
        <v>#REF!</v>
      </c>
      <c r="I3467" s="1597" t="e">
        <f t="shared" si="382"/>
        <v>#REF!</v>
      </c>
      <c r="J3467" s="1644" t="e">
        <f t="shared" si="383"/>
        <v>#REF!</v>
      </c>
      <c r="M3467" s="1545"/>
      <c r="N3467" s="1545"/>
    </row>
    <row r="3468" spans="1:93" ht="15.5">
      <c r="A3468" s="1598">
        <v>79.572999999999993</v>
      </c>
      <c r="B3468" s="1599" t="s">
        <v>3281</v>
      </c>
      <c r="C3468" s="1643" t="e">
        <f>+SUMIF(#REF!,Final!A3468,#REF!)</f>
        <v>#REF!</v>
      </c>
      <c r="D3468" s="1597" t="e">
        <f>+SUMIF(#REF!,Final!A3468,#REF!)</f>
        <v>#REF!</v>
      </c>
      <c r="E3468" s="1643" t="e">
        <f>SUMIF(#REF!,Final!A3468,#REF!)</f>
        <v>#REF!</v>
      </c>
      <c r="F3468" s="1644" t="e">
        <f>SUMIF(#REF!,Final!A3468,#REF!)</f>
        <v>#REF!</v>
      </c>
      <c r="G3468" s="1597" t="e">
        <f t="shared" si="380"/>
        <v>#REF!</v>
      </c>
      <c r="H3468" s="1644" t="e">
        <f t="shared" si="381"/>
        <v>#REF!</v>
      </c>
      <c r="I3468" s="1597" t="e">
        <f t="shared" si="382"/>
        <v>#REF!</v>
      </c>
      <c r="J3468" s="1644" t="e">
        <f t="shared" si="383"/>
        <v>#REF!</v>
      </c>
      <c r="M3468" s="1545"/>
      <c r="N3468" s="1545"/>
    </row>
    <row r="3469" spans="1:93" s="1542" customFormat="1" ht="13.5" customHeight="1">
      <c r="A3469" s="1600">
        <v>79.709999999999994</v>
      </c>
      <c r="B3469" s="1599" t="s">
        <v>3282</v>
      </c>
      <c r="C3469" s="1643" t="e">
        <f>+SUMIF(#REF!,Final!A3469,#REF!)</f>
        <v>#REF!</v>
      </c>
      <c r="D3469" s="1597" t="e">
        <f>+SUMIF(#REF!,Final!A3469,#REF!)</f>
        <v>#REF!</v>
      </c>
      <c r="E3469" s="1643" t="e">
        <f>SUMIF(#REF!,Final!A3469,#REF!)</f>
        <v>#REF!</v>
      </c>
      <c r="F3469" s="1644" t="e">
        <f>SUMIF(#REF!,Final!A3469,#REF!)</f>
        <v>#REF!</v>
      </c>
      <c r="G3469" s="1597" t="e">
        <f t="shared" si="380"/>
        <v>#REF!</v>
      </c>
      <c r="H3469" s="1644" t="e">
        <f t="shared" si="381"/>
        <v>#REF!</v>
      </c>
      <c r="I3469" s="1597" t="e">
        <f t="shared" si="382"/>
        <v>#REF!</v>
      </c>
      <c r="J3469" s="1644" t="e">
        <f t="shared" si="383"/>
        <v>#REF!</v>
      </c>
      <c r="K3469" s="1539"/>
      <c r="L3469" s="1539"/>
      <c r="M3469" s="1545"/>
      <c r="N3469" s="1545"/>
      <c r="O3469" s="1539"/>
      <c r="P3469" s="1539"/>
      <c r="Q3469" s="1539"/>
      <c r="R3469" s="1539"/>
      <c r="S3469" s="1539"/>
      <c r="T3469" s="1539"/>
      <c r="U3469" s="1539"/>
      <c r="V3469" s="1539"/>
      <c r="W3469" s="1539"/>
      <c r="X3469" s="1539"/>
      <c r="Y3469" s="1539"/>
      <c r="Z3469" s="1539"/>
      <c r="AA3469" s="1539"/>
      <c r="AB3469" s="1539"/>
      <c r="AC3469" s="1539"/>
      <c r="AD3469" s="1539"/>
      <c r="AE3469" s="1539"/>
      <c r="AF3469" s="1539"/>
      <c r="AG3469" s="1539"/>
      <c r="AH3469" s="1539"/>
      <c r="AI3469" s="1539"/>
      <c r="AJ3469" s="1539"/>
      <c r="AK3469" s="1539"/>
      <c r="AL3469" s="1539"/>
      <c r="AM3469" s="1539"/>
      <c r="AN3469" s="1539"/>
      <c r="AO3469" s="1539"/>
      <c r="AP3469" s="1539"/>
      <c r="AQ3469" s="1539"/>
      <c r="AR3469" s="1539"/>
      <c r="AS3469" s="1539"/>
      <c r="AT3469" s="1539"/>
      <c r="AU3469" s="1539"/>
      <c r="AV3469" s="1539"/>
      <c r="AW3469" s="1539"/>
      <c r="AX3469" s="1539"/>
      <c r="AY3469" s="1539"/>
      <c r="AZ3469" s="1539"/>
      <c r="BA3469" s="1539"/>
      <c r="BB3469" s="1539"/>
      <c r="BC3469" s="1539"/>
      <c r="BD3469" s="1539"/>
      <c r="BE3469" s="1539"/>
      <c r="BF3469" s="1539"/>
      <c r="BG3469" s="1539"/>
      <c r="BH3469" s="1539"/>
      <c r="BI3469" s="1539"/>
      <c r="BJ3469" s="1539"/>
      <c r="BK3469" s="1539"/>
      <c r="BL3469" s="1539"/>
      <c r="BM3469" s="1539"/>
      <c r="BN3469" s="1539"/>
      <c r="BO3469" s="1539"/>
      <c r="BP3469" s="1539"/>
      <c r="BQ3469" s="1539"/>
      <c r="BR3469" s="1539"/>
      <c r="BS3469" s="1539"/>
      <c r="BT3469" s="1539"/>
      <c r="BU3469" s="1539"/>
      <c r="BV3469" s="1539"/>
      <c r="BW3469" s="1539"/>
      <c r="BX3469" s="1539"/>
      <c r="BY3469" s="1539"/>
      <c r="BZ3469" s="1539"/>
      <c r="CA3469" s="1539"/>
      <c r="CB3469" s="1539"/>
      <c r="CC3469" s="1539"/>
      <c r="CD3469" s="1539"/>
      <c r="CE3469" s="1539"/>
      <c r="CF3469" s="1539"/>
      <c r="CG3469" s="1539"/>
      <c r="CH3469" s="1539"/>
      <c r="CI3469" s="1539"/>
      <c r="CJ3469" s="1539"/>
      <c r="CK3469" s="1539"/>
      <c r="CL3469" s="1539"/>
      <c r="CM3469" s="1539"/>
      <c r="CN3469" s="1539"/>
      <c r="CO3469" s="1539"/>
    </row>
    <row r="3470" spans="1:93" s="1552" customFormat="1" ht="15.5">
      <c r="A3470" s="1598"/>
      <c r="B3470" s="1599" t="s">
        <v>1747</v>
      </c>
      <c r="C3470" s="1643" t="e">
        <f>+SUMIF(#REF!,Final!A3470,#REF!)</f>
        <v>#REF!</v>
      </c>
      <c r="D3470" s="1597" t="e">
        <f>+SUMIF(#REF!,Final!A3470,#REF!)</f>
        <v>#REF!</v>
      </c>
      <c r="E3470" s="1643" t="e">
        <f>SUMIF(#REF!,Final!A3470,#REF!)</f>
        <v>#REF!</v>
      </c>
      <c r="F3470" s="1644" t="e">
        <f>SUMIF(#REF!,Final!A3470,#REF!)</f>
        <v>#REF!</v>
      </c>
      <c r="G3470" s="1597" t="e">
        <f t="shared" si="380"/>
        <v>#REF!</v>
      </c>
      <c r="H3470" s="1644" t="e">
        <f t="shared" si="381"/>
        <v>#REF!</v>
      </c>
      <c r="I3470" s="1597" t="e">
        <f t="shared" si="382"/>
        <v>#REF!</v>
      </c>
      <c r="J3470" s="1644" t="e">
        <f t="shared" si="383"/>
        <v>#REF!</v>
      </c>
      <c r="K3470" s="1539"/>
      <c r="L3470" s="1539"/>
      <c r="M3470" s="1545"/>
      <c r="N3470" s="1545"/>
      <c r="O3470" s="1539"/>
      <c r="P3470" s="1539"/>
      <c r="Q3470" s="1539"/>
      <c r="R3470" s="1539"/>
      <c r="S3470" s="1539"/>
      <c r="T3470" s="1539"/>
      <c r="U3470" s="1539"/>
      <c r="V3470" s="1539"/>
      <c r="W3470" s="1539"/>
      <c r="X3470" s="1539"/>
      <c r="Y3470" s="1539"/>
      <c r="Z3470" s="1539"/>
      <c r="AA3470" s="1539"/>
      <c r="AB3470" s="1539"/>
      <c r="AC3470" s="1539"/>
      <c r="AD3470" s="1539"/>
      <c r="AE3470" s="1539"/>
      <c r="AF3470" s="1539"/>
      <c r="AG3470" s="1539"/>
      <c r="AH3470" s="1539"/>
      <c r="AI3470" s="1539"/>
      <c r="AJ3470" s="1539"/>
      <c r="AK3470" s="1539"/>
      <c r="AL3470" s="1539"/>
      <c r="AM3470" s="1539"/>
      <c r="AN3470" s="1539"/>
      <c r="AO3470" s="1539"/>
      <c r="AP3470" s="1539"/>
      <c r="AQ3470" s="1539"/>
      <c r="AR3470" s="1539"/>
      <c r="AS3470" s="1539"/>
      <c r="AT3470" s="1539"/>
      <c r="AU3470" s="1539"/>
      <c r="AV3470" s="1539"/>
      <c r="AW3470" s="1539"/>
      <c r="AX3470" s="1539"/>
      <c r="AY3470" s="1539"/>
      <c r="AZ3470" s="1539"/>
      <c r="BA3470" s="1539"/>
      <c r="BB3470" s="1539"/>
      <c r="BC3470" s="1539"/>
      <c r="BD3470" s="1539"/>
      <c r="BE3470" s="1539"/>
      <c r="BF3470" s="1539"/>
      <c r="BG3470" s="1539"/>
      <c r="BH3470" s="1539"/>
      <c r="BI3470" s="1539"/>
      <c r="BJ3470" s="1539"/>
      <c r="BK3470" s="1539"/>
      <c r="BL3470" s="1539"/>
      <c r="BM3470" s="1539"/>
      <c r="BN3470" s="1539"/>
      <c r="BO3470" s="1539"/>
      <c r="BP3470" s="1539"/>
      <c r="BQ3470" s="1539"/>
      <c r="BR3470" s="1539"/>
      <c r="BS3470" s="1539"/>
      <c r="BT3470" s="1539"/>
      <c r="BU3470" s="1539"/>
      <c r="BV3470" s="1539"/>
      <c r="BW3470" s="1539"/>
      <c r="BX3470" s="1539"/>
      <c r="BY3470" s="1539"/>
      <c r="BZ3470" s="1539"/>
      <c r="CA3470" s="1539"/>
      <c r="CB3470" s="1539"/>
      <c r="CC3470" s="1539"/>
      <c r="CD3470" s="1539"/>
      <c r="CE3470" s="1539"/>
      <c r="CF3470" s="1539"/>
      <c r="CG3470" s="1539"/>
      <c r="CH3470" s="1539"/>
      <c r="CI3470" s="1539"/>
      <c r="CJ3470" s="1539"/>
      <c r="CK3470" s="1539"/>
      <c r="CL3470" s="1539"/>
      <c r="CM3470" s="1539"/>
      <c r="CN3470" s="1539"/>
      <c r="CO3470" s="1539"/>
    </row>
    <row r="3471" spans="1:93" s="1552" customFormat="1" ht="15.5">
      <c r="A3471" s="1598"/>
      <c r="B3471" s="1599" t="s">
        <v>1760</v>
      </c>
      <c r="C3471" s="1643" t="e">
        <f>+SUMIF(#REF!,Final!A3471,#REF!)</f>
        <v>#REF!</v>
      </c>
      <c r="D3471" s="1597" t="e">
        <f>+SUMIF(#REF!,Final!A3471,#REF!)</f>
        <v>#REF!</v>
      </c>
      <c r="E3471" s="1643" t="e">
        <f>SUMIF(#REF!,Final!A3471,#REF!)</f>
        <v>#REF!</v>
      </c>
      <c r="F3471" s="1644" t="e">
        <f>SUMIF(#REF!,Final!A3471,#REF!)</f>
        <v>#REF!</v>
      </c>
      <c r="G3471" s="1597" t="e">
        <f t="shared" si="380"/>
        <v>#REF!</v>
      </c>
      <c r="H3471" s="1644" t="e">
        <f t="shared" si="381"/>
        <v>#REF!</v>
      </c>
      <c r="I3471" s="1597" t="e">
        <f t="shared" si="382"/>
        <v>#REF!</v>
      </c>
      <c r="J3471" s="1644" t="e">
        <f t="shared" si="383"/>
        <v>#REF!</v>
      </c>
      <c r="K3471" s="1539"/>
      <c r="L3471" s="1539"/>
      <c r="M3471" s="1545"/>
      <c r="N3471" s="1545"/>
      <c r="O3471" s="1539"/>
      <c r="P3471" s="1539"/>
      <c r="Q3471" s="1539"/>
      <c r="R3471" s="1539"/>
      <c r="S3471" s="1539"/>
      <c r="T3471" s="1539"/>
      <c r="U3471" s="1539"/>
      <c r="V3471" s="1539"/>
      <c r="W3471" s="1539"/>
      <c r="X3471" s="1539"/>
      <c r="Y3471" s="1539"/>
      <c r="Z3471" s="1539"/>
      <c r="AA3471" s="1539"/>
      <c r="AB3471" s="1539"/>
      <c r="AC3471" s="1539"/>
      <c r="AD3471" s="1539"/>
      <c r="AE3471" s="1539"/>
      <c r="AF3471" s="1539"/>
      <c r="AG3471" s="1539"/>
      <c r="AH3471" s="1539"/>
      <c r="AI3471" s="1539"/>
      <c r="AJ3471" s="1539"/>
      <c r="AK3471" s="1539"/>
      <c r="AL3471" s="1539"/>
      <c r="AM3471" s="1539"/>
      <c r="AN3471" s="1539"/>
      <c r="AO3471" s="1539"/>
      <c r="AP3471" s="1539"/>
      <c r="AQ3471" s="1539"/>
      <c r="AR3471" s="1539"/>
      <c r="AS3471" s="1539"/>
      <c r="AT3471" s="1539"/>
      <c r="AU3471" s="1539"/>
      <c r="AV3471" s="1539"/>
      <c r="AW3471" s="1539"/>
      <c r="AX3471" s="1539"/>
      <c r="AY3471" s="1539"/>
      <c r="AZ3471" s="1539"/>
      <c r="BA3471" s="1539"/>
      <c r="BB3471" s="1539"/>
      <c r="BC3471" s="1539"/>
      <c r="BD3471" s="1539"/>
      <c r="BE3471" s="1539"/>
      <c r="BF3471" s="1539"/>
      <c r="BG3471" s="1539"/>
      <c r="BH3471" s="1539"/>
      <c r="BI3471" s="1539"/>
      <c r="BJ3471" s="1539"/>
      <c r="BK3471" s="1539"/>
      <c r="BL3471" s="1539"/>
      <c r="BM3471" s="1539"/>
      <c r="BN3471" s="1539"/>
      <c r="BO3471" s="1539"/>
      <c r="BP3471" s="1539"/>
      <c r="BQ3471" s="1539"/>
      <c r="BR3471" s="1539"/>
      <c r="BS3471" s="1539"/>
      <c r="BT3471" s="1539"/>
      <c r="BU3471" s="1539"/>
      <c r="BV3471" s="1539"/>
      <c r="BW3471" s="1539"/>
      <c r="BX3471" s="1539"/>
      <c r="BY3471" s="1539"/>
      <c r="BZ3471" s="1539"/>
      <c r="CA3471" s="1539"/>
      <c r="CB3471" s="1539"/>
      <c r="CC3471" s="1539"/>
      <c r="CD3471" s="1539"/>
      <c r="CE3471" s="1539"/>
      <c r="CF3471" s="1539"/>
      <c r="CG3471" s="1539"/>
      <c r="CH3471" s="1539"/>
      <c r="CI3471" s="1539"/>
      <c r="CJ3471" s="1539"/>
      <c r="CK3471" s="1539"/>
      <c r="CL3471" s="1539"/>
      <c r="CM3471" s="1539"/>
      <c r="CN3471" s="1539"/>
      <c r="CO3471" s="1539"/>
    </row>
    <row r="3472" spans="1:93" s="1552" customFormat="1" ht="15.5">
      <c r="A3472" s="1879">
        <v>79.72</v>
      </c>
      <c r="B3472" s="1881" t="s">
        <v>5484</v>
      </c>
      <c r="C3472" s="1643" t="e">
        <f>+SUMIF(#REF!,Final!A3472,#REF!)</f>
        <v>#REF!</v>
      </c>
      <c r="D3472" s="1597" t="e">
        <f>+SUMIF(#REF!,Final!A3472,#REF!)</f>
        <v>#REF!</v>
      </c>
      <c r="E3472" s="1643" t="e">
        <f>SUMIF(#REF!,Final!A3472,#REF!)</f>
        <v>#REF!</v>
      </c>
      <c r="F3472" s="1644" t="e">
        <f>SUMIF(#REF!,Final!A3472,#REF!)</f>
        <v>#REF!</v>
      </c>
      <c r="G3472" s="1597" t="e">
        <f t="shared" ref="G3472" si="384">C3472+E3472</f>
        <v>#REF!</v>
      </c>
      <c r="H3472" s="1644" t="e">
        <f t="shared" ref="H3472" si="385">D3472+F3472</f>
        <v>#REF!</v>
      </c>
      <c r="I3472" s="1597" t="e">
        <f t="shared" ref="I3472" si="386">IF(G3472&gt;H3472,G3472-H3472,0)</f>
        <v>#REF!</v>
      </c>
      <c r="J3472" s="1644" t="e">
        <f t="shared" ref="J3472" si="387">IF(H3472&gt;G3472,H3472-G3472,0)</f>
        <v>#REF!</v>
      </c>
      <c r="K3472" s="1539"/>
      <c r="L3472" s="1539"/>
      <c r="M3472" s="1545"/>
      <c r="N3472" s="1545"/>
      <c r="O3472" s="1539"/>
      <c r="P3472" s="1539"/>
      <c r="Q3472" s="1539"/>
      <c r="R3472" s="1539"/>
      <c r="S3472" s="1539"/>
      <c r="T3472" s="1539"/>
      <c r="U3472" s="1539"/>
      <c r="V3472" s="1539"/>
      <c r="W3472" s="1539"/>
      <c r="X3472" s="1539"/>
      <c r="Y3472" s="1539"/>
      <c r="Z3472" s="1539"/>
      <c r="AA3472" s="1539"/>
      <c r="AB3472" s="1539"/>
      <c r="AC3472" s="1539"/>
      <c r="AD3472" s="1539"/>
      <c r="AE3472" s="1539"/>
      <c r="AF3472" s="1539"/>
      <c r="AG3472" s="1539"/>
      <c r="AH3472" s="1539"/>
      <c r="AI3472" s="1539"/>
      <c r="AJ3472" s="1539"/>
      <c r="AK3472" s="1539"/>
      <c r="AL3472" s="1539"/>
      <c r="AM3472" s="1539"/>
      <c r="AN3472" s="1539"/>
      <c r="AO3472" s="1539"/>
      <c r="AP3472" s="1539"/>
      <c r="AQ3472" s="1539"/>
      <c r="AR3472" s="1539"/>
      <c r="AS3472" s="1539"/>
      <c r="AT3472" s="1539"/>
      <c r="AU3472" s="1539"/>
      <c r="AV3472" s="1539"/>
      <c r="AW3472" s="1539"/>
      <c r="AX3472" s="1539"/>
      <c r="AY3472" s="1539"/>
      <c r="AZ3472" s="1539"/>
      <c r="BA3472" s="1539"/>
      <c r="BB3472" s="1539"/>
      <c r="BC3472" s="1539"/>
      <c r="BD3472" s="1539"/>
      <c r="BE3472" s="1539"/>
      <c r="BF3472" s="1539"/>
      <c r="BG3472" s="1539"/>
      <c r="BH3472" s="1539"/>
      <c r="BI3472" s="1539"/>
      <c r="BJ3472" s="1539"/>
      <c r="BK3472" s="1539"/>
      <c r="BL3472" s="1539"/>
      <c r="BM3472" s="1539"/>
      <c r="BN3472" s="1539"/>
      <c r="BO3472" s="1539"/>
      <c r="BP3472" s="1539"/>
      <c r="BQ3472" s="1539"/>
      <c r="BR3472" s="1539"/>
      <c r="BS3472" s="1539"/>
      <c r="BT3472" s="1539"/>
      <c r="BU3472" s="1539"/>
      <c r="BV3472" s="1539"/>
      <c r="BW3472" s="1539"/>
      <c r="BX3472" s="1539"/>
      <c r="BY3472" s="1539"/>
      <c r="BZ3472" s="1539"/>
      <c r="CA3472" s="1539"/>
      <c r="CB3472" s="1539"/>
      <c r="CC3472" s="1539"/>
      <c r="CD3472" s="1539"/>
      <c r="CE3472" s="1539"/>
      <c r="CF3472" s="1539"/>
      <c r="CG3472" s="1539"/>
      <c r="CH3472" s="1539"/>
      <c r="CI3472" s="1539"/>
      <c r="CJ3472" s="1539"/>
      <c r="CK3472" s="1539"/>
      <c r="CL3472" s="1539"/>
      <c r="CM3472" s="1539"/>
      <c r="CN3472" s="1539"/>
      <c r="CO3472" s="1539"/>
    </row>
    <row r="3473" spans="1:93" s="1542" customFormat="1" ht="15.5">
      <c r="A3473" s="1598">
        <v>42</v>
      </c>
      <c r="B3473" s="1599" t="s">
        <v>1758</v>
      </c>
      <c r="C3473" s="1643" t="e">
        <f>+SUMIF(#REF!,Final!A3473,#REF!)</f>
        <v>#REF!</v>
      </c>
      <c r="D3473" s="1597" t="e">
        <f>+SUMIF(#REF!,Final!A3473,#REF!)</f>
        <v>#REF!</v>
      </c>
      <c r="E3473" s="1643" t="e">
        <f>SUMIF(#REF!,Final!A3473,#REF!)</f>
        <v>#REF!</v>
      </c>
      <c r="F3473" s="1644" t="e">
        <f>SUMIF(#REF!,Final!A3473,#REF!)</f>
        <v>#REF!</v>
      </c>
      <c r="G3473" s="1597" t="e">
        <f t="shared" si="380"/>
        <v>#REF!</v>
      </c>
      <c r="H3473" s="1644" t="e">
        <f t="shared" si="381"/>
        <v>#REF!</v>
      </c>
      <c r="I3473" s="1597" t="e">
        <f t="shared" si="382"/>
        <v>#REF!</v>
      </c>
      <c r="J3473" s="1644" t="e">
        <f t="shared" si="383"/>
        <v>#REF!</v>
      </c>
      <c r="K3473" s="1539"/>
      <c r="L3473" s="1539"/>
      <c r="M3473" s="1545"/>
      <c r="N3473" s="1545"/>
      <c r="O3473" s="1539"/>
      <c r="P3473" s="1539"/>
      <c r="Q3473" s="1539"/>
      <c r="R3473" s="1539"/>
      <c r="S3473" s="1539"/>
      <c r="T3473" s="1539"/>
      <c r="U3473" s="1539"/>
      <c r="V3473" s="1539"/>
      <c r="W3473" s="1539"/>
      <c r="X3473" s="1539"/>
      <c r="Y3473" s="1539"/>
      <c r="Z3473" s="1539"/>
      <c r="AA3473" s="1539"/>
      <c r="AB3473" s="1539"/>
      <c r="AC3473" s="1539"/>
      <c r="AD3473" s="1539"/>
      <c r="AE3473" s="1539"/>
      <c r="AF3473" s="1539"/>
      <c r="AG3473" s="1539"/>
      <c r="AH3473" s="1539"/>
      <c r="AI3473" s="1539"/>
      <c r="AJ3473" s="1539"/>
      <c r="AK3473" s="1539"/>
      <c r="AL3473" s="1539"/>
      <c r="AM3473" s="1539"/>
      <c r="AN3473" s="1539"/>
      <c r="AO3473" s="1539"/>
      <c r="AP3473" s="1539"/>
      <c r="AQ3473" s="1539"/>
      <c r="AR3473" s="1539"/>
      <c r="AS3473" s="1539"/>
      <c r="AT3473" s="1539"/>
      <c r="AU3473" s="1539"/>
      <c r="AV3473" s="1539"/>
      <c r="AW3473" s="1539"/>
      <c r="AX3473" s="1539"/>
      <c r="AY3473" s="1539"/>
      <c r="AZ3473" s="1539"/>
      <c r="BA3473" s="1539"/>
      <c r="BB3473" s="1539"/>
      <c r="BC3473" s="1539"/>
      <c r="BD3473" s="1539"/>
      <c r="BE3473" s="1539"/>
      <c r="BF3473" s="1539"/>
      <c r="BG3473" s="1539"/>
      <c r="BH3473" s="1539"/>
      <c r="BI3473" s="1539"/>
      <c r="BJ3473" s="1539"/>
      <c r="BK3473" s="1539"/>
      <c r="BL3473" s="1539"/>
      <c r="BM3473" s="1539"/>
      <c r="BN3473" s="1539"/>
      <c r="BO3473" s="1539"/>
      <c r="BP3473" s="1539"/>
      <c r="BQ3473" s="1539"/>
      <c r="BR3473" s="1539"/>
      <c r="BS3473" s="1539"/>
      <c r="BT3473" s="1539"/>
      <c r="BU3473" s="1539"/>
      <c r="BV3473" s="1539"/>
      <c r="BW3473" s="1539"/>
      <c r="BX3473" s="1539"/>
      <c r="BY3473" s="1539"/>
      <c r="BZ3473" s="1539"/>
      <c r="CA3473" s="1539"/>
      <c r="CB3473" s="1539"/>
      <c r="CC3473" s="1539"/>
      <c r="CD3473" s="1539"/>
      <c r="CE3473" s="1539"/>
      <c r="CF3473" s="1539"/>
      <c r="CG3473" s="1539"/>
      <c r="CH3473" s="1539"/>
      <c r="CI3473" s="1539"/>
      <c r="CJ3473" s="1539"/>
      <c r="CK3473" s="1539"/>
      <c r="CL3473" s="1539"/>
      <c r="CM3473" s="1539"/>
      <c r="CN3473" s="1539"/>
      <c r="CO3473" s="1539"/>
    </row>
    <row r="3474" spans="1:93" s="1542" customFormat="1" ht="15.5">
      <c r="A3474" s="1598">
        <v>79.73</v>
      </c>
      <c r="B3474" s="1599" t="s">
        <v>1759</v>
      </c>
      <c r="C3474" s="1643" t="e">
        <f>+SUMIF(#REF!,Final!A3474,#REF!)</f>
        <v>#REF!</v>
      </c>
      <c r="D3474" s="1597" t="e">
        <f>+SUMIF(#REF!,Final!A3474,#REF!)</f>
        <v>#REF!</v>
      </c>
      <c r="E3474" s="1643" t="e">
        <f>SUMIF(#REF!,Final!A3474,#REF!)</f>
        <v>#REF!</v>
      </c>
      <c r="F3474" s="1644" t="e">
        <f>SUMIF(#REF!,Final!A3474,#REF!)</f>
        <v>#REF!</v>
      </c>
      <c r="G3474" s="1597" t="e">
        <f t="shared" si="380"/>
        <v>#REF!</v>
      </c>
      <c r="H3474" s="1644" t="e">
        <f t="shared" si="381"/>
        <v>#REF!</v>
      </c>
      <c r="I3474" s="1597" t="e">
        <f t="shared" si="382"/>
        <v>#REF!</v>
      </c>
      <c r="J3474" s="1644" t="e">
        <f t="shared" si="383"/>
        <v>#REF!</v>
      </c>
      <c r="K3474" s="1539"/>
      <c r="L3474" s="1539"/>
      <c r="M3474" s="1545"/>
      <c r="N3474" s="1545"/>
      <c r="O3474" s="1539"/>
      <c r="P3474" s="1539"/>
      <c r="Q3474" s="1539"/>
      <c r="R3474" s="1539"/>
      <c r="S3474" s="1539"/>
      <c r="T3474" s="1539"/>
      <c r="U3474" s="1539"/>
      <c r="V3474" s="1539"/>
      <c r="W3474" s="1539"/>
      <c r="X3474" s="1539"/>
      <c r="Y3474" s="1539"/>
      <c r="Z3474" s="1539"/>
      <c r="AA3474" s="1539"/>
      <c r="AB3474" s="1539"/>
      <c r="AC3474" s="1539"/>
      <c r="AD3474" s="1539"/>
      <c r="AE3474" s="1539"/>
      <c r="AF3474" s="1539"/>
      <c r="AG3474" s="1539"/>
      <c r="AH3474" s="1539"/>
      <c r="AI3474" s="1539"/>
      <c r="AJ3474" s="1539"/>
      <c r="AK3474" s="1539"/>
      <c r="AL3474" s="1539"/>
      <c r="AM3474" s="1539"/>
      <c r="AN3474" s="1539"/>
      <c r="AO3474" s="1539"/>
      <c r="AP3474" s="1539"/>
      <c r="AQ3474" s="1539"/>
      <c r="AR3474" s="1539"/>
      <c r="AS3474" s="1539"/>
      <c r="AT3474" s="1539"/>
      <c r="AU3474" s="1539"/>
      <c r="AV3474" s="1539"/>
      <c r="AW3474" s="1539"/>
      <c r="AX3474" s="1539"/>
      <c r="AY3474" s="1539"/>
      <c r="AZ3474" s="1539"/>
      <c r="BA3474" s="1539"/>
      <c r="BB3474" s="1539"/>
      <c r="BC3474" s="1539"/>
      <c r="BD3474" s="1539"/>
      <c r="BE3474" s="1539"/>
      <c r="BF3474" s="1539"/>
      <c r="BG3474" s="1539"/>
      <c r="BH3474" s="1539"/>
      <c r="BI3474" s="1539"/>
      <c r="BJ3474" s="1539"/>
      <c r="BK3474" s="1539"/>
      <c r="BL3474" s="1539"/>
      <c r="BM3474" s="1539"/>
      <c r="BN3474" s="1539"/>
      <c r="BO3474" s="1539"/>
      <c r="BP3474" s="1539"/>
      <c r="BQ3474" s="1539"/>
      <c r="BR3474" s="1539"/>
      <c r="BS3474" s="1539"/>
      <c r="BT3474" s="1539"/>
      <c r="BU3474" s="1539"/>
      <c r="BV3474" s="1539"/>
      <c r="BW3474" s="1539"/>
      <c r="BX3474" s="1539"/>
      <c r="BY3474" s="1539"/>
      <c r="BZ3474" s="1539"/>
      <c r="CA3474" s="1539"/>
      <c r="CB3474" s="1539"/>
      <c r="CC3474" s="1539"/>
      <c r="CD3474" s="1539"/>
      <c r="CE3474" s="1539"/>
      <c r="CF3474" s="1539"/>
      <c r="CG3474" s="1539"/>
      <c r="CH3474" s="1539"/>
      <c r="CI3474" s="1539"/>
      <c r="CJ3474" s="1539"/>
      <c r="CK3474" s="1539"/>
      <c r="CL3474" s="1539"/>
      <c r="CM3474" s="1539"/>
      <c r="CN3474" s="1539"/>
      <c r="CO3474" s="1539"/>
    </row>
    <row r="3475" spans="1:93" s="1552" customFormat="1" ht="15.5">
      <c r="A3475" s="1598"/>
      <c r="B3475" s="1599" t="s">
        <v>1747</v>
      </c>
      <c r="C3475" s="1643" t="e">
        <f>+SUMIF(#REF!,Final!A3475,#REF!)</f>
        <v>#REF!</v>
      </c>
      <c r="D3475" s="1597" t="e">
        <f>+SUMIF(#REF!,Final!A3475,#REF!)</f>
        <v>#REF!</v>
      </c>
      <c r="E3475" s="1643" t="e">
        <f>SUMIF(#REF!,Final!A3475,#REF!)</f>
        <v>#REF!</v>
      </c>
      <c r="F3475" s="1644" t="e">
        <f>SUMIF(#REF!,Final!A3475,#REF!)</f>
        <v>#REF!</v>
      </c>
      <c r="G3475" s="1597" t="e">
        <f t="shared" si="380"/>
        <v>#REF!</v>
      </c>
      <c r="H3475" s="1644" t="e">
        <f t="shared" si="381"/>
        <v>#REF!</v>
      </c>
      <c r="I3475" s="1597" t="e">
        <f t="shared" si="382"/>
        <v>#REF!</v>
      </c>
      <c r="J3475" s="1644" t="e">
        <f t="shared" si="383"/>
        <v>#REF!</v>
      </c>
      <c r="K3475" s="1539"/>
      <c r="L3475" s="1539"/>
      <c r="M3475" s="1545"/>
      <c r="N3475" s="1545"/>
      <c r="O3475" s="1539"/>
      <c r="P3475" s="1539"/>
      <c r="Q3475" s="1539"/>
      <c r="R3475" s="1539"/>
      <c r="S3475" s="1539"/>
      <c r="T3475" s="1539"/>
      <c r="U3475" s="1539"/>
      <c r="V3475" s="1539"/>
      <c r="W3475" s="1539"/>
      <c r="X3475" s="1539"/>
      <c r="Y3475" s="1539"/>
      <c r="Z3475" s="1539"/>
      <c r="AA3475" s="1539"/>
      <c r="AB3475" s="1539"/>
      <c r="AC3475" s="1539"/>
      <c r="AD3475" s="1539"/>
      <c r="AE3475" s="1539"/>
      <c r="AF3475" s="1539"/>
      <c r="AG3475" s="1539"/>
      <c r="AH3475" s="1539"/>
      <c r="AI3475" s="1539"/>
      <c r="AJ3475" s="1539"/>
      <c r="AK3475" s="1539"/>
      <c r="AL3475" s="1539"/>
      <c r="AM3475" s="1539"/>
      <c r="AN3475" s="1539"/>
      <c r="AO3475" s="1539"/>
      <c r="AP3475" s="1539"/>
      <c r="AQ3475" s="1539"/>
      <c r="AR3475" s="1539"/>
      <c r="AS3475" s="1539"/>
      <c r="AT3475" s="1539"/>
      <c r="AU3475" s="1539"/>
      <c r="AV3475" s="1539"/>
      <c r="AW3475" s="1539"/>
      <c r="AX3475" s="1539"/>
      <c r="AY3475" s="1539"/>
      <c r="AZ3475" s="1539"/>
      <c r="BA3475" s="1539"/>
      <c r="BB3475" s="1539"/>
      <c r="BC3475" s="1539"/>
      <c r="BD3475" s="1539"/>
      <c r="BE3475" s="1539"/>
      <c r="BF3475" s="1539"/>
      <c r="BG3475" s="1539"/>
      <c r="BH3475" s="1539"/>
      <c r="BI3475" s="1539"/>
      <c r="BJ3475" s="1539"/>
      <c r="BK3475" s="1539"/>
      <c r="BL3475" s="1539"/>
      <c r="BM3475" s="1539"/>
      <c r="BN3475" s="1539"/>
      <c r="BO3475" s="1539"/>
      <c r="BP3475" s="1539"/>
      <c r="BQ3475" s="1539"/>
      <c r="BR3475" s="1539"/>
      <c r="BS3475" s="1539"/>
      <c r="BT3475" s="1539"/>
      <c r="BU3475" s="1539"/>
      <c r="BV3475" s="1539"/>
      <c r="BW3475" s="1539"/>
      <c r="BX3475" s="1539"/>
      <c r="BY3475" s="1539"/>
      <c r="BZ3475" s="1539"/>
      <c r="CA3475" s="1539"/>
      <c r="CB3475" s="1539"/>
      <c r="CC3475" s="1539"/>
      <c r="CD3475" s="1539"/>
      <c r="CE3475" s="1539"/>
      <c r="CF3475" s="1539"/>
      <c r="CG3475" s="1539"/>
      <c r="CH3475" s="1539"/>
      <c r="CI3475" s="1539"/>
      <c r="CJ3475" s="1539"/>
      <c r="CK3475" s="1539"/>
      <c r="CL3475" s="1539"/>
      <c r="CM3475" s="1539"/>
      <c r="CN3475" s="1539"/>
      <c r="CO3475" s="1539"/>
    </row>
    <row r="3476" spans="1:93" s="1552" customFormat="1" ht="15.5">
      <c r="A3476" s="1598"/>
      <c r="B3476" s="1599" t="s">
        <v>1760</v>
      </c>
      <c r="C3476" s="1643" t="e">
        <f>+SUMIF(#REF!,Final!A3476,#REF!)</f>
        <v>#REF!</v>
      </c>
      <c r="D3476" s="1597" t="e">
        <f>+SUMIF(#REF!,Final!A3476,#REF!)</f>
        <v>#REF!</v>
      </c>
      <c r="E3476" s="1643" t="e">
        <f>SUMIF(#REF!,Final!A3476,#REF!)</f>
        <v>#REF!</v>
      </c>
      <c r="F3476" s="1644" t="e">
        <f>SUMIF(#REF!,Final!A3476,#REF!)</f>
        <v>#REF!</v>
      </c>
      <c r="G3476" s="1597" t="e">
        <f t="shared" si="380"/>
        <v>#REF!</v>
      </c>
      <c r="H3476" s="1644" t="e">
        <f t="shared" si="381"/>
        <v>#REF!</v>
      </c>
      <c r="I3476" s="1597" t="e">
        <f t="shared" si="382"/>
        <v>#REF!</v>
      </c>
      <c r="J3476" s="1644" t="e">
        <f t="shared" si="383"/>
        <v>#REF!</v>
      </c>
      <c r="K3476" s="1539"/>
      <c r="L3476" s="1539"/>
      <c r="M3476" s="1545"/>
      <c r="N3476" s="1545"/>
      <c r="O3476" s="1539"/>
      <c r="P3476" s="1539"/>
      <c r="Q3476" s="1539"/>
      <c r="R3476" s="1539"/>
      <c r="S3476" s="1539"/>
      <c r="T3476" s="1539"/>
      <c r="U3476" s="1539"/>
      <c r="V3476" s="1539"/>
      <c r="W3476" s="1539"/>
      <c r="X3476" s="1539"/>
      <c r="Y3476" s="1539"/>
      <c r="Z3476" s="1539"/>
      <c r="AA3476" s="1539"/>
      <c r="AB3476" s="1539"/>
      <c r="AC3476" s="1539"/>
      <c r="AD3476" s="1539"/>
      <c r="AE3476" s="1539"/>
      <c r="AF3476" s="1539"/>
      <c r="AG3476" s="1539"/>
      <c r="AH3476" s="1539"/>
      <c r="AI3476" s="1539"/>
      <c r="AJ3476" s="1539"/>
      <c r="AK3476" s="1539"/>
      <c r="AL3476" s="1539"/>
      <c r="AM3476" s="1539"/>
      <c r="AN3476" s="1539"/>
      <c r="AO3476" s="1539"/>
      <c r="AP3476" s="1539"/>
      <c r="AQ3476" s="1539"/>
      <c r="AR3476" s="1539"/>
      <c r="AS3476" s="1539"/>
      <c r="AT3476" s="1539"/>
      <c r="AU3476" s="1539"/>
      <c r="AV3476" s="1539"/>
      <c r="AW3476" s="1539"/>
      <c r="AX3476" s="1539"/>
      <c r="AY3476" s="1539"/>
      <c r="AZ3476" s="1539"/>
      <c r="BA3476" s="1539"/>
      <c r="BB3476" s="1539"/>
      <c r="BC3476" s="1539"/>
      <c r="BD3476" s="1539"/>
      <c r="BE3476" s="1539"/>
      <c r="BF3476" s="1539"/>
      <c r="BG3476" s="1539"/>
      <c r="BH3476" s="1539"/>
      <c r="BI3476" s="1539"/>
      <c r="BJ3476" s="1539"/>
      <c r="BK3476" s="1539"/>
      <c r="BL3476" s="1539"/>
      <c r="BM3476" s="1539"/>
      <c r="BN3476" s="1539"/>
      <c r="BO3476" s="1539"/>
      <c r="BP3476" s="1539"/>
      <c r="BQ3476" s="1539"/>
      <c r="BR3476" s="1539"/>
      <c r="BS3476" s="1539"/>
      <c r="BT3476" s="1539"/>
      <c r="BU3476" s="1539"/>
      <c r="BV3476" s="1539"/>
      <c r="BW3476" s="1539"/>
      <c r="BX3476" s="1539"/>
      <c r="BY3476" s="1539"/>
      <c r="BZ3476" s="1539"/>
      <c r="CA3476" s="1539"/>
      <c r="CB3476" s="1539"/>
      <c r="CC3476" s="1539"/>
      <c r="CD3476" s="1539"/>
      <c r="CE3476" s="1539"/>
      <c r="CF3476" s="1539"/>
      <c r="CG3476" s="1539"/>
      <c r="CH3476" s="1539"/>
      <c r="CI3476" s="1539"/>
      <c r="CJ3476" s="1539"/>
      <c r="CK3476" s="1539"/>
      <c r="CL3476" s="1539"/>
      <c r="CM3476" s="1539"/>
      <c r="CN3476" s="1539"/>
      <c r="CO3476" s="1539"/>
    </row>
    <row r="3477" spans="1:93" s="1542" customFormat="1" ht="15.5">
      <c r="A3477" s="1598">
        <v>39</v>
      </c>
      <c r="B3477" s="1599" t="s">
        <v>3206</v>
      </c>
      <c r="C3477" s="1643" t="e">
        <f>+SUMIF(#REF!,Final!A3477,#REF!)</f>
        <v>#REF!</v>
      </c>
      <c r="D3477" s="1597" t="e">
        <f>+SUMIF(#REF!,Final!A3477,#REF!)</f>
        <v>#REF!</v>
      </c>
      <c r="E3477" s="1643" t="e">
        <f>SUMIF(#REF!,Final!A3477,#REF!)</f>
        <v>#REF!</v>
      </c>
      <c r="F3477" s="1644" t="e">
        <f>SUMIF(#REF!,Final!A3477,#REF!)</f>
        <v>#REF!</v>
      </c>
      <c r="G3477" s="1597" t="e">
        <f t="shared" si="380"/>
        <v>#REF!</v>
      </c>
      <c r="H3477" s="1644" t="e">
        <f t="shared" si="381"/>
        <v>#REF!</v>
      </c>
      <c r="I3477" s="1597" t="e">
        <f t="shared" si="382"/>
        <v>#REF!</v>
      </c>
      <c r="J3477" s="1644" t="e">
        <f t="shared" si="383"/>
        <v>#REF!</v>
      </c>
      <c r="K3477" s="1539"/>
      <c r="L3477" s="1539"/>
      <c r="M3477" s="1545"/>
      <c r="N3477" s="1545"/>
      <c r="O3477" s="1539"/>
      <c r="P3477" s="1539"/>
      <c r="Q3477" s="1539"/>
      <c r="R3477" s="1539"/>
      <c r="S3477" s="1539"/>
      <c r="T3477" s="1539"/>
      <c r="U3477" s="1539"/>
      <c r="V3477" s="1539"/>
      <c r="W3477" s="1539"/>
      <c r="X3477" s="1539"/>
      <c r="Y3477" s="1539"/>
      <c r="Z3477" s="1539"/>
      <c r="AA3477" s="1539"/>
      <c r="AB3477" s="1539"/>
      <c r="AC3477" s="1539"/>
      <c r="AD3477" s="1539"/>
      <c r="AE3477" s="1539"/>
      <c r="AF3477" s="1539"/>
      <c r="AG3477" s="1539"/>
      <c r="AH3477" s="1539"/>
      <c r="AI3477" s="1539"/>
      <c r="AJ3477" s="1539"/>
      <c r="AK3477" s="1539"/>
      <c r="AL3477" s="1539"/>
      <c r="AM3477" s="1539"/>
      <c r="AN3477" s="1539"/>
      <c r="AO3477" s="1539"/>
      <c r="AP3477" s="1539"/>
      <c r="AQ3477" s="1539"/>
      <c r="AR3477" s="1539"/>
      <c r="AS3477" s="1539"/>
      <c r="AT3477" s="1539"/>
      <c r="AU3477" s="1539"/>
      <c r="AV3477" s="1539"/>
      <c r="AW3477" s="1539"/>
      <c r="AX3477" s="1539"/>
      <c r="AY3477" s="1539"/>
      <c r="AZ3477" s="1539"/>
      <c r="BA3477" s="1539"/>
      <c r="BB3477" s="1539"/>
      <c r="BC3477" s="1539"/>
      <c r="BD3477" s="1539"/>
      <c r="BE3477" s="1539"/>
      <c r="BF3477" s="1539"/>
      <c r="BG3477" s="1539"/>
      <c r="BH3477" s="1539"/>
      <c r="BI3477" s="1539"/>
      <c r="BJ3477" s="1539"/>
      <c r="BK3477" s="1539"/>
      <c r="BL3477" s="1539"/>
      <c r="BM3477" s="1539"/>
      <c r="BN3477" s="1539"/>
      <c r="BO3477" s="1539"/>
      <c r="BP3477" s="1539"/>
      <c r="BQ3477" s="1539"/>
      <c r="BR3477" s="1539"/>
      <c r="BS3477" s="1539"/>
      <c r="BT3477" s="1539"/>
      <c r="BU3477" s="1539"/>
      <c r="BV3477" s="1539"/>
      <c r="BW3477" s="1539"/>
      <c r="BX3477" s="1539"/>
      <c r="BY3477" s="1539"/>
      <c r="BZ3477" s="1539"/>
      <c r="CA3477" s="1539"/>
      <c r="CB3477" s="1539"/>
      <c r="CC3477" s="1539"/>
      <c r="CD3477" s="1539"/>
      <c r="CE3477" s="1539"/>
      <c r="CF3477" s="1539"/>
      <c r="CG3477" s="1539"/>
      <c r="CH3477" s="1539"/>
      <c r="CI3477" s="1539"/>
      <c r="CJ3477" s="1539"/>
      <c r="CK3477" s="1539"/>
      <c r="CL3477" s="1539"/>
      <c r="CM3477" s="1539"/>
      <c r="CN3477" s="1539"/>
      <c r="CO3477" s="1539"/>
    </row>
    <row r="3478" spans="1:93" ht="15.5">
      <c r="A3478" s="1600">
        <v>79.739999999999995</v>
      </c>
      <c r="B3478" s="1599" t="s">
        <v>3206</v>
      </c>
      <c r="C3478" s="1643" t="e">
        <f>+SUMIF(#REF!,Final!A3478,#REF!)</f>
        <v>#REF!</v>
      </c>
      <c r="D3478" s="1597" t="e">
        <f>+SUMIF(#REF!,Final!A3478,#REF!)</f>
        <v>#REF!</v>
      </c>
      <c r="E3478" s="1643" t="e">
        <f>SUMIF(#REF!,Final!A3478,#REF!)</f>
        <v>#REF!</v>
      </c>
      <c r="F3478" s="1644" t="e">
        <f>SUMIF(#REF!,Final!A3478,#REF!)</f>
        <v>#REF!</v>
      </c>
      <c r="G3478" s="1597" t="e">
        <f t="shared" si="380"/>
        <v>#REF!</v>
      </c>
      <c r="H3478" s="1644" t="e">
        <f t="shared" si="381"/>
        <v>#REF!</v>
      </c>
      <c r="I3478" s="1597" t="e">
        <f t="shared" si="382"/>
        <v>#REF!</v>
      </c>
      <c r="J3478" s="1644" t="e">
        <f t="shared" si="383"/>
        <v>#REF!</v>
      </c>
      <c r="M3478" s="1545"/>
      <c r="N3478" s="1545"/>
    </row>
    <row r="3479" spans="1:93" s="1552" customFormat="1" ht="15.5">
      <c r="A3479" s="1598"/>
      <c r="B3479" s="1599" t="s">
        <v>1747</v>
      </c>
      <c r="C3479" s="1643" t="e">
        <f>+SUMIF(#REF!,Final!A3479,#REF!)</f>
        <v>#REF!</v>
      </c>
      <c r="D3479" s="1597" t="e">
        <f>+SUMIF(#REF!,Final!A3479,#REF!)</f>
        <v>#REF!</v>
      </c>
      <c r="E3479" s="1643" t="e">
        <f>SUMIF(#REF!,Final!A3479,#REF!)</f>
        <v>#REF!</v>
      </c>
      <c r="F3479" s="1644" t="e">
        <f>SUMIF(#REF!,Final!A3479,#REF!)</f>
        <v>#REF!</v>
      </c>
      <c r="G3479" s="1597" t="e">
        <f t="shared" si="380"/>
        <v>#REF!</v>
      </c>
      <c r="H3479" s="1644" t="e">
        <f t="shared" si="381"/>
        <v>#REF!</v>
      </c>
      <c r="I3479" s="1597" t="e">
        <f t="shared" si="382"/>
        <v>#REF!</v>
      </c>
      <c r="J3479" s="1644" t="e">
        <f t="shared" si="383"/>
        <v>#REF!</v>
      </c>
      <c r="K3479" s="1539"/>
      <c r="L3479" s="1539"/>
      <c r="M3479" s="1545"/>
      <c r="N3479" s="1545"/>
      <c r="O3479" s="1539"/>
      <c r="P3479" s="1539"/>
      <c r="Q3479" s="1539"/>
      <c r="R3479" s="1539"/>
      <c r="S3479" s="1539"/>
      <c r="T3479" s="1539"/>
      <c r="U3479" s="1539"/>
      <c r="V3479" s="1539"/>
      <c r="W3479" s="1539"/>
      <c r="X3479" s="1539"/>
      <c r="Y3479" s="1539"/>
      <c r="Z3479" s="1539"/>
      <c r="AA3479" s="1539"/>
      <c r="AB3479" s="1539"/>
      <c r="AC3479" s="1539"/>
      <c r="AD3479" s="1539"/>
      <c r="AE3479" s="1539"/>
      <c r="AF3479" s="1539"/>
      <c r="AG3479" s="1539"/>
      <c r="AH3479" s="1539"/>
      <c r="AI3479" s="1539"/>
      <c r="AJ3479" s="1539"/>
      <c r="AK3479" s="1539"/>
      <c r="AL3479" s="1539"/>
      <c r="AM3479" s="1539"/>
      <c r="AN3479" s="1539"/>
      <c r="AO3479" s="1539"/>
      <c r="AP3479" s="1539"/>
      <c r="AQ3479" s="1539"/>
      <c r="AR3479" s="1539"/>
      <c r="AS3479" s="1539"/>
      <c r="AT3479" s="1539"/>
      <c r="AU3479" s="1539"/>
      <c r="AV3479" s="1539"/>
      <c r="AW3479" s="1539"/>
      <c r="AX3479" s="1539"/>
      <c r="AY3479" s="1539"/>
      <c r="AZ3479" s="1539"/>
      <c r="BA3479" s="1539"/>
      <c r="BB3479" s="1539"/>
      <c r="BC3479" s="1539"/>
      <c r="BD3479" s="1539"/>
      <c r="BE3479" s="1539"/>
      <c r="BF3479" s="1539"/>
      <c r="BG3479" s="1539"/>
      <c r="BH3479" s="1539"/>
      <c r="BI3479" s="1539"/>
      <c r="BJ3479" s="1539"/>
      <c r="BK3479" s="1539"/>
      <c r="BL3479" s="1539"/>
      <c r="BM3479" s="1539"/>
      <c r="BN3479" s="1539"/>
      <c r="BO3479" s="1539"/>
      <c r="BP3479" s="1539"/>
      <c r="BQ3479" s="1539"/>
      <c r="BR3479" s="1539"/>
      <c r="BS3479" s="1539"/>
      <c r="BT3479" s="1539"/>
      <c r="BU3479" s="1539"/>
      <c r="BV3479" s="1539"/>
      <c r="BW3479" s="1539"/>
      <c r="BX3479" s="1539"/>
      <c r="BY3479" s="1539"/>
      <c r="BZ3479" s="1539"/>
      <c r="CA3479" s="1539"/>
      <c r="CB3479" s="1539"/>
      <c r="CC3479" s="1539"/>
      <c r="CD3479" s="1539"/>
      <c r="CE3479" s="1539"/>
      <c r="CF3479" s="1539"/>
      <c r="CG3479" s="1539"/>
      <c r="CH3479" s="1539"/>
      <c r="CI3479" s="1539"/>
      <c r="CJ3479" s="1539"/>
      <c r="CK3479" s="1539"/>
      <c r="CL3479" s="1539"/>
      <c r="CM3479" s="1539"/>
      <c r="CN3479" s="1539"/>
      <c r="CO3479" s="1539"/>
    </row>
    <row r="3480" spans="1:93" s="1552" customFormat="1" ht="15.5">
      <c r="A3480" s="1879">
        <v>79.75</v>
      </c>
      <c r="B3480" s="1881" t="s">
        <v>5483</v>
      </c>
      <c r="C3480" s="1643" t="e">
        <f>+SUMIF(#REF!,Final!A3480,#REF!)</f>
        <v>#REF!</v>
      </c>
      <c r="D3480" s="1597" t="e">
        <f>+SUMIF(#REF!,Final!A3480,#REF!)</f>
        <v>#REF!</v>
      </c>
      <c r="E3480" s="1643" t="e">
        <f>SUMIF(#REF!,Final!A3480,#REF!)</f>
        <v>#REF!</v>
      </c>
      <c r="F3480" s="1644" t="e">
        <f>SUMIF(#REF!,Final!A3480,#REF!)</f>
        <v>#REF!</v>
      </c>
      <c r="G3480" s="1597" t="e">
        <f t="shared" ref="G3480" si="388">C3480+E3480</f>
        <v>#REF!</v>
      </c>
      <c r="H3480" s="1644" t="e">
        <f t="shared" ref="H3480" si="389">D3480+F3480</f>
        <v>#REF!</v>
      </c>
      <c r="I3480" s="1597" t="e">
        <f t="shared" ref="I3480" si="390">IF(G3480&gt;H3480,G3480-H3480,0)</f>
        <v>#REF!</v>
      </c>
      <c r="J3480" s="1644" t="e">
        <f t="shared" ref="J3480" si="391">IF(H3480&gt;G3480,H3480-G3480,0)</f>
        <v>#REF!</v>
      </c>
      <c r="K3480" s="1539"/>
      <c r="L3480" s="1539"/>
      <c r="M3480" s="1545"/>
      <c r="N3480" s="1545"/>
      <c r="O3480" s="1539"/>
      <c r="P3480" s="1539"/>
      <c r="Q3480" s="1539"/>
      <c r="R3480" s="1539"/>
      <c r="S3480" s="1539"/>
      <c r="T3480" s="1539"/>
      <c r="U3480" s="1539"/>
      <c r="V3480" s="1539"/>
      <c r="W3480" s="1539"/>
      <c r="X3480" s="1539"/>
      <c r="Y3480" s="1539"/>
      <c r="Z3480" s="1539"/>
      <c r="AA3480" s="1539"/>
      <c r="AB3480" s="1539"/>
      <c r="AC3480" s="1539"/>
      <c r="AD3480" s="1539"/>
      <c r="AE3480" s="1539"/>
      <c r="AF3480" s="1539"/>
      <c r="AG3480" s="1539"/>
      <c r="AH3480" s="1539"/>
      <c r="AI3480" s="1539"/>
      <c r="AJ3480" s="1539"/>
      <c r="AK3480" s="1539"/>
      <c r="AL3480" s="1539"/>
      <c r="AM3480" s="1539"/>
      <c r="AN3480" s="1539"/>
      <c r="AO3480" s="1539"/>
      <c r="AP3480" s="1539"/>
      <c r="AQ3480" s="1539"/>
      <c r="AR3480" s="1539"/>
      <c r="AS3480" s="1539"/>
      <c r="AT3480" s="1539"/>
      <c r="AU3480" s="1539"/>
      <c r="AV3480" s="1539"/>
      <c r="AW3480" s="1539"/>
      <c r="AX3480" s="1539"/>
      <c r="AY3480" s="1539"/>
      <c r="AZ3480" s="1539"/>
      <c r="BA3480" s="1539"/>
      <c r="BB3480" s="1539"/>
      <c r="BC3480" s="1539"/>
      <c r="BD3480" s="1539"/>
      <c r="BE3480" s="1539"/>
      <c r="BF3480" s="1539"/>
      <c r="BG3480" s="1539"/>
      <c r="BH3480" s="1539"/>
      <c r="BI3480" s="1539"/>
      <c r="BJ3480" s="1539"/>
      <c r="BK3480" s="1539"/>
      <c r="BL3480" s="1539"/>
      <c r="BM3480" s="1539"/>
      <c r="BN3480" s="1539"/>
      <c r="BO3480" s="1539"/>
      <c r="BP3480" s="1539"/>
      <c r="BQ3480" s="1539"/>
      <c r="BR3480" s="1539"/>
      <c r="BS3480" s="1539"/>
      <c r="BT3480" s="1539"/>
      <c r="BU3480" s="1539"/>
      <c r="BV3480" s="1539"/>
      <c r="BW3480" s="1539"/>
      <c r="BX3480" s="1539"/>
      <c r="BY3480" s="1539"/>
      <c r="BZ3480" s="1539"/>
      <c r="CA3480" s="1539"/>
      <c r="CB3480" s="1539"/>
      <c r="CC3480" s="1539"/>
      <c r="CD3480" s="1539"/>
      <c r="CE3480" s="1539"/>
      <c r="CF3480" s="1539"/>
      <c r="CG3480" s="1539"/>
      <c r="CH3480" s="1539"/>
      <c r="CI3480" s="1539"/>
      <c r="CJ3480" s="1539"/>
      <c r="CK3480" s="1539"/>
      <c r="CL3480" s="1539"/>
      <c r="CM3480" s="1539"/>
      <c r="CN3480" s="1539"/>
      <c r="CO3480" s="1539"/>
    </row>
    <row r="3481" spans="1:93" s="1552" customFormat="1" ht="15.5">
      <c r="A3481" s="1598"/>
      <c r="B3481" s="1599" t="s">
        <v>1760</v>
      </c>
      <c r="C3481" s="1643" t="e">
        <f>+SUMIF(#REF!,Final!A3481,#REF!)</f>
        <v>#REF!</v>
      </c>
      <c r="D3481" s="1597" t="e">
        <f>+SUMIF(#REF!,Final!A3481,#REF!)</f>
        <v>#REF!</v>
      </c>
      <c r="E3481" s="1643" t="e">
        <f>SUMIF(#REF!,Final!A3481,#REF!)</f>
        <v>#REF!</v>
      </c>
      <c r="F3481" s="1644" t="e">
        <f>SUMIF(#REF!,Final!A3481,#REF!)</f>
        <v>#REF!</v>
      </c>
      <c r="G3481" s="1597" t="e">
        <f t="shared" si="380"/>
        <v>#REF!</v>
      </c>
      <c r="H3481" s="1644" t="e">
        <f t="shared" si="381"/>
        <v>#REF!</v>
      </c>
      <c r="I3481" s="1597" t="e">
        <f t="shared" si="382"/>
        <v>#REF!</v>
      </c>
      <c r="J3481" s="1644" t="e">
        <f t="shared" si="383"/>
        <v>#REF!</v>
      </c>
      <c r="K3481" s="1539"/>
      <c r="L3481" s="1539"/>
      <c r="M3481" s="1545"/>
      <c r="N3481" s="1545"/>
      <c r="O3481" s="1539"/>
      <c r="P3481" s="1539"/>
      <c r="Q3481" s="1539"/>
      <c r="R3481" s="1539"/>
      <c r="S3481" s="1539"/>
      <c r="T3481" s="1539"/>
      <c r="U3481" s="1539"/>
      <c r="V3481" s="1539"/>
      <c r="W3481" s="1539"/>
      <c r="X3481" s="1539"/>
      <c r="Y3481" s="1539"/>
      <c r="Z3481" s="1539"/>
      <c r="AA3481" s="1539"/>
      <c r="AB3481" s="1539"/>
      <c r="AC3481" s="1539"/>
      <c r="AD3481" s="1539"/>
      <c r="AE3481" s="1539"/>
      <c r="AF3481" s="1539"/>
      <c r="AG3481" s="1539"/>
      <c r="AH3481" s="1539"/>
      <c r="AI3481" s="1539"/>
      <c r="AJ3481" s="1539"/>
      <c r="AK3481" s="1539"/>
      <c r="AL3481" s="1539"/>
      <c r="AM3481" s="1539"/>
      <c r="AN3481" s="1539"/>
      <c r="AO3481" s="1539"/>
      <c r="AP3481" s="1539"/>
      <c r="AQ3481" s="1539"/>
      <c r="AR3481" s="1539"/>
      <c r="AS3481" s="1539"/>
      <c r="AT3481" s="1539"/>
      <c r="AU3481" s="1539"/>
      <c r="AV3481" s="1539"/>
      <c r="AW3481" s="1539"/>
      <c r="AX3481" s="1539"/>
      <c r="AY3481" s="1539"/>
      <c r="AZ3481" s="1539"/>
      <c r="BA3481" s="1539"/>
      <c r="BB3481" s="1539"/>
      <c r="BC3481" s="1539"/>
      <c r="BD3481" s="1539"/>
      <c r="BE3481" s="1539"/>
      <c r="BF3481" s="1539"/>
      <c r="BG3481" s="1539"/>
      <c r="BH3481" s="1539"/>
      <c r="BI3481" s="1539"/>
      <c r="BJ3481" s="1539"/>
      <c r="BK3481" s="1539"/>
      <c r="BL3481" s="1539"/>
      <c r="BM3481" s="1539"/>
      <c r="BN3481" s="1539"/>
      <c r="BO3481" s="1539"/>
      <c r="BP3481" s="1539"/>
      <c r="BQ3481" s="1539"/>
      <c r="BR3481" s="1539"/>
      <c r="BS3481" s="1539"/>
      <c r="BT3481" s="1539"/>
      <c r="BU3481" s="1539"/>
      <c r="BV3481" s="1539"/>
      <c r="BW3481" s="1539"/>
      <c r="BX3481" s="1539"/>
      <c r="BY3481" s="1539"/>
      <c r="BZ3481" s="1539"/>
      <c r="CA3481" s="1539"/>
      <c r="CB3481" s="1539"/>
      <c r="CC3481" s="1539"/>
      <c r="CD3481" s="1539"/>
      <c r="CE3481" s="1539"/>
      <c r="CF3481" s="1539"/>
      <c r="CG3481" s="1539"/>
      <c r="CH3481" s="1539"/>
      <c r="CI3481" s="1539"/>
      <c r="CJ3481" s="1539"/>
      <c r="CK3481" s="1539"/>
      <c r="CL3481" s="1539"/>
      <c r="CM3481" s="1539"/>
      <c r="CN3481" s="1539"/>
      <c r="CO3481" s="1539"/>
    </row>
    <row r="3482" spans="1:93" s="1552" customFormat="1" ht="15.5">
      <c r="A3482" s="1598"/>
      <c r="B3482" s="1599" t="s">
        <v>3561</v>
      </c>
      <c r="C3482" s="1643" t="e">
        <f>+SUMIF(#REF!,Final!A3482,#REF!)</f>
        <v>#REF!</v>
      </c>
      <c r="D3482" s="1597" t="e">
        <f>+SUMIF(#REF!,Final!A3482,#REF!)</f>
        <v>#REF!</v>
      </c>
      <c r="E3482" s="1643" t="e">
        <f>SUMIF(#REF!,Final!A3482,#REF!)</f>
        <v>#REF!</v>
      </c>
      <c r="F3482" s="1644" t="e">
        <f>SUMIF(#REF!,Final!A3482,#REF!)</f>
        <v>#REF!</v>
      </c>
      <c r="G3482" s="1597" t="e">
        <f t="shared" si="380"/>
        <v>#REF!</v>
      </c>
      <c r="H3482" s="1644" t="e">
        <f t="shared" si="381"/>
        <v>#REF!</v>
      </c>
      <c r="I3482" s="1597" t="e">
        <f t="shared" si="382"/>
        <v>#REF!</v>
      </c>
      <c r="J3482" s="1644" t="e">
        <f t="shared" si="383"/>
        <v>#REF!</v>
      </c>
      <c r="K3482" s="1539"/>
      <c r="L3482" s="1539"/>
      <c r="M3482" s="1545"/>
      <c r="N3482" s="1545"/>
      <c r="O3482" s="1539"/>
      <c r="P3482" s="1539"/>
      <c r="Q3482" s="1539"/>
      <c r="R3482" s="1539"/>
      <c r="S3482" s="1539"/>
      <c r="T3482" s="1539"/>
      <c r="U3482" s="1539"/>
      <c r="V3482" s="1539"/>
      <c r="W3482" s="1539"/>
      <c r="X3482" s="1539"/>
      <c r="Y3482" s="1539"/>
      <c r="Z3482" s="1539"/>
      <c r="AA3482" s="1539"/>
      <c r="AB3482" s="1539"/>
      <c r="AC3482" s="1539"/>
      <c r="AD3482" s="1539"/>
      <c r="AE3482" s="1539"/>
      <c r="AF3482" s="1539"/>
      <c r="AG3482" s="1539"/>
      <c r="AH3482" s="1539"/>
      <c r="AI3482" s="1539"/>
      <c r="AJ3482" s="1539"/>
      <c r="AK3482" s="1539"/>
      <c r="AL3482" s="1539"/>
      <c r="AM3482" s="1539"/>
      <c r="AN3482" s="1539"/>
      <c r="AO3482" s="1539"/>
      <c r="AP3482" s="1539"/>
      <c r="AQ3482" s="1539"/>
      <c r="AR3482" s="1539"/>
      <c r="AS3482" s="1539"/>
      <c r="AT3482" s="1539"/>
      <c r="AU3482" s="1539"/>
      <c r="AV3482" s="1539"/>
      <c r="AW3482" s="1539"/>
      <c r="AX3482" s="1539"/>
      <c r="AY3482" s="1539"/>
      <c r="AZ3482" s="1539"/>
      <c r="BA3482" s="1539"/>
      <c r="BB3482" s="1539"/>
      <c r="BC3482" s="1539"/>
      <c r="BD3482" s="1539"/>
      <c r="BE3482" s="1539"/>
      <c r="BF3482" s="1539"/>
      <c r="BG3482" s="1539"/>
      <c r="BH3482" s="1539"/>
      <c r="BI3482" s="1539"/>
      <c r="BJ3482" s="1539"/>
      <c r="BK3482" s="1539"/>
      <c r="BL3482" s="1539"/>
      <c r="BM3482" s="1539"/>
      <c r="BN3482" s="1539"/>
      <c r="BO3482" s="1539"/>
      <c r="BP3482" s="1539"/>
      <c r="BQ3482" s="1539"/>
      <c r="BR3482" s="1539"/>
      <c r="BS3482" s="1539"/>
      <c r="BT3482" s="1539"/>
      <c r="BU3482" s="1539"/>
      <c r="BV3482" s="1539"/>
      <c r="BW3482" s="1539"/>
      <c r="BX3482" s="1539"/>
      <c r="BY3482" s="1539"/>
      <c r="BZ3482" s="1539"/>
      <c r="CA3482" s="1539"/>
      <c r="CB3482" s="1539"/>
      <c r="CC3482" s="1539"/>
      <c r="CD3482" s="1539"/>
      <c r="CE3482" s="1539"/>
      <c r="CF3482" s="1539"/>
      <c r="CG3482" s="1539"/>
      <c r="CH3482" s="1539"/>
      <c r="CI3482" s="1539"/>
      <c r="CJ3482" s="1539"/>
      <c r="CK3482" s="1539"/>
      <c r="CL3482" s="1539"/>
      <c r="CM3482" s="1539"/>
      <c r="CN3482" s="1539"/>
      <c r="CO3482" s="1539"/>
    </row>
    <row r="3483" spans="1:93" s="1542" customFormat="1" ht="15.5">
      <c r="A3483" s="1598">
        <v>42</v>
      </c>
      <c r="B3483" s="1599" t="s">
        <v>1758</v>
      </c>
      <c r="C3483" s="1643" t="e">
        <f>+SUMIF(#REF!,Final!A3483,#REF!)</f>
        <v>#REF!</v>
      </c>
      <c r="D3483" s="1597" t="e">
        <f>+SUMIF(#REF!,Final!A3483,#REF!)</f>
        <v>#REF!</v>
      </c>
      <c r="E3483" s="1643" t="e">
        <f>SUMIF(#REF!,Final!A3483,#REF!)</f>
        <v>#REF!</v>
      </c>
      <c r="F3483" s="1644" t="e">
        <f>SUMIF(#REF!,Final!A3483,#REF!)</f>
        <v>#REF!</v>
      </c>
      <c r="G3483" s="1597" t="e">
        <f t="shared" si="380"/>
        <v>#REF!</v>
      </c>
      <c r="H3483" s="1644" t="e">
        <f t="shared" si="381"/>
        <v>#REF!</v>
      </c>
      <c r="I3483" s="1597" t="e">
        <f t="shared" si="382"/>
        <v>#REF!</v>
      </c>
      <c r="J3483" s="1644" t="e">
        <f t="shared" si="383"/>
        <v>#REF!</v>
      </c>
      <c r="K3483" s="1539"/>
      <c r="L3483" s="1539"/>
      <c r="M3483" s="1545"/>
      <c r="N3483" s="1545"/>
      <c r="O3483" s="1539"/>
      <c r="P3483" s="1539"/>
      <c r="Q3483" s="1539"/>
      <c r="R3483" s="1539"/>
      <c r="S3483" s="1539"/>
      <c r="T3483" s="1539"/>
      <c r="U3483" s="1539"/>
      <c r="V3483" s="1539"/>
      <c r="W3483" s="1539"/>
      <c r="X3483" s="1539"/>
      <c r="Y3483" s="1539"/>
      <c r="Z3483" s="1539"/>
      <c r="AA3483" s="1539"/>
      <c r="AB3483" s="1539"/>
      <c r="AC3483" s="1539"/>
      <c r="AD3483" s="1539"/>
      <c r="AE3483" s="1539"/>
      <c r="AF3483" s="1539"/>
      <c r="AG3483" s="1539"/>
      <c r="AH3483" s="1539"/>
      <c r="AI3483" s="1539"/>
      <c r="AJ3483" s="1539"/>
      <c r="AK3483" s="1539"/>
      <c r="AL3483" s="1539"/>
      <c r="AM3483" s="1539"/>
      <c r="AN3483" s="1539"/>
      <c r="AO3483" s="1539"/>
      <c r="AP3483" s="1539"/>
      <c r="AQ3483" s="1539"/>
      <c r="AR3483" s="1539"/>
      <c r="AS3483" s="1539"/>
      <c r="AT3483" s="1539"/>
      <c r="AU3483" s="1539"/>
      <c r="AV3483" s="1539"/>
      <c r="AW3483" s="1539"/>
      <c r="AX3483" s="1539"/>
      <c r="AY3483" s="1539"/>
      <c r="AZ3483" s="1539"/>
      <c r="BA3483" s="1539"/>
      <c r="BB3483" s="1539"/>
      <c r="BC3483" s="1539"/>
      <c r="BD3483" s="1539"/>
      <c r="BE3483" s="1539"/>
      <c r="BF3483" s="1539"/>
      <c r="BG3483" s="1539"/>
      <c r="BH3483" s="1539"/>
      <c r="BI3483" s="1539"/>
      <c r="BJ3483" s="1539"/>
      <c r="BK3483" s="1539"/>
      <c r="BL3483" s="1539"/>
      <c r="BM3483" s="1539"/>
      <c r="BN3483" s="1539"/>
      <c r="BO3483" s="1539"/>
      <c r="BP3483" s="1539"/>
      <c r="BQ3483" s="1539"/>
      <c r="BR3483" s="1539"/>
      <c r="BS3483" s="1539"/>
      <c r="BT3483" s="1539"/>
      <c r="BU3483" s="1539"/>
      <c r="BV3483" s="1539"/>
      <c r="BW3483" s="1539"/>
      <c r="BX3483" s="1539"/>
      <c r="BY3483" s="1539"/>
      <c r="BZ3483" s="1539"/>
      <c r="CA3483" s="1539"/>
      <c r="CB3483" s="1539"/>
      <c r="CC3483" s="1539"/>
      <c r="CD3483" s="1539"/>
      <c r="CE3483" s="1539"/>
      <c r="CF3483" s="1539"/>
      <c r="CG3483" s="1539"/>
      <c r="CH3483" s="1539"/>
      <c r="CI3483" s="1539"/>
      <c r="CJ3483" s="1539"/>
      <c r="CK3483" s="1539"/>
      <c r="CL3483" s="1539"/>
      <c r="CM3483" s="1539"/>
      <c r="CN3483" s="1539"/>
      <c r="CO3483" s="1539"/>
    </row>
    <row r="3484" spans="1:93" ht="15.5">
      <c r="A3484" s="1598">
        <v>81.11</v>
      </c>
      <c r="B3484" s="1599" t="s">
        <v>3562</v>
      </c>
      <c r="C3484" s="1643" t="e">
        <f>+SUMIF(#REF!,Final!A3484,#REF!)</f>
        <v>#REF!</v>
      </c>
      <c r="D3484" s="1597" t="e">
        <f>+SUMIF(#REF!,Final!A3484,#REF!)</f>
        <v>#REF!</v>
      </c>
      <c r="E3484" s="1643" t="e">
        <f>SUMIF(#REF!,Final!A3484,#REF!)</f>
        <v>#REF!</v>
      </c>
      <c r="F3484" s="1644" t="e">
        <f>SUMIF(#REF!,Final!A3484,#REF!)</f>
        <v>#REF!</v>
      </c>
      <c r="G3484" s="1597" t="e">
        <f t="shared" si="380"/>
        <v>#REF!</v>
      </c>
      <c r="H3484" s="1644" t="e">
        <f t="shared" si="381"/>
        <v>#REF!</v>
      </c>
      <c r="I3484" s="1597" t="e">
        <f t="shared" si="382"/>
        <v>#REF!</v>
      </c>
      <c r="J3484" s="1644" t="e">
        <f t="shared" si="383"/>
        <v>#REF!</v>
      </c>
      <c r="M3484" s="1545"/>
      <c r="N3484" s="1545"/>
    </row>
    <row r="3485" spans="1:93" s="1552" customFormat="1" ht="15.5">
      <c r="A3485" s="1598"/>
      <c r="B3485" s="1599" t="s">
        <v>1747</v>
      </c>
      <c r="C3485" s="1643" t="e">
        <f>+SUMIF(#REF!,Final!A3485,#REF!)</f>
        <v>#REF!</v>
      </c>
      <c r="D3485" s="1597" t="e">
        <f>+SUMIF(#REF!,Final!A3485,#REF!)</f>
        <v>#REF!</v>
      </c>
      <c r="E3485" s="1643" t="e">
        <f>SUMIF(#REF!,Final!A3485,#REF!)</f>
        <v>#REF!</v>
      </c>
      <c r="F3485" s="1644" t="e">
        <f>SUMIF(#REF!,Final!A3485,#REF!)</f>
        <v>#REF!</v>
      </c>
      <c r="G3485" s="1597" t="e">
        <f t="shared" si="380"/>
        <v>#REF!</v>
      </c>
      <c r="H3485" s="1644" t="e">
        <f t="shared" si="381"/>
        <v>#REF!</v>
      </c>
      <c r="I3485" s="1597" t="e">
        <f t="shared" si="382"/>
        <v>#REF!</v>
      </c>
      <c r="J3485" s="1644" t="e">
        <f t="shared" si="383"/>
        <v>#REF!</v>
      </c>
      <c r="K3485" s="1539"/>
      <c r="L3485" s="1539"/>
      <c r="M3485" s="1545"/>
      <c r="N3485" s="1545"/>
      <c r="O3485" s="1539"/>
      <c r="P3485" s="1539"/>
      <c r="Q3485" s="1539"/>
      <c r="R3485" s="1539"/>
      <c r="S3485" s="1539"/>
      <c r="T3485" s="1539"/>
      <c r="U3485" s="1539"/>
      <c r="V3485" s="1539"/>
      <c r="W3485" s="1539"/>
      <c r="X3485" s="1539"/>
      <c r="Y3485" s="1539"/>
      <c r="Z3485" s="1539"/>
      <c r="AA3485" s="1539"/>
      <c r="AB3485" s="1539"/>
      <c r="AC3485" s="1539"/>
      <c r="AD3485" s="1539"/>
      <c r="AE3485" s="1539"/>
      <c r="AF3485" s="1539"/>
      <c r="AG3485" s="1539"/>
      <c r="AH3485" s="1539"/>
      <c r="AI3485" s="1539"/>
      <c r="AJ3485" s="1539"/>
      <c r="AK3485" s="1539"/>
      <c r="AL3485" s="1539"/>
      <c r="AM3485" s="1539"/>
      <c r="AN3485" s="1539"/>
      <c r="AO3485" s="1539"/>
      <c r="AP3485" s="1539"/>
      <c r="AQ3485" s="1539"/>
      <c r="AR3485" s="1539"/>
      <c r="AS3485" s="1539"/>
      <c r="AT3485" s="1539"/>
      <c r="AU3485" s="1539"/>
      <c r="AV3485" s="1539"/>
      <c r="AW3485" s="1539"/>
      <c r="AX3485" s="1539"/>
      <c r="AY3485" s="1539"/>
      <c r="AZ3485" s="1539"/>
      <c r="BA3485" s="1539"/>
      <c r="BB3485" s="1539"/>
      <c r="BC3485" s="1539"/>
      <c r="BD3485" s="1539"/>
      <c r="BE3485" s="1539"/>
      <c r="BF3485" s="1539"/>
      <c r="BG3485" s="1539"/>
      <c r="BH3485" s="1539"/>
      <c r="BI3485" s="1539"/>
      <c r="BJ3485" s="1539"/>
      <c r="BK3485" s="1539"/>
      <c r="BL3485" s="1539"/>
      <c r="BM3485" s="1539"/>
      <c r="BN3485" s="1539"/>
      <c r="BO3485" s="1539"/>
      <c r="BP3485" s="1539"/>
      <c r="BQ3485" s="1539"/>
      <c r="BR3485" s="1539"/>
      <c r="BS3485" s="1539"/>
      <c r="BT3485" s="1539"/>
      <c r="BU3485" s="1539"/>
      <c r="BV3485" s="1539"/>
      <c r="BW3485" s="1539"/>
      <c r="BX3485" s="1539"/>
      <c r="BY3485" s="1539"/>
      <c r="BZ3485" s="1539"/>
      <c r="CA3485" s="1539"/>
      <c r="CB3485" s="1539"/>
      <c r="CC3485" s="1539"/>
      <c r="CD3485" s="1539"/>
      <c r="CE3485" s="1539"/>
      <c r="CF3485" s="1539"/>
      <c r="CG3485" s="1539"/>
      <c r="CH3485" s="1539"/>
      <c r="CI3485" s="1539"/>
      <c r="CJ3485" s="1539"/>
      <c r="CK3485" s="1539"/>
      <c r="CL3485" s="1539"/>
      <c r="CM3485" s="1539"/>
      <c r="CN3485" s="1539"/>
      <c r="CO3485" s="1539"/>
    </row>
    <row r="3486" spans="1:93" s="1552" customFormat="1" ht="15.5">
      <c r="A3486" s="1598"/>
      <c r="B3486" s="1599" t="s">
        <v>1760</v>
      </c>
      <c r="C3486" s="1643" t="e">
        <f>+SUMIF(#REF!,Final!A3486,#REF!)</f>
        <v>#REF!</v>
      </c>
      <c r="D3486" s="1597" t="e">
        <f>+SUMIF(#REF!,Final!A3486,#REF!)</f>
        <v>#REF!</v>
      </c>
      <c r="E3486" s="1643" t="e">
        <f>SUMIF(#REF!,Final!A3486,#REF!)</f>
        <v>#REF!</v>
      </c>
      <c r="F3486" s="1644" t="e">
        <f>SUMIF(#REF!,Final!A3486,#REF!)</f>
        <v>#REF!</v>
      </c>
      <c r="G3486" s="1597" t="e">
        <f t="shared" si="380"/>
        <v>#REF!</v>
      </c>
      <c r="H3486" s="1644" t="e">
        <f t="shared" si="381"/>
        <v>#REF!</v>
      </c>
      <c r="I3486" s="1597" t="e">
        <f t="shared" si="382"/>
        <v>#REF!</v>
      </c>
      <c r="J3486" s="1644" t="e">
        <f t="shared" si="383"/>
        <v>#REF!</v>
      </c>
      <c r="K3486" s="1539"/>
      <c r="L3486" s="1539"/>
      <c r="M3486" s="1545"/>
      <c r="N3486" s="1545"/>
      <c r="O3486" s="1539"/>
      <c r="P3486" s="1539"/>
      <c r="Q3486" s="1539"/>
      <c r="R3486" s="1539"/>
      <c r="S3486" s="1539"/>
      <c r="T3486" s="1539"/>
      <c r="U3486" s="1539"/>
      <c r="V3486" s="1539"/>
      <c r="W3486" s="1539"/>
      <c r="X3486" s="1539"/>
      <c r="Y3486" s="1539"/>
      <c r="Z3486" s="1539"/>
      <c r="AA3486" s="1539"/>
      <c r="AB3486" s="1539"/>
      <c r="AC3486" s="1539"/>
      <c r="AD3486" s="1539"/>
      <c r="AE3486" s="1539"/>
      <c r="AF3486" s="1539"/>
      <c r="AG3486" s="1539"/>
      <c r="AH3486" s="1539"/>
      <c r="AI3486" s="1539"/>
      <c r="AJ3486" s="1539"/>
      <c r="AK3486" s="1539"/>
      <c r="AL3486" s="1539"/>
      <c r="AM3486" s="1539"/>
      <c r="AN3486" s="1539"/>
      <c r="AO3486" s="1539"/>
      <c r="AP3486" s="1539"/>
      <c r="AQ3486" s="1539"/>
      <c r="AR3486" s="1539"/>
      <c r="AS3486" s="1539"/>
      <c r="AT3486" s="1539"/>
      <c r="AU3486" s="1539"/>
      <c r="AV3486" s="1539"/>
      <c r="AW3486" s="1539"/>
      <c r="AX3486" s="1539"/>
      <c r="AY3486" s="1539"/>
      <c r="AZ3486" s="1539"/>
      <c r="BA3486" s="1539"/>
      <c r="BB3486" s="1539"/>
      <c r="BC3486" s="1539"/>
      <c r="BD3486" s="1539"/>
      <c r="BE3486" s="1539"/>
      <c r="BF3486" s="1539"/>
      <c r="BG3486" s="1539"/>
      <c r="BH3486" s="1539"/>
      <c r="BI3486" s="1539"/>
      <c r="BJ3486" s="1539"/>
      <c r="BK3486" s="1539"/>
      <c r="BL3486" s="1539"/>
      <c r="BM3486" s="1539"/>
      <c r="BN3486" s="1539"/>
      <c r="BO3486" s="1539"/>
      <c r="BP3486" s="1539"/>
      <c r="BQ3486" s="1539"/>
      <c r="BR3486" s="1539"/>
      <c r="BS3486" s="1539"/>
      <c r="BT3486" s="1539"/>
      <c r="BU3486" s="1539"/>
      <c r="BV3486" s="1539"/>
      <c r="BW3486" s="1539"/>
      <c r="BX3486" s="1539"/>
      <c r="BY3486" s="1539"/>
      <c r="BZ3486" s="1539"/>
      <c r="CA3486" s="1539"/>
      <c r="CB3486" s="1539"/>
      <c r="CC3486" s="1539"/>
      <c r="CD3486" s="1539"/>
      <c r="CE3486" s="1539"/>
      <c r="CF3486" s="1539"/>
      <c r="CG3486" s="1539"/>
      <c r="CH3486" s="1539"/>
      <c r="CI3486" s="1539"/>
      <c r="CJ3486" s="1539"/>
      <c r="CK3486" s="1539"/>
      <c r="CL3486" s="1539"/>
      <c r="CM3486" s="1539"/>
      <c r="CN3486" s="1539"/>
      <c r="CO3486" s="1539"/>
    </row>
    <row r="3487" spans="1:93" s="1552" customFormat="1" ht="15.5">
      <c r="A3487" s="1598"/>
      <c r="B3487" s="1599" t="s">
        <v>3563</v>
      </c>
      <c r="C3487" s="1643" t="e">
        <f>+SUMIF(#REF!,Final!A3487,#REF!)</f>
        <v>#REF!</v>
      </c>
      <c r="D3487" s="1597" t="e">
        <f>+SUMIF(#REF!,Final!A3487,#REF!)</f>
        <v>#REF!</v>
      </c>
      <c r="E3487" s="1643" t="e">
        <f>SUMIF(#REF!,Final!A3487,#REF!)</f>
        <v>#REF!</v>
      </c>
      <c r="F3487" s="1644" t="e">
        <f>SUMIF(#REF!,Final!A3487,#REF!)</f>
        <v>#REF!</v>
      </c>
      <c r="G3487" s="1597" t="e">
        <f t="shared" si="380"/>
        <v>#REF!</v>
      </c>
      <c r="H3487" s="1644" t="e">
        <f t="shared" si="381"/>
        <v>#REF!</v>
      </c>
      <c r="I3487" s="1597" t="e">
        <f t="shared" si="382"/>
        <v>#REF!</v>
      </c>
      <c r="J3487" s="1644" t="e">
        <f t="shared" si="383"/>
        <v>#REF!</v>
      </c>
      <c r="K3487" s="1539"/>
      <c r="L3487" s="1539"/>
      <c r="M3487" s="1545"/>
      <c r="N3487" s="1545"/>
      <c r="O3487" s="1539"/>
      <c r="P3487" s="1539"/>
      <c r="Q3487" s="1539"/>
      <c r="R3487" s="1539"/>
      <c r="S3487" s="1539"/>
      <c r="T3487" s="1539"/>
      <c r="U3487" s="1539"/>
      <c r="V3487" s="1539"/>
      <c r="W3487" s="1539"/>
      <c r="X3487" s="1539"/>
      <c r="Y3487" s="1539"/>
      <c r="Z3487" s="1539"/>
      <c r="AA3487" s="1539"/>
      <c r="AB3487" s="1539"/>
      <c r="AC3487" s="1539"/>
      <c r="AD3487" s="1539"/>
      <c r="AE3487" s="1539"/>
      <c r="AF3487" s="1539"/>
      <c r="AG3487" s="1539"/>
      <c r="AH3487" s="1539"/>
      <c r="AI3487" s="1539"/>
      <c r="AJ3487" s="1539"/>
      <c r="AK3487" s="1539"/>
      <c r="AL3487" s="1539"/>
      <c r="AM3487" s="1539"/>
      <c r="AN3487" s="1539"/>
      <c r="AO3487" s="1539"/>
      <c r="AP3487" s="1539"/>
      <c r="AQ3487" s="1539"/>
      <c r="AR3487" s="1539"/>
      <c r="AS3487" s="1539"/>
      <c r="AT3487" s="1539"/>
      <c r="AU3487" s="1539"/>
      <c r="AV3487" s="1539"/>
      <c r="AW3487" s="1539"/>
      <c r="AX3487" s="1539"/>
      <c r="AY3487" s="1539"/>
      <c r="AZ3487" s="1539"/>
      <c r="BA3487" s="1539"/>
      <c r="BB3487" s="1539"/>
      <c r="BC3487" s="1539"/>
      <c r="BD3487" s="1539"/>
      <c r="BE3487" s="1539"/>
      <c r="BF3487" s="1539"/>
      <c r="BG3487" s="1539"/>
      <c r="BH3487" s="1539"/>
      <c r="BI3487" s="1539"/>
      <c r="BJ3487" s="1539"/>
      <c r="BK3487" s="1539"/>
      <c r="BL3487" s="1539"/>
      <c r="BM3487" s="1539"/>
      <c r="BN3487" s="1539"/>
      <c r="BO3487" s="1539"/>
      <c r="BP3487" s="1539"/>
      <c r="BQ3487" s="1539"/>
      <c r="BR3487" s="1539"/>
      <c r="BS3487" s="1539"/>
      <c r="BT3487" s="1539"/>
      <c r="BU3487" s="1539"/>
      <c r="BV3487" s="1539"/>
      <c r="BW3487" s="1539"/>
      <c r="BX3487" s="1539"/>
      <c r="BY3487" s="1539"/>
      <c r="BZ3487" s="1539"/>
      <c r="CA3487" s="1539"/>
      <c r="CB3487" s="1539"/>
      <c r="CC3487" s="1539"/>
      <c r="CD3487" s="1539"/>
      <c r="CE3487" s="1539"/>
      <c r="CF3487" s="1539"/>
      <c r="CG3487" s="1539"/>
      <c r="CH3487" s="1539"/>
      <c r="CI3487" s="1539"/>
      <c r="CJ3487" s="1539"/>
      <c r="CK3487" s="1539"/>
      <c r="CL3487" s="1539"/>
      <c r="CM3487" s="1539"/>
      <c r="CN3487" s="1539"/>
      <c r="CO3487" s="1539"/>
    </row>
    <row r="3488" spans="1:93" s="1542" customFormat="1" ht="15.5">
      <c r="A3488" s="1598">
        <v>41</v>
      </c>
      <c r="B3488" s="1599" t="s">
        <v>3513</v>
      </c>
      <c r="C3488" s="1643" t="e">
        <f>+SUMIF(#REF!,Final!A3488,#REF!)</f>
        <v>#REF!</v>
      </c>
      <c r="D3488" s="1597" t="e">
        <f>+SUMIF(#REF!,Final!A3488,#REF!)</f>
        <v>#REF!</v>
      </c>
      <c r="E3488" s="1643" t="e">
        <f>SUMIF(#REF!,Final!A3488,#REF!)</f>
        <v>#REF!</v>
      </c>
      <c r="F3488" s="1644" t="e">
        <f>SUMIF(#REF!,Final!A3488,#REF!)</f>
        <v>#REF!</v>
      </c>
      <c r="G3488" s="1597" t="e">
        <f t="shared" si="380"/>
        <v>#REF!</v>
      </c>
      <c r="H3488" s="1644" t="e">
        <f t="shared" si="381"/>
        <v>#REF!</v>
      </c>
      <c r="I3488" s="1597" t="e">
        <f t="shared" si="382"/>
        <v>#REF!</v>
      </c>
      <c r="J3488" s="1644" t="e">
        <f t="shared" si="383"/>
        <v>#REF!</v>
      </c>
      <c r="K3488" s="1539"/>
      <c r="L3488" s="1539"/>
      <c r="M3488" s="1545"/>
      <c r="N3488" s="1545"/>
      <c r="O3488" s="1539"/>
      <c r="P3488" s="1539"/>
      <c r="Q3488" s="1539"/>
      <c r="R3488" s="1539"/>
      <c r="S3488" s="1539"/>
      <c r="T3488" s="1539"/>
      <c r="U3488" s="1539"/>
      <c r="V3488" s="1539"/>
      <c r="W3488" s="1539"/>
      <c r="X3488" s="1539"/>
      <c r="Y3488" s="1539"/>
      <c r="Z3488" s="1539"/>
      <c r="AA3488" s="1539"/>
      <c r="AB3488" s="1539"/>
      <c r="AC3488" s="1539"/>
      <c r="AD3488" s="1539"/>
      <c r="AE3488" s="1539"/>
      <c r="AF3488" s="1539"/>
      <c r="AG3488" s="1539"/>
      <c r="AH3488" s="1539"/>
      <c r="AI3488" s="1539"/>
      <c r="AJ3488" s="1539"/>
      <c r="AK3488" s="1539"/>
      <c r="AL3488" s="1539"/>
      <c r="AM3488" s="1539"/>
      <c r="AN3488" s="1539"/>
      <c r="AO3488" s="1539"/>
      <c r="AP3488" s="1539"/>
      <c r="AQ3488" s="1539"/>
      <c r="AR3488" s="1539"/>
      <c r="AS3488" s="1539"/>
      <c r="AT3488" s="1539"/>
      <c r="AU3488" s="1539"/>
      <c r="AV3488" s="1539"/>
      <c r="AW3488" s="1539"/>
      <c r="AX3488" s="1539"/>
      <c r="AY3488" s="1539"/>
      <c r="AZ3488" s="1539"/>
      <c r="BA3488" s="1539"/>
      <c r="BB3488" s="1539"/>
      <c r="BC3488" s="1539"/>
      <c r="BD3488" s="1539"/>
      <c r="BE3488" s="1539"/>
      <c r="BF3488" s="1539"/>
      <c r="BG3488" s="1539"/>
      <c r="BH3488" s="1539"/>
      <c r="BI3488" s="1539"/>
      <c r="BJ3488" s="1539"/>
      <c r="BK3488" s="1539"/>
      <c r="BL3488" s="1539"/>
      <c r="BM3488" s="1539"/>
      <c r="BN3488" s="1539"/>
      <c r="BO3488" s="1539"/>
      <c r="BP3488" s="1539"/>
      <c r="BQ3488" s="1539"/>
      <c r="BR3488" s="1539"/>
      <c r="BS3488" s="1539"/>
      <c r="BT3488" s="1539"/>
      <c r="BU3488" s="1539"/>
      <c r="BV3488" s="1539"/>
      <c r="BW3488" s="1539"/>
      <c r="BX3488" s="1539"/>
      <c r="BY3488" s="1539"/>
      <c r="BZ3488" s="1539"/>
      <c r="CA3488" s="1539"/>
      <c r="CB3488" s="1539"/>
      <c r="CC3488" s="1539"/>
      <c r="CD3488" s="1539"/>
      <c r="CE3488" s="1539"/>
      <c r="CF3488" s="1539"/>
      <c r="CG3488" s="1539"/>
      <c r="CH3488" s="1539"/>
      <c r="CI3488" s="1539"/>
      <c r="CJ3488" s="1539"/>
      <c r="CK3488" s="1539"/>
      <c r="CL3488" s="1539"/>
      <c r="CM3488" s="1539"/>
      <c r="CN3488" s="1539"/>
      <c r="CO3488" s="1539"/>
    </row>
    <row r="3489" spans="1:93" s="1542" customFormat="1" ht="15.5">
      <c r="A3489" s="1598" t="s">
        <v>545</v>
      </c>
      <c r="B3489" s="1599" t="s">
        <v>116</v>
      </c>
      <c r="C3489" s="1643" t="e">
        <f>+SUMIF(#REF!,Final!A3489,#REF!)</f>
        <v>#REF!</v>
      </c>
      <c r="D3489" s="1597" t="e">
        <f>+SUMIF(#REF!,Final!A3489,#REF!)</f>
        <v>#REF!</v>
      </c>
      <c r="E3489" s="1643" t="e">
        <f>SUMIF(#REF!,Final!A3489,#REF!)</f>
        <v>#REF!</v>
      </c>
      <c r="F3489" s="1644" t="e">
        <f>SUMIF(#REF!,Final!A3489,#REF!)</f>
        <v>#REF!</v>
      </c>
      <c r="G3489" s="1597" t="e">
        <f t="shared" si="380"/>
        <v>#REF!</v>
      </c>
      <c r="H3489" s="1644" t="e">
        <f t="shared" si="381"/>
        <v>#REF!</v>
      </c>
      <c r="I3489" s="1597" t="e">
        <f t="shared" si="382"/>
        <v>#REF!</v>
      </c>
      <c r="J3489" s="1644" t="e">
        <f t="shared" si="383"/>
        <v>#REF!</v>
      </c>
      <c r="K3489" s="1539"/>
      <c r="L3489" s="1539"/>
      <c r="M3489" s="1545"/>
      <c r="N3489" s="1545"/>
      <c r="O3489" s="1539"/>
      <c r="P3489" s="1539"/>
      <c r="Q3489" s="1539"/>
      <c r="R3489" s="1539"/>
      <c r="S3489" s="1539"/>
      <c r="T3489" s="1539"/>
      <c r="U3489" s="1539"/>
      <c r="V3489" s="1539"/>
      <c r="W3489" s="1539"/>
      <c r="X3489" s="1539"/>
      <c r="Y3489" s="1539"/>
      <c r="Z3489" s="1539"/>
      <c r="AA3489" s="1539"/>
      <c r="AB3489" s="1539"/>
      <c r="AC3489" s="1539"/>
      <c r="AD3489" s="1539"/>
      <c r="AE3489" s="1539"/>
      <c r="AF3489" s="1539"/>
      <c r="AG3489" s="1539"/>
      <c r="AH3489" s="1539"/>
      <c r="AI3489" s="1539"/>
      <c r="AJ3489" s="1539"/>
      <c r="AK3489" s="1539"/>
      <c r="AL3489" s="1539"/>
      <c r="AM3489" s="1539"/>
      <c r="AN3489" s="1539"/>
      <c r="AO3489" s="1539"/>
      <c r="AP3489" s="1539"/>
      <c r="AQ3489" s="1539"/>
      <c r="AR3489" s="1539"/>
      <c r="AS3489" s="1539"/>
      <c r="AT3489" s="1539"/>
      <c r="AU3489" s="1539"/>
      <c r="AV3489" s="1539"/>
      <c r="AW3489" s="1539"/>
      <c r="AX3489" s="1539"/>
      <c r="AY3489" s="1539"/>
      <c r="AZ3489" s="1539"/>
      <c r="BA3489" s="1539"/>
      <c r="BB3489" s="1539"/>
      <c r="BC3489" s="1539"/>
      <c r="BD3489" s="1539"/>
      <c r="BE3489" s="1539"/>
      <c r="BF3489" s="1539"/>
      <c r="BG3489" s="1539"/>
      <c r="BH3489" s="1539"/>
      <c r="BI3489" s="1539"/>
      <c r="BJ3489" s="1539"/>
      <c r="BK3489" s="1539"/>
      <c r="BL3489" s="1539"/>
      <c r="BM3489" s="1539"/>
      <c r="BN3489" s="1539"/>
      <c r="BO3489" s="1539"/>
      <c r="BP3489" s="1539"/>
      <c r="BQ3489" s="1539"/>
      <c r="BR3489" s="1539"/>
      <c r="BS3489" s="1539"/>
      <c r="BT3489" s="1539"/>
      <c r="BU3489" s="1539"/>
      <c r="BV3489" s="1539"/>
      <c r="BW3489" s="1539"/>
      <c r="BX3489" s="1539"/>
      <c r="BY3489" s="1539"/>
      <c r="BZ3489" s="1539"/>
      <c r="CA3489" s="1539"/>
      <c r="CB3489" s="1539"/>
      <c r="CC3489" s="1539"/>
      <c r="CD3489" s="1539"/>
      <c r="CE3489" s="1539"/>
      <c r="CF3489" s="1539"/>
      <c r="CG3489" s="1539"/>
      <c r="CH3489" s="1539"/>
      <c r="CI3489" s="1539"/>
      <c r="CJ3489" s="1539"/>
      <c r="CK3489" s="1539"/>
      <c r="CL3489" s="1539"/>
      <c r="CM3489" s="1539"/>
      <c r="CN3489" s="1539"/>
      <c r="CO3489" s="1539"/>
    </row>
    <row r="3490" spans="1:93" ht="15.5">
      <c r="A3490" s="1598">
        <v>83.31</v>
      </c>
      <c r="B3490" s="1599" t="s">
        <v>3564</v>
      </c>
      <c r="C3490" s="1643" t="e">
        <f>+SUMIF(#REF!,Final!A3490,#REF!)</f>
        <v>#REF!</v>
      </c>
      <c r="D3490" s="1597" t="e">
        <f>+SUMIF(#REF!,Final!A3490,#REF!)</f>
        <v>#REF!</v>
      </c>
      <c r="E3490" s="1643" t="e">
        <f>SUMIF(#REF!,Final!A3490,#REF!)</f>
        <v>#REF!</v>
      </c>
      <c r="F3490" s="1644" t="e">
        <f>SUMIF(#REF!,Final!A3490,#REF!)</f>
        <v>#REF!</v>
      </c>
      <c r="G3490" s="1597" t="e">
        <f t="shared" si="380"/>
        <v>#REF!</v>
      </c>
      <c r="H3490" s="1644" t="e">
        <f t="shared" si="381"/>
        <v>#REF!</v>
      </c>
      <c r="I3490" s="1597" t="e">
        <f t="shared" si="382"/>
        <v>#REF!</v>
      </c>
      <c r="J3490" s="1644" t="e">
        <f t="shared" si="383"/>
        <v>#REF!</v>
      </c>
      <c r="M3490" s="1545"/>
      <c r="N3490" s="1545"/>
    </row>
    <row r="3491" spans="1:93" s="1552" customFormat="1" ht="15.5">
      <c r="A3491" s="1598"/>
      <c r="B3491" s="1599" t="s">
        <v>1747</v>
      </c>
      <c r="C3491" s="1643" t="e">
        <f>+SUMIF(#REF!,Final!A3491,#REF!)</f>
        <v>#REF!</v>
      </c>
      <c r="D3491" s="1597" t="e">
        <f>+SUMIF(#REF!,Final!A3491,#REF!)</f>
        <v>#REF!</v>
      </c>
      <c r="E3491" s="1643" t="e">
        <f>SUMIF(#REF!,Final!A3491,#REF!)</f>
        <v>#REF!</v>
      </c>
      <c r="F3491" s="1644" t="e">
        <f>SUMIF(#REF!,Final!A3491,#REF!)</f>
        <v>#REF!</v>
      </c>
      <c r="G3491" s="1597" t="e">
        <f t="shared" si="380"/>
        <v>#REF!</v>
      </c>
      <c r="H3491" s="1644" t="e">
        <f t="shared" si="381"/>
        <v>#REF!</v>
      </c>
      <c r="I3491" s="1597" t="e">
        <f t="shared" si="382"/>
        <v>#REF!</v>
      </c>
      <c r="J3491" s="1644" t="e">
        <f t="shared" si="383"/>
        <v>#REF!</v>
      </c>
      <c r="K3491" s="1539"/>
      <c r="L3491" s="1539"/>
      <c r="M3491" s="1545"/>
      <c r="N3491" s="1545"/>
      <c r="O3491" s="1539"/>
      <c r="P3491" s="1539"/>
      <c r="Q3491" s="1539"/>
      <c r="R3491" s="1539"/>
      <c r="S3491" s="1539"/>
      <c r="T3491" s="1539"/>
      <c r="U3491" s="1539"/>
      <c r="V3491" s="1539"/>
      <c r="W3491" s="1539"/>
      <c r="X3491" s="1539"/>
      <c r="Y3491" s="1539"/>
      <c r="Z3491" s="1539"/>
      <c r="AA3491" s="1539"/>
      <c r="AB3491" s="1539"/>
      <c r="AC3491" s="1539"/>
      <c r="AD3491" s="1539"/>
      <c r="AE3491" s="1539"/>
      <c r="AF3491" s="1539"/>
      <c r="AG3491" s="1539"/>
      <c r="AH3491" s="1539"/>
      <c r="AI3491" s="1539"/>
      <c r="AJ3491" s="1539"/>
      <c r="AK3491" s="1539"/>
      <c r="AL3491" s="1539"/>
      <c r="AM3491" s="1539"/>
      <c r="AN3491" s="1539"/>
      <c r="AO3491" s="1539"/>
      <c r="AP3491" s="1539"/>
      <c r="AQ3491" s="1539"/>
      <c r="AR3491" s="1539"/>
      <c r="AS3491" s="1539"/>
      <c r="AT3491" s="1539"/>
      <c r="AU3491" s="1539"/>
      <c r="AV3491" s="1539"/>
      <c r="AW3491" s="1539"/>
      <c r="AX3491" s="1539"/>
      <c r="AY3491" s="1539"/>
      <c r="AZ3491" s="1539"/>
      <c r="BA3491" s="1539"/>
      <c r="BB3491" s="1539"/>
      <c r="BC3491" s="1539"/>
      <c r="BD3491" s="1539"/>
      <c r="BE3491" s="1539"/>
      <c r="BF3491" s="1539"/>
      <c r="BG3491" s="1539"/>
      <c r="BH3491" s="1539"/>
      <c r="BI3491" s="1539"/>
      <c r="BJ3491" s="1539"/>
      <c r="BK3491" s="1539"/>
      <c r="BL3491" s="1539"/>
      <c r="BM3491" s="1539"/>
      <c r="BN3491" s="1539"/>
      <c r="BO3491" s="1539"/>
      <c r="BP3491" s="1539"/>
      <c r="BQ3491" s="1539"/>
      <c r="BR3491" s="1539"/>
      <c r="BS3491" s="1539"/>
      <c r="BT3491" s="1539"/>
      <c r="BU3491" s="1539"/>
      <c r="BV3491" s="1539"/>
      <c r="BW3491" s="1539"/>
      <c r="BX3491" s="1539"/>
      <c r="BY3491" s="1539"/>
      <c r="BZ3491" s="1539"/>
      <c r="CA3491" s="1539"/>
      <c r="CB3491" s="1539"/>
      <c r="CC3491" s="1539"/>
      <c r="CD3491" s="1539"/>
      <c r="CE3491" s="1539"/>
      <c r="CF3491" s="1539"/>
      <c r="CG3491" s="1539"/>
      <c r="CH3491" s="1539"/>
      <c r="CI3491" s="1539"/>
      <c r="CJ3491" s="1539"/>
      <c r="CK3491" s="1539"/>
      <c r="CL3491" s="1539"/>
      <c r="CM3491" s="1539"/>
      <c r="CN3491" s="1539"/>
      <c r="CO3491" s="1539"/>
    </row>
    <row r="3492" spans="1:93" s="1552" customFormat="1" ht="15.5">
      <c r="A3492" s="1598"/>
      <c r="B3492" s="1599" t="s">
        <v>1760</v>
      </c>
      <c r="C3492" s="1643" t="e">
        <f>+SUMIF(#REF!,Final!A3492,#REF!)</f>
        <v>#REF!</v>
      </c>
      <c r="D3492" s="1597" t="e">
        <f>+SUMIF(#REF!,Final!A3492,#REF!)</f>
        <v>#REF!</v>
      </c>
      <c r="E3492" s="1643" t="e">
        <f>SUMIF(#REF!,Final!A3492,#REF!)</f>
        <v>#REF!</v>
      </c>
      <c r="F3492" s="1644" t="e">
        <f>SUMIF(#REF!,Final!A3492,#REF!)</f>
        <v>#REF!</v>
      </c>
      <c r="G3492" s="1597" t="e">
        <f t="shared" si="380"/>
        <v>#REF!</v>
      </c>
      <c r="H3492" s="1644" t="e">
        <f t="shared" si="381"/>
        <v>#REF!</v>
      </c>
      <c r="I3492" s="1597" t="e">
        <f t="shared" si="382"/>
        <v>#REF!</v>
      </c>
      <c r="J3492" s="1644" t="e">
        <f t="shared" si="383"/>
        <v>#REF!</v>
      </c>
      <c r="K3492" s="1539"/>
      <c r="L3492" s="1539"/>
      <c r="M3492" s="1545"/>
      <c r="N3492" s="1545"/>
      <c r="O3492" s="1539"/>
      <c r="P3492" s="1539"/>
      <c r="Q3492" s="1539"/>
      <c r="R3492" s="1539"/>
      <c r="S3492" s="1539"/>
      <c r="T3492" s="1539"/>
      <c r="U3492" s="1539"/>
      <c r="V3492" s="1539"/>
      <c r="W3492" s="1539"/>
      <c r="X3492" s="1539"/>
      <c r="Y3492" s="1539"/>
      <c r="Z3492" s="1539"/>
      <c r="AA3492" s="1539"/>
      <c r="AB3492" s="1539"/>
      <c r="AC3492" s="1539"/>
      <c r="AD3492" s="1539"/>
      <c r="AE3492" s="1539"/>
      <c r="AF3492" s="1539"/>
      <c r="AG3492" s="1539"/>
      <c r="AH3492" s="1539"/>
      <c r="AI3492" s="1539"/>
      <c r="AJ3492" s="1539"/>
      <c r="AK3492" s="1539"/>
      <c r="AL3492" s="1539"/>
      <c r="AM3492" s="1539"/>
      <c r="AN3492" s="1539"/>
      <c r="AO3492" s="1539"/>
      <c r="AP3492" s="1539"/>
      <c r="AQ3492" s="1539"/>
      <c r="AR3492" s="1539"/>
      <c r="AS3492" s="1539"/>
      <c r="AT3492" s="1539"/>
      <c r="AU3492" s="1539"/>
      <c r="AV3492" s="1539"/>
      <c r="AW3492" s="1539"/>
      <c r="AX3492" s="1539"/>
      <c r="AY3492" s="1539"/>
      <c r="AZ3492" s="1539"/>
      <c r="BA3492" s="1539"/>
      <c r="BB3492" s="1539"/>
      <c r="BC3492" s="1539"/>
      <c r="BD3492" s="1539"/>
      <c r="BE3492" s="1539"/>
      <c r="BF3492" s="1539"/>
      <c r="BG3492" s="1539"/>
      <c r="BH3492" s="1539"/>
      <c r="BI3492" s="1539"/>
      <c r="BJ3492" s="1539"/>
      <c r="BK3492" s="1539"/>
      <c r="BL3492" s="1539"/>
      <c r="BM3492" s="1539"/>
      <c r="BN3492" s="1539"/>
      <c r="BO3492" s="1539"/>
      <c r="BP3492" s="1539"/>
      <c r="BQ3492" s="1539"/>
      <c r="BR3492" s="1539"/>
      <c r="BS3492" s="1539"/>
      <c r="BT3492" s="1539"/>
      <c r="BU3492" s="1539"/>
      <c r="BV3492" s="1539"/>
      <c r="BW3492" s="1539"/>
      <c r="BX3492" s="1539"/>
      <c r="BY3492" s="1539"/>
      <c r="BZ3492" s="1539"/>
      <c r="CA3492" s="1539"/>
      <c r="CB3492" s="1539"/>
      <c r="CC3492" s="1539"/>
      <c r="CD3492" s="1539"/>
      <c r="CE3492" s="1539"/>
      <c r="CF3492" s="1539"/>
      <c r="CG3492" s="1539"/>
      <c r="CH3492" s="1539"/>
      <c r="CI3492" s="1539"/>
      <c r="CJ3492" s="1539"/>
      <c r="CK3492" s="1539"/>
      <c r="CL3492" s="1539"/>
      <c r="CM3492" s="1539"/>
      <c r="CN3492" s="1539"/>
      <c r="CO3492" s="1539"/>
    </row>
    <row r="3493" spans="1:93" s="1542" customFormat="1" ht="15.5">
      <c r="A3493" s="1598" t="s">
        <v>1404</v>
      </c>
      <c r="B3493" s="1599" t="s">
        <v>1247</v>
      </c>
      <c r="C3493" s="1643" t="e">
        <f>+SUMIF(#REF!,Final!A3493,#REF!)</f>
        <v>#REF!</v>
      </c>
      <c r="D3493" s="1597" t="e">
        <f>+SUMIF(#REF!,Final!A3493,#REF!)</f>
        <v>#REF!</v>
      </c>
      <c r="E3493" s="1643" t="e">
        <f>SUMIF(#REF!,Final!A3493,#REF!)</f>
        <v>#REF!</v>
      </c>
      <c r="F3493" s="1644" t="e">
        <f>SUMIF(#REF!,Final!A3493,#REF!)</f>
        <v>#REF!</v>
      </c>
      <c r="G3493" s="1597" t="e">
        <f t="shared" si="380"/>
        <v>#REF!</v>
      </c>
      <c r="H3493" s="1644" t="e">
        <f t="shared" si="381"/>
        <v>#REF!</v>
      </c>
      <c r="I3493" s="1597" t="e">
        <f t="shared" si="382"/>
        <v>#REF!</v>
      </c>
      <c r="J3493" s="1644" t="e">
        <f t="shared" si="383"/>
        <v>#REF!</v>
      </c>
      <c r="K3493" s="1539"/>
      <c r="L3493" s="1539"/>
      <c r="M3493" s="1545"/>
      <c r="N3493" s="1545"/>
      <c r="O3493" s="1539"/>
      <c r="P3493" s="1539"/>
      <c r="Q3493" s="1539"/>
      <c r="R3493" s="1539"/>
      <c r="S3493" s="1539"/>
      <c r="T3493" s="1539"/>
      <c r="U3493" s="1539"/>
      <c r="V3493" s="1539"/>
      <c r="W3493" s="1539"/>
      <c r="X3493" s="1539"/>
      <c r="Y3493" s="1539"/>
      <c r="Z3493" s="1539"/>
      <c r="AA3493" s="1539"/>
      <c r="AB3493" s="1539"/>
      <c r="AC3493" s="1539"/>
      <c r="AD3493" s="1539"/>
      <c r="AE3493" s="1539"/>
      <c r="AF3493" s="1539"/>
      <c r="AG3493" s="1539"/>
      <c r="AH3493" s="1539"/>
      <c r="AI3493" s="1539"/>
      <c r="AJ3493" s="1539"/>
      <c r="AK3493" s="1539"/>
      <c r="AL3493" s="1539"/>
      <c r="AM3493" s="1539"/>
      <c r="AN3493" s="1539"/>
      <c r="AO3493" s="1539"/>
      <c r="AP3493" s="1539"/>
      <c r="AQ3493" s="1539"/>
      <c r="AR3493" s="1539"/>
      <c r="AS3493" s="1539"/>
      <c r="AT3493" s="1539"/>
      <c r="AU3493" s="1539"/>
      <c r="AV3493" s="1539"/>
      <c r="AW3493" s="1539"/>
      <c r="AX3493" s="1539"/>
      <c r="AY3493" s="1539"/>
      <c r="AZ3493" s="1539"/>
      <c r="BA3493" s="1539"/>
      <c r="BB3493" s="1539"/>
      <c r="BC3493" s="1539"/>
      <c r="BD3493" s="1539"/>
      <c r="BE3493" s="1539"/>
      <c r="BF3493" s="1539"/>
      <c r="BG3493" s="1539"/>
      <c r="BH3493" s="1539"/>
      <c r="BI3493" s="1539"/>
      <c r="BJ3493" s="1539"/>
      <c r="BK3493" s="1539"/>
      <c r="BL3493" s="1539"/>
      <c r="BM3493" s="1539"/>
      <c r="BN3493" s="1539"/>
      <c r="BO3493" s="1539"/>
      <c r="BP3493" s="1539"/>
      <c r="BQ3493" s="1539"/>
      <c r="BR3493" s="1539"/>
      <c r="BS3493" s="1539"/>
      <c r="BT3493" s="1539"/>
      <c r="BU3493" s="1539"/>
      <c r="BV3493" s="1539"/>
      <c r="BW3493" s="1539"/>
      <c r="BX3493" s="1539"/>
      <c r="BY3493" s="1539"/>
      <c r="BZ3493" s="1539"/>
      <c r="CA3493" s="1539"/>
      <c r="CB3493" s="1539"/>
      <c r="CC3493" s="1539"/>
      <c r="CD3493" s="1539"/>
      <c r="CE3493" s="1539"/>
      <c r="CF3493" s="1539"/>
      <c r="CG3493" s="1539"/>
      <c r="CH3493" s="1539"/>
      <c r="CI3493" s="1539"/>
      <c r="CJ3493" s="1539"/>
      <c r="CK3493" s="1539"/>
      <c r="CL3493" s="1539"/>
      <c r="CM3493" s="1539"/>
      <c r="CN3493" s="1539"/>
      <c r="CO3493" s="1539"/>
    </row>
    <row r="3494" spans="1:93" s="1555" customFormat="1" ht="15.5">
      <c r="A3494" s="1598">
        <v>83.51</v>
      </c>
      <c r="B3494" s="1599" t="s">
        <v>3565</v>
      </c>
      <c r="C3494" s="1643" t="e">
        <f>+SUMIF(#REF!,Final!A3494,#REF!)</f>
        <v>#REF!</v>
      </c>
      <c r="D3494" s="1597" t="e">
        <f>+SUMIF(#REF!,Final!A3494,#REF!)</f>
        <v>#REF!</v>
      </c>
      <c r="E3494" s="1643" t="e">
        <f>SUMIF(#REF!,Final!A3494,#REF!)</f>
        <v>#REF!</v>
      </c>
      <c r="F3494" s="1644" t="e">
        <f>SUMIF(#REF!,Final!A3494,#REF!)</f>
        <v>#REF!</v>
      </c>
      <c r="G3494" s="1597" t="e">
        <f t="shared" si="380"/>
        <v>#REF!</v>
      </c>
      <c r="H3494" s="1644" t="e">
        <f t="shared" si="381"/>
        <v>#REF!</v>
      </c>
      <c r="I3494" s="1597" t="e">
        <f t="shared" si="382"/>
        <v>#REF!</v>
      </c>
      <c r="J3494" s="1644" t="e">
        <f t="shared" si="383"/>
        <v>#REF!</v>
      </c>
      <c r="K3494" s="1539"/>
      <c r="L3494" s="1539"/>
      <c r="M3494" s="1545"/>
      <c r="N3494" s="1545"/>
      <c r="O3494" s="1539"/>
      <c r="P3494" s="1539"/>
      <c r="Q3494" s="1539"/>
      <c r="R3494" s="1539"/>
      <c r="S3494" s="1539"/>
      <c r="T3494" s="1539"/>
      <c r="U3494" s="1539"/>
      <c r="V3494" s="1539"/>
      <c r="W3494" s="1539"/>
      <c r="X3494" s="1539"/>
      <c r="Y3494" s="1539"/>
      <c r="Z3494" s="1539"/>
      <c r="AA3494" s="1539"/>
      <c r="AB3494" s="1539"/>
      <c r="AC3494" s="1539"/>
      <c r="AD3494" s="1539"/>
      <c r="AE3494" s="1539"/>
      <c r="AF3494" s="1539"/>
      <c r="AG3494" s="1539"/>
      <c r="AH3494" s="1539"/>
      <c r="AI3494" s="1539"/>
      <c r="AJ3494" s="1539"/>
      <c r="AK3494" s="1539"/>
      <c r="AL3494" s="1539"/>
      <c r="AM3494" s="1539"/>
      <c r="AN3494" s="1539"/>
      <c r="AO3494" s="1539"/>
      <c r="AP3494" s="1539"/>
      <c r="AQ3494" s="1539"/>
      <c r="AR3494" s="1539"/>
      <c r="AS3494" s="1539"/>
      <c r="AT3494" s="1539"/>
      <c r="AU3494" s="1539"/>
      <c r="AV3494" s="1539"/>
      <c r="AW3494" s="1539"/>
      <c r="AX3494" s="1539"/>
      <c r="AY3494" s="1539"/>
      <c r="AZ3494" s="1539"/>
      <c r="BA3494" s="1539"/>
      <c r="BB3494" s="1539"/>
      <c r="BC3494" s="1539"/>
      <c r="BD3494" s="1539"/>
      <c r="BE3494" s="1539"/>
      <c r="BF3494" s="1539"/>
      <c r="BG3494" s="1539"/>
      <c r="BH3494" s="1539"/>
      <c r="BI3494" s="1539"/>
      <c r="BJ3494" s="1539"/>
      <c r="BK3494" s="1539"/>
      <c r="BL3494" s="1539"/>
      <c r="BM3494" s="1539"/>
      <c r="BN3494" s="1539"/>
      <c r="BO3494" s="1539"/>
      <c r="BP3494" s="1539"/>
      <c r="BQ3494" s="1539"/>
      <c r="BR3494" s="1539"/>
      <c r="BS3494" s="1539"/>
      <c r="BT3494" s="1539"/>
      <c r="BU3494" s="1539"/>
      <c r="BV3494" s="1539"/>
      <c r="BW3494" s="1539"/>
      <c r="BX3494" s="1539"/>
      <c r="BY3494" s="1539"/>
      <c r="BZ3494" s="1539"/>
      <c r="CA3494" s="1539"/>
      <c r="CB3494" s="1539"/>
      <c r="CC3494" s="1539"/>
      <c r="CD3494" s="1539"/>
      <c r="CE3494" s="1539"/>
      <c r="CF3494" s="1539"/>
      <c r="CG3494" s="1539"/>
      <c r="CH3494" s="1539"/>
      <c r="CI3494" s="1539"/>
      <c r="CJ3494" s="1539"/>
      <c r="CK3494" s="1539"/>
      <c r="CL3494" s="1539"/>
      <c r="CM3494" s="1539"/>
      <c r="CN3494" s="1539"/>
      <c r="CO3494" s="1539"/>
    </row>
    <row r="3495" spans="1:93" ht="15.5">
      <c r="A3495" s="1598">
        <v>83.52</v>
      </c>
      <c r="B3495" s="1599"/>
      <c r="C3495" s="1643" t="e">
        <f>+SUMIF(#REF!,Final!A3495,#REF!)</f>
        <v>#REF!</v>
      </c>
      <c r="D3495" s="1597" t="e">
        <f>+SUMIF(#REF!,Final!A3495,#REF!)</f>
        <v>#REF!</v>
      </c>
      <c r="E3495" s="1643" t="e">
        <f>SUMIF(#REF!,Final!A3495,#REF!)</f>
        <v>#REF!</v>
      </c>
      <c r="F3495" s="1644" t="e">
        <f>SUMIF(#REF!,Final!A3495,#REF!)</f>
        <v>#REF!</v>
      </c>
      <c r="G3495" s="1597" t="e">
        <f t="shared" si="380"/>
        <v>#REF!</v>
      </c>
      <c r="H3495" s="1644" t="e">
        <f t="shared" si="381"/>
        <v>#REF!</v>
      </c>
      <c r="I3495" s="1597" t="e">
        <f t="shared" si="382"/>
        <v>#REF!</v>
      </c>
      <c r="J3495" s="1644" t="e">
        <f t="shared" si="383"/>
        <v>#REF!</v>
      </c>
      <c r="M3495" s="1545"/>
      <c r="N3495" s="1545"/>
    </row>
    <row r="3496" spans="1:93" ht="15.5">
      <c r="A3496" s="1598">
        <v>83.57</v>
      </c>
      <c r="B3496" s="1599"/>
      <c r="C3496" s="1643" t="e">
        <f>+SUMIF(#REF!,Final!A3496,#REF!)</f>
        <v>#REF!</v>
      </c>
      <c r="D3496" s="1597" t="e">
        <f>+SUMIF(#REF!,Final!A3496,#REF!)</f>
        <v>#REF!</v>
      </c>
      <c r="E3496" s="1643" t="e">
        <f>SUMIF(#REF!,Final!A3496,#REF!)</f>
        <v>#REF!</v>
      </c>
      <c r="F3496" s="1644" t="e">
        <f>SUMIF(#REF!,Final!A3496,#REF!)</f>
        <v>#REF!</v>
      </c>
      <c r="G3496" s="1597" t="e">
        <f t="shared" si="380"/>
        <v>#REF!</v>
      </c>
      <c r="H3496" s="1644" t="e">
        <f t="shared" si="381"/>
        <v>#REF!</v>
      </c>
      <c r="I3496" s="1597" t="e">
        <f t="shared" si="382"/>
        <v>#REF!</v>
      </c>
      <c r="J3496" s="1644" t="e">
        <f t="shared" si="383"/>
        <v>#REF!</v>
      </c>
      <c r="M3496" s="1545"/>
      <c r="N3496" s="1545"/>
    </row>
    <row r="3497" spans="1:93" s="1552" customFormat="1" ht="15.5">
      <c r="A3497" s="1598"/>
      <c r="B3497" s="1599" t="s">
        <v>1747</v>
      </c>
      <c r="C3497" s="1643" t="e">
        <f>+SUMIF(#REF!,Final!A3497,#REF!)</f>
        <v>#REF!</v>
      </c>
      <c r="D3497" s="1597" t="e">
        <f>+SUMIF(#REF!,Final!A3497,#REF!)</f>
        <v>#REF!</v>
      </c>
      <c r="E3497" s="1643" t="e">
        <f>SUMIF(#REF!,Final!A3497,#REF!)</f>
        <v>#REF!</v>
      </c>
      <c r="F3497" s="1644" t="e">
        <f>SUMIF(#REF!,Final!A3497,#REF!)</f>
        <v>#REF!</v>
      </c>
      <c r="G3497" s="1597" t="e">
        <f t="shared" si="380"/>
        <v>#REF!</v>
      </c>
      <c r="H3497" s="1644" t="e">
        <f t="shared" si="381"/>
        <v>#REF!</v>
      </c>
      <c r="I3497" s="1597" t="e">
        <f t="shared" si="382"/>
        <v>#REF!</v>
      </c>
      <c r="J3497" s="1644" t="e">
        <f t="shared" si="383"/>
        <v>#REF!</v>
      </c>
      <c r="K3497" s="1539"/>
      <c r="L3497" s="1539"/>
      <c r="M3497" s="1545"/>
      <c r="N3497" s="1545"/>
      <c r="O3497" s="1539"/>
      <c r="P3497" s="1539"/>
      <c r="Q3497" s="1539"/>
      <c r="R3497" s="1539"/>
      <c r="S3497" s="1539"/>
      <c r="T3497" s="1539"/>
      <c r="U3497" s="1539"/>
      <c r="V3497" s="1539"/>
      <c r="W3497" s="1539"/>
      <c r="X3497" s="1539"/>
      <c r="Y3497" s="1539"/>
      <c r="Z3497" s="1539"/>
      <c r="AA3497" s="1539"/>
      <c r="AB3497" s="1539"/>
      <c r="AC3497" s="1539"/>
      <c r="AD3497" s="1539"/>
      <c r="AE3497" s="1539"/>
      <c r="AF3497" s="1539"/>
      <c r="AG3497" s="1539"/>
      <c r="AH3497" s="1539"/>
      <c r="AI3497" s="1539"/>
      <c r="AJ3497" s="1539"/>
      <c r="AK3497" s="1539"/>
      <c r="AL3497" s="1539"/>
      <c r="AM3497" s="1539"/>
      <c r="AN3497" s="1539"/>
      <c r="AO3497" s="1539"/>
      <c r="AP3497" s="1539"/>
      <c r="AQ3497" s="1539"/>
      <c r="AR3497" s="1539"/>
      <c r="AS3497" s="1539"/>
      <c r="AT3497" s="1539"/>
      <c r="AU3497" s="1539"/>
      <c r="AV3497" s="1539"/>
      <c r="AW3497" s="1539"/>
      <c r="AX3497" s="1539"/>
      <c r="AY3497" s="1539"/>
      <c r="AZ3497" s="1539"/>
      <c r="BA3497" s="1539"/>
      <c r="BB3497" s="1539"/>
      <c r="BC3497" s="1539"/>
      <c r="BD3497" s="1539"/>
      <c r="BE3497" s="1539"/>
      <c r="BF3497" s="1539"/>
      <c r="BG3497" s="1539"/>
      <c r="BH3497" s="1539"/>
      <c r="BI3497" s="1539"/>
      <c r="BJ3497" s="1539"/>
      <c r="BK3497" s="1539"/>
      <c r="BL3497" s="1539"/>
      <c r="BM3497" s="1539"/>
      <c r="BN3497" s="1539"/>
      <c r="BO3497" s="1539"/>
      <c r="BP3497" s="1539"/>
      <c r="BQ3497" s="1539"/>
      <c r="BR3497" s="1539"/>
      <c r="BS3497" s="1539"/>
      <c r="BT3497" s="1539"/>
      <c r="BU3497" s="1539"/>
      <c r="BV3497" s="1539"/>
      <c r="BW3497" s="1539"/>
      <c r="BX3497" s="1539"/>
      <c r="BY3497" s="1539"/>
      <c r="BZ3497" s="1539"/>
      <c r="CA3497" s="1539"/>
      <c r="CB3497" s="1539"/>
      <c r="CC3497" s="1539"/>
      <c r="CD3497" s="1539"/>
      <c r="CE3497" s="1539"/>
      <c r="CF3497" s="1539"/>
      <c r="CG3497" s="1539"/>
      <c r="CH3497" s="1539"/>
      <c r="CI3497" s="1539"/>
      <c r="CJ3497" s="1539"/>
      <c r="CK3497" s="1539"/>
      <c r="CL3497" s="1539"/>
      <c r="CM3497" s="1539"/>
      <c r="CN3497" s="1539"/>
      <c r="CO3497" s="1539"/>
    </row>
    <row r="3498" spans="1:93" s="1552" customFormat="1" ht="15.5">
      <c r="A3498" s="1598"/>
      <c r="B3498" s="1599" t="s">
        <v>1760</v>
      </c>
      <c r="C3498" s="1643" t="e">
        <f>+SUMIF(#REF!,Final!A3498,#REF!)</f>
        <v>#REF!</v>
      </c>
      <c r="D3498" s="1597" t="e">
        <f>+SUMIF(#REF!,Final!A3498,#REF!)</f>
        <v>#REF!</v>
      </c>
      <c r="E3498" s="1643" t="e">
        <f>SUMIF(#REF!,Final!A3498,#REF!)</f>
        <v>#REF!</v>
      </c>
      <c r="F3498" s="1644" t="e">
        <f>SUMIF(#REF!,Final!A3498,#REF!)</f>
        <v>#REF!</v>
      </c>
      <c r="G3498" s="1597" t="e">
        <f t="shared" si="380"/>
        <v>#REF!</v>
      </c>
      <c r="H3498" s="1644" t="e">
        <f t="shared" si="381"/>
        <v>#REF!</v>
      </c>
      <c r="I3498" s="1597" t="e">
        <f t="shared" si="382"/>
        <v>#REF!</v>
      </c>
      <c r="J3498" s="1644" t="e">
        <f t="shared" si="383"/>
        <v>#REF!</v>
      </c>
      <c r="K3498" s="1539"/>
      <c r="L3498" s="1539"/>
      <c r="M3498" s="1545"/>
      <c r="N3498" s="1545"/>
      <c r="O3498" s="1539"/>
      <c r="P3498" s="1539"/>
      <c r="Q3498" s="1539"/>
      <c r="R3498" s="1539"/>
      <c r="S3498" s="1539"/>
      <c r="T3498" s="1539"/>
      <c r="U3498" s="1539"/>
      <c r="V3498" s="1539"/>
      <c r="W3498" s="1539"/>
      <c r="X3498" s="1539"/>
      <c r="Y3498" s="1539"/>
      <c r="Z3498" s="1539"/>
      <c r="AA3498" s="1539"/>
      <c r="AB3498" s="1539"/>
      <c r="AC3498" s="1539"/>
      <c r="AD3498" s="1539"/>
      <c r="AE3498" s="1539"/>
      <c r="AF3498" s="1539"/>
      <c r="AG3498" s="1539"/>
      <c r="AH3498" s="1539"/>
      <c r="AI3498" s="1539"/>
      <c r="AJ3498" s="1539"/>
      <c r="AK3498" s="1539"/>
      <c r="AL3498" s="1539"/>
      <c r="AM3498" s="1539"/>
      <c r="AN3498" s="1539"/>
      <c r="AO3498" s="1539"/>
      <c r="AP3498" s="1539"/>
      <c r="AQ3498" s="1539"/>
      <c r="AR3498" s="1539"/>
      <c r="AS3498" s="1539"/>
      <c r="AT3498" s="1539"/>
      <c r="AU3498" s="1539"/>
      <c r="AV3498" s="1539"/>
      <c r="AW3498" s="1539"/>
      <c r="AX3498" s="1539"/>
      <c r="AY3498" s="1539"/>
      <c r="AZ3498" s="1539"/>
      <c r="BA3498" s="1539"/>
      <c r="BB3498" s="1539"/>
      <c r="BC3498" s="1539"/>
      <c r="BD3498" s="1539"/>
      <c r="BE3498" s="1539"/>
      <c r="BF3498" s="1539"/>
      <c r="BG3498" s="1539"/>
      <c r="BH3498" s="1539"/>
      <c r="BI3498" s="1539"/>
      <c r="BJ3498" s="1539"/>
      <c r="BK3498" s="1539"/>
      <c r="BL3498" s="1539"/>
      <c r="BM3498" s="1539"/>
      <c r="BN3498" s="1539"/>
      <c r="BO3498" s="1539"/>
      <c r="BP3498" s="1539"/>
      <c r="BQ3498" s="1539"/>
      <c r="BR3498" s="1539"/>
      <c r="BS3498" s="1539"/>
      <c r="BT3498" s="1539"/>
      <c r="BU3498" s="1539"/>
      <c r="BV3498" s="1539"/>
      <c r="BW3498" s="1539"/>
      <c r="BX3498" s="1539"/>
      <c r="BY3498" s="1539"/>
      <c r="BZ3498" s="1539"/>
      <c r="CA3498" s="1539"/>
      <c r="CB3498" s="1539"/>
      <c r="CC3498" s="1539"/>
      <c r="CD3498" s="1539"/>
      <c r="CE3498" s="1539"/>
      <c r="CF3498" s="1539"/>
      <c r="CG3498" s="1539"/>
      <c r="CH3498" s="1539"/>
      <c r="CI3498" s="1539"/>
      <c r="CJ3498" s="1539"/>
      <c r="CK3498" s="1539"/>
      <c r="CL3498" s="1539"/>
      <c r="CM3498" s="1539"/>
      <c r="CN3498" s="1539"/>
      <c r="CO3498" s="1539"/>
    </row>
    <row r="3499" spans="1:93" s="1542" customFormat="1" ht="15.5">
      <c r="A3499" s="1598" t="s">
        <v>1405</v>
      </c>
      <c r="B3499" s="1599" t="s">
        <v>3566</v>
      </c>
      <c r="C3499" s="1643" t="e">
        <f>+SUMIF(#REF!,Final!A3499,#REF!)</f>
        <v>#REF!</v>
      </c>
      <c r="D3499" s="1597" t="e">
        <f>+SUMIF(#REF!,Final!A3499,#REF!)</f>
        <v>#REF!</v>
      </c>
      <c r="E3499" s="1643" t="e">
        <f>SUMIF(#REF!,Final!A3499,#REF!)</f>
        <v>#REF!</v>
      </c>
      <c r="F3499" s="1644" t="e">
        <f>SUMIF(#REF!,Final!A3499,#REF!)</f>
        <v>#REF!</v>
      </c>
      <c r="G3499" s="1597" t="e">
        <f t="shared" si="380"/>
        <v>#REF!</v>
      </c>
      <c r="H3499" s="1644" t="e">
        <f t="shared" si="381"/>
        <v>#REF!</v>
      </c>
      <c r="I3499" s="1597" t="e">
        <f t="shared" si="382"/>
        <v>#REF!</v>
      </c>
      <c r="J3499" s="1644" t="e">
        <f t="shared" si="383"/>
        <v>#REF!</v>
      </c>
      <c r="K3499" s="1539"/>
      <c r="L3499" s="1539"/>
      <c r="M3499" s="1545"/>
      <c r="N3499" s="1545"/>
      <c r="O3499" s="1539"/>
      <c r="P3499" s="1539"/>
      <c r="Q3499" s="1539"/>
      <c r="R3499" s="1539"/>
      <c r="S3499" s="1539"/>
      <c r="T3499" s="1539"/>
      <c r="U3499" s="1539"/>
      <c r="V3499" s="1539"/>
      <c r="W3499" s="1539"/>
      <c r="X3499" s="1539"/>
      <c r="Y3499" s="1539"/>
      <c r="Z3499" s="1539"/>
      <c r="AA3499" s="1539"/>
      <c r="AB3499" s="1539"/>
      <c r="AC3499" s="1539"/>
      <c r="AD3499" s="1539"/>
      <c r="AE3499" s="1539"/>
      <c r="AF3499" s="1539"/>
      <c r="AG3499" s="1539"/>
      <c r="AH3499" s="1539"/>
      <c r="AI3499" s="1539"/>
      <c r="AJ3499" s="1539"/>
      <c r="AK3499" s="1539"/>
      <c r="AL3499" s="1539"/>
      <c r="AM3499" s="1539"/>
      <c r="AN3499" s="1539"/>
      <c r="AO3499" s="1539"/>
      <c r="AP3499" s="1539"/>
      <c r="AQ3499" s="1539"/>
      <c r="AR3499" s="1539"/>
      <c r="AS3499" s="1539"/>
      <c r="AT3499" s="1539"/>
      <c r="AU3499" s="1539"/>
      <c r="AV3499" s="1539"/>
      <c r="AW3499" s="1539"/>
      <c r="AX3499" s="1539"/>
      <c r="AY3499" s="1539"/>
      <c r="AZ3499" s="1539"/>
      <c r="BA3499" s="1539"/>
      <c r="BB3499" s="1539"/>
      <c r="BC3499" s="1539"/>
      <c r="BD3499" s="1539"/>
      <c r="BE3499" s="1539"/>
      <c r="BF3499" s="1539"/>
      <c r="BG3499" s="1539"/>
      <c r="BH3499" s="1539"/>
      <c r="BI3499" s="1539"/>
      <c r="BJ3499" s="1539"/>
      <c r="BK3499" s="1539"/>
      <c r="BL3499" s="1539"/>
      <c r="BM3499" s="1539"/>
      <c r="BN3499" s="1539"/>
      <c r="BO3499" s="1539"/>
      <c r="BP3499" s="1539"/>
      <c r="BQ3499" s="1539"/>
      <c r="BR3499" s="1539"/>
      <c r="BS3499" s="1539"/>
      <c r="BT3499" s="1539"/>
      <c r="BU3499" s="1539"/>
      <c r="BV3499" s="1539"/>
      <c r="BW3499" s="1539"/>
      <c r="BX3499" s="1539"/>
      <c r="BY3499" s="1539"/>
      <c r="BZ3499" s="1539"/>
      <c r="CA3499" s="1539"/>
      <c r="CB3499" s="1539"/>
      <c r="CC3499" s="1539"/>
      <c r="CD3499" s="1539"/>
      <c r="CE3499" s="1539"/>
      <c r="CF3499" s="1539"/>
      <c r="CG3499" s="1539"/>
      <c r="CH3499" s="1539"/>
      <c r="CI3499" s="1539"/>
      <c r="CJ3499" s="1539"/>
      <c r="CK3499" s="1539"/>
      <c r="CL3499" s="1539"/>
      <c r="CM3499" s="1539"/>
      <c r="CN3499" s="1539"/>
      <c r="CO3499" s="1539"/>
    </row>
    <row r="3500" spans="1:93" ht="15.5">
      <c r="A3500" s="1598">
        <v>83.71</v>
      </c>
      <c r="B3500" s="1599" t="s">
        <v>3567</v>
      </c>
      <c r="C3500" s="1643" t="e">
        <f>+SUMIF(#REF!,Final!A3500,#REF!)</f>
        <v>#REF!</v>
      </c>
      <c r="D3500" s="1597" t="e">
        <f>+SUMIF(#REF!,Final!A3500,#REF!)</f>
        <v>#REF!</v>
      </c>
      <c r="E3500" s="1643" t="e">
        <f>SUMIF(#REF!,Final!A3500,#REF!)</f>
        <v>#REF!</v>
      </c>
      <c r="F3500" s="1644" t="e">
        <f>SUMIF(#REF!,Final!A3500,#REF!)</f>
        <v>#REF!</v>
      </c>
      <c r="G3500" s="1597" t="e">
        <f t="shared" si="380"/>
        <v>#REF!</v>
      </c>
      <c r="H3500" s="1644" t="e">
        <f t="shared" si="381"/>
        <v>#REF!</v>
      </c>
      <c r="I3500" s="1597" t="e">
        <f t="shared" si="382"/>
        <v>#REF!</v>
      </c>
      <c r="J3500" s="1644" t="e">
        <f t="shared" si="383"/>
        <v>#REF!</v>
      </c>
      <c r="M3500" s="1545"/>
      <c r="N3500" s="1545"/>
    </row>
    <row r="3501" spans="1:93" s="1552" customFormat="1" ht="15.5">
      <c r="A3501" s="1598"/>
      <c r="B3501" s="1599" t="s">
        <v>1747</v>
      </c>
      <c r="C3501" s="1643" t="e">
        <f>+SUMIF(#REF!,Final!A3501,#REF!)</f>
        <v>#REF!</v>
      </c>
      <c r="D3501" s="1597" t="e">
        <f>+SUMIF(#REF!,Final!A3501,#REF!)</f>
        <v>#REF!</v>
      </c>
      <c r="E3501" s="1643" t="e">
        <f>SUMIF(#REF!,Final!A3501,#REF!)</f>
        <v>#REF!</v>
      </c>
      <c r="F3501" s="1644" t="e">
        <f>SUMIF(#REF!,Final!A3501,#REF!)</f>
        <v>#REF!</v>
      </c>
      <c r="G3501" s="1597" t="e">
        <f t="shared" si="380"/>
        <v>#REF!</v>
      </c>
      <c r="H3501" s="1644" t="e">
        <f t="shared" si="381"/>
        <v>#REF!</v>
      </c>
      <c r="I3501" s="1597" t="e">
        <f t="shared" si="382"/>
        <v>#REF!</v>
      </c>
      <c r="J3501" s="1644" t="e">
        <f t="shared" si="383"/>
        <v>#REF!</v>
      </c>
      <c r="K3501" s="1539"/>
      <c r="L3501" s="1539"/>
      <c r="M3501" s="1545"/>
      <c r="N3501" s="1545"/>
      <c r="O3501" s="1539"/>
      <c r="P3501" s="1539"/>
      <c r="Q3501" s="1539"/>
      <c r="R3501" s="1539"/>
      <c r="S3501" s="1539"/>
      <c r="T3501" s="1539"/>
      <c r="U3501" s="1539"/>
      <c r="V3501" s="1539"/>
      <c r="W3501" s="1539"/>
      <c r="X3501" s="1539"/>
      <c r="Y3501" s="1539"/>
      <c r="Z3501" s="1539"/>
      <c r="AA3501" s="1539"/>
      <c r="AB3501" s="1539"/>
      <c r="AC3501" s="1539"/>
      <c r="AD3501" s="1539"/>
      <c r="AE3501" s="1539"/>
      <c r="AF3501" s="1539"/>
      <c r="AG3501" s="1539"/>
      <c r="AH3501" s="1539"/>
      <c r="AI3501" s="1539"/>
      <c r="AJ3501" s="1539"/>
      <c r="AK3501" s="1539"/>
      <c r="AL3501" s="1539"/>
      <c r="AM3501" s="1539"/>
      <c r="AN3501" s="1539"/>
      <c r="AO3501" s="1539"/>
      <c r="AP3501" s="1539"/>
      <c r="AQ3501" s="1539"/>
      <c r="AR3501" s="1539"/>
      <c r="AS3501" s="1539"/>
      <c r="AT3501" s="1539"/>
      <c r="AU3501" s="1539"/>
      <c r="AV3501" s="1539"/>
      <c r="AW3501" s="1539"/>
      <c r="AX3501" s="1539"/>
      <c r="AY3501" s="1539"/>
      <c r="AZ3501" s="1539"/>
      <c r="BA3501" s="1539"/>
      <c r="BB3501" s="1539"/>
      <c r="BC3501" s="1539"/>
      <c r="BD3501" s="1539"/>
      <c r="BE3501" s="1539"/>
      <c r="BF3501" s="1539"/>
      <c r="BG3501" s="1539"/>
      <c r="BH3501" s="1539"/>
      <c r="BI3501" s="1539"/>
      <c r="BJ3501" s="1539"/>
      <c r="BK3501" s="1539"/>
      <c r="BL3501" s="1539"/>
      <c r="BM3501" s="1539"/>
      <c r="BN3501" s="1539"/>
      <c r="BO3501" s="1539"/>
      <c r="BP3501" s="1539"/>
      <c r="BQ3501" s="1539"/>
      <c r="BR3501" s="1539"/>
      <c r="BS3501" s="1539"/>
      <c r="BT3501" s="1539"/>
      <c r="BU3501" s="1539"/>
      <c r="BV3501" s="1539"/>
      <c r="BW3501" s="1539"/>
      <c r="BX3501" s="1539"/>
      <c r="BY3501" s="1539"/>
      <c r="BZ3501" s="1539"/>
      <c r="CA3501" s="1539"/>
      <c r="CB3501" s="1539"/>
      <c r="CC3501" s="1539"/>
      <c r="CD3501" s="1539"/>
      <c r="CE3501" s="1539"/>
      <c r="CF3501" s="1539"/>
      <c r="CG3501" s="1539"/>
      <c r="CH3501" s="1539"/>
      <c r="CI3501" s="1539"/>
      <c r="CJ3501" s="1539"/>
      <c r="CK3501" s="1539"/>
      <c r="CL3501" s="1539"/>
      <c r="CM3501" s="1539"/>
      <c r="CN3501" s="1539"/>
      <c r="CO3501" s="1539"/>
    </row>
    <row r="3502" spans="1:93" s="1552" customFormat="1" ht="15.5">
      <c r="A3502" s="1598"/>
      <c r="B3502" s="1599" t="s">
        <v>1760</v>
      </c>
      <c r="C3502" s="1643" t="e">
        <f>+SUMIF(#REF!,Final!A3502,#REF!)</f>
        <v>#REF!</v>
      </c>
      <c r="D3502" s="1597" t="e">
        <f>+SUMIF(#REF!,Final!A3502,#REF!)</f>
        <v>#REF!</v>
      </c>
      <c r="E3502" s="1643" t="e">
        <f>SUMIF(#REF!,Final!A3502,#REF!)</f>
        <v>#REF!</v>
      </c>
      <c r="F3502" s="1644" t="e">
        <f>SUMIF(#REF!,Final!A3502,#REF!)</f>
        <v>#REF!</v>
      </c>
      <c r="G3502" s="1597" t="e">
        <f t="shared" si="380"/>
        <v>#REF!</v>
      </c>
      <c r="H3502" s="1644" t="e">
        <f t="shared" si="381"/>
        <v>#REF!</v>
      </c>
      <c r="I3502" s="1597" t="e">
        <f t="shared" si="382"/>
        <v>#REF!</v>
      </c>
      <c r="J3502" s="1644" t="e">
        <f t="shared" si="383"/>
        <v>#REF!</v>
      </c>
      <c r="K3502" s="1539"/>
      <c r="L3502" s="1539"/>
      <c r="M3502" s="1545"/>
      <c r="N3502" s="1545"/>
      <c r="O3502" s="1539"/>
      <c r="P3502" s="1539"/>
      <c r="Q3502" s="1539"/>
      <c r="R3502" s="1539"/>
      <c r="S3502" s="1539"/>
      <c r="T3502" s="1539"/>
      <c r="U3502" s="1539"/>
      <c r="V3502" s="1539"/>
      <c r="W3502" s="1539"/>
      <c r="X3502" s="1539"/>
      <c r="Y3502" s="1539"/>
      <c r="Z3502" s="1539"/>
      <c r="AA3502" s="1539"/>
      <c r="AB3502" s="1539"/>
      <c r="AC3502" s="1539"/>
      <c r="AD3502" s="1539"/>
      <c r="AE3502" s="1539"/>
      <c r="AF3502" s="1539"/>
      <c r="AG3502" s="1539"/>
      <c r="AH3502" s="1539"/>
      <c r="AI3502" s="1539"/>
      <c r="AJ3502" s="1539"/>
      <c r="AK3502" s="1539"/>
      <c r="AL3502" s="1539"/>
      <c r="AM3502" s="1539"/>
      <c r="AN3502" s="1539"/>
      <c r="AO3502" s="1539"/>
      <c r="AP3502" s="1539"/>
      <c r="AQ3502" s="1539"/>
      <c r="AR3502" s="1539"/>
      <c r="AS3502" s="1539"/>
      <c r="AT3502" s="1539"/>
      <c r="AU3502" s="1539"/>
      <c r="AV3502" s="1539"/>
      <c r="AW3502" s="1539"/>
      <c r="AX3502" s="1539"/>
      <c r="AY3502" s="1539"/>
      <c r="AZ3502" s="1539"/>
      <c r="BA3502" s="1539"/>
      <c r="BB3502" s="1539"/>
      <c r="BC3502" s="1539"/>
      <c r="BD3502" s="1539"/>
      <c r="BE3502" s="1539"/>
      <c r="BF3502" s="1539"/>
      <c r="BG3502" s="1539"/>
      <c r="BH3502" s="1539"/>
      <c r="BI3502" s="1539"/>
      <c r="BJ3502" s="1539"/>
      <c r="BK3502" s="1539"/>
      <c r="BL3502" s="1539"/>
      <c r="BM3502" s="1539"/>
      <c r="BN3502" s="1539"/>
      <c r="BO3502" s="1539"/>
      <c r="BP3502" s="1539"/>
      <c r="BQ3502" s="1539"/>
      <c r="BR3502" s="1539"/>
      <c r="BS3502" s="1539"/>
      <c r="BT3502" s="1539"/>
      <c r="BU3502" s="1539"/>
      <c r="BV3502" s="1539"/>
      <c r="BW3502" s="1539"/>
      <c r="BX3502" s="1539"/>
      <c r="BY3502" s="1539"/>
      <c r="BZ3502" s="1539"/>
      <c r="CA3502" s="1539"/>
      <c r="CB3502" s="1539"/>
      <c r="CC3502" s="1539"/>
      <c r="CD3502" s="1539"/>
      <c r="CE3502" s="1539"/>
      <c r="CF3502" s="1539"/>
      <c r="CG3502" s="1539"/>
      <c r="CH3502" s="1539"/>
      <c r="CI3502" s="1539"/>
      <c r="CJ3502" s="1539"/>
      <c r="CK3502" s="1539"/>
      <c r="CL3502" s="1539"/>
      <c r="CM3502" s="1539"/>
      <c r="CN3502" s="1539"/>
      <c r="CO3502" s="1539"/>
    </row>
    <row r="3503" spans="1:93" s="1542" customFormat="1" ht="15.5">
      <c r="A3503" s="1598" t="s">
        <v>545</v>
      </c>
      <c r="B3503" s="1599" t="s">
        <v>116</v>
      </c>
      <c r="C3503" s="1643" t="e">
        <f>+SUMIF(#REF!,Final!A3503,#REF!)</f>
        <v>#REF!</v>
      </c>
      <c r="D3503" s="1597" t="e">
        <f>+SUMIF(#REF!,Final!A3503,#REF!)</f>
        <v>#REF!</v>
      </c>
      <c r="E3503" s="1643" t="e">
        <f>SUMIF(#REF!,Final!A3503,#REF!)</f>
        <v>#REF!</v>
      </c>
      <c r="F3503" s="1644" t="e">
        <f>SUMIF(#REF!,Final!A3503,#REF!)</f>
        <v>#REF!</v>
      </c>
      <c r="G3503" s="1597" t="e">
        <f t="shared" si="380"/>
        <v>#REF!</v>
      </c>
      <c r="H3503" s="1644" t="e">
        <f t="shared" si="381"/>
        <v>#REF!</v>
      </c>
      <c r="I3503" s="1597" t="e">
        <f t="shared" si="382"/>
        <v>#REF!</v>
      </c>
      <c r="J3503" s="1644" t="e">
        <f t="shared" si="383"/>
        <v>#REF!</v>
      </c>
      <c r="K3503" s="1539"/>
      <c r="L3503" s="1539"/>
      <c r="M3503" s="1545"/>
      <c r="N3503" s="1545"/>
      <c r="O3503" s="1539"/>
      <c r="P3503" s="1539"/>
      <c r="Q3503" s="1539"/>
      <c r="R3503" s="1539"/>
      <c r="S3503" s="1539"/>
      <c r="T3503" s="1539"/>
      <c r="U3503" s="1539"/>
      <c r="V3503" s="1539"/>
      <c r="W3503" s="1539"/>
      <c r="X3503" s="1539"/>
      <c r="Y3503" s="1539"/>
      <c r="Z3503" s="1539"/>
      <c r="AA3503" s="1539"/>
      <c r="AB3503" s="1539"/>
      <c r="AC3503" s="1539"/>
      <c r="AD3503" s="1539"/>
      <c r="AE3503" s="1539"/>
      <c r="AF3503" s="1539"/>
      <c r="AG3503" s="1539"/>
      <c r="AH3503" s="1539"/>
      <c r="AI3503" s="1539"/>
      <c r="AJ3503" s="1539"/>
      <c r="AK3503" s="1539"/>
      <c r="AL3503" s="1539"/>
      <c r="AM3503" s="1539"/>
      <c r="AN3503" s="1539"/>
      <c r="AO3503" s="1539"/>
      <c r="AP3503" s="1539"/>
      <c r="AQ3503" s="1539"/>
      <c r="AR3503" s="1539"/>
      <c r="AS3503" s="1539"/>
      <c r="AT3503" s="1539"/>
      <c r="AU3503" s="1539"/>
      <c r="AV3503" s="1539"/>
      <c r="AW3503" s="1539"/>
      <c r="AX3503" s="1539"/>
      <c r="AY3503" s="1539"/>
      <c r="AZ3503" s="1539"/>
      <c r="BA3503" s="1539"/>
      <c r="BB3503" s="1539"/>
      <c r="BC3503" s="1539"/>
      <c r="BD3503" s="1539"/>
      <c r="BE3503" s="1539"/>
      <c r="BF3503" s="1539"/>
      <c r="BG3503" s="1539"/>
      <c r="BH3503" s="1539"/>
      <c r="BI3503" s="1539"/>
      <c r="BJ3503" s="1539"/>
      <c r="BK3503" s="1539"/>
      <c r="BL3503" s="1539"/>
      <c r="BM3503" s="1539"/>
      <c r="BN3503" s="1539"/>
      <c r="BO3503" s="1539"/>
      <c r="BP3503" s="1539"/>
      <c r="BQ3503" s="1539"/>
      <c r="BR3503" s="1539"/>
      <c r="BS3503" s="1539"/>
      <c r="BT3503" s="1539"/>
      <c r="BU3503" s="1539"/>
      <c r="BV3503" s="1539"/>
      <c r="BW3503" s="1539"/>
      <c r="BX3503" s="1539"/>
      <c r="BY3503" s="1539"/>
      <c r="BZ3503" s="1539"/>
      <c r="CA3503" s="1539"/>
      <c r="CB3503" s="1539"/>
      <c r="CC3503" s="1539"/>
      <c r="CD3503" s="1539"/>
      <c r="CE3503" s="1539"/>
      <c r="CF3503" s="1539"/>
      <c r="CG3503" s="1539"/>
      <c r="CH3503" s="1539"/>
      <c r="CI3503" s="1539"/>
      <c r="CJ3503" s="1539"/>
      <c r="CK3503" s="1539"/>
      <c r="CL3503" s="1539"/>
      <c r="CM3503" s="1539"/>
      <c r="CN3503" s="1539"/>
      <c r="CO3503" s="1539"/>
    </row>
    <row r="3504" spans="1:93" ht="15.5">
      <c r="A3504" s="1598">
        <v>83.805000000000007</v>
      </c>
      <c r="B3504" s="1599"/>
      <c r="C3504" s="1643" t="e">
        <f>+SUMIF(#REF!,Final!A3504,#REF!)</f>
        <v>#REF!</v>
      </c>
      <c r="D3504" s="1597" t="e">
        <f>+SUMIF(#REF!,Final!A3504,#REF!)</f>
        <v>#REF!</v>
      </c>
      <c r="E3504" s="1643" t="e">
        <f>SUMIF(#REF!,Final!A3504,#REF!)</f>
        <v>#REF!</v>
      </c>
      <c r="F3504" s="1644" t="e">
        <f>SUMIF(#REF!,Final!A3504,#REF!)</f>
        <v>#REF!</v>
      </c>
      <c r="G3504" s="1597" t="e">
        <f t="shared" si="380"/>
        <v>#REF!</v>
      </c>
      <c r="H3504" s="1644" t="e">
        <f t="shared" si="381"/>
        <v>#REF!</v>
      </c>
      <c r="I3504" s="1597" t="e">
        <f t="shared" si="382"/>
        <v>#REF!</v>
      </c>
      <c r="J3504" s="1644" t="e">
        <f t="shared" si="383"/>
        <v>#REF!</v>
      </c>
      <c r="M3504" s="1545"/>
      <c r="N3504" s="1545"/>
    </row>
    <row r="3505" spans="1:14" ht="15.5">
      <c r="A3505" s="1598">
        <v>83.82</v>
      </c>
      <c r="B3505" s="1599" t="s">
        <v>3568</v>
      </c>
      <c r="C3505" s="1643" t="e">
        <f>+SUMIF(#REF!,Final!A3505,#REF!)</f>
        <v>#REF!</v>
      </c>
      <c r="D3505" s="1597" t="e">
        <f>+SUMIF(#REF!,Final!A3505,#REF!)</f>
        <v>#REF!</v>
      </c>
      <c r="E3505" s="1643" t="e">
        <f>SUMIF(#REF!,Final!A3505,#REF!)</f>
        <v>#REF!</v>
      </c>
      <c r="F3505" s="1644" t="e">
        <f>SUMIF(#REF!,Final!A3505,#REF!)</f>
        <v>#REF!</v>
      </c>
      <c r="G3505" s="1597" t="e">
        <f t="shared" si="380"/>
        <v>#REF!</v>
      </c>
      <c r="H3505" s="1644" t="e">
        <f t="shared" si="381"/>
        <v>#REF!</v>
      </c>
      <c r="I3505" s="1597" t="e">
        <f t="shared" si="382"/>
        <v>#REF!</v>
      </c>
      <c r="J3505" s="1644" t="e">
        <f t="shared" si="383"/>
        <v>#REF!</v>
      </c>
      <c r="M3505" s="1545"/>
      <c r="N3505" s="1545"/>
    </row>
    <row r="3506" spans="1:14" ht="15.5">
      <c r="A3506" s="1598">
        <v>83.83</v>
      </c>
      <c r="B3506" s="1599" t="s">
        <v>3569</v>
      </c>
      <c r="C3506" s="1643" t="e">
        <f>+SUMIF(#REF!,Final!A3506,#REF!)</f>
        <v>#REF!</v>
      </c>
      <c r="D3506" s="1597" t="e">
        <f>+SUMIF(#REF!,Final!A3506,#REF!)</f>
        <v>#REF!</v>
      </c>
      <c r="E3506" s="1643" t="e">
        <f>SUMIF(#REF!,Final!A3506,#REF!)</f>
        <v>#REF!</v>
      </c>
      <c r="F3506" s="1644" t="e">
        <f>SUMIF(#REF!,Final!A3506,#REF!)</f>
        <v>#REF!</v>
      </c>
      <c r="G3506" s="1597" t="e">
        <f t="shared" si="380"/>
        <v>#REF!</v>
      </c>
      <c r="H3506" s="1644" t="e">
        <f t="shared" si="381"/>
        <v>#REF!</v>
      </c>
      <c r="I3506" s="1597" t="e">
        <f t="shared" si="382"/>
        <v>#REF!</v>
      </c>
      <c r="J3506" s="1644" t="e">
        <f t="shared" si="383"/>
        <v>#REF!</v>
      </c>
      <c r="M3506" s="1545"/>
      <c r="N3506" s="1545"/>
    </row>
    <row r="3507" spans="1:14" ht="15.5">
      <c r="A3507" s="1598">
        <v>83.84</v>
      </c>
      <c r="B3507" s="1599" t="s">
        <v>3570</v>
      </c>
      <c r="C3507" s="1643" t="e">
        <f>+SUMIF(#REF!,Final!A3507,#REF!)</f>
        <v>#REF!</v>
      </c>
      <c r="D3507" s="1597" t="e">
        <f>+SUMIF(#REF!,Final!A3507,#REF!)</f>
        <v>#REF!</v>
      </c>
      <c r="E3507" s="1643" t="e">
        <f>SUMIF(#REF!,Final!A3507,#REF!)</f>
        <v>#REF!</v>
      </c>
      <c r="F3507" s="1644" t="e">
        <f>SUMIF(#REF!,Final!A3507,#REF!)</f>
        <v>#REF!</v>
      </c>
      <c r="G3507" s="1597" t="e">
        <f t="shared" si="380"/>
        <v>#REF!</v>
      </c>
      <c r="H3507" s="1644" t="e">
        <f t="shared" si="381"/>
        <v>#REF!</v>
      </c>
      <c r="I3507" s="1597" t="e">
        <f t="shared" si="382"/>
        <v>#REF!</v>
      </c>
      <c r="J3507" s="1644" t="e">
        <f t="shared" si="383"/>
        <v>#REF!</v>
      </c>
      <c r="M3507" s="1545"/>
      <c r="N3507" s="1545"/>
    </row>
    <row r="3508" spans="1:14">
      <c r="A3508" s="884"/>
      <c r="B3508" s="1606" t="s">
        <v>1100</v>
      </c>
      <c r="C3508" s="1717" t="e">
        <f t="shared" ref="C3508:J3508" si="392">SUM(C7:C3507)</f>
        <v>#REF!</v>
      </c>
      <c r="D3508" s="1717" t="e">
        <f t="shared" si="392"/>
        <v>#REF!</v>
      </c>
      <c r="E3508" s="1717" t="e">
        <f t="shared" si="392"/>
        <v>#REF!</v>
      </c>
      <c r="F3508" s="1717" t="e">
        <f t="shared" si="392"/>
        <v>#REF!</v>
      </c>
      <c r="G3508" s="1717" t="e">
        <f t="shared" si="392"/>
        <v>#REF!</v>
      </c>
      <c r="H3508" s="1717" t="e">
        <f t="shared" si="392"/>
        <v>#REF!</v>
      </c>
      <c r="I3508" s="1717" t="e">
        <f t="shared" si="392"/>
        <v>#REF!</v>
      </c>
      <c r="J3508" s="1717" t="e">
        <f t="shared" si="392"/>
        <v>#REF!</v>
      </c>
    </row>
    <row r="3509" spans="1:14">
      <c r="A3509" s="884"/>
      <c r="B3509" s="1606" t="s">
        <v>13</v>
      </c>
      <c r="C3509" s="1718" t="e">
        <f>+C3508-D3508</f>
        <v>#REF!</v>
      </c>
      <c r="D3509" s="1717"/>
      <c r="E3509" s="1718" t="e">
        <f>+E3508-F3508</f>
        <v>#REF!</v>
      </c>
      <c r="F3509" s="1717"/>
      <c r="G3509" s="1718" t="e">
        <f>+G3508-H3508</f>
        <v>#REF!</v>
      </c>
      <c r="H3509" s="1717"/>
      <c r="I3509" s="1718" t="e">
        <f>+I3508-J3508</f>
        <v>#REF!</v>
      </c>
      <c r="J3509" s="1717"/>
    </row>
    <row r="3510" spans="1:14">
      <c r="B3510" s="1546"/>
      <c r="C3510" s="1547"/>
      <c r="D3510" s="1546"/>
      <c r="E3510" s="1549"/>
    </row>
    <row r="3511" spans="1:14">
      <c r="C3511" s="1545"/>
      <c r="D3511" s="1545"/>
    </row>
    <row r="3512" spans="1:14">
      <c r="C3512" s="1545"/>
      <c r="D3512" s="1545"/>
      <c r="E3512" s="1545">
        <v>38158496492.257668</v>
      </c>
      <c r="F3512" s="1545"/>
      <c r="G3512" s="1545"/>
      <c r="H3512" s="1545"/>
      <c r="I3512" s="1545"/>
      <c r="J3512" s="1545"/>
    </row>
    <row r="3513" spans="1:14">
      <c r="C3513" s="1545"/>
      <c r="D3513" s="1545"/>
      <c r="E3513" s="1545" t="e">
        <f>E3508-E3512</f>
        <v>#REF!</v>
      </c>
      <c r="F3513" s="1545"/>
      <c r="G3513" s="1545"/>
      <c r="H3513" s="1545"/>
      <c r="I3513" s="1545"/>
      <c r="J3513" s="1545"/>
    </row>
    <row r="3514" spans="1:14">
      <c r="C3514" s="1545"/>
      <c r="D3514" s="1545"/>
      <c r="E3514" s="1545"/>
      <c r="F3514" s="1545"/>
      <c r="G3514" s="1545"/>
      <c r="H3514" s="1545"/>
      <c r="I3514" s="1545"/>
      <c r="J3514" s="1545"/>
    </row>
    <row r="3515" spans="1:14">
      <c r="C3515" s="1545"/>
      <c r="F3515" s="1545"/>
    </row>
    <row r="3520" spans="1:14">
      <c r="B3520" s="1546"/>
      <c r="C3520" s="1546"/>
      <c r="D3520" s="1546"/>
      <c r="E3520" s="1549"/>
      <c r="F3520" s="1549"/>
      <c r="G3520" s="1549"/>
      <c r="H3520" s="1549"/>
      <c r="I3520" s="1549"/>
      <c r="J3520" s="1549"/>
    </row>
    <row r="3521" spans="2:10">
      <c r="B3521" s="1546"/>
      <c r="C3521" s="1546"/>
      <c r="D3521" s="1546"/>
      <c r="E3521" s="1549"/>
      <c r="F3521" s="1549"/>
      <c r="G3521" s="1549"/>
      <c r="H3521" s="1549"/>
      <c r="I3521" s="1549"/>
      <c r="J3521" s="1549"/>
    </row>
    <row r="3522" spans="2:10">
      <c r="E3522" s="1550"/>
    </row>
    <row r="3523" spans="2:10">
      <c r="E3523" s="1550"/>
    </row>
  </sheetData>
  <mergeCells count="5">
    <mergeCell ref="A1:J1"/>
    <mergeCell ref="C3:D3"/>
    <mergeCell ref="E3:F3"/>
    <mergeCell ref="G3:H3"/>
    <mergeCell ref="I3:J3"/>
  </mergeCells>
  <printOptions horizontalCentered="1"/>
  <pageMargins left="0" right="0" top="0" bottom="0" header="0" footer="0"/>
  <pageSetup paperSize="9" scale="8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</sheetPr>
  <dimension ref="A1:AF82"/>
  <sheetViews>
    <sheetView showOutlineSymbols="0" zoomScale="42" zoomScaleNormal="42" workbookViewId="0">
      <pane xSplit="3" ySplit="11" topLeftCell="L49" activePane="bottomRight" state="frozen"/>
      <selection activeCell="D13" sqref="D13"/>
      <selection pane="topRight" activeCell="D13" sqref="D13"/>
      <selection pane="bottomLeft" activeCell="D13" sqref="D13"/>
      <selection pane="bottomRight" activeCell="AA65" sqref="AA65"/>
    </sheetView>
  </sheetViews>
  <sheetFormatPr defaultColWidth="14.7265625" defaultRowHeight="15.5"/>
  <cols>
    <col min="1" max="1" width="9" style="1072" customWidth="1"/>
    <col min="2" max="2" width="39.26953125" style="1072" customWidth="1"/>
    <col min="3" max="3" width="11" style="1072" customWidth="1"/>
    <col min="4" max="4" width="20" style="1072" customWidth="1"/>
    <col min="5" max="5" width="20.1796875" style="1072" customWidth="1"/>
    <col min="6" max="6" width="14.7265625" style="1072" customWidth="1"/>
    <col min="7" max="7" width="13.7265625" style="1072" customWidth="1"/>
    <col min="8" max="8" width="14.7265625" style="1072" customWidth="1"/>
    <col min="9" max="9" width="11.1796875" style="1118" customWidth="1"/>
    <col min="10" max="11" width="11.1796875" style="1072" customWidth="1"/>
    <col min="12" max="13" width="14.7265625" style="1072" customWidth="1"/>
    <col min="14" max="14" width="12.81640625" style="1072" customWidth="1"/>
    <col min="15" max="15" width="17.54296875" style="1072" bestFit="1" customWidth="1"/>
    <col min="16" max="18" width="14.7265625" style="1072" customWidth="1"/>
    <col min="19" max="19" width="17.81640625" style="1072" customWidth="1"/>
    <col min="20" max="20" width="18.54296875" style="1072" customWidth="1"/>
    <col min="21" max="21" width="13.7265625" style="1072" customWidth="1"/>
    <col min="22" max="23" width="14.7265625" style="1072" customWidth="1"/>
    <col min="24" max="26" width="15" style="1072" customWidth="1"/>
    <col min="27" max="27" width="14.7265625" style="1072" customWidth="1"/>
    <col min="28" max="28" width="16.26953125" style="1072" customWidth="1"/>
    <col min="29" max="30" width="14.7265625" style="1072"/>
    <col min="31" max="31" width="17.1796875" style="1072" customWidth="1"/>
    <col min="32" max="256" width="14.7265625" style="1072"/>
    <col min="257" max="257" width="9" style="1072" customWidth="1"/>
    <col min="258" max="258" width="39.26953125" style="1072" customWidth="1"/>
    <col min="259" max="259" width="11" style="1072" customWidth="1"/>
    <col min="260" max="260" width="20" style="1072" customWidth="1"/>
    <col min="261" max="261" width="20.1796875" style="1072" customWidth="1"/>
    <col min="262" max="262" width="14.7265625" style="1072" customWidth="1"/>
    <col min="263" max="263" width="13.7265625" style="1072" customWidth="1"/>
    <col min="264" max="264" width="14.7265625" style="1072" customWidth="1"/>
    <col min="265" max="267" width="11.1796875" style="1072" customWidth="1"/>
    <col min="268" max="270" width="14.7265625" style="1072" customWidth="1"/>
    <col min="271" max="271" width="18.7265625" style="1072" customWidth="1"/>
    <col min="272" max="274" width="14.7265625" style="1072" customWidth="1"/>
    <col min="275" max="275" width="17.81640625" style="1072" customWidth="1"/>
    <col min="276" max="276" width="18.54296875" style="1072" customWidth="1"/>
    <col min="277" max="277" width="13.7265625" style="1072" customWidth="1"/>
    <col min="278" max="279" width="14.7265625" style="1072" customWidth="1"/>
    <col min="280" max="282" width="15" style="1072" customWidth="1"/>
    <col min="283" max="283" width="14.7265625" style="1072" customWidth="1"/>
    <col min="284" max="284" width="16.26953125" style="1072" customWidth="1"/>
    <col min="285" max="286" width="14.7265625" style="1072"/>
    <col min="287" max="287" width="21.7265625" style="1072" bestFit="1" customWidth="1"/>
    <col min="288" max="512" width="14.7265625" style="1072"/>
    <col min="513" max="513" width="9" style="1072" customWidth="1"/>
    <col min="514" max="514" width="39.26953125" style="1072" customWidth="1"/>
    <col min="515" max="515" width="11" style="1072" customWidth="1"/>
    <col min="516" max="516" width="20" style="1072" customWidth="1"/>
    <col min="517" max="517" width="20.1796875" style="1072" customWidth="1"/>
    <col min="518" max="518" width="14.7265625" style="1072" customWidth="1"/>
    <col min="519" max="519" width="13.7265625" style="1072" customWidth="1"/>
    <col min="520" max="520" width="14.7265625" style="1072" customWidth="1"/>
    <col min="521" max="523" width="11.1796875" style="1072" customWidth="1"/>
    <col min="524" max="526" width="14.7265625" style="1072" customWidth="1"/>
    <col min="527" max="527" width="18.7265625" style="1072" customWidth="1"/>
    <col min="528" max="530" width="14.7265625" style="1072" customWidth="1"/>
    <col min="531" max="531" width="17.81640625" style="1072" customWidth="1"/>
    <col min="532" max="532" width="18.54296875" style="1072" customWidth="1"/>
    <col min="533" max="533" width="13.7265625" style="1072" customWidth="1"/>
    <col min="534" max="535" width="14.7265625" style="1072" customWidth="1"/>
    <col min="536" max="538" width="15" style="1072" customWidth="1"/>
    <col min="539" max="539" width="14.7265625" style="1072" customWidth="1"/>
    <col min="540" max="540" width="16.26953125" style="1072" customWidth="1"/>
    <col min="541" max="542" width="14.7265625" style="1072"/>
    <col min="543" max="543" width="21.7265625" style="1072" bestFit="1" customWidth="1"/>
    <col min="544" max="768" width="14.7265625" style="1072"/>
    <col min="769" max="769" width="9" style="1072" customWidth="1"/>
    <col min="770" max="770" width="39.26953125" style="1072" customWidth="1"/>
    <col min="771" max="771" width="11" style="1072" customWidth="1"/>
    <col min="772" max="772" width="20" style="1072" customWidth="1"/>
    <col min="773" max="773" width="20.1796875" style="1072" customWidth="1"/>
    <col min="774" max="774" width="14.7265625" style="1072" customWidth="1"/>
    <col min="775" max="775" width="13.7265625" style="1072" customWidth="1"/>
    <col min="776" max="776" width="14.7265625" style="1072" customWidth="1"/>
    <col min="777" max="779" width="11.1796875" style="1072" customWidth="1"/>
    <col min="780" max="782" width="14.7265625" style="1072" customWidth="1"/>
    <col min="783" max="783" width="18.7265625" style="1072" customWidth="1"/>
    <col min="784" max="786" width="14.7265625" style="1072" customWidth="1"/>
    <col min="787" max="787" width="17.81640625" style="1072" customWidth="1"/>
    <col min="788" max="788" width="18.54296875" style="1072" customWidth="1"/>
    <col min="789" max="789" width="13.7265625" style="1072" customWidth="1"/>
    <col min="790" max="791" width="14.7265625" style="1072" customWidth="1"/>
    <col min="792" max="794" width="15" style="1072" customWidth="1"/>
    <col min="795" max="795" width="14.7265625" style="1072" customWidth="1"/>
    <col min="796" max="796" width="16.26953125" style="1072" customWidth="1"/>
    <col min="797" max="798" width="14.7265625" style="1072"/>
    <col min="799" max="799" width="21.7265625" style="1072" bestFit="1" customWidth="1"/>
    <col min="800" max="1024" width="14.7265625" style="1072"/>
    <col min="1025" max="1025" width="9" style="1072" customWidth="1"/>
    <col min="1026" max="1026" width="39.26953125" style="1072" customWidth="1"/>
    <col min="1027" max="1027" width="11" style="1072" customWidth="1"/>
    <col min="1028" max="1028" width="20" style="1072" customWidth="1"/>
    <col min="1029" max="1029" width="20.1796875" style="1072" customWidth="1"/>
    <col min="1030" max="1030" width="14.7265625" style="1072" customWidth="1"/>
    <col min="1031" max="1031" width="13.7265625" style="1072" customWidth="1"/>
    <col min="1032" max="1032" width="14.7265625" style="1072" customWidth="1"/>
    <col min="1033" max="1035" width="11.1796875" style="1072" customWidth="1"/>
    <col min="1036" max="1038" width="14.7265625" style="1072" customWidth="1"/>
    <col min="1039" max="1039" width="18.7265625" style="1072" customWidth="1"/>
    <col min="1040" max="1042" width="14.7265625" style="1072" customWidth="1"/>
    <col min="1043" max="1043" width="17.81640625" style="1072" customWidth="1"/>
    <col min="1044" max="1044" width="18.54296875" style="1072" customWidth="1"/>
    <col min="1045" max="1045" width="13.7265625" style="1072" customWidth="1"/>
    <col min="1046" max="1047" width="14.7265625" style="1072" customWidth="1"/>
    <col min="1048" max="1050" width="15" style="1072" customWidth="1"/>
    <col min="1051" max="1051" width="14.7265625" style="1072" customWidth="1"/>
    <col min="1052" max="1052" width="16.26953125" style="1072" customWidth="1"/>
    <col min="1053" max="1054" width="14.7265625" style="1072"/>
    <col min="1055" max="1055" width="21.7265625" style="1072" bestFit="1" customWidth="1"/>
    <col min="1056" max="1280" width="14.7265625" style="1072"/>
    <col min="1281" max="1281" width="9" style="1072" customWidth="1"/>
    <col min="1282" max="1282" width="39.26953125" style="1072" customWidth="1"/>
    <col min="1283" max="1283" width="11" style="1072" customWidth="1"/>
    <col min="1284" max="1284" width="20" style="1072" customWidth="1"/>
    <col min="1285" max="1285" width="20.1796875" style="1072" customWidth="1"/>
    <col min="1286" max="1286" width="14.7265625" style="1072" customWidth="1"/>
    <col min="1287" max="1287" width="13.7265625" style="1072" customWidth="1"/>
    <col min="1288" max="1288" width="14.7265625" style="1072" customWidth="1"/>
    <col min="1289" max="1291" width="11.1796875" style="1072" customWidth="1"/>
    <col min="1292" max="1294" width="14.7265625" style="1072" customWidth="1"/>
    <col min="1295" max="1295" width="18.7265625" style="1072" customWidth="1"/>
    <col min="1296" max="1298" width="14.7265625" style="1072" customWidth="1"/>
    <col min="1299" max="1299" width="17.81640625" style="1072" customWidth="1"/>
    <col min="1300" max="1300" width="18.54296875" style="1072" customWidth="1"/>
    <col min="1301" max="1301" width="13.7265625" style="1072" customWidth="1"/>
    <col min="1302" max="1303" width="14.7265625" style="1072" customWidth="1"/>
    <col min="1304" max="1306" width="15" style="1072" customWidth="1"/>
    <col min="1307" max="1307" width="14.7265625" style="1072" customWidth="1"/>
    <col min="1308" max="1308" width="16.26953125" style="1072" customWidth="1"/>
    <col min="1309" max="1310" width="14.7265625" style="1072"/>
    <col min="1311" max="1311" width="21.7265625" style="1072" bestFit="1" customWidth="1"/>
    <col min="1312" max="1536" width="14.7265625" style="1072"/>
    <col min="1537" max="1537" width="9" style="1072" customWidth="1"/>
    <col min="1538" max="1538" width="39.26953125" style="1072" customWidth="1"/>
    <col min="1539" max="1539" width="11" style="1072" customWidth="1"/>
    <col min="1540" max="1540" width="20" style="1072" customWidth="1"/>
    <col min="1541" max="1541" width="20.1796875" style="1072" customWidth="1"/>
    <col min="1542" max="1542" width="14.7265625" style="1072" customWidth="1"/>
    <col min="1543" max="1543" width="13.7265625" style="1072" customWidth="1"/>
    <col min="1544" max="1544" width="14.7265625" style="1072" customWidth="1"/>
    <col min="1545" max="1547" width="11.1796875" style="1072" customWidth="1"/>
    <col min="1548" max="1550" width="14.7265625" style="1072" customWidth="1"/>
    <col min="1551" max="1551" width="18.7265625" style="1072" customWidth="1"/>
    <col min="1552" max="1554" width="14.7265625" style="1072" customWidth="1"/>
    <col min="1555" max="1555" width="17.81640625" style="1072" customWidth="1"/>
    <col min="1556" max="1556" width="18.54296875" style="1072" customWidth="1"/>
    <col min="1557" max="1557" width="13.7265625" style="1072" customWidth="1"/>
    <col min="1558" max="1559" width="14.7265625" style="1072" customWidth="1"/>
    <col min="1560" max="1562" width="15" style="1072" customWidth="1"/>
    <col min="1563" max="1563" width="14.7265625" style="1072" customWidth="1"/>
    <col min="1564" max="1564" width="16.26953125" style="1072" customWidth="1"/>
    <col min="1565" max="1566" width="14.7265625" style="1072"/>
    <col min="1567" max="1567" width="21.7265625" style="1072" bestFit="1" customWidth="1"/>
    <col min="1568" max="1792" width="14.7265625" style="1072"/>
    <col min="1793" max="1793" width="9" style="1072" customWidth="1"/>
    <col min="1794" max="1794" width="39.26953125" style="1072" customWidth="1"/>
    <col min="1795" max="1795" width="11" style="1072" customWidth="1"/>
    <col min="1796" max="1796" width="20" style="1072" customWidth="1"/>
    <col min="1797" max="1797" width="20.1796875" style="1072" customWidth="1"/>
    <col min="1798" max="1798" width="14.7265625" style="1072" customWidth="1"/>
    <col min="1799" max="1799" width="13.7265625" style="1072" customWidth="1"/>
    <col min="1800" max="1800" width="14.7265625" style="1072" customWidth="1"/>
    <col min="1801" max="1803" width="11.1796875" style="1072" customWidth="1"/>
    <col min="1804" max="1806" width="14.7265625" style="1072" customWidth="1"/>
    <col min="1807" max="1807" width="18.7265625" style="1072" customWidth="1"/>
    <col min="1808" max="1810" width="14.7265625" style="1072" customWidth="1"/>
    <col min="1811" max="1811" width="17.81640625" style="1072" customWidth="1"/>
    <col min="1812" max="1812" width="18.54296875" style="1072" customWidth="1"/>
    <col min="1813" max="1813" width="13.7265625" style="1072" customWidth="1"/>
    <col min="1814" max="1815" width="14.7265625" style="1072" customWidth="1"/>
    <col min="1816" max="1818" width="15" style="1072" customWidth="1"/>
    <col min="1819" max="1819" width="14.7265625" style="1072" customWidth="1"/>
    <col min="1820" max="1820" width="16.26953125" style="1072" customWidth="1"/>
    <col min="1821" max="1822" width="14.7265625" style="1072"/>
    <col min="1823" max="1823" width="21.7265625" style="1072" bestFit="1" customWidth="1"/>
    <col min="1824" max="2048" width="14.7265625" style="1072"/>
    <col min="2049" max="2049" width="9" style="1072" customWidth="1"/>
    <col min="2050" max="2050" width="39.26953125" style="1072" customWidth="1"/>
    <col min="2051" max="2051" width="11" style="1072" customWidth="1"/>
    <col min="2052" max="2052" width="20" style="1072" customWidth="1"/>
    <col min="2053" max="2053" width="20.1796875" style="1072" customWidth="1"/>
    <col min="2054" max="2054" width="14.7265625" style="1072" customWidth="1"/>
    <col min="2055" max="2055" width="13.7265625" style="1072" customWidth="1"/>
    <col min="2056" max="2056" width="14.7265625" style="1072" customWidth="1"/>
    <col min="2057" max="2059" width="11.1796875" style="1072" customWidth="1"/>
    <col min="2060" max="2062" width="14.7265625" style="1072" customWidth="1"/>
    <col min="2063" max="2063" width="18.7265625" style="1072" customWidth="1"/>
    <col min="2064" max="2066" width="14.7265625" style="1072" customWidth="1"/>
    <col min="2067" max="2067" width="17.81640625" style="1072" customWidth="1"/>
    <col min="2068" max="2068" width="18.54296875" style="1072" customWidth="1"/>
    <col min="2069" max="2069" width="13.7265625" style="1072" customWidth="1"/>
    <col min="2070" max="2071" width="14.7265625" style="1072" customWidth="1"/>
    <col min="2072" max="2074" width="15" style="1072" customWidth="1"/>
    <col min="2075" max="2075" width="14.7265625" style="1072" customWidth="1"/>
    <col min="2076" max="2076" width="16.26953125" style="1072" customWidth="1"/>
    <col min="2077" max="2078" width="14.7265625" style="1072"/>
    <col min="2079" max="2079" width="21.7265625" style="1072" bestFit="1" customWidth="1"/>
    <col min="2080" max="2304" width="14.7265625" style="1072"/>
    <col min="2305" max="2305" width="9" style="1072" customWidth="1"/>
    <col min="2306" max="2306" width="39.26953125" style="1072" customWidth="1"/>
    <col min="2307" max="2307" width="11" style="1072" customWidth="1"/>
    <col min="2308" max="2308" width="20" style="1072" customWidth="1"/>
    <col min="2309" max="2309" width="20.1796875" style="1072" customWidth="1"/>
    <col min="2310" max="2310" width="14.7265625" style="1072" customWidth="1"/>
    <col min="2311" max="2311" width="13.7265625" style="1072" customWidth="1"/>
    <col min="2312" max="2312" width="14.7265625" style="1072" customWidth="1"/>
    <col min="2313" max="2315" width="11.1796875" style="1072" customWidth="1"/>
    <col min="2316" max="2318" width="14.7265625" style="1072" customWidth="1"/>
    <col min="2319" max="2319" width="18.7265625" style="1072" customWidth="1"/>
    <col min="2320" max="2322" width="14.7265625" style="1072" customWidth="1"/>
    <col min="2323" max="2323" width="17.81640625" style="1072" customWidth="1"/>
    <col min="2324" max="2324" width="18.54296875" style="1072" customWidth="1"/>
    <col min="2325" max="2325" width="13.7265625" style="1072" customWidth="1"/>
    <col min="2326" max="2327" width="14.7265625" style="1072" customWidth="1"/>
    <col min="2328" max="2330" width="15" style="1072" customWidth="1"/>
    <col min="2331" max="2331" width="14.7265625" style="1072" customWidth="1"/>
    <col min="2332" max="2332" width="16.26953125" style="1072" customWidth="1"/>
    <col min="2333" max="2334" width="14.7265625" style="1072"/>
    <col min="2335" max="2335" width="21.7265625" style="1072" bestFit="1" customWidth="1"/>
    <col min="2336" max="2560" width="14.7265625" style="1072"/>
    <col min="2561" max="2561" width="9" style="1072" customWidth="1"/>
    <col min="2562" max="2562" width="39.26953125" style="1072" customWidth="1"/>
    <col min="2563" max="2563" width="11" style="1072" customWidth="1"/>
    <col min="2564" max="2564" width="20" style="1072" customWidth="1"/>
    <col min="2565" max="2565" width="20.1796875" style="1072" customWidth="1"/>
    <col min="2566" max="2566" width="14.7265625" style="1072" customWidth="1"/>
    <col min="2567" max="2567" width="13.7265625" style="1072" customWidth="1"/>
    <col min="2568" max="2568" width="14.7265625" style="1072" customWidth="1"/>
    <col min="2569" max="2571" width="11.1796875" style="1072" customWidth="1"/>
    <col min="2572" max="2574" width="14.7265625" style="1072" customWidth="1"/>
    <col min="2575" max="2575" width="18.7265625" style="1072" customWidth="1"/>
    <col min="2576" max="2578" width="14.7265625" style="1072" customWidth="1"/>
    <col min="2579" max="2579" width="17.81640625" style="1072" customWidth="1"/>
    <col min="2580" max="2580" width="18.54296875" style="1072" customWidth="1"/>
    <col min="2581" max="2581" width="13.7265625" style="1072" customWidth="1"/>
    <col min="2582" max="2583" width="14.7265625" style="1072" customWidth="1"/>
    <col min="2584" max="2586" width="15" style="1072" customWidth="1"/>
    <col min="2587" max="2587" width="14.7265625" style="1072" customWidth="1"/>
    <col min="2588" max="2588" width="16.26953125" style="1072" customWidth="1"/>
    <col min="2589" max="2590" width="14.7265625" style="1072"/>
    <col min="2591" max="2591" width="21.7265625" style="1072" bestFit="1" customWidth="1"/>
    <col min="2592" max="2816" width="14.7265625" style="1072"/>
    <col min="2817" max="2817" width="9" style="1072" customWidth="1"/>
    <col min="2818" max="2818" width="39.26953125" style="1072" customWidth="1"/>
    <col min="2819" max="2819" width="11" style="1072" customWidth="1"/>
    <col min="2820" max="2820" width="20" style="1072" customWidth="1"/>
    <col min="2821" max="2821" width="20.1796875" style="1072" customWidth="1"/>
    <col min="2822" max="2822" width="14.7265625" style="1072" customWidth="1"/>
    <col min="2823" max="2823" width="13.7265625" style="1072" customWidth="1"/>
    <col min="2824" max="2824" width="14.7265625" style="1072" customWidth="1"/>
    <col min="2825" max="2827" width="11.1796875" style="1072" customWidth="1"/>
    <col min="2828" max="2830" width="14.7265625" style="1072" customWidth="1"/>
    <col min="2831" max="2831" width="18.7265625" style="1072" customWidth="1"/>
    <col min="2832" max="2834" width="14.7265625" style="1072" customWidth="1"/>
    <col min="2835" max="2835" width="17.81640625" style="1072" customWidth="1"/>
    <col min="2836" max="2836" width="18.54296875" style="1072" customWidth="1"/>
    <col min="2837" max="2837" width="13.7265625" style="1072" customWidth="1"/>
    <col min="2838" max="2839" width="14.7265625" style="1072" customWidth="1"/>
    <col min="2840" max="2842" width="15" style="1072" customWidth="1"/>
    <col min="2843" max="2843" width="14.7265625" style="1072" customWidth="1"/>
    <col min="2844" max="2844" width="16.26953125" style="1072" customWidth="1"/>
    <col min="2845" max="2846" width="14.7265625" style="1072"/>
    <col min="2847" max="2847" width="21.7265625" style="1072" bestFit="1" customWidth="1"/>
    <col min="2848" max="3072" width="14.7265625" style="1072"/>
    <col min="3073" max="3073" width="9" style="1072" customWidth="1"/>
    <col min="3074" max="3074" width="39.26953125" style="1072" customWidth="1"/>
    <col min="3075" max="3075" width="11" style="1072" customWidth="1"/>
    <col min="3076" max="3076" width="20" style="1072" customWidth="1"/>
    <col min="3077" max="3077" width="20.1796875" style="1072" customWidth="1"/>
    <col min="3078" max="3078" width="14.7265625" style="1072" customWidth="1"/>
    <col min="3079" max="3079" width="13.7265625" style="1072" customWidth="1"/>
    <col min="3080" max="3080" width="14.7265625" style="1072" customWidth="1"/>
    <col min="3081" max="3083" width="11.1796875" style="1072" customWidth="1"/>
    <col min="3084" max="3086" width="14.7265625" style="1072" customWidth="1"/>
    <col min="3087" max="3087" width="18.7265625" style="1072" customWidth="1"/>
    <col min="3088" max="3090" width="14.7265625" style="1072" customWidth="1"/>
    <col min="3091" max="3091" width="17.81640625" style="1072" customWidth="1"/>
    <col min="3092" max="3092" width="18.54296875" style="1072" customWidth="1"/>
    <col min="3093" max="3093" width="13.7265625" style="1072" customWidth="1"/>
    <col min="3094" max="3095" width="14.7265625" style="1072" customWidth="1"/>
    <col min="3096" max="3098" width="15" style="1072" customWidth="1"/>
    <col min="3099" max="3099" width="14.7265625" style="1072" customWidth="1"/>
    <col min="3100" max="3100" width="16.26953125" style="1072" customWidth="1"/>
    <col min="3101" max="3102" width="14.7265625" style="1072"/>
    <col min="3103" max="3103" width="21.7265625" style="1072" bestFit="1" customWidth="1"/>
    <col min="3104" max="3328" width="14.7265625" style="1072"/>
    <col min="3329" max="3329" width="9" style="1072" customWidth="1"/>
    <col min="3330" max="3330" width="39.26953125" style="1072" customWidth="1"/>
    <col min="3331" max="3331" width="11" style="1072" customWidth="1"/>
    <col min="3332" max="3332" width="20" style="1072" customWidth="1"/>
    <col min="3333" max="3333" width="20.1796875" style="1072" customWidth="1"/>
    <col min="3334" max="3334" width="14.7265625" style="1072" customWidth="1"/>
    <col min="3335" max="3335" width="13.7265625" style="1072" customWidth="1"/>
    <col min="3336" max="3336" width="14.7265625" style="1072" customWidth="1"/>
    <col min="3337" max="3339" width="11.1796875" style="1072" customWidth="1"/>
    <col min="3340" max="3342" width="14.7265625" style="1072" customWidth="1"/>
    <col min="3343" max="3343" width="18.7265625" style="1072" customWidth="1"/>
    <col min="3344" max="3346" width="14.7265625" style="1072" customWidth="1"/>
    <col min="3347" max="3347" width="17.81640625" style="1072" customWidth="1"/>
    <col min="3348" max="3348" width="18.54296875" style="1072" customWidth="1"/>
    <col min="3349" max="3349" width="13.7265625" style="1072" customWidth="1"/>
    <col min="3350" max="3351" width="14.7265625" style="1072" customWidth="1"/>
    <col min="3352" max="3354" width="15" style="1072" customWidth="1"/>
    <col min="3355" max="3355" width="14.7265625" style="1072" customWidth="1"/>
    <col min="3356" max="3356" width="16.26953125" style="1072" customWidth="1"/>
    <col min="3357" max="3358" width="14.7265625" style="1072"/>
    <col min="3359" max="3359" width="21.7265625" style="1072" bestFit="1" customWidth="1"/>
    <col min="3360" max="3584" width="14.7265625" style="1072"/>
    <col min="3585" max="3585" width="9" style="1072" customWidth="1"/>
    <col min="3586" max="3586" width="39.26953125" style="1072" customWidth="1"/>
    <col min="3587" max="3587" width="11" style="1072" customWidth="1"/>
    <col min="3588" max="3588" width="20" style="1072" customWidth="1"/>
    <col min="3589" max="3589" width="20.1796875" style="1072" customWidth="1"/>
    <col min="3590" max="3590" width="14.7265625" style="1072" customWidth="1"/>
    <col min="3591" max="3591" width="13.7265625" style="1072" customWidth="1"/>
    <col min="3592" max="3592" width="14.7265625" style="1072" customWidth="1"/>
    <col min="3593" max="3595" width="11.1796875" style="1072" customWidth="1"/>
    <col min="3596" max="3598" width="14.7265625" style="1072" customWidth="1"/>
    <col min="3599" max="3599" width="18.7265625" style="1072" customWidth="1"/>
    <col min="3600" max="3602" width="14.7265625" style="1072" customWidth="1"/>
    <col min="3603" max="3603" width="17.81640625" style="1072" customWidth="1"/>
    <col min="3604" max="3604" width="18.54296875" style="1072" customWidth="1"/>
    <col min="3605" max="3605" width="13.7265625" style="1072" customWidth="1"/>
    <col min="3606" max="3607" width="14.7265625" style="1072" customWidth="1"/>
    <col min="3608" max="3610" width="15" style="1072" customWidth="1"/>
    <col min="3611" max="3611" width="14.7265625" style="1072" customWidth="1"/>
    <col min="3612" max="3612" width="16.26953125" style="1072" customWidth="1"/>
    <col min="3613" max="3614" width="14.7265625" style="1072"/>
    <col min="3615" max="3615" width="21.7265625" style="1072" bestFit="1" customWidth="1"/>
    <col min="3616" max="3840" width="14.7265625" style="1072"/>
    <col min="3841" max="3841" width="9" style="1072" customWidth="1"/>
    <col min="3842" max="3842" width="39.26953125" style="1072" customWidth="1"/>
    <col min="3843" max="3843" width="11" style="1072" customWidth="1"/>
    <col min="3844" max="3844" width="20" style="1072" customWidth="1"/>
    <col min="3845" max="3845" width="20.1796875" style="1072" customWidth="1"/>
    <col min="3846" max="3846" width="14.7265625" style="1072" customWidth="1"/>
    <col min="3847" max="3847" width="13.7265625" style="1072" customWidth="1"/>
    <col min="3848" max="3848" width="14.7265625" style="1072" customWidth="1"/>
    <col min="3849" max="3851" width="11.1796875" style="1072" customWidth="1"/>
    <col min="3852" max="3854" width="14.7265625" style="1072" customWidth="1"/>
    <col min="3855" max="3855" width="18.7265625" style="1072" customWidth="1"/>
    <col min="3856" max="3858" width="14.7265625" style="1072" customWidth="1"/>
    <col min="3859" max="3859" width="17.81640625" style="1072" customWidth="1"/>
    <col min="3860" max="3860" width="18.54296875" style="1072" customWidth="1"/>
    <col min="3861" max="3861" width="13.7265625" style="1072" customWidth="1"/>
    <col min="3862" max="3863" width="14.7265625" style="1072" customWidth="1"/>
    <col min="3864" max="3866" width="15" style="1072" customWidth="1"/>
    <col min="3867" max="3867" width="14.7265625" style="1072" customWidth="1"/>
    <col min="3868" max="3868" width="16.26953125" style="1072" customWidth="1"/>
    <col min="3869" max="3870" width="14.7265625" style="1072"/>
    <col min="3871" max="3871" width="21.7265625" style="1072" bestFit="1" customWidth="1"/>
    <col min="3872" max="4096" width="14.7265625" style="1072"/>
    <col min="4097" max="4097" width="9" style="1072" customWidth="1"/>
    <col min="4098" max="4098" width="39.26953125" style="1072" customWidth="1"/>
    <col min="4099" max="4099" width="11" style="1072" customWidth="1"/>
    <col min="4100" max="4100" width="20" style="1072" customWidth="1"/>
    <col min="4101" max="4101" width="20.1796875" style="1072" customWidth="1"/>
    <col min="4102" max="4102" width="14.7265625" style="1072" customWidth="1"/>
    <col min="4103" max="4103" width="13.7265625" style="1072" customWidth="1"/>
    <col min="4104" max="4104" width="14.7265625" style="1072" customWidth="1"/>
    <col min="4105" max="4107" width="11.1796875" style="1072" customWidth="1"/>
    <col min="4108" max="4110" width="14.7265625" style="1072" customWidth="1"/>
    <col min="4111" max="4111" width="18.7265625" style="1072" customWidth="1"/>
    <col min="4112" max="4114" width="14.7265625" style="1072" customWidth="1"/>
    <col min="4115" max="4115" width="17.81640625" style="1072" customWidth="1"/>
    <col min="4116" max="4116" width="18.54296875" style="1072" customWidth="1"/>
    <col min="4117" max="4117" width="13.7265625" style="1072" customWidth="1"/>
    <col min="4118" max="4119" width="14.7265625" style="1072" customWidth="1"/>
    <col min="4120" max="4122" width="15" style="1072" customWidth="1"/>
    <col min="4123" max="4123" width="14.7265625" style="1072" customWidth="1"/>
    <col min="4124" max="4124" width="16.26953125" style="1072" customWidth="1"/>
    <col min="4125" max="4126" width="14.7265625" style="1072"/>
    <col min="4127" max="4127" width="21.7265625" style="1072" bestFit="1" customWidth="1"/>
    <col min="4128" max="4352" width="14.7265625" style="1072"/>
    <col min="4353" max="4353" width="9" style="1072" customWidth="1"/>
    <col min="4354" max="4354" width="39.26953125" style="1072" customWidth="1"/>
    <col min="4355" max="4355" width="11" style="1072" customWidth="1"/>
    <col min="4356" max="4356" width="20" style="1072" customWidth="1"/>
    <col min="4357" max="4357" width="20.1796875" style="1072" customWidth="1"/>
    <col min="4358" max="4358" width="14.7265625" style="1072" customWidth="1"/>
    <col min="4359" max="4359" width="13.7265625" style="1072" customWidth="1"/>
    <col min="4360" max="4360" width="14.7265625" style="1072" customWidth="1"/>
    <col min="4361" max="4363" width="11.1796875" style="1072" customWidth="1"/>
    <col min="4364" max="4366" width="14.7265625" style="1072" customWidth="1"/>
    <col min="4367" max="4367" width="18.7265625" style="1072" customWidth="1"/>
    <col min="4368" max="4370" width="14.7265625" style="1072" customWidth="1"/>
    <col min="4371" max="4371" width="17.81640625" style="1072" customWidth="1"/>
    <col min="4372" max="4372" width="18.54296875" style="1072" customWidth="1"/>
    <col min="4373" max="4373" width="13.7265625" style="1072" customWidth="1"/>
    <col min="4374" max="4375" width="14.7265625" style="1072" customWidth="1"/>
    <col min="4376" max="4378" width="15" style="1072" customWidth="1"/>
    <col min="4379" max="4379" width="14.7265625" style="1072" customWidth="1"/>
    <col min="4380" max="4380" width="16.26953125" style="1072" customWidth="1"/>
    <col min="4381" max="4382" width="14.7265625" style="1072"/>
    <col min="4383" max="4383" width="21.7265625" style="1072" bestFit="1" customWidth="1"/>
    <col min="4384" max="4608" width="14.7265625" style="1072"/>
    <col min="4609" max="4609" width="9" style="1072" customWidth="1"/>
    <col min="4610" max="4610" width="39.26953125" style="1072" customWidth="1"/>
    <col min="4611" max="4611" width="11" style="1072" customWidth="1"/>
    <col min="4612" max="4612" width="20" style="1072" customWidth="1"/>
    <col min="4613" max="4613" width="20.1796875" style="1072" customWidth="1"/>
    <col min="4614" max="4614" width="14.7265625" style="1072" customWidth="1"/>
    <col min="4615" max="4615" width="13.7265625" style="1072" customWidth="1"/>
    <col min="4616" max="4616" width="14.7265625" style="1072" customWidth="1"/>
    <col min="4617" max="4619" width="11.1796875" style="1072" customWidth="1"/>
    <col min="4620" max="4622" width="14.7265625" style="1072" customWidth="1"/>
    <col min="4623" max="4623" width="18.7265625" style="1072" customWidth="1"/>
    <col min="4624" max="4626" width="14.7265625" style="1072" customWidth="1"/>
    <col min="4627" max="4627" width="17.81640625" style="1072" customWidth="1"/>
    <col min="4628" max="4628" width="18.54296875" style="1072" customWidth="1"/>
    <col min="4629" max="4629" width="13.7265625" style="1072" customWidth="1"/>
    <col min="4630" max="4631" width="14.7265625" style="1072" customWidth="1"/>
    <col min="4632" max="4634" width="15" style="1072" customWidth="1"/>
    <col min="4635" max="4635" width="14.7265625" style="1072" customWidth="1"/>
    <col min="4636" max="4636" width="16.26953125" style="1072" customWidth="1"/>
    <col min="4637" max="4638" width="14.7265625" style="1072"/>
    <col min="4639" max="4639" width="21.7265625" style="1072" bestFit="1" customWidth="1"/>
    <col min="4640" max="4864" width="14.7265625" style="1072"/>
    <col min="4865" max="4865" width="9" style="1072" customWidth="1"/>
    <col min="4866" max="4866" width="39.26953125" style="1072" customWidth="1"/>
    <col min="4867" max="4867" width="11" style="1072" customWidth="1"/>
    <col min="4868" max="4868" width="20" style="1072" customWidth="1"/>
    <col min="4869" max="4869" width="20.1796875" style="1072" customWidth="1"/>
    <col min="4870" max="4870" width="14.7265625" style="1072" customWidth="1"/>
    <col min="4871" max="4871" width="13.7265625" style="1072" customWidth="1"/>
    <col min="4872" max="4872" width="14.7265625" style="1072" customWidth="1"/>
    <col min="4873" max="4875" width="11.1796875" style="1072" customWidth="1"/>
    <col min="4876" max="4878" width="14.7265625" style="1072" customWidth="1"/>
    <col min="4879" max="4879" width="18.7265625" style="1072" customWidth="1"/>
    <col min="4880" max="4882" width="14.7265625" style="1072" customWidth="1"/>
    <col min="4883" max="4883" width="17.81640625" style="1072" customWidth="1"/>
    <col min="4884" max="4884" width="18.54296875" style="1072" customWidth="1"/>
    <col min="4885" max="4885" width="13.7265625" style="1072" customWidth="1"/>
    <col min="4886" max="4887" width="14.7265625" style="1072" customWidth="1"/>
    <col min="4888" max="4890" width="15" style="1072" customWidth="1"/>
    <col min="4891" max="4891" width="14.7265625" style="1072" customWidth="1"/>
    <col min="4892" max="4892" width="16.26953125" style="1072" customWidth="1"/>
    <col min="4893" max="4894" width="14.7265625" style="1072"/>
    <col min="4895" max="4895" width="21.7265625" style="1072" bestFit="1" customWidth="1"/>
    <col min="4896" max="5120" width="14.7265625" style="1072"/>
    <col min="5121" max="5121" width="9" style="1072" customWidth="1"/>
    <col min="5122" max="5122" width="39.26953125" style="1072" customWidth="1"/>
    <col min="5123" max="5123" width="11" style="1072" customWidth="1"/>
    <col min="5124" max="5124" width="20" style="1072" customWidth="1"/>
    <col min="5125" max="5125" width="20.1796875" style="1072" customWidth="1"/>
    <col min="5126" max="5126" width="14.7265625" style="1072" customWidth="1"/>
    <col min="5127" max="5127" width="13.7265625" style="1072" customWidth="1"/>
    <col min="5128" max="5128" width="14.7265625" style="1072" customWidth="1"/>
    <col min="5129" max="5131" width="11.1796875" style="1072" customWidth="1"/>
    <col min="5132" max="5134" width="14.7265625" style="1072" customWidth="1"/>
    <col min="5135" max="5135" width="18.7265625" style="1072" customWidth="1"/>
    <col min="5136" max="5138" width="14.7265625" style="1072" customWidth="1"/>
    <col min="5139" max="5139" width="17.81640625" style="1072" customWidth="1"/>
    <col min="5140" max="5140" width="18.54296875" style="1072" customWidth="1"/>
    <col min="5141" max="5141" width="13.7265625" style="1072" customWidth="1"/>
    <col min="5142" max="5143" width="14.7265625" style="1072" customWidth="1"/>
    <col min="5144" max="5146" width="15" style="1072" customWidth="1"/>
    <col min="5147" max="5147" width="14.7265625" style="1072" customWidth="1"/>
    <col min="5148" max="5148" width="16.26953125" style="1072" customWidth="1"/>
    <col min="5149" max="5150" width="14.7265625" style="1072"/>
    <col min="5151" max="5151" width="21.7265625" style="1072" bestFit="1" customWidth="1"/>
    <col min="5152" max="5376" width="14.7265625" style="1072"/>
    <col min="5377" max="5377" width="9" style="1072" customWidth="1"/>
    <col min="5378" max="5378" width="39.26953125" style="1072" customWidth="1"/>
    <col min="5379" max="5379" width="11" style="1072" customWidth="1"/>
    <col min="5380" max="5380" width="20" style="1072" customWidth="1"/>
    <col min="5381" max="5381" width="20.1796875" style="1072" customWidth="1"/>
    <col min="5382" max="5382" width="14.7265625" style="1072" customWidth="1"/>
    <col min="5383" max="5383" width="13.7265625" style="1072" customWidth="1"/>
    <col min="5384" max="5384" width="14.7265625" style="1072" customWidth="1"/>
    <col min="5385" max="5387" width="11.1796875" style="1072" customWidth="1"/>
    <col min="5388" max="5390" width="14.7265625" style="1072" customWidth="1"/>
    <col min="5391" max="5391" width="18.7265625" style="1072" customWidth="1"/>
    <col min="5392" max="5394" width="14.7265625" style="1072" customWidth="1"/>
    <col min="5395" max="5395" width="17.81640625" style="1072" customWidth="1"/>
    <col min="5396" max="5396" width="18.54296875" style="1072" customWidth="1"/>
    <col min="5397" max="5397" width="13.7265625" style="1072" customWidth="1"/>
    <col min="5398" max="5399" width="14.7265625" style="1072" customWidth="1"/>
    <col min="5400" max="5402" width="15" style="1072" customWidth="1"/>
    <col min="5403" max="5403" width="14.7265625" style="1072" customWidth="1"/>
    <col min="5404" max="5404" width="16.26953125" style="1072" customWidth="1"/>
    <col min="5405" max="5406" width="14.7265625" style="1072"/>
    <col min="5407" max="5407" width="21.7265625" style="1072" bestFit="1" customWidth="1"/>
    <col min="5408" max="5632" width="14.7265625" style="1072"/>
    <col min="5633" max="5633" width="9" style="1072" customWidth="1"/>
    <col min="5634" max="5634" width="39.26953125" style="1072" customWidth="1"/>
    <col min="5635" max="5635" width="11" style="1072" customWidth="1"/>
    <col min="5636" max="5636" width="20" style="1072" customWidth="1"/>
    <col min="5637" max="5637" width="20.1796875" style="1072" customWidth="1"/>
    <col min="5638" max="5638" width="14.7265625" style="1072" customWidth="1"/>
    <col min="5639" max="5639" width="13.7265625" style="1072" customWidth="1"/>
    <col min="5640" max="5640" width="14.7265625" style="1072" customWidth="1"/>
    <col min="5641" max="5643" width="11.1796875" style="1072" customWidth="1"/>
    <col min="5644" max="5646" width="14.7265625" style="1072" customWidth="1"/>
    <col min="5647" max="5647" width="18.7265625" style="1072" customWidth="1"/>
    <col min="5648" max="5650" width="14.7265625" style="1072" customWidth="1"/>
    <col min="5651" max="5651" width="17.81640625" style="1072" customWidth="1"/>
    <col min="5652" max="5652" width="18.54296875" style="1072" customWidth="1"/>
    <col min="5653" max="5653" width="13.7265625" style="1072" customWidth="1"/>
    <col min="5654" max="5655" width="14.7265625" style="1072" customWidth="1"/>
    <col min="5656" max="5658" width="15" style="1072" customWidth="1"/>
    <col min="5659" max="5659" width="14.7265625" style="1072" customWidth="1"/>
    <col min="5660" max="5660" width="16.26953125" style="1072" customWidth="1"/>
    <col min="5661" max="5662" width="14.7265625" style="1072"/>
    <col min="5663" max="5663" width="21.7265625" style="1072" bestFit="1" customWidth="1"/>
    <col min="5664" max="5888" width="14.7265625" style="1072"/>
    <col min="5889" max="5889" width="9" style="1072" customWidth="1"/>
    <col min="5890" max="5890" width="39.26953125" style="1072" customWidth="1"/>
    <col min="5891" max="5891" width="11" style="1072" customWidth="1"/>
    <col min="5892" max="5892" width="20" style="1072" customWidth="1"/>
    <col min="5893" max="5893" width="20.1796875" style="1072" customWidth="1"/>
    <col min="5894" max="5894" width="14.7265625" style="1072" customWidth="1"/>
    <col min="5895" max="5895" width="13.7265625" style="1072" customWidth="1"/>
    <col min="5896" max="5896" width="14.7265625" style="1072" customWidth="1"/>
    <col min="5897" max="5899" width="11.1796875" style="1072" customWidth="1"/>
    <col min="5900" max="5902" width="14.7265625" style="1072" customWidth="1"/>
    <col min="5903" max="5903" width="18.7265625" style="1072" customWidth="1"/>
    <col min="5904" max="5906" width="14.7265625" style="1072" customWidth="1"/>
    <col min="5907" max="5907" width="17.81640625" style="1072" customWidth="1"/>
    <col min="5908" max="5908" width="18.54296875" style="1072" customWidth="1"/>
    <col min="5909" max="5909" width="13.7265625" style="1072" customWidth="1"/>
    <col min="5910" max="5911" width="14.7265625" style="1072" customWidth="1"/>
    <col min="5912" max="5914" width="15" style="1072" customWidth="1"/>
    <col min="5915" max="5915" width="14.7265625" style="1072" customWidth="1"/>
    <col min="5916" max="5916" width="16.26953125" style="1072" customWidth="1"/>
    <col min="5917" max="5918" width="14.7265625" style="1072"/>
    <col min="5919" max="5919" width="21.7265625" style="1072" bestFit="1" customWidth="1"/>
    <col min="5920" max="6144" width="14.7265625" style="1072"/>
    <col min="6145" max="6145" width="9" style="1072" customWidth="1"/>
    <col min="6146" max="6146" width="39.26953125" style="1072" customWidth="1"/>
    <col min="6147" max="6147" width="11" style="1072" customWidth="1"/>
    <col min="6148" max="6148" width="20" style="1072" customWidth="1"/>
    <col min="6149" max="6149" width="20.1796875" style="1072" customWidth="1"/>
    <col min="6150" max="6150" width="14.7265625" style="1072" customWidth="1"/>
    <col min="6151" max="6151" width="13.7265625" style="1072" customWidth="1"/>
    <col min="6152" max="6152" width="14.7265625" style="1072" customWidth="1"/>
    <col min="6153" max="6155" width="11.1796875" style="1072" customWidth="1"/>
    <col min="6156" max="6158" width="14.7265625" style="1072" customWidth="1"/>
    <col min="6159" max="6159" width="18.7265625" style="1072" customWidth="1"/>
    <col min="6160" max="6162" width="14.7265625" style="1072" customWidth="1"/>
    <col min="6163" max="6163" width="17.81640625" style="1072" customWidth="1"/>
    <col min="6164" max="6164" width="18.54296875" style="1072" customWidth="1"/>
    <col min="6165" max="6165" width="13.7265625" style="1072" customWidth="1"/>
    <col min="6166" max="6167" width="14.7265625" style="1072" customWidth="1"/>
    <col min="6168" max="6170" width="15" style="1072" customWidth="1"/>
    <col min="6171" max="6171" width="14.7265625" style="1072" customWidth="1"/>
    <col min="6172" max="6172" width="16.26953125" style="1072" customWidth="1"/>
    <col min="6173" max="6174" width="14.7265625" style="1072"/>
    <col min="6175" max="6175" width="21.7265625" style="1072" bestFit="1" customWidth="1"/>
    <col min="6176" max="6400" width="14.7265625" style="1072"/>
    <col min="6401" max="6401" width="9" style="1072" customWidth="1"/>
    <col min="6402" max="6402" width="39.26953125" style="1072" customWidth="1"/>
    <col min="6403" max="6403" width="11" style="1072" customWidth="1"/>
    <col min="6404" max="6404" width="20" style="1072" customWidth="1"/>
    <col min="6405" max="6405" width="20.1796875" style="1072" customWidth="1"/>
    <col min="6406" max="6406" width="14.7265625" style="1072" customWidth="1"/>
    <col min="6407" max="6407" width="13.7265625" style="1072" customWidth="1"/>
    <col min="6408" max="6408" width="14.7265625" style="1072" customWidth="1"/>
    <col min="6409" max="6411" width="11.1796875" style="1072" customWidth="1"/>
    <col min="6412" max="6414" width="14.7265625" style="1072" customWidth="1"/>
    <col min="6415" max="6415" width="18.7265625" style="1072" customWidth="1"/>
    <col min="6416" max="6418" width="14.7265625" style="1072" customWidth="1"/>
    <col min="6419" max="6419" width="17.81640625" style="1072" customWidth="1"/>
    <col min="6420" max="6420" width="18.54296875" style="1072" customWidth="1"/>
    <col min="6421" max="6421" width="13.7265625" style="1072" customWidth="1"/>
    <col min="6422" max="6423" width="14.7265625" style="1072" customWidth="1"/>
    <col min="6424" max="6426" width="15" style="1072" customWidth="1"/>
    <col min="6427" max="6427" width="14.7265625" style="1072" customWidth="1"/>
    <col min="6428" max="6428" width="16.26953125" style="1072" customWidth="1"/>
    <col min="6429" max="6430" width="14.7265625" style="1072"/>
    <col min="6431" max="6431" width="21.7265625" style="1072" bestFit="1" customWidth="1"/>
    <col min="6432" max="6656" width="14.7265625" style="1072"/>
    <col min="6657" max="6657" width="9" style="1072" customWidth="1"/>
    <col min="6658" max="6658" width="39.26953125" style="1072" customWidth="1"/>
    <col min="6659" max="6659" width="11" style="1072" customWidth="1"/>
    <col min="6660" max="6660" width="20" style="1072" customWidth="1"/>
    <col min="6661" max="6661" width="20.1796875" style="1072" customWidth="1"/>
    <col min="6662" max="6662" width="14.7265625" style="1072" customWidth="1"/>
    <col min="6663" max="6663" width="13.7265625" style="1072" customWidth="1"/>
    <col min="6664" max="6664" width="14.7265625" style="1072" customWidth="1"/>
    <col min="6665" max="6667" width="11.1796875" style="1072" customWidth="1"/>
    <col min="6668" max="6670" width="14.7265625" style="1072" customWidth="1"/>
    <col min="6671" max="6671" width="18.7265625" style="1072" customWidth="1"/>
    <col min="6672" max="6674" width="14.7265625" style="1072" customWidth="1"/>
    <col min="6675" max="6675" width="17.81640625" style="1072" customWidth="1"/>
    <col min="6676" max="6676" width="18.54296875" style="1072" customWidth="1"/>
    <col min="6677" max="6677" width="13.7265625" style="1072" customWidth="1"/>
    <col min="6678" max="6679" width="14.7265625" style="1072" customWidth="1"/>
    <col min="6680" max="6682" width="15" style="1072" customWidth="1"/>
    <col min="6683" max="6683" width="14.7265625" style="1072" customWidth="1"/>
    <col min="6684" max="6684" width="16.26953125" style="1072" customWidth="1"/>
    <col min="6685" max="6686" width="14.7265625" style="1072"/>
    <col min="6687" max="6687" width="21.7265625" style="1072" bestFit="1" customWidth="1"/>
    <col min="6688" max="6912" width="14.7265625" style="1072"/>
    <col min="6913" max="6913" width="9" style="1072" customWidth="1"/>
    <col min="6914" max="6914" width="39.26953125" style="1072" customWidth="1"/>
    <col min="6915" max="6915" width="11" style="1072" customWidth="1"/>
    <col min="6916" max="6916" width="20" style="1072" customWidth="1"/>
    <col min="6917" max="6917" width="20.1796875" style="1072" customWidth="1"/>
    <col min="6918" max="6918" width="14.7265625" style="1072" customWidth="1"/>
    <col min="6919" max="6919" width="13.7265625" style="1072" customWidth="1"/>
    <col min="6920" max="6920" width="14.7265625" style="1072" customWidth="1"/>
    <col min="6921" max="6923" width="11.1796875" style="1072" customWidth="1"/>
    <col min="6924" max="6926" width="14.7265625" style="1072" customWidth="1"/>
    <col min="6927" max="6927" width="18.7265625" style="1072" customWidth="1"/>
    <col min="6928" max="6930" width="14.7265625" style="1072" customWidth="1"/>
    <col min="6931" max="6931" width="17.81640625" style="1072" customWidth="1"/>
    <col min="6932" max="6932" width="18.54296875" style="1072" customWidth="1"/>
    <col min="6933" max="6933" width="13.7265625" style="1072" customWidth="1"/>
    <col min="6934" max="6935" width="14.7265625" style="1072" customWidth="1"/>
    <col min="6936" max="6938" width="15" style="1072" customWidth="1"/>
    <col min="6939" max="6939" width="14.7265625" style="1072" customWidth="1"/>
    <col min="6940" max="6940" width="16.26953125" style="1072" customWidth="1"/>
    <col min="6941" max="6942" width="14.7265625" style="1072"/>
    <col min="6943" max="6943" width="21.7265625" style="1072" bestFit="1" customWidth="1"/>
    <col min="6944" max="7168" width="14.7265625" style="1072"/>
    <col min="7169" max="7169" width="9" style="1072" customWidth="1"/>
    <col min="7170" max="7170" width="39.26953125" style="1072" customWidth="1"/>
    <col min="7171" max="7171" width="11" style="1072" customWidth="1"/>
    <col min="7172" max="7172" width="20" style="1072" customWidth="1"/>
    <col min="7173" max="7173" width="20.1796875" style="1072" customWidth="1"/>
    <col min="7174" max="7174" width="14.7265625" style="1072" customWidth="1"/>
    <col min="7175" max="7175" width="13.7265625" style="1072" customWidth="1"/>
    <col min="7176" max="7176" width="14.7265625" style="1072" customWidth="1"/>
    <col min="7177" max="7179" width="11.1796875" style="1072" customWidth="1"/>
    <col min="7180" max="7182" width="14.7265625" style="1072" customWidth="1"/>
    <col min="7183" max="7183" width="18.7265625" style="1072" customWidth="1"/>
    <col min="7184" max="7186" width="14.7265625" style="1072" customWidth="1"/>
    <col min="7187" max="7187" width="17.81640625" style="1072" customWidth="1"/>
    <col min="7188" max="7188" width="18.54296875" style="1072" customWidth="1"/>
    <col min="7189" max="7189" width="13.7265625" style="1072" customWidth="1"/>
    <col min="7190" max="7191" width="14.7265625" style="1072" customWidth="1"/>
    <col min="7192" max="7194" width="15" style="1072" customWidth="1"/>
    <col min="7195" max="7195" width="14.7265625" style="1072" customWidth="1"/>
    <col min="7196" max="7196" width="16.26953125" style="1072" customWidth="1"/>
    <col min="7197" max="7198" width="14.7265625" style="1072"/>
    <col min="7199" max="7199" width="21.7265625" style="1072" bestFit="1" customWidth="1"/>
    <col min="7200" max="7424" width="14.7265625" style="1072"/>
    <col min="7425" max="7425" width="9" style="1072" customWidth="1"/>
    <col min="7426" max="7426" width="39.26953125" style="1072" customWidth="1"/>
    <col min="7427" max="7427" width="11" style="1072" customWidth="1"/>
    <col min="7428" max="7428" width="20" style="1072" customWidth="1"/>
    <col min="7429" max="7429" width="20.1796875" style="1072" customWidth="1"/>
    <col min="7430" max="7430" width="14.7265625" style="1072" customWidth="1"/>
    <col min="7431" max="7431" width="13.7265625" style="1072" customWidth="1"/>
    <col min="7432" max="7432" width="14.7265625" style="1072" customWidth="1"/>
    <col min="7433" max="7435" width="11.1796875" style="1072" customWidth="1"/>
    <col min="7436" max="7438" width="14.7265625" style="1072" customWidth="1"/>
    <col min="7439" max="7439" width="18.7265625" style="1072" customWidth="1"/>
    <col min="7440" max="7442" width="14.7265625" style="1072" customWidth="1"/>
    <col min="7443" max="7443" width="17.81640625" style="1072" customWidth="1"/>
    <col min="7444" max="7444" width="18.54296875" style="1072" customWidth="1"/>
    <col min="7445" max="7445" width="13.7265625" style="1072" customWidth="1"/>
    <col min="7446" max="7447" width="14.7265625" style="1072" customWidth="1"/>
    <col min="7448" max="7450" width="15" style="1072" customWidth="1"/>
    <col min="7451" max="7451" width="14.7265625" style="1072" customWidth="1"/>
    <col min="7452" max="7452" width="16.26953125" style="1072" customWidth="1"/>
    <col min="7453" max="7454" width="14.7265625" style="1072"/>
    <col min="7455" max="7455" width="21.7265625" style="1072" bestFit="1" customWidth="1"/>
    <col min="7456" max="7680" width="14.7265625" style="1072"/>
    <col min="7681" max="7681" width="9" style="1072" customWidth="1"/>
    <col min="7682" max="7682" width="39.26953125" style="1072" customWidth="1"/>
    <col min="7683" max="7683" width="11" style="1072" customWidth="1"/>
    <col min="7684" max="7684" width="20" style="1072" customWidth="1"/>
    <col min="7685" max="7685" width="20.1796875" style="1072" customWidth="1"/>
    <col min="7686" max="7686" width="14.7265625" style="1072" customWidth="1"/>
    <col min="7687" max="7687" width="13.7265625" style="1072" customWidth="1"/>
    <col min="7688" max="7688" width="14.7265625" style="1072" customWidth="1"/>
    <col min="7689" max="7691" width="11.1796875" style="1072" customWidth="1"/>
    <col min="7692" max="7694" width="14.7265625" style="1072" customWidth="1"/>
    <col min="7695" max="7695" width="18.7265625" style="1072" customWidth="1"/>
    <col min="7696" max="7698" width="14.7265625" style="1072" customWidth="1"/>
    <col min="7699" max="7699" width="17.81640625" style="1072" customWidth="1"/>
    <col min="7700" max="7700" width="18.54296875" style="1072" customWidth="1"/>
    <col min="7701" max="7701" width="13.7265625" style="1072" customWidth="1"/>
    <col min="7702" max="7703" width="14.7265625" style="1072" customWidth="1"/>
    <col min="7704" max="7706" width="15" style="1072" customWidth="1"/>
    <col min="7707" max="7707" width="14.7265625" style="1072" customWidth="1"/>
    <col min="7708" max="7708" width="16.26953125" style="1072" customWidth="1"/>
    <col min="7709" max="7710" width="14.7265625" style="1072"/>
    <col min="7711" max="7711" width="21.7265625" style="1072" bestFit="1" customWidth="1"/>
    <col min="7712" max="7936" width="14.7265625" style="1072"/>
    <col min="7937" max="7937" width="9" style="1072" customWidth="1"/>
    <col min="7938" max="7938" width="39.26953125" style="1072" customWidth="1"/>
    <col min="7939" max="7939" width="11" style="1072" customWidth="1"/>
    <col min="7940" max="7940" width="20" style="1072" customWidth="1"/>
    <col min="7941" max="7941" width="20.1796875" style="1072" customWidth="1"/>
    <col min="7942" max="7942" width="14.7265625" style="1072" customWidth="1"/>
    <col min="7943" max="7943" width="13.7265625" style="1072" customWidth="1"/>
    <col min="7944" max="7944" width="14.7265625" style="1072" customWidth="1"/>
    <col min="7945" max="7947" width="11.1796875" style="1072" customWidth="1"/>
    <col min="7948" max="7950" width="14.7265625" style="1072" customWidth="1"/>
    <col min="7951" max="7951" width="18.7265625" style="1072" customWidth="1"/>
    <col min="7952" max="7954" width="14.7265625" style="1072" customWidth="1"/>
    <col min="7955" max="7955" width="17.81640625" style="1072" customWidth="1"/>
    <col min="7956" max="7956" width="18.54296875" style="1072" customWidth="1"/>
    <col min="7957" max="7957" width="13.7265625" style="1072" customWidth="1"/>
    <col min="7958" max="7959" width="14.7265625" style="1072" customWidth="1"/>
    <col min="7960" max="7962" width="15" style="1072" customWidth="1"/>
    <col min="7963" max="7963" width="14.7265625" style="1072" customWidth="1"/>
    <col min="7964" max="7964" width="16.26953125" style="1072" customWidth="1"/>
    <col min="7965" max="7966" width="14.7265625" style="1072"/>
    <col min="7967" max="7967" width="21.7265625" style="1072" bestFit="1" customWidth="1"/>
    <col min="7968" max="8192" width="14.7265625" style="1072"/>
    <col min="8193" max="8193" width="9" style="1072" customWidth="1"/>
    <col min="8194" max="8194" width="39.26953125" style="1072" customWidth="1"/>
    <col min="8195" max="8195" width="11" style="1072" customWidth="1"/>
    <col min="8196" max="8196" width="20" style="1072" customWidth="1"/>
    <col min="8197" max="8197" width="20.1796875" style="1072" customWidth="1"/>
    <col min="8198" max="8198" width="14.7265625" style="1072" customWidth="1"/>
    <col min="8199" max="8199" width="13.7265625" style="1072" customWidth="1"/>
    <col min="8200" max="8200" width="14.7265625" style="1072" customWidth="1"/>
    <col min="8201" max="8203" width="11.1796875" style="1072" customWidth="1"/>
    <col min="8204" max="8206" width="14.7265625" style="1072" customWidth="1"/>
    <col min="8207" max="8207" width="18.7265625" style="1072" customWidth="1"/>
    <col min="8208" max="8210" width="14.7265625" style="1072" customWidth="1"/>
    <col min="8211" max="8211" width="17.81640625" style="1072" customWidth="1"/>
    <col min="8212" max="8212" width="18.54296875" style="1072" customWidth="1"/>
    <col min="8213" max="8213" width="13.7265625" style="1072" customWidth="1"/>
    <col min="8214" max="8215" width="14.7265625" style="1072" customWidth="1"/>
    <col min="8216" max="8218" width="15" style="1072" customWidth="1"/>
    <col min="8219" max="8219" width="14.7265625" style="1072" customWidth="1"/>
    <col min="8220" max="8220" width="16.26953125" style="1072" customWidth="1"/>
    <col min="8221" max="8222" width="14.7265625" style="1072"/>
    <col min="8223" max="8223" width="21.7265625" style="1072" bestFit="1" customWidth="1"/>
    <col min="8224" max="8448" width="14.7265625" style="1072"/>
    <col min="8449" max="8449" width="9" style="1072" customWidth="1"/>
    <col min="8450" max="8450" width="39.26953125" style="1072" customWidth="1"/>
    <col min="8451" max="8451" width="11" style="1072" customWidth="1"/>
    <col min="8452" max="8452" width="20" style="1072" customWidth="1"/>
    <col min="8453" max="8453" width="20.1796875" style="1072" customWidth="1"/>
    <col min="8454" max="8454" width="14.7265625" style="1072" customWidth="1"/>
    <col min="8455" max="8455" width="13.7265625" style="1072" customWidth="1"/>
    <col min="8456" max="8456" width="14.7265625" style="1072" customWidth="1"/>
    <col min="8457" max="8459" width="11.1796875" style="1072" customWidth="1"/>
    <col min="8460" max="8462" width="14.7265625" style="1072" customWidth="1"/>
    <col min="8463" max="8463" width="18.7265625" style="1072" customWidth="1"/>
    <col min="8464" max="8466" width="14.7265625" style="1072" customWidth="1"/>
    <col min="8467" max="8467" width="17.81640625" style="1072" customWidth="1"/>
    <col min="8468" max="8468" width="18.54296875" style="1072" customWidth="1"/>
    <col min="8469" max="8469" width="13.7265625" style="1072" customWidth="1"/>
    <col min="8470" max="8471" width="14.7265625" style="1072" customWidth="1"/>
    <col min="8472" max="8474" width="15" style="1072" customWidth="1"/>
    <col min="8475" max="8475" width="14.7265625" style="1072" customWidth="1"/>
    <col min="8476" max="8476" width="16.26953125" style="1072" customWidth="1"/>
    <col min="8477" max="8478" width="14.7265625" style="1072"/>
    <col min="8479" max="8479" width="21.7265625" style="1072" bestFit="1" customWidth="1"/>
    <col min="8480" max="8704" width="14.7265625" style="1072"/>
    <col min="8705" max="8705" width="9" style="1072" customWidth="1"/>
    <col min="8706" max="8706" width="39.26953125" style="1072" customWidth="1"/>
    <col min="8707" max="8707" width="11" style="1072" customWidth="1"/>
    <col min="8708" max="8708" width="20" style="1072" customWidth="1"/>
    <col min="8709" max="8709" width="20.1796875" style="1072" customWidth="1"/>
    <col min="8710" max="8710" width="14.7265625" style="1072" customWidth="1"/>
    <col min="8711" max="8711" width="13.7265625" style="1072" customWidth="1"/>
    <col min="8712" max="8712" width="14.7265625" style="1072" customWidth="1"/>
    <col min="8713" max="8715" width="11.1796875" style="1072" customWidth="1"/>
    <col min="8716" max="8718" width="14.7265625" style="1072" customWidth="1"/>
    <col min="8719" max="8719" width="18.7265625" style="1072" customWidth="1"/>
    <col min="8720" max="8722" width="14.7265625" style="1072" customWidth="1"/>
    <col min="8723" max="8723" width="17.81640625" style="1072" customWidth="1"/>
    <col min="8724" max="8724" width="18.54296875" style="1072" customWidth="1"/>
    <col min="8725" max="8725" width="13.7265625" style="1072" customWidth="1"/>
    <col min="8726" max="8727" width="14.7265625" style="1072" customWidth="1"/>
    <col min="8728" max="8730" width="15" style="1072" customWidth="1"/>
    <col min="8731" max="8731" width="14.7265625" style="1072" customWidth="1"/>
    <col min="8732" max="8732" width="16.26953125" style="1072" customWidth="1"/>
    <col min="8733" max="8734" width="14.7265625" style="1072"/>
    <col min="8735" max="8735" width="21.7265625" style="1072" bestFit="1" customWidth="1"/>
    <col min="8736" max="8960" width="14.7265625" style="1072"/>
    <col min="8961" max="8961" width="9" style="1072" customWidth="1"/>
    <col min="8962" max="8962" width="39.26953125" style="1072" customWidth="1"/>
    <col min="8963" max="8963" width="11" style="1072" customWidth="1"/>
    <col min="8964" max="8964" width="20" style="1072" customWidth="1"/>
    <col min="8965" max="8965" width="20.1796875" style="1072" customWidth="1"/>
    <col min="8966" max="8966" width="14.7265625" style="1072" customWidth="1"/>
    <col min="8967" max="8967" width="13.7265625" style="1072" customWidth="1"/>
    <col min="8968" max="8968" width="14.7265625" style="1072" customWidth="1"/>
    <col min="8969" max="8971" width="11.1796875" style="1072" customWidth="1"/>
    <col min="8972" max="8974" width="14.7265625" style="1072" customWidth="1"/>
    <col min="8975" max="8975" width="18.7265625" style="1072" customWidth="1"/>
    <col min="8976" max="8978" width="14.7265625" style="1072" customWidth="1"/>
    <col min="8979" max="8979" width="17.81640625" style="1072" customWidth="1"/>
    <col min="8980" max="8980" width="18.54296875" style="1072" customWidth="1"/>
    <col min="8981" max="8981" width="13.7265625" style="1072" customWidth="1"/>
    <col min="8982" max="8983" width="14.7265625" style="1072" customWidth="1"/>
    <col min="8984" max="8986" width="15" style="1072" customWidth="1"/>
    <col min="8987" max="8987" width="14.7265625" style="1072" customWidth="1"/>
    <col min="8988" max="8988" width="16.26953125" style="1072" customWidth="1"/>
    <col min="8989" max="8990" width="14.7265625" style="1072"/>
    <col min="8991" max="8991" width="21.7265625" style="1072" bestFit="1" customWidth="1"/>
    <col min="8992" max="9216" width="14.7265625" style="1072"/>
    <col min="9217" max="9217" width="9" style="1072" customWidth="1"/>
    <col min="9218" max="9218" width="39.26953125" style="1072" customWidth="1"/>
    <col min="9219" max="9219" width="11" style="1072" customWidth="1"/>
    <col min="9220" max="9220" width="20" style="1072" customWidth="1"/>
    <col min="9221" max="9221" width="20.1796875" style="1072" customWidth="1"/>
    <col min="9222" max="9222" width="14.7265625" style="1072" customWidth="1"/>
    <col min="9223" max="9223" width="13.7265625" style="1072" customWidth="1"/>
    <col min="9224" max="9224" width="14.7265625" style="1072" customWidth="1"/>
    <col min="9225" max="9227" width="11.1796875" style="1072" customWidth="1"/>
    <col min="9228" max="9230" width="14.7265625" style="1072" customWidth="1"/>
    <col min="9231" max="9231" width="18.7265625" style="1072" customWidth="1"/>
    <col min="9232" max="9234" width="14.7265625" style="1072" customWidth="1"/>
    <col min="9235" max="9235" width="17.81640625" style="1072" customWidth="1"/>
    <col min="9236" max="9236" width="18.54296875" style="1072" customWidth="1"/>
    <col min="9237" max="9237" width="13.7265625" style="1072" customWidth="1"/>
    <col min="9238" max="9239" width="14.7265625" style="1072" customWidth="1"/>
    <col min="9240" max="9242" width="15" style="1072" customWidth="1"/>
    <col min="9243" max="9243" width="14.7265625" style="1072" customWidth="1"/>
    <col min="9244" max="9244" width="16.26953125" style="1072" customWidth="1"/>
    <col min="9245" max="9246" width="14.7265625" style="1072"/>
    <col min="9247" max="9247" width="21.7265625" style="1072" bestFit="1" customWidth="1"/>
    <col min="9248" max="9472" width="14.7265625" style="1072"/>
    <col min="9473" max="9473" width="9" style="1072" customWidth="1"/>
    <col min="9474" max="9474" width="39.26953125" style="1072" customWidth="1"/>
    <col min="9475" max="9475" width="11" style="1072" customWidth="1"/>
    <col min="9476" max="9476" width="20" style="1072" customWidth="1"/>
    <col min="9477" max="9477" width="20.1796875" style="1072" customWidth="1"/>
    <col min="9478" max="9478" width="14.7265625" style="1072" customWidth="1"/>
    <col min="9479" max="9479" width="13.7265625" style="1072" customWidth="1"/>
    <col min="9480" max="9480" width="14.7265625" style="1072" customWidth="1"/>
    <col min="9481" max="9483" width="11.1796875" style="1072" customWidth="1"/>
    <col min="9484" max="9486" width="14.7265625" style="1072" customWidth="1"/>
    <col min="9487" max="9487" width="18.7265625" style="1072" customWidth="1"/>
    <col min="9488" max="9490" width="14.7265625" style="1072" customWidth="1"/>
    <col min="9491" max="9491" width="17.81640625" style="1072" customWidth="1"/>
    <col min="9492" max="9492" width="18.54296875" style="1072" customWidth="1"/>
    <col min="9493" max="9493" width="13.7265625" style="1072" customWidth="1"/>
    <col min="9494" max="9495" width="14.7265625" style="1072" customWidth="1"/>
    <col min="9496" max="9498" width="15" style="1072" customWidth="1"/>
    <col min="9499" max="9499" width="14.7265625" style="1072" customWidth="1"/>
    <col min="9500" max="9500" width="16.26953125" style="1072" customWidth="1"/>
    <col min="9501" max="9502" width="14.7265625" style="1072"/>
    <col min="9503" max="9503" width="21.7265625" style="1072" bestFit="1" customWidth="1"/>
    <col min="9504" max="9728" width="14.7265625" style="1072"/>
    <col min="9729" max="9729" width="9" style="1072" customWidth="1"/>
    <col min="9730" max="9730" width="39.26953125" style="1072" customWidth="1"/>
    <col min="9731" max="9731" width="11" style="1072" customWidth="1"/>
    <col min="9732" max="9732" width="20" style="1072" customWidth="1"/>
    <col min="9733" max="9733" width="20.1796875" style="1072" customWidth="1"/>
    <col min="9734" max="9734" width="14.7265625" style="1072" customWidth="1"/>
    <col min="9735" max="9735" width="13.7265625" style="1072" customWidth="1"/>
    <col min="9736" max="9736" width="14.7265625" style="1072" customWidth="1"/>
    <col min="9737" max="9739" width="11.1796875" style="1072" customWidth="1"/>
    <col min="9740" max="9742" width="14.7265625" style="1072" customWidth="1"/>
    <col min="9743" max="9743" width="18.7265625" style="1072" customWidth="1"/>
    <col min="9744" max="9746" width="14.7265625" style="1072" customWidth="1"/>
    <col min="9747" max="9747" width="17.81640625" style="1072" customWidth="1"/>
    <col min="9748" max="9748" width="18.54296875" style="1072" customWidth="1"/>
    <col min="9749" max="9749" width="13.7265625" style="1072" customWidth="1"/>
    <col min="9750" max="9751" width="14.7265625" style="1072" customWidth="1"/>
    <col min="9752" max="9754" width="15" style="1072" customWidth="1"/>
    <col min="9755" max="9755" width="14.7265625" style="1072" customWidth="1"/>
    <col min="9756" max="9756" width="16.26953125" style="1072" customWidth="1"/>
    <col min="9757" max="9758" width="14.7265625" style="1072"/>
    <col min="9759" max="9759" width="21.7265625" style="1072" bestFit="1" customWidth="1"/>
    <col min="9760" max="9984" width="14.7265625" style="1072"/>
    <col min="9985" max="9985" width="9" style="1072" customWidth="1"/>
    <col min="9986" max="9986" width="39.26953125" style="1072" customWidth="1"/>
    <col min="9987" max="9987" width="11" style="1072" customWidth="1"/>
    <col min="9988" max="9988" width="20" style="1072" customWidth="1"/>
    <col min="9989" max="9989" width="20.1796875" style="1072" customWidth="1"/>
    <col min="9990" max="9990" width="14.7265625" style="1072" customWidth="1"/>
    <col min="9991" max="9991" width="13.7265625" style="1072" customWidth="1"/>
    <col min="9992" max="9992" width="14.7265625" style="1072" customWidth="1"/>
    <col min="9993" max="9995" width="11.1796875" style="1072" customWidth="1"/>
    <col min="9996" max="9998" width="14.7265625" style="1072" customWidth="1"/>
    <col min="9999" max="9999" width="18.7265625" style="1072" customWidth="1"/>
    <col min="10000" max="10002" width="14.7265625" style="1072" customWidth="1"/>
    <col min="10003" max="10003" width="17.81640625" style="1072" customWidth="1"/>
    <col min="10004" max="10004" width="18.54296875" style="1072" customWidth="1"/>
    <col min="10005" max="10005" width="13.7265625" style="1072" customWidth="1"/>
    <col min="10006" max="10007" width="14.7265625" style="1072" customWidth="1"/>
    <col min="10008" max="10010" width="15" style="1072" customWidth="1"/>
    <col min="10011" max="10011" width="14.7265625" style="1072" customWidth="1"/>
    <col min="10012" max="10012" width="16.26953125" style="1072" customWidth="1"/>
    <col min="10013" max="10014" width="14.7265625" style="1072"/>
    <col min="10015" max="10015" width="21.7265625" style="1072" bestFit="1" customWidth="1"/>
    <col min="10016" max="10240" width="14.7265625" style="1072"/>
    <col min="10241" max="10241" width="9" style="1072" customWidth="1"/>
    <col min="10242" max="10242" width="39.26953125" style="1072" customWidth="1"/>
    <col min="10243" max="10243" width="11" style="1072" customWidth="1"/>
    <col min="10244" max="10244" width="20" style="1072" customWidth="1"/>
    <col min="10245" max="10245" width="20.1796875" style="1072" customWidth="1"/>
    <col min="10246" max="10246" width="14.7265625" style="1072" customWidth="1"/>
    <col min="10247" max="10247" width="13.7265625" style="1072" customWidth="1"/>
    <col min="10248" max="10248" width="14.7265625" style="1072" customWidth="1"/>
    <col min="10249" max="10251" width="11.1796875" style="1072" customWidth="1"/>
    <col min="10252" max="10254" width="14.7265625" style="1072" customWidth="1"/>
    <col min="10255" max="10255" width="18.7265625" style="1072" customWidth="1"/>
    <col min="10256" max="10258" width="14.7265625" style="1072" customWidth="1"/>
    <col min="10259" max="10259" width="17.81640625" style="1072" customWidth="1"/>
    <col min="10260" max="10260" width="18.54296875" style="1072" customWidth="1"/>
    <col min="10261" max="10261" width="13.7265625" style="1072" customWidth="1"/>
    <col min="10262" max="10263" width="14.7265625" style="1072" customWidth="1"/>
    <col min="10264" max="10266" width="15" style="1072" customWidth="1"/>
    <col min="10267" max="10267" width="14.7265625" style="1072" customWidth="1"/>
    <col min="10268" max="10268" width="16.26953125" style="1072" customWidth="1"/>
    <col min="10269" max="10270" width="14.7265625" style="1072"/>
    <col min="10271" max="10271" width="21.7265625" style="1072" bestFit="1" customWidth="1"/>
    <col min="10272" max="10496" width="14.7265625" style="1072"/>
    <col min="10497" max="10497" width="9" style="1072" customWidth="1"/>
    <col min="10498" max="10498" width="39.26953125" style="1072" customWidth="1"/>
    <col min="10499" max="10499" width="11" style="1072" customWidth="1"/>
    <col min="10500" max="10500" width="20" style="1072" customWidth="1"/>
    <col min="10501" max="10501" width="20.1796875" style="1072" customWidth="1"/>
    <col min="10502" max="10502" width="14.7265625" style="1072" customWidth="1"/>
    <col min="10503" max="10503" width="13.7265625" style="1072" customWidth="1"/>
    <col min="10504" max="10504" width="14.7265625" style="1072" customWidth="1"/>
    <col min="10505" max="10507" width="11.1796875" style="1072" customWidth="1"/>
    <col min="10508" max="10510" width="14.7265625" style="1072" customWidth="1"/>
    <col min="10511" max="10511" width="18.7265625" style="1072" customWidth="1"/>
    <col min="10512" max="10514" width="14.7265625" style="1072" customWidth="1"/>
    <col min="10515" max="10515" width="17.81640625" style="1072" customWidth="1"/>
    <col min="10516" max="10516" width="18.54296875" style="1072" customWidth="1"/>
    <col min="10517" max="10517" width="13.7265625" style="1072" customWidth="1"/>
    <col min="10518" max="10519" width="14.7265625" style="1072" customWidth="1"/>
    <col min="10520" max="10522" width="15" style="1072" customWidth="1"/>
    <col min="10523" max="10523" width="14.7265625" style="1072" customWidth="1"/>
    <col min="10524" max="10524" width="16.26953125" style="1072" customWidth="1"/>
    <col min="10525" max="10526" width="14.7265625" style="1072"/>
    <col min="10527" max="10527" width="21.7265625" style="1072" bestFit="1" customWidth="1"/>
    <col min="10528" max="10752" width="14.7265625" style="1072"/>
    <col min="10753" max="10753" width="9" style="1072" customWidth="1"/>
    <col min="10754" max="10754" width="39.26953125" style="1072" customWidth="1"/>
    <col min="10755" max="10755" width="11" style="1072" customWidth="1"/>
    <col min="10756" max="10756" width="20" style="1072" customWidth="1"/>
    <col min="10757" max="10757" width="20.1796875" style="1072" customWidth="1"/>
    <col min="10758" max="10758" width="14.7265625" style="1072" customWidth="1"/>
    <col min="10759" max="10759" width="13.7265625" style="1072" customWidth="1"/>
    <col min="10760" max="10760" width="14.7265625" style="1072" customWidth="1"/>
    <col min="10761" max="10763" width="11.1796875" style="1072" customWidth="1"/>
    <col min="10764" max="10766" width="14.7265625" style="1072" customWidth="1"/>
    <col min="10767" max="10767" width="18.7265625" style="1072" customWidth="1"/>
    <col min="10768" max="10770" width="14.7265625" style="1072" customWidth="1"/>
    <col min="10771" max="10771" width="17.81640625" style="1072" customWidth="1"/>
    <col min="10772" max="10772" width="18.54296875" style="1072" customWidth="1"/>
    <col min="10773" max="10773" width="13.7265625" style="1072" customWidth="1"/>
    <col min="10774" max="10775" width="14.7265625" style="1072" customWidth="1"/>
    <col min="10776" max="10778" width="15" style="1072" customWidth="1"/>
    <col min="10779" max="10779" width="14.7265625" style="1072" customWidth="1"/>
    <col min="10780" max="10780" width="16.26953125" style="1072" customWidth="1"/>
    <col min="10781" max="10782" width="14.7265625" style="1072"/>
    <col min="10783" max="10783" width="21.7265625" style="1072" bestFit="1" customWidth="1"/>
    <col min="10784" max="11008" width="14.7265625" style="1072"/>
    <col min="11009" max="11009" width="9" style="1072" customWidth="1"/>
    <col min="11010" max="11010" width="39.26953125" style="1072" customWidth="1"/>
    <col min="11011" max="11011" width="11" style="1072" customWidth="1"/>
    <col min="11012" max="11012" width="20" style="1072" customWidth="1"/>
    <col min="11013" max="11013" width="20.1796875" style="1072" customWidth="1"/>
    <col min="11014" max="11014" width="14.7265625" style="1072" customWidth="1"/>
    <col min="11015" max="11015" width="13.7265625" style="1072" customWidth="1"/>
    <col min="11016" max="11016" width="14.7265625" style="1072" customWidth="1"/>
    <col min="11017" max="11019" width="11.1796875" style="1072" customWidth="1"/>
    <col min="11020" max="11022" width="14.7265625" style="1072" customWidth="1"/>
    <col min="11023" max="11023" width="18.7265625" style="1072" customWidth="1"/>
    <col min="11024" max="11026" width="14.7265625" style="1072" customWidth="1"/>
    <col min="11027" max="11027" width="17.81640625" style="1072" customWidth="1"/>
    <col min="11028" max="11028" width="18.54296875" style="1072" customWidth="1"/>
    <col min="11029" max="11029" width="13.7265625" style="1072" customWidth="1"/>
    <col min="11030" max="11031" width="14.7265625" style="1072" customWidth="1"/>
    <col min="11032" max="11034" width="15" style="1072" customWidth="1"/>
    <col min="11035" max="11035" width="14.7265625" style="1072" customWidth="1"/>
    <col min="11036" max="11036" width="16.26953125" style="1072" customWidth="1"/>
    <col min="11037" max="11038" width="14.7265625" style="1072"/>
    <col min="11039" max="11039" width="21.7265625" style="1072" bestFit="1" customWidth="1"/>
    <col min="11040" max="11264" width="14.7265625" style="1072"/>
    <col min="11265" max="11265" width="9" style="1072" customWidth="1"/>
    <col min="11266" max="11266" width="39.26953125" style="1072" customWidth="1"/>
    <col min="11267" max="11267" width="11" style="1072" customWidth="1"/>
    <col min="11268" max="11268" width="20" style="1072" customWidth="1"/>
    <col min="11269" max="11269" width="20.1796875" style="1072" customWidth="1"/>
    <col min="11270" max="11270" width="14.7265625" style="1072" customWidth="1"/>
    <col min="11271" max="11271" width="13.7265625" style="1072" customWidth="1"/>
    <col min="11272" max="11272" width="14.7265625" style="1072" customWidth="1"/>
    <col min="11273" max="11275" width="11.1796875" style="1072" customWidth="1"/>
    <col min="11276" max="11278" width="14.7265625" style="1072" customWidth="1"/>
    <col min="11279" max="11279" width="18.7265625" style="1072" customWidth="1"/>
    <col min="11280" max="11282" width="14.7265625" style="1072" customWidth="1"/>
    <col min="11283" max="11283" width="17.81640625" style="1072" customWidth="1"/>
    <col min="11284" max="11284" width="18.54296875" style="1072" customWidth="1"/>
    <col min="11285" max="11285" width="13.7265625" style="1072" customWidth="1"/>
    <col min="11286" max="11287" width="14.7265625" style="1072" customWidth="1"/>
    <col min="11288" max="11290" width="15" style="1072" customWidth="1"/>
    <col min="11291" max="11291" width="14.7265625" style="1072" customWidth="1"/>
    <col min="11292" max="11292" width="16.26953125" style="1072" customWidth="1"/>
    <col min="11293" max="11294" width="14.7265625" style="1072"/>
    <col min="11295" max="11295" width="21.7265625" style="1072" bestFit="1" customWidth="1"/>
    <col min="11296" max="11520" width="14.7265625" style="1072"/>
    <col min="11521" max="11521" width="9" style="1072" customWidth="1"/>
    <col min="11522" max="11522" width="39.26953125" style="1072" customWidth="1"/>
    <col min="11523" max="11523" width="11" style="1072" customWidth="1"/>
    <col min="11524" max="11524" width="20" style="1072" customWidth="1"/>
    <col min="11525" max="11525" width="20.1796875" style="1072" customWidth="1"/>
    <col min="11526" max="11526" width="14.7265625" style="1072" customWidth="1"/>
    <col min="11527" max="11527" width="13.7265625" style="1072" customWidth="1"/>
    <col min="11528" max="11528" width="14.7265625" style="1072" customWidth="1"/>
    <col min="11529" max="11531" width="11.1796875" style="1072" customWidth="1"/>
    <col min="11532" max="11534" width="14.7265625" style="1072" customWidth="1"/>
    <col min="11535" max="11535" width="18.7265625" style="1072" customWidth="1"/>
    <col min="11536" max="11538" width="14.7265625" style="1072" customWidth="1"/>
    <col min="11539" max="11539" width="17.81640625" style="1072" customWidth="1"/>
    <col min="11540" max="11540" width="18.54296875" style="1072" customWidth="1"/>
    <col min="11541" max="11541" width="13.7265625" style="1072" customWidth="1"/>
    <col min="11542" max="11543" width="14.7265625" style="1072" customWidth="1"/>
    <col min="11544" max="11546" width="15" style="1072" customWidth="1"/>
    <col min="11547" max="11547" width="14.7265625" style="1072" customWidth="1"/>
    <col min="11548" max="11548" width="16.26953125" style="1072" customWidth="1"/>
    <col min="11549" max="11550" width="14.7265625" style="1072"/>
    <col min="11551" max="11551" width="21.7265625" style="1072" bestFit="1" customWidth="1"/>
    <col min="11552" max="11776" width="14.7265625" style="1072"/>
    <col min="11777" max="11777" width="9" style="1072" customWidth="1"/>
    <col min="11778" max="11778" width="39.26953125" style="1072" customWidth="1"/>
    <col min="11779" max="11779" width="11" style="1072" customWidth="1"/>
    <col min="11780" max="11780" width="20" style="1072" customWidth="1"/>
    <col min="11781" max="11781" width="20.1796875" style="1072" customWidth="1"/>
    <col min="11782" max="11782" width="14.7265625" style="1072" customWidth="1"/>
    <col min="11783" max="11783" width="13.7265625" style="1072" customWidth="1"/>
    <col min="11784" max="11784" width="14.7265625" style="1072" customWidth="1"/>
    <col min="11785" max="11787" width="11.1796875" style="1072" customWidth="1"/>
    <col min="11788" max="11790" width="14.7265625" style="1072" customWidth="1"/>
    <col min="11791" max="11791" width="18.7265625" style="1072" customWidth="1"/>
    <col min="11792" max="11794" width="14.7265625" style="1072" customWidth="1"/>
    <col min="11795" max="11795" width="17.81640625" style="1072" customWidth="1"/>
    <col min="11796" max="11796" width="18.54296875" style="1072" customWidth="1"/>
    <col min="11797" max="11797" width="13.7265625" style="1072" customWidth="1"/>
    <col min="11798" max="11799" width="14.7265625" style="1072" customWidth="1"/>
    <col min="11800" max="11802" width="15" style="1072" customWidth="1"/>
    <col min="11803" max="11803" width="14.7265625" style="1072" customWidth="1"/>
    <col min="11804" max="11804" width="16.26953125" style="1072" customWidth="1"/>
    <col min="11805" max="11806" width="14.7265625" style="1072"/>
    <col min="11807" max="11807" width="21.7265625" style="1072" bestFit="1" customWidth="1"/>
    <col min="11808" max="12032" width="14.7265625" style="1072"/>
    <col min="12033" max="12033" width="9" style="1072" customWidth="1"/>
    <col min="12034" max="12034" width="39.26953125" style="1072" customWidth="1"/>
    <col min="12035" max="12035" width="11" style="1072" customWidth="1"/>
    <col min="12036" max="12036" width="20" style="1072" customWidth="1"/>
    <col min="12037" max="12037" width="20.1796875" style="1072" customWidth="1"/>
    <col min="12038" max="12038" width="14.7265625" style="1072" customWidth="1"/>
    <col min="12039" max="12039" width="13.7265625" style="1072" customWidth="1"/>
    <col min="12040" max="12040" width="14.7265625" style="1072" customWidth="1"/>
    <col min="12041" max="12043" width="11.1796875" style="1072" customWidth="1"/>
    <col min="12044" max="12046" width="14.7265625" style="1072" customWidth="1"/>
    <col min="12047" max="12047" width="18.7265625" style="1072" customWidth="1"/>
    <col min="12048" max="12050" width="14.7265625" style="1072" customWidth="1"/>
    <col min="12051" max="12051" width="17.81640625" style="1072" customWidth="1"/>
    <col min="12052" max="12052" width="18.54296875" style="1072" customWidth="1"/>
    <col min="12053" max="12053" width="13.7265625" style="1072" customWidth="1"/>
    <col min="12054" max="12055" width="14.7265625" style="1072" customWidth="1"/>
    <col min="12056" max="12058" width="15" style="1072" customWidth="1"/>
    <col min="12059" max="12059" width="14.7265625" style="1072" customWidth="1"/>
    <col min="12060" max="12060" width="16.26953125" style="1072" customWidth="1"/>
    <col min="12061" max="12062" width="14.7265625" style="1072"/>
    <col min="12063" max="12063" width="21.7265625" style="1072" bestFit="1" customWidth="1"/>
    <col min="12064" max="12288" width="14.7265625" style="1072"/>
    <col min="12289" max="12289" width="9" style="1072" customWidth="1"/>
    <col min="12290" max="12290" width="39.26953125" style="1072" customWidth="1"/>
    <col min="12291" max="12291" width="11" style="1072" customWidth="1"/>
    <col min="12292" max="12292" width="20" style="1072" customWidth="1"/>
    <col min="12293" max="12293" width="20.1796875" style="1072" customWidth="1"/>
    <col min="12294" max="12294" width="14.7265625" style="1072" customWidth="1"/>
    <col min="12295" max="12295" width="13.7265625" style="1072" customWidth="1"/>
    <col min="12296" max="12296" width="14.7265625" style="1072" customWidth="1"/>
    <col min="12297" max="12299" width="11.1796875" style="1072" customWidth="1"/>
    <col min="12300" max="12302" width="14.7265625" style="1072" customWidth="1"/>
    <col min="12303" max="12303" width="18.7265625" style="1072" customWidth="1"/>
    <col min="12304" max="12306" width="14.7265625" style="1072" customWidth="1"/>
    <col min="12307" max="12307" width="17.81640625" style="1072" customWidth="1"/>
    <col min="12308" max="12308" width="18.54296875" style="1072" customWidth="1"/>
    <col min="12309" max="12309" width="13.7265625" style="1072" customWidth="1"/>
    <col min="12310" max="12311" width="14.7265625" style="1072" customWidth="1"/>
    <col min="12312" max="12314" width="15" style="1072" customWidth="1"/>
    <col min="12315" max="12315" width="14.7265625" style="1072" customWidth="1"/>
    <col min="12316" max="12316" width="16.26953125" style="1072" customWidth="1"/>
    <col min="12317" max="12318" width="14.7265625" style="1072"/>
    <col min="12319" max="12319" width="21.7265625" style="1072" bestFit="1" customWidth="1"/>
    <col min="12320" max="12544" width="14.7265625" style="1072"/>
    <col min="12545" max="12545" width="9" style="1072" customWidth="1"/>
    <col min="12546" max="12546" width="39.26953125" style="1072" customWidth="1"/>
    <col min="12547" max="12547" width="11" style="1072" customWidth="1"/>
    <col min="12548" max="12548" width="20" style="1072" customWidth="1"/>
    <col min="12549" max="12549" width="20.1796875" style="1072" customWidth="1"/>
    <col min="12550" max="12550" width="14.7265625" style="1072" customWidth="1"/>
    <col min="12551" max="12551" width="13.7265625" style="1072" customWidth="1"/>
    <col min="12552" max="12552" width="14.7265625" style="1072" customWidth="1"/>
    <col min="12553" max="12555" width="11.1796875" style="1072" customWidth="1"/>
    <col min="12556" max="12558" width="14.7265625" style="1072" customWidth="1"/>
    <col min="12559" max="12559" width="18.7265625" style="1072" customWidth="1"/>
    <col min="12560" max="12562" width="14.7265625" style="1072" customWidth="1"/>
    <col min="12563" max="12563" width="17.81640625" style="1072" customWidth="1"/>
    <col min="12564" max="12564" width="18.54296875" style="1072" customWidth="1"/>
    <col min="12565" max="12565" width="13.7265625" style="1072" customWidth="1"/>
    <col min="12566" max="12567" width="14.7265625" style="1072" customWidth="1"/>
    <col min="12568" max="12570" width="15" style="1072" customWidth="1"/>
    <col min="12571" max="12571" width="14.7265625" style="1072" customWidth="1"/>
    <col min="12572" max="12572" width="16.26953125" style="1072" customWidth="1"/>
    <col min="12573" max="12574" width="14.7265625" style="1072"/>
    <col min="12575" max="12575" width="21.7265625" style="1072" bestFit="1" customWidth="1"/>
    <col min="12576" max="12800" width="14.7265625" style="1072"/>
    <col min="12801" max="12801" width="9" style="1072" customWidth="1"/>
    <col min="12802" max="12802" width="39.26953125" style="1072" customWidth="1"/>
    <col min="12803" max="12803" width="11" style="1072" customWidth="1"/>
    <col min="12804" max="12804" width="20" style="1072" customWidth="1"/>
    <col min="12805" max="12805" width="20.1796875" style="1072" customWidth="1"/>
    <col min="12806" max="12806" width="14.7265625" style="1072" customWidth="1"/>
    <col min="12807" max="12807" width="13.7265625" style="1072" customWidth="1"/>
    <col min="12808" max="12808" width="14.7265625" style="1072" customWidth="1"/>
    <col min="12809" max="12811" width="11.1796875" style="1072" customWidth="1"/>
    <col min="12812" max="12814" width="14.7265625" style="1072" customWidth="1"/>
    <col min="12815" max="12815" width="18.7265625" style="1072" customWidth="1"/>
    <col min="12816" max="12818" width="14.7265625" style="1072" customWidth="1"/>
    <col min="12819" max="12819" width="17.81640625" style="1072" customWidth="1"/>
    <col min="12820" max="12820" width="18.54296875" style="1072" customWidth="1"/>
    <col min="12821" max="12821" width="13.7265625" style="1072" customWidth="1"/>
    <col min="12822" max="12823" width="14.7265625" style="1072" customWidth="1"/>
    <col min="12824" max="12826" width="15" style="1072" customWidth="1"/>
    <col min="12827" max="12827" width="14.7265625" style="1072" customWidth="1"/>
    <col min="12828" max="12828" width="16.26953125" style="1072" customWidth="1"/>
    <col min="12829" max="12830" width="14.7265625" style="1072"/>
    <col min="12831" max="12831" width="21.7265625" style="1072" bestFit="1" customWidth="1"/>
    <col min="12832" max="13056" width="14.7265625" style="1072"/>
    <col min="13057" max="13057" width="9" style="1072" customWidth="1"/>
    <col min="13058" max="13058" width="39.26953125" style="1072" customWidth="1"/>
    <col min="13059" max="13059" width="11" style="1072" customWidth="1"/>
    <col min="13060" max="13060" width="20" style="1072" customWidth="1"/>
    <col min="13061" max="13061" width="20.1796875" style="1072" customWidth="1"/>
    <col min="13062" max="13062" width="14.7265625" style="1072" customWidth="1"/>
    <col min="13063" max="13063" width="13.7265625" style="1072" customWidth="1"/>
    <col min="13064" max="13064" width="14.7265625" style="1072" customWidth="1"/>
    <col min="13065" max="13067" width="11.1796875" style="1072" customWidth="1"/>
    <col min="13068" max="13070" width="14.7265625" style="1072" customWidth="1"/>
    <col min="13071" max="13071" width="18.7265625" style="1072" customWidth="1"/>
    <col min="13072" max="13074" width="14.7265625" style="1072" customWidth="1"/>
    <col min="13075" max="13075" width="17.81640625" style="1072" customWidth="1"/>
    <col min="13076" max="13076" width="18.54296875" style="1072" customWidth="1"/>
    <col min="13077" max="13077" width="13.7265625" style="1072" customWidth="1"/>
    <col min="13078" max="13079" width="14.7265625" style="1072" customWidth="1"/>
    <col min="13080" max="13082" width="15" style="1072" customWidth="1"/>
    <col min="13083" max="13083" width="14.7265625" style="1072" customWidth="1"/>
    <col min="13084" max="13084" width="16.26953125" style="1072" customWidth="1"/>
    <col min="13085" max="13086" width="14.7265625" style="1072"/>
    <col min="13087" max="13087" width="21.7265625" style="1072" bestFit="1" customWidth="1"/>
    <col min="13088" max="13312" width="14.7265625" style="1072"/>
    <col min="13313" max="13313" width="9" style="1072" customWidth="1"/>
    <col min="13314" max="13314" width="39.26953125" style="1072" customWidth="1"/>
    <col min="13315" max="13315" width="11" style="1072" customWidth="1"/>
    <col min="13316" max="13316" width="20" style="1072" customWidth="1"/>
    <col min="13317" max="13317" width="20.1796875" style="1072" customWidth="1"/>
    <col min="13318" max="13318" width="14.7265625" style="1072" customWidth="1"/>
    <col min="13319" max="13319" width="13.7265625" style="1072" customWidth="1"/>
    <col min="13320" max="13320" width="14.7265625" style="1072" customWidth="1"/>
    <col min="13321" max="13323" width="11.1796875" style="1072" customWidth="1"/>
    <col min="13324" max="13326" width="14.7265625" style="1072" customWidth="1"/>
    <col min="13327" max="13327" width="18.7265625" style="1072" customWidth="1"/>
    <col min="13328" max="13330" width="14.7265625" style="1072" customWidth="1"/>
    <col min="13331" max="13331" width="17.81640625" style="1072" customWidth="1"/>
    <col min="13332" max="13332" width="18.54296875" style="1072" customWidth="1"/>
    <col min="13333" max="13333" width="13.7265625" style="1072" customWidth="1"/>
    <col min="13334" max="13335" width="14.7265625" style="1072" customWidth="1"/>
    <col min="13336" max="13338" width="15" style="1072" customWidth="1"/>
    <col min="13339" max="13339" width="14.7265625" style="1072" customWidth="1"/>
    <col min="13340" max="13340" width="16.26953125" style="1072" customWidth="1"/>
    <col min="13341" max="13342" width="14.7265625" style="1072"/>
    <col min="13343" max="13343" width="21.7265625" style="1072" bestFit="1" customWidth="1"/>
    <col min="13344" max="13568" width="14.7265625" style="1072"/>
    <col min="13569" max="13569" width="9" style="1072" customWidth="1"/>
    <col min="13570" max="13570" width="39.26953125" style="1072" customWidth="1"/>
    <col min="13571" max="13571" width="11" style="1072" customWidth="1"/>
    <col min="13572" max="13572" width="20" style="1072" customWidth="1"/>
    <col min="13573" max="13573" width="20.1796875" style="1072" customWidth="1"/>
    <col min="13574" max="13574" width="14.7265625" style="1072" customWidth="1"/>
    <col min="13575" max="13575" width="13.7265625" style="1072" customWidth="1"/>
    <col min="13576" max="13576" width="14.7265625" style="1072" customWidth="1"/>
    <col min="13577" max="13579" width="11.1796875" style="1072" customWidth="1"/>
    <col min="13580" max="13582" width="14.7265625" style="1072" customWidth="1"/>
    <col min="13583" max="13583" width="18.7265625" style="1072" customWidth="1"/>
    <col min="13584" max="13586" width="14.7265625" style="1072" customWidth="1"/>
    <col min="13587" max="13587" width="17.81640625" style="1072" customWidth="1"/>
    <col min="13588" max="13588" width="18.54296875" style="1072" customWidth="1"/>
    <col min="13589" max="13589" width="13.7265625" style="1072" customWidth="1"/>
    <col min="13590" max="13591" width="14.7265625" style="1072" customWidth="1"/>
    <col min="13592" max="13594" width="15" style="1072" customWidth="1"/>
    <col min="13595" max="13595" width="14.7265625" style="1072" customWidth="1"/>
    <col min="13596" max="13596" width="16.26953125" style="1072" customWidth="1"/>
    <col min="13597" max="13598" width="14.7265625" style="1072"/>
    <col min="13599" max="13599" width="21.7265625" style="1072" bestFit="1" customWidth="1"/>
    <col min="13600" max="13824" width="14.7265625" style="1072"/>
    <col min="13825" max="13825" width="9" style="1072" customWidth="1"/>
    <col min="13826" max="13826" width="39.26953125" style="1072" customWidth="1"/>
    <col min="13827" max="13827" width="11" style="1072" customWidth="1"/>
    <col min="13828" max="13828" width="20" style="1072" customWidth="1"/>
    <col min="13829" max="13829" width="20.1796875" style="1072" customWidth="1"/>
    <col min="13830" max="13830" width="14.7265625" style="1072" customWidth="1"/>
    <col min="13831" max="13831" width="13.7265625" style="1072" customWidth="1"/>
    <col min="13832" max="13832" width="14.7265625" style="1072" customWidth="1"/>
    <col min="13833" max="13835" width="11.1796875" style="1072" customWidth="1"/>
    <col min="13836" max="13838" width="14.7265625" style="1072" customWidth="1"/>
    <col min="13839" max="13839" width="18.7265625" style="1072" customWidth="1"/>
    <col min="13840" max="13842" width="14.7265625" style="1072" customWidth="1"/>
    <col min="13843" max="13843" width="17.81640625" style="1072" customWidth="1"/>
    <col min="13844" max="13844" width="18.54296875" style="1072" customWidth="1"/>
    <col min="13845" max="13845" width="13.7265625" style="1072" customWidth="1"/>
    <col min="13846" max="13847" width="14.7265625" style="1072" customWidth="1"/>
    <col min="13848" max="13850" width="15" style="1072" customWidth="1"/>
    <col min="13851" max="13851" width="14.7265625" style="1072" customWidth="1"/>
    <col min="13852" max="13852" width="16.26953125" style="1072" customWidth="1"/>
    <col min="13853" max="13854" width="14.7265625" style="1072"/>
    <col min="13855" max="13855" width="21.7265625" style="1072" bestFit="1" customWidth="1"/>
    <col min="13856" max="14080" width="14.7265625" style="1072"/>
    <col min="14081" max="14081" width="9" style="1072" customWidth="1"/>
    <col min="14082" max="14082" width="39.26953125" style="1072" customWidth="1"/>
    <col min="14083" max="14083" width="11" style="1072" customWidth="1"/>
    <col min="14084" max="14084" width="20" style="1072" customWidth="1"/>
    <col min="14085" max="14085" width="20.1796875" style="1072" customWidth="1"/>
    <col min="14086" max="14086" width="14.7265625" style="1072" customWidth="1"/>
    <col min="14087" max="14087" width="13.7265625" style="1072" customWidth="1"/>
    <col min="14088" max="14088" width="14.7265625" style="1072" customWidth="1"/>
    <col min="14089" max="14091" width="11.1796875" style="1072" customWidth="1"/>
    <col min="14092" max="14094" width="14.7265625" style="1072" customWidth="1"/>
    <col min="14095" max="14095" width="18.7265625" style="1072" customWidth="1"/>
    <col min="14096" max="14098" width="14.7265625" style="1072" customWidth="1"/>
    <col min="14099" max="14099" width="17.81640625" style="1072" customWidth="1"/>
    <col min="14100" max="14100" width="18.54296875" style="1072" customWidth="1"/>
    <col min="14101" max="14101" width="13.7265625" style="1072" customWidth="1"/>
    <col min="14102" max="14103" width="14.7265625" style="1072" customWidth="1"/>
    <col min="14104" max="14106" width="15" style="1072" customWidth="1"/>
    <col min="14107" max="14107" width="14.7265625" style="1072" customWidth="1"/>
    <col min="14108" max="14108" width="16.26953125" style="1072" customWidth="1"/>
    <col min="14109" max="14110" width="14.7265625" style="1072"/>
    <col min="14111" max="14111" width="21.7265625" style="1072" bestFit="1" customWidth="1"/>
    <col min="14112" max="14336" width="14.7265625" style="1072"/>
    <col min="14337" max="14337" width="9" style="1072" customWidth="1"/>
    <col min="14338" max="14338" width="39.26953125" style="1072" customWidth="1"/>
    <col min="14339" max="14339" width="11" style="1072" customWidth="1"/>
    <col min="14340" max="14340" width="20" style="1072" customWidth="1"/>
    <col min="14341" max="14341" width="20.1796875" style="1072" customWidth="1"/>
    <col min="14342" max="14342" width="14.7265625" style="1072" customWidth="1"/>
    <col min="14343" max="14343" width="13.7265625" style="1072" customWidth="1"/>
    <col min="14344" max="14344" width="14.7265625" style="1072" customWidth="1"/>
    <col min="14345" max="14347" width="11.1796875" style="1072" customWidth="1"/>
    <col min="14348" max="14350" width="14.7265625" style="1072" customWidth="1"/>
    <col min="14351" max="14351" width="18.7265625" style="1072" customWidth="1"/>
    <col min="14352" max="14354" width="14.7265625" style="1072" customWidth="1"/>
    <col min="14355" max="14355" width="17.81640625" style="1072" customWidth="1"/>
    <col min="14356" max="14356" width="18.54296875" style="1072" customWidth="1"/>
    <col min="14357" max="14357" width="13.7265625" style="1072" customWidth="1"/>
    <col min="14358" max="14359" width="14.7265625" style="1072" customWidth="1"/>
    <col min="14360" max="14362" width="15" style="1072" customWidth="1"/>
    <col min="14363" max="14363" width="14.7265625" style="1072" customWidth="1"/>
    <col min="14364" max="14364" width="16.26953125" style="1072" customWidth="1"/>
    <col min="14365" max="14366" width="14.7265625" style="1072"/>
    <col min="14367" max="14367" width="21.7265625" style="1072" bestFit="1" customWidth="1"/>
    <col min="14368" max="14592" width="14.7265625" style="1072"/>
    <col min="14593" max="14593" width="9" style="1072" customWidth="1"/>
    <col min="14594" max="14594" width="39.26953125" style="1072" customWidth="1"/>
    <col min="14595" max="14595" width="11" style="1072" customWidth="1"/>
    <col min="14596" max="14596" width="20" style="1072" customWidth="1"/>
    <col min="14597" max="14597" width="20.1796875" style="1072" customWidth="1"/>
    <col min="14598" max="14598" width="14.7265625" style="1072" customWidth="1"/>
    <col min="14599" max="14599" width="13.7265625" style="1072" customWidth="1"/>
    <col min="14600" max="14600" width="14.7265625" style="1072" customWidth="1"/>
    <col min="14601" max="14603" width="11.1796875" style="1072" customWidth="1"/>
    <col min="14604" max="14606" width="14.7265625" style="1072" customWidth="1"/>
    <col min="14607" max="14607" width="18.7265625" style="1072" customWidth="1"/>
    <col min="14608" max="14610" width="14.7265625" style="1072" customWidth="1"/>
    <col min="14611" max="14611" width="17.81640625" style="1072" customWidth="1"/>
    <col min="14612" max="14612" width="18.54296875" style="1072" customWidth="1"/>
    <col min="14613" max="14613" width="13.7265625" style="1072" customWidth="1"/>
    <col min="14614" max="14615" width="14.7265625" style="1072" customWidth="1"/>
    <col min="14616" max="14618" width="15" style="1072" customWidth="1"/>
    <col min="14619" max="14619" width="14.7265625" style="1072" customWidth="1"/>
    <col min="14620" max="14620" width="16.26953125" style="1072" customWidth="1"/>
    <col min="14621" max="14622" width="14.7265625" style="1072"/>
    <col min="14623" max="14623" width="21.7265625" style="1072" bestFit="1" customWidth="1"/>
    <col min="14624" max="14848" width="14.7265625" style="1072"/>
    <col min="14849" max="14849" width="9" style="1072" customWidth="1"/>
    <col min="14850" max="14850" width="39.26953125" style="1072" customWidth="1"/>
    <col min="14851" max="14851" width="11" style="1072" customWidth="1"/>
    <col min="14852" max="14852" width="20" style="1072" customWidth="1"/>
    <col min="14853" max="14853" width="20.1796875" style="1072" customWidth="1"/>
    <col min="14854" max="14854" width="14.7265625" style="1072" customWidth="1"/>
    <col min="14855" max="14855" width="13.7265625" style="1072" customWidth="1"/>
    <col min="14856" max="14856" width="14.7265625" style="1072" customWidth="1"/>
    <col min="14857" max="14859" width="11.1796875" style="1072" customWidth="1"/>
    <col min="14860" max="14862" width="14.7265625" style="1072" customWidth="1"/>
    <col min="14863" max="14863" width="18.7265625" style="1072" customWidth="1"/>
    <col min="14864" max="14866" width="14.7265625" style="1072" customWidth="1"/>
    <col min="14867" max="14867" width="17.81640625" style="1072" customWidth="1"/>
    <col min="14868" max="14868" width="18.54296875" style="1072" customWidth="1"/>
    <col min="14869" max="14869" width="13.7265625" style="1072" customWidth="1"/>
    <col min="14870" max="14871" width="14.7265625" style="1072" customWidth="1"/>
    <col min="14872" max="14874" width="15" style="1072" customWidth="1"/>
    <col min="14875" max="14875" width="14.7265625" style="1072" customWidth="1"/>
    <col min="14876" max="14876" width="16.26953125" style="1072" customWidth="1"/>
    <col min="14877" max="14878" width="14.7265625" style="1072"/>
    <col min="14879" max="14879" width="21.7265625" style="1072" bestFit="1" customWidth="1"/>
    <col min="14880" max="15104" width="14.7265625" style="1072"/>
    <col min="15105" max="15105" width="9" style="1072" customWidth="1"/>
    <col min="15106" max="15106" width="39.26953125" style="1072" customWidth="1"/>
    <col min="15107" max="15107" width="11" style="1072" customWidth="1"/>
    <col min="15108" max="15108" width="20" style="1072" customWidth="1"/>
    <col min="15109" max="15109" width="20.1796875" style="1072" customWidth="1"/>
    <col min="15110" max="15110" width="14.7265625" style="1072" customWidth="1"/>
    <col min="15111" max="15111" width="13.7265625" style="1072" customWidth="1"/>
    <col min="15112" max="15112" width="14.7265625" style="1072" customWidth="1"/>
    <col min="15113" max="15115" width="11.1796875" style="1072" customWidth="1"/>
    <col min="15116" max="15118" width="14.7265625" style="1072" customWidth="1"/>
    <col min="15119" max="15119" width="18.7265625" style="1072" customWidth="1"/>
    <col min="15120" max="15122" width="14.7265625" style="1072" customWidth="1"/>
    <col min="15123" max="15123" width="17.81640625" style="1072" customWidth="1"/>
    <col min="15124" max="15124" width="18.54296875" style="1072" customWidth="1"/>
    <col min="15125" max="15125" width="13.7265625" style="1072" customWidth="1"/>
    <col min="15126" max="15127" width="14.7265625" style="1072" customWidth="1"/>
    <col min="15128" max="15130" width="15" style="1072" customWidth="1"/>
    <col min="15131" max="15131" width="14.7265625" style="1072" customWidth="1"/>
    <col min="15132" max="15132" width="16.26953125" style="1072" customWidth="1"/>
    <col min="15133" max="15134" width="14.7265625" style="1072"/>
    <col min="15135" max="15135" width="21.7265625" style="1072" bestFit="1" customWidth="1"/>
    <col min="15136" max="15360" width="14.7265625" style="1072"/>
    <col min="15361" max="15361" width="9" style="1072" customWidth="1"/>
    <col min="15362" max="15362" width="39.26953125" style="1072" customWidth="1"/>
    <col min="15363" max="15363" width="11" style="1072" customWidth="1"/>
    <col min="15364" max="15364" width="20" style="1072" customWidth="1"/>
    <col min="15365" max="15365" width="20.1796875" style="1072" customWidth="1"/>
    <col min="15366" max="15366" width="14.7265625" style="1072" customWidth="1"/>
    <col min="15367" max="15367" width="13.7265625" style="1072" customWidth="1"/>
    <col min="15368" max="15368" width="14.7265625" style="1072" customWidth="1"/>
    <col min="15369" max="15371" width="11.1796875" style="1072" customWidth="1"/>
    <col min="15372" max="15374" width="14.7265625" style="1072" customWidth="1"/>
    <col min="15375" max="15375" width="18.7265625" style="1072" customWidth="1"/>
    <col min="15376" max="15378" width="14.7265625" style="1072" customWidth="1"/>
    <col min="15379" max="15379" width="17.81640625" style="1072" customWidth="1"/>
    <col min="15380" max="15380" width="18.54296875" style="1072" customWidth="1"/>
    <col min="15381" max="15381" width="13.7265625" style="1072" customWidth="1"/>
    <col min="15382" max="15383" width="14.7265625" style="1072" customWidth="1"/>
    <col min="15384" max="15386" width="15" style="1072" customWidth="1"/>
    <col min="15387" max="15387" width="14.7265625" style="1072" customWidth="1"/>
    <col min="15388" max="15388" width="16.26953125" style="1072" customWidth="1"/>
    <col min="15389" max="15390" width="14.7265625" style="1072"/>
    <col min="15391" max="15391" width="21.7265625" style="1072" bestFit="1" customWidth="1"/>
    <col min="15392" max="15616" width="14.7265625" style="1072"/>
    <col min="15617" max="15617" width="9" style="1072" customWidth="1"/>
    <col min="15618" max="15618" width="39.26953125" style="1072" customWidth="1"/>
    <col min="15619" max="15619" width="11" style="1072" customWidth="1"/>
    <col min="15620" max="15620" width="20" style="1072" customWidth="1"/>
    <col min="15621" max="15621" width="20.1796875" style="1072" customWidth="1"/>
    <col min="15622" max="15622" width="14.7265625" style="1072" customWidth="1"/>
    <col min="15623" max="15623" width="13.7265625" style="1072" customWidth="1"/>
    <col min="15624" max="15624" width="14.7265625" style="1072" customWidth="1"/>
    <col min="15625" max="15627" width="11.1796875" style="1072" customWidth="1"/>
    <col min="15628" max="15630" width="14.7265625" style="1072" customWidth="1"/>
    <col min="15631" max="15631" width="18.7265625" style="1072" customWidth="1"/>
    <col min="15632" max="15634" width="14.7265625" style="1072" customWidth="1"/>
    <col min="15635" max="15635" width="17.81640625" style="1072" customWidth="1"/>
    <col min="15636" max="15636" width="18.54296875" style="1072" customWidth="1"/>
    <col min="15637" max="15637" width="13.7265625" style="1072" customWidth="1"/>
    <col min="15638" max="15639" width="14.7265625" style="1072" customWidth="1"/>
    <col min="15640" max="15642" width="15" style="1072" customWidth="1"/>
    <col min="15643" max="15643" width="14.7265625" style="1072" customWidth="1"/>
    <col min="15644" max="15644" width="16.26953125" style="1072" customWidth="1"/>
    <col min="15645" max="15646" width="14.7265625" style="1072"/>
    <col min="15647" max="15647" width="21.7265625" style="1072" bestFit="1" customWidth="1"/>
    <col min="15648" max="15872" width="14.7265625" style="1072"/>
    <col min="15873" max="15873" width="9" style="1072" customWidth="1"/>
    <col min="15874" max="15874" width="39.26953125" style="1072" customWidth="1"/>
    <col min="15875" max="15875" width="11" style="1072" customWidth="1"/>
    <col min="15876" max="15876" width="20" style="1072" customWidth="1"/>
    <col min="15877" max="15877" width="20.1796875" style="1072" customWidth="1"/>
    <col min="15878" max="15878" width="14.7265625" style="1072" customWidth="1"/>
    <col min="15879" max="15879" width="13.7265625" style="1072" customWidth="1"/>
    <col min="15880" max="15880" width="14.7265625" style="1072" customWidth="1"/>
    <col min="15881" max="15883" width="11.1796875" style="1072" customWidth="1"/>
    <col min="15884" max="15886" width="14.7265625" style="1072" customWidth="1"/>
    <col min="15887" max="15887" width="18.7265625" style="1072" customWidth="1"/>
    <col min="15888" max="15890" width="14.7265625" style="1072" customWidth="1"/>
    <col min="15891" max="15891" width="17.81640625" style="1072" customWidth="1"/>
    <col min="15892" max="15892" width="18.54296875" style="1072" customWidth="1"/>
    <col min="15893" max="15893" width="13.7265625" style="1072" customWidth="1"/>
    <col min="15894" max="15895" width="14.7265625" style="1072" customWidth="1"/>
    <col min="15896" max="15898" width="15" style="1072" customWidth="1"/>
    <col min="15899" max="15899" width="14.7265625" style="1072" customWidth="1"/>
    <col min="15900" max="15900" width="16.26953125" style="1072" customWidth="1"/>
    <col min="15901" max="15902" width="14.7265625" style="1072"/>
    <col min="15903" max="15903" width="21.7265625" style="1072" bestFit="1" customWidth="1"/>
    <col min="15904" max="16128" width="14.7265625" style="1072"/>
    <col min="16129" max="16129" width="9" style="1072" customWidth="1"/>
    <col min="16130" max="16130" width="39.26953125" style="1072" customWidth="1"/>
    <col min="16131" max="16131" width="11" style="1072" customWidth="1"/>
    <col min="16132" max="16132" width="20" style="1072" customWidth="1"/>
    <col min="16133" max="16133" width="20.1796875" style="1072" customWidth="1"/>
    <col min="16134" max="16134" width="14.7265625" style="1072" customWidth="1"/>
    <col min="16135" max="16135" width="13.7265625" style="1072" customWidth="1"/>
    <col min="16136" max="16136" width="14.7265625" style="1072" customWidth="1"/>
    <col min="16137" max="16139" width="11.1796875" style="1072" customWidth="1"/>
    <col min="16140" max="16142" width="14.7265625" style="1072" customWidth="1"/>
    <col min="16143" max="16143" width="18.7265625" style="1072" customWidth="1"/>
    <col min="16144" max="16146" width="14.7265625" style="1072" customWidth="1"/>
    <col min="16147" max="16147" width="17.81640625" style="1072" customWidth="1"/>
    <col min="16148" max="16148" width="18.54296875" style="1072" customWidth="1"/>
    <col min="16149" max="16149" width="13.7265625" style="1072" customWidth="1"/>
    <col min="16150" max="16151" width="14.7265625" style="1072" customWidth="1"/>
    <col min="16152" max="16154" width="15" style="1072" customWidth="1"/>
    <col min="16155" max="16155" width="14.7265625" style="1072" customWidth="1"/>
    <col min="16156" max="16156" width="16.26953125" style="1072" customWidth="1"/>
    <col min="16157" max="16158" width="14.7265625" style="1072"/>
    <col min="16159" max="16159" width="21.7265625" style="1072" bestFit="1" customWidth="1"/>
    <col min="16160" max="16384" width="14.7265625" style="1072"/>
  </cols>
  <sheetData>
    <row r="1" spans="1:32" ht="18">
      <c r="B1" s="1580" t="s">
        <v>5525</v>
      </c>
      <c r="K1" s="1072">
        <v>0.92</v>
      </c>
      <c r="N1" s="1089" t="s">
        <v>124</v>
      </c>
      <c r="O1" s="1090" t="s">
        <v>4149</v>
      </c>
      <c r="P1" s="1089"/>
      <c r="Q1" s="1090"/>
      <c r="R1" s="1091"/>
      <c r="T1" s="1098">
        <f>Y65+Z65</f>
        <v>19.885544463834869</v>
      </c>
      <c r="AE1" s="1089" t="s">
        <v>124</v>
      </c>
      <c r="AF1" s="1090" t="s">
        <v>4149</v>
      </c>
    </row>
    <row r="2" spans="1:32" ht="31.5" customHeight="1">
      <c r="A2" s="2454" t="s">
        <v>4150</v>
      </c>
      <c r="B2" s="1134"/>
      <c r="C2" s="1134"/>
      <c r="D2" s="2454" t="s">
        <v>4151</v>
      </c>
      <c r="E2" s="1134"/>
      <c r="F2" s="1134"/>
      <c r="G2" s="1134"/>
      <c r="H2" s="1134"/>
      <c r="I2" s="1135"/>
      <c r="J2" s="1134"/>
      <c r="K2" s="1134"/>
      <c r="L2" s="1134"/>
      <c r="M2" s="3109"/>
      <c r="N2" s="1134"/>
      <c r="O2" s="1134"/>
      <c r="P2" s="1134"/>
      <c r="Q2" s="1134"/>
      <c r="R2" s="1136"/>
      <c r="S2" s="1134"/>
      <c r="T2" s="1134"/>
      <c r="U2" s="1134"/>
      <c r="V2" s="1134"/>
      <c r="W2" s="1134"/>
      <c r="X2" s="1134"/>
      <c r="Y2" s="1134"/>
      <c r="Z2" s="1134"/>
      <c r="AA2" s="1134"/>
      <c r="AB2" s="1137"/>
      <c r="AC2" s="3518" t="s">
        <v>4152</v>
      </c>
      <c r="AD2" s="3518"/>
      <c r="AE2" s="3518"/>
      <c r="AF2" s="3518"/>
    </row>
    <row r="3" spans="1:32" ht="16.5" customHeight="1">
      <c r="B3" s="1134"/>
      <c r="C3" s="1134"/>
      <c r="D3" s="1134"/>
      <c r="E3" s="1134"/>
      <c r="F3" s="1134"/>
      <c r="G3" s="1134"/>
      <c r="H3" s="1134"/>
      <c r="I3" s="1135"/>
      <c r="J3" s="1134"/>
      <c r="K3" s="1134"/>
      <c r="L3" s="1134"/>
      <c r="M3" s="1134"/>
      <c r="N3" s="1134"/>
      <c r="O3" s="1134"/>
      <c r="P3" s="1134"/>
      <c r="Q3" s="1134"/>
      <c r="R3" s="1136"/>
      <c r="S3" s="1134"/>
      <c r="T3" s="1134"/>
      <c r="U3" s="1134"/>
      <c r="V3" s="1134"/>
      <c r="W3" s="1134"/>
      <c r="X3" s="1134"/>
      <c r="Y3" s="1134"/>
      <c r="Z3" s="1134"/>
      <c r="AA3" s="1134"/>
      <c r="AB3" s="1137"/>
      <c r="AC3" s="1137"/>
      <c r="AD3" s="1137"/>
      <c r="AE3" s="1137"/>
      <c r="AF3" s="1137"/>
    </row>
    <row r="4" spans="1:32" ht="15" customHeight="1">
      <c r="A4" s="1138" t="s">
        <v>894</v>
      </c>
      <c r="B4" s="1139" t="s">
        <v>4072</v>
      </c>
      <c r="C4" s="1139" t="s">
        <v>1362</v>
      </c>
      <c r="D4" s="1139" t="s">
        <v>4153</v>
      </c>
      <c r="E4" s="1139" t="s">
        <v>4153</v>
      </c>
      <c r="F4" s="1139" t="s">
        <v>4154</v>
      </c>
      <c r="G4" s="1139" t="s">
        <v>4155</v>
      </c>
      <c r="H4" s="1139" t="s">
        <v>4156</v>
      </c>
      <c r="I4" s="1139" t="s">
        <v>4157</v>
      </c>
      <c r="J4" s="1139" t="s">
        <v>4158</v>
      </c>
      <c r="K4" s="1139" t="s">
        <v>4158</v>
      </c>
      <c r="L4" s="1140" t="s">
        <v>4159</v>
      </c>
      <c r="M4" s="1141"/>
      <c r="N4" s="1141" t="s">
        <v>4160</v>
      </c>
      <c r="O4" s="1139" t="s">
        <v>4161</v>
      </c>
      <c r="P4" s="1139" t="s">
        <v>1506</v>
      </c>
      <c r="Q4" s="1139" t="s">
        <v>4162</v>
      </c>
      <c r="R4" s="1139" t="s">
        <v>4162</v>
      </c>
      <c r="S4" s="1139" t="s">
        <v>4162</v>
      </c>
      <c r="T4" s="1139" t="s">
        <v>4162</v>
      </c>
      <c r="U4" s="1139" t="s">
        <v>1101</v>
      </c>
      <c r="V4" s="1139" t="s">
        <v>4163</v>
      </c>
      <c r="W4" s="1139" t="s">
        <v>1506</v>
      </c>
      <c r="X4" s="1142" t="s">
        <v>4153</v>
      </c>
      <c r="Y4" s="1142" t="s">
        <v>4153</v>
      </c>
      <c r="Z4" s="1142" t="s">
        <v>4153</v>
      </c>
      <c r="AA4" s="1139" t="s">
        <v>1101</v>
      </c>
      <c r="AB4" s="1139" t="s">
        <v>1506</v>
      </c>
      <c r="AC4" s="1139" t="s">
        <v>4164</v>
      </c>
      <c r="AD4" s="1139" t="s">
        <v>1101</v>
      </c>
      <c r="AE4" s="1139" t="s">
        <v>1101</v>
      </c>
      <c r="AF4" s="1139" t="s">
        <v>4165</v>
      </c>
    </row>
    <row r="5" spans="1:32" ht="15" customHeight="1">
      <c r="A5" s="1143" t="s">
        <v>900</v>
      </c>
      <c r="B5" s="1144"/>
      <c r="C5" s="1144" t="s">
        <v>4166</v>
      </c>
      <c r="D5" s="1144" t="s">
        <v>4167</v>
      </c>
      <c r="E5" s="1144" t="s">
        <v>4167</v>
      </c>
      <c r="F5" s="1144" t="s">
        <v>1581</v>
      </c>
      <c r="G5" s="1144" t="s">
        <v>4157</v>
      </c>
      <c r="H5" s="1144" t="s">
        <v>4168</v>
      </c>
      <c r="I5" s="1144" t="s">
        <v>4169</v>
      </c>
      <c r="J5" s="1144" t="s">
        <v>4169</v>
      </c>
      <c r="K5" s="1144" t="s">
        <v>4169</v>
      </c>
      <c r="L5" s="1145" t="s">
        <v>4170</v>
      </c>
      <c r="M5" s="1139" t="s">
        <v>4171</v>
      </c>
      <c r="N5" s="1146" t="s">
        <v>4172</v>
      </c>
      <c r="O5" s="1144" t="s">
        <v>4173</v>
      </c>
      <c r="P5" s="1144" t="s">
        <v>4169</v>
      </c>
      <c r="Q5" s="1144" t="s">
        <v>4174</v>
      </c>
      <c r="R5" s="1144" t="s">
        <v>4174</v>
      </c>
      <c r="S5" s="1144" t="s">
        <v>4175</v>
      </c>
      <c r="T5" s="1144" t="s">
        <v>4176</v>
      </c>
      <c r="U5" s="1144" t="s">
        <v>4162</v>
      </c>
      <c r="V5" s="1144"/>
      <c r="W5" s="1144" t="s">
        <v>4169</v>
      </c>
      <c r="X5" s="1144" t="s">
        <v>4177</v>
      </c>
      <c r="Y5" s="1144" t="s">
        <v>4163</v>
      </c>
      <c r="Z5" s="1144" t="s">
        <v>4163</v>
      </c>
      <c r="AA5" s="1144" t="s">
        <v>4162</v>
      </c>
      <c r="AB5" s="1147" t="s">
        <v>4178</v>
      </c>
      <c r="AC5" s="1144" t="s">
        <v>4179</v>
      </c>
      <c r="AD5" s="1144" t="s">
        <v>4180</v>
      </c>
      <c r="AE5" s="1144" t="s">
        <v>4169</v>
      </c>
      <c r="AF5" s="1144" t="s">
        <v>4181</v>
      </c>
    </row>
    <row r="6" spans="1:32" ht="15" customHeight="1">
      <c r="A6" s="1143" t="s">
        <v>942</v>
      </c>
      <c r="B6" s="1144"/>
      <c r="C6" s="1144"/>
      <c r="D6" s="1144" t="s">
        <v>4182</v>
      </c>
      <c r="E6" s="1144" t="s">
        <v>4182</v>
      </c>
      <c r="F6" s="1144"/>
      <c r="G6" s="1144" t="s">
        <v>1101</v>
      </c>
      <c r="H6" s="1144" t="s">
        <v>4183</v>
      </c>
      <c r="I6" s="1144"/>
      <c r="J6" s="1144"/>
      <c r="K6" s="1144"/>
      <c r="L6" s="1144"/>
      <c r="M6" s="1144"/>
      <c r="N6" s="1144" t="s">
        <v>4169</v>
      </c>
      <c r="O6" s="1144" t="s">
        <v>4184</v>
      </c>
      <c r="P6" s="1144"/>
      <c r="Q6" s="1144" t="s">
        <v>4157</v>
      </c>
      <c r="R6" s="1144" t="s">
        <v>4158</v>
      </c>
      <c r="S6" s="1144" t="s">
        <v>4185</v>
      </c>
      <c r="T6" s="1144" t="s">
        <v>4172</v>
      </c>
      <c r="U6" s="1144"/>
      <c r="V6" s="1144"/>
      <c r="W6" s="1144" t="s">
        <v>4186</v>
      </c>
      <c r="X6" s="1147" t="s">
        <v>4187</v>
      </c>
      <c r="Y6" s="1147"/>
      <c r="Z6" s="1147" t="s">
        <v>4188</v>
      </c>
      <c r="AA6" s="1144" t="s">
        <v>4186</v>
      </c>
      <c r="AB6" s="1147" t="s">
        <v>4189</v>
      </c>
      <c r="AC6" s="1144"/>
      <c r="AD6" s="1144" t="s">
        <v>4190</v>
      </c>
      <c r="AE6" s="1144" t="s">
        <v>4191</v>
      </c>
      <c r="AF6" s="1144" t="s">
        <v>4192</v>
      </c>
    </row>
    <row r="7" spans="1:32" ht="15" customHeight="1">
      <c r="A7" s="1143"/>
      <c r="B7" s="1144"/>
      <c r="C7" s="1144"/>
      <c r="D7" s="1144" t="s">
        <v>1101</v>
      </c>
      <c r="E7" s="1144" t="s">
        <v>4423</v>
      </c>
      <c r="F7" s="1144"/>
      <c r="G7" s="1144"/>
      <c r="H7" s="1144" t="s">
        <v>4194</v>
      </c>
      <c r="I7" s="1144"/>
      <c r="J7" s="1144"/>
      <c r="K7" s="1144"/>
      <c r="L7" s="1144"/>
      <c r="M7" s="1144"/>
      <c r="N7" s="1144" t="s">
        <v>4195</v>
      </c>
      <c r="O7" s="1144" t="s">
        <v>4169</v>
      </c>
      <c r="P7" s="1144"/>
      <c r="Q7" s="1144" t="s">
        <v>4169</v>
      </c>
      <c r="R7" s="1144" t="s">
        <v>4169</v>
      </c>
      <c r="S7" s="1144" t="s">
        <v>4196</v>
      </c>
      <c r="T7" s="1144" t="s">
        <v>4169</v>
      </c>
      <c r="U7" s="1144"/>
      <c r="V7" s="1144"/>
      <c r="W7" s="1144" t="s">
        <v>4163</v>
      </c>
      <c r="X7" s="1148"/>
      <c r="Y7" s="1148"/>
      <c r="Z7" s="1148"/>
      <c r="AA7" s="1144" t="s">
        <v>4163</v>
      </c>
      <c r="AB7" s="1147" t="s">
        <v>1364</v>
      </c>
      <c r="AC7" s="1144"/>
      <c r="AD7" s="1144"/>
      <c r="AE7" s="1144" t="s">
        <v>4197</v>
      </c>
      <c r="AF7" s="1144" t="s">
        <v>4198</v>
      </c>
    </row>
    <row r="8" spans="1:32" ht="15" customHeight="1">
      <c r="A8" s="1143"/>
      <c r="B8" s="1144"/>
      <c r="C8" s="1144"/>
      <c r="D8" s="1144"/>
      <c r="E8" s="1144" t="s">
        <v>4199</v>
      </c>
      <c r="F8" s="1144"/>
      <c r="G8" s="1144"/>
      <c r="H8" s="1144" t="s">
        <v>4200</v>
      </c>
      <c r="I8" s="1144"/>
      <c r="J8" s="1144"/>
      <c r="K8" s="1144"/>
      <c r="L8" s="1144"/>
      <c r="M8" s="1144"/>
      <c r="N8" s="1144" t="s">
        <v>4201</v>
      </c>
      <c r="O8" s="1144" t="s">
        <v>4202</v>
      </c>
      <c r="P8" s="1144"/>
      <c r="Q8" s="1149"/>
      <c r="R8" s="1149"/>
      <c r="S8" s="1149" t="s">
        <v>4169</v>
      </c>
      <c r="T8" s="1149"/>
      <c r="U8" s="1144"/>
      <c r="V8" s="1144"/>
      <c r="W8" s="1144"/>
      <c r="X8" s="1148"/>
      <c r="Y8" s="1148"/>
      <c r="Z8" s="1148"/>
      <c r="AA8" s="1144"/>
      <c r="AB8" s="1144" t="s">
        <v>4203</v>
      </c>
      <c r="AC8" s="1144"/>
      <c r="AD8" s="1144"/>
      <c r="AE8" s="1144" t="s">
        <v>4204</v>
      </c>
      <c r="AF8" s="1144"/>
    </row>
    <row r="9" spans="1:32" ht="15" customHeight="1">
      <c r="A9" s="1143"/>
      <c r="B9" s="1144"/>
      <c r="C9" s="1144"/>
      <c r="D9" s="1144" t="s">
        <v>461</v>
      </c>
      <c r="E9" s="1144" t="s">
        <v>461</v>
      </c>
      <c r="F9" s="1144"/>
      <c r="G9" s="1144" t="s">
        <v>3672</v>
      </c>
      <c r="H9" s="1144" t="s">
        <v>3672</v>
      </c>
      <c r="I9" s="1144" t="s">
        <v>4205</v>
      </c>
      <c r="J9" s="1144" t="s">
        <v>4206</v>
      </c>
      <c r="K9" s="1144" t="s">
        <v>4206</v>
      </c>
      <c r="L9" s="1144" t="s">
        <v>196</v>
      </c>
      <c r="M9" s="1144" t="s">
        <v>196</v>
      </c>
      <c r="N9" s="1144" t="s">
        <v>196</v>
      </c>
      <c r="O9" s="1144" t="s">
        <v>4207</v>
      </c>
      <c r="P9" s="1144" t="s">
        <v>4206</v>
      </c>
      <c r="Q9" s="1144" t="s">
        <v>4208</v>
      </c>
      <c r="R9" s="1144" t="s">
        <v>4208</v>
      </c>
      <c r="S9" s="1144" t="s">
        <v>4208</v>
      </c>
      <c r="T9" s="1144" t="s">
        <v>4208</v>
      </c>
      <c r="U9" s="1144" t="s">
        <v>4208</v>
      </c>
      <c r="V9" s="1144" t="s">
        <v>4206</v>
      </c>
      <c r="W9" s="1144" t="s">
        <v>4206</v>
      </c>
      <c r="X9" s="1144" t="s">
        <v>461</v>
      </c>
      <c r="Y9" s="1144" t="s">
        <v>4208</v>
      </c>
      <c r="Z9" s="1144" t="s">
        <v>4208</v>
      </c>
      <c r="AA9" s="1144" t="s">
        <v>4208</v>
      </c>
      <c r="AB9" s="1144" t="s">
        <v>460</v>
      </c>
      <c r="AC9" s="1144" t="s">
        <v>4206</v>
      </c>
      <c r="AD9" s="1144" t="s">
        <v>4209</v>
      </c>
      <c r="AE9" s="1144" t="s">
        <v>4210</v>
      </c>
      <c r="AF9" s="1144"/>
    </row>
    <row r="10" spans="1:32" ht="25.5" customHeight="1">
      <c r="A10" s="2455">
        <v>1</v>
      </c>
      <c r="B10" s="2456">
        <v>2</v>
      </c>
      <c r="C10" s="2456">
        <v>3</v>
      </c>
      <c r="D10" s="2456">
        <v>4</v>
      </c>
      <c r="E10" s="2456">
        <v>5</v>
      </c>
      <c r="F10" s="2456">
        <v>6</v>
      </c>
      <c r="G10" s="2456">
        <v>7</v>
      </c>
      <c r="H10" s="2456">
        <v>8</v>
      </c>
      <c r="I10" s="2456">
        <v>9</v>
      </c>
      <c r="J10" s="2456">
        <v>10</v>
      </c>
      <c r="K10" s="2456">
        <v>11</v>
      </c>
      <c r="L10" s="2456">
        <v>12</v>
      </c>
      <c r="M10" s="2456">
        <v>13</v>
      </c>
      <c r="N10" s="2456">
        <v>14</v>
      </c>
      <c r="O10" s="2456">
        <v>15</v>
      </c>
      <c r="P10" s="2456">
        <v>16</v>
      </c>
      <c r="Q10" s="2456">
        <v>17</v>
      </c>
      <c r="R10" s="2456">
        <v>18</v>
      </c>
      <c r="S10" s="2456">
        <v>19</v>
      </c>
      <c r="T10" s="2456">
        <v>20</v>
      </c>
      <c r="U10" s="2456">
        <v>21</v>
      </c>
      <c r="V10" s="2456">
        <v>22</v>
      </c>
      <c r="W10" s="2456">
        <v>23</v>
      </c>
      <c r="X10" s="2456">
        <v>24</v>
      </c>
      <c r="Y10" s="2456">
        <v>25</v>
      </c>
      <c r="Z10" s="2456">
        <v>26</v>
      </c>
      <c r="AA10" s="2456">
        <v>27</v>
      </c>
      <c r="AB10" s="2456">
        <v>28</v>
      </c>
      <c r="AC10" s="2456">
        <v>29</v>
      </c>
      <c r="AD10" s="2456">
        <v>30</v>
      </c>
      <c r="AE10" s="2456">
        <v>31</v>
      </c>
      <c r="AF10" s="2456">
        <v>32</v>
      </c>
    </row>
    <row r="11" spans="1:32" ht="25.5" customHeight="1">
      <c r="A11" s="1021"/>
      <c r="B11" s="2457" t="s">
        <v>4079</v>
      </c>
      <c r="C11" s="1024"/>
      <c r="D11" s="1125"/>
      <c r="E11" s="1125"/>
      <c r="F11" s="1125"/>
      <c r="G11" s="1096"/>
      <c r="H11" s="1096"/>
      <c r="I11" s="1125"/>
      <c r="J11" s="1096"/>
      <c r="K11" s="1096"/>
      <c r="L11" s="1125"/>
      <c r="M11" s="1125"/>
      <c r="N11" s="1125"/>
      <c r="O11" s="1096"/>
      <c r="P11" s="1096"/>
      <c r="Q11" s="12"/>
      <c r="R11" s="15"/>
      <c r="S11" s="1096"/>
      <c r="T11" s="1096"/>
      <c r="U11" s="1096"/>
      <c r="V11" s="1096"/>
      <c r="W11" s="1096"/>
      <c r="X11" s="1096"/>
      <c r="Y11" s="1096"/>
      <c r="Z11" s="1096"/>
      <c r="AA11" s="1096"/>
      <c r="AB11" s="1096"/>
      <c r="AC11" s="1125"/>
      <c r="AD11" s="1125"/>
      <c r="AE11" s="1125"/>
      <c r="AF11" s="1096"/>
    </row>
    <row r="12" spans="1:32" ht="25.5" customHeight="1">
      <c r="A12" s="1024">
        <v>1</v>
      </c>
      <c r="B12" s="1021" t="s">
        <v>462</v>
      </c>
      <c r="C12" s="1024" t="s">
        <v>1496</v>
      </c>
      <c r="D12" s="1125"/>
      <c r="E12" s="1125"/>
      <c r="F12" s="1125"/>
      <c r="G12" s="1096"/>
      <c r="H12" s="1096"/>
      <c r="I12" s="1125"/>
      <c r="J12" s="1096"/>
      <c r="K12" s="1096"/>
      <c r="L12" s="1125"/>
      <c r="M12" s="1125"/>
      <c r="N12" s="1125"/>
      <c r="O12" s="1096"/>
      <c r="P12" s="1096"/>
      <c r="Q12" s="15"/>
      <c r="R12" s="15"/>
      <c r="S12" s="1096"/>
      <c r="T12" s="1096"/>
      <c r="U12" s="1096"/>
      <c r="V12" s="2458">
        <v>0.1</v>
      </c>
      <c r="W12" s="1125"/>
      <c r="X12" s="1096"/>
      <c r="Y12" s="1096"/>
      <c r="Z12" s="1096"/>
      <c r="AA12" s="1096"/>
      <c r="AB12" s="1096"/>
      <c r="AC12" s="1125"/>
      <c r="AD12" s="1125"/>
      <c r="AE12" s="1125"/>
      <c r="AF12" s="1096"/>
    </row>
    <row r="13" spans="1:32" ht="25.5" customHeight="1">
      <c r="A13" s="1024"/>
      <c r="B13" s="1024" t="s">
        <v>1323</v>
      </c>
      <c r="C13" s="1021"/>
      <c r="D13" s="1994">
        <f>'T-1'!O9</f>
        <v>20</v>
      </c>
      <c r="E13" s="1125"/>
      <c r="F13" s="1125">
        <f>'T-1'!M9</f>
        <v>110203</v>
      </c>
      <c r="G13" s="1125">
        <f>'T-1'!N9</f>
        <v>38226.627</v>
      </c>
      <c r="H13" s="1125">
        <v>0</v>
      </c>
      <c r="I13" s="1125"/>
      <c r="J13" s="1096"/>
      <c r="K13" s="1096"/>
      <c r="L13" s="1125">
        <v>80</v>
      </c>
      <c r="M13" s="1125"/>
      <c r="N13" s="1125"/>
      <c r="O13" s="1096"/>
      <c r="P13" s="2459">
        <f>U13/D13*1000</f>
        <v>528.97439999999995</v>
      </c>
      <c r="Q13" s="15"/>
      <c r="R13" s="15"/>
      <c r="S13" s="1129">
        <f>F13*L13*12/10000000</f>
        <v>10.579488</v>
      </c>
      <c r="T13" s="1096"/>
      <c r="U13" s="1129">
        <f t="shared" ref="U13:U18" si="0">Q13+R13+S13+T13</f>
        <v>10.579488</v>
      </c>
      <c r="V13" s="2458"/>
      <c r="W13" s="2460">
        <f>AA13/D13*1000</f>
        <v>528.97439999999995</v>
      </c>
      <c r="X13" s="1096"/>
      <c r="Y13" s="1096"/>
      <c r="Z13" s="1096"/>
      <c r="AA13" s="1129">
        <f>U13-Y13-Z13</f>
        <v>10.579488</v>
      </c>
      <c r="AB13" s="2461">
        <f>W13/$G$68</f>
        <v>0.67340218474950875</v>
      </c>
      <c r="AC13" s="1125"/>
      <c r="AD13" s="1125"/>
      <c r="AE13" s="2462">
        <f>W13+AC13</f>
        <v>528.97439999999995</v>
      </c>
      <c r="AF13" s="1096"/>
    </row>
    <row r="14" spans="1:32" ht="25.5" customHeight="1">
      <c r="A14" s="1024"/>
      <c r="B14" s="1024" t="s">
        <v>116</v>
      </c>
      <c r="C14" s="1021"/>
      <c r="D14" s="1994">
        <f>'T-1'!O10</f>
        <v>1885.8364812775001</v>
      </c>
      <c r="E14" s="1096"/>
      <c r="F14" s="1125">
        <f>'T-1'!M10</f>
        <v>2145459</v>
      </c>
      <c r="G14" s="1125">
        <f>'T-1'!N10</f>
        <v>2024314.9040000001</v>
      </c>
      <c r="H14" s="2462">
        <f>G14-'T-2 (A-S)'!C11-'T-2 (A-S)'!C12-'T-2 (A-S)'!C13-'T-2 (A-S)'!C14-'T-2 (A-S)'!C30-'T-2 (A-S)'!C31-'T-2 (A-S)'!C32-'T-2 (A-S)'!C33-'T-2 (A-S)'!D10-'T-2 (A-S)'!D29</f>
        <v>521325.84499999997</v>
      </c>
      <c r="I14" s="1125"/>
      <c r="J14" s="1096"/>
      <c r="K14" s="1096"/>
      <c r="L14" s="1176">
        <v>20</v>
      </c>
      <c r="M14" s="1176">
        <v>20</v>
      </c>
      <c r="N14" s="1125"/>
      <c r="O14" s="1096"/>
      <c r="P14" s="2459">
        <f>U14/D14*1000</f>
        <v>467.69109066017262</v>
      </c>
      <c r="Q14" s="15"/>
      <c r="R14" s="2463">
        <f>SUM(R15:R19)</f>
        <v>817.98608445541618</v>
      </c>
      <c r="S14" s="2458">
        <f>(F14*L14+H14*M14)*12/10000000</f>
        <v>64.002836279999997</v>
      </c>
      <c r="T14" s="1096"/>
      <c r="U14" s="1129">
        <f t="shared" si="0"/>
        <v>881.98892073541617</v>
      </c>
      <c r="V14" s="2458">
        <v>0.1</v>
      </c>
      <c r="W14" s="2462">
        <f>AA14/D14*1000</f>
        <v>462.99109066017263</v>
      </c>
      <c r="X14" s="1129">
        <f>D14*0.47</f>
        <v>886.34314620042494</v>
      </c>
      <c r="Y14" s="1129">
        <f>X14/100</f>
        <v>8.8634314620042502</v>
      </c>
      <c r="Z14" s="1129"/>
      <c r="AA14" s="1129">
        <f>U14-Y14-Z14</f>
        <v>873.12548927341197</v>
      </c>
      <c r="AB14" s="2461">
        <f>W14/$G$68</f>
        <v>0.58940321491950864</v>
      </c>
      <c r="AC14" s="1129">
        <f>AD14/D14*10</f>
        <v>0.17350095675342908</v>
      </c>
      <c r="AD14" s="1129">
        <f>R14*0.04</f>
        <v>32.719443378216646</v>
      </c>
      <c r="AE14" s="2462">
        <f>W14+AC14</f>
        <v>463.16459161692603</v>
      </c>
      <c r="AF14" s="1096"/>
    </row>
    <row r="15" spans="1:32" ht="25.5" customHeight="1">
      <c r="A15" s="1024"/>
      <c r="B15" s="1024" t="s">
        <v>4080</v>
      </c>
      <c r="C15" s="1021"/>
      <c r="D15" s="1994">
        <f>'T-1'!O11</f>
        <v>876.05941933323641</v>
      </c>
      <c r="E15" s="1096"/>
      <c r="F15" s="1096"/>
      <c r="G15" s="1096"/>
      <c r="H15" s="1096"/>
      <c r="I15" s="1125"/>
      <c r="J15" s="1176">
        <v>300</v>
      </c>
      <c r="K15" s="1176"/>
      <c r="L15" s="1176"/>
      <c r="M15" s="1176"/>
      <c r="N15" s="1125"/>
      <c r="O15" s="1096"/>
      <c r="P15" s="2459"/>
      <c r="Q15" s="15"/>
      <c r="R15" s="27">
        <f>D15*J15/1000</f>
        <v>262.81782579997093</v>
      </c>
      <c r="S15" s="1096"/>
      <c r="T15" s="1096"/>
      <c r="U15" s="1129">
        <f t="shared" si="0"/>
        <v>262.81782579997093</v>
      </c>
      <c r="V15" s="2458"/>
      <c r="W15" s="1129"/>
      <c r="X15" s="2464"/>
      <c r="Y15" s="2464"/>
      <c r="Z15" s="1129"/>
      <c r="AA15" s="1129"/>
      <c r="AB15" s="2461"/>
      <c r="AC15" s="1125"/>
      <c r="AD15" s="1125"/>
      <c r="AE15" s="1125"/>
      <c r="AF15" s="1096"/>
    </row>
    <row r="16" spans="1:32" ht="25.5" customHeight="1">
      <c r="A16" s="1024"/>
      <c r="B16" s="1024" t="s">
        <v>4081</v>
      </c>
      <c r="C16" s="1021"/>
      <c r="D16" s="1994">
        <f>'T-1'!O12</f>
        <v>446.33382412720982</v>
      </c>
      <c r="E16" s="1096"/>
      <c r="F16" s="1096"/>
      <c r="G16" s="1096"/>
      <c r="H16" s="1096"/>
      <c r="I16" s="1125"/>
      <c r="J16" s="1176">
        <v>480</v>
      </c>
      <c r="K16" s="1176"/>
      <c r="L16" s="1176"/>
      <c r="M16" s="1176"/>
      <c r="N16" s="1125"/>
      <c r="O16" s="1096"/>
      <c r="P16" s="2459"/>
      <c r="Q16" s="15"/>
      <c r="R16" s="27">
        <f>D16*J16/1000</f>
        <v>214.24023558106072</v>
      </c>
      <c r="S16" s="1096"/>
      <c r="T16" s="1096"/>
      <c r="U16" s="1129">
        <f t="shared" si="0"/>
        <v>214.24023558106072</v>
      </c>
      <c r="V16" s="2458"/>
      <c r="W16" s="1129"/>
      <c r="X16" s="2464"/>
      <c r="Y16" s="2464"/>
      <c r="Z16" s="1129"/>
      <c r="AA16" s="1129"/>
      <c r="AB16" s="2461"/>
      <c r="AC16" s="1125"/>
      <c r="AD16" s="1125"/>
      <c r="AE16" s="1125"/>
      <c r="AF16" s="1096"/>
    </row>
    <row r="17" spans="1:32" ht="25.5" customHeight="1">
      <c r="A17" s="1024"/>
      <c r="B17" s="1024" t="s">
        <v>4082</v>
      </c>
      <c r="C17" s="1021"/>
      <c r="D17" s="1994">
        <f>'T-1'!O13</f>
        <v>210.00117706801592</v>
      </c>
      <c r="E17" s="1096"/>
      <c r="F17" s="1096"/>
      <c r="G17" s="1096"/>
      <c r="H17" s="1096"/>
      <c r="I17" s="1125"/>
      <c r="J17" s="1176">
        <v>580</v>
      </c>
      <c r="K17" s="1176"/>
      <c r="L17" s="1176"/>
      <c r="M17" s="1176"/>
      <c r="N17" s="1125"/>
      <c r="O17" s="1096"/>
      <c r="P17" s="2459"/>
      <c r="Q17" s="15"/>
      <c r="R17" s="27">
        <f>D17*J17/1000</f>
        <v>121.80068269944923</v>
      </c>
      <c r="S17" s="1096"/>
      <c r="T17" s="1096"/>
      <c r="U17" s="1129">
        <f t="shared" si="0"/>
        <v>121.80068269944923</v>
      </c>
      <c r="V17" s="2458"/>
      <c r="W17" s="1129"/>
      <c r="X17" s="2464"/>
      <c r="Y17" s="2464"/>
      <c r="Z17" s="1129"/>
      <c r="AA17" s="1129"/>
      <c r="AB17" s="2461"/>
      <c r="AC17" s="1125"/>
      <c r="AD17" s="1125"/>
      <c r="AE17" s="1125"/>
      <c r="AF17" s="1096"/>
    </row>
    <row r="18" spans="1:32" ht="25.5" customHeight="1">
      <c r="A18" s="1024"/>
      <c r="B18" s="1024" t="s">
        <v>4083</v>
      </c>
      <c r="C18" s="1021"/>
      <c r="D18" s="1994">
        <f>'T-1'!O14</f>
        <v>353.43119415312157</v>
      </c>
      <c r="E18" s="1096"/>
      <c r="F18" s="1096"/>
      <c r="G18" s="1096"/>
      <c r="H18" s="1096"/>
      <c r="I18" s="1125"/>
      <c r="J18" s="1176">
        <v>620</v>
      </c>
      <c r="K18" s="1176"/>
      <c r="L18" s="1176"/>
      <c r="M18" s="1176"/>
      <c r="N18" s="1125"/>
      <c r="O18" s="1096"/>
      <c r="P18" s="2459"/>
      <c r="Q18" s="15"/>
      <c r="R18" s="27">
        <f>D18*J18/1000</f>
        <v>219.12734037493536</v>
      </c>
      <c r="S18" s="1096"/>
      <c r="T18" s="1096"/>
      <c r="U18" s="1129">
        <f t="shared" si="0"/>
        <v>219.12734037493536</v>
      </c>
      <c r="V18" s="2458"/>
      <c r="W18" s="1129"/>
      <c r="X18" s="2464"/>
      <c r="Y18" s="2464"/>
      <c r="Z18" s="1129"/>
      <c r="AA18" s="1129"/>
      <c r="AB18" s="2461"/>
      <c r="AC18" s="1125"/>
      <c r="AD18" s="1125"/>
      <c r="AE18" s="1125"/>
      <c r="AF18" s="1096"/>
    </row>
    <row r="19" spans="1:32" ht="25.5" customHeight="1">
      <c r="A19" s="1024"/>
      <c r="B19" s="1024" t="s">
        <v>4140</v>
      </c>
      <c r="C19" s="1024" t="s">
        <v>1496</v>
      </c>
      <c r="D19" s="1994"/>
      <c r="E19" s="1125"/>
      <c r="F19" s="1125"/>
      <c r="G19" s="1096"/>
      <c r="H19" s="1096"/>
      <c r="I19" s="1125"/>
      <c r="J19" s="2458"/>
      <c r="K19" s="2458"/>
      <c r="L19" s="1176"/>
      <c r="M19" s="1176"/>
      <c r="N19" s="1125"/>
      <c r="O19" s="1096"/>
      <c r="P19" s="2459"/>
      <c r="Q19" s="15"/>
      <c r="R19" s="15"/>
      <c r="S19" s="1096"/>
      <c r="T19" s="1096"/>
      <c r="U19" s="1096"/>
      <c r="V19" s="2458"/>
      <c r="W19" s="1125"/>
      <c r="X19" s="1096"/>
      <c r="Y19" s="1096"/>
      <c r="Z19" s="1125"/>
      <c r="AA19" s="1125"/>
      <c r="AB19" s="2461"/>
      <c r="AC19" s="1125"/>
      <c r="AD19" s="1125"/>
      <c r="AE19" s="1125"/>
      <c r="AF19" s="1096"/>
    </row>
    <row r="20" spans="1:32" ht="25.5" customHeight="1">
      <c r="A20" s="1024"/>
      <c r="B20" s="1021"/>
      <c r="C20" s="2465" t="s">
        <v>1327</v>
      </c>
      <c r="D20" s="2466">
        <f>D14+D13</f>
        <v>1905.8364812775001</v>
      </c>
      <c r="E20" s="1125"/>
      <c r="F20" s="2453">
        <f>SUM(F13:F19)</f>
        <v>2255662</v>
      </c>
      <c r="G20" s="2453">
        <f>SUM(G13:G19)</f>
        <v>2062541.5310000002</v>
      </c>
      <c r="H20" s="2460">
        <f>SUM(H13:H19)</f>
        <v>521325.84499999997</v>
      </c>
      <c r="I20" s="1125"/>
      <c r="J20" s="2458"/>
      <c r="K20" s="2458"/>
      <c r="L20" s="1176"/>
      <c r="M20" s="1176"/>
      <c r="N20" s="1125"/>
      <c r="O20" s="1096"/>
      <c r="P20" s="2459">
        <f>U20/D20*1000</f>
        <v>468.33420259492527</v>
      </c>
      <c r="Q20" s="15"/>
      <c r="R20" s="2463">
        <f>R14+R13</f>
        <v>817.98608445541618</v>
      </c>
      <c r="S20" s="1126">
        <f>S14+S13</f>
        <v>74.582324279999995</v>
      </c>
      <c r="T20" s="1096"/>
      <c r="U20" s="1126">
        <f>U14+U13</f>
        <v>892.56840873541614</v>
      </c>
      <c r="V20" s="2458">
        <v>0.1</v>
      </c>
      <c r="W20" s="2460">
        <f>AA20/D20*1000</f>
        <v>463.68352476968869</v>
      </c>
      <c r="X20" s="1126">
        <f>X14+X13</f>
        <v>886.34314620042494</v>
      </c>
      <c r="Y20" s="1129">
        <f>X20/100</f>
        <v>8.8634314620042502</v>
      </c>
      <c r="Z20" s="1126"/>
      <c r="AA20" s="1129">
        <f>U20-Y20-Z20</f>
        <v>883.70497727341194</v>
      </c>
      <c r="AB20" s="2461">
        <f>W20/$G$68</f>
        <v>0.5902847068067214</v>
      </c>
      <c r="AC20" s="1129">
        <f>AD20/D20*10</f>
        <v>0.17168022387883192</v>
      </c>
      <c r="AD20" s="1129">
        <f>R20*0.04</f>
        <v>32.719443378216646</v>
      </c>
      <c r="AE20" s="2462">
        <f>W20+AC20</f>
        <v>463.8552049935675</v>
      </c>
      <c r="AF20" s="1096"/>
    </row>
    <row r="21" spans="1:32" ht="25.5" customHeight="1">
      <c r="A21" s="1024">
        <v>2</v>
      </c>
      <c r="B21" s="1021" t="s">
        <v>4084</v>
      </c>
      <c r="C21" s="1024" t="s">
        <v>1496</v>
      </c>
      <c r="D21" s="1125"/>
      <c r="E21" s="1125"/>
      <c r="F21" s="1125">
        <f>'T-1'!M16</f>
        <v>101933</v>
      </c>
      <c r="G21" s="1125">
        <f>'T-1'!N16</f>
        <v>308648.23920000007</v>
      </c>
      <c r="H21" s="2462">
        <f>H25</f>
        <v>216447.23920000007</v>
      </c>
      <c r="I21" s="1125"/>
      <c r="J21" s="2458"/>
      <c r="K21" s="2458"/>
      <c r="L21" s="1176">
        <v>30</v>
      </c>
      <c r="M21" s="1176">
        <v>30</v>
      </c>
      <c r="N21" s="1125"/>
      <c r="O21" s="1096"/>
      <c r="P21" s="2459"/>
      <c r="Q21" s="15"/>
      <c r="R21" s="27">
        <f t="shared" ref="R21:R36" si="1">D21*J21/1000</f>
        <v>0</v>
      </c>
      <c r="S21" s="2467">
        <f>(F21*L21+H21*M21)*12/10000000</f>
        <v>11.461688611200003</v>
      </c>
      <c r="T21" s="1096"/>
      <c r="U21" s="1129">
        <f>Q21+R21+S21+T21</f>
        <v>11.461688611200003</v>
      </c>
      <c r="V21" s="2458">
        <v>0.1</v>
      </c>
      <c r="W21" s="1125"/>
      <c r="X21" s="1129">
        <f>D21*0.6</f>
        <v>0</v>
      </c>
      <c r="Y21" s="1129">
        <f t="shared" ref="Y21:Y36" si="2">X21/100</f>
        <v>0</v>
      </c>
      <c r="Z21" s="1129"/>
      <c r="AA21" s="1125"/>
      <c r="AB21" s="2461"/>
      <c r="AC21" s="1125"/>
      <c r="AD21" s="1125"/>
      <c r="AE21" s="1125"/>
      <c r="AF21" s="1096"/>
    </row>
    <row r="22" spans="1:32" ht="25.5" customHeight="1">
      <c r="A22" s="1024"/>
      <c r="B22" s="1024" t="s">
        <v>1329</v>
      </c>
      <c r="C22" s="1024"/>
      <c r="D22" s="1994">
        <f>'T-1'!O17</f>
        <v>78.545003762681773</v>
      </c>
      <c r="E22" s="1125"/>
      <c r="F22" s="2453"/>
      <c r="G22" s="1096"/>
      <c r="H22" s="1096"/>
      <c r="I22" s="1125"/>
      <c r="J22" s="1176">
        <v>590</v>
      </c>
      <c r="K22" s="1176"/>
      <c r="L22" s="1176"/>
      <c r="M22" s="1176"/>
      <c r="N22" s="1125"/>
      <c r="O22" s="1096"/>
      <c r="P22" s="1096"/>
      <c r="Q22" s="15"/>
      <c r="R22" s="27">
        <f t="shared" si="1"/>
        <v>46.341552219982248</v>
      </c>
      <c r="S22" s="2467"/>
      <c r="T22" s="1096"/>
      <c r="U22" s="1129">
        <f>Q22+R22+S22+T22</f>
        <v>46.341552219982248</v>
      </c>
      <c r="V22" s="2458">
        <v>0.1</v>
      </c>
      <c r="W22" s="1125"/>
      <c r="X22" s="1129">
        <f>D22*0.7</f>
        <v>54.981502633877241</v>
      </c>
      <c r="Y22" s="1129">
        <f t="shared" si="2"/>
        <v>0.54981502633877244</v>
      </c>
      <c r="Z22" s="1129"/>
      <c r="AA22" s="1125"/>
      <c r="AB22" s="2461"/>
      <c r="AC22" s="1125"/>
      <c r="AD22" s="1125"/>
      <c r="AE22" s="1125"/>
      <c r="AF22" s="1096"/>
    </row>
    <row r="23" spans="1:32" ht="25.5" customHeight="1">
      <c r="A23" s="1024"/>
      <c r="B23" s="1024" t="s">
        <v>1330</v>
      </c>
      <c r="C23" s="1021"/>
      <c r="D23" s="1994">
        <f>'T-1'!O18</f>
        <v>85.339008926910836</v>
      </c>
      <c r="E23" s="1125"/>
      <c r="F23" s="1125"/>
      <c r="G23" s="1096"/>
      <c r="H23" s="1096"/>
      <c r="I23" s="1125"/>
      <c r="J23" s="1176">
        <v>700</v>
      </c>
      <c r="K23" s="1176"/>
      <c r="L23" s="1176"/>
      <c r="M23" s="1176"/>
      <c r="N23" s="1125"/>
      <c r="O23" s="1096"/>
      <c r="P23" s="1096"/>
      <c r="Q23" s="27"/>
      <c r="R23" s="27">
        <f t="shared" si="1"/>
        <v>59.737306248837584</v>
      </c>
      <c r="S23" s="2464"/>
      <c r="T23" s="2464"/>
      <c r="U23" s="1129">
        <f>Q23+R23+S23+T23</f>
        <v>59.737306248837584</v>
      </c>
      <c r="V23" s="2458">
        <v>0.1</v>
      </c>
      <c r="W23" s="1129"/>
      <c r="X23" s="1129">
        <f>D23*0.7</f>
        <v>59.737306248837584</v>
      </c>
      <c r="Y23" s="1129">
        <f t="shared" si="2"/>
        <v>0.59737306248837585</v>
      </c>
      <c r="Z23" s="1129"/>
      <c r="AA23" s="1129"/>
      <c r="AB23" s="2461"/>
      <c r="AC23" s="1125"/>
      <c r="AD23" s="1125"/>
      <c r="AE23" s="1125"/>
      <c r="AF23" s="1096"/>
    </row>
    <row r="24" spans="1:32" ht="25.5" customHeight="1">
      <c r="A24" s="1024"/>
      <c r="B24" s="1024" t="s">
        <v>1331</v>
      </c>
      <c r="C24" s="1024"/>
      <c r="D24" s="1994">
        <f>'T-1'!O19</f>
        <v>141.11656873322519</v>
      </c>
      <c r="E24" s="1125"/>
      <c r="F24" s="1125"/>
      <c r="G24" s="1096"/>
      <c r="H24" s="1096"/>
      <c r="I24" s="1125"/>
      <c r="J24" s="1176">
        <v>790</v>
      </c>
      <c r="K24" s="1176"/>
      <c r="L24" s="1176"/>
      <c r="M24" s="1176"/>
      <c r="N24" s="1125"/>
      <c r="O24" s="1096"/>
      <c r="P24" s="1096"/>
      <c r="Q24" s="15"/>
      <c r="R24" s="27">
        <f t="shared" si="1"/>
        <v>111.4820892992479</v>
      </c>
      <c r="S24" s="1096"/>
      <c r="T24" s="1096"/>
      <c r="U24" s="1129">
        <f>Q24+R24+S24+T24</f>
        <v>111.4820892992479</v>
      </c>
      <c r="V24" s="2458">
        <v>0.1</v>
      </c>
      <c r="W24" s="1129"/>
      <c r="X24" s="1129">
        <f>D24*0.7</f>
        <v>98.78159811325763</v>
      </c>
      <c r="Y24" s="1129">
        <f t="shared" si="2"/>
        <v>0.98781598113257629</v>
      </c>
      <c r="Z24" s="1129"/>
      <c r="AA24" s="1129"/>
      <c r="AB24" s="2461"/>
      <c r="AC24" s="1125"/>
      <c r="AD24" s="1125"/>
      <c r="AE24" s="1125"/>
      <c r="AF24" s="1096"/>
    </row>
    <row r="25" spans="1:32" ht="25.5" customHeight="1">
      <c r="A25" s="1024"/>
      <c r="B25" s="1021"/>
      <c r="C25" s="2465" t="s">
        <v>1327</v>
      </c>
      <c r="D25" s="2466">
        <f>SUM(D22:D24)</f>
        <v>305.00058142281785</v>
      </c>
      <c r="E25" s="1125"/>
      <c r="F25" s="2453">
        <f>'T-1'!M16</f>
        <v>101933</v>
      </c>
      <c r="G25" s="2453">
        <f>'T-1'!N16</f>
        <v>308648.23920000007</v>
      </c>
      <c r="H25" s="2460">
        <f>G25-'T-3 (A-S)'!C11-'T-3 (A-S)'!C12-'T-3 (A-S)'!C13-'T-3 (A-S)'!C14-'T-3 (A-S)'!C26-'T-3 (A-S)'!C27-'T-3 (A-S)'!C28-'T-3 (A-S)'!C29-'T-3 (A-S)'!C10-'T-3 (A-S)'!C25</f>
        <v>216447.23920000007</v>
      </c>
      <c r="I25" s="1125"/>
      <c r="J25" s="2458"/>
      <c r="K25" s="2458"/>
      <c r="L25" s="1176">
        <v>30</v>
      </c>
      <c r="M25" s="1176">
        <v>30</v>
      </c>
      <c r="N25" s="1125"/>
      <c r="O25" s="1096"/>
      <c r="P25" s="2459">
        <f t="shared" ref="P25:P37" si="3">U25/D25*1000</f>
        <v>750.89245833855307</v>
      </c>
      <c r="Q25" s="15"/>
      <c r="R25" s="2463">
        <f>SUM(R22:R24)</f>
        <v>217.56094776806773</v>
      </c>
      <c r="S25" s="2467">
        <f>(F25*L25+H25*M25)*12/10000000</f>
        <v>11.461688611200003</v>
      </c>
      <c r="T25" s="1096"/>
      <c r="U25" s="1126">
        <f>SUM(U21:U24)</f>
        <v>229.02263637926774</v>
      </c>
      <c r="V25" s="2458">
        <v>0.1</v>
      </c>
      <c r="W25" s="2462">
        <f t="shared" ref="W25:W37" si="4">AA25/D25*1000</f>
        <v>743.89245833855307</v>
      </c>
      <c r="X25" s="1129">
        <f>SUM(X22:X24)</f>
        <v>213.50040699597247</v>
      </c>
      <c r="Y25" s="1129">
        <f t="shared" si="2"/>
        <v>2.1350040699597246</v>
      </c>
      <c r="Z25" s="1129"/>
      <c r="AA25" s="1129">
        <f>U25-Y25-Z25</f>
        <v>226.887632309308</v>
      </c>
      <c r="AB25" s="2461">
        <f>W25/$G$68</f>
        <v>0.9470000942651754</v>
      </c>
      <c r="AC25" s="1129">
        <f t="shared" ref="AC25:AC36" si="5">AD25/D25*10</f>
        <v>0.28532528922161782</v>
      </c>
      <c r="AD25" s="1129">
        <f>R25*0.04</f>
        <v>8.7024379107227094</v>
      </c>
      <c r="AE25" s="2462">
        <f t="shared" ref="AE25:AE65" si="6">W25+AC25</f>
        <v>744.17778362777472</v>
      </c>
      <c r="AF25" s="1096"/>
    </row>
    <row r="26" spans="1:32" ht="25.5" customHeight="1">
      <c r="A26" s="1024">
        <v>3</v>
      </c>
      <c r="B26" s="1021" t="s">
        <v>4085</v>
      </c>
      <c r="C26" s="1024" t="s">
        <v>1496</v>
      </c>
      <c r="D26" s="1994">
        <f>'T-1'!O21</f>
        <v>121.50265799877999</v>
      </c>
      <c r="E26" s="1096"/>
      <c r="F26" s="1125">
        <f>'T-1'!M21</f>
        <v>32905</v>
      </c>
      <c r="G26" s="1125">
        <f>'T-1'!N21</f>
        <v>141558</v>
      </c>
      <c r="H26" s="2462">
        <f t="shared" ref="H26:H36" si="7">G26-F26</f>
        <v>108653</v>
      </c>
      <c r="I26" s="1125"/>
      <c r="J26" s="1176">
        <v>150</v>
      </c>
      <c r="K26" s="1176"/>
      <c r="L26" s="1176">
        <v>20</v>
      </c>
      <c r="M26" s="1176">
        <v>10</v>
      </c>
      <c r="N26" s="1125"/>
      <c r="O26" s="1096"/>
      <c r="P26" s="2459">
        <f t="shared" si="3"/>
        <v>167.23053663584068</v>
      </c>
      <c r="Q26" s="15"/>
      <c r="R26" s="27">
        <f t="shared" si="1"/>
        <v>18.225398699816999</v>
      </c>
      <c r="S26" s="2458">
        <f t="shared" ref="S26:S36" si="8">(F26*L26+H26*M26)*12/10000000</f>
        <v>2.093556</v>
      </c>
      <c r="T26" s="1096"/>
      <c r="U26" s="1129">
        <f t="shared" ref="U26:U36" si="9">Q26+R26+S26+T26</f>
        <v>20.318954699816999</v>
      </c>
      <c r="V26" s="2458">
        <v>0.1</v>
      </c>
      <c r="W26" s="2462">
        <f t="shared" si="4"/>
        <v>161.23053663584071</v>
      </c>
      <c r="X26" s="1129">
        <f>D26*0.6</f>
        <v>72.901594799267997</v>
      </c>
      <c r="Y26" s="1129">
        <f t="shared" si="2"/>
        <v>0.72901594799267999</v>
      </c>
      <c r="Z26" s="1129"/>
      <c r="AA26" s="1129">
        <f t="shared" ref="AA26:AA36" si="10">U26-Y26-Z26</f>
        <v>19.58993875182432</v>
      </c>
      <c r="AB26" s="2461">
        <f t="shared" ref="AB26:AB37" si="11">W26/$G$68</f>
        <v>0.20525189048640322</v>
      </c>
      <c r="AC26" s="1129">
        <f t="shared" si="5"/>
        <v>0.03</v>
      </c>
      <c r="AD26" s="1129">
        <f>R26*0.02</f>
        <v>0.36450797399634</v>
      </c>
      <c r="AE26" s="2462">
        <f t="shared" si="6"/>
        <v>161.26053663584071</v>
      </c>
      <c r="AF26" s="1096"/>
    </row>
    <row r="27" spans="1:32" ht="25.5" customHeight="1">
      <c r="A27" s="1024">
        <f>A26+1</f>
        <v>4</v>
      </c>
      <c r="B27" s="1021" t="s">
        <v>4086</v>
      </c>
      <c r="C27" s="1024" t="s">
        <v>1496</v>
      </c>
      <c r="D27" s="1994">
        <f>'T-1'!O22</f>
        <v>20.88849382415</v>
      </c>
      <c r="E27" s="1125"/>
      <c r="F27" s="1125">
        <f>'T-1'!M22</f>
        <v>1134</v>
      </c>
      <c r="G27" s="1125">
        <f>'T-1'!N22</f>
        <v>6369</v>
      </c>
      <c r="H27" s="2462">
        <f t="shared" si="7"/>
        <v>5235</v>
      </c>
      <c r="I27" s="1125"/>
      <c r="J27" s="1176">
        <v>160</v>
      </c>
      <c r="K27" s="1176"/>
      <c r="L27" s="1176">
        <v>20</v>
      </c>
      <c r="M27" s="1176">
        <v>10</v>
      </c>
      <c r="N27" s="1125"/>
      <c r="O27" s="1096"/>
      <c r="P27" s="2459">
        <f t="shared" si="3"/>
        <v>164.31031556214484</v>
      </c>
      <c r="Q27" s="15"/>
      <c r="R27" s="27">
        <f t="shared" si="1"/>
        <v>3.3421590118640001</v>
      </c>
      <c r="S27" s="2458">
        <f t="shared" si="8"/>
        <v>9.0036000000000005E-2</v>
      </c>
      <c r="T27" s="1096"/>
      <c r="U27" s="1129">
        <f t="shared" si="9"/>
        <v>3.4321950118640001</v>
      </c>
      <c r="V27" s="2458">
        <v>0.1</v>
      </c>
      <c r="W27" s="2462">
        <f t="shared" si="4"/>
        <v>158.31031556214484</v>
      </c>
      <c r="X27" s="1129">
        <f>D27*0.6</f>
        <v>12.533096294489999</v>
      </c>
      <c r="Y27" s="1129">
        <f t="shared" si="2"/>
        <v>0.12533096294489998</v>
      </c>
      <c r="Z27" s="1129"/>
      <c r="AA27" s="1129">
        <f t="shared" si="10"/>
        <v>3.3068640489190999</v>
      </c>
      <c r="AB27" s="2461">
        <f t="shared" si="11"/>
        <v>0.20153435094010694</v>
      </c>
      <c r="AC27" s="1129">
        <f t="shared" si="5"/>
        <v>3.2000000000000001E-2</v>
      </c>
      <c r="AD27" s="1129">
        <f>R27*0.02</f>
        <v>6.6843180237280003E-2</v>
      </c>
      <c r="AE27" s="2462">
        <f t="shared" si="6"/>
        <v>158.34231556214485</v>
      </c>
      <c r="AF27" s="1096"/>
    </row>
    <row r="28" spans="1:32" ht="25.5" customHeight="1">
      <c r="A28" s="1024">
        <f t="shared" ref="A28:A36" si="12">A27+1</f>
        <v>5</v>
      </c>
      <c r="B28" s="1021" t="s">
        <v>4087</v>
      </c>
      <c r="C28" s="1024" t="s">
        <v>1496</v>
      </c>
      <c r="D28" s="1994">
        <f>'T-1'!O23</f>
        <v>1.7956377379999999</v>
      </c>
      <c r="E28" s="1096"/>
      <c r="F28" s="1125">
        <f>'T-1'!M23</f>
        <v>72</v>
      </c>
      <c r="G28" s="1125">
        <f>'T-1'!N23</f>
        <v>770</v>
      </c>
      <c r="H28" s="2462">
        <f t="shared" si="7"/>
        <v>698</v>
      </c>
      <c r="I28" s="1125"/>
      <c r="J28" s="1176">
        <v>770</v>
      </c>
      <c r="K28" s="1176"/>
      <c r="L28" s="1176">
        <v>80</v>
      </c>
      <c r="M28" s="1176">
        <v>50</v>
      </c>
      <c r="N28" s="1125"/>
      <c r="O28" s="1096"/>
      <c r="P28" s="2459">
        <f t="shared" si="3"/>
        <v>797.17251869207485</v>
      </c>
      <c r="Q28" s="15"/>
      <c r="R28" s="27">
        <f t="shared" si="1"/>
        <v>1.3826410582599999</v>
      </c>
      <c r="S28" s="2458">
        <f t="shared" si="8"/>
        <v>4.8792000000000002E-2</v>
      </c>
      <c r="T28" s="1096"/>
      <c r="U28" s="1129">
        <f t="shared" si="9"/>
        <v>1.4314330582599999</v>
      </c>
      <c r="V28" s="2458">
        <v>0.1</v>
      </c>
      <c r="W28" s="2462">
        <f t="shared" si="4"/>
        <v>791.17251869207485</v>
      </c>
      <c r="X28" s="1129">
        <f>D28*0.6</f>
        <v>1.0773826428</v>
      </c>
      <c r="Y28" s="1129">
        <f t="shared" si="2"/>
        <v>1.0773826428E-2</v>
      </c>
      <c r="Z28" s="1129"/>
      <c r="AA28" s="1129">
        <f t="shared" si="10"/>
        <v>1.4206592318319999</v>
      </c>
      <c r="AB28" s="2461">
        <f t="shared" si="11"/>
        <v>1.0071891997061007</v>
      </c>
      <c r="AC28" s="1129">
        <f t="shared" si="5"/>
        <v>0.308</v>
      </c>
      <c r="AD28" s="1129">
        <f t="shared" ref="AD28:AD35" si="13">R28*0.04</f>
        <v>5.5305642330400001E-2</v>
      </c>
      <c r="AE28" s="2462">
        <f t="shared" si="6"/>
        <v>791.48051869207484</v>
      </c>
      <c r="AF28" s="1096"/>
    </row>
    <row r="29" spans="1:32" ht="25.5" customHeight="1">
      <c r="A29" s="1024">
        <f t="shared" si="12"/>
        <v>6</v>
      </c>
      <c r="B29" s="1021" t="s">
        <v>539</v>
      </c>
      <c r="C29" s="1024" t="s">
        <v>1496</v>
      </c>
      <c r="D29" s="1994">
        <f>'T-1'!O24</f>
        <v>34.678076047899999</v>
      </c>
      <c r="E29" s="1125"/>
      <c r="F29" s="1125">
        <f>'T-1'!M24</f>
        <v>6236</v>
      </c>
      <c r="G29" s="1125">
        <f>'T-1'!N24</f>
        <v>15157</v>
      </c>
      <c r="H29" s="2462">
        <f t="shared" si="7"/>
        <v>8921</v>
      </c>
      <c r="I29" s="1125"/>
      <c r="J29" s="1176">
        <v>620</v>
      </c>
      <c r="K29" s="1176"/>
      <c r="L29" s="1176">
        <v>20</v>
      </c>
      <c r="M29" s="1176">
        <v>15</v>
      </c>
      <c r="N29" s="1125"/>
      <c r="O29" s="1096"/>
      <c r="P29" s="2459">
        <f t="shared" si="3"/>
        <v>628.94634406970761</v>
      </c>
      <c r="Q29" s="15"/>
      <c r="R29" s="27">
        <f t="shared" si="1"/>
        <v>21.500407149697999</v>
      </c>
      <c r="S29" s="2458">
        <f t="shared" si="8"/>
        <v>0.31024200000000002</v>
      </c>
      <c r="T29" s="1096"/>
      <c r="U29" s="1129">
        <f t="shared" si="9"/>
        <v>21.810649149697998</v>
      </c>
      <c r="V29" s="2458"/>
      <c r="W29" s="2462">
        <f t="shared" si="4"/>
        <v>625.17266600528933</v>
      </c>
      <c r="X29" s="2464"/>
      <c r="Y29" s="1129">
        <f t="shared" si="2"/>
        <v>0</v>
      </c>
      <c r="Z29" s="1129">
        <f>U29*0.6*0.01</f>
        <v>0.13086389489818798</v>
      </c>
      <c r="AA29" s="1129">
        <f t="shared" si="10"/>
        <v>21.67978525479981</v>
      </c>
      <c r="AB29" s="2461">
        <f t="shared" si="11"/>
        <v>0.79586580963773823</v>
      </c>
      <c r="AC29" s="1129">
        <f t="shared" si="5"/>
        <v>0.248</v>
      </c>
      <c r="AD29" s="1129">
        <f t="shared" si="13"/>
        <v>0.86001628598792002</v>
      </c>
      <c r="AE29" s="2462">
        <f t="shared" si="6"/>
        <v>625.42066600528938</v>
      </c>
      <c r="AF29" s="1096"/>
    </row>
    <row r="30" spans="1:32" ht="25.5" customHeight="1">
      <c r="A30" s="1024">
        <f t="shared" si="12"/>
        <v>7</v>
      </c>
      <c r="B30" s="1021" t="s">
        <v>4088</v>
      </c>
      <c r="C30" s="1024" t="s">
        <v>1496</v>
      </c>
      <c r="D30" s="1994">
        <f>'T-1'!O25</f>
        <v>14.536469326299997</v>
      </c>
      <c r="E30" s="1125"/>
      <c r="F30" s="1125">
        <f>'T-1'!M25</f>
        <v>2685</v>
      </c>
      <c r="G30" s="1125">
        <f>'T-1'!N25</f>
        <v>31145</v>
      </c>
      <c r="H30" s="2462">
        <f t="shared" si="7"/>
        <v>28460</v>
      </c>
      <c r="I30" s="1125"/>
      <c r="J30" s="1176">
        <v>620</v>
      </c>
      <c r="K30" s="1176"/>
      <c r="L30" s="1176">
        <v>80</v>
      </c>
      <c r="M30" s="1176">
        <v>35</v>
      </c>
      <c r="N30" s="1125"/>
      <c r="O30" s="1096"/>
      <c r="P30" s="2459">
        <f t="shared" si="3"/>
        <v>714.96099928962974</v>
      </c>
      <c r="Q30" s="15"/>
      <c r="R30" s="27">
        <f>D30*J30/1000-D30/4*0.2/10</f>
        <v>8.9399286356744962</v>
      </c>
      <c r="S30" s="2458">
        <f t="shared" si="8"/>
        <v>1.4530799999999999</v>
      </c>
      <c r="T30" s="1096"/>
      <c r="U30" s="1129">
        <f t="shared" si="9"/>
        <v>10.393008635674496</v>
      </c>
      <c r="V30" s="2458">
        <v>0.1</v>
      </c>
      <c r="W30" s="2462">
        <f t="shared" si="4"/>
        <v>705.96099928962974</v>
      </c>
      <c r="X30" s="1129">
        <f>D30*0.9</f>
        <v>13.082822393669998</v>
      </c>
      <c r="Y30" s="1129">
        <f t="shared" si="2"/>
        <v>0.13082822393669999</v>
      </c>
      <c r="Z30" s="1129"/>
      <c r="AA30" s="1129">
        <f t="shared" si="10"/>
        <v>10.262180411737797</v>
      </c>
      <c r="AB30" s="2461">
        <f t="shared" si="11"/>
        <v>0.89871207239817863</v>
      </c>
      <c r="AC30" s="1129">
        <f t="shared" si="5"/>
        <v>0.30749999999999994</v>
      </c>
      <c r="AD30" s="1129">
        <f>R30*0.05</f>
        <v>0.44699643178372483</v>
      </c>
      <c r="AE30" s="2462">
        <f t="shared" si="6"/>
        <v>706.26849928962974</v>
      </c>
      <c r="AF30" s="1096"/>
    </row>
    <row r="31" spans="1:32" ht="25.5" customHeight="1">
      <c r="A31" s="1024">
        <f t="shared" si="12"/>
        <v>8</v>
      </c>
      <c r="B31" s="1021" t="s">
        <v>4089</v>
      </c>
      <c r="C31" s="1024" t="s">
        <v>1496</v>
      </c>
      <c r="D31" s="1994">
        <f>'T-1'!O26</f>
        <v>28.933550654099999</v>
      </c>
      <c r="E31" s="1125"/>
      <c r="F31" s="1125">
        <f>'T-1'!M26</f>
        <v>1114</v>
      </c>
      <c r="G31" s="1125">
        <f>'T-1'!N26</f>
        <v>47518.93</v>
      </c>
      <c r="H31" s="2462">
        <f t="shared" si="7"/>
        <v>46404.93</v>
      </c>
      <c r="I31" s="1125"/>
      <c r="J31" s="1176">
        <v>620</v>
      </c>
      <c r="K31" s="1176"/>
      <c r="L31" s="1176">
        <v>100</v>
      </c>
      <c r="M31" s="1176">
        <v>80</v>
      </c>
      <c r="N31" s="1125"/>
      <c r="O31" s="1096"/>
      <c r="P31" s="2459">
        <f t="shared" si="3"/>
        <v>773.58935997368792</v>
      </c>
      <c r="Q31" s="15"/>
      <c r="R31" s="27">
        <f>D31*J31/1000-D31/4*0.2/10</f>
        <v>17.794133652271498</v>
      </c>
      <c r="S31" s="2458">
        <f t="shared" si="8"/>
        <v>4.5885532799999993</v>
      </c>
      <c r="T31" s="1096"/>
      <c r="U31" s="1129">
        <f t="shared" si="9"/>
        <v>22.382686932271497</v>
      </c>
      <c r="V31" s="2458"/>
      <c r="W31" s="2462">
        <f t="shared" si="4"/>
        <v>768.94782381384573</v>
      </c>
      <c r="X31" s="2464"/>
      <c r="Y31" s="1129">
        <f t="shared" si="2"/>
        <v>0</v>
      </c>
      <c r="Z31" s="1129">
        <f>U31*0.6*0.01</f>
        <v>0.134296121593629</v>
      </c>
      <c r="AA31" s="1129">
        <f t="shared" si="10"/>
        <v>22.248390810677869</v>
      </c>
      <c r="AB31" s="2461">
        <f t="shared" si="11"/>
        <v>0.97889641637596092</v>
      </c>
      <c r="AC31" s="1129">
        <f t="shared" si="5"/>
        <v>0.49199999999999999</v>
      </c>
      <c r="AD31" s="1129">
        <f>R31*0.08</f>
        <v>1.4235306921817199</v>
      </c>
      <c r="AE31" s="2462">
        <f t="shared" si="6"/>
        <v>769.43982381384569</v>
      </c>
      <c r="AF31" s="1096"/>
    </row>
    <row r="32" spans="1:32" ht="25.5" customHeight="1">
      <c r="A32" s="1024">
        <f t="shared" si="12"/>
        <v>9</v>
      </c>
      <c r="B32" s="1021" t="s">
        <v>4090</v>
      </c>
      <c r="C32" s="1024" t="s">
        <v>1496</v>
      </c>
      <c r="D32" s="1994">
        <f>'T-1'!O27</f>
        <v>48.002167556800003</v>
      </c>
      <c r="E32" s="1125"/>
      <c r="F32" s="1125">
        <f>'T-1'!M27</f>
        <v>15994</v>
      </c>
      <c r="G32" s="1125">
        <f>'T-1'!N27</f>
        <v>41791.39</v>
      </c>
      <c r="H32" s="2462">
        <f t="shared" si="7"/>
        <v>25797.39</v>
      </c>
      <c r="I32" s="1125"/>
      <c r="J32" s="1176">
        <v>620</v>
      </c>
      <c r="K32" s="1176"/>
      <c r="L32" s="1176">
        <v>50</v>
      </c>
      <c r="M32" s="1176">
        <v>50</v>
      </c>
      <c r="N32" s="1125"/>
      <c r="O32" s="1096"/>
      <c r="P32" s="2459">
        <f t="shared" si="3"/>
        <v>667.23687861663643</v>
      </c>
      <c r="Q32" s="15"/>
      <c r="R32" s="27">
        <f>D32*J32/1000-D32/4*0.2/10</f>
        <v>29.521333047432005</v>
      </c>
      <c r="S32" s="2458">
        <f t="shared" si="8"/>
        <v>2.5074833999999999</v>
      </c>
      <c r="T32" s="1096"/>
      <c r="U32" s="1129">
        <f t="shared" si="9"/>
        <v>32.028816447432007</v>
      </c>
      <c r="V32" s="1174" t="s">
        <v>942</v>
      </c>
      <c r="W32" s="2462">
        <f t="shared" si="4"/>
        <v>663.2334573449366</v>
      </c>
      <c r="X32" s="2464"/>
      <c r="Y32" s="1129">
        <f t="shared" si="2"/>
        <v>0</v>
      </c>
      <c r="Z32" s="1129">
        <f>U32*0.6*0.01</f>
        <v>0.19217289868459206</v>
      </c>
      <c r="AA32" s="1129">
        <f t="shared" si="10"/>
        <v>31.836643548747414</v>
      </c>
      <c r="AB32" s="2461">
        <f t="shared" si="11"/>
        <v>0.84431847585639397</v>
      </c>
      <c r="AC32" s="1129">
        <f t="shared" si="5"/>
        <v>0.24600000000000005</v>
      </c>
      <c r="AD32" s="1129">
        <f t="shared" si="13"/>
        <v>1.1808533218972803</v>
      </c>
      <c r="AE32" s="2462">
        <f t="shared" si="6"/>
        <v>663.47945734493658</v>
      </c>
      <c r="AF32" s="1096"/>
    </row>
    <row r="33" spans="1:32" ht="25.5" customHeight="1">
      <c r="A33" s="1024">
        <f t="shared" si="12"/>
        <v>10</v>
      </c>
      <c r="B33" s="1021" t="s">
        <v>4091</v>
      </c>
      <c r="C33" s="1024" t="s">
        <v>1496</v>
      </c>
      <c r="D33" s="1994">
        <f>'T-1'!O28</f>
        <v>68.553638419539993</v>
      </c>
      <c r="E33" s="1125"/>
      <c r="F33" s="1125">
        <f>'T-1'!M28</f>
        <v>5107</v>
      </c>
      <c r="G33" s="1125">
        <f>'T-1'!N28</f>
        <v>33126.83</v>
      </c>
      <c r="H33" s="2462">
        <f t="shared" si="7"/>
        <v>28019.83</v>
      </c>
      <c r="I33" s="1125"/>
      <c r="J33" s="1176">
        <v>620</v>
      </c>
      <c r="K33" s="1176"/>
      <c r="L33" s="1176">
        <v>50</v>
      </c>
      <c r="M33" s="1176">
        <v>50</v>
      </c>
      <c r="N33" s="1125"/>
      <c r="O33" s="1096"/>
      <c r="P33" s="2459">
        <f t="shared" si="3"/>
        <v>643.99349831494101</v>
      </c>
      <c r="Q33" s="15"/>
      <c r="R33" s="27">
        <f>D33*J33/1000-D33/4*0.2/10</f>
        <v>42.160487628017101</v>
      </c>
      <c r="S33" s="2458">
        <f t="shared" si="8"/>
        <v>1.9876098</v>
      </c>
      <c r="T33" s="1096"/>
      <c r="U33" s="1129">
        <f t="shared" si="9"/>
        <v>44.148097428017103</v>
      </c>
      <c r="V33" s="1174">
        <v>0.1</v>
      </c>
      <c r="W33" s="2462">
        <f t="shared" si="4"/>
        <v>636.99349831494089</v>
      </c>
      <c r="X33" s="1129">
        <f>D33*0.7</f>
        <v>47.987546893677994</v>
      </c>
      <c r="Y33" s="1129">
        <f t="shared" si="2"/>
        <v>0.47987546893677996</v>
      </c>
      <c r="Z33" s="1129"/>
      <c r="AA33" s="1129">
        <f t="shared" si="10"/>
        <v>43.66822195908032</v>
      </c>
      <c r="AB33" s="2461">
        <f t="shared" si="11"/>
        <v>0.81091412634810633</v>
      </c>
      <c r="AC33" s="1129">
        <f t="shared" si="5"/>
        <v>0.24600000000000005</v>
      </c>
      <c r="AD33" s="1129">
        <f t="shared" si="13"/>
        <v>1.6864195051206841</v>
      </c>
      <c r="AE33" s="2462">
        <f t="shared" si="6"/>
        <v>637.23949831494087</v>
      </c>
      <c r="AF33" s="1096"/>
    </row>
    <row r="34" spans="1:32" ht="25.5" customHeight="1">
      <c r="A34" s="1024">
        <f t="shared" si="12"/>
        <v>11</v>
      </c>
      <c r="B34" s="1021" t="s">
        <v>4092</v>
      </c>
      <c r="C34" s="1024" t="s">
        <v>1496</v>
      </c>
      <c r="D34" s="1994">
        <f>'T-1'!O29</f>
        <v>2.2476946512999998</v>
      </c>
      <c r="E34" s="1125"/>
      <c r="F34" s="1125">
        <f>'T-1'!M29</f>
        <v>10</v>
      </c>
      <c r="G34" s="1125">
        <f>'T-1'!N29</f>
        <v>1042</v>
      </c>
      <c r="H34" s="2462">
        <f t="shared" si="7"/>
        <v>1032</v>
      </c>
      <c r="I34" s="1125">
        <v>200</v>
      </c>
      <c r="J34" s="1176">
        <v>620</v>
      </c>
      <c r="K34" s="1176"/>
      <c r="L34" s="1176"/>
      <c r="M34" s="1176"/>
      <c r="N34" s="1125">
        <v>30</v>
      </c>
      <c r="O34" s="1096"/>
      <c r="P34" s="2459">
        <f t="shared" si="3"/>
        <v>720.50000928848749</v>
      </c>
      <c r="Q34" s="27">
        <f>G34/0.9*I34*0.8*12/10000000</f>
        <v>0.22229333333333334</v>
      </c>
      <c r="R34" s="27">
        <f t="shared" si="1"/>
        <v>1.3935706838059998</v>
      </c>
      <c r="S34" s="2458">
        <f t="shared" si="8"/>
        <v>0</v>
      </c>
      <c r="T34" s="1129">
        <f>F34*N34*12/1000000</f>
        <v>3.5999999999999999E-3</v>
      </c>
      <c r="U34" s="1129">
        <f t="shared" si="9"/>
        <v>1.6194640171393333</v>
      </c>
      <c r="V34" s="1174">
        <v>0.1</v>
      </c>
      <c r="W34" s="2462">
        <f t="shared" si="4"/>
        <v>710.50000928848749</v>
      </c>
      <c r="X34" s="1129">
        <f>D34</f>
        <v>2.2476946512999998</v>
      </c>
      <c r="Y34" s="1129">
        <f t="shared" si="2"/>
        <v>2.2476946512999998E-2</v>
      </c>
      <c r="Z34" s="1129"/>
      <c r="AA34" s="1129">
        <f t="shared" si="10"/>
        <v>1.5969870706263334</v>
      </c>
      <c r="AB34" s="2461">
        <f t="shared" si="11"/>
        <v>0.9044903846375435</v>
      </c>
      <c r="AC34" s="1129">
        <f t="shared" si="5"/>
        <v>0.248</v>
      </c>
      <c r="AD34" s="1129">
        <f t="shared" si="13"/>
        <v>5.5742827352239996E-2</v>
      </c>
      <c r="AE34" s="2462">
        <f t="shared" si="6"/>
        <v>710.74800928848754</v>
      </c>
      <c r="AF34" s="1096"/>
    </row>
    <row r="35" spans="1:32" ht="25.5" customHeight="1">
      <c r="A35" s="1024">
        <f t="shared" si="12"/>
        <v>12</v>
      </c>
      <c r="B35" s="1021" t="s">
        <v>4093</v>
      </c>
      <c r="C35" s="1024" t="s">
        <v>1496</v>
      </c>
      <c r="D35" s="1994">
        <f>'T-1'!O30</f>
        <v>0.8</v>
      </c>
      <c r="E35" s="1125"/>
      <c r="F35" s="1125">
        <f>'T-1'!M30</f>
        <v>18</v>
      </c>
      <c r="G35" s="1125">
        <f>'T-1'!N30</f>
        <v>562.29999999999995</v>
      </c>
      <c r="H35" s="2462">
        <f t="shared" si="7"/>
        <v>544.29999999999995</v>
      </c>
      <c r="I35" s="1125">
        <v>200</v>
      </c>
      <c r="J35" s="1176">
        <v>620</v>
      </c>
      <c r="K35" s="1176"/>
      <c r="L35" s="1176"/>
      <c r="M35" s="1176"/>
      <c r="N35" s="1125">
        <v>30</v>
      </c>
      <c r="O35" s="1096"/>
      <c r="P35" s="2459">
        <f t="shared" si="3"/>
        <v>778.04666666666662</v>
      </c>
      <c r="Q35" s="27">
        <f>G35/0.9*I35*0.8*12/10000000</f>
        <v>0.11995733333333333</v>
      </c>
      <c r="R35" s="27">
        <f t="shared" si="1"/>
        <v>0.496</v>
      </c>
      <c r="S35" s="2458">
        <f t="shared" si="8"/>
        <v>0</v>
      </c>
      <c r="T35" s="1129">
        <f>F35*N35*12/1000000</f>
        <v>6.4799999999999996E-3</v>
      </c>
      <c r="U35" s="1129">
        <f t="shared" si="9"/>
        <v>0.6224373333333334</v>
      </c>
      <c r="V35" s="1174"/>
      <c r="W35" s="2462">
        <f t="shared" si="4"/>
        <v>770.26620000000003</v>
      </c>
      <c r="X35" s="2464"/>
      <c r="Y35" s="1129">
        <f t="shared" si="2"/>
        <v>0</v>
      </c>
      <c r="Z35" s="1129">
        <f>U35*0.01</f>
        <v>6.2243733333333341E-3</v>
      </c>
      <c r="AA35" s="1129">
        <f t="shared" si="10"/>
        <v>0.61621296000000003</v>
      </c>
      <c r="AB35" s="2461">
        <f t="shared" si="11"/>
        <v>0.98057475355839929</v>
      </c>
      <c r="AC35" s="1129">
        <f t="shared" si="5"/>
        <v>0.248</v>
      </c>
      <c r="AD35" s="1129">
        <f t="shared" si="13"/>
        <v>1.984E-2</v>
      </c>
      <c r="AE35" s="2462">
        <f t="shared" si="6"/>
        <v>770.51420000000007</v>
      </c>
      <c r="AF35" s="1096"/>
    </row>
    <row r="36" spans="1:32" ht="25.5" customHeight="1">
      <c r="A36" s="1024">
        <f t="shared" si="12"/>
        <v>13</v>
      </c>
      <c r="B36" s="1021" t="s">
        <v>890</v>
      </c>
      <c r="C36" s="1024" t="s">
        <v>1496</v>
      </c>
      <c r="D36" s="1994">
        <f>'T-1'!O31</f>
        <v>0</v>
      </c>
      <c r="E36" s="1096"/>
      <c r="F36" s="1125">
        <f>'T-1'!M31</f>
        <v>0</v>
      </c>
      <c r="G36" s="1125">
        <f>'T-1'!N31</f>
        <v>0</v>
      </c>
      <c r="H36" s="2462">
        <f t="shared" si="7"/>
        <v>0</v>
      </c>
      <c r="I36" s="1125">
        <v>200</v>
      </c>
      <c r="J36" s="1176">
        <v>620</v>
      </c>
      <c r="K36" s="1176"/>
      <c r="L36" s="1177"/>
      <c r="M36" s="1177"/>
      <c r="N36" s="1125">
        <v>30</v>
      </c>
      <c r="O36" s="1096"/>
      <c r="P36" s="2459" t="e">
        <f t="shared" si="3"/>
        <v>#DIV/0!</v>
      </c>
      <c r="Q36" s="27">
        <f>G36/0.9*I36*0.8*12/10000000</f>
        <v>0</v>
      </c>
      <c r="R36" s="27">
        <f t="shared" si="1"/>
        <v>0</v>
      </c>
      <c r="S36" s="2458">
        <f t="shared" si="8"/>
        <v>0</v>
      </c>
      <c r="T36" s="1129">
        <f>F36*N36*12/1000000</f>
        <v>0</v>
      </c>
      <c r="U36" s="1129">
        <f t="shared" si="9"/>
        <v>0</v>
      </c>
      <c r="V36" s="1174"/>
      <c r="W36" s="2462" t="e">
        <f t="shared" si="4"/>
        <v>#DIV/0!</v>
      </c>
      <c r="X36" s="1096"/>
      <c r="Y36" s="1129">
        <f t="shared" si="2"/>
        <v>0</v>
      </c>
      <c r="Z36" s="1129">
        <f>U36*0.01</f>
        <v>0</v>
      </c>
      <c r="AA36" s="1129">
        <f t="shared" si="10"/>
        <v>0</v>
      </c>
      <c r="AB36" s="2461" t="e">
        <f t="shared" si="11"/>
        <v>#DIV/0!</v>
      </c>
      <c r="AC36" s="1129" t="e">
        <f t="shared" si="5"/>
        <v>#DIV/0!</v>
      </c>
      <c r="AD36" s="1129">
        <f>R36*0.06</f>
        <v>0</v>
      </c>
      <c r="AE36" s="2462" t="e">
        <f t="shared" si="6"/>
        <v>#DIV/0!</v>
      </c>
      <c r="AF36" s="1096"/>
    </row>
    <row r="37" spans="1:32" ht="25.5" customHeight="1">
      <c r="A37" s="1024"/>
      <c r="B37" s="2465" t="s">
        <v>4094</v>
      </c>
      <c r="C37" s="2465"/>
      <c r="D37" s="2466">
        <f>D20+D25+SUM(D26:D36)</f>
        <v>2552.775448917188</v>
      </c>
      <c r="E37" s="1096"/>
      <c r="F37" s="2460">
        <f>F20+F25+SUM(F26:F36)</f>
        <v>2422870</v>
      </c>
      <c r="G37" s="2460">
        <f>G20+G25+SUM(G26:G36)</f>
        <v>2690230.2202000003</v>
      </c>
      <c r="H37" s="2460">
        <f>H20+H25+SUM(H26:H36)</f>
        <v>991538.53420000011</v>
      </c>
      <c r="I37" s="1125"/>
      <c r="J37" s="1180"/>
      <c r="K37" s="1180"/>
      <c r="L37" s="1177"/>
      <c r="M37" s="1177"/>
      <c r="N37" s="1125"/>
      <c r="O37" s="1096"/>
      <c r="P37" s="2470">
        <f t="shared" si="3"/>
        <v>501.32838294532922</v>
      </c>
      <c r="Q37" s="2463">
        <f>Q20+Q25+SUM(Q26:Q36)</f>
        <v>0.3422506666666667</v>
      </c>
      <c r="R37" s="2463">
        <f>R20+R25+SUM(R26:R36)</f>
        <v>1180.3030917903241</v>
      </c>
      <c r="S37" s="1126">
        <f>S20+S25+SUM(S26:S36)</f>
        <v>99.123365371199995</v>
      </c>
      <c r="T37" s="1126">
        <f>T20+T25+SUM(T26:T36)</f>
        <v>1.0079999999999999E-2</v>
      </c>
      <c r="U37" s="1126">
        <f>U20+U25+SUM(U26:U36)</f>
        <v>1279.7787878281906</v>
      </c>
      <c r="V37" s="1180"/>
      <c r="W37" s="2460">
        <f t="shared" si="4"/>
        <v>496.2514404344933</v>
      </c>
      <c r="X37" s="1126">
        <f>X20+X25+SUM(X26:X36)</f>
        <v>1249.6736908716034</v>
      </c>
      <c r="Y37" s="1129">
        <f>X37/100</f>
        <v>12.496736908716034</v>
      </c>
      <c r="Z37" s="1126">
        <f>Z20+Z25+SUM(Z26:Z36)</f>
        <v>0.46355728850974237</v>
      </c>
      <c r="AA37" s="1126">
        <f>AA20+AA25+SUM(AA26:AA36)</f>
        <v>1266.8184936309649</v>
      </c>
      <c r="AB37" s="2461">
        <f t="shared" si="11"/>
        <v>0.63174475773057925</v>
      </c>
      <c r="AC37" s="1126">
        <f>AD37/D37*10</f>
        <v>0.18639295974900494</v>
      </c>
      <c r="AD37" s="1126">
        <f>AD20+AD25+SUM(AD26:AD36)</f>
        <v>47.581937149826942</v>
      </c>
      <c r="AE37" s="2460">
        <f t="shared" si="6"/>
        <v>496.43783339424232</v>
      </c>
      <c r="AF37" s="1096"/>
    </row>
    <row r="38" spans="1:32" ht="25.5" customHeight="1">
      <c r="A38" s="1021"/>
      <c r="B38" s="2457" t="s">
        <v>1333</v>
      </c>
      <c r="C38" s="1024"/>
      <c r="D38" s="1125"/>
      <c r="E38" s="1125"/>
      <c r="F38" s="1125"/>
      <c r="G38" s="1096"/>
      <c r="H38" s="1096"/>
      <c r="I38" s="1125"/>
      <c r="J38" s="1174"/>
      <c r="K38" s="1174"/>
      <c r="L38" s="1177"/>
      <c r="M38" s="1177"/>
      <c r="N38" s="1125"/>
      <c r="O38" s="1096"/>
      <c r="P38" s="1096"/>
      <c r="Q38" s="15"/>
      <c r="R38" s="15"/>
      <c r="S38" s="1096"/>
      <c r="T38" s="1096"/>
      <c r="U38" s="1096"/>
      <c r="V38" s="1174"/>
      <c r="W38" s="1125"/>
      <c r="X38" s="1096"/>
      <c r="Y38" s="1129"/>
      <c r="Z38" s="1096"/>
      <c r="AA38" s="1125"/>
      <c r="AB38" s="2461"/>
      <c r="AC38" s="1125"/>
      <c r="AD38" s="1125"/>
      <c r="AE38" s="2462"/>
      <c r="AF38" s="1096"/>
    </row>
    <row r="39" spans="1:32" ht="25.5" customHeight="1">
      <c r="A39" s="1024">
        <v>13</v>
      </c>
      <c r="B39" s="1021" t="s">
        <v>1334</v>
      </c>
      <c r="C39" s="1024" t="s">
        <v>169</v>
      </c>
      <c r="D39" s="1994">
        <f>('T-1'!O34)</f>
        <v>6.8</v>
      </c>
      <c r="E39" s="2468"/>
      <c r="F39" s="1125">
        <f>'T-1'!M34</f>
        <v>58</v>
      </c>
      <c r="G39" s="1125">
        <f>'T-1'!N34</f>
        <v>6902.27</v>
      </c>
      <c r="H39" s="2462">
        <f t="shared" ref="H39:H53" si="14">G39-F39</f>
        <v>6844.27</v>
      </c>
      <c r="I39" s="1125">
        <v>20</v>
      </c>
      <c r="J39" s="1176">
        <v>490</v>
      </c>
      <c r="K39" s="1176"/>
      <c r="L39" s="1184"/>
      <c r="M39" s="1184"/>
      <c r="N39" s="1125">
        <v>250</v>
      </c>
      <c r="O39" s="1096"/>
      <c r="P39" s="2459">
        <f t="shared" ref="P39:P54" si="15">U39/D39*1000</f>
        <v>532.24241568627451</v>
      </c>
      <c r="Q39" s="27">
        <f t="shared" ref="Q39:Q49" si="16">G39/0.9*I39*0.8*12/10000000</f>
        <v>0.14724842666666668</v>
      </c>
      <c r="R39" s="27">
        <f>((D39-E39)*J39+E39*K39)/1000-(D39/4*0.2/10)</f>
        <v>3.298</v>
      </c>
      <c r="S39" s="1096"/>
      <c r="T39" s="1129">
        <f t="shared" ref="T39:T53" si="17">F39*N39*12/1000000</f>
        <v>0.17399999999999999</v>
      </c>
      <c r="U39" s="1129">
        <f t="shared" ref="U39:U53" si="18">Q39+R39+S39+T39</f>
        <v>3.6192484266666667</v>
      </c>
      <c r="V39" s="1174">
        <v>0.1</v>
      </c>
      <c r="W39" s="2462">
        <f>AA39/D39*1000</f>
        <v>522.24241568627451</v>
      </c>
      <c r="X39" s="1129">
        <f>D39</f>
        <v>6.8</v>
      </c>
      <c r="Y39" s="1129">
        <f t="shared" ref="Y39:Y65" si="19">X39/100</f>
        <v>6.8000000000000005E-2</v>
      </c>
      <c r="Z39" s="1129"/>
      <c r="AA39" s="1129">
        <f t="shared" ref="AA39:AA53" si="20">U39-Y39-Z39</f>
        <v>3.5512484266666666</v>
      </c>
      <c r="AB39" s="2461">
        <f>W39/$G$69</f>
        <v>1.3015633223994187</v>
      </c>
      <c r="AC39" s="1129">
        <f>AD39/D39*10</f>
        <v>0.38800000000000001</v>
      </c>
      <c r="AD39" s="1129">
        <f>R39*0.08</f>
        <v>0.26384000000000002</v>
      </c>
      <c r="AE39" s="2462">
        <f t="shared" si="6"/>
        <v>522.63041568627455</v>
      </c>
      <c r="AF39" s="1096"/>
    </row>
    <row r="40" spans="1:32" ht="25.5" customHeight="1">
      <c r="A40" s="1024">
        <f>A39+1</f>
        <v>14</v>
      </c>
      <c r="B40" s="1021" t="s">
        <v>4085</v>
      </c>
      <c r="C40" s="1024" t="s">
        <v>169</v>
      </c>
      <c r="D40" s="1994">
        <f>('T-1'!O35)</f>
        <v>4.29</v>
      </c>
      <c r="E40" s="1125"/>
      <c r="F40" s="1125">
        <f>'T-1'!M35</f>
        <v>121</v>
      </c>
      <c r="G40" s="1125">
        <f>'T-1'!N35</f>
        <v>30000</v>
      </c>
      <c r="H40" s="2462">
        <f t="shared" si="14"/>
        <v>29879</v>
      </c>
      <c r="I40" s="1125">
        <v>30</v>
      </c>
      <c r="J40" s="1186">
        <v>140</v>
      </c>
      <c r="K40" s="1186"/>
      <c r="L40" s="1177"/>
      <c r="M40" s="1177"/>
      <c r="N40" s="1125">
        <v>250</v>
      </c>
      <c r="O40" s="1096"/>
      <c r="P40" s="2459"/>
      <c r="Q40" s="27">
        <f t="shared" si="16"/>
        <v>0.96000000000000019</v>
      </c>
      <c r="R40" s="27">
        <f t="shared" ref="R40" si="21">((D40-E40)*J40+E40*K40)/1000-(D40/4*0.1/10)</f>
        <v>0.58987500000000004</v>
      </c>
      <c r="S40" s="1096"/>
      <c r="T40" s="1129">
        <f t="shared" si="17"/>
        <v>0.36299999999999999</v>
      </c>
      <c r="U40" s="1129">
        <f t="shared" si="18"/>
        <v>1.9128750000000001</v>
      </c>
      <c r="V40" s="1187">
        <v>0.1</v>
      </c>
      <c r="W40" s="2462"/>
      <c r="X40" s="1129">
        <f>D40</f>
        <v>4.29</v>
      </c>
      <c r="Y40" s="1129">
        <f t="shared" si="19"/>
        <v>4.2900000000000001E-2</v>
      </c>
      <c r="Z40" s="1129"/>
      <c r="AA40" s="1129">
        <f t="shared" si="20"/>
        <v>1.8699750000000002</v>
      </c>
      <c r="AB40" s="2461">
        <f t="shared" ref="AB40:AB54" si="22">W40/$G$69</f>
        <v>0</v>
      </c>
      <c r="AC40" s="1125"/>
      <c r="AD40" s="1125"/>
      <c r="AE40" s="2462">
        <f t="shared" si="6"/>
        <v>0</v>
      </c>
      <c r="AF40" s="1096"/>
    </row>
    <row r="41" spans="1:32" ht="25.5" customHeight="1">
      <c r="A41" s="1024">
        <f t="shared" ref="A41:A53" si="23">A40+1</f>
        <v>15</v>
      </c>
      <c r="B41" s="1021" t="s">
        <v>4086</v>
      </c>
      <c r="C41" s="1024" t="s">
        <v>169</v>
      </c>
      <c r="D41" s="1994">
        <f>('T-1'!O36)</f>
        <v>16.748321029999996</v>
      </c>
      <c r="E41" s="1125"/>
      <c r="F41" s="1125">
        <f>'T-1'!M36</f>
        <v>300</v>
      </c>
      <c r="G41" s="1125">
        <f>'T-1'!N36</f>
        <v>22207.37</v>
      </c>
      <c r="H41" s="2462">
        <f t="shared" si="14"/>
        <v>21907.37</v>
      </c>
      <c r="I41" s="1125">
        <v>30</v>
      </c>
      <c r="J41" s="1186">
        <v>150</v>
      </c>
      <c r="K41" s="1186"/>
      <c r="L41" s="1177"/>
      <c r="M41" s="1177"/>
      <c r="N41" s="1125">
        <v>250</v>
      </c>
      <c r="O41" s="1096"/>
      <c r="P41" s="2459">
        <f t="shared" si="15"/>
        <v>241.16700307541217</v>
      </c>
      <c r="Q41" s="27">
        <f t="shared" si="16"/>
        <v>0.71063584000000002</v>
      </c>
      <c r="R41" s="27">
        <f t="shared" ref="R41:R48" si="24">((D41-E41)*J41+E41*K41)/1000-(D41/4*0.2/10)</f>
        <v>2.4285065493499993</v>
      </c>
      <c r="S41" s="1096"/>
      <c r="T41" s="1129">
        <f t="shared" si="17"/>
        <v>0.9</v>
      </c>
      <c r="U41" s="1129">
        <f t="shared" si="18"/>
        <v>4.0391423893499994</v>
      </c>
      <c r="V41" s="1187">
        <v>0.1</v>
      </c>
      <c r="W41" s="2462">
        <f t="shared" ref="W41:W48" si="25">AA41/D41*1000</f>
        <v>231.1670030754122</v>
      </c>
      <c r="X41" s="1129">
        <f>D41</f>
        <v>16.748321029999996</v>
      </c>
      <c r="Y41" s="1129">
        <f t="shared" si="19"/>
        <v>0.16748321029999996</v>
      </c>
      <c r="Z41" s="1129"/>
      <c r="AA41" s="1129">
        <f t="shared" si="20"/>
        <v>3.8716591790499995</v>
      </c>
      <c r="AB41" s="2461">
        <f t="shared" si="22"/>
        <v>0.5761280269749216</v>
      </c>
      <c r="AC41" s="1129">
        <f t="shared" ref="AC41:AC46" si="26">AD41/D41*10</f>
        <v>0.11599999999999999</v>
      </c>
      <c r="AD41" s="1129">
        <f t="shared" ref="AD41:AD46" si="27">R41*0.08</f>
        <v>0.19428052394799994</v>
      </c>
      <c r="AE41" s="2462">
        <f t="shared" si="6"/>
        <v>231.28300307541221</v>
      </c>
      <c r="AF41" s="1096"/>
    </row>
    <row r="42" spans="1:32" ht="25.5" customHeight="1">
      <c r="A42" s="1024">
        <f t="shared" si="23"/>
        <v>16</v>
      </c>
      <c r="B42" s="1021" t="s">
        <v>4087</v>
      </c>
      <c r="C42" s="1024" t="s">
        <v>169</v>
      </c>
      <c r="D42" s="1994">
        <f>('T-1'!O37)</f>
        <v>1.75</v>
      </c>
      <c r="E42" s="1125"/>
      <c r="F42" s="1125">
        <f>'T-1'!M37</f>
        <v>15</v>
      </c>
      <c r="G42" s="1125">
        <f>'T-1'!N37</f>
        <v>2187.13</v>
      </c>
      <c r="H42" s="2462">
        <f t="shared" si="14"/>
        <v>2172.13</v>
      </c>
      <c r="I42" s="1125">
        <v>50</v>
      </c>
      <c r="J42" s="1186">
        <v>460</v>
      </c>
      <c r="K42" s="1186"/>
      <c r="L42" s="1177"/>
      <c r="M42" s="1177"/>
      <c r="N42" s="1125">
        <v>250</v>
      </c>
      <c r="O42" s="1096"/>
      <c r="P42" s="2459">
        <f t="shared" si="15"/>
        <v>547.36967619047618</v>
      </c>
      <c r="Q42" s="27">
        <f t="shared" si="16"/>
        <v>0.11664693333333336</v>
      </c>
      <c r="R42" s="27">
        <f t="shared" si="24"/>
        <v>0.79625000000000001</v>
      </c>
      <c r="S42" s="1096"/>
      <c r="T42" s="1129">
        <f t="shared" si="17"/>
        <v>4.4999999999999998E-2</v>
      </c>
      <c r="U42" s="1129">
        <f t="shared" si="18"/>
        <v>0.95789693333333337</v>
      </c>
      <c r="V42" s="1187"/>
      <c r="W42" s="2462">
        <f t="shared" si="25"/>
        <v>541.89597942857154</v>
      </c>
      <c r="X42" s="1096"/>
      <c r="Y42" s="1129">
        <f t="shared" si="19"/>
        <v>0</v>
      </c>
      <c r="Z42" s="1129">
        <f>U42*0.01</f>
        <v>9.5789693333333346E-3</v>
      </c>
      <c r="AA42" s="1129">
        <f t="shared" si="20"/>
        <v>0.94831796400000001</v>
      </c>
      <c r="AB42" s="2461">
        <f t="shared" si="22"/>
        <v>1.350545092077774</v>
      </c>
      <c r="AC42" s="1129">
        <f t="shared" si="26"/>
        <v>0.36399999999999999</v>
      </c>
      <c r="AD42" s="1129">
        <f t="shared" si="27"/>
        <v>6.3700000000000007E-2</v>
      </c>
      <c r="AE42" s="2462">
        <f t="shared" si="6"/>
        <v>542.25997942857157</v>
      </c>
      <c r="AF42" s="1096"/>
    </row>
    <row r="43" spans="1:32" ht="25.5" customHeight="1">
      <c r="A43" s="1024">
        <f t="shared" si="23"/>
        <v>17</v>
      </c>
      <c r="B43" s="1021" t="s">
        <v>4090</v>
      </c>
      <c r="C43" s="1024" t="s">
        <v>169</v>
      </c>
      <c r="D43" s="1994">
        <f>('T-1'!O38)</f>
        <v>24.425999999999998</v>
      </c>
      <c r="E43" s="1125"/>
      <c r="F43" s="1125">
        <f>'T-1'!M38</f>
        <v>134</v>
      </c>
      <c r="G43" s="1125">
        <f>'T-1'!N38</f>
        <v>20356.760000000002</v>
      </c>
      <c r="H43" s="2462">
        <f t="shared" si="14"/>
        <v>20222.760000000002</v>
      </c>
      <c r="I43" s="1125">
        <v>250</v>
      </c>
      <c r="J43" s="1186">
        <v>585</v>
      </c>
      <c r="K43" s="1188">
        <v>475</v>
      </c>
      <c r="L43" s="1177"/>
      <c r="M43" s="1177"/>
      <c r="N43" s="1125">
        <v>250</v>
      </c>
      <c r="O43" s="1096"/>
      <c r="P43" s="2459">
        <f t="shared" si="15"/>
        <v>818.69930947897046</v>
      </c>
      <c r="Q43" s="27">
        <f t="shared" si="16"/>
        <v>5.428469333333334</v>
      </c>
      <c r="R43" s="27">
        <f t="shared" si="24"/>
        <v>14.167079999999999</v>
      </c>
      <c r="S43" s="1096"/>
      <c r="T43" s="1129">
        <f t="shared" si="17"/>
        <v>0.40200000000000002</v>
      </c>
      <c r="U43" s="1129">
        <f t="shared" si="18"/>
        <v>19.997549333333332</v>
      </c>
      <c r="V43" s="1187"/>
      <c r="W43" s="2462">
        <f t="shared" si="25"/>
        <v>810.51231638418074</v>
      </c>
      <c r="X43" s="1096"/>
      <c r="Y43" s="1129">
        <f t="shared" si="19"/>
        <v>0</v>
      </c>
      <c r="Z43" s="1129">
        <f>U43*0.01</f>
        <v>0.19997549333333331</v>
      </c>
      <c r="AA43" s="1129">
        <f t="shared" si="20"/>
        <v>19.797573839999998</v>
      </c>
      <c r="AB43" s="2461">
        <f t="shared" si="22"/>
        <v>2.020006555714867</v>
      </c>
      <c r="AC43" s="1129">
        <f t="shared" si="26"/>
        <v>0.46399999999999997</v>
      </c>
      <c r="AD43" s="1129">
        <f t="shared" si="27"/>
        <v>1.1333663999999999</v>
      </c>
      <c r="AE43" s="2462">
        <f t="shared" si="6"/>
        <v>810.97631638418079</v>
      </c>
      <c r="AF43" s="1096"/>
    </row>
    <row r="44" spans="1:32" ht="25.5" customHeight="1">
      <c r="A44" s="1024">
        <f t="shared" si="23"/>
        <v>18</v>
      </c>
      <c r="B44" s="1021" t="s">
        <v>4095</v>
      </c>
      <c r="C44" s="1024" t="s">
        <v>169</v>
      </c>
      <c r="D44" s="1994">
        <f>('T-1'!O39)</f>
        <v>12.509414705999999</v>
      </c>
      <c r="E44" s="1125"/>
      <c r="F44" s="1125">
        <f>'T-1'!M39</f>
        <v>152</v>
      </c>
      <c r="G44" s="1125">
        <f>'T-1'!N39</f>
        <v>13658.86</v>
      </c>
      <c r="H44" s="2462">
        <f t="shared" si="14"/>
        <v>13506.86</v>
      </c>
      <c r="I44" s="1125">
        <v>250</v>
      </c>
      <c r="J44" s="1186">
        <v>585</v>
      </c>
      <c r="K44" s="1188">
        <v>475</v>
      </c>
      <c r="L44" s="1177"/>
      <c r="M44" s="1177"/>
      <c r="N44" s="1125">
        <v>250</v>
      </c>
      <c r="O44" s="1096"/>
      <c r="P44" s="2459">
        <f t="shared" si="15"/>
        <v>907.62225595582277</v>
      </c>
      <c r="Q44" s="27">
        <f t="shared" si="16"/>
        <v>3.6423626666666666</v>
      </c>
      <c r="R44" s="27">
        <f t="shared" si="24"/>
        <v>7.2554605294799996</v>
      </c>
      <c r="S44" s="1096"/>
      <c r="T44" s="1129">
        <f t="shared" si="17"/>
        <v>0.45600000000000002</v>
      </c>
      <c r="U44" s="1129">
        <f t="shared" si="18"/>
        <v>11.353823196146665</v>
      </c>
      <c r="V44" s="1187">
        <v>0.1</v>
      </c>
      <c r="W44" s="2462">
        <f t="shared" si="25"/>
        <v>907.62225595582277</v>
      </c>
      <c r="X44" s="1096"/>
      <c r="Y44" s="1129">
        <f t="shared" si="19"/>
        <v>0</v>
      </c>
      <c r="Z44" s="1125"/>
      <c r="AA44" s="1129">
        <f t="shared" si="20"/>
        <v>11.353823196146665</v>
      </c>
      <c r="AB44" s="2461">
        <f t="shared" si="22"/>
        <v>2.26202966948432</v>
      </c>
      <c r="AC44" s="1129">
        <f t="shared" si="26"/>
        <v>0.46400000000000002</v>
      </c>
      <c r="AD44" s="1129">
        <f t="shared" si="27"/>
        <v>0.58043684235839998</v>
      </c>
      <c r="AE44" s="2462">
        <f t="shared" si="6"/>
        <v>908.08625595582282</v>
      </c>
      <c r="AF44" s="1096"/>
    </row>
    <row r="45" spans="1:32" ht="25.5" customHeight="1">
      <c r="A45" s="1024">
        <f t="shared" si="23"/>
        <v>19</v>
      </c>
      <c r="B45" s="1021" t="s">
        <v>4093</v>
      </c>
      <c r="C45" s="1024" t="s">
        <v>169</v>
      </c>
      <c r="D45" s="1994">
        <f>('T-1'!O40)</f>
        <v>45.667000000000002</v>
      </c>
      <c r="E45" s="1125"/>
      <c r="F45" s="1125">
        <f>'T-1'!M40</f>
        <v>902</v>
      </c>
      <c r="G45" s="1125">
        <f>'T-1'!N40</f>
        <v>57098.79</v>
      </c>
      <c r="H45" s="2462">
        <f t="shared" si="14"/>
        <v>56196.79</v>
      </c>
      <c r="I45" s="1125">
        <v>250</v>
      </c>
      <c r="J45" s="1186">
        <v>585</v>
      </c>
      <c r="K45" s="1188">
        <v>475</v>
      </c>
      <c r="L45" s="1177"/>
      <c r="M45" s="1177"/>
      <c r="N45" s="1125">
        <v>250</v>
      </c>
      <c r="O45" s="1096"/>
      <c r="P45" s="2459">
        <f t="shared" si="15"/>
        <v>955.1277174695997</v>
      </c>
      <c r="Q45" s="27">
        <f>G45/0.95*I45*0.8*12/10000000</f>
        <v>14.424957473684213</v>
      </c>
      <c r="R45" s="27">
        <f t="shared" si="24"/>
        <v>26.48686</v>
      </c>
      <c r="S45" s="1096"/>
      <c r="T45" s="1129">
        <f t="shared" si="17"/>
        <v>2.706</v>
      </c>
      <c r="U45" s="1129">
        <f t="shared" si="18"/>
        <v>43.617817473684212</v>
      </c>
      <c r="V45" s="1187"/>
      <c r="W45" s="2462">
        <f t="shared" si="25"/>
        <v>945.57644029490359</v>
      </c>
      <c r="X45" s="1096"/>
      <c r="Y45" s="1129">
        <f t="shared" si="19"/>
        <v>0</v>
      </c>
      <c r="Z45" s="1129">
        <f>U45*0.01</f>
        <v>0.43617817473684212</v>
      </c>
      <c r="AA45" s="1129">
        <f t="shared" si="20"/>
        <v>43.181639298947367</v>
      </c>
      <c r="AB45" s="2461">
        <f t="shared" si="22"/>
        <v>2.3566213242092973</v>
      </c>
      <c r="AC45" s="1129">
        <f t="shared" si="26"/>
        <v>0.46399999999999997</v>
      </c>
      <c r="AD45" s="1129">
        <f t="shared" si="27"/>
        <v>2.1189488000000001</v>
      </c>
      <c r="AE45" s="2462">
        <f t="shared" si="6"/>
        <v>946.04044029490365</v>
      </c>
      <c r="AF45" s="1096"/>
    </row>
    <row r="46" spans="1:32" ht="25.5" customHeight="1">
      <c r="A46" s="1024">
        <f t="shared" si="23"/>
        <v>20</v>
      </c>
      <c r="B46" s="1021" t="s">
        <v>4096</v>
      </c>
      <c r="C46" s="1024" t="s">
        <v>169</v>
      </c>
      <c r="D46" s="1994">
        <f>('T-1'!O41)</f>
        <v>45.836118998000003</v>
      </c>
      <c r="E46" s="1125"/>
      <c r="F46" s="1125">
        <f>'T-1'!M41</f>
        <v>117</v>
      </c>
      <c r="G46" s="1125">
        <f>'T-1'!N41</f>
        <v>25919</v>
      </c>
      <c r="H46" s="2462">
        <f t="shared" si="14"/>
        <v>25802</v>
      </c>
      <c r="I46" s="1125">
        <v>150</v>
      </c>
      <c r="J46" s="1186">
        <v>585</v>
      </c>
      <c r="K46" s="1188">
        <v>475</v>
      </c>
      <c r="L46" s="1177"/>
      <c r="M46" s="1177"/>
      <c r="N46" s="1125">
        <v>250</v>
      </c>
      <c r="O46" s="1096"/>
      <c r="P46" s="2459">
        <f t="shared" si="15"/>
        <v>678.13309019893825</v>
      </c>
      <c r="Q46" s="27">
        <f t="shared" si="16"/>
        <v>4.1470399999999996</v>
      </c>
      <c r="R46" s="27">
        <f t="shared" si="24"/>
        <v>26.58494901884</v>
      </c>
      <c r="S46" s="1096"/>
      <c r="T46" s="1129">
        <f t="shared" si="17"/>
        <v>0.35099999999999998</v>
      </c>
      <c r="U46" s="1129">
        <f t="shared" si="18"/>
        <v>31.082989018839999</v>
      </c>
      <c r="V46" s="1187"/>
      <c r="W46" s="2462">
        <f t="shared" si="25"/>
        <v>671.35175929694879</v>
      </c>
      <c r="X46" s="2464"/>
      <c r="Y46" s="1129">
        <f t="shared" si="19"/>
        <v>0</v>
      </c>
      <c r="Z46" s="1129">
        <f>U46*0.01</f>
        <v>0.31082989018840002</v>
      </c>
      <c r="AA46" s="1129">
        <f t="shared" si="20"/>
        <v>30.772159128651598</v>
      </c>
      <c r="AB46" s="2461">
        <f t="shared" si="22"/>
        <v>1.6731824150686212</v>
      </c>
      <c r="AC46" s="1129">
        <f t="shared" si="26"/>
        <v>0.46399999999999997</v>
      </c>
      <c r="AD46" s="1129">
        <f t="shared" si="27"/>
        <v>2.1267959215071999</v>
      </c>
      <c r="AE46" s="2462">
        <f t="shared" si="6"/>
        <v>671.81575929694884</v>
      </c>
      <c r="AF46" s="1096"/>
    </row>
    <row r="47" spans="1:32" ht="25.5" customHeight="1">
      <c r="A47" s="1024">
        <f t="shared" si="23"/>
        <v>21</v>
      </c>
      <c r="B47" s="1021" t="s">
        <v>1332</v>
      </c>
      <c r="C47" s="1024" t="s">
        <v>169</v>
      </c>
      <c r="D47" s="1994">
        <f>('T-1'!O42)</f>
        <v>27.767368269999992</v>
      </c>
      <c r="E47" s="1125"/>
      <c r="F47" s="1125">
        <f>'T-1'!M42</f>
        <v>70</v>
      </c>
      <c r="G47" s="1125">
        <f>'T-1'!N42</f>
        <v>15392.21</v>
      </c>
      <c r="H47" s="2462">
        <f t="shared" si="14"/>
        <v>15322.21</v>
      </c>
      <c r="I47" s="1125">
        <v>250</v>
      </c>
      <c r="J47" s="1186">
        <v>585</v>
      </c>
      <c r="K47" s="1188">
        <v>475</v>
      </c>
      <c r="L47" s="1177"/>
      <c r="M47" s="1177"/>
      <c r="N47" s="1125">
        <v>250</v>
      </c>
      <c r="O47" s="1096"/>
      <c r="P47" s="2459">
        <f t="shared" si="15"/>
        <v>735.38344474635869</v>
      </c>
      <c r="Q47" s="27">
        <f t="shared" si="16"/>
        <v>4.1045893333333332</v>
      </c>
      <c r="R47" s="27">
        <f t="shared" si="24"/>
        <v>16.105073596599997</v>
      </c>
      <c r="S47" s="1096"/>
      <c r="T47" s="1129">
        <f t="shared" si="17"/>
        <v>0.21</v>
      </c>
      <c r="U47" s="1129">
        <f t="shared" si="18"/>
        <v>20.419662929933331</v>
      </c>
      <c r="V47" s="1187">
        <v>0.1</v>
      </c>
      <c r="W47" s="2462">
        <f t="shared" si="25"/>
        <v>735.38344474635869</v>
      </c>
      <c r="X47" s="2464"/>
      <c r="Y47" s="1129">
        <f t="shared" si="19"/>
        <v>0</v>
      </c>
      <c r="Z47" s="1129"/>
      <c r="AA47" s="1129">
        <f t="shared" si="20"/>
        <v>20.419662929933331</v>
      </c>
      <c r="AB47" s="2461">
        <f t="shared" si="22"/>
        <v>1.8327659547220414</v>
      </c>
      <c r="AC47" s="1125"/>
      <c r="AD47" s="1129"/>
      <c r="AE47" s="2462">
        <f t="shared" si="6"/>
        <v>735.38344474635869</v>
      </c>
      <c r="AF47" s="1096"/>
    </row>
    <row r="48" spans="1:32" ht="25.5" customHeight="1">
      <c r="A48" s="1024">
        <f t="shared" si="23"/>
        <v>22</v>
      </c>
      <c r="B48" s="1021" t="s">
        <v>890</v>
      </c>
      <c r="C48" s="1024" t="s">
        <v>169</v>
      </c>
      <c r="D48" s="1994">
        <f>('T-1'!O43)</f>
        <v>205</v>
      </c>
      <c r="E48" s="1125"/>
      <c r="F48" s="1125">
        <f>'T-1'!M43</f>
        <v>316</v>
      </c>
      <c r="G48" s="1125">
        <f>'T-1'!N43</f>
        <v>101212</v>
      </c>
      <c r="H48" s="2462">
        <f t="shared" si="14"/>
        <v>100896</v>
      </c>
      <c r="I48" s="1125">
        <v>250</v>
      </c>
      <c r="J48" s="1186">
        <v>585</v>
      </c>
      <c r="K48" s="1188">
        <v>475</v>
      </c>
      <c r="L48" s="1177"/>
      <c r="M48" s="1177"/>
      <c r="N48" s="1125">
        <v>250</v>
      </c>
      <c r="O48" s="1096"/>
      <c r="P48" s="2459">
        <f t="shared" si="15"/>
        <v>710.67981318111049</v>
      </c>
      <c r="Q48" s="27">
        <f>G48/0.94*I48*0.8*12/10000000</f>
        <v>25.841361702127664</v>
      </c>
      <c r="R48" s="27">
        <f t="shared" si="24"/>
        <v>118.89999999999999</v>
      </c>
      <c r="S48" s="1096"/>
      <c r="T48" s="1129">
        <f t="shared" si="17"/>
        <v>0.94799999999999995</v>
      </c>
      <c r="U48" s="1129">
        <f t="shared" si="18"/>
        <v>145.68936170212766</v>
      </c>
      <c r="V48" s="1187"/>
      <c r="W48" s="2462">
        <f t="shared" si="25"/>
        <v>703.57301504929933</v>
      </c>
      <c r="X48" s="2464"/>
      <c r="Y48" s="1129">
        <f t="shared" si="19"/>
        <v>0</v>
      </c>
      <c r="Z48" s="1129">
        <f t="shared" ref="Z48:Z53" si="28">U48*0.01</f>
        <v>1.4568936170212765</v>
      </c>
      <c r="AA48" s="1129">
        <f t="shared" si="20"/>
        <v>144.23246808510638</v>
      </c>
      <c r="AB48" s="2461">
        <f t="shared" si="22"/>
        <v>1.7534861273471429</v>
      </c>
      <c r="AC48" s="1129">
        <f t="shared" ref="AC48:AC65" si="29">AD48/D48*10</f>
        <v>0.46399999999999997</v>
      </c>
      <c r="AD48" s="1129">
        <f>R48*0.08</f>
        <v>9.5119999999999987</v>
      </c>
      <c r="AE48" s="2462">
        <f t="shared" si="6"/>
        <v>704.03701504929938</v>
      </c>
      <c r="AF48" s="1096"/>
    </row>
    <row r="49" spans="1:32" ht="25.5" customHeight="1">
      <c r="A49" s="1024">
        <f t="shared" si="23"/>
        <v>23</v>
      </c>
      <c r="B49" s="1021" t="s">
        <v>893</v>
      </c>
      <c r="C49" s="1024" t="s">
        <v>169</v>
      </c>
      <c r="D49" s="1994">
        <f>('T-1'!O44)</f>
        <v>0</v>
      </c>
      <c r="E49" s="1125"/>
      <c r="F49" s="1125">
        <f>'T-1'!M44</f>
        <v>0</v>
      </c>
      <c r="G49" s="1125">
        <f>'T-1'!N44</f>
        <v>0</v>
      </c>
      <c r="H49" s="2462">
        <f t="shared" si="14"/>
        <v>0</v>
      </c>
      <c r="I49" s="1125">
        <v>250</v>
      </c>
      <c r="J49" s="1186">
        <v>585</v>
      </c>
      <c r="K49" s="1188">
        <v>475</v>
      </c>
      <c r="L49" s="1177"/>
      <c r="M49" s="1177"/>
      <c r="N49" s="1125">
        <v>250</v>
      </c>
      <c r="O49" s="1096"/>
      <c r="P49" s="2459"/>
      <c r="Q49" s="27">
        <f t="shared" si="16"/>
        <v>0</v>
      </c>
      <c r="R49" s="27">
        <f t="shared" ref="R49:R53" si="30">D49*J49/1000</f>
        <v>0</v>
      </c>
      <c r="S49" s="1096"/>
      <c r="T49" s="1129">
        <f t="shared" si="17"/>
        <v>0</v>
      </c>
      <c r="U49" s="1129">
        <f t="shared" si="18"/>
        <v>0</v>
      </c>
      <c r="V49" s="1187"/>
      <c r="W49" s="2462"/>
      <c r="X49" s="2464"/>
      <c r="Y49" s="1129">
        <f t="shared" si="19"/>
        <v>0</v>
      </c>
      <c r="Z49" s="1129">
        <f t="shared" si="28"/>
        <v>0</v>
      </c>
      <c r="AA49" s="1129">
        <f t="shared" si="20"/>
        <v>0</v>
      </c>
      <c r="AB49" s="2461">
        <f t="shared" si="22"/>
        <v>0</v>
      </c>
      <c r="AC49" s="1129"/>
      <c r="AD49" s="1129">
        <f t="shared" ref="AD49:AD52" si="31">R49*0.07</f>
        <v>0</v>
      </c>
      <c r="AE49" s="2462">
        <f t="shared" si="6"/>
        <v>0</v>
      </c>
      <c r="AF49" s="1096"/>
    </row>
    <row r="50" spans="1:32" ht="25.5" customHeight="1">
      <c r="A50" s="1024">
        <f t="shared" si="23"/>
        <v>24</v>
      </c>
      <c r="B50" s="1021" t="s">
        <v>1336</v>
      </c>
      <c r="C50" s="1024" t="s">
        <v>169</v>
      </c>
      <c r="D50" s="1994">
        <f>('T-1'!O45)</f>
        <v>0</v>
      </c>
      <c r="E50" s="1125"/>
      <c r="F50" s="1125">
        <f>'T-1'!M45</f>
        <v>0</v>
      </c>
      <c r="G50" s="1125">
        <f>'T-1'!N45</f>
        <v>0</v>
      </c>
      <c r="H50" s="2462">
        <f t="shared" si="14"/>
        <v>0</v>
      </c>
      <c r="I50" s="1125">
        <v>250</v>
      </c>
      <c r="J50" s="1186">
        <v>585</v>
      </c>
      <c r="K50" s="1188">
        <v>475</v>
      </c>
      <c r="L50" s="1177"/>
      <c r="M50" s="1177"/>
      <c r="N50" s="1125">
        <v>250</v>
      </c>
      <c r="O50" s="1096"/>
      <c r="P50" s="2459"/>
      <c r="Q50" s="15"/>
      <c r="R50" s="27">
        <f t="shared" si="30"/>
        <v>0</v>
      </c>
      <c r="S50" s="1096"/>
      <c r="T50" s="1129">
        <f t="shared" si="17"/>
        <v>0</v>
      </c>
      <c r="U50" s="1129">
        <f t="shared" si="18"/>
        <v>0</v>
      </c>
      <c r="V50" s="1187"/>
      <c r="W50" s="2462"/>
      <c r="X50" s="2464"/>
      <c r="Y50" s="1129">
        <f t="shared" si="19"/>
        <v>0</v>
      </c>
      <c r="Z50" s="1129">
        <f t="shared" si="28"/>
        <v>0</v>
      </c>
      <c r="AA50" s="1129">
        <f t="shared" si="20"/>
        <v>0</v>
      </c>
      <c r="AB50" s="2461">
        <f t="shared" si="22"/>
        <v>0</v>
      </c>
      <c r="AC50" s="1129"/>
      <c r="AD50" s="1129">
        <f t="shared" si="31"/>
        <v>0</v>
      </c>
      <c r="AE50" s="2462">
        <f t="shared" si="6"/>
        <v>0</v>
      </c>
      <c r="AF50" s="1096"/>
    </row>
    <row r="51" spans="1:32" ht="25.5" customHeight="1">
      <c r="A51" s="1024">
        <f t="shared" si="23"/>
        <v>25</v>
      </c>
      <c r="B51" s="1021" t="s">
        <v>891</v>
      </c>
      <c r="C51" s="1024" t="s">
        <v>169</v>
      </c>
      <c r="D51" s="1994">
        <f>('T-1'!O46)</f>
        <v>0</v>
      </c>
      <c r="E51" s="1125"/>
      <c r="F51" s="1125">
        <f>'T-1'!M46</f>
        <v>0</v>
      </c>
      <c r="G51" s="1125">
        <f>'T-1'!N46</f>
        <v>0</v>
      </c>
      <c r="H51" s="2462">
        <f t="shared" si="14"/>
        <v>0</v>
      </c>
      <c r="I51" s="1125">
        <v>250</v>
      </c>
      <c r="J51" s="1186">
        <v>585</v>
      </c>
      <c r="K51" s="1188">
        <v>475</v>
      </c>
      <c r="L51" s="1177"/>
      <c r="M51" s="1177"/>
      <c r="N51" s="1125">
        <v>250</v>
      </c>
      <c r="O51" s="1096"/>
      <c r="P51" s="2459"/>
      <c r="Q51" s="15"/>
      <c r="R51" s="27">
        <f t="shared" si="30"/>
        <v>0</v>
      </c>
      <c r="S51" s="1096"/>
      <c r="T51" s="1129">
        <f t="shared" si="17"/>
        <v>0</v>
      </c>
      <c r="U51" s="1129">
        <f t="shared" si="18"/>
        <v>0</v>
      </c>
      <c r="V51" s="1187"/>
      <c r="W51" s="2462"/>
      <c r="X51" s="2464"/>
      <c r="Y51" s="1129">
        <f t="shared" si="19"/>
        <v>0</v>
      </c>
      <c r="Z51" s="1129">
        <f t="shared" si="28"/>
        <v>0</v>
      </c>
      <c r="AA51" s="1129">
        <f t="shared" si="20"/>
        <v>0</v>
      </c>
      <c r="AB51" s="2461">
        <f t="shared" si="22"/>
        <v>0</v>
      </c>
      <c r="AC51" s="1129"/>
      <c r="AD51" s="1129">
        <f t="shared" si="31"/>
        <v>0</v>
      </c>
      <c r="AE51" s="2462">
        <f t="shared" si="6"/>
        <v>0</v>
      </c>
      <c r="AF51" s="1096"/>
    </row>
    <row r="52" spans="1:32" ht="25.5" customHeight="1">
      <c r="A52" s="1024">
        <f t="shared" si="23"/>
        <v>26</v>
      </c>
      <c r="B52" s="1021" t="s">
        <v>1463</v>
      </c>
      <c r="C52" s="1024" t="s">
        <v>169</v>
      </c>
      <c r="D52" s="1994">
        <f>('T-1'!O47)</f>
        <v>0</v>
      </c>
      <c r="E52" s="1125"/>
      <c r="F52" s="1125">
        <f>'T-1'!M47</f>
        <v>0</v>
      </c>
      <c r="G52" s="1125">
        <f>'T-1'!N47</f>
        <v>0</v>
      </c>
      <c r="H52" s="2462">
        <f t="shared" si="14"/>
        <v>0</v>
      </c>
      <c r="I52" s="1125"/>
      <c r="J52" s="1186">
        <v>780</v>
      </c>
      <c r="K52" s="1174"/>
      <c r="L52" s="1177"/>
      <c r="M52" s="1177"/>
      <c r="N52" s="1125">
        <v>250</v>
      </c>
      <c r="O52" s="1096"/>
      <c r="P52" s="2459"/>
      <c r="Q52" s="15"/>
      <c r="R52" s="27">
        <f t="shared" si="30"/>
        <v>0</v>
      </c>
      <c r="S52" s="1096"/>
      <c r="T52" s="1129">
        <f t="shared" si="17"/>
        <v>0</v>
      </c>
      <c r="U52" s="1129">
        <f t="shared" si="18"/>
        <v>0</v>
      </c>
      <c r="V52" s="1187"/>
      <c r="W52" s="2462"/>
      <c r="X52" s="2464"/>
      <c r="Y52" s="1129">
        <f t="shared" si="19"/>
        <v>0</v>
      </c>
      <c r="Z52" s="1129">
        <f t="shared" si="28"/>
        <v>0</v>
      </c>
      <c r="AA52" s="1129">
        <f t="shared" si="20"/>
        <v>0</v>
      </c>
      <c r="AB52" s="2461">
        <f t="shared" si="22"/>
        <v>0</v>
      </c>
      <c r="AC52" s="1129"/>
      <c r="AD52" s="1129">
        <f t="shared" si="31"/>
        <v>0</v>
      </c>
      <c r="AE52" s="2462">
        <f t="shared" si="6"/>
        <v>0</v>
      </c>
      <c r="AF52" s="1096"/>
    </row>
    <row r="53" spans="1:32" ht="25.5" customHeight="1">
      <c r="A53" s="1024">
        <f t="shared" si="23"/>
        <v>27</v>
      </c>
      <c r="B53" s="1021" t="s">
        <v>1337</v>
      </c>
      <c r="C53" s="1024" t="s">
        <v>169</v>
      </c>
      <c r="D53" s="1994">
        <f>('T-1'!O48)</f>
        <v>0.5</v>
      </c>
      <c r="E53" s="1125"/>
      <c r="F53" s="1125">
        <f>'T-1'!M48</f>
        <v>0</v>
      </c>
      <c r="G53" s="1125">
        <f>'T-1'!N48</f>
        <v>0</v>
      </c>
      <c r="H53" s="2462">
        <f t="shared" si="14"/>
        <v>0</v>
      </c>
      <c r="I53" s="1125"/>
      <c r="J53" s="1186">
        <v>490</v>
      </c>
      <c r="K53" s="1174"/>
      <c r="L53" s="1177"/>
      <c r="M53" s="1177"/>
      <c r="N53" s="1125">
        <v>250</v>
      </c>
      <c r="O53" s="1096"/>
      <c r="P53" s="2459">
        <f t="shared" si="15"/>
        <v>490</v>
      </c>
      <c r="Q53" s="15"/>
      <c r="R53" s="27">
        <f t="shared" si="30"/>
        <v>0.245</v>
      </c>
      <c r="S53" s="1096"/>
      <c r="T53" s="1129">
        <f t="shared" si="17"/>
        <v>0</v>
      </c>
      <c r="U53" s="1129">
        <f t="shared" si="18"/>
        <v>0.245</v>
      </c>
      <c r="V53" s="1192"/>
      <c r="W53" s="2462">
        <f>AA53/D53*1000</f>
        <v>485.09999999999997</v>
      </c>
      <c r="X53" s="2464"/>
      <c r="Y53" s="1129">
        <f t="shared" si="19"/>
        <v>0</v>
      </c>
      <c r="Z53" s="1129">
        <f t="shared" si="28"/>
        <v>2.4499999999999999E-3</v>
      </c>
      <c r="AA53" s="1129">
        <f t="shared" si="20"/>
        <v>0.24254999999999999</v>
      </c>
      <c r="AB53" s="2461">
        <f t="shared" si="22"/>
        <v>1.2089948053458195</v>
      </c>
      <c r="AC53" s="1129">
        <f t="shared" si="29"/>
        <v>0.39200000000000002</v>
      </c>
      <c r="AD53" s="1129">
        <f>R53*0.08</f>
        <v>1.9599999999999999E-2</v>
      </c>
      <c r="AE53" s="2462">
        <f t="shared" si="6"/>
        <v>485.49199999999996</v>
      </c>
      <c r="AF53" s="1096"/>
    </row>
    <row r="54" spans="1:32" ht="25.5" customHeight="1">
      <c r="A54" s="1024"/>
      <c r="B54" s="2465" t="s">
        <v>4094</v>
      </c>
      <c r="C54" s="1024"/>
      <c r="D54" s="2466">
        <f>SUM(D39:D53)</f>
        <v>391.29422300399995</v>
      </c>
      <c r="E54" s="2466">
        <f>SUM(E39:E53)</f>
        <v>0</v>
      </c>
      <c r="F54" s="2453">
        <f>SUM(F39:F53)</f>
        <v>2185</v>
      </c>
      <c r="G54" s="2453">
        <f>SUM(G39:G53)</f>
        <v>294934.39</v>
      </c>
      <c r="H54" s="2453">
        <f>SUM(H39:H53)</f>
        <v>292749.39</v>
      </c>
      <c r="I54" s="1125"/>
      <c r="J54" s="1180"/>
      <c r="K54" s="1180"/>
      <c r="L54" s="1177"/>
      <c r="M54" s="1177"/>
      <c r="N54" s="1125"/>
      <c r="O54" s="1096"/>
      <c r="P54" s="2470">
        <f t="shared" si="15"/>
        <v>723.07575673184147</v>
      </c>
      <c r="Q54" s="2463">
        <f>SUM(Q39:Q53)</f>
        <v>59.523311709145212</v>
      </c>
      <c r="R54" s="2463">
        <f>SUM(R39:R53)</f>
        <v>216.85705469427</v>
      </c>
      <c r="S54" s="1126">
        <f>SUM(S39:S53)</f>
        <v>0</v>
      </c>
      <c r="T54" s="1126">
        <f>SUM(T39:T53)</f>
        <v>6.5549999999999997</v>
      </c>
      <c r="U54" s="1126">
        <f>SUM(U39:U53)</f>
        <v>282.93536640341517</v>
      </c>
      <c r="V54" s="1199"/>
      <c r="W54" s="2460">
        <f>AA54/D54*1000</f>
        <v>716.1901724412561</v>
      </c>
      <c r="X54" s="1126">
        <f>SUM(X39:X53)</f>
        <v>27.838321029999996</v>
      </c>
      <c r="Y54" s="1126">
        <f t="shared" si="19"/>
        <v>0.27838321029999996</v>
      </c>
      <c r="Z54" s="1126">
        <f>SUM(Z39:Z53)</f>
        <v>2.4159061446131855</v>
      </c>
      <c r="AA54" s="1126">
        <f>SUM(AA39:AA53)</f>
        <v>280.24107704850201</v>
      </c>
      <c r="AB54" s="2461">
        <f t="shared" si="22"/>
        <v>1.7849313504869211</v>
      </c>
      <c r="AC54" s="1126">
        <f t="shared" si="29"/>
        <v>0.40923089446301153</v>
      </c>
      <c r="AD54" s="1126">
        <f>SUM(AD39:AD53)</f>
        <v>16.012968487813598</v>
      </c>
      <c r="AE54" s="2460">
        <f t="shared" si="6"/>
        <v>716.5994033357191</v>
      </c>
      <c r="AF54" s="1096"/>
    </row>
    <row r="55" spans="1:32" ht="25.5" customHeight="1">
      <c r="A55" s="1021"/>
      <c r="B55" s="2457" t="s">
        <v>1338</v>
      </c>
      <c r="C55" s="1024"/>
      <c r="D55" s="1125"/>
      <c r="E55" s="1125"/>
      <c r="F55" s="1125"/>
      <c r="G55" s="1096"/>
      <c r="H55" s="1096"/>
      <c r="I55" s="1125"/>
      <c r="J55" s="1174"/>
      <c r="K55" s="1174"/>
      <c r="L55" s="1177"/>
      <c r="M55" s="1177"/>
      <c r="N55" s="1125"/>
      <c r="O55" s="1096"/>
      <c r="P55" s="1096"/>
      <c r="Q55" s="15"/>
      <c r="R55" s="15"/>
      <c r="S55" s="1096"/>
      <c r="T55" s="1096"/>
      <c r="U55" s="2464"/>
      <c r="V55" s="2464"/>
      <c r="W55" s="1129"/>
      <c r="X55" s="2464"/>
      <c r="Y55" s="1129">
        <f t="shared" si="19"/>
        <v>0</v>
      </c>
      <c r="Z55" s="1129"/>
      <c r="AA55" s="1129"/>
      <c r="AB55" s="2461"/>
      <c r="AC55" s="1125"/>
      <c r="AD55" s="1125"/>
      <c r="AE55" s="2462"/>
      <c r="AF55" s="1096"/>
    </row>
    <row r="56" spans="1:32" ht="25.5" customHeight="1">
      <c r="A56" s="1024">
        <f>A53+1</f>
        <v>28</v>
      </c>
      <c r="B56" s="1021" t="s">
        <v>670</v>
      </c>
      <c r="C56" s="1024" t="s">
        <v>1494</v>
      </c>
      <c r="D56" s="1994">
        <f>'T-1'!O51</f>
        <v>0</v>
      </c>
      <c r="E56" s="1125"/>
      <c r="F56" s="1125">
        <f>'T-1'!M51</f>
        <v>0</v>
      </c>
      <c r="G56" s="1125">
        <f>'T-1'!N51</f>
        <v>0</v>
      </c>
      <c r="H56" s="2462">
        <f t="shared" ref="H56:H63" si="32">G56-F56</f>
        <v>0</v>
      </c>
      <c r="I56" s="1125">
        <v>250</v>
      </c>
      <c r="J56" s="1186">
        <v>580</v>
      </c>
      <c r="K56" s="1186">
        <v>470</v>
      </c>
      <c r="L56" s="1184"/>
      <c r="M56" s="1184"/>
      <c r="N56" s="1125">
        <v>700</v>
      </c>
      <c r="O56" s="1096"/>
      <c r="P56" s="2459"/>
      <c r="Q56" s="15"/>
      <c r="R56" s="27">
        <f t="shared" ref="R56:R63" si="33">D56*J56/1000</f>
        <v>0</v>
      </c>
      <c r="S56" s="1096"/>
      <c r="T56" s="1129">
        <f t="shared" ref="T56:T63" si="34">F56*N56*12/1000000</f>
        <v>0</v>
      </c>
      <c r="U56" s="1129">
        <f t="shared" ref="U56:U63" si="35">Q56+R56+S56+T56</f>
        <v>0</v>
      </c>
      <c r="V56" s="1096"/>
      <c r="W56" s="2462"/>
      <c r="X56" s="1096"/>
      <c r="Y56" s="1129">
        <f t="shared" si="19"/>
        <v>0</v>
      </c>
      <c r="Z56" s="1129">
        <f t="shared" ref="Z56:Z63" si="36">U56*0.01</f>
        <v>0</v>
      </c>
      <c r="AA56" s="1129">
        <f t="shared" ref="AA56:AA63" si="37">U56-Y56-Z56</f>
        <v>0</v>
      </c>
      <c r="AB56" s="2461">
        <f>W56/$G$70</f>
        <v>0</v>
      </c>
      <c r="AC56" s="1129"/>
      <c r="AD56" s="1129">
        <f>R56*0.09</f>
        <v>0</v>
      </c>
      <c r="AE56" s="2462">
        <f t="shared" si="6"/>
        <v>0</v>
      </c>
      <c r="AF56" s="1096"/>
    </row>
    <row r="57" spans="1:32" ht="25.5" customHeight="1">
      <c r="A57" s="1024">
        <f t="shared" ref="A57:A63" si="38">A56+1</f>
        <v>29</v>
      </c>
      <c r="B57" s="1021" t="s">
        <v>890</v>
      </c>
      <c r="C57" s="1024" t="s">
        <v>1494</v>
      </c>
      <c r="D57" s="3108">
        <v>145</v>
      </c>
      <c r="E57" s="3108">
        <v>75</v>
      </c>
      <c r="F57" s="1125">
        <f>'T-1'!M52</f>
        <v>4</v>
      </c>
      <c r="G57" s="1125">
        <f>'T-1'!N52</f>
        <v>48445</v>
      </c>
      <c r="H57" s="2462">
        <f t="shared" si="32"/>
        <v>48441</v>
      </c>
      <c r="I57" s="1125">
        <v>250</v>
      </c>
      <c r="J57" s="1186">
        <v>580</v>
      </c>
      <c r="K57" s="1186">
        <v>470</v>
      </c>
      <c r="L57" s="1177"/>
      <c r="M57" s="1177"/>
      <c r="N57" s="1125">
        <v>700</v>
      </c>
      <c r="O57" s="1096"/>
      <c r="P57" s="2459">
        <f>U57/(D57+E57)*1000</f>
        <v>606.85373737373743</v>
      </c>
      <c r="Q57" s="27">
        <f>(G57*I57*0.8*12/10000000)/0.9</f>
        <v>12.918666666666665</v>
      </c>
      <c r="R57" s="27">
        <f>(D57*J57+E57*K57)/1000/0.99</f>
        <v>120.55555555555556</v>
      </c>
      <c r="S57" s="2464"/>
      <c r="T57" s="1129">
        <f t="shared" si="34"/>
        <v>3.3599999999999998E-2</v>
      </c>
      <c r="U57" s="1129">
        <f t="shared" si="35"/>
        <v>133.50782222222222</v>
      </c>
      <c r="V57" s="2464"/>
      <c r="W57" s="2462">
        <f>AA57/(D57+E57)*1000</f>
        <v>600.78520000000003</v>
      </c>
      <c r="X57" s="2464"/>
      <c r="Y57" s="1129">
        <f t="shared" si="19"/>
        <v>0</v>
      </c>
      <c r="Z57" s="1129">
        <f t="shared" si="36"/>
        <v>1.3350782222222222</v>
      </c>
      <c r="AA57" s="1129">
        <f t="shared" si="37"/>
        <v>132.17274399999999</v>
      </c>
      <c r="AB57" s="2461">
        <f t="shared" ref="AB57:AB64" si="39">W57/$G$70</f>
        <v>1.8647432581927454</v>
      </c>
      <c r="AC57" s="1129">
        <f t="shared" si="29"/>
        <v>0.74827586206896546</v>
      </c>
      <c r="AD57" s="1129">
        <f t="shared" ref="AD57:AD63" si="40">R57*0.09</f>
        <v>10.85</v>
      </c>
      <c r="AE57" s="2462">
        <f t="shared" si="6"/>
        <v>601.53347586206905</v>
      </c>
      <c r="AF57" s="1096"/>
    </row>
    <row r="58" spans="1:32" ht="25.5" customHeight="1">
      <c r="A58" s="1024">
        <f t="shared" si="38"/>
        <v>30</v>
      </c>
      <c r="B58" s="1021" t="s">
        <v>891</v>
      </c>
      <c r="C58" s="1024" t="s">
        <v>1494</v>
      </c>
      <c r="D58" s="1994">
        <f>'T-1'!O53</f>
        <v>270</v>
      </c>
      <c r="E58" s="1125"/>
      <c r="F58" s="1125">
        <f>'T-1'!M53</f>
        <v>12</v>
      </c>
      <c r="G58" s="1125">
        <f>'T-1'!N53</f>
        <v>137200</v>
      </c>
      <c r="H58" s="2462">
        <f t="shared" si="32"/>
        <v>137188</v>
      </c>
      <c r="I58" s="1125">
        <v>250</v>
      </c>
      <c r="J58" s="1186">
        <v>580</v>
      </c>
      <c r="K58" s="1186">
        <v>470</v>
      </c>
      <c r="L58" s="1177"/>
      <c r="M58" s="1177"/>
      <c r="N58" s="1125">
        <v>700</v>
      </c>
      <c r="O58" s="1096"/>
      <c r="P58" s="2459">
        <f>U58/(D58+E58)*1000</f>
        <v>715.87950617283946</v>
      </c>
      <c r="Q58" s="27">
        <f>G58*I58*0.8*12/10000000/0.9</f>
        <v>36.586666666666666</v>
      </c>
      <c r="R58" s="27">
        <f t="shared" si="33"/>
        <v>156.6</v>
      </c>
      <c r="S58" s="2464"/>
      <c r="T58" s="1129">
        <f t="shared" si="34"/>
        <v>0.1008</v>
      </c>
      <c r="U58" s="1129">
        <f t="shared" si="35"/>
        <v>193.28746666666666</v>
      </c>
      <c r="V58" s="2464"/>
      <c r="W58" s="2462">
        <f>AA58/(D58+E58)*1000</f>
        <v>708.72071111111109</v>
      </c>
      <c r="X58" s="2464"/>
      <c r="Y58" s="1129">
        <f t="shared" si="19"/>
        <v>0</v>
      </c>
      <c r="Z58" s="1129">
        <f t="shared" si="36"/>
        <v>1.9328746666666667</v>
      </c>
      <c r="AA58" s="1129">
        <f t="shared" si="37"/>
        <v>191.354592</v>
      </c>
      <c r="AB58" s="2461">
        <f t="shared" si="39"/>
        <v>2.199758196416977</v>
      </c>
      <c r="AC58" s="1129">
        <f t="shared" si="29"/>
        <v>0</v>
      </c>
      <c r="AD58" s="1129">
        <f>R58*0</f>
        <v>0</v>
      </c>
      <c r="AE58" s="2462">
        <f t="shared" si="6"/>
        <v>708.72071111111109</v>
      </c>
      <c r="AF58" s="1096"/>
    </row>
    <row r="59" spans="1:32" ht="25.5" customHeight="1">
      <c r="A59" s="1024">
        <f t="shared" si="38"/>
        <v>31</v>
      </c>
      <c r="B59" s="1021" t="s">
        <v>892</v>
      </c>
      <c r="C59" s="1024" t="s">
        <v>1494</v>
      </c>
      <c r="D59" s="1994">
        <f>'T-1'!O54</f>
        <v>0</v>
      </c>
      <c r="E59" s="1125"/>
      <c r="F59" s="1125">
        <f>'T-1'!M54</f>
        <v>0</v>
      </c>
      <c r="G59" s="1125">
        <f>'T-1'!N54</f>
        <v>0</v>
      </c>
      <c r="H59" s="2462">
        <f t="shared" si="32"/>
        <v>0</v>
      </c>
      <c r="I59" s="1125">
        <v>250</v>
      </c>
      <c r="J59" s="1186">
        <v>580</v>
      </c>
      <c r="K59" s="1186">
        <v>470</v>
      </c>
      <c r="L59" s="1177"/>
      <c r="M59" s="1177"/>
      <c r="N59" s="1125">
        <v>700</v>
      </c>
      <c r="O59" s="1096"/>
      <c r="P59" s="2459"/>
      <c r="Q59" s="27"/>
      <c r="R59" s="27">
        <f t="shared" si="33"/>
        <v>0</v>
      </c>
      <c r="S59" s="2464"/>
      <c r="T59" s="1129">
        <f t="shared" si="34"/>
        <v>0</v>
      </c>
      <c r="U59" s="1129">
        <f t="shared" si="35"/>
        <v>0</v>
      </c>
      <c r="V59" s="2464"/>
      <c r="W59" s="2462"/>
      <c r="X59" s="2464"/>
      <c r="Y59" s="1129">
        <f t="shared" si="19"/>
        <v>0</v>
      </c>
      <c r="Z59" s="1129">
        <f t="shared" si="36"/>
        <v>0</v>
      </c>
      <c r="AA59" s="1129">
        <f t="shared" si="37"/>
        <v>0</v>
      </c>
      <c r="AB59" s="2461">
        <f t="shared" si="39"/>
        <v>0</v>
      </c>
      <c r="AC59" s="1129"/>
      <c r="AD59" s="1129">
        <f t="shared" si="40"/>
        <v>0</v>
      </c>
      <c r="AE59" s="2462">
        <f t="shared" si="6"/>
        <v>0</v>
      </c>
      <c r="AF59" s="1096"/>
    </row>
    <row r="60" spans="1:32" ht="25.5" customHeight="1">
      <c r="A60" s="1024">
        <f t="shared" si="38"/>
        <v>32</v>
      </c>
      <c r="B60" s="1021" t="s">
        <v>893</v>
      </c>
      <c r="C60" s="1024" t="s">
        <v>1494</v>
      </c>
      <c r="D60" s="1994">
        <f>'T-1'!O55</f>
        <v>135</v>
      </c>
      <c r="E60" s="1994">
        <v>0</v>
      </c>
      <c r="F60" s="1125">
        <f>'T-1'!M55</f>
        <v>1</v>
      </c>
      <c r="G60" s="1125">
        <f>'T-1'!N55</f>
        <v>28888</v>
      </c>
      <c r="H60" s="2462">
        <f t="shared" si="32"/>
        <v>28887</v>
      </c>
      <c r="I60" s="1125">
        <v>250</v>
      </c>
      <c r="J60" s="1186">
        <v>580</v>
      </c>
      <c r="K60" s="1186">
        <v>470</v>
      </c>
      <c r="L60" s="1177"/>
      <c r="M60" s="1177"/>
      <c r="N60" s="1125">
        <v>700</v>
      </c>
      <c r="O60" s="1096"/>
      <c r="P60" s="2459">
        <f>U60/(D60+E60)*1000</f>
        <v>633.27638726445741</v>
      </c>
      <c r="Q60" s="27">
        <f>G60/0.9*I60*0.8*12/10000000/0.95</f>
        <v>8.1089122807017553</v>
      </c>
      <c r="R60" s="27">
        <f>((D60-E60)*J60+E60*K60)/1000-(D60/4*0.2/10)-10*25/1000</f>
        <v>77.375</v>
      </c>
      <c r="S60" s="2464"/>
      <c r="T60" s="1129">
        <f t="shared" si="34"/>
        <v>8.3999999999999995E-3</v>
      </c>
      <c r="U60" s="1129">
        <f t="shared" si="35"/>
        <v>85.492312280701753</v>
      </c>
      <c r="V60" s="2464"/>
      <c r="W60" s="2462">
        <f>AA60/(D60+E60)*1000</f>
        <v>626.94362339181282</v>
      </c>
      <c r="X60" s="2464"/>
      <c r="Y60" s="1129">
        <f t="shared" si="19"/>
        <v>0</v>
      </c>
      <c r="Z60" s="1129">
        <f t="shared" si="36"/>
        <v>0.85492312280701754</v>
      </c>
      <c r="AA60" s="1129">
        <f t="shared" si="37"/>
        <v>84.637389157894731</v>
      </c>
      <c r="AB60" s="2461">
        <f t="shared" si="39"/>
        <v>1.9459349114905202</v>
      </c>
      <c r="AC60" s="1129">
        <f t="shared" si="29"/>
        <v>0.51583333333333337</v>
      </c>
      <c r="AD60" s="1129">
        <f t="shared" si="40"/>
        <v>6.9637500000000001</v>
      </c>
      <c r="AE60" s="2462">
        <f t="shared" si="6"/>
        <v>627.4594567251462</v>
      </c>
      <c r="AF60" s="1096"/>
    </row>
    <row r="61" spans="1:32" ht="25.5" customHeight="1">
      <c r="A61" s="1024">
        <f t="shared" si="38"/>
        <v>33</v>
      </c>
      <c r="B61" s="1021" t="s">
        <v>1336</v>
      </c>
      <c r="C61" s="1024" t="s">
        <v>1494</v>
      </c>
      <c r="D61" s="1994">
        <f>'T-1'!O56</f>
        <v>0</v>
      </c>
      <c r="E61" s="1125"/>
      <c r="F61" s="1125">
        <f>'T-1'!M56</f>
        <v>0</v>
      </c>
      <c r="G61" s="1125">
        <f>'T-1'!N56</f>
        <v>0</v>
      </c>
      <c r="H61" s="2462">
        <f t="shared" si="32"/>
        <v>0</v>
      </c>
      <c r="I61" s="1125">
        <v>250</v>
      </c>
      <c r="J61" s="1186">
        <v>580</v>
      </c>
      <c r="K61" s="1186">
        <v>470</v>
      </c>
      <c r="L61" s="1177"/>
      <c r="M61" s="1177"/>
      <c r="N61" s="1125">
        <v>700</v>
      </c>
      <c r="O61" s="1096"/>
      <c r="P61" s="2459"/>
      <c r="Q61" s="27"/>
      <c r="R61" s="27">
        <f t="shared" si="33"/>
        <v>0</v>
      </c>
      <c r="S61" s="2464"/>
      <c r="T61" s="1129">
        <f t="shared" si="34"/>
        <v>0</v>
      </c>
      <c r="U61" s="1129">
        <f t="shared" si="35"/>
        <v>0</v>
      </c>
      <c r="V61" s="2464"/>
      <c r="W61" s="2462"/>
      <c r="X61" s="2464"/>
      <c r="Y61" s="1129">
        <f t="shared" si="19"/>
        <v>0</v>
      </c>
      <c r="Z61" s="1129">
        <f t="shared" si="36"/>
        <v>0</v>
      </c>
      <c r="AA61" s="1129">
        <f t="shared" si="37"/>
        <v>0</v>
      </c>
      <c r="AB61" s="2461">
        <f t="shared" si="39"/>
        <v>0</v>
      </c>
      <c r="AC61" s="1129"/>
      <c r="AD61" s="1129">
        <f t="shared" si="40"/>
        <v>0</v>
      </c>
      <c r="AE61" s="2462">
        <f t="shared" si="6"/>
        <v>0</v>
      </c>
      <c r="AF61" s="1096"/>
    </row>
    <row r="62" spans="1:32" ht="25.5" customHeight="1">
      <c r="A62" s="1024">
        <f t="shared" si="38"/>
        <v>34</v>
      </c>
      <c r="B62" s="1021" t="s">
        <v>1339</v>
      </c>
      <c r="C62" s="1024" t="s">
        <v>1494</v>
      </c>
      <c r="D62" s="1994">
        <f>'T-1'!O57</f>
        <v>8.1620000000000008</v>
      </c>
      <c r="E62" s="1125"/>
      <c r="F62" s="1125">
        <f>'T-1'!M57</f>
        <v>1</v>
      </c>
      <c r="G62" s="1125">
        <f>'T-1'!N57</f>
        <v>0</v>
      </c>
      <c r="H62" s="2462">
        <v>0</v>
      </c>
      <c r="I62" s="1125">
        <v>250</v>
      </c>
      <c r="J62" s="1186">
        <v>770</v>
      </c>
      <c r="K62" s="1204"/>
      <c r="L62" s="1177"/>
      <c r="M62" s="1177"/>
      <c r="N62" s="1125">
        <v>700</v>
      </c>
      <c r="O62" s="1096"/>
      <c r="P62" s="2459">
        <f>U62/(D62+E62)*1000</f>
        <v>771.02915951972557</v>
      </c>
      <c r="Q62" s="27"/>
      <c r="R62" s="27">
        <f t="shared" si="33"/>
        <v>6.2847400000000011</v>
      </c>
      <c r="S62" s="2464"/>
      <c r="T62" s="1129">
        <f t="shared" si="34"/>
        <v>8.3999999999999995E-3</v>
      </c>
      <c r="U62" s="1129">
        <f t="shared" si="35"/>
        <v>6.2931400000000011</v>
      </c>
      <c r="V62" s="2464"/>
      <c r="W62" s="2462">
        <f>AA62/(D62+E62)*1000</f>
        <v>763.31886792452826</v>
      </c>
      <c r="X62" s="2464"/>
      <c r="Y62" s="1129">
        <f t="shared" si="19"/>
        <v>0</v>
      </c>
      <c r="Z62" s="1129">
        <f t="shared" si="36"/>
        <v>6.2931400000000012E-2</v>
      </c>
      <c r="AA62" s="1129">
        <f t="shared" si="37"/>
        <v>6.230208600000001</v>
      </c>
      <c r="AB62" s="2461">
        <f t="shared" si="39"/>
        <v>2.3692223323969746</v>
      </c>
      <c r="AC62" s="1129">
        <f t="shared" si="29"/>
        <v>0.69300000000000006</v>
      </c>
      <c r="AD62" s="1129">
        <f t="shared" si="40"/>
        <v>0.56562660000000009</v>
      </c>
      <c r="AE62" s="2462">
        <f t="shared" si="6"/>
        <v>764.01186792452825</v>
      </c>
      <c r="AF62" s="1096"/>
    </row>
    <row r="63" spans="1:32" ht="25.5" customHeight="1">
      <c r="A63" s="1024">
        <f t="shared" si="38"/>
        <v>35</v>
      </c>
      <c r="B63" s="1021" t="s">
        <v>1337</v>
      </c>
      <c r="C63" s="1024" t="s">
        <v>1494</v>
      </c>
      <c r="D63" s="1994">
        <f>'T-1'!O58</f>
        <v>9.31</v>
      </c>
      <c r="E63" s="1125"/>
      <c r="F63" s="1125">
        <f>'T-1'!M58</f>
        <v>0</v>
      </c>
      <c r="G63" s="1125">
        <f>'T-1'!N58</f>
        <v>0</v>
      </c>
      <c r="H63" s="2462">
        <f t="shared" si="32"/>
        <v>0</v>
      </c>
      <c r="I63" s="1125">
        <v>250</v>
      </c>
      <c r="J63" s="1186">
        <v>485</v>
      </c>
      <c r="K63" s="1204"/>
      <c r="L63" s="1177"/>
      <c r="M63" s="1177"/>
      <c r="N63" s="1125">
        <v>700</v>
      </c>
      <c r="O63" s="1096"/>
      <c r="P63" s="2459">
        <f>U63/(D63+E63)*1000</f>
        <v>485.00000000000006</v>
      </c>
      <c r="Q63" s="27"/>
      <c r="R63" s="27">
        <f t="shared" si="33"/>
        <v>4.5153500000000006</v>
      </c>
      <c r="S63" s="2464"/>
      <c r="T63" s="1129">
        <f t="shared" si="34"/>
        <v>0</v>
      </c>
      <c r="U63" s="1129">
        <f t="shared" si="35"/>
        <v>4.5153500000000006</v>
      </c>
      <c r="V63" s="2464"/>
      <c r="W63" s="2462">
        <f>AA63/(D63+E63)*1000</f>
        <v>480.15000000000009</v>
      </c>
      <c r="X63" s="2464"/>
      <c r="Y63" s="1129">
        <f t="shared" si="19"/>
        <v>0</v>
      </c>
      <c r="Z63" s="1129">
        <f t="shared" si="36"/>
        <v>4.5153500000000006E-2</v>
      </c>
      <c r="AA63" s="1129">
        <f t="shared" si="37"/>
        <v>4.470196500000001</v>
      </c>
      <c r="AB63" s="2461">
        <f t="shared" si="39"/>
        <v>1.4903104727300986</v>
      </c>
      <c r="AC63" s="1129">
        <f t="shared" si="29"/>
        <v>0.4365</v>
      </c>
      <c r="AD63" s="1129">
        <f t="shared" si="40"/>
        <v>0.40638150000000006</v>
      </c>
      <c r="AE63" s="2462">
        <f t="shared" si="6"/>
        <v>480.58650000000011</v>
      </c>
      <c r="AF63" s="1096"/>
    </row>
    <row r="64" spans="1:32" ht="25.5" customHeight="1">
      <c r="A64" s="1024"/>
      <c r="B64" s="2465" t="s">
        <v>4094</v>
      </c>
      <c r="C64" s="1021"/>
      <c r="D64" s="2466">
        <f>SUM(D56:D63)</f>
        <v>567.47199999999998</v>
      </c>
      <c r="E64" s="2466">
        <f>SUM(E56:E63)</f>
        <v>75</v>
      </c>
      <c r="F64" s="2453">
        <f>SUM(F56:F63)</f>
        <v>18</v>
      </c>
      <c r="G64" s="2453">
        <f>SUM(G56:G63)</f>
        <v>214533</v>
      </c>
      <c r="H64" s="2453">
        <f>SUM(H56:H63)</f>
        <v>214516</v>
      </c>
      <c r="I64" s="1125"/>
      <c r="J64" s="1096"/>
      <c r="K64" s="1204"/>
      <c r="L64" s="1177"/>
      <c r="M64" s="1177"/>
      <c r="N64" s="1125"/>
      <c r="O64" s="1096"/>
      <c r="P64" s="2459">
        <f>U64/(D64+E64)*1000</f>
        <v>658.54401618995178</v>
      </c>
      <c r="Q64" s="2463">
        <f>SUM(Q56:Q63)</f>
        <v>57.614245614035084</v>
      </c>
      <c r="R64" s="2463">
        <f>SUM(R56:R63)</f>
        <v>365.33064555555558</v>
      </c>
      <c r="S64" s="1126">
        <f>SUM(S56:S63)</f>
        <v>0</v>
      </c>
      <c r="T64" s="1126">
        <f>SUM(T56:T63)</f>
        <v>0.15119999999999997</v>
      </c>
      <c r="U64" s="1126">
        <f>SUM(U56:U63)</f>
        <v>423.09609116959064</v>
      </c>
      <c r="V64" s="2464"/>
      <c r="W64" s="2460">
        <f>AA64/(D64+E64)*1000</f>
        <v>651.95857602805222</v>
      </c>
      <c r="X64" s="1126">
        <f>SUM(X56:X63)</f>
        <v>0</v>
      </c>
      <c r="Y64" s="1129">
        <f t="shared" si="19"/>
        <v>0</v>
      </c>
      <c r="Z64" s="1126">
        <f>SUM(Z56:Z63)</f>
        <v>4.2309609116959059</v>
      </c>
      <c r="AA64" s="1126">
        <f>SUM(AA56:AA63)</f>
        <v>418.86513025789475</v>
      </c>
      <c r="AB64" s="2461">
        <f t="shared" si="39"/>
        <v>2.0235774104775763</v>
      </c>
      <c r="AC64" s="1126">
        <f t="shared" si="29"/>
        <v>0.33104290784391122</v>
      </c>
      <c r="AD64" s="1126">
        <f>SUM(AD56:AD63)</f>
        <v>18.785758099999999</v>
      </c>
      <c r="AE64" s="2460">
        <f t="shared" si="6"/>
        <v>652.2896189358961</v>
      </c>
      <c r="AF64" s="1096"/>
    </row>
    <row r="65" spans="1:32" ht="25.5" customHeight="1">
      <c r="A65" s="1024"/>
      <c r="B65" s="2457" t="s">
        <v>1340</v>
      </c>
      <c r="C65" s="1024"/>
      <c r="D65" s="2466">
        <f>D64+D54+D37</f>
        <v>3511.541671921188</v>
      </c>
      <c r="E65" s="2466">
        <f>E64+E54+E37</f>
        <v>75</v>
      </c>
      <c r="F65" s="2460">
        <f>F64+F54+F37</f>
        <v>2425073</v>
      </c>
      <c r="G65" s="2460">
        <f>G64+G54+G37</f>
        <v>3199697.6102000005</v>
      </c>
      <c r="H65" s="2460">
        <f>H64+H54+H37</f>
        <v>1498803.9242000002</v>
      </c>
      <c r="I65" s="1125"/>
      <c r="J65" s="1096"/>
      <c r="K65" s="1096"/>
      <c r="L65" s="1204"/>
      <c r="M65" s="1204"/>
      <c r="N65" s="2469"/>
      <c r="O65" s="1096"/>
      <c r="P65" s="2470">
        <f>U65/(D65+E65)*1000</f>
        <v>553.68386235352602</v>
      </c>
      <c r="Q65" s="2463">
        <f>Q64+Q54+Q37</f>
        <v>117.47980798984696</v>
      </c>
      <c r="R65" s="2463">
        <f>R64+R54+R37</f>
        <v>1762.4907920401497</v>
      </c>
      <c r="S65" s="1126">
        <f>S64+S54+S37</f>
        <v>99.123365371199995</v>
      </c>
      <c r="T65" s="1126">
        <f>T64+T54+T37</f>
        <v>6.7162800000000002</v>
      </c>
      <c r="U65" s="1126">
        <f>U64+U54+U37</f>
        <v>1985.8102454011964</v>
      </c>
      <c r="V65" s="2464"/>
      <c r="W65" s="2460">
        <f>AA65/D65*1000</f>
        <v>559.84661001097879</v>
      </c>
      <c r="X65" s="1126">
        <f>X64+X54+X37</f>
        <v>1277.5120119016035</v>
      </c>
      <c r="Y65" s="1126">
        <f t="shared" si="19"/>
        <v>12.775120119016036</v>
      </c>
      <c r="Z65" s="1126">
        <f>Z64+Z54+Z37</f>
        <v>7.1104243448188331</v>
      </c>
      <c r="AA65" s="1126">
        <f>AA64+AA54+AA37</f>
        <v>1965.9247009373616</v>
      </c>
      <c r="AB65" s="2461">
        <f>W65/$G$71</f>
        <v>0.83831090553790488</v>
      </c>
      <c r="AC65" s="1126">
        <f t="shared" si="29"/>
        <v>0.2345997041594825</v>
      </c>
      <c r="AD65" s="1126">
        <f>AD64+AD54+AD37</f>
        <v>82.380663737640532</v>
      </c>
      <c r="AE65" s="2460">
        <f t="shared" si="6"/>
        <v>560.08120971513824</v>
      </c>
      <c r="AF65" s="1096"/>
    </row>
    <row r="67" spans="1:32">
      <c r="D67" s="1118" t="s">
        <v>461</v>
      </c>
      <c r="E67" s="1100" t="s">
        <v>862</v>
      </c>
    </row>
    <row r="68" spans="1:32">
      <c r="B68" s="1100" t="s">
        <v>1509</v>
      </c>
      <c r="C68" s="1100"/>
      <c r="D68" s="1099">
        <f>D37</f>
        <v>2552.775448917188</v>
      </c>
      <c r="E68" s="1098">
        <f>'F-5'!N38</f>
        <v>2005.2694986845083</v>
      </c>
      <c r="F68" s="1100" t="s">
        <v>4211</v>
      </c>
      <c r="G68" s="1265">
        <f>E68/D68*1000</f>
        <v>785.52522100409749</v>
      </c>
    </row>
    <row r="69" spans="1:32">
      <c r="B69" s="1100" t="s">
        <v>1511</v>
      </c>
      <c r="C69" s="1100"/>
      <c r="D69" s="1099">
        <f>D54</f>
        <v>391.29422300399995</v>
      </c>
      <c r="E69" s="1098">
        <f>'F-5'!M38</f>
        <v>157.00384049619251</v>
      </c>
      <c r="F69" s="1100" t="s">
        <v>4211</v>
      </c>
      <c r="G69" s="1265">
        <f>E69/D69*1000</f>
        <v>401.24241878875773</v>
      </c>
    </row>
    <row r="70" spans="1:32">
      <c r="B70" s="1100" t="s">
        <v>1512</v>
      </c>
      <c r="C70" s="1100"/>
      <c r="D70" s="1099">
        <f>D64</f>
        <v>567.47199999999998</v>
      </c>
      <c r="E70" s="1098">
        <f>'F-5'!L38</f>
        <v>182.8288036524761</v>
      </c>
      <c r="F70" s="1100" t="s">
        <v>4211</v>
      </c>
      <c r="G70" s="1265">
        <f>E70/D70*1000</f>
        <v>322.18118894408201</v>
      </c>
    </row>
    <row r="71" spans="1:32">
      <c r="B71" s="1100" t="s">
        <v>4212</v>
      </c>
      <c r="C71" s="1100"/>
      <c r="D71" s="1205">
        <f>SUM(D68:D70)</f>
        <v>3511.541671921188</v>
      </c>
      <c r="E71" s="1523">
        <f>E68+E69+E70</f>
        <v>2345.1021428331769</v>
      </c>
      <c r="F71" s="1100" t="s">
        <v>4211</v>
      </c>
      <c r="G71" s="1524">
        <f>E71/D71*1000</f>
        <v>667.82694381358601</v>
      </c>
    </row>
    <row r="82" spans="21:21">
      <c r="U82" s="1098">
        <v>0.13270982244262086</v>
      </c>
    </row>
  </sheetData>
  <mergeCells count="1">
    <mergeCell ref="AC2:AF2"/>
  </mergeCells>
  <printOptions horizontalCentered="1" verticalCentered="1"/>
  <pageMargins left="0" right="0" top="0" bottom="0" header="0" footer="0"/>
  <pageSetup paperSize="9" scale="50" fitToWidth="2" fitToHeight="2" orientation="landscape" r:id="rId1"/>
  <headerFooter alignWithMargins="0"/>
  <rowBreaks count="1" manualBreakCount="1">
    <brk id="37" max="31" man="1"/>
  </rowBreaks>
  <colBreaks count="1" manualBreakCount="1">
    <brk id="17" max="70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BO71"/>
  <sheetViews>
    <sheetView showOutlineSymbols="0" zoomScale="69" zoomScaleNormal="69" workbookViewId="0">
      <pane xSplit="2" ySplit="11" topLeftCell="AV76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defaultColWidth="14.7265625" defaultRowHeight="15" customHeight="1"/>
  <cols>
    <col min="1" max="1" width="7.26953125" style="1072" customWidth="1"/>
    <col min="2" max="2" width="31.7265625" style="1072" customWidth="1"/>
    <col min="3" max="3" width="12.1796875" style="1072" customWidth="1"/>
    <col min="4" max="4" width="20.54296875" style="1072" customWidth="1"/>
    <col min="5" max="5" width="20.26953125" style="1072" customWidth="1"/>
    <col min="6" max="6" width="14.54296875" style="1072" customWidth="1"/>
    <col min="7" max="7" width="12.7265625" style="1072" bestFit="1" customWidth="1"/>
    <col min="8" max="8" width="15" style="1072" customWidth="1"/>
    <col min="9" max="9" width="15.7265625" style="1072" customWidth="1"/>
    <col min="10" max="10" width="14" style="1072" customWidth="1"/>
    <col min="11" max="11" width="15" style="1072" customWidth="1"/>
    <col min="12" max="12" width="17.54296875" style="1072" customWidth="1"/>
    <col min="13" max="13" width="13.7265625" style="1072" customWidth="1"/>
    <col min="14" max="14" width="16.54296875" style="1072" customWidth="1"/>
    <col min="15" max="15" width="16.453125" style="1072" customWidth="1"/>
    <col min="16" max="16" width="14.81640625" style="1072" customWidth="1"/>
    <col min="17" max="17" width="13.7265625" style="1072" customWidth="1"/>
    <col min="18" max="18" width="15" style="1072" customWidth="1"/>
    <col min="19" max="19" width="16.1796875" style="1072" customWidth="1"/>
    <col min="20" max="21" width="15" style="1072" customWidth="1"/>
    <col min="22" max="25" width="13.7265625" style="1072" customWidth="1"/>
    <col min="26" max="26" width="14.7265625" style="1072" customWidth="1"/>
    <col min="27" max="27" width="13.7265625" style="1072" customWidth="1"/>
    <col min="28" max="33" width="14.7265625" style="1072" customWidth="1"/>
    <col min="34" max="34" width="16.26953125" style="1072" customWidth="1"/>
    <col min="35" max="37" width="14.7265625" style="1072" customWidth="1"/>
    <col min="38" max="38" width="17.453125" style="1072" customWidth="1"/>
    <col min="39" max="39" width="15" style="1072" customWidth="1"/>
    <col min="40" max="50" width="14.7265625" style="1072" customWidth="1"/>
    <col min="51" max="51" width="12.81640625" style="1072" customWidth="1"/>
    <col min="52" max="53" width="14.7265625" style="1072" customWidth="1"/>
    <col min="54" max="54" width="12.54296875" style="1072" customWidth="1"/>
    <col min="55" max="55" width="13.54296875" style="1072" customWidth="1"/>
    <col min="56" max="56" width="15.7265625" style="1072" customWidth="1"/>
    <col min="57" max="256" width="14.7265625" style="1072"/>
    <col min="257" max="257" width="7.26953125" style="1072" customWidth="1"/>
    <col min="258" max="258" width="31.7265625" style="1072" customWidth="1"/>
    <col min="259" max="259" width="12.1796875" style="1072" customWidth="1"/>
    <col min="260" max="260" width="20" style="1072" customWidth="1"/>
    <col min="261" max="261" width="21" style="1072" customWidth="1"/>
    <col min="262" max="262" width="12.81640625" style="1072" customWidth="1"/>
    <col min="263" max="263" width="11.54296875" style="1072" customWidth="1"/>
    <col min="264" max="264" width="15" style="1072" customWidth="1"/>
    <col min="265" max="265" width="18.81640625" style="1072" customWidth="1"/>
    <col min="266" max="267" width="15" style="1072" customWidth="1"/>
    <col min="268" max="268" width="17.54296875" style="1072" customWidth="1"/>
    <col min="269" max="269" width="13.7265625" style="1072" customWidth="1"/>
    <col min="270" max="270" width="16.54296875" style="1072" customWidth="1"/>
    <col min="271" max="271" width="16.453125" style="1072" customWidth="1"/>
    <col min="272" max="272" width="20.1796875" style="1072" customWidth="1"/>
    <col min="273" max="273" width="13.7265625" style="1072" customWidth="1"/>
    <col min="274" max="274" width="15" style="1072" customWidth="1"/>
    <col min="275" max="275" width="16.1796875" style="1072" customWidth="1"/>
    <col min="276" max="277" width="15" style="1072" customWidth="1"/>
    <col min="278" max="281" width="13.7265625" style="1072" customWidth="1"/>
    <col min="282" max="282" width="14.7265625" style="1072" customWidth="1"/>
    <col min="283" max="283" width="13.7265625" style="1072" customWidth="1"/>
    <col min="284" max="289" width="14.7265625" style="1072" customWidth="1"/>
    <col min="290" max="290" width="16.26953125" style="1072" customWidth="1"/>
    <col min="291" max="293" width="14.7265625" style="1072" customWidth="1"/>
    <col min="294" max="294" width="17.453125" style="1072" customWidth="1"/>
    <col min="295" max="295" width="15" style="1072" customWidth="1"/>
    <col min="296" max="311" width="14.7265625" style="1072" customWidth="1"/>
    <col min="312" max="312" width="16.1796875" style="1072" customWidth="1"/>
    <col min="313" max="512" width="14.7265625" style="1072"/>
    <col min="513" max="513" width="7.26953125" style="1072" customWidth="1"/>
    <col min="514" max="514" width="31.7265625" style="1072" customWidth="1"/>
    <col min="515" max="515" width="12.1796875" style="1072" customWidth="1"/>
    <col min="516" max="516" width="20" style="1072" customWidth="1"/>
    <col min="517" max="517" width="21" style="1072" customWidth="1"/>
    <col min="518" max="518" width="12.81640625" style="1072" customWidth="1"/>
    <col min="519" max="519" width="11.54296875" style="1072" customWidth="1"/>
    <col min="520" max="520" width="15" style="1072" customWidth="1"/>
    <col min="521" max="521" width="18.81640625" style="1072" customWidth="1"/>
    <col min="522" max="523" width="15" style="1072" customWidth="1"/>
    <col min="524" max="524" width="17.54296875" style="1072" customWidth="1"/>
    <col min="525" max="525" width="13.7265625" style="1072" customWidth="1"/>
    <col min="526" max="526" width="16.54296875" style="1072" customWidth="1"/>
    <col min="527" max="527" width="16.453125" style="1072" customWidth="1"/>
    <col min="528" max="528" width="20.1796875" style="1072" customWidth="1"/>
    <col min="529" max="529" width="13.7265625" style="1072" customWidth="1"/>
    <col min="530" max="530" width="15" style="1072" customWidth="1"/>
    <col min="531" max="531" width="16.1796875" style="1072" customWidth="1"/>
    <col min="532" max="533" width="15" style="1072" customWidth="1"/>
    <col min="534" max="537" width="13.7265625" style="1072" customWidth="1"/>
    <col min="538" max="538" width="14.7265625" style="1072" customWidth="1"/>
    <col min="539" max="539" width="13.7265625" style="1072" customWidth="1"/>
    <col min="540" max="545" width="14.7265625" style="1072" customWidth="1"/>
    <col min="546" max="546" width="16.26953125" style="1072" customWidth="1"/>
    <col min="547" max="549" width="14.7265625" style="1072" customWidth="1"/>
    <col min="550" max="550" width="17.453125" style="1072" customWidth="1"/>
    <col min="551" max="551" width="15" style="1072" customWidth="1"/>
    <col min="552" max="567" width="14.7265625" style="1072" customWidth="1"/>
    <col min="568" max="568" width="16.1796875" style="1072" customWidth="1"/>
    <col min="569" max="768" width="14.7265625" style="1072"/>
    <col min="769" max="769" width="7.26953125" style="1072" customWidth="1"/>
    <col min="770" max="770" width="31.7265625" style="1072" customWidth="1"/>
    <col min="771" max="771" width="12.1796875" style="1072" customWidth="1"/>
    <col min="772" max="772" width="20" style="1072" customWidth="1"/>
    <col min="773" max="773" width="21" style="1072" customWidth="1"/>
    <col min="774" max="774" width="12.81640625" style="1072" customWidth="1"/>
    <col min="775" max="775" width="11.54296875" style="1072" customWidth="1"/>
    <col min="776" max="776" width="15" style="1072" customWidth="1"/>
    <col min="777" max="777" width="18.81640625" style="1072" customWidth="1"/>
    <col min="778" max="779" width="15" style="1072" customWidth="1"/>
    <col min="780" max="780" width="17.54296875" style="1072" customWidth="1"/>
    <col min="781" max="781" width="13.7265625" style="1072" customWidth="1"/>
    <col min="782" max="782" width="16.54296875" style="1072" customWidth="1"/>
    <col min="783" max="783" width="16.453125" style="1072" customWidth="1"/>
    <col min="784" max="784" width="20.1796875" style="1072" customWidth="1"/>
    <col min="785" max="785" width="13.7265625" style="1072" customWidth="1"/>
    <col min="786" max="786" width="15" style="1072" customWidth="1"/>
    <col min="787" max="787" width="16.1796875" style="1072" customWidth="1"/>
    <col min="788" max="789" width="15" style="1072" customWidth="1"/>
    <col min="790" max="793" width="13.7265625" style="1072" customWidth="1"/>
    <col min="794" max="794" width="14.7265625" style="1072" customWidth="1"/>
    <col min="795" max="795" width="13.7265625" style="1072" customWidth="1"/>
    <col min="796" max="801" width="14.7265625" style="1072" customWidth="1"/>
    <col min="802" max="802" width="16.26953125" style="1072" customWidth="1"/>
    <col min="803" max="805" width="14.7265625" style="1072" customWidth="1"/>
    <col min="806" max="806" width="17.453125" style="1072" customWidth="1"/>
    <col min="807" max="807" width="15" style="1072" customWidth="1"/>
    <col min="808" max="823" width="14.7265625" style="1072" customWidth="1"/>
    <col min="824" max="824" width="16.1796875" style="1072" customWidth="1"/>
    <col min="825" max="1024" width="14.7265625" style="1072"/>
    <col min="1025" max="1025" width="7.26953125" style="1072" customWidth="1"/>
    <col min="1026" max="1026" width="31.7265625" style="1072" customWidth="1"/>
    <col min="1027" max="1027" width="12.1796875" style="1072" customWidth="1"/>
    <col min="1028" max="1028" width="20" style="1072" customWidth="1"/>
    <col min="1029" max="1029" width="21" style="1072" customWidth="1"/>
    <col min="1030" max="1030" width="12.81640625" style="1072" customWidth="1"/>
    <col min="1031" max="1031" width="11.54296875" style="1072" customWidth="1"/>
    <col min="1032" max="1032" width="15" style="1072" customWidth="1"/>
    <col min="1033" max="1033" width="18.81640625" style="1072" customWidth="1"/>
    <col min="1034" max="1035" width="15" style="1072" customWidth="1"/>
    <col min="1036" max="1036" width="17.54296875" style="1072" customWidth="1"/>
    <col min="1037" max="1037" width="13.7265625" style="1072" customWidth="1"/>
    <col min="1038" max="1038" width="16.54296875" style="1072" customWidth="1"/>
    <col min="1039" max="1039" width="16.453125" style="1072" customWidth="1"/>
    <col min="1040" max="1040" width="20.1796875" style="1072" customWidth="1"/>
    <col min="1041" max="1041" width="13.7265625" style="1072" customWidth="1"/>
    <col min="1042" max="1042" width="15" style="1072" customWidth="1"/>
    <col min="1043" max="1043" width="16.1796875" style="1072" customWidth="1"/>
    <col min="1044" max="1045" width="15" style="1072" customWidth="1"/>
    <col min="1046" max="1049" width="13.7265625" style="1072" customWidth="1"/>
    <col min="1050" max="1050" width="14.7265625" style="1072" customWidth="1"/>
    <col min="1051" max="1051" width="13.7265625" style="1072" customWidth="1"/>
    <col min="1052" max="1057" width="14.7265625" style="1072" customWidth="1"/>
    <col min="1058" max="1058" width="16.26953125" style="1072" customWidth="1"/>
    <col min="1059" max="1061" width="14.7265625" style="1072" customWidth="1"/>
    <col min="1062" max="1062" width="17.453125" style="1072" customWidth="1"/>
    <col min="1063" max="1063" width="15" style="1072" customWidth="1"/>
    <col min="1064" max="1079" width="14.7265625" style="1072" customWidth="1"/>
    <col min="1080" max="1080" width="16.1796875" style="1072" customWidth="1"/>
    <col min="1081" max="1280" width="14.7265625" style="1072"/>
    <col min="1281" max="1281" width="7.26953125" style="1072" customWidth="1"/>
    <col min="1282" max="1282" width="31.7265625" style="1072" customWidth="1"/>
    <col min="1283" max="1283" width="12.1796875" style="1072" customWidth="1"/>
    <col min="1284" max="1284" width="20" style="1072" customWidth="1"/>
    <col min="1285" max="1285" width="21" style="1072" customWidth="1"/>
    <col min="1286" max="1286" width="12.81640625" style="1072" customWidth="1"/>
    <col min="1287" max="1287" width="11.54296875" style="1072" customWidth="1"/>
    <col min="1288" max="1288" width="15" style="1072" customWidth="1"/>
    <col min="1289" max="1289" width="18.81640625" style="1072" customWidth="1"/>
    <col min="1290" max="1291" width="15" style="1072" customWidth="1"/>
    <col min="1292" max="1292" width="17.54296875" style="1072" customWidth="1"/>
    <col min="1293" max="1293" width="13.7265625" style="1072" customWidth="1"/>
    <col min="1294" max="1294" width="16.54296875" style="1072" customWidth="1"/>
    <col min="1295" max="1295" width="16.453125" style="1072" customWidth="1"/>
    <col min="1296" max="1296" width="20.1796875" style="1072" customWidth="1"/>
    <col min="1297" max="1297" width="13.7265625" style="1072" customWidth="1"/>
    <col min="1298" max="1298" width="15" style="1072" customWidth="1"/>
    <col min="1299" max="1299" width="16.1796875" style="1072" customWidth="1"/>
    <col min="1300" max="1301" width="15" style="1072" customWidth="1"/>
    <col min="1302" max="1305" width="13.7265625" style="1072" customWidth="1"/>
    <col min="1306" max="1306" width="14.7265625" style="1072" customWidth="1"/>
    <col min="1307" max="1307" width="13.7265625" style="1072" customWidth="1"/>
    <col min="1308" max="1313" width="14.7265625" style="1072" customWidth="1"/>
    <col min="1314" max="1314" width="16.26953125" style="1072" customWidth="1"/>
    <col min="1315" max="1317" width="14.7265625" style="1072" customWidth="1"/>
    <col min="1318" max="1318" width="17.453125" style="1072" customWidth="1"/>
    <col min="1319" max="1319" width="15" style="1072" customWidth="1"/>
    <col min="1320" max="1335" width="14.7265625" style="1072" customWidth="1"/>
    <col min="1336" max="1336" width="16.1796875" style="1072" customWidth="1"/>
    <col min="1337" max="1536" width="14.7265625" style="1072"/>
    <col min="1537" max="1537" width="7.26953125" style="1072" customWidth="1"/>
    <col min="1538" max="1538" width="31.7265625" style="1072" customWidth="1"/>
    <col min="1539" max="1539" width="12.1796875" style="1072" customWidth="1"/>
    <col min="1540" max="1540" width="20" style="1072" customWidth="1"/>
    <col min="1541" max="1541" width="21" style="1072" customWidth="1"/>
    <col min="1542" max="1542" width="12.81640625" style="1072" customWidth="1"/>
    <col min="1543" max="1543" width="11.54296875" style="1072" customWidth="1"/>
    <col min="1544" max="1544" width="15" style="1072" customWidth="1"/>
    <col min="1545" max="1545" width="18.81640625" style="1072" customWidth="1"/>
    <col min="1546" max="1547" width="15" style="1072" customWidth="1"/>
    <col min="1548" max="1548" width="17.54296875" style="1072" customWidth="1"/>
    <col min="1549" max="1549" width="13.7265625" style="1072" customWidth="1"/>
    <col min="1550" max="1550" width="16.54296875" style="1072" customWidth="1"/>
    <col min="1551" max="1551" width="16.453125" style="1072" customWidth="1"/>
    <col min="1552" max="1552" width="20.1796875" style="1072" customWidth="1"/>
    <col min="1553" max="1553" width="13.7265625" style="1072" customWidth="1"/>
    <col min="1554" max="1554" width="15" style="1072" customWidth="1"/>
    <col min="1555" max="1555" width="16.1796875" style="1072" customWidth="1"/>
    <col min="1556" max="1557" width="15" style="1072" customWidth="1"/>
    <col min="1558" max="1561" width="13.7265625" style="1072" customWidth="1"/>
    <col min="1562" max="1562" width="14.7265625" style="1072" customWidth="1"/>
    <col min="1563" max="1563" width="13.7265625" style="1072" customWidth="1"/>
    <col min="1564" max="1569" width="14.7265625" style="1072" customWidth="1"/>
    <col min="1570" max="1570" width="16.26953125" style="1072" customWidth="1"/>
    <col min="1571" max="1573" width="14.7265625" style="1072" customWidth="1"/>
    <col min="1574" max="1574" width="17.453125" style="1072" customWidth="1"/>
    <col min="1575" max="1575" width="15" style="1072" customWidth="1"/>
    <col min="1576" max="1591" width="14.7265625" style="1072" customWidth="1"/>
    <col min="1592" max="1592" width="16.1796875" style="1072" customWidth="1"/>
    <col min="1593" max="1792" width="14.7265625" style="1072"/>
    <col min="1793" max="1793" width="7.26953125" style="1072" customWidth="1"/>
    <col min="1794" max="1794" width="31.7265625" style="1072" customWidth="1"/>
    <col min="1795" max="1795" width="12.1796875" style="1072" customWidth="1"/>
    <col min="1796" max="1796" width="20" style="1072" customWidth="1"/>
    <col min="1797" max="1797" width="21" style="1072" customWidth="1"/>
    <col min="1798" max="1798" width="12.81640625" style="1072" customWidth="1"/>
    <col min="1799" max="1799" width="11.54296875" style="1072" customWidth="1"/>
    <col min="1800" max="1800" width="15" style="1072" customWidth="1"/>
    <col min="1801" max="1801" width="18.81640625" style="1072" customWidth="1"/>
    <col min="1802" max="1803" width="15" style="1072" customWidth="1"/>
    <col min="1804" max="1804" width="17.54296875" style="1072" customWidth="1"/>
    <col min="1805" max="1805" width="13.7265625" style="1072" customWidth="1"/>
    <col min="1806" max="1806" width="16.54296875" style="1072" customWidth="1"/>
    <col min="1807" max="1807" width="16.453125" style="1072" customWidth="1"/>
    <col min="1808" max="1808" width="20.1796875" style="1072" customWidth="1"/>
    <col min="1809" max="1809" width="13.7265625" style="1072" customWidth="1"/>
    <col min="1810" max="1810" width="15" style="1072" customWidth="1"/>
    <col min="1811" max="1811" width="16.1796875" style="1072" customWidth="1"/>
    <col min="1812" max="1813" width="15" style="1072" customWidth="1"/>
    <col min="1814" max="1817" width="13.7265625" style="1072" customWidth="1"/>
    <col min="1818" max="1818" width="14.7265625" style="1072" customWidth="1"/>
    <col min="1819" max="1819" width="13.7265625" style="1072" customWidth="1"/>
    <col min="1820" max="1825" width="14.7265625" style="1072" customWidth="1"/>
    <col min="1826" max="1826" width="16.26953125" style="1072" customWidth="1"/>
    <col min="1827" max="1829" width="14.7265625" style="1072" customWidth="1"/>
    <col min="1830" max="1830" width="17.453125" style="1072" customWidth="1"/>
    <col min="1831" max="1831" width="15" style="1072" customWidth="1"/>
    <col min="1832" max="1847" width="14.7265625" style="1072" customWidth="1"/>
    <col min="1848" max="1848" width="16.1796875" style="1072" customWidth="1"/>
    <col min="1849" max="2048" width="14.7265625" style="1072"/>
    <col min="2049" max="2049" width="7.26953125" style="1072" customWidth="1"/>
    <col min="2050" max="2050" width="31.7265625" style="1072" customWidth="1"/>
    <col min="2051" max="2051" width="12.1796875" style="1072" customWidth="1"/>
    <col min="2052" max="2052" width="20" style="1072" customWidth="1"/>
    <col min="2053" max="2053" width="21" style="1072" customWidth="1"/>
    <col min="2054" max="2054" width="12.81640625" style="1072" customWidth="1"/>
    <col min="2055" max="2055" width="11.54296875" style="1072" customWidth="1"/>
    <col min="2056" max="2056" width="15" style="1072" customWidth="1"/>
    <col min="2057" max="2057" width="18.81640625" style="1072" customWidth="1"/>
    <col min="2058" max="2059" width="15" style="1072" customWidth="1"/>
    <col min="2060" max="2060" width="17.54296875" style="1072" customWidth="1"/>
    <col min="2061" max="2061" width="13.7265625" style="1072" customWidth="1"/>
    <col min="2062" max="2062" width="16.54296875" style="1072" customWidth="1"/>
    <col min="2063" max="2063" width="16.453125" style="1072" customWidth="1"/>
    <col min="2064" max="2064" width="20.1796875" style="1072" customWidth="1"/>
    <col min="2065" max="2065" width="13.7265625" style="1072" customWidth="1"/>
    <col min="2066" max="2066" width="15" style="1072" customWidth="1"/>
    <col min="2067" max="2067" width="16.1796875" style="1072" customWidth="1"/>
    <col min="2068" max="2069" width="15" style="1072" customWidth="1"/>
    <col min="2070" max="2073" width="13.7265625" style="1072" customWidth="1"/>
    <col min="2074" max="2074" width="14.7265625" style="1072" customWidth="1"/>
    <col min="2075" max="2075" width="13.7265625" style="1072" customWidth="1"/>
    <col min="2076" max="2081" width="14.7265625" style="1072" customWidth="1"/>
    <col min="2082" max="2082" width="16.26953125" style="1072" customWidth="1"/>
    <col min="2083" max="2085" width="14.7265625" style="1072" customWidth="1"/>
    <col min="2086" max="2086" width="17.453125" style="1072" customWidth="1"/>
    <col min="2087" max="2087" width="15" style="1072" customWidth="1"/>
    <col min="2088" max="2103" width="14.7265625" style="1072" customWidth="1"/>
    <col min="2104" max="2104" width="16.1796875" style="1072" customWidth="1"/>
    <col min="2105" max="2304" width="14.7265625" style="1072"/>
    <col min="2305" max="2305" width="7.26953125" style="1072" customWidth="1"/>
    <col min="2306" max="2306" width="31.7265625" style="1072" customWidth="1"/>
    <col min="2307" max="2307" width="12.1796875" style="1072" customWidth="1"/>
    <col min="2308" max="2308" width="20" style="1072" customWidth="1"/>
    <col min="2309" max="2309" width="21" style="1072" customWidth="1"/>
    <col min="2310" max="2310" width="12.81640625" style="1072" customWidth="1"/>
    <col min="2311" max="2311" width="11.54296875" style="1072" customWidth="1"/>
    <col min="2312" max="2312" width="15" style="1072" customWidth="1"/>
    <col min="2313" max="2313" width="18.81640625" style="1072" customWidth="1"/>
    <col min="2314" max="2315" width="15" style="1072" customWidth="1"/>
    <col min="2316" max="2316" width="17.54296875" style="1072" customWidth="1"/>
    <col min="2317" max="2317" width="13.7265625" style="1072" customWidth="1"/>
    <col min="2318" max="2318" width="16.54296875" style="1072" customWidth="1"/>
    <col min="2319" max="2319" width="16.453125" style="1072" customWidth="1"/>
    <col min="2320" max="2320" width="20.1796875" style="1072" customWidth="1"/>
    <col min="2321" max="2321" width="13.7265625" style="1072" customWidth="1"/>
    <col min="2322" max="2322" width="15" style="1072" customWidth="1"/>
    <col min="2323" max="2323" width="16.1796875" style="1072" customWidth="1"/>
    <col min="2324" max="2325" width="15" style="1072" customWidth="1"/>
    <col min="2326" max="2329" width="13.7265625" style="1072" customWidth="1"/>
    <col min="2330" max="2330" width="14.7265625" style="1072" customWidth="1"/>
    <col min="2331" max="2331" width="13.7265625" style="1072" customWidth="1"/>
    <col min="2332" max="2337" width="14.7265625" style="1072" customWidth="1"/>
    <col min="2338" max="2338" width="16.26953125" style="1072" customWidth="1"/>
    <col min="2339" max="2341" width="14.7265625" style="1072" customWidth="1"/>
    <col min="2342" max="2342" width="17.453125" style="1072" customWidth="1"/>
    <col min="2343" max="2343" width="15" style="1072" customWidth="1"/>
    <col min="2344" max="2359" width="14.7265625" style="1072" customWidth="1"/>
    <col min="2360" max="2360" width="16.1796875" style="1072" customWidth="1"/>
    <col min="2361" max="2560" width="14.7265625" style="1072"/>
    <col min="2561" max="2561" width="7.26953125" style="1072" customWidth="1"/>
    <col min="2562" max="2562" width="31.7265625" style="1072" customWidth="1"/>
    <col min="2563" max="2563" width="12.1796875" style="1072" customWidth="1"/>
    <col min="2564" max="2564" width="20" style="1072" customWidth="1"/>
    <col min="2565" max="2565" width="21" style="1072" customWidth="1"/>
    <col min="2566" max="2566" width="12.81640625" style="1072" customWidth="1"/>
    <col min="2567" max="2567" width="11.54296875" style="1072" customWidth="1"/>
    <col min="2568" max="2568" width="15" style="1072" customWidth="1"/>
    <col min="2569" max="2569" width="18.81640625" style="1072" customWidth="1"/>
    <col min="2570" max="2571" width="15" style="1072" customWidth="1"/>
    <col min="2572" max="2572" width="17.54296875" style="1072" customWidth="1"/>
    <col min="2573" max="2573" width="13.7265625" style="1072" customWidth="1"/>
    <col min="2574" max="2574" width="16.54296875" style="1072" customWidth="1"/>
    <col min="2575" max="2575" width="16.453125" style="1072" customWidth="1"/>
    <col min="2576" max="2576" width="20.1796875" style="1072" customWidth="1"/>
    <col min="2577" max="2577" width="13.7265625" style="1072" customWidth="1"/>
    <col min="2578" max="2578" width="15" style="1072" customWidth="1"/>
    <col min="2579" max="2579" width="16.1796875" style="1072" customWidth="1"/>
    <col min="2580" max="2581" width="15" style="1072" customWidth="1"/>
    <col min="2582" max="2585" width="13.7265625" style="1072" customWidth="1"/>
    <col min="2586" max="2586" width="14.7265625" style="1072" customWidth="1"/>
    <col min="2587" max="2587" width="13.7265625" style="1072" customWidth="1"/>
    <col min="2588" max="2593" width="14.7265625" style="1072" customWidth="1"/>
    <col min="2594" max="2594" width="16.26953125" style="1072" customWidth="1"/>
    <col min="2595" max="2597" width="14.7265625" style="1072" customWidth="1"/>
    <col min="2598" max="2598" width="17.453125" style="1072" customWidth="1"/>
    <col min="2599" max="2599" width="15" style="1072" customWidth="1"/>
    <col min="2600" max="2615" width="14.7265625" style="1072" customWidth="1"/>
    <col min="2616" max="2616" width="16.1796875" style="1072" customWidth="1"/>
    <col min="2617" max="2816" width="14.7265625" style="1072"/>
    <col min="2817" max="2817" width="7.26953125" style="1072" customWidth="1"/>
    <col min="2818" max="2818" width="31.7265625" style="1072" customWidth="1"/>
    <col min="2819" max="2819" width="12.1796875" style="1072" customWidth="1"/>
    <col min="2820" max="2820" width="20" style="1072" customWidth="1"/>
    <col min="2821" max="2821" width="21" style="1072" customWidth="1"/>
    <col min="2822" max="2822" width="12.81640625" style="1072" customWidth="1"/>
    <col min="2823" max="2823" width="11.54296875" style="1072" customWidth="1"/>
    <col min="2824" max="2824" width="15" style="1072" customWidth="1"/>
    <col min="2825" max="2825" width="18.81640625" style="1072" customWidth="1"/>
    <col min="2826" max="2827" width="15" style="1072" customWidth="1"/>
    <col min="2828" max="2828" width="17.54296875" style="1072" customWidth="1"/>
    <col min="2829" max="2829" width="13.7265625" style="1072" customWidth="1"/>
    <col min="2830" max="2830" width="16.54296875" style="1072" customWidth="1"/>
    <col min="2831" max="2831" width="16.453125" style="1072" customWidth="1"/>
    <col min="2832" max="2832" width="20.1796875" style="1072" customWidth="1"/>
    <col min="2833" max="2833" width="13.7265625" style="1072" customWidth="1"/>
    <col min="2834" max="2834" width="15" style="1072" customWidth="1"/>
    <col min="2835" max="2835" width="16.1796875" style="1072" customWidth="1"/>
    <col min="2836" max="2837" width="15" style="1072" customWidth="1"/>
    <col min="2838" max="2841" width="13.7265625" style="1072" customWidth="1"/>
    <col min="2842" max="2842" width="14.7265625" style="1072" customWidth="1"/>
    <col min="2843" max="2843" width="13.7265625" style="1072" customWidth="1"/>
    <col min="2844" max="2849" width="14.7265625" style="1072" customWidth="1"/>
    <col min="2850" max="2850" width="16.26953125" style="1072" customWidth="1"/>
    <col min="2851" max="2853" width="14.7265625" style="1072" customWidth="1"/>
    <col min="2854" max="2854" width="17.453125" style="1072" customWidth="1"/>
    <col min="2855" max="2855" width="15" style="1072" customWidth="1"/>
    <col min="2856" max="2871" width="14.7265625" style="1072" customWidth="1"/>
    <col min="2872" max="2872" width="16.1796875" style="1072" customWidth="1"/>
    <col min="2873" max="3072" width="14.7265625" style="1072"/>
    <col min="3073" max="3073" width="7.26953125" style="1072" customWidth="1"/>
    <col min="3074" max="3074" width="31.7265625" style="1072" customWidth="1"/>
    <col min="3075" max="3075" width="12.1796875" style="1072" customWidth="1"/>
    <col min="3076" max="3076" width="20" style="1072" customWidth="1"/>
    <col min="3077" max="3077" width="21" style="1072" customWidth="1"/>
    <col min="3078" max="3078" width="12.81640625" style="1072" customWidth="1"/>
    <col min="3079" max="3079" width="11.54296875" style="1072" customWidth="1"/>
    <col min="3080" max="3080" width="15" style="1072" customWidth="1"/>
    <col min="3081" max="3081" width="18.81640625" style="1072" customWidth="1"/>
    <col min="3082" max="3083" width="15" style="1072" customWidth="1"/>
    <col min="3084" max="3084" width="17.54296875" style="1072" customWidth="1"/>
    <col min="3085" max="3085" width="13.7265625" style="1072" customWidth="1"/>
    <col min="3086" max="3086" width="16.54296875" style="1072" customWidth="1"/>
    <col min="3087" max="3087" width="16.453125" style="1072" customWidth="1"/>
    <col min="3088" max="3088" width="20.1796875" style="1072" customWidth="1"/>
    <col min="3089" max="3089" width="13.7265625" style="1072" customWidth="1"/>
    <col min="3090" max="3090" width="15" style="1072" customWidth="1"/>
    <col min="3091" max="3091" width="16.1796875" style="1072" customWidth="1"/>
    <col min="3092" max="3093" width="15" style="1072" customWidth="1"/>
    <col min="3094" max="3097" width="13.7265625" style="1072" customWidth="1"/>
    <col min="3098" max="3098" width="14.7265625" style="1072" customWidth="1"/>
    <col min="3099" max="3099" width="13.7265625" style="1072" customWidth="1"/>
    <col min="3100" max="3105" width="14.7265625" style="1072" customWidth="1"/>
    <col min="3106" max="3106" width="16.26953125" style="1072" customWidth="1"/>
    <col min="3107" max="3109" width="14.7265625" style="1072" customWidth="1"/>
    <col min="3110" max="3110" width="17.453125" style="1072" customWidth="1"/>
    <col min="3111" max="3111" width="15" style="1072" customWidth="1"/>
    <col min="3112" max="3127" width="14.7265625" style="1072" customWidth="1"/>
    <col min="3128" max="3128" width="16.1796875" style="1072" customWidth="1"/>
    <col min="3129" max="3328" width="14.7265625" style="1072"/>
    <col min="3329" max="3329" width="7.26953125" style="1072" customWidth="1"/>
    <col min="3330" max="3330" width="31.7265625" style="1072" customWidth="1"/>
    <col min="3331" max="3331" width="12.1796875" style="1072" customWidth="1"/>
    <col min="3332" max="3332" width="20" style="1072" customWidth="1"/>
    <col min="3333" max="3333" width="21" style="1072" customWidth="1"/>
    <col min="3334" max="3334" width="12.81640625" style="1072" customWidth="1"/>
    <col min="3335" max="3335" width="11.54296875" style="1072" customWidth="1"/>
    <col min="3336" max="3336" width="15" style="1072" customWidth="1"/>
    <col min="3337" max="3337" width="18.81640625" style="1072" customWidth="1"/>
    <col min="3338" max="3339" width="15" style="1072" customWidth="1"/>
    <col min="3340" max="3340" width="17.54296875" style="1072" customWidth="1"/>
    <col min="3341" max="3341" width="13.7265625" style="1072" customWidth="1"/>
    <col min="3342" max="3342" width="16.54296875" style="1072" customWidth="1"/>
    <col min="3343" max="3343" width="16.453125" style="1072" customWidth="1"/>
    <col min="3344" max="3344" width="20.1796875" style="1072" customWidth="1"/>
    <col min="3345" max="3345" width="13.7265625" style="1072" customWidth="1"/>
    <col min="3346" max="3346" width="15" style="1072" customWidth="1"/>
    <col min="3347" max="3347" width="16.1796875" style="1072" customWidth="1"/>
    <col min="3348" max="3349" width="15" style="1072" customWidth="1"/>
    <col min="3350" max="3353" width="13.7265625" style="1072" customWidth="1"/>
    <col min="3354" max="3354" width="14.7265625" style="1072" customWidth="1"/>
    <col min="3355" max="3355" width="13.7265625" style="1072" customWidth="1"/>
    <col min="3356" max="3361" width="14.7265625" style="1072" customWidth="1"/>
    <col min="3362" max="3362" width="16.26953125" style="1072" customWidth="1"/>
    <col min="3363" max="3365" width="14.7265625" style="1072" customWidth="1"/>
    <col min="3366" max="3366" width="17.453125" style="1072" customWidth="1"/>
    <col min="3367" max="3367" width="15" style="1072" customWidth="1"/>
    <col min="3368" max="3383" width="14.7265625" style="1072" customWidth="1"/>
    <col min="3384" max="3384" width="16.1796875" style="1072" customWidth="1"/>
    <col min="3385" max="3584" width="14.7265625" style="1072"/>
    <col min="3585" max="3585" width="7.26953125" style="1072" customWidth="1"/>
    <col min="3586" max="3586" width="31.7265625" style="1072" customWidth="1"/>
    <col min="3587" max="3587" width="12.1796875" style="1072" customWidth="1"/>
    <col min="3588" max="3588" width="20" style="1072" customWidth="1"/>
    <col min="3589" max="3589" width="21" style="1072" customWidth="1"/>
    <col min="3590" max="3590" width="12.81640625" style="1072" customWidth="1"/>
    <col min="3591" max="3591" width="11.54296875" style="1072" customWidth="1"/>
    <col min="3592" max="3592" width="15" style="1072" customWidth="1"/>
    <col min="3593" max="3593" width="18.81640625" style="1072" customWidth="1"/>
    <col min="3594" max="3595" width="15" style="1072" customWidth="1"/>
    <col min="3596" max="3596" width="17.54296875" style="1072" customWidth="1"/>
    <col min="3597" max="3597" width="13.7265625" style="1072" customWidth="1"/>
    <col min="3598" max="3598" width="16.54296875" style="1072" customWidth="1"/>
    <col min="3599" max="3599" width="16.453125" style="1072" customWidth="1"/>
    <col min="3600" max="3600" width="20.1796875" style="1072" customWidth="1"/>
    <col min="3601" max="3601" width="13.7265625" style="1072" customWidth="1"/>
    <col min="3602" max="3602" width="15" style="1072" customWidth="1"/>
    <col min="3603" max="3603" width="16.1796875" style="1072" customWidth="1"/>
    <col min="3604" max="3605" width="15" style="1072" customWidth="1"/>
    <col min="3606" max="3609" width="13.7265625" style="1072" customWidth="1"/>
    <col min="3610" max="3610" width="14.7265625" style="1072" customWidth="1"/>
    <col min="3611" max="3611" width="13.7265625" style="1072" customWidth="1"/>
    <col min="3612" max="3617" width="14.7265625" style="1072" customWidth="1"/>
    <col min="3618" max="3618" width="16.26953125" style="1072" customWidth="1"/>
    <col min="3619" max="3621" width="14.7265625" style="1072" customWidth="1"/>
    <col min="3622" max="3622" width="17.453125" style="1072" customWidth="1"/>
    <col min="3623" max="3623" width="15" style="1072" customWidth="1"/>
    <col min="3624" max="3639" width="14.7265625" style="1072" customWidth="1"/>
    <col min="3640" max="3640" width="16.1796875" style="1072" customWidth="1"/>
    <col min="3641" max="3840" width="14.7265625" style="1072"/>
    <col min="3841" max="3841" width="7.26953125" style="1072" customWidth="1"/>
    <col min="3842" max="3842" width="31.7265625" style="1072" customWidth="1"/>
    <col min="3843" max="3843" width="12.1796875" style="1072" customWidth="1"/>
    <col min="3844" max="3844" width="20" style="1072" customWidth="1"/>
    <col min="3845" max="3845" width="21" style="1072" customWidth="1"/>
    <col min="3846" max="3846" width="12.81640625" style="1072" customWidth="1"/>
    <col min="3847" max="3847" width="11.54296875" style="1072" customWidth="1"/>
    <col min="3848" max="3848" width="15" style="1072" customWidth="1"/>
    <col min="3849" max="3849" width="18.81640625" style="1072" customWidth="1"/>
    <col min="3850" max="3851" width="15" style="1072" customWidth="1"/>
    <col min="3852" max="3852" width="17.54296875" style="1072" customWidth="1"/>
    <col min="3853" max="3853" width="13.7265625" style="1072" customWidth="1"/>
    <col min="3854" max="3854" width="16.54296875" style="1072" customWidth="1"/>
    <col min="3855" max="3855" width="16.453125" style="1072" customWidth="1"/>
    <col min="3856" max="3856" width="20.1796875" style="1072" customWidth="1"/>
    <col min="3857" max="3857" width="13.7265625" style="1072" customWidth="1"/>
    <col min="3858" max="3858" width="15" style="1072" customWidth="1"/>
    <col min="3859" max="3859" width="16.1796875" style="1072" customWidth="1"/>
    <col min="3860" max="3861" width="15" style="1072" customWidth="1"/>
    <col min="3862" max="3865" width="13.7265625" style="1072" customWidth="1"/>
    <col min="3866" max="3866" width="14.7265625" style="1072" customWidth="1"/>
    <col min="3867" max="3867" width="13.7265625" style="1072" customWidth="1"/>
    <col min="3868" max="3873" width="14.7265625" style="1072" customWidth="1"/>
    <col min="3874" max="3874" width="16.26953125" style="1072" customWidth="1"/>
    <col min="3875" max="3877" width="14.7265625" style="1072" customWidth="1"/>
    <col min="3878" max="3878" width="17.453125" style="1072" customWidth="1"/>
    <col min="3879" max="3879" width="15" style="1072" customWidth="1"/>
    <col min="3880" max="3895" width="14.7265625" style="1072" customWidth="1"/>
    <col min="3896" max="3896" width="16.1796875" style="1072" customWidth="1"/>
    <col min="3897" max="4096" width="14.7265625" style="1072"/>
    <col min="4097" max="4097" width="7.26953125" style="1072" customWidth="1"/>
    <col min="4098" max="4098" width="31.7265625" style="1072" customWidth="1"/>
    <col min="4099" max="4099" width="12.1796875" style="1072" customWidth="1"/>
    <col min="4100" max="4100" width="20" style="1072" customWidth="1"/>
    <col min="4101" max="4101" width="21" style="1072" customWidth="1"/>
    <col min="4102" max="4102" width="12.81640625" style="1072" customWidth="1"/>
    <col min="4103" max="4103" width="11.54296875" style="1072" customWidth="1"/>
    <col min="4104" max="4104" width="15" style="1072" customWidth="1"/>
    <col min="4105" max="4105" width="18.81640625" style="1072" customWidth="1"/>
    <col min="4106" max="4107" width="15" style="1072" customWidth="1"/>
    <col min="4108" max="4108" width="17.54296875" style="1072" customWidth="1"/>
    <col min="4109" max="4109" width="13.7265625" style="1072" customWidth="1"/>
    <col min="4110" max="4110" width="16.54296875" style="1072" customWidth="1"/>
    <col min="4111" max="4111" width="16.453125" style="1072" customWidth="1"/>
    <col min="4112" max="4112" width="20.1796875" style="1072" customWidth="1"/>
    <col min="4113" max="4113" width="13.7265625" style="1072" customWidth="1"/>
    <col min="4114" max="4114" width="15" style="1072" customWidth="1"/>
    <col min="4115" max="4115" width="16.1796875" style="1072" customWidth="1"/>
    <col min="4116" max="4117" width="15" style="1072" customWidth="1"/>
    <col min="4118" max="4121" width="13.7265625" style="1072" customWidth="1"/>
    <col min="4122" max="4122" width="14.7265625" style="1072" customWidth="1"/>
    <col min="4123" max="4123" width="13.7265625" style="1072" customWidth="1"/>
    <col min="4124" max="4129" width="14.7265625" style="1072" customWidth="1"/>
    <col min="4130" max="4130" width="16.26953125" style="1072" customWidth="1"/>
    <col min="4131" max="4133" width="14.7265625" style="1072" customWidth="1"/>
    <col min="4134" max="4134" width="17.453125" style="1072" customWidth="1"/>
    <col min="4135" max="4135" width="15" style="1072" customWidth="1"/>
    <col min="4136" max="4151" width="14.7265625" style="1072" customWidth="1"/>
    <col min="4152" max="4152" width="16.1796875" style="1072" customWidth="1"/>
    <col min="4153" max="4352" width="14.7265625" style="1072"/>
    <col min="4353" max="4353" width="7.26953125" style="1072" customWidth="1"/>
    <col min="4354" max="4354" width="31.7265625" style="1072" customWidth="1"/>
    <col min="4355" max="4355" width="12.1796875" style="1072" customWidth="1"/>
    <col min="4356" max="4356" width="20" style="1072" customWidth="1"/>
    <col min="4357" max="4357" width="21" style="1072" customWidth="1"/>
    <col min="4358" max="4358" width="12.81640625" style="1072" customWidth="1"/>
    <col min="4359" max="4359" width="11.54296875" style="1072" customWidth="1"/>
    <col min="4360" max="4360" width="15" style="1072" customWidth="1"/>
    <col min="4361" max="4361" width="18.81640625" style="1072" customWidth="1"/>
    <col min="4362" max="4363" width="15" style="1072" customWidth="1"/>
    <col min="4364" max="4364" width="17.54296875" style="1072" customWidth="1"/>
    <col min="4365" max="4365" width="13.7265625" style="1072" customWidth="1"/>
    <col min="4366" max="4366" width="16.54296875" style="1072" customWidth="1"/>
    <col min="4367" max="4367" width="16.453125" style="1072" customWidth="1"/>
    <col min="4368" max="4368" width="20.1796875" style="1072" customWidth="1"/>
    <col min="4369" max="4369" width="13.7265625" style="1072" customWidth="1"/>
    <col min="4370" max="4370" width="15" style="1072" customWidth="1"/>
    <col min="4371" max="4371" width="16.1796875" style="1072" customWidth="1"/>
    <col min="4372" max="4373" width="15" style="1072" customWidth="1"/>
    <col min="4374" max="4377" width="13.7265625" style="1072" customWidth="1"/>
    <col min="4378" max="4378" width="14.7265625" style="1072" customWidth="1"/>
    <col min="4379" max="4379" width="13.7265625" style="1072" customWidth="1"/>
    <col min="4380" max="4385" width="14.7265625" style="1072" customWidth="1"/>
    <col min="4386" max="4386" width="16.26953125" style="1072" customWidth="1"/>
    <col min="4387" max="4389" width="14.7265625" style="1072" customWidth="1"/>
    <col min="4390" max="4390" width="17.453125" style="1072" customWidth="1"/>
    <col min="4391" max="4391" width="15" style="1072" customWidth="1"/>
    <col min="4392" max="4407" width="14.7265625" style="1072" customWidth="1"/>
    <col min="4408" max="4408" width="16.1796875" style="1072" customWidth="1"/>
    <col min="4409" max="4608" width="14.7265625" style="1072"/>
    <col min="4609" max="4609" width="7.26953125" style="1072" customWidth="1"/>
    <col min="4610" max="4610" width="31.7265625" style="1072" customWidth="1"/>
    <col min="4611" max="4611" width="12.1796875" style="1072" customWidth="1"/>
    <col min="4612" max="4612" width="20" style="1072" customWidth="1"/>
    <col min="4613" max="4613" width="21" style="1072" customWidth="1"/>
    <col min="4614" max="4614" width="12.81640625" style="1072" customWidth="1"/>
    <col min="4615" max="4615" width="11.54296875" style="1072" customWidth="1"/>
    <col min="4616" max="4616" width="15" style="1072" customWidth="1"/>
    <col min="4617" max="4617" width="18.81640625" style="1072" customWidth="1"/>
    <col min="4618" max="4619" width="15" style="1072" customWidth="1"/>
    <col min="4620" max="4620" width="17.54296875" style="1072" customWidth="1"/>
    <col min="4621" max="4621" width="13.7265625" style="1072" customWidth="1"/>
    <col min="4622" max="4622" width="16.54296875" style="1072" customWidth="1"/>
    <col min="4623" max="4623" width="16.453125" style="1072" customWidth="1"/>
    <col min="4624" max="4624" width="20.1796875" style="1072" customWidth="1"/>
    <col min="4625" max="4625" width="13.7265625" style="1072" customWidth="1"/>
    <col min="4626" max="4626" width="15" style="1072" customWidth="1"/>
    <col min="4627" max="4627" width="16.1796875" style="1072" customWidth="1"/>
    <col min="4628" max="4629" width="15" style="1072" customWidth="1"/>
    <col min="4630" max="4633" width="13.7265625" style="1072" customWidth="1"/>
    <col min="4634" max="4634" width="14.7265625" style="1072" customWidth="1"/>
    <col min="4635" max="4635" width="13.7265625" style="1072" customWidth="1"/>
    <col min="4636" max="4641" width="14.7265625" style="1072" customWidth="1"/>
    <col min="4642" max="4642" width="16.26953125" style="1072" customWidth="1"/>
    <col min="4643" max="4645" width="14.7265625" style="1072" customWidth="1"/>
    <col min="4646" max="4646" width="17.453125" style="1072" customWidth="1"/>
    <col min="4647" max="4647" width="15" style="1072" customWidth="1"/>
    <col min="4648" max="4663" width="14.7265625" style="1072" customWidth="1"/>
    <col min="4664" max="4664" width="16.1796875" style="1072" customWidth="1"/>
    <col min="4665" max="4864" width="14.7265625" style="1072"/>
    <col min="4865" max="4865" width="7.26953125" style="1072" customWidth="1"/>
    <col min="4866" max="4866" width="31.7265625" style="1072" customWidth="1"/>
    <col min="4867" max="4867" width="12.1796875" style="1072" customWidth="1"/>
    <col min="4868" max="4868" width="20" style="1072" customWidth="1"/>
    <col min="4869" max="4869" width="21" style="1072" customWidth="1"/>
    <col min="4870" max="4870" width="12.81640625" style="1072" customWidth="1"/>
    <col min="4871" max="4871" width="11.54296875" style="1072" customWidth="1"/>
    <col min="4872" max="4872" width="15" style="1072" customWidth="1"/>
    <col min="4873" max="4873" width="18.81640625" style="1072" customWidth="1"/>
    <col min="4874" max="4875" width="15" style="1072" customWidth="1"/>
    <col min="4876" max="4876" width="17.54296875" style="1072" customWidth="1"/>
    <col min="4877" max="4877" width="13.7265625" style="1072" customWidth="1"/>
    <col min="4878" max="4878" width="16.54296875" style="1072" customWidth="1"/>
    <col min="4879" max="4879" width="16.453125" style="1072" customWidth="1"/>
    <col min="4880" max="4880" width="20.1796875" style="1072" customWidth="1"/>
    <col min="4881" max="4881" width="13.7265625" style="1072" customWidth="1"/>
    <col min="4882" max="4882" width="15" style="1072" customWidth="1"/>
    <col min="4883" max="4883" width="16.1796875" style="1072" customWidth="1"/>
    <col min="4884" max="4885" width="15" style="1072" customWidth="1"/>
    <col min="4886" max="4889" width="13.7265625" style="1072" customWidth="1"/>
    <col min="4890" max="4890" width="14.7265625" style="1072" customWidth="1"/>
    <col min="4891" max="4891" width="13.7265625" style="1072" customWidth="1"/>
    <col min="4892" max="4897" width="14.7265625" style="1072" customWidth="1"/>
    <col min="4898" max="4898" width="16.26953125" style="1072" customWidth="1"/>
    <col min="4899" max="4901" width="14.7265625" style="1072" customWidth="1"/>
    <col min="4902" max="4902" width="17.453125" style="1072" customWidth="1"/>
    <col min="4903" max="4903" width="15" style="1072" customWidth="1"/>
    <col min="4904" max="4919" width="14.7265625" style="1072" customWidth="1"/>
    <col min="4920" max="4920" width="16.1796875" style="1072" customWidth="1"/>
    <col min="4921" max="5120" width="14.7265625" style="1072"/>
    <col min="5121" max="5121" width="7.26953125" style="1072" customWidth="1"/>
    <col min="5122" max="5122" width="31.7265625" style="1072" customWidth="1"/>
    <col min="5123" max="5123" width="12.1796875" style="1072" customWidth="1"/>
    <col min="5124" max="5124" width="20" style="1072" customWidth="1"/>
    <col min="5125" max="5125" width="21" style="1072" customWidth="1"/>
    <col min="5126" max="5126" width="12.81640625" style="1072" customWidth="1"/>
    <col min="5127" max="5127" width="11.54296875" style="1072" customWidth="1"/>
    <col min="5128" max="5128" width="15" style="1072" customWidth="1"/>
    <col min="5129" max="5129" width="18.81640625" style="1072" customWidth="1"/>
    <col min="5130" max="5131" width="15" style="1072" customWidth="1"/>
    <col min="5132" max="5132" width="17.54296875" style="1072" customWidth="1"/>
    <col min="5133" max="5133" width="13.7265625" style="1072" customWidth="1"/>
    <col min="5134" max="5134" width="16.54296875" style="1072" customWidth="1"/>
    <col min="5135" max="5135" width="16.453125" style="1072" customWidth="1"/>
    <col min="5136" max="5136" width="20.1796875" style="1072" customWidth="1"/>
    <col min="5137" max="5137" width="13.7265625" style="1072" customWidth="1"/>
    <col min="5138" max="5138" width="15" style="1072" customWidth="1"/>
    <col min="5139" max="5139" width="16.1796875" style="1072" customWidth="1"/>
    <col min="5140" max="5141" width="15" style="1072" customWidth="1"/>
    <col min="5142" max="5145" width="13.7265625" style="1072" customWidth="1"/>
    <col min="5146" max="5146" width="14.7265625" style="1072" customWidth="1"/>
    <col min="5147" max="5147" width="13.7265625" style="1072" customWidth="1"/>
    <col min="5148" max="5153" width="14.7265625" style="1072" customWidth="1"/>
    <col min="5154" max="5154" width="16.26953125" style="1072" customWidth="1"/>
    <col min="5155" max="5157" width="14.7265625" style="1072" customWidth="1"/>
    <col min="5158" max="5158" width="17.453125" style="1072" customWidth="1"/>
    <col min="5159" max="5159" width="15" style="1072" customWidth="1"/>
    <col min="5160" max="5175" width="14.7265625" style="1072" customWidth="1"/>
    <col min="5176" max="5176" width="16.1796875" style="1072" customWidth="1"/>
    <col min="5177" max="5376" width="14.7265625" style="1072"/>
    <col min="5377" max="5377" width="7.26953125" style="1072" customWidth="1"/>
    <col min="5378" max="5378" width="31.7265625" style="1072" customWidth="1"/>
    <col min="5379" max="5379" width="12.1796875" style="1072" customWidth="1"/>
    <col min="5380" max="5380" width="20" style="1072" customWidth="1"/>
    <col min="5381" max="5381" width="21" style="1072" customWidth="1"/>
    <col min="5382" max="5382" width="12.81640625" style="1072" customWidth="1"/>
    <col min="5383" max="5383" width="11.54296875" style="1072" customWidth="1"/>
    <col min="5384" max="5384" width="15" style="1072" customWidth="1"/>
    <col min="5385" max="5385" width="18.81640625" style="1072" customWidth="1"/>
    <col min="5386" max="5387" width="15" style="1072" customWidth="1"/>
    <col min="5388" max="5388" width="17.54296875" style="1072" customWidth="1"/>
    <col min="5389" max="5389" width="13.7265625" style="1072" customWidth="1"/>
    <col min="5390" max="5390" width="16.54296875" style="1072" customWidth="1"/>
    <col min="5391" max="5391" width="16.453125" style="1072" customWidth="1"/>
    <col min="5392" max="5392" width="20.1796875" style="1072" customWidth="1"/>
    <col min="5393" max="5393" width="13.7265625" style="1072" customWidth="1"/>
    <col min="5394" max="5394" width="15" style="1072" customWidth="1"/>
    <col min="5395" max="5395" width="16.1796875" style="1072" customWidth="1"/>
    <col min="5396" max="5397" width="15" style="1072" customWidth="1"/>
    <col min="5398" max="5401" width="13.7265625" style="1072" customWidth="1"/>
    <col min="5402" max="5402" width="14.7265625" style="1072" customWidth="1"/>
    <col min="5403" max="5403" width="13.7265625" style="1072" customWidth="1"/>
    <col min="5404" max="5409" width="14.7265625" style="1072" customWidth="1"/>
    <col min="5410" max="5410" width="16.26953125" style="1072" customWidth="1"/>
    <col min="5411" max="5413" width="14.7265625" style="1072" customWidth="1"/>
    <col min="5414" max="5414" width="17.453125" style="1072" customWidth="1"/>
    <col min="5415" max="5415" width="15" style="1072" customWidth="1"/>
    <col min="5416" max="5431" width="14.7265625" style="1072" customWidth="1"/>
    <col min="5432" max="5432" width="16.1796875" style="1072" customWidth="1"/>
    <col min="5433" max="5632" width="14.7265625" style="1072"/>
    <col min="5633" max="5633" width="7.26953125" style="1072" customWidth="1"/>
    <col min="5634" max="5634" width="31.7265625" style="1072" customWidth="1"/>
    <col min="5635" max="5635" width="12.1796875" style="1072" customWidth="1"/>
    <col min="5636" max="5636" width="20" style="1072" customWidth="1"/>
    <col min="5637" max="5637" width="21" style="1072" customWidth="1"/>
    <col min="5638" max="5638" width="12.81640625" style="1072" customWidth="1"/>
    <col min="5639" max="5639" width="11.54296875" style="1072" customWidth="1"/>
    <col min="5640" max="5640" width="15" style="1072" customWidth="1"/>
    <col min="5641" max="5641" width="18.81640625" style="1072" customWidth="1"/>
    <col min="5642" max="5643" width="15" style="1072" customWidth="1"/>
    <col min="5644" max="5644" width="17.54296875" style="1072" customWidth="1"/>
    <col min="5645" max="5645" width="13.7265625" style="1072" customWidth="1"/>
    <col min="5646" max="5646" width="16.54296875" style="1072" customWidth="1"/>
    <col min="5647" max="5647" width="16.453125" style="1072" customWidth="1"/>
    <col min="5648" max="5648" width="20.1796875" style="1072" customWidth="1"/>
    <col min="5649" max="5649" width="13.7265625" style="1072" customWidth="1"/>
    <col min="5650" max="5650" width="15" style="1072" customWidth="1"/>
    <col min="5651" max="5651" width="16.1796875" style="1072" customWidth="1"/>
    <col min="5652" max="5653" width="15" style="1072" customWidth="1"/>
    <col min="5654" max="5657" width="13.7265625" style="1072" customWidth="1"/>
    <col min="5658" max="5658" width="14.7265625" style="1072" customWidth="1"/>
    <col min="5659" max="5659" width="13.7265625" style="1072" customWidth="1"/>
    <col min="5660" max="5665" width="14.7265625" style="1072" customWidth="1"/>
    <col min="5666" max="5666" width="16.26953125" style="1072" customWidth="1"/>
    <col min="5667" max="5669" width="14.7265625" style="1072" customWidth="1"/>
    <col min="5670" max="5670" width="17.453125" style="1072" customWidth="1"/>
    <col min="5671" max="5671" width="15" style="1072" customWidth="1"/>
    <col min="5672" max="5687" width="14.7265625" style="1072" customWidth="1"/>
    <col min="5688" max="5688" width="16.1796875" style="1072" customWidth="1"/>
    <col min="5689" max="5888" width="14.7265625" style="1072"/>
    <col min="5889" max="5889" width="7.26953125" style="1072" customWidth="1"/>
    <col min="5890" max="5890" width="31.7265625" style="1072" customWidth="1"/>
    <col min="5891" max="5891" width="12.1796875" style="1072" customWidth="1"/>
    <col min="5892" max="5892" width="20" style="1072" customWidth="1"/>
    <col min="5893" max="5893" width="21" style="1072" customWidth="1"/>
    <col min="5894" max="5894" width="12.81640625" style="1072" customWidth="1"/>
    <col min="5895" max="5895" width="11.54296875" style="1072" customWidth="1"/>
    <col min="5896" max="5896" width="15" style="1072" customWidth="1"/>
    <col min="5897" max="5897" width="18.81640625" style="1072" customWidth="1"/>
    <col min="5898" max="5899" width="15" style="1072" customWidth="1"/>
    <col min="5900" max="5900" width="17.54296875" style="1072" customWidth="1"/>
    <col min="5901" max="5901" width="13.7265625" style="1072" customWidth="1"/>
    <col min="5902" max="5902" width="16.54296875" style="1072" customWidth="1"/>
    <col min="5903" max="5903" width="16.453125" style="1072" customWidth="1"/>
    <col min="5904" max="5904" width="20.1796875" style="1072" customWidth="1"/>
    <col min="5905" max="5905" width="13.7265625" style="1072" customWidth="1"/>
    <col min="5906" max="5906" width="15" style="1072" customWidth="1"/>
    <col min="5907" max="5907" width="16.1796875" style="1072" customWidth="1"/>
    <col min="5908" max="5909" width="15" style="1072" customWidth="1"/>
    <col min="5910" max="5913" width="13.7265625" style="1072" customWidth="1"/>
    <col min="5914" max="5914" width="14.7265625" style="1072" customWidth="1"/>
    <col min="5915" max="5915" width="13.7265625" style="1072" customWidth="1"/>
    <col min="5916" max="5921" width="14.7265625" style="1072" customWidth="1"/>
    <col min="5922" max="5922" width="16.26953125" style="1072" customWidth="1"/>
    <col min="5923" max="5925" width="14.7265625" style="1072" customWidth="1"/>
    <col min="5926" max="5926" width="17.453125" style="1072" customWidth="1"/>
    <col min="5927" max="5927" width="15" style="1072" customWidth="1"/>
    <col min="5928" max="5943" width="14.7265625" style="1072" customWidth="1"/>
    <col min="5944" max="5944" width="16.1796875" style="1072" customWidth="1"/>
    <col min="5945" max="6144" width="14.7265625" style="1072"/>
    <col min="6145" max="6145" width="7.26953125" style="1072" customWidth="1"/>
    <col min="6146" max="6146" width="31.7265625" style="1072" customWidth="1"/>
    <col min="6147" max="6147" width="12.1796875" style="1072" customWidth="1"/>
    <col min="6148" max="6148" width="20" style="1072" customWidth="1"/>
    <col min="6149" max="6149" width="21" style="1072" customWidth="1"/>
    <col min="6150" max="6150" width="12.81640625" style="1072" customWidth="1"/>
    <col min="6151" max="6151" width="11.54296875" style="1072" customWidth="1"/>
    <col min="6152" max="6152" width="15" style="1072" customWidth="1"/>
    <col min="6153" max="6153" width="18.81640625" style="1072" customWidth="1"/>
    <col min="6154" max="6155" width="15" style="1072" customWidth="1"/>
    <col min="6156" max="6156" width="17.54296875" style="1072" customWidth="1"/>
    <col min="6157" max="6157" width="13.7265625" style="1072" customWidth="1"/>
    <col min="6158" max="6158" width="16.54296875" style="1072" customWidth="1"/>
    <col min="6159" max="6159" width="16.453125" style="1072" customWidth="1"/>
    <col min="6160" max="6160" width="20.1796875" style="1072" customWidth="1"/>
    <col min="6161" max="6161" width="13.7265625" style="1072" customWidth="1"/>
    <col min="6162" max="6162" width="15" style="1072" customWidth="1"/>
    <col min="6163" max="6163" width="16.1796875" style="1072" customWidth="1"/>
    <col min="6164" max="6165" width="15" style="1072" customWidth="1"/>
    <col min="6166" max="6169" width="13.7265625" style="1072" customWidth="1"/>
    <col min="6170" max="6170" width="14.7265625" style="1072" customWidth="1"/>
    <col min="6171" max="6171" width="13.7265625" style="1072" customWidth="1"/>
    <col min="6172" max="6177" width="14.7265625" style="1072" customWidth="1"/>
    <col min="6178" max="6178" width="16.26953125" style="1072" customWidth="1"/>
    <col min="6179" max="6181" width="14.7265625" style="1072" customWidth="1"/>
    <col min="6182" max="6182" width="17.453125" style="1072" customWidth="1"/>
    <col min="6183" max="6183" width="15" style="1072" customWidth="1"/>
    <col min="6184" max="6199" width="14.7265625" style="1072" customWidth="1"/>
    <col min="6200" max="6200" width="16.1796875" style="1072" customWidth="1"/>
    <col min="6201" max="6400" width="14.7265625" style="1072"/>
    <col min="6401" max="6401" width="7.26953125" style="1072" customWidth="1"/>
    <col min="6402" max="6402" width="31.7265625" style="1072" customWidth="1"/>
    <col min="6403" max="6403" width="12.1796875" style="1072" customWidth="1"/>
    <col min="6404" max="6404" width="20" style="1072" customWidth="1"/>
    <col min="6405" max="6405" width="21" style="1072" customWidth="1"/>
    <col min="6406" max="6406" width="12.81640625" style="1072" customWidth="1"/>
    <col min="6407" max="6407" width="11.54296875" style="1072" customWidth="1"/>
    <col min="6408" max="6408" width="15" style="1072" customWidth="1"/>
    <col min="6409" max="6409" width="18.81640625" style="1072" customWidth="1"/>
    <col min="6410" max="6411" width="15" style="1072" customWidth="1"/>
    <col min="6412" max="6412" width="17.54296875" style="1072" customWidth="1"/>
    <col min="6413" max="6413" width="13.7265625" style="1072" customWidth="1"/>
    <col min="6414" max="6414" width="16.54296875" style="1072" customWidth="1"/>
    <col min="6415" max="6415" width="16.453125" style="1072" customWidth="1"/>
    <col min="6416" max="6416" width="20.1796875" style="1072" customWidth="1"/>
    <col min="6417" max="6417" width="13.7265625" style="1072" customWidth="1"/>
    <col min="6418" max="6418" width="15" style="1072" customWidth="1"/>
    <col min="6419" max="6419" width="16.1796875" style="1072" customWidth="1"/>
    <col min="6420" max="6421" width="15" style="1072" customWidth="1"/>
    <col min="6422" max="6425" width="13.7265625" style="1072" customWidth="1"/>
    <col min="6426" max="6426" width="14.7265625" style="1072" customWidth="1"/>
    <col min="6427" max="6427" width="13.7265625" style="1072" customWidth="1"/>
    <col min="6428" max="6433" width="14.7265625" style="1072" customWidth="1"/>
    <col min="6434" max="6434" width="16.26953125" style="1072" customWidth="1"/>
    <col min="6435" max="6437" width="14.7265625" style="1072" customWidth="1"/>
    <col min="6438" max="6438" width="17.453125" style="1072" customWidth="1"/>
    <col min="6439" max="6439" width="15" style="1072" customWidth="1"/>
    <col min="6440" max="6455" width="14.7265625" style="1072" customWidth="1"/>
    <col min="6456" max="6456" width="16.1796875" style="1072" customWidth="1"/>
    <col min="6457" max="6656" width="14.7265625" style="1072"/>
    <col min="6657" max="6657" width="7.26953125" style="1072" customWidth="1"/>
    <col min="6658" max="6658" width="31.7265625" style="1072" customWidth="1"/>
    <col min="6659" max="6659" width="12.1796875" style="1072" customWidth="1"/>
    <col min="6660" max="6660" width="20" style="1072" customWidth="1"/>
    <col min="6661" max="6661" width="21" style="1072" customWidth="1"/>
    <col min="6662" max="6662" width="12.81640625" style="1072" customWidth="1"/>
    <col min="6663" max="6663" width="11.54296875" style="1072" customWidth="1"/>
    <col min="6664" max="6664" width="15" style="1072" customWidth="1"/>
    <col min="6665" max="6665" width="18.81640625" style="1072" customWidth="1"/>
    <col min="6666" max="6667" width="15" style="1072" customWidth="1"/>
    <col min="6668" max="6668" width="17.54296875" style="1072" customWidth="1"/>
    <col min="6669" max="6669" width="13.7265625" style="1072" customWidth="1"/>
    <col min="6670" max="6670" width="16.54296875" style="1072" customWidth="1"/>
    <col min="6671" max="6671" width="16.453125" style="1072" customWidth="1"/>
    <col min="6672" max="6672" width="20.1796875" style="1072" customWidth="1"/>
    <col min="6673" max="6673" width="13.7265625" style="1072" customWidth="1"/>
    <col min="6674" max="6674" width="15" style="1072" customWidth="1"/>
    <col min="6675" max="6675" width="16.1796875" style="1072" customWidth="1"/>
    <col min="6676" max="6677" width="15" style="1072" customWidth="1"/>
    <col min="6678" max="6681" width="13.7265625" style="1072" customWidth="1"/>
    <col min="6682" max="6682" width="14.7265625" style="1072" customWidth="1"/>
    <col min="6683" max="6683" width="13.7265625" style="1072" customWidth="1"/>
    <col min="6684" max="6689" width="14.7265625" style="1072" customWidth="1"/>
    <col min="6690" max="6690" width="16.26953125" style="1072" customWidth="1"/>
    <col min="6691" max="6693" width="14.7265625" style="1072" customWidth="1"/>
    <col min="6694" max="6694" width="17.453125" style="1072" customWidth="1"/>
    <col min="6695" max="6695" width="15" style="1072" customWidth="1"/>
    <col min="6696" max="6711" width="14.7265625" style="1072" customWidth="1"/>
    <col min="6712" max="6712" width="16.1796875" style="1072" customWidth="1"/>
    <col min="6713" max="6912" width="14.7265625" style="1072"/>
    <col min="6913" max="6913" width="7.26953125" style="1072" customWidth="1"/>
    <col min="6914" max="6914" width="31.7265625" style="1072" customWidth="1"/>
    <col min="6915" max="6915" width="12.1796875" style="1072" customWidth="1"/>
    <col min="6916" max="6916" width="20" style="1072" customWidth="1"/>
    <col min="6917" max="6917" width="21" style="1072" customWidth="1"/>
    <col min="6918" max="6918" width="12.81640625" style="1072" customWidth="1"/>
    <col min="6919" max="6919" width="11.54296875" style="1072" customWidth="1"/>
    <col min="6920" max="6920" width="15" style="1072" customWidth="1"/>
    <col min="6921" max="6921" width="18.81640625" style="1072" customWidth="1"/>
    <col min="6922" max="6923" width="15" style="1072" customWidth="1"/>
    <col min="6924" max="6924" width="17.54296875" style="1072" customWidth="1"/>
    <col min="6925" max="6925" width="13.7265625" style="1072" customWidth="1"/>
    <col min="6926" max="6926" width="16.54296875" style="1072" customWidth="1"/>
    <col min="6927" max="6927" width="16.453125" style="1072" customWidth="1"/>
    <col min="6928" max="6928" width="20.1796875" style="1072" customWidth="1"/>
    <col min="6929" max="6929" width="13.7265625" style="1072" customWidth="1"/>
    <col min="6930" max="6930" width="15" style="1072" customWidth="1"/>
    <col min="6931" max="6931" width="16.1796875" style="1072" customWidth="1"/>
    <col min="6932" max="6933" width="15" style="1072" customWidth="1"/>
    <col min="6934" max="6937" width="13.7265625" style="1072" customWidth="1"/>
    <col min="6938" max="6938" width="14.7265625" style="1072" customWidth="1"/>
    <col min="6939" max="6939" width="13.7265625" style="1072" customWidth="1"/>
    <col min="6940" max="6945" width="14.7265625" style="1072" customWidth="1"/>
    <col min="6946" max="6946" width="16.26953125" style="1072" customWidth="1"/>
    <col min="6947" max="6949" width="14.7265625" style="1072" customWidth="1"/>
    <col min="6950" max="6950" width="17.453125" style="1072" customWidth="1"/>
    <col min="6951" max="6951" width="15" style="1072" customWidth="1"/>
    <col min="6952" max="6967" width="14.7265625" style="1072" customWidth="1"/>
    <col min="6968" max="6968" width="16.1796875" style="1072" customWidth="1"/>
    <col min="6969" max="7168" width="14.7265625" style="1072"/>
    <col min="7169" max="7169" width="7.26953125" style="1072" customWidth="1"/>
    <col min="7170" max="7170" width="31.7265625" style="1072" customWidth="1"/>
    <col min="7171" max="7171" width="12.1796875" style="1072" customWidth="1"/>
    <col min="7172" max="7172" width="20" style="1072" customWidth="1"/>
    <col min="7173" max="7173" width="21" style="1072" customWidth="1"/>
    <col min="7174" max="7174" width="12.81640625" style="1072" customWidth="1"/>
    <col min="7175" max="7175" width="11.54296875" style="1072" customWidth="1"/>
    <col min="7176" max="7176" width="15" style="1072" customWidth="1"/>
    <col min="7177" max="7177" width="18.81640625" style="1072" customWidth="1"/>
    <col min="7178" max="7179" width="15" style="1072" customWidth="1"/>
    <col min="7180" max="7180" width="17.54296875" style="1072" customWidth="1"/>
    <col min="7181" max="7181" width="13.7265625" style="1072" customWidth="1"/>
    <col min="7182" max="7182" width="16.54296875" style="1072" customWidth="1"/>
    <col min="7183" max="7183" width="16.453125" style="1072" customWidth="1"/>
    <col min="7184" max="7184" width="20.1796875" style="1072" customWidth="1"/>
    <col min="7185" max="7185" width="13.7265625" style="1072" customWidth="1"/>
    <col min="7186" max="7186" width="15" style="1072" customWidth="1"/>
    <col min="7187" max="7187" width="16.1796875" style="1072" customWidth="1"/>
    <col min="7188" max="7189" width="15" style="1072" customWidth="1"/>
    <col min="7190" max="7193" width="13.7265625" style="1072" customWidth="1"/>
    <col min="7194" max="7194" width="14.7265625" style="1072" customWidth="1"/>
    <col min="7195" max="7195" width="13.7265625" style="1072" customWidth="1"/>
    <col min="7196" max="7201" width="14.7265625" style="1072" customWidth="1"/>
    <col min="7202" max="7202" width="16.26953125" style="1072" customWidth="1"/>
    <col min="7203" max="7205" width="14.7265625" style="1072" customWidth="1"/>
    <col min="7206" max="7206" width="17.453125" style="1072" customWidth="1"/>
    <col min="7207" max="7207" width="15" style="1072" customWidth="1"/>
    <col min="7208" max="7223" width="14.7265625" style="1072" customWidth="1"/>
    <col min="7224" max="7224" width="16.1796875" style="1072" customWidth="1"/>
    <col min="7225" max="7424" width="14.7265625" style="1072"/>
    <col min="7425" max="7425" width="7.26953125" style="1072" customWidth="1"/>
    <col min="7426" max="7426" width="31.7265625" style="1072" customWidth="1"/>
    <col min="7427" max="7427" width="12.1796875" style="1072" customWidth="1"/>
    <col min="7428" max="7428" width="20" style="1072" customWidth="1"/>
    <col min="7429" max="7429" width="21" style="1072" customWidth="1"/>
    <col min="7430" max="7430" width="12.81640625" style="1072" customWidth="1"/>
    <col min="7431" max="7431" width="11.54296875" style="1072" customWidth="1"/>
    <col min="7432" max="7432" width="15" style="1072" customWidth="1"/>
    <col min="7433" max="7433" width="18.81640625" style="1072" customWidth="1"/>
    <col min="7434" max="7435" width="15" style="1072" customWidth="1"/>
    <col min="7436" max="7436" width="17.54296875" style="1072" customWidth="1"/>
    <col min="7437" max="7437" width="13.7265625" style="1072" customWidth="1"/>
    <col min="7438" max="7438" width="16.54296875" style="1072" customWidth="1"/>
    <col min="7439" max="7439" width="16.453125" style="1072" customWidth="1"/>
    <col min="7440" max="7440" width="20.1796875" style="1072" customWidth="1"/>
    <col min="7441" max="7441" width="13.7265625" style="1072" customWidth="1"/>
    <col min="7442" max="7442" width="15" style="1072" customWidth="1"/>
    <col min="7443" max="7443" width="16.1796875" style="1072" customWidth="1"/>
    <col min="7444" max="7445" width="15" style="1072" customWidth="1"/>
    <col min="7446" max="7449" width="13.7265625" style="1072" customWidth="1"/>
    <col min="7450" max="7450" width="14.7265625" style="1072" customWidth="1"/>
    <col min="7451" max="7451" width="13.7265625" style="1072" customWidth="1"/>
    <col min="7452" max="7457" width="14.7265625" style="1072" customWidth="1"/>
    <col min="7458" max="7458" width="16.26953125" style="1072" customWidth="1"/>
    <col min="7459" max="7461" width="14.7265625" style="1072" customWidth="1"/>
    <col min="7462" max="7462" width="17.453125" style="1072" customWidth="1"/>
    <col min="7463" max="7463" width="15" style="1072" customWidth="1"/>
    <col min="7464" max="7479" width="14.7265625" style="1072" customWidth="1"/>
    <col min="7480" max="7480" width="16.1796875" style="1072" customWidth="1"/>
    <col min="7481" max="7680" width="14.7265625" style="1072"/>
    <col min="7681" max="7681" width="7.26953125" style="1072" customWidth="1"/>
    <col min="7682" max="7682" width="31.7265625" style="1072" customWidth="1"/>
    <col min="7683" max="7683" width="12.1796875" style="1072" customWidth="1"/>
    <col min="7684" max="7684" width="20" style="1072" customWidth="1"/>
    <col min="7685" max="7685" width="21" style="1072" customWidth="1"/>
    <col min="7686" max="7686" width="12.81640625" style="1072" customWidth="1"/>
    <col min="7687" max="7687" width="11.54296875" style="1072" customWidth="1"/>
    <col min="7688" max="7688" width="15" style="1072" customWidth="1"/>
    <col min="7689" max="7689" width="18.81640625" style="1072" customWidth="1"/>
    <col min="7690" max="7691" width="15" style="1072" customWidth="1"/>
    <col min="7692" max="7692" width="17.54296875" style="1072" customWidth="1"/>
    <col min="7693" max="7693" width="13.7265625" style="1072" customWidth="1"/>
    <col min="7694" max="7694" width="16.54296875" style="1072" customWidth="1"/>
    <col min="7695" max="7695" width="16.453125" style="1072" customWidth="1"/>
    <col min="7696" max="7696" width="20.1796875" style="1072" customWidth="1"/>
    <col min="7697" max="7697" width="13.7265625" style="1072" customWidth="1"/>
    <col min="7698" max="7698" width="15" style="1072" customWidth="1"/>
    <col min="7699" max="7699" width="16.1796875" style="1072" customWidth="1"/>
    <col min="7700" max="7701" width="15" style="1072" customWidth="1"/>
    <col min="7702" max="7705" width="13.7265625" style="1072" customWidth="1"/>
    <col min="7706" max="7706" width="14.7265625" style="1072" customWidth="1"/>
    <col min="7707" max="7707" width="13.7265625" style="1072" customWidth="1"/>
    <col min="7708" max="7713" width="14.7265625" style="1072" customWidth="1"/>
    <col min="7714" max="7714" width="16.26953125" style="1072" customWidth="1"/>
    <col min="7715" max="7717" width="14.7265625" style="1072" customWidth="1"/>
    <col min="7718" max="7718" width="17.453125" style="1072" customWidth="1"/>
    <col min="7719" max="7719" width="15" style="1072" customWidth="1"/>
    <col min="7720" max="7735" width="14.7265625" style="1072" customWidth="1"/>
    <col min="7736" max="7736" width="16.1796875" style="1072" customWidth="1"/>
    <col min="7737" max="7936" width="14.7265625" style="1072"/>
    <col min="7937" max="7937" width="7.26953125" style="1072" customWidth="1"/>
    <col min="7938" max="7938" width="31.7265625" style="1072" customWidth="1"/>
    <col min="7939" max="7939" width="12.1796875" style="1072" customWidth="1"/>
    <col min="7940" max="7940" width="20" style="1072" customWidth="1"/>
    <col min="7941" max="7941" width="21" style="1072" customWidth="1"/>
    <col min="7942" max="7942" width="12.81640625" style="1072" customWidth="1"/>
    <col min="7943" max="7943" width="11.54296875" style="1072" customWidth="1"/>
    <col min="7944" max="7944" width="15" style="1072" customWidth="1"/>
    <col min="7945" max="7945" width="18.81640625" style="1072" customWidth="1"/>
    <col min="7946" max="7947" width="15" style="1072" customWidth="1"/>
    <col min="7948" max="7948" width="17.54296875" style="1072" customWidth="1"/>
    <col min="7949" max="7949" width="13.7265625" style="1072" customWidth="1"/>
    <col min="7950" max="7950" width="16.54296875" style="1072" customWidth="1"/>
    <col min="7951" max="7951" width="16.453125" style="1072" customWidth="1"/>
    <col min="7952" max="7952" width="20.1796875" style="1072" customWidth="1"/>
    <col min="7953" max="7953" width="13.7265625" style="1072" customWidth="1"/>
    <col min="7954" max="7954" width="15" style="1072" customWidth="1"/>
    <col min="7955" max="7955" width="16.1796875" style="1072" customWidth="1"/>
    <col min="7956" max="7957" width="15" style="1072" customWidth="1"/>
    <col min="7958" max="7961" width="13.7265625" style="1072" customWidth="1"/>
    <col min="7962" max="7962" width="14.7265625" style="1072" customWidth="1"/>
    <col min="7963" max="7963" width="13.7265625" style="1072" customWidth="1"/>
    <col min="7964" max="7969" width="14.7265625" style="1072" customWidth="1"/>
    <col min="7970" max="7970" width="16.26953125" style="1072" customWidth="1"/>
    <col min="7971" max="7973" width="14.7265625" style="1072" customWidth="1"/>
    <col min="7974" max="7974" width="17.453125" style="1072" customWidth="1"/>
    <col min="7975" max="7975" width="15" style="1072" customWidth="1"/>
    <col min="7976" max="7991" width="14.7265625" style="1072" customWidth="1"/>
    <col min="7992" max="7992" width="16.1796875" style="1072" customWidth="1"/>
    <col min="7993" max="8192" width="14.7265625" style="1072"/>
    <col min="8193" max="8193" width="7.26953125" style="1072" customWidth="1"/>
    <col min="8194" max="8194" width="31.7265625" style="1072" customWidth="1"/>
    <col min="8195" max="8195" width="12.1796875" style="1072" customWidth="1"/>
    <col min="8196" max="8196" width="20" style="1072" customWidth="1"/>
    <col min="8197" max="8197" width="21" style="1072" customWidth="1"/>
    <col min="8198" max="8198" width="12.81640625" style="1072" customWidth="1"/>
    <col min="8199" max="8199" width="11.54296875" style="1072" customWidth="1"/>
    <col min="8200" max="8200" width="15" style="1072" customWidth="1"/>
    <col min="8201" max="8201" width="18.81640625" style="1072" customWidth="1"/>
    <col min="8202" max="8203" width="15" style="1072" customWidth="1"/>
    <col min="8204" max="8204" width="17.54296875" style="1072" customWidth="1"/>
    <col min="8205" max="8205" width="13.7265625" style="1072" customWidth="1"/>
    <col min="8206" max="8206" width="16.54296875" style="1072" customWidth="1"/>
    <col min="8207" max="8207" width="16.453125" style="1072" customWidth="1"/>
    <col min="8208" max="8208" width="20.1796875" style="1072" customWidth="1"/>
    <col min="8209" max="8209" width="13.7265625" style="1072" customWidth="1"/>
    <col min="8210" max="8210" width="15" style="1072" customWidth="1"/>
    <col min="8211" max="8211" width="16.1796875" style="1072" customWidth="1"/>
    <col min="8212" max="8213" width="15" style="1072" customWidth="1"/>
    <col min="8214" max="8217" width="13.7265625" style="1072" customWidth="1"/>
    <col min="8218" max="8218" width="14.7265625" style="1072" customWidth="1"/>
    <col min="8219" max="8219" width="13.7265625" style="1072" customWidth="1"/>
    <col min="8220" max="8225" width="14.7265625" style="1072" customWidth="1"/>
    <col min="8226" max="8226" width="16.26953125" style="1072" customWidth="1"/>
    <col min="8227" max="8229" width="14.7265625" style="1072" customWidth="1"/>
    <col min="8230" max="8230" width="17.453125" style="1072" customWidth="1"/>
    <col min="8231" max="8231" width="15" style="1072" customWidth="1"/>
    <col min="8232" max="8247" width="14.7265625" style="1072" customWidth="1"/>
    <col min="8248" max="8248" width="16.1796875" style="1072" customWidth="1"/>
    <col min="8249" max="8448" width="14.7265625" style="1072"/>
    <col min="8449" max="8449" width="7.26953125" style="1072" customWidth="1"/>
    <col min="8450" max="8450" width="31.7265625" style="1072" customWidth="1"/>
    <col min="8451" max="8451" width="12.1796875" style="1072" customWidth="1"/>
    <col min="8452" max="8452" width="20" style="1072" customWidth="1"/>
    <col min="8453" max="8453" width="21" style="1072" customWidth="1"/>
    <col min="8454" max="8454" width="12.81640625" style="1072" customWidth="1"/>
    <col min="8455" max="8455" width="11.54296875" style="1072" customWidth="1"/>
    <col min="8456" max="8456" width="15" style="1072" customWidth="1"/>
    <col min="8457" max="8457" width="18.81640625" style="1072" customWidth="1"/>
    <col min="8458" max="8459" width="15" style="1072" customWidth="1"/>
    <col min="8460" max="8460" width="17.54296875" style="1072" customWidth="1"/>
    <col min="8461" max="8461" width="13.7265625" style="1072" customWidth="1"/>
    <col min="8462" max="8462" width="16.54296875" style="1072" customWidth="1"/>
    <col min="8463" max="8463" width="16.453125" style="1072" customWidth="1"/>
    <col min="8464" max="8464" width="20.1796875" style="1072" customWidth="1"/>
    <col min="8465" max="8465" width="13.7265625" style="1072" customWidth="1"/>
    <col min="8466" max="8466" width="15" style="1072" customWidth="1"/>
    <col min="8467" max="8467" width="16.1796875" style="1072" customWidth="1"/>
    <col min="8468" max="8469" width="15" style="1072" customWidth="1"/>
    <col min="8470" max="8473" width="13.7265625" style="1072" customWidth="1"/>
    <col min="8474" max="8474" width="14.7265625" style="1072" customWidth="1"/>
    <col min="8475" max="8475" width="13.7265625" style="1072" customWidth="1"/>
    <col min="8476" max="8481" width="14.7265625" style="1072" customWidth="1"/>
    <col min="8482" max="8482" width="16.26953125" style="1072" customWidth="1"/>
    <col min="8483" max="8485" width="14.7265625" style="1072" customWidth="1"/>
    <col min="8486" max="8486" width="17.453125" style="1072" customWidth="1"/>
    <col min="8487" max="8487" width="15" style="1072" customWidth="1"/>
    <col min="8488" max="8503" width="14.7265625" style="1072" customWidth="1"/>
    <col min="8504" max="8504" width="16.1796875" style="1072" customWidth="1"/>
    <col min="8505" max="8704" width="14.7265625" style="1072"/>
    <col min="8705" max="8705" width="7.26953125" style="1072" customWidth="1"/>
    <col min="8706" max="8706" width="31.7265625" style="1072" customWidth="1"/>
    <col min="8707" max="8707" width="12.1796875" style="1072" customWidth="1"/>
    <col min="8708" max="8708" width="20" style="1072" customWidth="1"/>
    <col min="8709" max="8709" width="21" style="1072" customWidth="1"/>
    <col min="8710" max="8710" width="12.81640625" style="1072" customWidth="1"/>
    <col min="8711" max="8711" width="11.54296875" style="1072" customWidth="1"/>
    <col min="8712" max="8712" width="15" style="1072" customWidth="1"/>
    <col min="8713" max="8713" width="18.81640625" style="1072" customWidth="1"/>
    <col min="8714" max="8715" width="15" style="1072" customWidth="1"/>
    <col min="8716" max="8716" width="17.54296875" style="1072" customWidth="1"/>
    <col min="8717" max="8717" width="13.7265625" style="1072" customWidth="1"/>
    <col min="8718" max="8718" width="16.54296875" style="1072" customWidth="1"/>
    <col min="8719" max="8719" width="16.453125" style="1072" customWidth="1"/>
    <col min="8720" max="8720" width="20.1796875" style="1072" customWidth="1"/>
    <col min="8721" max="8721" width="13.7265625" style="1072" customWidth="1"/>
    <col min="8722" max="8722" width="15" style="1072" customWidth="1"/>
    <col min="8723" max="8723" width="16.1796875" style="1072" customWidth="1"/>
    <col min="8724" max="8725" width="15" style="1072" customWidth="1"/>
    <col min="8726" max="8729" width="13.7265625" style="1072" customWidth="1"/>
    <col min="8730" max="8730" width="14.7265625" style="1072" customWidth="1"/>
    <col min="8731" max="8731" width="13.7265625" style="1072" customWidth="1"/>
    <col min="8732" max="8737" width="14.7265625" style="1072" customWidth="1"/>
    <col min="8738" max="8738" width="16.26953125" style="1072" customWidth="1"/>
    <col min="8739" max="8741" width="14.7265625" style="1072" customWidth="1"/>
    <col min="8742" max="8742" width="17.453125" style="1072" customWidth="1"/>
    <col min="8743" max="8743" width="15" style="1072" customWidth="1"/>
    <col min="8744" max="8759" width="14.7265625" style="1072" customWidth="1"/>
    <col min="8760" max="8760" width="16.1796875" style="1072" customWidth="1"/>
    <col min="8761" max="8960" width="14.7265625" style="1072"/>
    <col min="8961" max="8961" width="7.26953125" style="1072" customWidth="1"/>
    <col min="8962" max="8962" width="31.7265625" style="1072" customWidth="1"/>
    <col min="8963" max="8963" width="12.1796875" style="1072" customWidth="1"/>
    <col min="8964" max="8964" width="20" style="1072" customWidth="1"/>
    <col min="8965" max="8965" width="21" style="1072" customWidth="1"/>
    <col min="8966" max="8966" width="12.81640625" style="1072" customWidth="1"/>
    <col min="8967" max="8967" width="11.54296875" style="1072" customWidth="1"/>
    <col min="8968" max="8968" width="15" style="1072" customWidth="1"/>
    <col min="8969" max="8969" width="18.81640625" style="1072" customWidth="1"/>
    <col min="8970" max="8971" width="15" style="1072" customWidth="1"/>
    <col min="8972" max="8972" width="17.54296875" style="1072" customWidth="1"/>
    <col min="8973" max="8973" width="13.7265625" style="1072" customWidth="1"/>
    <col min="8974" max="8974" width="16.54296875" style="1072" customWidth="1"/>
    <col min="8975" max="8975" width="16.453125" style="1072" customWidth="1"/>
    <col min="8976" max="8976" width="20.1796875" style="1072" customWidth="1"/>
    <col min="8977" max="8977" width="13.7265625" style="1072" customWidth="1"/>
    <col min="8978" max="8978" width="15" style="1072" customWidth="1"/>
    <col min="8979" max="8979" width="16.1796875" style="1072" customWidth="1"/>
    <col min="8980" max="8981" width="15" style="1072" customWidth="1"/>
    <col min="8982" max="8985" width="13.7265625" style="1072" customWidth="1"/>
    <col min="8986" max="8986" width="14.7265625" style="1072" customWidth="1"/>
    <col min="8987" max="8987" width="13.7265625" style="1072" customWidth="1"/>
    <col min="8988" max="8993" width="14.7265625" style="1072" customWidth="1"/>
    <col min="8994" max="8994" width="16.26953125" style="1072" customWidth="1"/>
    <col min="8995" max="8997" width="14.7265625" style="1072" customWidth="1"/>
    <col min="8998" max="8998" width="17.453125" style="1072" customWidth="1"/>
    <col min="8999" max="8999" width="15" style="1072" customWidth="1"/>
    <col min="9000" max="9015" width="14.7265625" style="1072" customWidth="1"/>
    <col min="9016" max="9016" width="16.1796875" style="1072" customWidth="1"/>
    <col min="9017" max="9216" width="14.7265625" style="1072"/>
    <col min="9217" max="9217" width="7.26953125" style="1072" customWidth="1"/>
    <col min="9218" max="9218" width="31.7265625" style="1072" customWidth="1"/>
    <col min="9219" max="9219" width="12.1796875" style="1072" customWidth="1"/>
    <col min="9220" max="9220" width="20" style="1072" customWidth="1"/>
    <col min="9221" max="9221" width="21" style="1072" customWidth="1"/>
    <col min="9222" max="9222" width="12.81640625" style="1072" customWidth="1"/>
    <col min="9223" max="9223" width="11.54296875" style="1072" customWidth="1"/>
    <col min="9224" max="9224" width="15" style="1072" customWidth="1"/>
    <col min="9225" max="9225" width="18.81640625" style="1072" customWidth="1"/>
    <col min="9226" max="9227" width="15" style="1072" customWidth="1"/>
    <col min="9228" max="9228" width="17.54296875" style="1072" customWidth="1"/>
    <col min="9229" max="9229" width="13.7265625" style="1072" customWidth="1"/>
    <col min="9230" max="9230" width="16.54296875" style="1072" customWidth="1"/>
    <col min="9231" max="9231" width="16.453125" style="1072" customWidth="1"/>
    <col min="9232" max="9232" width="20.1796875" style="1072" customWidth="1"/>
    <col min="9233" max="9233" width="13.7265625" style="1072" customWidth="1"/>
    <col min="9234" max="9234" width="15" style="1072" customWidth="1"/>
    <col min="9235" max="9235" width="16.1796875" style="1072" customWidth="1"/>
    <col min="9236" max="9237" width="15" style="1072" customWidth="1"/>
    <col min="9238" max="9241" width="13.7265625" style="1072" customWidth="1"/>
    <col min="9242" max="9242" width="14.7265625" style="1072" customWidth="1"/>
    <col min="9243" max="9243" width="13.7265625" style="1072" customWidth="1"/>
    <col min="9244" max="9249" width="14.7265625" style="1072" customWidth="1"/>
    <col min="9250" max="9250" width="16.26953125" style="1072" customWidth="1"/>
    <col min="9251" max="9253" width="14.7265625" style="1072" customWidth="1"/>
    <col min="9254" max="9254" width="17.453125" style="1072" customWidth="1"/>
    <col min="9255" max="9255" width="15" style="1072" customWidth="1"/>
    <col min="9256" max="9271" width="14.7265625" style="1072" customWidth="1"/>
    <col min="9272" max="9272" width="16.1796875" style="1072" customWidth="1"/>
    <col min="9273" max="9472" width="14.7265625" style="1072"/>
    <col min="9473" max="9473" width="7.26953125" style="1072" customWidth="1"/>
    <col min="9474" max="9474" width="31.7265625" style="1072" customWidth="1"/>
    <col min="9475" max="9475" width="12.1796875" style="1072" customWidth="1"/>
    <col min="9476" max="9476" width="20" style="1072" customWidth="1"/>
    <col min="9477" max="9477" width="21" style="1072" customWidth="1"/>
    <col min="9478" max="9478" width="12.81640625" style="1072" customWidth="1"/>
    <col min="9479" max="9479" width="11.54296875" style="1072" customWidth="1"/>
    <col min="9480" max="9480" width="15" style="1072" customWidth="1"/>
    <col min="9481" max="9481" width="18.81640625" style="1072" customWidth="1"/>
    <col min="9482" max="9483" width="15" style="1072" customWidth="1"/>
    <col min="9484" max="9484" width="17.54296875" style="1072" customWidth="1"/>
    <col min="9485" max="9485" width="13.7265625" style="1072" customWidth="1"/>
    <col min="9486" max="9486" width="16.54296875" style="1072" customWidth="1"/>
    <col min="9487" max="9487" width="16.453125" style="1072" customWidth="1"/>
    <col min="9488" max="9488" width="20.1796875" style="1072" customWidth="1"/>
    <col min="9489" max="9489" width="13.7265625" style="1072" customWidth="1"/>
    <col min="9490" max="9490" width="15" style="1072" customWidth="1"/>
    <col min="9491" max="9491" width="16.1796875" style="1072" customWidth="1"/>
    <col min="9492" max="9493" width="15" style="1072" customWidth="1"/>
    <col min="9494" max="9497" width="13.7265625" style="1072" customWidth="1"/>
    <col min="9498" max="9498" width="14.7265625" style="1072" customWidth="1"/>
    <col min="9499" max="9499" width="13.7265625" style="1072" customWidth="1"/>
    <col min="9500" max="9505" width="14.7265625" style="1072" customWidth="1"/>
    <col min="9506" max="9506" width="16.26953125" style="1072" customWidth="1"/>
    <col min="9507" max="9509" width="14.7265625" style="1072" customWidth="1"/>
    <col min="9510" max="9510" width="17.453125" style="1072" customWidth="1"/>
    <col min="9511" max="9511" width="15" style="1072" customWidth="1"/>
    <col min="9512" max="9527" width="14.7265625" style="1072" customWidth="1"/>
    <col min="9528" max="9528" width="16.1796875" style="1072" customWidth="1"/>
    <col min="9529" max="9728" width="14.7265625" style="1072"/>
    <col min="9729" max="9729" width="7.26953125" style="1072" customWidth="1"/>
    <col min="9730" max="9730" width="31.7265625" style="1072" customWidth="1"/>
    <col min="9731" max="9731" width="12.1796875" style="1072" customWidth="1"/>
    <col min="9732" max="9732" width="20" style="1072" customWidth="1"/>
    <col min="9733" max="9733" width="21" style="1072" customWidth="1"/>
    <col min="9734" max="9734" width="12.81640625" style="1072" customWidth="1"/>
    <col min="9735" max="9735" width="11.54296875" style="1072" customWidth="1"/>
    <col min="9736" max="9736" width="15" style="1072" customWidth="1"/>
    <col min="9737" max="9737" width="18.81640625" style="1072" customWidth="1"/>
    <col min="9738" max="9739" width="15" style="1072" customWidth="1"/>
    <col min="9740" max="9740" width="17.54296875" style="1072" customWidth="1"/>
    <col min="9741" max="9741" width="13.7265625" style="1072" customWidth="1"/>
    <col min="9742" max="9742" width="16.54296875" style="1072" customWidth="1"/>
    <col min="9743" max="9743" width="16.453125" style="1072" customWidth="1"/>
    <col min="9744" max="9744" width="20.1796875" style="1072" customWidth="1"/>
    <col min="9745" max="9745" width="13.7265625" style="1072" customWidth="1"/>
    <col min="9746" max="9746" width="15" style="1072" customWidth="1"/>
    <col min="9747" max="9747" width="16.1796875" style="1072" customWidth="1"/>
    <col min="9748" max="9749" width="15" style="1072" customWidth="1"/>
    <col min="9750" max="9753" width="13.7265625" style="1072" customWidth="1"/>
    <col min="9754" max="9754" width="14.7265625" style="1072" customWidth="1"/>
    <col min="9755" max="9755" width="13.7265625" style="1072" customWidth="1"/>
    <col min="9756" max="9761" width="14.7265625" style="1072" customWidth="1"/>
    <col min="9762" max="9762" width="16.26953125" style="1072" customWidth="1"/>
    <col min="9763" max="9765" width="14.7265625" style="1072" customWidth="1"/>
    <col min="9766" max="9766" width="17.453125" style="1072" customWidth="1"/>
    <col min="9767" max="9767" width="15" style="1072" customWidth="1"/>
    <col min="9768" max="9783" width="14.7265625" style="1072" customWidth="1"/>
    <col min="9784" max="9784" width="16.1796875" style="1072" customWidth="1"/>
    <col min="9785" max="9984" width="14.7265625" style="1072"/>
    <col min="9985" max="9985" width="7.26953125" style="1072" customWidth="1"/>
    <col min="9986" max="9986" width="31.7265625" style="1072" customWidth="1"/>
    <col min="9987" max="9987" width="12.1796875" style="1072" customWidth="1"/>
    <col min="9988" max="9988" width="20" style="1072" customWidth="1"/>
    <col min="9989" max="9989" width="21" style="1072" customWidth="1"/>
    <col min="9990" max="9990" width="12.81640625" style="1072" customWidth="1"/>
    <col min="9991" max="9991" width="11.54296875" style="1072" customWidth="1"/>
    <col min="9992" max="9992" width="15" style="1072" customWidth="1"/>
    <col min="9993" max="9993" width="18.81640625" style="1072" customWidth="1"/>
    <col min="9994" max="9995" width="15" style="1072" customWidth="1"/>
    <col min="9996" max="9996" width="17.54296875" style="1072" customWidth="1"/>
    <col min="9997" max="9997" width="13.7265625" style="1072" customWidth="1"/>
    <col min="9998" max="9998" width="16.54296875" style="1072" customWidth="1"/>
    <col min="9999" max="9999" width="16.453125" style="1072" customWidth="1"/>
    <col min="10000" max="10000" width="20.1796875" style="1072" customWidth="1"/>
    <col min="10001" max="10001" width="13.7265625" style="1072" customWidth="1"/>
    <col min="10002" max="10002" width="15" style="1072" customWidth="1"/>
    <col min="10003" max="10003" width="16.1796875" style="1072" customWidth="1"/>
    <col min="10004" max="10005" width="15" style="1072" customWidth="1"/>
    <col min="10006" max="10009" width="13.7265625" style="1072" customWidth="1"/>
    <col min="10010" max="10010" width="14.7265625" style="1072" customWidth="1"/>
    <col min="10011" max="10011" width="13.7265625" style="1072" customWidth="1"/>
    <col min="10012" max="10017" width="14.7265625" style="1072" customWidth="1"/>
    <col min="10018" max="10018" width="16.26953125" style="1072" customWidth="1"/>
    <col min="10019" max="10021" width="14.7265625" style="1072" customWidth="1"/>
    <col min="10022" max="10022" width="17.453125" style="1072" customWidth="1"/>
    <col min="10023" max="10023" width="15" style="1072" customWidth="1"/>
    <col min="10024" max="10039" width="14.7265625" style="1072" customWidth="1"/>
    <col min="10040" max="10040" width="16.1796875" style="1072" customWidth="1"/>
    <col min="10041" max="10240" width="14.7265625" style="1072"/>
    <col min="10241" max="10241" width="7.26953125" style="1072" customWidth="1"/>
    <col min="10242" max="10242" width="31.7265625" style="1072" customWidth="1"/>
    <col min="10243" max="10243" width="12.1796875" style="1072" customWidth="1"/>
    <col min="10244" max="10244" width="20" style="1072" customWidth="1"/>
    <col min="10245" max="10245" width="21" style="1072" customWidth="1"/>
    <col min="10246" max="10246" width="12.81640625" style="1072" customWidth="1"/>
    <col min="10247" max="10247" width="11.54296875" style="1072" customWidth="1"/>
    <col min="10248" max="10248" width="15" style="1072" customWidth="1"/>
    <col min="10249" max="10249" width="18.81640625" style="1072" customWidth="1"/>
    <col min="10250" max="10251" width="15" style="1072" customWidth="1"/>
    <col min="10252" max="10252" width="17.54296875" style="1072" customWidth="1"/>
    <col min="10253" max="10253" width="13.7265625" style="1072" customWidth="1"/>
    <col min="10254" max="10254" width="16.54296875" style="1072" customWidth="1"/>
    <col min="10255" max="10255" width="16.453125" style="1072" customWidth="1"/>
    <col min="10256" max="10256" width="20.1796875" style="1072" customWidth="1"/>
    <col min="10257" max="10257" width="13.7265625" style="1072" customWidth="1"/>
    <col min="10258" max="10258" width="15" style="1072" customWidth="1"/>
    <col min="10259" max="10259" width="16.1796875" style="1072" customWidth="1"/>
    <col min="10260" max="10261" width="15" style="1072" customWidth="1"/>
    <col min="10262" max="10265" width="13.7265625" style="1072" customWidth="1"/>
    <col min="10266" max="10266" width="14.7265625" style="1072" customWidth="1"/>
    <col min="10267" max="10267" width="13.7265625" style="1072" customWidth="1"/>
    <col min="10268" max="10273" width="14.7265625" style="1072" customWidth="1"/>
    <col min="10274" max="10274" width="16.26953125" style="1072" customWidth="1"/>
    <col min="10275" max="10277" width="14.7265625" style="1072" customWidth="1"/>
    <col min="10278" max="10278" width="17.453125" style="1072" customWidth="1"/>
    <col min="10279" max="10279" width="15" style="1072" customWidth="1"/>
    <col min="10280" max="10295" width="14.7265625" style="1072" customWidth="1"/>
    <col min="10296" max="10296" width="16.1796875" style="1072" customWidth="1"/>
    <col min="10297" max="10496" width="14.7265625" style="1072"/>
    <col min="10497" max="10497" width="7.26953125" style="1072" customWidth="1"/>
    <col min="10498" max="10498" width="31.7265625" style="1072" customWidth="1"/>
    <col min="10499" max="10499" width="12.1796875" style="1072" customWidth="1"/>
    <col min="10500" max="10500" width="20" style="1072" customWidth="1"/>
    <col min="10501" max="10501" width="21" style="1072" customWidth="1"/>
    <col min="10502" max="10502" width="12.81640625" style="1072" customWidth="1"/>
    <col min="10503" max="10503" width="11.54296875" style="1072" customWidth="1"/>
    <col min="10504" max="10504" width="15" style="1072" customWidth="1"/>
    <col min="10505" max="10505" width="18.81640625" style="1072" customWidth="1"/>
    <col min="10506" max="10507" width="15" style="1072" customWidth="1"/>
    <col min="10508" max="10508" width="17.54296875" style="1072" customWidth="1"/>
    <col min="10509" max="10509" width="13.7265625" style="1072" customWidth="1"/>
    <col min="10510" max="10510" width="16.54296875" style="1072" customWidth="1"/>
    <col min="10511" max="10511" width="16.453125" style="1072" customWidth="1"/>
    <col min="10512" max="10512" width="20.1796875" style="1072" customWidth="1"/>
    <col min="10513" max="10513" width="13.7265625" style="1072" customWidth="1"/>
    <col min="10514" max="10514" width="15" style="1072" customWidth="1"/>
    <col min="10515" max="10515" width="16.1796875" style="1072" customWidth="1"/>
    <col min="10516" max="10517" width="15" style="1072" customWidth="1"/>
    <col min="10518" max="10521" width="13.7265625" style="1072" customWidth="1"/>
    <col min="10522" max="10522" width="14.7265625" style="1072" customWidth="1"/>
    <col min="10523" max="10523" width="13.7265625" style="1072" customWidth="1"/>
    <col min="10524" max="10529" width="14.7265625" style="1072" customWidth="1"/>
    <col min="10530" max="10530" width="16.26953125" style="1072" customWidth="1"/>
    <col min="10531" max="10533" width="14.7265625" style="1072" customWidth="1"/>
    <col min="10534" max="10534" width="17.453125" style="1072" customWidth="1"/>
    <col min="10535" max="10535" width="15" style="1072" customWidth="1"/>
    <col min="10536" max="10551" width="14.7265625" style="1072" customWidth="1"/>
    <col min="10552" max="10552" width="16.1796875" style="1072" customWidth="1"/>
    <col min="10553" max="10752" width="14.7265625" style="1072"/>
    <col min="10753" max="10753" width="7.26953125" style="1072" customWidth="1"/>
    <col min="10754" max="10754" width="31.7265625" style="1072" customWidth="1"/>
    <col min="10755" max="10755" width="12.1796875" style="1072" customWidth="1"/>
    <col min="10756" max="10756" width="20" style="1072" customWidth="1"/>
    <col min="10757" max="10757" width="21" style="1072" customWidth="1"/>
    <col min="10758" max="10758" width="12.81640625" style="1072" customWidth="1"/>
    <col min="10759" max="10759" width="11.54296875" style="1072" customWidth="1"/>
    <col min="10760" max="10760" width="15" style="1072" customWidth="1"/>
    <col min="10761" max="10761" width="18.81640625" style="1072" customWidth="1"/>
    <col min="10762" max="10763" width="15" style="1072" customWidth="1"/>
    <col min="10764" max="10764" width="17.54296875" style="1072" customWidth="1"/>
    <col min="10765" max="10765" width="13.7265625" style="1072" customWidth="1"/>
    <col min="10766" max="10766" width="16.54296875" style="1072" customWidth="1"/>
    <col min="10767" max="10767" width="16.453125" style="1072" customWidth="1"/>
    <col min="10768" max="10768" width="20.1796875" style="1072" customWidth="1"/>
    <col min="10769" max="10769" width="13.7265625" style="1072" customWidth="1"/>
    <col min="10770" max="10770" width="15" style="1072" customWidth="1"/>
    <col min="10771" max="10771" width="16.1796875" style="1072" customWidth="1"/>
    <col min="10772" max="10773" width="15" style="1072" customWidth="1"/>
    <col min="10774" max="10777" width="13.7265625" style="1072" customWidth="1"/>
    <col min="10778" max="10778" width="14.7265625" style="1072" customWidth="1"/>
    <col min="10779" max="10779" width="13.7265625" style="1072" customWidth="1"/>
    <col min="10780" max="10785" width="14.7265625" style="1072" customWidth="1"/>
    <col min="10786" max="10786" width="16.26953125" style="1072" customWidth="1"/>
    <col min="10787" max="10789" width="14.7265625" style="1072" customWidth="1"/>
    <col min="10790" max="10790" width="17.453125" style="1072" customWidth="1"/>
    <col min="10791" max="10791" width="15" style="1072" customWidth="1"/>
    <col min="10792" max="10807" width="14.7265625" style="1072" customWidth="1"/>
    <col min="10808" max="10808" width="16.1796875" style="1072" customWidth="1"/>
    <col min="10809" max="11008" width="14.7265625" style="1072"/>
    <col min="11009" max="11009" width="7.26953125" style="1072" customWidth="1"/>
    <col min="11010" max="11010" width="31.7265625" style="1072" customWidth="1"/>
    <col min="11011" max="11011" width="12.1796875" style="1072" customWidth="1"/>
    <col min="11012" max="11012" width="20" style="1072" customWidth="1"/>
    <col min="11013" max="11013" width="21" style="1072" customWidth="1"/>
    <col min="11014" max="11014" width="12.81640625" style="1072" customWidth="1"/>
    <col min="11015" max="11015" width="11.54296875" style="1072" customWidth="1"/>
    <col min="11016" max="11016" width="15" style="1072" customWidth="1"/>
    <col min="11017" max="11017" width="18.81640625" style="1072" customWidth="1"/>
    <col min="11018" max="11019" width="15" style="1072" customWidth="1"/>
    <col min="11020" max="11020" width="17.54296875" style="1072" customWidth="1"/>
    <col min="11021" max="11021" width="13.7265625" style="1072" customWidth="1"/>
    <col min="11022" max="11022" width="16.54296875" style="1072" customWidth="1"/>
    <col min="11023" max="11023" width="16.453125" style="1072" customWidth="1"/>
    <col min="11024" max="11024" width="20.1796875" style="1072" customWidth="1"/>
    <col min="11025" max="11025" width="13.7265625" style="1072" customWidth="1"/>
    <col min="11026" max="11026" width="15" style="1072" customWidth="1"/>
    <col min="11027" max="11027" width="16.1796875" style="1072" customWidth="1"/>
    <col min="11028" max="11029" width="15" style="1072" customWidth="1"/>
    <col min="11030" max="11033" width="13.7265625" style="1072" customWidth="1"/>
    <col min="11034" max="11034" width="14.7265625" style="1072" customWidth="1"/>
    <col min="11035" max="11035" width="13.7265625" style="1072" customWidth="1"/>
    <col min="11036" max="11041" width="14.7265625" style="1072" customWidth="1"/>
    <col min="11042" max="11042" width="16.26953125" style="1072" customWidth="1"/>
    <col min="11043" max="11045" width="14.7265625" style="1072" customWidth="1"/>
    <col min="11046" max="11046" width="17.453125" style="1072" customWidth="1"/>
    <col min="11047" max="11047" width="15" style="1072" customWidth="1"/>
    <col min="11048" max="11063" width="14.7265625" style="1072" customWidth="1"/>
    <col min="11064" max="11064" width="16.1796875" style="1072" customWidth="1"/>
    <col min="11065" max="11264" width="14.7265625" style="1072"/>
    <col min="11265" max="11265" width="7.26953125" style="1072" customWidth="1"/>
    <col min="11266" max="11266" width="31.7265625" style="1072" customWidth="1"/>
    <col min="11267" max="11267" width="12.1796875" style="1072" customWidth="1"/>
    <col min="11268" max="11268" width="20" style="1072" customWidth="1"/>
    <col min="11269" max="11269" width="21" style="1072" customWidth="1"/>
    <col min="11270" max="11270" width="12.81640625" style="1072" customWidth="1"/>
    <col min="11271" max="11271" width="11.54296875" style="1072" customWidth="1"/>
    <col min="11272" max="11272" width="15" style="1072" customWidth="1"/>
    <col min="11273" max="11273" width="18.81640625" style="1072" customWidth="1"/>
    <col min="11274" max="11275" width="15" style="1072" customWidth="1"/>
    <col min="11276" max="11276" width="17.54296875" style="1072" customWidth="1"/>
    <col min="11277" max="11277" width="13.7265625" style="1072" customWidth="1"/>
    <col min="11278" max="11278" width="16.54296875" style="1072" customWidth="1"/>
    <col min="11279" max="11279" width="16.453125" style="1072" customWidth="1"/>
    <col min="11280" max="11280" width="20.1796875" style="1072" customWidth="1"/>
    <col min="11281" max="11281" width="13.7265625" style="1072" customWidth="1"/>
    <col min="11282" max="11282" width="15" style="1072" customWidth="1"/>
    <col min="11283" max="11283" width="16.1796875" style="1072" customWidth="1"/>
    <col min="11284" max="11285" width="15" style="1072" customWidth="1"/>
    <col min="11286" max="11289" width="13.7265625" style="1072" customWidth="1"/>
    <col min="11290" max="11290" width="14.7265625" style="1072" customWidth="1"/>
    <col min="11291" max="11291" width="13.7265625" style="1072" customWidth="1"/>
    <col min="11292" max="11297" width="14.7265625" style="1072" customWidth="1"/>
    <col min="11298" max="11298" width="16.26953125" style="1072" customWidth="1"/>
    <col min="11299" max="11301" width="14.7265625" style="1072" customWidth="1"/>
    <col min="11302" max="11302" width="17.453125" style="1072" customWidth="1"/>
    <col min="11303" max="11303" width="15" style="1072" customWidth="1"/>
    <col min="11304" max="11319" width="14.7265625" style="1072" customWidth="1"/>
    <col min="11320" max="11320" width="16.1796875" style="1072" customWidth="1"/>
    <col min="11321" max="11520" width="14.7265625" style="1072"/>
    <col min="11521" max="11521" width="7.26953125" style="1072" customWidth="1"/>
    <col min="11522" max="11522" width="31.7265625" style="1072" customWidth="1"/>
    <col min="11523" max="11523" width="12.1796875" style="1072" customWidth="1"/>
    <col min="11524" max="11524" width="20" style="1072" customWidth="1"/>
    <col min="11525" max="11525" width="21" style="1072" customWidth="1"/>
    <col min="11526" max="11526" width="12.81640625" style="1072" customWidth="1"/>
    <col min="11527" max="11527" width="11.54296875" style="1072" customWidth="1"/>
    <col min="11528" max="11528" width="15" style="1072" customWidth="1"/>
    <col min="11529" max="11529" width="18.81640625" style="1072" customWidth="1"/>
    <col min="11530" max="11531" width="15" style="1072" customWidth="1"/>
    <col min="11532" max="11532" width="17.54296875" style="1072" customWidth="1"/>
    <col min="11533" max="11533" width="13.7265625" style="1072" customWidth="1"/>
    <col min="11534" max="11534" width="16.54296875" style="1072" customWidth="1"/>
    <col min="11535" max="11535" width="16.453125" style="1072" customWidth="1"/>
    <col min="11536" max="11536" width="20.1796875" style="1072" customWidth="1"/>
    <col min="11537" max="11537" width="13.7265625" style="1072" customWidth="1"/>
    <col min="11538" max="11538" width="15" style="1072" customWidth="1"/>
    <col min="11539" max="11539" width="16.1796875" style="1072" customWidth="1"/>
    <col min="11540" max="11541" width="15" style="1072" customWidth="1"/>
    <col min="11542" max="11545" width="13.7265625" style="1072" customWidth="1"/>
    <col min="11546" max="11546" width="14.7265625" style="1072" customWidth="1"/>
    <col min="11547" max="11547" width="13.7265625" style="1072" customWidth="1"/>
    <col min="11548" max="11553" width="14.7265625" style="1072" customWidth="1"/>
    <col min="11554" max="11554" width="16.26953125" style="1072" customWidth="1"/>
    <col min="11555" max="11557" width="14.7265625" style="1072" customWidth="1"/>
    <col min="11558" max="11558" width="17.453125" style="1072" customWidth="1"/>
    <col min="11559" max="11559" width="15" style="1072" customWidth="1"/>
    <col min="11560" max="11575" width="14.7265625" style="1072" customWidth="1"/>
    <col min="11576" max="11576" width="16.1796875" style="1072" customWidth="1"/>
    <col min="11577" max="11776" width="14.7265625" style="1072"/>
    <col min="11777" max="11777" width="7.26953125" style="1072" customWidth="1"/>
    <col min="11778" max="11778" width="31.7265625" style="1072" customWidth="1"/>
    <col min="11779" max="11779" width="12.1796875" style="1072" customWidth="1"/>
    <col min="11780" max="11780" width="20" style="1072" customWidth="1"/>
    <col min="11781" max="11781" width="21" style="1072" customWidth="1"/>
    <col min="11782" max="11782" width="12.81640625" style="1072" customWidth="1"/>
    <col min="11783" max="11783" width="11.54296875" style="1072" customWidth="1"/>
    <col min="11784" max="11784" width="15" style="1072" customWidth="1"/>
    <col min="11785" max="11785" width="18.81640625" style="1072" customWidth="1"/>
    <col min="11786" max="11787" width="15" style="1072" customWidth="1"/>
    <col min="11788" max="11788" width="17.54296875" style="1072" customWidth="1"/>
    <col min="11789" max="11789" width="13.7265625" style="1072" customWidth="1"/>
    <col min="11790" max="11790" width="16.54296875" style="1072" customWidth="1"/>
    <col min="11791" max="11791" width="16.453125" style="1072" customWidth="1"/>
    <col min="11792" max="11792" width="20.1796875" style="1072" customWidth="1"/>
    <col min="11793" max="11793" width="13.7265625" style="1072" customWidth="1"/>
    <col min="11794" max="11794" width="15" style="1072" customWidth="1"/>
    <col min="11795" max="11795" width="16.1796875" style="1072" customWidth="1"/>
    <col min="11796" max="11797" width="15" style="1072" customWidth="1"/>
    <col min="11798" max="11801" width="13.7265625" style="1072" customWidth="1"/>
    <col min="11802" max="11802" width="14.7265625" style="1072" customWidth="1"/>
    <col min="11803" max="11803" width="13.7265625" style="1072" customWidth="1"/>
    <col min="11804" max="11809" width="14.7265625" style="1072" customWidth="1"/>
    <col min="11810" max="11810" width="16.26953125" style="1072" customWidth="1"/>
    <col min="11811" max="11813" width="14.7265625" style="1072" customWidth="1"/>
    <col min="11814" max="11814" width="17.453125" style="1072" customWidth="1"/>
    <col min="11815" max="11815" width="15" style="1072" customWidth="1"/>
    <col min="11816" max="11831" width="14.7265625" style="1072" customWidth="1"/>
    <col min="11832" max="11832" width="16.1796875" style="1072" customWidth="1"/>
    <col min="11833" max="12032" width="14.7265625" style="1072"/>
    <col min="12033" max="12033" width="7.26953125" style="1072" customWidth="1"/>
    <col min="12034" max="12034" width="31.7265625" style="1072" customWidth="1"/>
    <col min="12035" max="12035" width="12.1796875" style="1072" customWidth="1"/>
    <col min="12036" max="12036" width="20" style="1072" customWidth="1"/>
    <col min="12037" max="12037" width="21" style="1072" customWidth="1"/>
    <col min="12038" max="12038" width="12.81640625" style="1072" customWidth="1"/>
    <col min="12039" max="12039" width="11.54296875" style="1072" customWidth="1"/>
    <col min="12040" max="12040" width="15" style="1072" customWidth="1"/>
    <col min="12041" max="12041" width="18.81640625" style="1072" customWidth="1"/>
    <col min="12042" max="12043" width="15" style="1072" customWidth="1"/>
    <col min="12044" max="12044" width="17.54296875" style="1072" customWidth="1"/>
    <col min="12045" max="12045" width="13.7265625" style="1072" customWidth="1"/>
    <col min="12046" max="12046" width="16.54296875" style="1072" customWidth="1"/>
    <col min="12047" max="12047" width="16.453125" style="1072" customWidth="1"/>
    <col min="12048" max="12048" width="20.1796875" style="1072" customWidth="1"/>
    <col min="12049" max="12049" width="13.7265625" style="1072" customWidth="1"/>
    <col min="12050" max="12050" width="15" style="1072" customWidth="1"/>
    <col min="12051" max="12051" width="16.1796875" style="1072" customWidth="1"/>
    <col min="12052" max="12053" width="15" style="1072" customWidth="1"/>
    <col min="12054" max="12057" width="13.7265625" style="1072" customWidth="1"/>
    <col min="12058" max="12058" width="14.7265625" style="1072" customWidth="1"/>
    <col min="12059" max="12059" width="13.7265625" style="1072" customWidth="1"/>
    <col min="12060" max="12065" width="14.7265625" style="1072" customWidth="1"/>
    <col min="12066" max="12066" width="16.26953125" style="1072" customWidth="1"/>
    <col min="12067" max="12069" width="14.7265625" style="1072" customWidth="1"/>
    <col min="12070" max="12070" width="17.453125" style="1072" customWidth="1"/>
    <col min="12071" max="12071" width="15" style="1072" customWidth="1"/>
    <col min="12072" max="12087" width="14.7265625" style="1072" customWidth="1"/>
    <col min="12088" max="12088" width="16.1796875" style="1072" customWidth="1"/>
    <col min="12089" max="12288" width="14.7265625" style="1072"/>
    <col min="12289" max="12289" width="7.26953125" style="1072" customWidth="1"/>
    <col min="12290" max="12290" width="31.7265625" style="1072" customWidth="1"/>
    <col min="12291" max="12291" width="12.1796875" style="1072" customWidth="1"/>
    <col min="12292" max="12292" width="20" style="1072" customWidth="1"/>
    <col min="12293" max="12293" width="21" style="1072" customWidth="1"/>
    <col min="12294" max="12294" width="12.81640625" style="1072" customWidth="1"/>
    <col min="12295" max="12295" width="11.54296875" style="1072" customWidth="1"/>
    <col min="12296" max="12296" width="15" style="1072" customWidth="1"/>
    <col min="12297" max="12297" width="18.81640625" style="1072" customWidth="1"/>
    <col min="12298" max="12299" width="15" style="1072" customWidth="1"/>
    <col min="12300" max="12300" width="17.54296875" style="1072" customWidth="1"/>
    <col min="12301" max="12301" width="13.7265625" style="1072" customWidth="1"/>
    <col min="12302" max="12302" width="16.54296875" style="1072" customWidth="1"/>
    <col min="12303" max="12303" width="16.453125" style="1072" customWidth="1"/>
    <col min="12304" max="12304" width="20.1796875" style="1072" customWidth="1"/>
    <col min="12305" max="12305" width="13.7265625" style="1072" customWidth="1"/>
    <col min="12306" max="12306" width="15" style="1072" customWidth="1"/>
    <col min="12307" max="12307" width="16.1796875" style="1072" customWidth="1"/>
    <col min="12308" max="12309" width="15" style="1072" customWidth="1"/>
    <col min="12310" max="12313" width="13.7265625" style="1072" customWidth="1"/>
    <col min="12314" max="12314" width="14.7265625" style="1072" customWidth="1"/>
    <col min="12315" max="12315" width="13.7265625" style="1072" customWidth="1"/>
    <col min="12316" max="12321" width="14.7265625" style="1072" customWidth="1"/>
    <col min="12322" max="12322" width="16.26953125" style="1072" customWidth="1"/>
    <col min="12323" max="12325" width="14.7265625" style="1072" customWidth="1"/>
    <col min="12326" max="12326" width="17.453125" style="1072" customWidth="1"/>
    <col min="12327" max="12327" width="15" style="1072" customWidth="1"/>
    <col min="12328" max="12343" width="14.7265625" style="1072" customWidth="1"/>
    <col min="12344" max="12344" width="16.1796875" style="1072" customWidth="1"/>
    <col min="12345" max="12544" width="14.7265625" style="1072"/>
    <col min="12545" max="12545" width="7.26953125" style="1072" customWidth="1"/>
    <col min="12546" max="12546" width="31.7265625" style="1072" customWidth="1"/>
    <col min="12547" max="12547" width="12.1796875" style="1072" customWidth="1"/>
    <col min="12548" max="12548" width="20" style="1072" customWidth="1"/>
    <col min="12549" max="12549" width="21" style="1072" customWidth="1"/>
    <col min="12550" max="12550" width="12.81640625" style="1072" customWidth="1"/>
    <col min="12551" max="12551" width="11.54296875" style="1072" customWidth="1"/>
    <col min="12552" max="12552" width="15" style="1072" customWidth="1"/>
    <col min="12553" max="12553" width="18.81640625" style="1072" customWidth="1"/>
    <col min="12554" max="12555" width="15" style="1072" customWidth="1"/>
    <col min="12556" max="12556" width="17.54296875" style="1072" customWidth="1"/>
    <col min="12557" max="12557" width="13.7265625" style="1072" customWidth="1"/>
    <col min="12558" max="12558" width="16.54296875" style="1072" customWidth="1"/>
    <col min="12559" max="12559" width="16.453125" style="1072" customWidth="1"/>
    <col min="12560" max="12560" width="20.1796875" style="1072" customWidth="1"/>
    <col min="12561" max="12561" width="13.7265625" style="1072" customWidth="1"/>
    <col min="12562" max="12562" width="15" style="1072" customWidth="1"/>
    <col min="12563" max="12563" width="16.1796875" style="1072" customWidth="1"/>
    <col min="12564" max="12565" width="15" style="1072" customWidth="1"/>
    <col min="12566" max="12569" width="13.7265625" style="1072" customWidth="1"/>
    <col min="12570" max="12570" width="14.7265625" style="1072" customWidth="1"/>
    <col min="12571" max="12571" width="13.7265625" style="1072" customWidth="1"/>
    <col min="12572" max="12577" width="14.7265625" style="1072" customWidth="1"/>
    <col min="12578" max="12578" width="16.26953125" style="1072" customWidth="1"/>
    <col min="12579" max="12581" width="14.7265625" style="1072" customWidth="1"/>
    <col min="12582" max="12582" width="17.453125" style="1072" customWidth="1"/>
    <col min="12583" max="12583" width="15" style="1072" customWidth="1"/>
    <col min="12584" max="12599" width="14.7265625" style="1072" customWidth="1"/>
    <col min="12600" max="12600" width="16.1796875" style="1072" customWidth="1"/>
    <col min="12601" max="12800" width="14.7265625" style="1072"/>
    <col min="12801" max="12801" width="7.26953125" style="1072" customWidth="1"/>
    <col min="12802" max="12802" width="31.7265625" style="1072" customWidth="1"/>
    <col min="12803" max="12803" width="12.1796875" style="1072" customWidth="1"/>
    <col min="12804" max="12804" width="20" style="1072" customWidth="1"/>
    <col min="12805" max="12805" width="21" style="1072" customWidth="1"/>
    <col min="12806" max="12806" width="12.81640625" style="1072" customWidth="1"/>
    <col min="12807" max="12807" width="11.54296875" style="1072" customWidth="1"/>
    <col min="12808" max="12808" width="15" style="1072" customWidth="1"/>
    <col min="12809" max="12809" width="18.81640625" style="1072" customWidth="1"/>
    <col min="12810" max="12811" width="15" style="1072" customWidth="1"/>
    <col min="12812" max="12812" width="17.54296875" style="1072" customWidth="1"/>
    <col min="12813" max="12813" width="13.7265625" style="1072" customWidth="1"/>
    <col min="12814" max="12814" width="16.54296875" style="1072" customWidth="1"/>
    <col min="12815" max="12815" width="16.453125" style="1072" customWidth="1"/>
    <col min="12816" max="12816" width="20.1796875" style="1072" customWidth="1"/>
    <col min="12817" max="12817" width="13.7265625" style="1072" customWidth="1"/>
    <col min="12818" max="12818" width="15" style="1072" customWidth="1"/>
    <col min="12819" max="12819" width="16.1796875" style="1072" customWidth="1"/>
    <col min="12820" max="12821" width="15" style="1072" customWidth="1"/>
    <col min="12822" max="12825" width="13.7265625" style="1072" customWidth="1"/>
    <col min="12826" max="12826" width="14.7265625" style="1072" customWidth="1"/>
    <col min="12827" max="12827" width="13.7265625" style="1072" customWidth="1"/>
    <col min="12828" max="12833" width="14.7265625" style="1072" customWidth="1"/>
    <col min="12834" max="12834" width="16.26953125" style="1072" customWidth="1"/>
    <col min="12835" max="12837" width="14.7265625" style="1072" customWidth="1"/>
    <col min="12838" max="12838" width="17.453125" style="1072" customWidth="1"/>
    <col min="12839" max="12839" width="15" style="1072" customWidth="1"/>
    <col min="12840" max="12855" width="14.7265625" style="1072" customWidth="1"/>
    <col min="12856" max="12856" width="16.1796875" style="1072" customWidth="1"/>
    <col min="12857" max="13056" width="14.7265625" style="1072"/>
    <col min="13057" max="13057" width="7.26953125" style="1072" customWidth="1"/>
    <col min="13058" max="13058" width="31.7265625" style="1072" customWidth="1"/>
    <col min="13059" max="13059" width="12.1796875" style="1072" customWidth="1"/>
    <col min="13060" max="13060" width="20" style="1072" customWidth="1"/>
    <col min="13061" max="13061" width="21" style="1072" customWidth="1"/>
    <col min="13062" max="13062" width="12.81640625" style="1072" customWidth="1"/>
    <col min="13063" max="13063" width="11.54296875" style="1072" customWidth="1"/>
    <col min="13064" max="13064" width="15" style="1072" customWidth="1"/>
    <col min="13065" max="13065" width="18.81640625" style="1072" customWidth="1"/>
    <col min="13066" max="13067" width="15" style="1072" customWidth="1"/>
    <col min="13068" max="13068" width="17.54296875" style="1072" customWidth="1"/>
    <col min="13069" max="13069" width="13.7265625" style="1072" customWidth="1"/>
    <col min="13070" max="13070" width="16.54296875" style="1072" customWidth="1"/>
    <col min="13071" max="13071" width="16.453125" style="1072" customWidth="1"/>
    <col min="13072" max="13072" width="20.1796875" style="1072" customWidth="1"/>
    <col min="13073" max="13073" width="13.7265625" style="1072" customWidth="1"/>
    <col min="13074" max="13074" width="15" style="1072" customWidth="1"/>
    <col min="13075" max="13075" width="16.1796875" style="1072" customWidth="1"/>
    <col min="13076" max="13077" width="15" style="1072" customWidth="1"/>
    <col min="13078" max="13081" width="13.7265625" style="1072" customWidth="1"/>
    <col min="13082" max="13082" width="14.7265625" style="1072" customWidth="1"/>
    <col min="13083" max="13083" width="13.7265625" style="1072" customWidth="1"/>
    <col min="13084" max="13089" width="14.7265625" style="1072" customWidth="1"/>
    <col min="13090" max="13090" width="16.26953125" style="1072" customWidth="1"/>
    <col min="13091" max="13093" width="14.7265625" style="1072" customWidth="1"/>
    <col min="13094" max="13094" width="17.453125" style="1072" customWidth="1"/>
    <col min="13095" max="13095" width="15" style="1072" customWidth="1"/>
    <col min="13096" max="13111" width="14.7265625" style="1072" customWidth="1"/>
    <col min="13112" max="13112" width="16.1796875" style="1072" customWidth="1"/>
    <col min="13113" max="13312" width="14.7265625" style="1072"/>
    <col min="13313" max="13313" width="7.26953125" style="1072" customWidth="1"/>
    <col min="13314" max="13314" width="31.7265625" style="1072" customWidth="1"/>
    <col min="13315" max="13315" width="12.1796875" style="1072" customWidth="1"/>
    <col min="13316" max="13316" width="20" style="1072" customWidth="1"/>
    <col min="13317" max="13317" width="21" style="1072" customWidth="1"/>
    <col min="13318" max="13318" width="12.81640625" style="1072" customWidth="1"/>
    <col min="13319" max="13319" width="11.54296875" style="1072" customWidth="1"/>
    <col min="13320" max="13320" width="15" style="1072" customWidth="1"/>
    <col min="13321" max="13321" width="18.81640625" style="1072" customWidth="1"/>
    <col min="13322" max="13323" width="15" style="1072" customWidth="1"/>
    <col min="13324" max="13324" width="17.54296875" style="1072" customWidth="1"/>
    <col min="13325" max="13325" width="13.7265625" style="1072" customWidth="1"/>
    <col min="13326" max="13326" width="16.54296875" style="1072" customWidth="1"/>
    <col min="13327" max="13327" width="16.453125" style="1072" customWidth="1"/>
    <col min="13328" max="13328" width="20.1796875" style="1072" customWidth="1"/>
    <col min="13329" max="13329" width="13.7265625" style="1072" customWidth="1"/>
    <col min="13330" max="13330" width="15" style="1072" customWidth="1"/>
    <col min="13331" max="13331" width="16.1796875" style="1072" customWidth="1"/>
    <col min="13332" max="13333" width="15" style="1072" customWidth="1"/>
    <col min="13334" max="13337" width="13.7265625" style="1072" customWidth="1"/>
    <col min="13338" max="13338" width="14.7265625" style="1072" customWidth="1"/>
    <col min="13339" max="13339" width="13.7265625" style="1072" customWidth="1"/>
    <col min="13340" max="13345" width="14.7265625" style="1072" customWidth="1"/>
    <col min="13346" max="13346" width="16.26953125" style="1072" customWidth="1"/>
    <col min="13347" max="13349" width="14.7265625" style="1072" customWidth="1"/>
    <col min="13350" max="13350" width="17.453125" style="1072" customWidth="1"/>
    <col min="13351" max="13351" width="15" style="1072" customWidth="1"/>
    <col min="13352" max="13367" width="14.7265625" style="1072" customWidth="1"/>
    <col min="13368" max="13368" width="16.1796875" style="1072" customWidth="1"/>
    <col min="13369" max="13568" width="14.7265625" style="1072"/>
    <col min="13569" max="13569" width="7.26953125" style="1072" customWidth="1"/>
    <col min="13570" max="13570" width="31.7265625" style="1072" customWidth="1"/>
    <col min="13571" max="13571" width="12.1796875" style="1072" customWidth="1"/>
    <col min="13572" max="13572" width="20" style="1072" customWidth="1"/>
    <col min="13573" max="13573" width="21" style="1072" customWidth="1"/>
    <col min="13574" max="13574" width="12.81640625" style="1072" customWidth="1"/>
    <col min="13575" max="13575" width="11.54296875" style="1072" customWidth="1"/>
    <col min="13576" max="13576" width="15" style="1072" customWidth="1"/>
    <col min="13577" max="13577" width="18.81640625" style="1072" customWidth="1"/>
    <col min="13578" max="13579" width="15" style="1072" customWidth="1"/>
    <col min="13580" max="13580" width="17.54296875" style="1072" customWidth="1"/>
    <col min="13581" max="13581" width="13.7265625" style="1072" customWidth="1"/>
    <col min="13582" max="13582" width="16.54296875" style="1072" customWidth="1"/>
    <col min="13583" max="13583" width="16.453125" style="1072" customWidth="1"/>
    <col min="13584" max="13584" width="20.1796875" style="1072" customWidth="1"/>
    <col min="13585" max="13585" width="13.7265625" style="1072" customWidth="1"/>
    <col min="13586" max="13586" width="15" style="1072" customWidth="1"/>
    <col min="13587" max="13587" width="16.1796875" style="1072" customWidth="1"/>
    <col min="13588" max="13589" width="15" style="1072" customWidth="1"/>
    <col min="13590" max="13593" width="13.7265625" style="1072" customWidth="1"/>
    <col min="13594" max="13594" width="14.7265625" style="1072" customWidth="1"/>
    <col min="13595" max="13595" width="13.7265625" style="1072" customWidth="1"/>
    <col min="13596" max="13601" width="14.7265625" style="1072" customWidth="1"/>
    <col min="13602" max="13602" width="16.26953125" style="1072" customWidth="1"/>
    <col min="13603" max="13605" width="14.7265625" style="1072" customWidth="1"/>
    <col min="13606" max="13606" width="17.453125" style="1072" customWidth="1"/>
    <col min="13607" max="13607" width="15" style="1072" customWidth="1"/>
    <col min="13608" max="13623" width="14.7265625" style="1072" customWidth="1"/>
    <col min="13624" max="13624" width="16.1796875" style="1072" customWidth="1"/>
    <col min="13625" max="13824" width="14.7265625" style="1072"/>
    <col min="13825" max="13825" width="7.26953125" style="1072" customWidth="1"/>
    <col min="13826" max="13826" width="31.7265625" style="1072" customWidth="1"/>
    <col min="13827" max="13827" width="12.1796875" style="1072" customWidth="1"/>
    <col min="13828" max="13828" width="20" style="1072" customWidth="1"/>
    <col min="13829" max="13829" width="21" style="1072" customWidth="1"/>
    <col min="13830" max="13830" width="12.81640625" style="1072" customWidth="1"/>
    <col min="13831" max="13831" width="11.54296875" style="1072" customWidth="1"/>
    <col min="13832" max="13832" width="15" style="1072" customWidth="1"/>
    <col min="13833" max="13833" width="18.81640625" style="1072" customWidth="1"/>
    <col min="13834" max="13835" width="15" style="1072" customWidth="1"/>
    <col min="13836" max="13836" width="17.54296875" style="1072" customWidth="1"/>
    <col min="13837" max="13837" width="13.7265625" style="1072" customWidth="1"/>
    <col min="13838" max="13838" width="16.54296875" style="1072" customWidth="1"/>
    <col min="13839" max="13839" width="16.453125" style="1072" customWidth="1"/>
    <col min="13840" max="13840" width="20.1796875" style="1072" customWidth="1"/>
    <col min="13841" max="13841" width="13.7265625" style="1072" customWidth="1"/>
    <col min="13842" max="13842" width="15" style="1072" customWidth="1"/>
    <col min="13843" max="13843" width="16.1796875" style="1072" customWidth="1"/>
    <col min="13844" max="13845" width="15" style="1072" customWidth="1"/>
    <col min="13846" max="13849" width="13.7265625" style="1072" customWidth="1"/>
    <col min="13850" max="13850" width="14.7265625" style="1072" customWidth="1"/>
    <col min="13851" max="13851" width="13.7265625" style="1072" customWidth="1"/>
    <col min="13852" max="13857" width="14.7265625" style="1072" customWidth="1"/>
    <col min="13858" max="13858" width="16.26953125" style="1072" customWidth="1"/>
    <col min="13859" max="13861" width="14.7265625" style="1072" customWidth="1"/>
    <col min="13862" max="13862" width="17.453125" style="1072" customWidth="1"/>
    <col min="13863" max="13863" width="15" style="1072" customWidth="1"/>
    <col min="13864" max="13879" width="14.7265625" style="1072" customWidth="1"/>
    <col min="13880" max="13880" width="16.1796875" style="1072" customWidth="1"/>
    <col min="13881" max="14080" width="14.7265625" style="1072"/>
    <col min="14081" max="14081" width="7.26953125" style="1072" customWidth="1"/>
    <col min="14082" max="14082" width="31.7265625" style="1072" customWidth="1"/>
    <col min="14083" max="14083" width="12.1796875" style="1072" customWidth="1"/>
    <col min="14084" max="14084" width="20" style="1072" customWidth="1"/>
    <col min="14085" max="14085" width="21" style="1072" customWidth="1"/>
    <col min="14086" max="14086" width="12.81640625" style="1072" customWidth="1"/>
    <col min="14087" max="14087" width="11.54296875" style="1072" customWidth="1"/>
    <col min="14088" max="14088" width="15" style="1072" customWidth="1"/>
    <col min="14089" max="14089" width="18.81640625" style="1072" customWidth="1"/>
    <col min="14090" max="14091" width="15" style="1072" customWidth="1"/>
    <col min="14092" max="14092" width="17.54296875" style="1072" customWidth="1"/>
    <col min="14093" max="14093" width="13.7265625" style="1072" customWidth="1"/>
    <col min="14094" max="14094" width="16.54296875" style="1072" customWidth="1"/>
    <col min="14095" max="14095" width="16.453125" style="1072" customWidth="1"/>
    <col min="14096" max="14096" width="20.1796875" style="1072" customWidth="1"/>
    <col min="14097" max="14097" width="13.7265625" style="1072" customWidth="1"/>
    <col min="14098" max="14098" width="15" style="1072" customWidth="1"/>
    <col min="14099" max="14099" width="16.1796875" style="1072" customWidth="1"/>
    <col min="14100" max="14101" width="15" style="1072" customWidth="1"/>
    <col min="14102" max="14105" width="13.7265625" style="1072" customWidth="1"/>
    <col min="14106" max="14106" width="14.7265625" style="1072" customWidth="1"/>
    <col min="14107" max="14107" width="13.7265625" style="1072" customWidth="1"/>
    <col min="14108" max="14113" width="14.7265625" style="1072" customWidth="1"/>
    <col min="14114" max="14114" width="16.26953125" style="1072" customWidth="1"/>
    <col min="14115" max="14117" width="14.7265625" style="1072" customWidth="1"/>
    <col min="14118" max="14118" width="17.453125" style="1072" customWidth="1"/>
    <col min="14119" max="14119" width="15" style="1072" customWidth="1"/>
    <col min="14120" max="14135" width="14.7265625" style="1072" customWidth="1"/>
    <col min="14136" max="14136" width="16.1796875" style="1072" customWidth="1"/>
    <col min="14137" max="14336" width="14.7265625" style="1072"/>
    <col min="14337" max="14337" width="7.26953125" style="1072" customWidth="1"/>
    <col min="14338" max="14338" width="31.7265625" style="1072" customWidth="1"/>
    <col min="14339" max="14339" width="12.1796875" style="1072" customWidth="1"/>
    <col min="14340" max="14340" width="20" style="1072" customWidth="1"/>
    <col min="14341" max="14341" width="21" style="1072" customWidth="1"/>
    <col min="14342" max="14342" width="12.81640625" style="1072" customWidth="1"/>
    <col min="14343" max="14343" width="11.54296875" style="1072" customWidth="1"/>
    <col min="14344" max="14344" width="15" style="1072" customWidth="1"/>
    <col min="14345" max="14345" width="18.81640625" style="1072" customWidth="1"/>
    <col min="14346" max="14347" width="15" style="1072" customWidth="1"/>
    <col min="14348" max="14348" width="17.54296875" style="1072" customWidth="1"/>
    <col min="14349" max="14349" width="13.7265625" style="1072" customWidth="1"/>
    <col min="14350" max="14350" width="16.54296875" style="1072" customWidth="1"/>
    <col min="14351" max="14351" width="16.453125" style="1072" customWidth="1"/>
    <col min="14352" max="14352" width="20.1796875" style="1072" customWidth="1"/>
    <col min="14353" max="14353" width="13.7265625" style="1072" customWidth="1"/>
    <col min="14354" max="14354" width="15" style="1072" customWidth="1"/>
    <col min="14355" max="14355" width="16.1796875" style="1072" customWidth="1"/>
    <col min="14356" max="14357" width="15" style="1072" customWidth="1"/>
    <col min="14358" max="14361" width="13.7265625" style="1072" customWidth="1"/>
    <col min="14362" max="14362" width="14.7265625" style="1072" customWidth="1"/>
    <col min="14363" max="14363" width="13.7265625" style="1072" customWidth="1"/>
    <col min="14364" max="14369" width="14.7265625" style="1072" customWidth="1"/>
    <col min="14370" max="14370" width="16.26953125" style="1072" customWidth="1"/>
    <col min="14371" max="14373" width="14.7265625" style="1072" customWidth="1"/>
    <col min="14374" max="14374" width="17.453125" style="1072" customWidth="1"/>
    <col min="14375" max="14375" width="15" style="1072" customWidth="1"/>
    <col min="14376" max="14391" width="14.7265625" style="1072" customWidth="1"/>
    <col min="14392" max="14392" width="16.1796875" style="1072" customWidth="1"/>
    <col min="14393" max="14592" width="14.7265625" style="1072"/>
    <col min="14593" max="14593" width="7.26953125" style="1072" customWidth="1"/>
    <col min="14594" max="14594" width="31.7265625" style="1072" customWidth="1"/>
    <col min="14595" max="14595" width="12.1796875" style="1072" customWidth="1"/>
    <col min="14596" max="14596" width="20" style="1072" customWidth="1"/>
    <col min="14597" max="14597" width="21" style="1072" customWidth="1"/>
    <col min="14598" max="14598" width="12.81640625" style="1072" customWidth="1"/>
    <col min="14599" max="14599" width="11.54296875" style="1072" customWidth="1"/>
    <col min="14600" max="14600" width="15" style="1072" customWidth="1"/>
    <col min="14601" max="14601" width="18.81640625" style="1072" customWidth="1"/>
    <col min="14602" max="14603" width="15" style="1072" customWidth="1"/>
    <col min="14604" max="14604" width="17.54296875" style="1072" customWidth="1"/>
    <col min="14605" max="14605" width="13.7265625" style="1072" customWidth="1"/>
    <col min="14606" max="14606" width="16.54296875" style="1072" customWidth="1"/>
    <col min="14607" max="14607" width="16.453125" style="1072" customWidth="1"/>
    <col min="14608" max="14608" width="20.1796875" style="1072" customWidth="1"/>
    <col min="14609" max="14609" width="13.7265625" style="1072" customWidth="1"/>
    <col min="14610" max="14610" width="15" style="1072" customWidth="1"/>
    <col min="14611" max="14611" width="16.1796875" style="1072" customWidth="1"/>
    <col min="14612" max="14613" width="15" style="1072" customWidth="1"/>
    <col min="14614" max="14617" width="13.7265625" style="1072" customWidth="1"/>
    <col min="14618" max="14618" width="14.7265625" style="1072" customWidth="1"/>
    <col min="14619" max="14619" width="13.7265625" style="1072" customWidth="1"/>
    <col min="14620" max="14625" width="14.7265625" style="1072" customWidth="1"/>
    <col min="14626" max="14626" width="16.26953125" style="1072" customWidth="1"/>
    <col min="14627" max="14629" width="14.7265625" style="1072" customWidth="1"/>
    <col min="14630" max="14630" width="17.453125" style="1072" customWidth="1"/>
    <col min="14631" max="14631" width="15" style="1072" customWidth="1"/>
    <col min="14632" max="14647" width="14.7265625" style="1072" customWidth="1"/>
    <col min="14648" max="14648" width="16.1796875" style="1072" customWidth="1"/>
    <col min="14649" max="14848" width="14.7265625" style="1072"/>
    <col min="14849" max="14849" width="7.26953125" style="1072" customWidth="1"/>
    <col min="14850" max="14850" width="31.7265625" style="1072" customWidth="1"/>
    <col min="14851" max="14851" width="12.1796875" style="1072" customWidth="1"/>
    <col min="14852" max="14852" width="20" style="1072" customWidth="1"/>
    <col min="14853" max="14853" width="21" style="1072" customWidth="1"/>
    <col min="14854" max="14854" width="12.81640625" style="1072" customWidth="1"/>
    <col min="14855" max="14855" width="11.54296875" style="1072" customWidth="1"/>
    <col min="14856" max="14856" width="15" style="1072" customWidth="1"/>
    <col min="14857" max="14857" width="18.81640625" style="1072" customWidth="1"/>
    <col min="14858" max="14859" width="15" style="1072" customWidth="1"/>
    <col min="14860" max="14860" width="17.54296875" style="1072" customWidth="1"/>
    <col min="14861" max="14861" width="13.7265625" style="1072" customWidth="1"/>
    <col min="14862" max="14862" width="16.54296875" style="1072" customWidth="1"/>
    <col min="14863" max="14863" width="16.453125" style="1072" customWidth="1"/>
    <col min="14864" max="14864" width="20.1796875" style="1072" customWidth="1"/>
    <col min="14865" max="14865" width="13.7265625" style="1072" customWidth="1"/>
    <col min="14866" max="14866" width="15" style="1072" customWidth="1"/>
    <col min="14867" max="14867" width="16.1796875" style="1072" customWidth="1"/>
    <col min="14868" max="14869" width="15" style="1072" customWidth="1"/>
    <col min="14870" max="14873" width="13.7265625" style="1072" customWidth="1"/>
    <col min="14874" max="14874" width="14.7265625" style="1072" customWidth="1"/>
    <col min="14875" max="14875" width="13.7265625" style="1072" customWidth="1"/>
    <col min="14876" max="14881" width="14.7265625" style="1072" customWidth="1"/>
    <col min="14882" max="14882" width="16.26953125" style="1072" customWidth="1"/>
    <col min="14883" max="14885" width="14.7265625" style="1072" customWidth="1"/>
    <col min="14886" max="14886" width="17.453125" style="1072" customWidth="1"/>
    <col min="14887" max="14887" width="15" style="1072" customWidth="1"/>
    <col min="14888" max="14903" width="14.7265625" style="1072" customWidth="1"/>
    <col min="14904" max="14904" width="16.1796875" style="1072" customWidth="1"/>
    <col min="14905" max="15104" width="14.7265625" style="1072"/>
    <col min="15105" max="15105" width="7.26953125" style="1072" customWidth="1"/>
    <col min="15106" max="15106" width="31.7265625" style="1072" customWidth="1"/>
    <col min="15107" max="15107" width="12.1796875" style="1072" customWidth="1"/>
    <col min="15108" max="15108" width="20" style="1072" customWidth="1"/>
    <col min="15109" max="15109" width="21" style="1072" customWidth="1"/>
    <col min="15110" max="15110" width="12.81640625" style="1072" customWidth="1"/>
    <col min="15111" max="15111" width="11.54296875" style="1072" customWidth="1"/>
    <col min="15112" max="15112" width="15" style="1072" customWidth="1"/>
    <col min="15113" max="15113" width="18.81640625" style="1072" customWidth="1"/>
    <col min="15114" max="15115" width="15" style="1072" customWidth="1"/>
    <col min="15116" max="15116" width="17.54296875" style="1072" customWidth="1"/>
    <col min="15117" max="15117" width="13.7265625" style="1072" customWidth="1"/>
    <col min="15118" max="15118" width="16.54296875" style="1072" customWidth="1"/>
    <col min="15119" max="15119" width="16.453125" style="1072" customWidth="1"/>
    <col min="15120" max="15120" width="20.1796875" style="1072" customWidth="1"/>
    <col min="15121" max="15121" width="13.7265625" style="1072" customWidth="1"/>
    <col min="15122" max="15122" width="15" style="1072" customWidth="1"/>
    <col min="15123" max="15123" width="16.1796875" style="1072" customWidth="1"/>
    <col min="15124" max="15125" width="15" style="1072" customWidth="1"/>
    <col min="15126" max="15129" width="13.7265625" style="1072" customWidth="1"/>
    <col min="15130" max="15130" width="14.7265625" style="1072" customWidth="1"/>
    <col min="15131" max="15131" width="13.7265625" style="1072" customWidth="1"/>
    <col min="15132" max="15137" width="14.7265625" style="1072" customWidth="1"/>
    <col min="15138" max="15138" width="16.26953125" style="1072" customWidth="1"/>
    <col min="15139" max="15141" width="14.7265625" style="1072" customWidth="1"/>
    <col min="15142" max="15142" width="17.453125" style="1072" customWidth="1"/>
    <col min="15143" max="15143" width="15" style="1072" customWidth="1"/>
    <col min="15144" max="15159" width="14.7265625" style="1072" customWidth="1"/>
    <col min="15160" max="15160" width="16.1796875" style="1072" customWidth="1"/>
    <col min="15161" max="15360" width="14.7265625" style="1072"/>
    <col min="15361" max="15361" width="7.26953125" style="1072" customWidth="1"/>
    <col min="15362" max="15362" width="31.7265625" style="1072" customWidth="1"/>
    <col min="15363" max="15363" width="12.1796875" style="1072" customWidth="1"/>
    <col min="15364" max="15364" width="20" style="1072" customWidth="1"/>
    <col min="15365" max="15365" width="21" style="1072" customWidth="1"/>
    <col min="15366" max="15366" width="12.81640625" style="1072" customWidth="1"/>
    <col min="15367" max="15367" width="11.54296875" style="1072" customWidth="1"/>
    <col min="15368" max="15368" width="15" style="1072" customWidth="1"/>
    <col min="15369" max="15369" width="18.81640625" style="1072" customWidth="1"/>
    <col min="15370" max="15371" width="15" style="1072" customWidth="1"/>
    <col min="15372" max="15372" width="17.54296875" style="1072" customWidth="1"/>
    <col min="15373" max="15373" width="13.7265625" style="1072" customWidth="1"/>
    <col min="15374" max="15374" width="16.54296875" style="1072" customWidth="1"/>
    <col min="15375" max="15375" width="16.453125" style="1072" customWidth="1"/>
    <col min="15376" max="15376" width="20.1796875" style="1072" customWidth="1"/>
    <col min="15377" max="15377" width="13.7265625" style="1072" customWidth="1"/>
    <col min="15378" max="15378" width="15" style="1072" customWidth="1"/>
    <col min="15379" max="15379" width="16.1796875" style="1072" customWidth="1"/>
    <col min="15380" max="15381" width="15" style="1072" customWidth="1"/>
    <col min="15382" max="15385" width="13.7265625" style="1072" customWidth="1"/>
    <col min="15386" max="15386" width="14.7265625" style="1072" customWidth="1"/>
    <col min="15387" max="15387" width="13.7265625" style="1072" customWidth="1"/>
    <col min="15388" max="15393" width="14.7265625" style="1072" customWidth="1"/>
    <col min="15394" max="15394" width="16.26953125" style="1072" customWidth="1"/>
    <col min="15395" max="15397" width="14.7265625" style="1072" customWidth="1"/>
    <col min="15398" max="15398" width="17.453125" style="1072" customWidth="1"/>
    <col min="15399" max="15399" width="15" style="1072" customWidth="1"/>
    <col min="15400" max="15415" width="14.7265625" style="1072" customWidth="1"/>
    <col min="15416" max="15416" width="16.1796875" style="1072" customWidth="1"/>
    <col min="15417" max="15616" width="14.7265625" style="1072"/>
    <col min="15617" max="15617" width="7.26953125" style="1072" customWidth="1"/>
    <col min="15618" max="15618" width="31.7265625" style="1072" customWidth="1"/>
    <col min="15619" max="15619" width="12.1796875" style="1072" customWidth="1"/>
    <col min="15620" max="15620" width="20" style="1072" customWidth="1"/>
    <col min="15621" max="15621" width="21" style="1072" customWidth="1"/>
    <col min="15622" max="15622" width="12.81640625" style="1072" customWidth="1"/>
    <col min="15623" max="15623" width="11.54296875" style="1072" customWidth="1"/>
    <col min="15624" max="15624" width="15" style="1072" customWidth="1"/>
    <col min="15625" max="15625" width="18.81640625" style="1072" customWidth="1"/>
    <col min="15626" max="15627" width="15" style="1072" customWidth="1"/>
    <col min="15628" max="15628" width="17.54296875" style="1072" customWidth="1"/>
    <col min="15629" max="15629" width="13.7265625" style="1072" customWidth="1"/>
    <col min="15630" max="15630" width="16.54296875" style="1072" customWidth="1"/>
    <col min="15631" max="15631" width="16.453125" style="1072" customWidth="1"/>
    <col min="15632" max="15632" width="20.1796875" style="1072" customWidth="1"/>
    <col min="15633" max="15633" width="13.7265625" style="1072" customWidth="1"/>
    <col min="15634" max="15634" width="15" style="1072" customWidth="1"/>
    <col min="15635" max="15635" width="16.1796875" style="1072" customWidth="1"/>
    <col min="15636" max="15637" width="15" style="1072" customWidth="1"/>
    <col min="15638" max="15641" width="13.7265625" style="1072" customWidth="1"/>
    <col min="15642" max="15642" width="14.7265625" style="1072" customWidth="1"/>
    <col min="15643" max="15643" width="13.7265625" style="1072" customWidth="1"/>
    <col min="15644" max="15649" width="14.7265625" style="1072" customWidth="1"/>
    <col min="15650" max="15650" width="16.26953125" style="1072" customWidth="1"/>
    <col min="15651" max="15653" width="14.7265625" style="1072" customWidth="1"/>
    <col min="15654" max="15654" width="17.453125" style="1072" customWidth="1"/>
    <col min="15655" max="15655" width="15" style="1072" customWidth="1"/>
    <col min="15656" max="15671" width="14.7265625" style="1072" customWidth="1"/>
    <col min="15672" max="15672" width="16.1796875" style="1072" customWidth="1"/>
    <col min="15673" max="15872" width="14.7265625" style="1072"/>
    <col min="15873" max="15873" width="7.26953125" style="1072" customWidth="1"/>
    <col min="15874" max="15874" width="31.7265625" style="1072" customWidth="1"/>
    <col min="15875" max="15875" width="12.1796875" style="1072" customWidth="1"/>
    <col min="15876" max="15876" width="20" style="1072" customWidth="1"/>
    <col min="15877" max="15877" width="21" style="1072" customWidth="1"/>
    <col min="15878" max="15878" width="12.81640625" style="1072" customWidth="1"/>
    <col min="15879" max="15879" width="11.54296875" style="1072" customWidth="1"/>
    <col min="15880" max="15880" width="15" style="1072" customWidth="1"/>
    <col min="15881" max="15881" width="18.81640625" style="1072" customWidth="1"/>
    <col min="15882" max="15883" width="15" style="1072" customWidth="1"/>
    <col min="15884" max="15884" width="17.54296875" style="1072" customWidth="1"/>
    <col min="15885" max="15885" width="13.7265625" style="1072" customWidth="1"/>
    <col min="15886" max="15886" width="16.54296875" style="1072" customWidth="1"/>
    <col min="15887" max="15887" width="16.453125" style="1072" customWidth="1"/>
    <col min="15888" max="15888" width="20.1796875" style="1072" customWidth="1"/>
    <col min="15889" max="15889" width="13.7265625" style="1072" customWidth="1"/>
    <col min="15890" max="15890" width="15" style="1072" customWidth="1"/>
    <col min="15891" max="15891" width="16.1796875" style="1072" customWidth="1"/>
    <col min="15892" max="15893" width="15" style="1072" customWidth="1"/>
    <col min="15894" max="15897" width="13.7265625" style="1072" customWidth="1"/>
    <col min="15898" max="15898" width="14.7265625" style="1072" customWidth="1"/>
    <col min="15899" max="15899" width="13.7265625" style="1072" customWidth="1"/>
    <col min="15900" max="15905" width="14.7265625" style="1072" customWidth="1"/>
    <col min="15906" max="15906" width="16.26953125" style="1072" customWidth="1"/>
    <col min="15907" max="15909" width="14.7265625" style="1072" customWidth="1"/>
    <col min="15910" max="15910" width="17.453125" style="1072" customWidth="1"/>
    <col min="15911" max="15911" width="15" style="1072" customWidth="1"/>
    <col min="15912" max="15927" width="14.7265625" style="1072" customWidth="1"/>
    <col min="15928" max="15928" width="16.1796875" style="1072" customWidth="1"/>
    <col min="15929" max="16128" width="14.7265625" style="1072"/>
    <col min="16129" max="16129" width="7.26953125" style="1072" customWidth="1"/>
    <col min="16130" max="16130" width="31.7265625" style="1072" customWidth="1"/>
    <col min="16131" max="16131" width="12.1796875" style="1072" customWidth="1"/>
    <col min="16132" max="16132" width="20" style="1072" customWidth="1"/>
    <col min="16133" max="16133" width="21" style="1072" customWidth="1"/>
    <col min="16134" max="16134" width="12.81640625" style="1072" customWidth="1"/>
    <col min="16135" max="16135" width="11.54296875" style="1072" customWidth="1"/>
    <col min="16136" max="16136" width="15" style="1072" customWidth="1"/>
    <col min="16137" max="16137" width="18.81640625" style="1072" customWidth="1"/>
    <col min="16138" max="16139" width="15" style="1072" customWidth="1"/>
    <col min="16140" max="16140" width="17.54296875" style="1072" customWidth="1"/>
    <col min="16141" max="16141" width="13.7265625" style="1072" customWidth="1"/>
    <col min="16142" max="16142" width="16.54296875" style="1072" customWidth="1"/>
    <col min="16143" max="16143" width="16.453125" style="1072" customWidth="1"/>
    <col min="16144" max="16144" width="20.1796875" style="1072" customWidth="1"/>
    <col min="16145" max="16145" width="13.7265625" style="1072" customWidth="1"/>
    <col min="16146" max="16146" width="15" style="1072" customWidth="1"/>
    <col min="16147" max="16147" width="16.1796875" style="1072" customWidth="1"/>
    <col min="16148" max="16149" width="15" style="1072" customWidth="1"/>
    <col min="16150" max="16153" width="13.7265625" style="1072" customWidth="1"/>
    <col min="16154" max="16154" width="14.7265625" style="1072" customWidth="1"/>
    <col min="16155" max="16155" width="13.7265625" style="1072" customWidth="1"/>
    <col min="16156" max="16161" width="14.7265625" style="1072" customWidth="1"/>
    <col min="16162" max="16162" width="16.26953125" style="1072" customWidth="1"/>
    <col min="16163" max="16165" width="14.7265625" style="1072" customWidth="1"/>
    <col min="16166" max="16166" width="17.453125" style="1072" customWidth="1"/>
    <col min="16167" max="16167" width="15" style="1072" customWidth="1"/>
    <col min="16168" max="16183" width="14.7265625" style="1072" customWidth="1"/>
    <col min="16184" max="16184" width="16.1796875" style="1072" customWidth="1"/>
    <col min="16185" max="16384" width="14.7265625" style="1072"/>
  </cols>
  <sheetData>
    <row r="1" spans="1:67" ht="15" customHeight="1">
      <c r="B1" s="1580" t="s">
        <v>5525</v>
      </c>
      <c r="AE1" s="1089" t="s">
        <v>124</v>
      </c>
      <c r="AF1" s="1090" t="s">
        <v>4213</v>
      </c>
      <c r="AT1" s="1089" t="s">
        <v>124</v>
      </c>
      <c r="AU1" s="1090" t="s">
        <v>4213</v>
      </c>
      <c r="BG1" s="1089" t="s">
        <v>124</v>
      </c>
      <c r="BH1" s="1090" t="s">
        <v>4213</v>
      </c>
    </row>
    <row r="2" spans="1:67" ht="24" customHeight="1" thickBot="1">
      <c r="A2" s="1206" t="s">
        <v>4214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089" t="s">
        <v>124</v>
      </c>
      <c r="N2" s="1090" t="s">
        <v>4213</v>
      </c>
      <c r="O2" s="1089"/>
      <c r="P2" s="1090"/>
      <c r="Q2" s="1208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G2" s="1208"/>
      <c r="AH2" s="1207"/>
      <c r="AI2" s="1207"/>
      <c r="AJ2" s="1207"/>
      <c r="AK2" s="1207"/>
      <c r="AL2" s="1207"/>
      <c r="AM2" s="1207"/>
      <c r="AN2" s="1207"/>
      <c r="AO2" s="1207"/>
      <c r="AP2" s="1207"/>
      <c r="AQ2" s="1207"/>
      <c r="AR2" s="1207"/>
      <c r="AS2" s="1207"/>
      <c r="AT2" s="1207"/>
      <c r="AU2" s="1207"/>
      <c r="AV2" s="1208"/>
      <c r="AW2" s="1207"/>
      <c r="AX2" s="1207"/>
      <c r="AY2" s="1207"/>
      <c r="AZ2" s="1207"/>
      <c r="BA2" s="1207"/>
      <c r="BB2" s="1207"/>
      <c r="BC2" s="1207"/>
      <c r="BD2" s="1207"/>
      <c r="BE2" s="1207"/>
      <c r="BF2" s="1207"/>
      <c r="BG2" s="1207"/>
      <c r="BH2" s="1207"/>
    </row>
    <row r="3" spans="1:67" ht="15" customHeight="1">
      <c r="A3" s="2491" t="s">
        <v>942</v>
      </c>
      <c r="B3" s="2492"/>
      <c r="C3" s="2492"/>
      <c r="D3" s="2492"/>
      <c r="E3" s="2492"/>
      <c r="F3" s="2492"/>
      <c r="G3" s="2492"/>
      <c r="H3" s="2492"/>
      <c r="I3" s="2492"/>
      <c r="J3" s="2492"/>
      <c r="K3" s="2492"/>
      <c r="L3" s="2492"/>
      <c r="M3" s="2492"/>
      <c r="N3" s="2492"/>
      <c r="O3" s="2492"/>
      <c r="P3" s="2492"/>
      <c r="Q3" s="2492"/>
      <c r="R3" s="2492"/>
      <c r="S3" s="2492"/>
      <c r="T3" s="2492"/>
      <c r="U3" s="2492"/>
      <c r="V3" s="2492"/>
      <c r="W3" s="2492"/>
      <c r="X3" s="2492"/>
      <c r="Y3" s="2492"/>
      <c r="Z3" s="2492"/>
      <c r="AA3" s="2492"/>
      <c r="AB3" s="2492"/>
      <c r="AC3" s="2492"/>
      <c r="AD3" s="2492"/>
      <c r="AE3" s="2492"/>
      <c r="AF3" s="2492"/>
      <c r="AG3" s="2492"/>
      <c r="AH3" s="2492"/>
      <c r="AI3" s="2492"/>
      <c r="AJ3" s="2492"/>
      <c r="AK3" s="2492"/>
      <c r="AL3" s="2492"/>
      <c r="AM3" s="2492"/>
      <c r="AN3" s="2492"/>
      <c r="AO3" s="2492"/>
      <c r="AP3" s="2492"/>
      <c r="AQ3" s="2492"/>
      <c r="AR3" s="2492"/>
      <c r="AS3" s="2492"/>
      <c r="AT3" s="2492"/>
      <c r="AU3" s="2492"/>
      <c r="AV3" s="2492"/>
      <c r="AW3" s="2492"/>
      <c r="AX3" s="2492"/>
      <c r="AY3" s="2492"/>
      <c r="AZ3" s="2492"/>
      <c r="BA3" s="2492"/>
      <c r="BB3" s="2492"/>
      <c r="BC3" s="2492"/>
      <c r="BD3" s="2492"/>
      <c r="BE3" s="2492"/>
      <c r="BF3" s="2492"/>
      <c r="BG3" s="2492"/>
      <c r="BH3" s="2493"/>
    </row>
    <row r="4" spans="1:67" ht="15" customHeight="1">
      <c r="A4" s="2494" t="s">
        <v>894</v>
      </c>
      <c r="B4" s="1139" t="s">
        <v>4072</v>
      </c>
      <c r="C4" s="1139" t="s">
        <v>1362</v>
      </c>
      <c r="D4" s="1139" t="s">
        <v>4153</v>
      </c>
      <c r="E4" s="1139" t="s">
        <v>4153</v>
      </c>
      <c r="F4" s="1139" t="s">
        <v>4154</v>
      </c>
      <c r="G4" s="1139" t="s">
        <v>4155</v>
      </c>
      <c r="H4" s="1139" t="s">
        <v>4156</v>
      </c>
      <c r="I4" s="1139" t="s">
        <v>4157</v>
      </c>
      <c r="J4" s="1139" t="s">
        <v>4158</v>
      </c>
      <c r="K4" s="1139" t="s">
        <v>4158</v>
      </c>
      <c r="L4" s="1140" t="s">
        <v>4159</v>
      </c>
      <c r="M4" s="1141"/>
      <c r="N4" s="1141" t="s">
        <v>4160</v>
      </c>
      <c r="O4" s="1139" t="s">
        <v>4161</v>
      </c>
      <c r="P4" s="1139" t="s">
        <v>1506</v>
      </c>
      <c r="Q4" s="1139" t="s">
        <v>4162</v>
      </c>
      <c r="R4" s="1139" t="s">
        <v>4162</v>
      </c>
      <c r="S4" s="1139" t="s">
        <v>4162</v>
      </c>
      <c r="T4" s="1139" t="s">
        <v>4162</v>
      </c>
      <c r="U4" s="1139" t="s">
        <v>1101</v>
      </c>
      <c r="V4" s="1139" t="s">
        <v>4163</v>
      </c>
      <c r="W4" s="1139" t="s">
        <v>1506</v>
      </c>
      <c r="X4" s="2487" t="s">
        <v>4153</v>
      </c>
      <c r="Y4" s="1142"/>
      <c r="Z4" s="1145" t="s">
        <v>4162</v>
      </c>
      <c r="AA4" s="1139" t="s">
        <v>1101</v>
      </c>
      <c r="AB4" s="1139" t="s">
        <v>4157</v>
      </c>
      <c r="AC4" s="1139" t="s">
        <v>4158</v>
      </c>
      <c r="AD4" s="1145"/>
      <c r="AE4" s="1140" t="s">
        <v>4159</v>
      </c>
      <c r="AF4" s="1141"/>
      <c r="AG4" s="1141" t="s">
        <v>4160</v>
      </c>
      <c r="AH4" s="1139" t="s">
        <v>4161</v>
      </c>
      <c r="AI4" s="1139" t="s">
        <v>1506</v>
      </c>
      <c r="AJ4" s="1139" t="s">
        <v>4162</v>
      </c>
      <c r="AK4" s="1139" t="s">
        <v>4162</v>
      </c>
      <c r="AL4" s="1139" t="s">
        <v>4162</v>
      </c>
      <c r="AM4" s="1139" t="s">
        <v>4162</v>
      </c>
      <c r="AN4" s="1139" t="s">
        <v>1101</v>
      </c>
      <c r="AO4" s="1139" t="s">
        <v>4163</v>
      </c>
      <c r="AP4" s="1139" t="s">
        <v>1506</v>
      </c>
      <c r="AQ4" s="1142" t="s">
        <v>4153</v>
      </c>
      <c r="AR4" s="1142"/>
      <c r="AS4" s="1139" t="s">
        <v>4162</v>
      </c>
      <c r="AT4" s="1139" t="s">
        <v>1101</v>
      </c>
      <c r="AU4" s="1139" t="s">
        <v>1101</v>
      </c>
      <c r="AV4" s="1139" t="s">
        <v>4215</v>
      </c>
      <c r="AW4" s="1139" t="s">
        <v>4216</v>
      </c>
      <c r="AX4" s="1139" t="s">
        <v>4216</v>
      </c>
      <c r="AY4" s="1139" t="s">
        <v>4217</v>
      </c>
      <c r="AZ4" s="1139" t="s">
        <v>4218</v>
      </c>
      <c r="BA4" s="1139" t="s">
        <v>1434</v>
      </c>
      <c r="BB4" s="1139" t="s">
        <v>4164</v>
      </c>
      <c r="BC4" s="1139" t="s">
        <v>1101</v>
      </c>
      <c r="BD4" s="1139" t="s">
        <v>1101</v>
      </c>
      <c r="BE4" s="1139" t="s">
        <v>4165</v>
      </c>
      <c r="BF4" s="1139" t="s">
        <v>1101</v>
      </c>
      <c r="BG4" s="1139" t="s">
        <v>4219</v>
      </c>
      <c r="BH4" s="2495" t="s">
        <v>4219</v>
      </c>
    </row>
    <row r="5" spans="1:67" ht="15" customHeight="1">
      <c r="A5" s="2496" t="s">
        <v>900</v>
      </c>
      <c r="B5" s="1144"/>
      <c r="C5" s="1144" t="s">
        <v>4166</v>
      </c>
      <c r="D5" s="1144" t="s">
        <v>4167</v>
      </c>
      <c r="E5" s="1144" t="s">
        <v>4167</v>
      </c>
      <c r="F5" s="1144" t="s">
        <v>1581</v>
      </c>
      <c r="G5" s="1144" t="s">
        <v>4157</v>
      </c>
      <c r="H5" s="1144" t="s">
        <v>4168</v>
      </c>
      <c r="I5" s="1144" t="s">
        <v>4169</v>
      </c>
      <c r="J5" s="1144" t="s">
        <v>4169</v>
      </c>
      <c r="K5" s="1144" t="s">
        <v>4169</v>
      </c>
      <c r="L5" s="1145" t="s">
        <v>4170</v>
      </c>
      <c r="M5" s="1139" t="s">
        <v>4171</v>
      </c>
      <c r="N5" s="1146" t="s">
        <v>4172</v>
      </c>
      <c r="O5" s="1144" t="s">
        <v>4173</v>
      </c>
      <c r="P5" s="1144" t="s">
        <v>4169</v>
      </c>
      <c r="Q5" s="1144" t="s">
        <v>4174</v>
      </c>
      <c r="R5" s="1144" t="s">
        <v>4174</v>
      </c>
      <c r="S5" s="1144" t="s">
        <v>4175</v>
      </c>
      <c r="T5" s="1144" t="s">
        <v>4176</v>
      </c>
      <c r="U5" s="1144" t="s">
        <v>4162</v>
      </c>
      <c r="V5" s="1144"/>
      <c r="W5" s="1144" t="s">
        <v>4169</v>
      </c>
      <c r="X5" s="2488" t="s">
        <v>4177</v>
      </c>
      <c r="Y5" s="1146"/>
      <c r="Z5" s="1144" t="s">
        <v>4220</v>
      </c>
      <c r="AA5" s="1144" t="s">
        <v>4162</v>
      </c>
      <c r="AB5" s="1144" t="s">
        <v>4169</v>
      </c>
      <c r="AC5" s="1144" t="s">
        <v>4169</v>
      </c>
      <c r="AD5" s="1209"/>
      <c r="AE5" s="1145" t="s">
        <v>4170</v>
      </c>
      <c r="AF5" s="1139" t="s">
        <v>4171</v>
      </c>
      <c r="AG5" s="1146" t="s">
        <v>4172</v>
      </c>
      <c r="AH5" s="1144" t="s">
        <v>4173</v>
      </c>
      <c r="AI5" s="1144" t="s">
        <v>4169</v>
      </c>
      <c r="AJ5" s="1144" t="s">
        <v>4174</v>
      </c>
      <c r="AK5" s="1144" t="s">
        <v>4174</v>
      </c>
      <c r="AL5" s="1144" t="s">
        <v>4175</v>
      </c>
      <c r="AM5" s="1144" t="s">
        <v>4176</v>
      </c>
      <c r="AN5" s="1144" t="s">
        <v>4162</v>
      </c>
      <c r="AO5" s="1144"/>
      <c r="AP5" s="1144" t="s">
        <v>4169</v>
      </c>
      <c r="AQ5" s="1144" t="s">
        <v>4177</v>
      </c>
      <c r="AR5" s="1144"/>
      <c r="AS5" s="1144" t="s">
        <v>4220</v>
      </c>
      <c r="AT5" s="1144" t="s">
        <v>4162</v>
      </c>
      <c r="AU5" s="1144" t="s">
        <v>4162</v>
      </c>
      <c r="AV5" s="1144" t="s">
        <v>4162</v>
      </c>
      <c r="AW5" s="1144" t="s">
        <v>4157</v>
      </c>
      <c r="AX5" s="1144" t="s">
        <v>4158</v>
      </c>
      <c r="AY5" s="1144" t="s">
        <v>4221</v>
      </c>
      <c r="AZ5" s="1144" t="s">
        <v>4178</v>
      </c>
      <c r="BA5" s="1144" t="s">
        <v>4178</v>
      </c>
      <c r="BB5" s="1144" t="s">
        <v>4179</v>
      </c>
      <c r="BC5" s="1144" t="s">
        <v>4180</v>
      </c>
      <c r="BD5" s="1144" t="s">
        <v>4222</v>
      </c>
      <c r="BE5" s="1144" t="s">
        <v>4181</v>
      </c>
      <c r="BF5" s="1144" t="s">
        <v>4203</v>
      </c>
      <c r="BG5" s="1144"/>
      <c r="BH5" s="2497"/>
    </row>
    <row r="6" spans="1:67" ht="15" customHeight="1">
      <c r="A6" s="2496" t="s">
        <v>942</v>
      </c>
      <c r="B6" s="1144"/>
      <c r="C6" s="1144"/>
      <c r="D6" s="1144" t="s">
        <v>4182</v>
      </c>
      <c r="E6" s="1144" t="s">
        <v>4182</v>
      </c>
      <c r="F6" s="1144"/>
      <c r="G6" s="1144" t="s">
        <v>1101</v>
      </c>
      <c r="H6" s="1144" t="s">
        <v>4183</v>
      </c>
      <c r="I6" s="1144"/>
      <c r="J6" s="1144"/>
      <c r="K6" s="1144"/>
      <c r="L6" s="1144"/>
      <c r="M6" s="1144" t="s">
        <v>4223</v>
      </c>
      <c r="N6" s="1144" t="s">
        <v>4169</v>
      </c>
      <c r="O6" s="1144" t="s">
        <v>4184</v>
      </c>
      <c r="P6" s="1144"/>
      <c r="Q6" s="1144" t="s">
        <v>4157</v>
      </c>
      <c r="R6" s="1144" t="s">
        <v>4158</v>
      </c>
      <c r="S6" s="1144" t="s">
        <v>4185</v>
      </c>
      <c r="T6" s="1144" t="s">
        <v>4172</v>
      </c>
      <c r="U6" s="1144"/>
      <c r="V6" s="1144"/>
      <c r="W6" s="1144" t="s">
        <v>4186</v>
      </c>
      <c r="X6" s="2488" t="s">
        <v>4187</v>
      </c>
      <c r="Y6" s="1147"/>
      <c r="Z6" s="1209" t="s">
        <v>4224</v>
      </c>
      <c r="AA6" s="1144" t="s">
        <v>4186</v>
      </c>
      <c r="AB6" s="1144"/>
      <c r="AC6" s="1144"/>
      <c r="AD6" s="1144"/>
      <c r="AE6" s="1144"/>
      <c r="AF6" s="1144" t="s">
        <v>4223</v>
      </c>
      <c r="AG6" s="1144" t="s">
        <v>4169</v>
      </c>
      <c r="AH6" s="1144" t="s">
        <v>4184</v>
      </c>
      <c r="AI6" s="1144"/>
      <c r="AJ6" s="1144" t="s">
        <v>4157</v>
      </c>
      <c r="AK6" s="1144" t="s">
        <v>4158</v>
      </c>
      <c r="AL6" s="1144" t="s">
        <v>4185</v>
      </c>
      <c r="AM6" s="1144" t="s">
        <v>4172</v>
      </c>
      <c r="AN6" s="1144"/>
      <c r="AO6" s="1144"/>
      <c r="AP6" s="1144" t="s">
        <v>4186</v>
      </c>
      <c r="AQ6" s="1147" t="s">
        <v>4187</v>
      </c>
      <c r="AR6" s="1147"/>
      <c r="AS6" s="1144" t="s">
        <v>4224</v>
      </c>
      <c r="AT6" s="1144" t="s">
        <v>4225</v>
      </c>
      <c r="AU6" s="1144" t="s">
        <v>4225</v>
      </c>
      <c r="AV6" s="1144" t="s">
        <v>4224</v>
      </c>
      <c r="AW6" s="1144" t="s">
        <v>4169</v>
      </c>
      <c r="AX6" s="1144" t="s">
        <v>4169</v>
      </c>
      <c r="AY6" s="1144" t="s">
        <v>4226</v>
      </c>
      <c r="AZ6" s="1210" t="s">
        <v>4227</v>
      </c>
      <c r="BA6" s="1210" t="s">
        <v>4227</v>
      </c>
      <c r="BB6" s="1144"/>
      <c r="BC6" s="1144" t="s">
        <v>4190</v>
      </c>
      <c r="BD6" s="1144" t="s">
        <v>4228</v>
      </c>
      <c r="BE6" s="1144" t="s">
        <v>4192</v>
      </c>
      <c r="BF6" s="1144" t="s">
        <v>1365</v>
      </c>
      <c r="BG6" s="1144"/>
      <c r="BH6" s="2497"/>
    </row>
    <row r="7" spans="1:67" ht="15" customHeight="1">
      <c r="A7" s="2496"/>
      <c r="B7" s="1144"/>
      <c r="C7" s="1144"/>
      <c r="D7" s="1144" t="s">
        <v>1101</v>
      </c>
      <c r="E7" s="1144" t="s">
        <v>4193</v>
      </c>
      <c r="F7" s="1144"/>
      <c r="G7" s="1144"/>
      <c r="H7" s="1144" t="s">
        <v>4194</v>
      </c>
      <c r="I7" s="1144"/>
      <c r="J7" s="1144"/>
      <c r="K7" s="1144"/>
      <c r="L7" s="1144"/>
      <c r="M7" s="1144"/>
      <c r="N7" s="1144" t="s">
        <v>4229</v>
      </c>
      <c r="O7" s="1144" t="s">
        <v>4230</v>
      </c>
      <c r="P7" s="1144"/>
      <c r="Q7" s="1144" t="s">
        <v>4169</v>
      </c>
      <c r="R7" s="1144" t="s">
        <v>4169</v>
      </c>
      <c r="S7" s="1144" t="s">
        <v>4231</v>
      </c>
      <c r="T7" s="1144" t="s">
        <v>4169</v>
      </c>
      <c r="U7" s="1144"/>
      <c r="V7" s="1144"/>
      <c r="W7" s="1144" t="s">
        <v>4163</v>
      </c>
      <c r="X7" s="2489"/>
      <c r="Y7" s="1148"/>
      <c r="Z7" s="1209" t="s">
        <v>4163</v>
      </c>
      <c r="AA7" s="1144" t="s">
        <v>4163</v>
      </c>
      <c r="AB7" s="1144"/>
      <c r="AC7" s="1144"/>
      <c r="AD7" s="1144"/>
      <c r="AE7" s="1144"/>
      <c r="AF7" s="1144"/>
      <c r="AG7" s="1144" t="s">
        <v>4232</v>
      </c>
      <c r="AH7" s="1144" t="s">
        <v>4230</v>
      </c>
      <c r="AI7" s="1144"/>
      <c r="AJ7" s="1144" t="s">
        <v>4169</v>
      </c>
      <c r="AK7" s="1144" t="s">
        <v>4169</v>
      </c>
      <c r="AL7" s="1144" t="s">
        <v>4231</v>
      </c>
      <c r="AM7" s="1144" t="s">
        <v>4169</v>
      </c>
      <c r="AN7" s="1144"/>
      <c r="AO7" s="1144"/>
      <c r="AP7" s="1144" t="s">
        <v>4163</v>
      </c>
      <c r="AQ7" s="1148"/>
      <c r="AR7" s="1148"/>
      <c r="AS7" s="1144" t="s">
        <v>4163</v>
      </c>
      <c r="AT7" s="1144" t="s">
        <v>4163</v>
      </c>
      <c r="AU7" s="1144" t="s">
        <v>4163</v>
      </c>
      <c r="AV7" s="1144" t="s">
        <v>4233</v>
      </c>
      <c r="AW7" s="1144" t="s">
        <v>4224</v>
      </c>
      <c r="AX7" s="1144" t="s">
        <v>4224</v>
      </c>
      <c r="AY7" s="1144" t="s">
        <v>4234</v>
      </c>
      <c r="AZ7" s="1144" t="s">
        <v>4166</v>
      </c>
      <c r="BA7" s="1144" t="s">
        <v>4166</v>
      </c>
      <c r="BB7" s="1144"/>
      <c r="BC7" s="1144"/>
      <c r="BD7" s="1144" t="s">
        <v>4204</v>
      </c>
      <c r="BE7" s="1144" t="s">
        <v>4198</v>
      </c>
      <c r="BF7" s="1144"/>
      <c r="BG7" s="1144"/>
      <c r="BH7" s="2497"/>
      <c r="BM7" s="1072" t="s">
        <v>942</v>
      </c>
      <c r="BN7" s="1072" t="s">
        <v>942</v>
      </c>
      <c r="BO7" s="1072" t="s">
        <v>942</v>
      </c>
    </row>
    <row r="8" spans="1:67" ht="15" customHeight="1">
      <c r="A8" s="2496"/>
      <c r="B8" s="1144"/>
      <c r="C8" s="1144"/>
      <c r="D8" s="1144"/>
      <c r="E8" s="1144" t="s">
        <v>4199</v>
      </c>
      <c r="F8" s="1144"/>
      <c r="G8" s="1144"/>
      <c r="H8" s="1144" t="s">
        <v>4200</v>
      </c>
      <c r="I8" s="1144" t="s">
        <v>4218</v>
      </c>
      <c r="J8" s="1144" t="s">
        <v>4218</v>
      </c>
      <c r="K8" s="1144" t="s">
        <v>4218</v>
      </c>
      <c r="L8" s="1144" t="s">
        <v>4218</v>
      </c>
      <c r="M8" s="1144" t="s">
        <v>4218</v>
      </c>
      <c r="N8" s="1144" t="s">
        <v>4218</v>
      </c>
      <c r="O8" s="1144" t="s">
        <v>4218</v>
      </c>
      <c r="P8" s="1144" t="s">
        <v>4218</v>
      </c>
      <c r="Q8" s="1144" t="s">
        <v>4218</v>
      </c>
      <c r="R8" s="1144" t="s">
        <v>4218</v>
      </c>
      <c r="S8" s="1144" t="s">
        <v>4218</v>
      </c>
      <c r="T8" s="1144" t="s">
        <v>4218</v>
      </c>
      <c r="U8" s="1144" t="s">
        <v>4218</v>
      </c>
      <c r="V8" s="1144" t="s">
        <v>4218</v>
      </c>
      <c r="W8" s="1144" t="s">
        <v>4218</v>
      </c>
      <c r="X8" s="2488" t="s">
        <v>4218</v>
      </c>
      <c r="Y8" s="1146"/>
      <c r="Z8" s="1144" t="s">
        <v>4218</v>
      </c>
      <c r="AA8" s="1144" t="s">
        <v>4218</v>
      </c>
      <c r="AB8" s="1144" t="s">
        <v>1434</v>
      </c>
      <c r="AC8" s="1144" t="s">
        <v>1434</v>
      </c>
      <c r="AD8" s="1144"/>
      <c r="AE8" s="1144" t="s">
        <v>1434</v>
      </c>
      <c r="AF8" s="1144" t="s">
        <v>1434</v>
      </c>
      <c r="AG8" s="1144" t="s">
        <v>1434</v>
      </c>
      <c r="AH8" s="1144" t="s">
        <v>1434</v>
      </c>
      <c r="AI8" s="1144" t="s">
        <v>1434</v>
      </c>
      <c r="AJ8" s="1144" t="s">
        <v>1434</v>
      </c>
      <c r="AK8" s="1144" t="s">
        <v>1434</v>
      </c>
      <c r="AL8" s="1144" t="s">
        <v>1434</v>
      </c>
      <c r="AM8" s="1144" t="s">
        <v>1434</v>
      </c>
      <c r="AN8" s="1144" t="s">
        <v>1434</v>
      </c>
      <c r="AO8" s="1144" t="s">
        <v>1434</v>
      </c>
      <c r="AP8" s="1144" t="s">
        <v>1434</v>
      </c>
      <c r="AQ8" s="1144" t="s">
        <v>1434</v>
      </c>
      <c r="AR8" s="1144"/>
      <c r="AS8" s="1144" t="s">
        <v>1434</v>
      </c>
      <c r="AT8" s="1144" t="s">
        <v>1434</v>
      </c>
      <c r="AU8" s="1144" t="s">
        <v>4218</v>
      </c>
      <c r="AV8" s="1144" t="s">
        <v>1434</v>
      </c>
      <c r="AW8" s="1144" t="s">
        <v>4233</v>
      </c>
      <c r="AX8" s="1144" t="s">
        <v>4233</v>
      </c>
      <c r="AY8" s="1144" t="s">
        <v>4233</v>
      </c>
      <c r="AZ8" s="1144"/>
      <c r="BA8" s="1144"/>
      <c r="BB8" s="1144"/>
      <c r="BC8" s="1144"/>
      <c r="BE8" s="1144"/>
      <c r="BF8" s="1144"/>
      <c r="BG8" s="1144"/>
      <c r="BH8" s="2497"/>
    </row>
    <row r="9" spans="1:67" ht="15" customHeight="1">
      <c r="A9" s="2496"/>
      <c r="B9" s="1144"/>
      <c r="C9" s="1144"/>
      <c r="D9" s="1144" t="s">
        <v>461</v>
      </c>
      <c r="E9" s="1144" t="s">
        <v>461</v>
      </c>
      <c r="F9" s="1144"/>
      <c r="G9" s="1144" t="s">
        <v>3672</v>
      </c>
      <c r="H9" s="1144" t="s">
        <v>3672</v>
      </c>
      <c r="I9" s="1144" t="s">
        <v>4205</v>
      </c>
      <c r="J9" s="1144" t="s">
        <v>4206</v>
      </c>
      <c r="K9" s="1144" t="s">
        <v>4206</v>
      </c>
      <c r="L9" s="1144" t="s">
        <v>196</v>
      </c>
      <c r="M9" s="1144" t="s">
        <v>196</v>
      </c>
      <c r="N9" s="1144" t="s">
        <v>196</v>
      </c>
      <c r="O9" s="1144"/>
      <c r="P9" s="1144" t="s">
        <v>4206</v>
      </c>
      <c r="Q9" s="1144" t="s">
        <v>4208</v>
      </c>
      <c r="R9" s="1144" t="s">
        <v>4208</v>
      </c>
      <c r="S9" s="1144" t="s">
        <v>4208</v>
      </c>
      <c r="T9" s="1144" t="s">
        <v>4208</v>
      </c>
      <c r="U9" s="1144" t="s">
        <v>4208</v>
      </c>
      <c r="V9" s="1144" t="s">
        <v>4206</v>
      </c>
      <c r="W9" s="1144" t="s">
        <v>4206</v>
      </c>
      <c r="X9" s="2490" t="s">
        <v>461</v>
      </c>
      <c r="Y9" s="1146"/>
      <c r="Z9" s="1144" t="s">
        <v>4208</v>
      </c>
      <c r="AA9" s="1144" t="s">
        <v>4208</v>
      </c>
      <c r="AB9" s="1144" t="s">
        <v>4205</v>
      </c>
      <c r="AC9" s="1144" t="s">
        <v>4206</v>
      </c>
      <c r="AD9" s="1144"/>
      <c r="AE9" s="1144" t="s">
        <v>196</v>
      </c>
      <c r="AF9" s="1144" t="s">
        <v>196</v>
      </c>
      <c r="AG9" s="1144" t="s">
        <v>196</v>
      </c>
      <c r="AH9" s="1144"/>
      <c r="AI9" s="1144" t="s">
        <v>4206</v>
      </c>
      <c r="AJ9" s="1144" t="s">
        <v>4208</v>
      </c>
      <c r="AK9" s="1144" t="s">
        <v>4208</v>
      </c>
      <c r="AL9" s="1144" t="s">
        <v>4208</v>
      </c>
      <c r="AM9" s="1144" t="s">
        <v>4208</v>
      </c>
      <c r="AN9" s="1144" t="s">
        <v>4208</v>
      </c>
      <c r="AO9" s="1144" t="s">
        <v>4206</v>
      </c>
      <c r="AP9" s="1144" t="s">
        <v>4206</v>
      </c>
      <c r="AQ9" s="1144" t="s">
        <v>461</v>
      </c>
      <c r="AR9" s="1144"/>
      <c r="AS9" s="1144" t="s">
        <v>4208</v>
      </c>
      <c r="AT9" s="1144" t="s">
        <v>4208</v>
      </c>
      <c r="AU9" s="1144" t="s">
        <v>4208</v>
      </c>
      <c r="AV9" s="1144" t="s">
        <v>4208</v>
      </c>
      <c r="AW9" s="1144" t="s">
        <v>4205</v>
      </c>
      <c r="AX9" s="1144" t="s">
        <v>4235</v>
      </c>
      <c r="AY9" s="1144" t="s">
        <v>460</v>
      </c>
      <c r="AZ9" s="1144" t="s">
        <v>460</v>
      </c>
      <c r="BA9" s="1144" t="s">
        <v>460</v>
      </c>
      <c r="BB9" s="1144" t="s">
        <v>4236</v>
      </c>
      <c r="BC9" s="1144" t="s">
        <v>4208</v>
      </c>
      <c r="BD9" s="1144"/>
      <c r="BE9" s="1144"/>
      <c r="BF9" s="1144" t="s">
        <v>4208</v>
      </c>
      <c r="BG9" s="1144" t="s">
        <v>4208</v>
      </c>
      <c r="BH9" s="2497" t="s">
        <v>4206</v>
      </c>
    </row>
    <row r="10" spans="1:67" ht="15" customHeight="1">
      <c r="A10" s="2498">
        <v>1</v>
      </c>
      <c r="B10" s="2456">
        <v>2</v>
      </c>
      <c r="C10" s="2456">
        <v>3</v>
      </c>
      <c r="D10" s="2456">
        <v>4</v>
      </c>
      <c r="E10" s="2456">
        <v>5</v>
      </c>
      <c r="F10" s="2456">
        <v>6</v>
      </c>
      <c r="G10" s="2456">
        <v>7</v>
      </c>
      <c r="H10" s="2456">
        <v>8</v>
      </c>
      <c r="I10" s="2456">
        <v>9</v>
      </c>
      <c r="J10" s="2456">
        <v>10</v>
      </c>
      <c r="K10" s="2456">
        <v>11</v>
      </c>
      <c r="L10" s="2456">
        <v>12</v>
      </c>
      <c r="M10" s="2456">
        <v>13</v>
      </c>
      <c r="N10" s="2456">
        <v>14</v>
      </c>
      <c r="O10" s="2456">
        <v>15</v>
      </c>
      <c r="P10" s="2456">
        <v>16</v>
      </c>
      <c r="Q10" s="2456">
        <v>17</v>
      </c>
      <c r="R10" s="2456">
        <v>18</v>
      </c>
      <c r="S10" s="2456">
        <v>19</v>
      </c>
      <c r="T10" s="2456">
        <v>20</v>
      </c>
      <c r="U10" s="2456">
        <v>21</v>
      </c>
      <c r="V10" s="2456">
        <v>22</v>
      </c>
      <c r="W10" s="2456">
        <v>23</v>
      </c>
      <c r="X10" s="2456">
        <v>24</v>
      </c>
      <c r="Y10" s="2456">
        <v>25</v>
      </c>
      <c r="Z10" s="2456">
        <v>26</v>
      </c>
      <c r="AA10" s="2456">
        <v>27</v>
      </c>
      <c r="AB10" s="2456">
        <v>28</v>
      </c>
      <c r="AC10" s="2456">
        <v>29</v>
      </c>
      <c r="AD10" s="2456">
        <v>30</v>
      </c>
      <c r="AE10" s="2456">
        <v>31</v>
      </c>
      <c r="AF10" s="2456">
        <v>32</v>
      </c>
      <c r="AG10" s="2456">
        <v>33</v>
      </c>
      <c r="AH10" s="2456">
        <v>34</v>
      </c>
      <c r="AI10" s="2456">
        <v>35</v>
      </c>
      <c r="AJ10" s="2456">
        <v>36</v>
      </c>
      <c r="AK10" s="2456">
        <v>37</v>
      </c>
      <c r="AL10" s="2456">
        <v>38</v>
      </c>
      <c r="AM10" s="2456">
        <v>39</v>
      </c>
      <c r="AN10" s="2456">
        <v>40</v>
      </c>
      <c r="AO10" s="2456">
        <v>41</v>
      </c>
      <c r="AP10" s="2456">
        <v>42</v>
      </c>
      <c r="AQ10" s="2456">
        <v>43</v>
      </c>
      <c r="AR10" s="2456">
        <v>44</v>
      </c>
      <c r="AS10" s="2456">
        <v>45</v>
      </c>
      <c r="AT10" s="2456">
        <v>46</v>
      </c>
      <c r="AU10" s="2456">
        <v>47</v>
      </c>
      <c r="AV10" s="2456">
        <v>48</v>
      </c>
      <c r="AW10" s="2456">
        <v>49</v>
      </c>
      <c r="AX10" s="2456">
        <v>50</v>
      </c>
      <c r="AY10" s="2456">
        <v>51</v>
      </c>
      <c r="AZ10" s="2456">
        <v>52</v>
      </c>
      <c r="BA10" s="2456">
        <v>53</v>
      </c>
      <c r="BB10" s="2456">
        <v>54</v>
      </c>
      <c r="BC10" s="2456">
        <v>55</v>
      </c>
      <c r="BD10" s="2456">
        <v>56</v>
      </c>
      <c r="BE10" s="2456">
        <v>57</v>
      </c>
      <c r="BF10" s="2456">
        <v>58</v>
      </c>
      <c r="BG10" s="2456">
        <v>59</v>
      </c>
      <c r="BH10" s="2499">
        <v>60</v>
      </c>
    </row>
    <row r="11" spans="1:67" ht="15" customHeight="1">
      <c r="A11" s="2500">
        <v>1</v>
      </c>
      <c r="B11" s="1021" t="s">
        <v>462</v>
      </c>
      <c r="C11" s="1024" t="s">
        <v>1496</v>
      </c>
      <c r="D11" s="2471"/>
      <c r="E11" s="2471"/>
      <c r="F11" s="2472"/>
      <c r="G11" s="2472"/>
      <c r="H11" s="2472"/>
      <c r="I11" s="2471"/>
      <c r="J11" s="2471"/>
      <c r="K11" s="2471"/>
      <c r="L11" s="2472"/>
      <c r="M11" s="2472"/>
      <c r="N11" s="2472"/>
      <c r="O11" s="2472"/>
      <c r="P11" s="2472"/>
      <c r="Q11" s="2472"/>
      <c r="R11" s="2472"/>
      <c r="S11" s="2472"/>
      <c r="T11" s="2472"/>
      <c r="U11" s="2472"/>
      <c r="V11" s="2472"/>
      <c r="W11" s="2472"/>
      <c r="X11" s="2472"/>
      <c r="Y11" s="2472"/>
      <c r="Z11" s="2472"/>
      <c r="AA11" s="2472"/>
      <c r="AB11" s="2472"/>
      <c r="AC11" s="2472"/>
      <c r="AD11" s="2472"/>
      <c r="AE11" s="2472"/>
      <c r="AF11" s="2472"/>
      <c r="AG11" s="2472"/>
      <c r="AH11" s="2472"/>
      <c r="AI11" s="2472"/>
      <c r="AJ11" s="2472"/>
      <c r="AK11" s="2472"/>
      <c r="AL11" s="2472"/>
      <c r="AM11" s="2472"/>
      <c r="AN11" s="2472"/>
      <c r="AO11" s="2472"/>
      <c r="AP11" s="2472"/>
      <c r="AQ11" s="2472"/>
      <c r="AR11" s="2472"/>
      <c r="AS11" s="2472"/>
      <c r="AT11" s="2472"/>
      <c r="AU11" s="2472"/>
      <c r="AV11" s="2472"/>
      <c r="AW11" s="2472"/>
      <c r="AX11" s="2472"/>
      <c r="AY11" s="2472"/>
      <c r="AZ11" s="2472"/>
      <c r="BA11" s="2472"/>
      <c r="BB11" s="2472"/>
      <c r="BC11" s="2472"/>
      <c r="BD11" s="2472"/>
      <c r="BE11" s="2472"/>
      <c r="BF11" s="2472"/>
      <c r="BG11" s="2472"/>
      <c r="BH11" s="2501"/>
    </row>
    <row r="12" spans="1:67" ht="15" customHeight="1">
      <c r="A12" s="2500"/>
      <c r="B12" s="1024" t="s">
        <v>1323</v>
      </c>
      <c r="C12" s="1021"/>
      <c r="D12" s="2473">
        <f>'T-7(ENS)'!D13</f>
        <v>20</v>
      </c>
      <c r="E12" s="2473">
        <f>'T-7(ENS)'!E13</f>
        <v>0</v>
      </c>
      <c r="F12" s="2474">
        <f>'T-7(ENS)'!F13</f>
        <v>110203</v>
      </c>
      <c r="G12" s="2474">
        <f>'T-7(ENS)'!G13</f>
        <v>38226.627</v>
      </c>
      <c r="H12" s="2474">
        <f>'T-7(ENS)'!H13</f>
        <v>0</v>
      </c>
      <c r="I12" s="2474">
        <f>'T-7(ENS)'!I13</f>
        <v>0</v>
      </c>
      <c r="J12" s="2474">
        <f>'T-7(ENS)'!J13</f>
        <v>0</v>
      </c>
      <c r="K12" s="2475">
        <f>'T-7(ENS)'!K13</f>
        <v>0</v>
      </c>
      <c r="L12" s="2475">
        <f>'T-7(ENS)'!L13</f>
        <v>80</v>
      </c>
      <c r="M12" s="2475">
        <f>'T-7(ENS)'!M13</f>
        <v>0</v>
      </c>
      <c r="N12" s="2475">
        <f>'T-7(ENS)'!N13</f>
        <v>0</v>
      </c>
      <c r="O12" s="2475">
        <f>'T-7(ENS)'!O13</f>
        <v>0</v>
      </c>
      <c r="P12" s="2474">
        <f>'T-7(ENS)'!P13</f>
        <v>528.97439999999995</v>
      </c>
      <c r="Q12" s="2475">
        <f>'T-7(ENS)'!Q13</f>
        <v>0</v>
      </c>
      <c r="R12" s="2475">
        <f>'T-7(ENS)'!R13</f>
        <v>0</v>
      </c>
      <c r="S12" s="2475">
        <f>'T-7(ENS)'!S13</f>
        <v>10.579488</v>
      </c>
      <c r="T12" s="2475">
        <f>'T-7(ENS)'!T13</f>
        <v>0</v>
      </c>
      <c r="U12" s="2475">
        <f>'T-7(ENS)'!U13</f>
        <v>10.579488</v>
      </c>
      <c r="V12" s="2475">
        <f>'T-7(ENS)'!V13</f>
        <v>0</v>
      </c>
      <c r="W12" s="2475">
        <f>'T-7(ENS)'!W13</f>
        <v>528.97439999999995</v>
      </c>
      <c r="X12" s="2475">
        <f>'T-7(ENS)'!X13</f>
        <v>0</v>
      </c>
      <c r="Y12" s="2475">
        <f>'T-7(ENS)'!Y13</f>
        <v>0</v>
      </c>
      <c r="Z12" s="2475">
        <f>'T-7(ENS)'!Z13</f>
        <v>0</v>
      </c>
      <c r="AA12" s="2475">
        <f>'T-7(ENS)'!AA13</f>
        <v>10.579488</v>
      </c>
      <c r="AB12" s="2474">
        <f t="shared" ref="AB12:AK27" si="0">I12</f>
        <v>0</v>
      </c>
      <c r="AC12" s="2474">
        <f t="shared" si="0"/>
        <v>0</v>
      </c>
      <c r="AD12" s="2474">
        <f t="shared" si="0"/>
        <v>0</v>
      </c>
      <c r="AE12" s="2475">
        <f t="shared" si="0"/>
        <v>80</v>
      </c>
      <c r="AF12" s="2475">
        <f t="shared" si="0"/>
        <v>0</v>
      </c>
      <c r="AG12" s="2475">
        <f t="shared" si="0"/>
        <v>0</v>
      </c>
      <c r="AH12" s="2475">
        <f t="shared" si="0"/>
        <v>0</v>
      </c>
      <c r="AI12" s="2475">
        <f t="shared" si="0"/>
        <v>528.97439999999995</v>
      </c>
      <c r="AJ12" s="2475">
        <f t="shared" si="0"/>
        <v>0</v>
      </c>
      <c r="AK12" s="2475">
        <f>R12</f>
        <v>0</v>
      </c>
      <c r="AL12" s="2475">
        <f>S12</f>
        <v>10.579488</v>
      </c>
      <c r="AM12" s="2475">
        <f>N12</f>
        <v>0</v>
      </c>
      <c r="AN12" s="2475">
        <f t="shared" ref="AN12:AT27" si="1">U12</f>
        <v>10.579488</v>
      </c>
      <c r="AO12" s="2475">
        <f t="shared" si="1"/>
        <v>0</v>
      </c>
      <c r="AP12" s="2475">
        <f t="shared" si="1"/>
        <v>528.97439999999995</v>
      </c>
      <c r="AQ12" s="2475">
        <f t="shared" si="1"/>
        <v>0</v>
      </c>
      <c r="AR12" s="2475">
        <f t="shared" si="1"/>
        <v>0</v>
      </c>
      <c r="AS12" s="2475">
        <f t="shared" si="1"/>
        <v>0</v>
      </c>
      <c r="AT12" s="2475">
        <f t="shared" si="1"/>
        <v>10.579488</v>
      </c>
      <c r="AU12" s="2475">
        <f>AA12</f>
        <v>10.579488</v>
      </c>
      <c r="AV12" s="2475">
        <f>AT12-AU12</f>
        <v>0</v>
      </c>
      <c r="AW12" s="2476">
        <f>AB12-I12</f>
        <v>0</v>
      </c>
      <c r="AX12" s="2476">
        <f>AC12-J12</f>
        <v>0</v>
      </c>
      <c r="AY12" s="2472"/>
      <c r="AZ12" s="2477">
        <f>'T-7(ENS)'!AB13</f>
        <v>0.67340218474950875</v>
      </c>
      <c r="BA12" s="2477">
        <f>AZ12</f>
        <v>0.67340218474950875</v>
      </c>
      <c r="BB12" s="2472"/>
      <c r="BC12" s="2472"/>
      <c r="BD12" s="2472"/>
      <c r="BE12" s="2472"/>
      <c r="BF12" s="2478">
        <f>D12*$G$67/1000</f>
        <v>15.710507998323756</v>
      </c>
      <c r="BG12" s="2478">
        <f>BF12*$D$71-AT12</f>
        <v>2.7117635001050004</v>
      </c>
      <c r="BH12" s="2502">
        <f>BG12/D12*10</f>
        <v>1.3558817500525002</v>
      </c>
    </row>
    <row r="13" spans="1:67" ht="15" customHeight="1">
      <c r="A13" s="2500"/>
      <c r="B13" s="1024" t="s">
        <v>116</v>
      </c>
      <c r="C13" s="1021"/>
      <c r="D13" s="2473">
        <f>'T-7(ENS)'!D14</f>
        <v>1885.8364812775001</v>
      </c>
      <c r="E13" s="2473">
        <f>'T-7(ENS)'!E14</f>
        <v>0</v>
      </c>
      <c r="F13" s="2474">
        <f>'T-7(ENS)'!F14</f>
        <v>2145459</v>
      </c>
      <c r="G13" s="2474">
        <f>'T-7(ENS)'!G14</f>
        <v>2024314.9040000001</v>
      </c>
      <c r="H13" s="2474">
        <f>'T-7(ENS)'!H14</f>
        <v>521325.84499999997</v>
      </c>
      <c r="I13" s="2474">
        <f>'T-7(ENS)'!I14</f>
        <v>0</v>
      </c>
      <c r="J13" s="2474">
        <f>'T-7(ENS)'!J14</f>
        <v>0</v>
      </c>
      <c r="K13" s="2475">
        <f>'T-7(ENS)'!K14</f>
        <v>0</v>
      </c>
      <c r="L13" s="2475">
        <f>'T-7(ENS)'!L14</f>
        <v>20</v>
      </c>
      <c r="M13" s="2475">
        <f>'T-7(ENS)'!M14</f>
        <v>20</v>
      </c>
      <c r="N13" s="2475">
        <f>'T-7(ENS)'!N14</f>
        <v>0</v>
      </c>
      <c r="O13" s="2475">
        <f>'T-7(ENS)'!O14</f>
        <v>0</v>
      </c>
      <c r="P13" s="2474">
        <f>'T-7(ENS)'!P14</f>
        <v>467.69109066017262</v>
      </c>
      <c r="Q13" s="2475">
        <f>'T-7(ENS)'!Q14</f>
        <v>0</v>
      </c>
      <c r="R13" s="2475">
        <f>'T-7(ENS)'!R14</f>
        <v>817.98608445541618</v>
      </c>
      <c r="S13" s="2475">
        <f>'T-7(ENS)'!S14</f>
        <v>64.002836279999997</v>
      </c>
      <c r="T13" s="2475">
        <f>'T-7(ENS)'!T14</f>
        <v>0</v>
      </c>
      <c r="U13" s="2475">
        <f>'T-7(ENS)'!U14</f>
        <v>881.98892073541617</v>
      </c>
      <c r="V13" s="2475">
        <f>'T-7(ENS)'!V14</f>
        <v>0.1</v>
      </c>
      <c r="W13" s="2475">
        <f>'T-7(ENS)'!W14</f>
        <v>462.99109066017263</v>
      </c>
      <c r="X13" s="2475">
        <f>'T-7(ENS)'!X14</f>
        <v>886.34314620042494</v>
      </c>
      <c r="Y13" s="2475">
        <f>'T-7(ENS)'!Y14</f>
        <v>8.8634314620042502</v>
      </c>
      <c r="Z13" s="2475">
        <f>'T-7(ENS)'!Z14</f>
        <v>0</v>
      </c>
      <c r="AA13" s="2475">
        <f>'T-7(ENS)'!AA14</f>
        <v>873.12548927341197</v>
      </c>
      <c r="AB13" s="2474">
        <f t="shared" si="0"/>
        <v>0</v>
      </c>
      <c r="AC13" s="2474">
        <f t="shared" si="0"/>
        <v>0</v>
      </c>
      <c r="AD13" s="2474">
        <f t="shared" si="0"/>
        <v>0</v>
      </c>
      <c r="AE13" s="2475">
        <f t="shared" si="0"/>
        <v>20</v>
      </c>
      <c r="AF13" s="2475">
        <f t="shared" si="0"/>
        <v>20</v>
      </c>
      <c r="AG13" s="2475">
        <f t="shared" si="0"/>
        <v>0</v>
      </c>
      <c r="AH13" s="2475">
        <f t="shared" si="0"/>
        <v>0</v>
      </c>
      <c r="AI13" s="2475">
        <f t="shared" si="0"/>
        <v>467.69109066017262</v>
      </c>
      <c r="AJ13" s="2475">
        <f t="shared" si="0"/>
        <v>0</v>
      </c>
      <c r="AK13" s="2475">
        <f t="shared" si="0"/>
        <v>817.98608445541618</v>
      </c>
      <c r="AL13" s="2475">
        <f t="shared" ref="AL13:AL64" si="2">S13</f>
        <v>64.002836279999997</v>
      </c>
      <c r="AM13" s="2475">
        <f t="shared" ref="AM13:AM64" si="3">N13</f>
        <v>0</v>
      </c>
      <c r="AN13" s="2475">
        <f t="shared" si="1"/>
        <v>881.98892073541617</v>
      </c>
      <c r="AO13" s="2475">
        <f t="shared" si="1"/>
        <v>0.1</v>
      </c>
      <c r="AP13" s="2475">
        <f t="shared" si="1"/>
        <v>462.99109066017263</v>
      </c>
      <c r="AQ13" s="2475">
        <f t="shared" si="1"/>
        <v>886.34314620042494</v>
      </c>
      <c r="AR13" s="2475">
        <f t="shared" si="1"/>
        <v>8.8634314620042502</v>
      </c>
      <c r="AS13" s="2475">
        <f t="shared" si="1"/>
        <v>0</v>
      </c>
      <c r="AT13" s="2475">
        <f t="shared" si="1"/>
        <v>873.12548927341197</v>
      </c>
      <c r="AU13" s="2475">
        <f t="shared" ref="AU13:AU64" si="4">AA13</f>
        <v>873.12548927341197</v>
      </c>
      <c r="AV13" s="2475">
        <f t="shared" ref="AV13:AV64" si="5">AT13-AU13</f>
        <v>0</v>
      </c>
      <c r="AW13" s="2476">
        <f t="shared" ref="AW13:AX64" si="6">AB13-I13</f>
        <v>0</v>
      </c>
      <c r="AX13" s="2476">
        <f t="shared" si="6"/>
        <v>0</v>
      </c>
      <c r="AY13" s="2472"/>
      <c r="AZ13" s="2477">
        <f>'T-7(ENS)'!AB14</f>
        <v>0.58940321491950864</v>
      </c>
      <c r="BA13" s="2477">
        <f>AZ13</f>
        <v>0.58940321491950864</v>
      </c>
      <c r="BB13" s="2472"/>
      <c r="BC13" s="2472"/>
      <c r="BD13" s="2472"/>
      <c r="BE13" s="2472"/>
      <c r="BF13" s="2478">
        <f>D13*$G$67/1000</f>
        <v>1481.3724561320446</v>
      </c>
      <c r="BG13" s="2478">
        <f>BF13*$D$71-AT13</f>
        <v>380.13085876320349</v>
      </c>
      <c r="BH13" s="2502">
        <f>BG13/D13*10</f>
        <v>2.0157148434507741</v>
      </c>
    </row>
    <row r="14" spans="1:67" ht="15" customHeight="1">
      <c r="A14" s="2500"/>
      <c r="B14" s="1024" t="s">
        <v>4080</v>
      </c>
      <c r="C14" s="1021"/>
      <c r="D14" s="2473">
        <f>'T-7(ENS)'!D15</f>
        <v>876.05941933323641</v>
      </c>
      <c r="E14" s="2473">
        <f>'T-7(ENS)'!E15</f>
        <v>0</v>
      </c>
      <c r="F14" s="2474">
        <f>'T-7(ENS)'!F15</f>
        <v>0</v>
      </c>
      <c r="G14" s="2474">
        <f>'T-7(ENS)'!G15</f>
        <v>0</v>
      </c>
      <c r="H14" s="2474">
        <f>'T-7(ENS)'!H15</f>
        <v>0</v>
      </c>
      <c r="I14" s="2474">
        <f>'T-7(ENS)'!I15</f>
        <v>0</v>
      </c>
      <c r="J14" s="2474">
        <f>'T-7(ENS)'!J15</f>
        <v>300</v>
      </c>
      <c r="K14" s="2475">
        <f>'T-7(ENS)'!K15</f>
        <v>0</v>
      </c>
      <c r="L14" s="2475">
        <f>'T-7(ENS)'!L15</f>
        <v>0</v>
      </c>
      <c r="M14" s="2475">
        <f>'T-7(ENS)'!M15</f>
        <v>0</v>
      </c>
      <c r="N14" s="2475">
        <f>'T-7(ENS)'!N15</f>
        <v>0</v>
      </c>
      <c r="O14" s="2475">
        <f>'T-7(ENS)'!O15</f>
        <v>0</v>
      </c>
      <c r="P14" s="2474">
        <f>'T-7(ENS)'!P15</f>
        <v>0</v>
      </c>
      <c r="Q14" s="2475">
        <f>'T-7(ENS)'!Q15</f>
        <v>0</v>
      </c>
      <c r="R14" s="2475">
        <f>'T-7(ENS)'!R15</f>
        <v>262.81782579997093</v>
      </c>
      <c r="S14" s="2475">
        <f>'T-7(ENS)'!S15</f>
        <v>0</v>
      </c>
      <c r="T14" s="2475">
        <f>'T-7(ENS)'!T15</f>
        <v>0</v>
      </c>
      <c r="U14" s="2475">
        <f>'T-7(ENS)'!U15</f>
        <v>262.81782579997093</v>
      </c>
      <c r="V14" s="2475">
        <f>'T-7(ENS)'!V15</f>
        <v>0</v>
      </c>
      <c r="W14" s="2475">
        <f>'T-7(ENS)'!W15</f>
        <v>0</v>
      </c>
      <c r="X14" s="2475">
        <f>'T-7(ENS)'!X15</f>
        <v>0</v>
      </c>
      <c r="Y14" s="2475">
        <f>'T-7(ENS)'!Y15</f>
        <v>0</v>
      </c>
      <c r="Z14" s="2475">
        <f>'T-7(ENS)'!Z15</f>
        <v>0</v>
      </c>
      <c r="AA14" s="2475">
        <f>'T-7(ENS)'!AA15</f>
        <v>0</v>
      </c>
      <c r="AB14" s="2474">
        <f t="shared" si="0"/>
        <v>0</v>
      </c>
      <c r="AC14" s="2474">
        <f t="shared" si="0"/>
        <v>300</v>
      </c>
      <c r="AD14" s="2474">
        <f t="shared" si="0"/>
        <v>0</v>
      </c>
      <c r="AE14" s="2475">
        <f t="shared" si="0"/>
        <v>0</v>
      </c>
      <c r="AF14" s="2475">
        <f t="shared" si="0"/>
        <v>0</v>
      </c>
      <c r="AG14" s="2475">
        <f t="shared" si="0"/>
        <v>0</v>
      </c>
      <c r="AH14" s="2475">
        <f t="shared" si="0"/>
        <v>0</v>
      </c>
      <c r="AI14" s="2475">
        <f t="shared" si="0"/>
        <v>0</v>
      </c>
      <c r="AJ14" s="2475">
        <f t="shared" si="0"/>
        <v>0</v>
      </c>
      <c r="AK14" s="2475">
        <f t="shared" si="0"/>
        <v>262.81782579997093</v>
      </c>
      <c r="AL14" s="2475">
        <f t="shared" si="2"/>
        <v>0</v>
      </c>
      <c r="AM14" s="2475">
        <f t="shared" si="3"/>
        <v>0</v>
      </c>
      <c r="AN14" s="2475">
        <f t="shared" si="1"/>
        <v>262.81782579997093</v>
      </c>
      <c r="AO14" s="2475">
        <f t="shared" si="1"/>
        <v>0</v>
      </c>
      <c r="AP14" s="2475">
        <f t="shared" si="1"/>
        <v>0</v>
      </c>
      <c r="AQ14" s="2475">
        <f t="shared" si="1"/>
        <v>0</v>
      </c>
      <c r="AR14" s="2475">
        <f t="shared" si="1"/>
        <v>0</v>
      </c>
      <c r="AS14" s="2475">
        <f t="shared" si="1"/>
        <v>0</v>
      </c>
      <c r="AT14" s="2475">
        <f t="shared" si="1"/>
        <v>0</v>
      </c>
      <c r="AU14" s="2475">
        <f t="shared" si="4"/>
        <v>0</v>
      </c>
      <c r="AV14" s="2475">
        <f t="shared" si="5"/>
        <v>0</v>
      </c>
      <c r="AW14" s="2476">
        <f t="shared" si="6"/>
        <v>0</v>
      </c>
      <c r="AX14" s="2476">
        <f t="shared" si="6"/>
        <v>0</v>
      </c>
      <c r="AY14" s="2478"/>
      <c r="AZ14" s="2477"/>
      <c r="BA14" s="2477"/>
      <c r="BB14" s="2478"/>
      <c r="BC14" s="2478"/>
      <c r="BD14" s="2478"/>
      <c r="BE14" s="2478"/>
      <c r="BF14" s="2478"/>
      <c r="BG14" s="2478"/>
      <c r="BH14" s="2502"/>
    </row>
    <row r="15" spans="1:67" ht="15" customHeight="1">
      <c r="A15" s="2500"/>
      <c r="B15" s="1024" t="s">
        <v>4081</v>
      </c>
      <c r="C15" s="1021"/>
      <c r="D15" s="2473">
        <f>'T-7(ENS)'!D16</f>
        <v>446.33382412720982</v>
      </c>
      <c r="E15" s="2473">
        <f>'T-7(ENS)'!E16</f>
        <v>0</v>
      </c>
      <c r="F15" s="2474">
        <f>'T-7(ENS)'!F16</f>
        <v>0</v>
      </c>
      <c r="G15" s="2474">
        <f>'T-7(ENS)'!G16</f>
        <v>0</v>
      </c>
      <c r="H15" s="2474">
        <f>'T-7(ENS)'!H16</f>
        <v>0</v>
      </c>
      <c r="I15" s="2474">
        <f>'T-7(ENS)'!I16</f>
        <v>0</v>
      </c>
      <c r="J15" s="2474">
        <f>'T-7(ENS)'!J16</f>
        <v>480</v>
      </c>
      <c r="K15" s="2475">
        <f>'T-7(ENS)'!K16</f>
        <v>0</v>
      </c>
      <c r="L15" s="2475">
        <f>'T-7(ENS)'!L16</f>
        <v>0</v>
      </c>
      <c r="M15" s="2475">
        <f>'T-7(ENS)'!M16</f>
        <v>0</v>
      </c>
      <c r="N15" s="2475">
        <f>'T-7(ENS)'!N16</f>
        <v>0</v>
      </c>
      <c r="O15" s="2475">
        <f>'T-7(ENS)'!O16</f>
        <v>0</v>
      </c>
      <c r="P15" s="2474">
        <f>'T-7(ENS)'!P16</f>
        <v>0</v>
      </c>
      <c r="Q15" s="2475">
        <f>'T-7(ENS)'!Q16</f>
        <v>0</v>
      </c>
      <c r="R15" s="2475">
        <f>'T-7(ENS)'!R16</f>
        <v>214.24023558106072</v>
      </c>
      <c r="S15" s="2475">
        <f>'T-7(ENS)'!S16</f>
        <v>0</v>
      </c>
      <c r="T15" s="2475">
        <f>'T-7(ENS)'!T16</f>
        <v>0</v>
      </c>
      <c r="U15" s="2475">
        <f>'T-7(ENS)'!U16</f>
        <v>214.24023558106072</v>
      </c>
      <c r="V15" s="2475">
        <f>'T-7(ENS)'!V16</f>
        <v>0</v>
      </c>
      <c r="W15" s="2475">
        <f>'T-7(ENS)'!W16</f>
        <v>0</v>
      </c>
      <c r="X15" s="2475">
        <f>'T-7(ENS)'!X16</f>
        <v>0</v>
      </c>
      <c r="Y15" s="2475">
        <f>'T-7(ENS)'!Y16</f>
        <v>0</v>
      </c>
      <c r="Z15" s="2475">
        <f>'T-7(ENS)'!Z16</f>
        <v>0</v>
      </c>
      <c r="AA15" s="2475">
        <f>'T-7(ENS)'!AA16</f>
        <v>0</v>
      </c>
      <c r="AB15" s="2474">
        <f t="shared" si="0"/>
        <v>0</v>
      </c>
      <c r="AC15" s="2474">
        <f t="shared" si="0"/>
        <v>480</v>
      </c>
      <c r="AD15" s="2474">
        <f t="shared" si="0"/>
        <v>0</v>
      </c>
      <c r="AE15" s="2475">
        <f t="shared" si="0"/>
        <v>0</v>
      </c>
      <c r="AF15" s="2475">
        <f t="shared" si="0"/>
        <v>0</v>
      </c>
      <c r="AG15" s="2475">
        <f t="shared" si="0"/>
        <v>0</v>
      </c>
      <c r="AH15" s="2475">
        <f t="shared" si="0"/>
        <v>0</v>
      </c>
      <c r="AI15" s="2475">
        <f t="shared" si="0"/>
        <v>0</v>
      </c>
      <c r="AJ15" s="2475">
        <f t="shared" si="0"/>
        <v>0</v>
      </c>
      <c r="AK15" s="2475">
        <f t="shared" si="0"/>
        <v>214.24023558106072</v>
      </c>
      <c r="AL15" s="2475">
        <f t="shared" si="2"/>
        <v>0</v>
      </c>
      <c r="AM15" s="2475">
        <f t="shared" si="3"/>
        <v>0</v>
      </c>
      <c r="AN15" s="2475">
        <f t="shared" si="1"/>
        <v>214.24023558106072</v>
      </c>
      <c r="AO15" s="2475">
        <f t="shared" si="1"/>
        <v>0</v>
      </c>
      <c r="AP15" s="2475">
        <f t="shared" si="1"/>
        <v>0</v>
      </c>
      <c r="AQ15" s="2475">
        <f t="shared" si="1"/>
        <v>0</v>
      </c>
      <c r="AR15" s="2475">
        <f t="shared" si="1"/>
        <v>0</v>
      </c>
      <c r="AS15" s="2475">
        <f t="shared" si="1"/>
        <v>0</v>
      </c>
      <c r="AT15" s="2475">
        <f t="shared" si="1"/>
        <v>0</v>
      </c>
      <c r="AU15" s="2475">
        <f t="shared" si="4"/>
        <v>0</v>
      </c>
      <c r="AV15" s="2475">
        <f t="shared" si="5"/>
        <v>0</v>
      </c>
      <c r="AW15" s="2476">
        <f t="shared" si="6"/>
        <v>0</v>
      </c>
      <c r="AX15" s="2476">
        <f t="shared" si="6"/>
        <v>0</v>
      </c>
      <c r="AY15" s="2478"/>
      <c r="AZ15" s="2477"/>
      <c r="BA15" s="2477"/>
      <c r="BB15" s="2478"/>
      <c r="BC15" s="2478"/>
      <c r="BD15" s="2478"/>
      <c r="BE15" s="2478"/>
      <c r="BF15" s="2478"/>
      <c r="BG15" s="2478"/>
      <c r="BH15" s="2502"/>
    </row>
    <row r="16" spans="1:67" ht="15" customHeight="1">
      <c r="A16" s="2500"/>
      <c r="B16" s="1024" t="s">
        <v>4082</v>
      </c>
      <c r="C16" s="1021"/>
      <c r="D16" s="2473">
        <f>'T-7(ENS)'!D17</f>
        <v>210.00117706801592</v>
      </c>
      <c r="E16" s="2473">
        <f>'T-7(ENS)'!E17</f>
        <v>0</v>
      </c>
      <c r="F16" s="2474">
        <f>'T-7(ENS)'!F17</f>
        <v>0</v>
      </c>
      <c r="G16" s="2474">
        <f>'T-7(ENS)'!G17</f>
        <v>0</v>
      </c>
      <c r="H16" s="2474">
        <f>'T-7(ENS)'!H17</f>
        <v>0</v>
      </c>
      <c r="I16" s="2474">
        <f>'T-7(ENS)'!I17</f>
        <v>0</v>
      </c>
      <c r="J16" s="2474">
        <f>'T-7(ENS)'!J17</f>
        <v>580</v>
      </c>
      <c r="K16" s="2475">
        <f>'T-7(ENS)'!K17</f>
        <v>0</v>
      </c>
      <c r="L16" s="2475">
        <f>'T-7(ENS)'!L17</f>
        <v>0</v>
      </c>
      <c r="M16" s="2475">
        <f>'T-7(ENS)'!M17</f>
        <v>0</v>
      </c>
      <c r="N16" s="2475">
        <f>'T-7(ENS)'!N17</f>
        <v>0</v>
      </c>
      <c r="O16" s="2475">
        <f>'T-7(ENS)'!O17</f>
        <v>0</v>
      </c>
      <c r="P16" s="2474">
        <f>'T-7(ENS)'!P17</f>
        <v>0</v>
      </c>
      <c r="Q16" s="2475">
        <f>'T-7(ENS)'!Q17</f>
        <v>0</v>
      </c>
      <c r="R16" s="2475">
        <f>'T-7(ENS)'!R17</f>
        <v>121.80068269944923</v>
      </c>
      <c r="S16" s="2475">
        <f>'T-7(ENS)'!S17</f>
        <v>0</v>
      </c>
      <c r="T16" s="2475">
        <f>'T-7(ENS)'!T17</f>
        <v>0</v>
      </c>
      <c r="U16" s="2475">
        <f>'T-7(ENS)'!U17</f>
        <v>121.80068269944923</v>
      </c>
      <c r="V16" s="2475">
        <f>'T-7(ENS)'!V17</f>
        <v>0</v>
      </c>
      <c r="W16" s="2475">
        <f>'T-7(ENS)'!W17</f>
        <v>0</v>
      </c>
      <c r="X16" s="2475">
        <f>'T-7(ENS)'!X17</f>
        <v>0</v>
      </c>
      <c r="Y16" s="2475">
        <f>'T-7(ENS)'!Y17</f>
        <v>0</v>
      </c>
      <c r="Z16" s="2475">
        <f>'T-7(ENS)'!Z17</f>
        <v>0</v>
      </c>
      <c r="AA16" s="2475">
        <f>'T-7(ENS)'!AA17</f>
        <v>0</v>
      </c>
      <c r="AB16" s="2474">
        <f t="shared" si="0"/>
        <v>0</v>
      </c>
      <c r="AC16" s="2474">
        <f t="shared" si="0"/>
        <v>580</v>
      </c>
      <c r="AD16" s="2474">
        <f t="shared" si="0"/>
        <v>0</v>
      </c>
      <c r="AE16" s="2475">
        <f t="shared" si="0"/>
        <v>0</v>
      </c>
      <c r="AF16" s="2475">
        <f t="shared" si="0"/>
        <v>0</v>
      </c>
      <c r="AG16" s="2475">
        <f t="shared" si="0"/>
        <v>0</v>
      </c>
      <c r="AH16" s="2475">
        <f t="shared" si="0"/>
        <v>0</v>
      </c>
      <c r="AI16" s="2475">
        <f t="shared" si="0"/>
        <v>0</v>
      </c>
      <c r="AJ16" s="2475">
        <f t="shared" si="0"/>
        <v>0</v>
      </c>
      <c r="AK16" s="2475">
        <f t="shared" si="0"/>
        <v>121.80068269944923</v>
      </c>
      <c r="AL16" s="2475">
        <f t="shared" si="2"/>
        <v>0</v>
      </c>
      <c r="AM16" s="2475">
        <f t="shared" si="3"/>
        <v>0</v>
      </c>
      <c r="AN16" s="2475">
        <f t="shared" si="1"/>
        <v>121.80068269944923</v>
      </c>
      <c r="AO16" s="2475">
        <f t="shared" si="1"/>
        <v>0</v>
      </c>
      <c r="AP16" s="2475">
        <f t="shared" si="1"/>
        <v>0</v>
      </c>
      <c r="AQ16" s="2475">
        <f t="shared" si="1"/>
        <v>0</v>
      </c>
      <c r="AR16" s="2475">
        <f t="shared" si="1"/>
        <v>0</v>
      </c>
      <c r="AS16" s="2475">
        <f t="shared" si="1"/>
        <v>0</v>
      </c>
      <c r="AT16" s="2475">
        <f t="shared" si="1"/>
        <v>0</v>
      </c>
      <c r="AU16" s="2475">
        <f t="shared" si="4"/>
        <v>0</v>
      </c>
      <c r="AV16" s="2475">
        <f t="shared" si="5"/>
        <v>0</v>
      </c>
      <c r="AW16" s="2476">
        <f t="shared" si="6"/>
        <v>0</v>
      </c>
      <c r="AX16" s="2476">
        <f t="shared" si="6"/>
        <v>0</v>
      </c>
      <c r="AY16" s="2478"/>
      <c r="AZ16" s="2477"/>
      <c r="BA16" s="2477"/>
      <c r="BB16" s="2478"/>
      <c r="BC16" s="2478"/>
      <c r="BD16" s="2478"/>
      <c r="BE16" s="2478"/>
      <c r="BF16" s="2478"/>
      <c r="BG16" s="2478"/>
      <c r="BH16" s="2502"/>
    </row>
    <row r="17" spans="1:60" ht="15" customHeight="1">
      <c r="A17" s="2500"/>
      <c r="B17" s="1024" t="s">
        <v>4083</v>
      </c>
      <c r="C17" s="1021"/>
      <c r="D17" s="2473">
        <f>'T-7(ENS)'!D18</f>
        <v>353.43119415312157</v>
      </c>
      <c r="E17" s="2473">
        <f>'T-7(ENS)'!E18</f>
        <v>0</v>
      </c>
      <c r="F17" s="2474">
        <f>'T-7(ENS)'!F18</f>
        <v>0</v>
      </c>
      <c r="G17" s="2474">
        <f>'T-7(ENS)'!G18</f>
        <v>0</v>
      </c>
      <c r="H17" s="2474">
        <f>'T-7(ENS)'!H18</f>
        <v>0</v>
      </c>
      <c r="I17" s="2474">
        <f>'T-7(ENS)'!I18</f>
        <v>0</v>
      </c>
      <c r="J17" s="2474">
        <f>'T-7(ENS)'!J18</f>
        <v>620</v>
      </c>
      <c r="K17" s="2475">
        <f>'T-7(ENS)'!K18</f>
        <v>0</v>
      </c>
      <c r="L17" s="2475">
        <f>'T-7(ENS)'!L18</f>
        <v>0</v>
      </c>
      <c r="M17" s="2475">
        <f>'T-7(ENS)'!M18</f>
        <v>0</v>
      </c>
      <c r="N17" s="2475">
        <f>'T-7(ENS)'!N18</f>
        <v>0</v>
      </c>
      <c r="O17" s="2475">
        <f>'T-7(ENS)'!O18</f>
        <v>0</v>
      </c>
      <c r="P17" s="2474">
        <f>'T-7(ENS)'!P18</f>
        <v>0</v>
      </c>
      <c r="Q17" s="2475">
        <f>'T-7(ENS)'!Q18</f>
        <v>0</v>
      </c>
      <c r="R17" s="2475">
        <f>'T-7(ENS)'!R18</f>
        <v>219.12734037493536</v>
      </c>
      <c r="S17" s="2475">
        <f>'T-7(ENS)'!S18</f>
        <v>0</v>
      </c>
      <c r="T17" s="2475">
        <f>'T-7(ENS)'!T18</f>
        <v>0</v>
      </c>
      <c r="U17" s="2475">
        <f>'T-7(ENS)'!U18</f>
        <v>219.12734037493536</v>
      </c>
      <c r="V17" s="2475">
        <f>'T-7(ENS)'!V18</f>
        <v>0</v>
      </c>
      <c r="W17" s="2475">
        <f>'T-7(ENS)'!W18</f>
        <v>0</v>
      </c>
      <c r="X17" s="2475">
        <f>'T-7(ENS)'!X18</f>
        <v>0</v>
      </c>
      <c r="Y17" s="2475">
        <f>'T-7(ENS)'!Y18</f>
        <v>0</v>
      </c>
      <c r="Z17" s="2475">
        <f>'T-7(ENS)'!Z18</f>
        <v>0</v>
      </c>
      <c r="AA17" s="2475">
        <f>'T-7(ENS)'!AA18</f>
        <v>0</v>
      </c>
      <c r="AB17" s="2474">
        <f t="shared" si="0"/>
        <v>0</v>
      </c>
      <c r="AC17" s="2474">
        <f t="shared" si="0"/>
        <v>620</v>
      </c>
      <c r="AD17" s="2474">
        <f t="shared" si="0"/>
        <v>0</v>
      </c>
      <c r="AE17" s="2475">
        <f t="shared" si="0"/>
        <v>0</v>
      </c>
      <c r="AF17" s="2475">
        <f t="shared" si="0"/>
        <v>0</v>
      </c>
      <c r="AG17" s="2475">
        <f t="shared" si="0"/>
        <v>0</v>
      </c>
      <c r="AH17" s="2475">
        <f t="shared" si="0"/>
        <v>0</v>
      </c>
      <c r="AI17" s="2475">
        <f t="shared" si="0"/>
        <v>0</v>
      </c>
      <c r="AJ17" s="2475">
        <f t="shared" si="0"/>
        <v>0</v>
      </c>
      <c r="AK17" s="2475">
        <f t="shared" si="0"/>
        <v>219.12734037493536</v>
      </c>
      <c r="AL17" s="2475">
        <f t="shared" si="2"/>
        <v>0</v>
      </c>
      <c r="AM17" s="2475">
        <f t="shared" si="3"/>
        <v>0</v>
      </c>
      <c r="AN17" s="2475">
        <f t="shared" si="1"/>
        <v>219.12734037493536</v>
      </c>
      <c r="AO17" s="2475">
        <f t="shared" si="1"/>
        <v>0</v>
      </c>
      <c r="AP17" s="2475">
        <f t="shared" si="1"/>
        <v>0</v>
      </c>
      <c r="AQ17" s="2475">
        <f t="shared" si="1"/>
        <v>0</v>
      </c>
      <c r="AR17" s="2475">
        <f t="shared" si="1"/>
        <v>0</v>
      </c>
      <c r="AS17" s="2475">
        <f t="shared" si="1"/>
        <v>0</v>
      </c>
      <c r="AT17" s="2475">
        <f t="shared" si="1"/>
        <v>0</v>
      </c>
      <c r="AU17" s="2475">
        <f t="shared" si="4"/>
        <v>0</v>
      </c>
      <c r="AV17" s="2475">
        <f t="shared" si="5"/>
        <v>0</v>
      </c>
      <c r="AW17" s="2476">
        <f t="shared" si="6"/>
        <v>0</v>
      </c>
      <c r="AX17" s="2476">
        <f t="shared" si="6"/>
        <v>0</v>
      </c>
      <c r="AY17" s="2478"/>
      <c r="AZ17" s="2477"/>
      <c r="BA17" s="2477"/>
      <c r="BB17" s="2478"/>
      <c r="BC17" s="2478"/>
      <c r="BD17" s="2478"/>
      <c r="BE17" s="2478"/>
      <c r="BF17" s="2478"/>
      <c r="BG17" s="2478"/>
      <c r="BH17" s="2502"/>
    </row>
    <row r="18" spans="1:60" ht="15" customHeight="1">
      <c r="A18" s="2500"/>
      <c r="B18" s="1024" t="s">
        <v>4140</v>
      </c>
      <c r="C18" s="1024" t="s">
        <v>1496</v>
      </c>
      <c r="D18" s="2479"/>
      <c r="E18" s="2473">
        <f>'T-7(ENS)'!E19</f>
        <v>0</v>
      </c>
      <c r="F18" s="2474">
        <f>'T-7(ENS)'!F19</f>
        <v>0</v>
      </c>
      <c r="G18" s="2474">
        <f>'T-7(ENS)'!G19</f>
        <v>0</v>
      </c>
      <c r="H18" s="2474">
        <f>'T-7(ENS)'!H19</f>
        <v>0</v>
      </c>
      <c r="I18" s="2474">
        <f>'T-7(ENS)'!I19</f>
        <v>0</v>
      </c>
      <c r="J18" s="2474">
        <f>'T-7(ENS)'!J19</f>
        <v>0</v>
      </c>
      <c r="K18" s="2475">
        <f>'T-7(ENS)'!K19</f>
        <v>0</v>
      </c>
      <c r="L18" s="2475">
        <f>'T-7(ENS)'!L19</f>
        <v>0</v>
      </c>
      <c r="M18" s="2475">
        <f>'T-7(ENS)'!M19</f>
        <v>0</v>
      </c>
      <c r="N18" s="2475">
        <f>'T-7(ENS)'!N19</f>
        <v>0</v>
      </c>
      <c r="O18" s="2475">
        <f>'T-7(ENS)'!O19</f>
        <v>0</v>
      </c>
      <c r="P18" s="2474">
        <f>'T-7(ENS)'!P19</f>
        <v>0</v>
      </c>
      <c r="Q18" s="2475">
        <f>'T-7(ENS)'!Q19</f>
        <v>0</v>
      </c>
      <c r="R18" s="2475">
        <f>'T-7(ENS)'!R19</f>
        <v>0</v>
      </c>
      <c r="S18" s="2475">
        <f>'T-7(ENS)'!S19</f>
        <v>0</v>
      </c>
      <c r="T18" s="2475">
        <f>'T-7(ENS)'!T19</f>
        <v>0</v>
      </c>
      <c r="U18" s="2475">
        <f>'T-7(ENS)'!U19</f>
        <v>0</v>
      </c>
      <c r="V18" s="2475">
        <f>'T-7(ENS)'!V19</f>
        <v>0</v>
      </c>
      <c r="W18" s="2475">
        <f>'T-7(ENS)'!W19</f>
        <v>0</v>
      </c>
      <c r="X18" s="2475">
        <f>'T-7(ENS)'!X19</f>
        <v>0</v>
      </c>
      <c r="Y18" s="2475">
        <f>'T-7(ENS)'!Y19</f>
        <v>0</v>
      </c>
      <c r="Z18" s="2475">
        <f>'T-7(ENS)'!Z19</f>
        <v>0</v>
      </c>
      <c r="AA18" s="2475">
        <f>'T-7(ENS)'!AA19</f>
        <v>0</v>
      </c>
      <c r="AB18" s="2474">
        <f t="shared" si="0"/>
        <v>0</v>
      </c>
      <c r="AC18" s="2474">
        <f t="shared" si="0"/>
        <v>0</v>
      </c>
      <c r="AD18" s="2474">
        <f t="shared" si="0"/>
        <v>0</v>
      </c>
      <c r="AE18" s="2475">
        <f t="shared" si="0"/>
        <v>0</v>
      </c>
      <c r="AF18" s="2475">
        <f t="shared" si="0"/>
        <v>0</v>
      </c>
      <c r="AG18" s="2475">
        <f t="shared" si="0"/>
        <v>0</v>
      </c>
      <c r="AH18" s="2475">
        <f t="shared" si="0"/>
        <v>0</v>
      </c>
      <c r="AI18" s="2475">
        <f t="shared" si="0"/>
        <v>0</v>
      </c>
      <c r="AJ18" s="2475">
        <f t="shared" si="0"/>
        <v>0</v>
      </c>
      <c r="AK18" s="2475">
        <f t="shared" si="0"/>
        <v>0</v>
      </c>
      <c r="AL18" s="2475">
        <f t="shared" si="2"/>
        <v>0</v>
      </c>
      <c r="AM18" s="2475">
        <f t="shared" si="3"/>
        <v>0</v>
      </c>
      <c r="AN18" s="2475">
        <f t="shared" si="1"/>
        <v>0</v>
      </c>
      <c r="AO18" s="2475">
        <f t="shared" si="1"/>
        <v>0</v>
      </c>
      <c r="AP18" s="2475">
        <f t="shared" si="1"/>
        <v>0</v>
      </c>
      <c r="AQ18" s="2475">
        <f t="shared" si="1"/>
        <v>0</v>
      </c>
      <c r="AR18" s="2475">
        <f t="shared" si="1"/>
        <v>0</v>
      </c>
      <c r="AS18" s="2475">
        <f t="shared" si="1"/>
        <v>0</v>
      </c>
      <c r="AT18" s="2475">
        <f t="shared" si="1"/>
        <v>0</v>
      </c>
      <c r="AU18" s="2475">
        <f t="shared" si="4"/>
        <v>0</v>
      </c>
      <c r="AV18" s="2475">
        <f t="shared" si="5"/>
        <v>0</v>
      </c>
      <c r="AW18" s="2476">
        <f t="shared" si="6"/>
        <v>0</v>
      </c>
      <c r="AX18" s="2476">
        <f t="shared" si="6"/>
        <v>0</v>
      </c>
      <c r="AY18" s="2478"/>
      <c r="AZ18" s="2477"/>
      <c r="BA18" s="2477"/>
      <c r="BB18" s="2478"/>
      <c r="BC18" s="2478"/>
      <c r="BD18" s="2478"/>
      <c r="BE18" s="2478"/>
      <c r="BF18" s="2478"/>
      <c r="BG18" s="2478"/>
      <c r="BH18" s="2502"/>
    </row>
    <row r="19" spans="1:60" ht="15" customHeight="1">
      <c r="A19" s="2500"/>
      <c r="B19" s="1021"/>
      <c r="C19" s="2465" t="s">
        <v>1327</v>
      </c>
      <c r="D19" s="2480">
        <f>'T-7(ENS)'!D20</f>
        <v>1905.8364812775001</v>
      </c>
      <c r="E19" s="2473">
        <f>'T-7(ENS)'!E20</f>
        <v>0</v>
      </c>
      <c r="F19" s="2481">
        <f>'T-7(ENS)'!F20</f>
        <v>2255662</v>
      </c>
      <c r="G19" s="2481">
        <f>'T-7(ENS)'!G20</f>
        <v>2062541.5310000002</v>
      </c>
      <c r="H19" s="2481">
        <f>'T-7(ENS)'!H20</f>
        <v>521325.84499999997</v>
      </c>
      <c r="I19" s="2481">
        <f>'T-7(ENS)'!I20</f>
        <v>0</v>
      </c>
      <c r="J19" s="2481">
        <f>'T-7(ENS)'!J20</f>
        <v>0</v>
      </c>
      <c r="K19" s="2482">
        <f>'T-7(ENS)'!K20</f>
        <v>0</v>
      </c>
      <c r="L19" s="2482">
        <f>'T-7(ENS)'!L20</f>
        <v>0</v>
      </c>
      <c r="M19" s="2482">
        <f>'T-7(ENS)'!M20</f>
        <v>0</v>
      </c>
      <c r="N19" s="2482">
        <f>'T-7(ENS)'!N20</f>
        <v>0</v>
      </c>
      <c r="O19" s="2482">
        <f>'T-7(ENS)'!O20</f>
        <v>0</v>
      </c>
      <c r="P19" s="2481">
        <f>'T-7(ENS)'!P20</f>
        <v>468.33420259492527</v>
      </c>
      <c r="Q19" s="2482">
        <f>'T-7(ENS)'!Q20</f>
        <v>0</v>
      </c>
      <c r="R19" s="2482">
        <f>'T-7(ENS)'!R20</f>
        <v>817.98608445541618</v>
      </c>
      <c r="S19" s="2482">
        <f>'T-7(ENS)'!S20</f>
        <v>74.582324279999995</v>
      </c>
      <c r="T19" s="2482">
        <f>'T-7(ENS)'!T20</f>
        <v>0</v>
      </c>
      <c r="U19" s="2482">
        <f>'T-7(ENS)'!U20</f>
        <v>892.56840873541614</v>
      </c>
      <c r="V19" s="2482">
        <f>'T-7(ENS)'!V20</f>
        <v>0.1</v>
      </c>
      <c r="W19" s="2482">
        <f>'T-7(ENS)'!W20</f>
        <v>463.68352476968869</v>
      </c>
      <c r="X19" s="2482">
        <f>'T-7(ENS)'!X20</f>
        <v>886.34314620042494</v>
      </c>
      <c r="Y19" s="2482">
        <f>'T-7(ENS)'!Y20</f>
        <v>8.8634314620042502</v>
      </c>
      <c r="Z19" s="2482">
        <f>'T-7(ENS)'!Z20</f>
        <v>0</v>
      </c>
      <c r="AA19" s="2482">
        <f>'T-7(ENS)'!AA20</f>
        <v>883.70497727341194</v>
      </c>
      <c r="AB19" s="2474">
        <f t="shared" si="0"/>
        <v>0</v>
      </c>
      <c r="AC19" s="2474">
        <f t="shared" si="0"/>
        <v>0</v>
      </c>
      <c r="AD19" s="2474">
        <f t="shared" si="0"/>
        <v>0</v>
      </c>
      <c r="AE19" s="2475">
        <f t="shared" si="0"/>
        <v>0</v>
      </c>
      <c r="AF19" s="2475">
        <f t="shared" si="0"/>
        <v>0</v>
      </c>
      <c r="AG19" s="2475">
        <f t="shared" si="0"/>
        <v>0</v>
      </c>
      <c r="AH19" s="2475">
        <f t="shared" si="0"/>
        <v>0</v>
      </c>
      <c r="AI19" s="2475">
        <f t="shared" si="0"/>
        <v>468.33420259492527</v>
      </c>
      <c r="AJ19" s="2475">
        <f t="shared" si="0"/>
        <v>0</v>
      </c>
      <c r="AK19" s="2475">
        <f t="shared" si="0"/>
        <v>817.98608445541618</v>
      </c>
      <c r="AL19" s="2475">
        <f t="shared" si="2"/>
        <v>74.582324279999995</v>
      </c>
      <c r="AM19" s="2475">
        <f t="shared" si="3"/>
        <v>0</v>
      </c>
      <c r="AN19" s="2475">
        <f t="shared" si="1"/>
        <v>892.56840873541614</v>
      </c>
      <c r="AO19" s="2475">
        <f t="shared" si="1"/>
        <v>0.1</v>
      </c>
      <c r="AP19" s="2475">
        <f t="shared" si="1"/>
        <v>463.68352476968869</v>
      </c>
      <c r="AQ19" s="2475">
        <f t="shared" si="1"/>
        <v>886.34314620042494</v>
      </c>
      <c r="AR19" s="2475">
        <f t="shared" si="1"/>
        <v>8.8634314620042502</v>
      </c>
      <c r="AS19" s="2475">
        <f t="shared" si="1"/>
        <v>0</v>
      </c>
      <c r="AT19" s="2475">
        <f t="shared" si="1"/>
        <v>883.70497727341194</v>
      </c>
      <c r="AU19" s="2475">
        <f t="shared" si="4"/>
        <v>883.70497727341194</v>
      </c>
      <c r="AV19" s="2475">
        <f t="shared" si="5"/>
        <v>0</v>
      </c>
      <c r="AW19" s="2476">
        <f t="shared" si="6"/>
        <v>0</v>
      </c>
      <c r="AX19" s="2476">
        <f t="shared" si="6"/>
        <v>0</v>
      </c>
      <c r="AY19" s="2472"/>
      <c r="AZ19" s="2477">
        <f>'T-7(ENS)'!AB20</f>
        <v>0.5902847068067214</v>
      </c>
      <c r="BA19" s="2477">
        <f>AZ19</f>
        <v>0.5902847068067214</v>
      </c>
      <c r="BB19" s="2472"/>
      <c r="BC19" s="2472"/>
      <c r="BD19" s="2472"/>
      <c r="BE19" s="2472"/>
      <c r="BF19" s="2478">
        <f>D19*$G$67/1000</f>
        <v>1497.0829641303683</v>
      </c>
      <c r="BG19" s="2478">
        <f>BF19*$D$71-AT19</f>
        <v>382.84262226330839</v>
      </c>
      <c r="BH19" s="2502">
        <f>BG19/D19*10</f>
        <v>2.0087905023556134</v>
      </c>
    </row>
    <row r="20" spans="1:60" ht="15" customHeight="1">
      <c r="A20" s="2500">
        <v>2</v>
      </c>
      <c r="B20" s="1021" t="s">
        <v>4084</v>
      </c>
      <c r="C20" s="1024" t="s">
        <v>1496</v>
      </c>
      <c r="D20" s="2473"/>
      <c r="E20" s="2473">
        <f>'T-7(ENS)'!E21</f>
        <v>0</v>
      </c>
      <c r="F20" s="2474">
        <f>'T-7(ENS)'!F21</f>
        <v>101933</v>
      </c>
      <c r="G20" s="2474">
        <f>'T-7(ENS)'!G21</f>
        <v>308648.23920000007</v>
      </c>
      <c r="H20" s="2474">
        <f>'T-7(ENS)'!H21</f>
        <v>216447.23920000007</v>
      </c>
      <c r="I20" s="2474">
        <f>'T-7(ENS)'!I21</f>
        <v>0</v>
      </c>
      <c r="J20" s="2474">
        <f>'T-7(ENS)'!J21</f>
        <v>0</v>
      </c>
      <c r="K20" s="2475">
        <f>'T-7(ENS)'!K21</f>
        <v>0</v>
      </c>
      <c r="L20" s="2475">
        <f>'T-7(ENS)'!L21</f>
        <v>30</v>
      </c>
      <c r="M20" s="2475">
        <f>'T-7(ENS)'!M21</f>
        <v>30</v>
      </c>
      <c r="N20" s="2475">
        <f>'T-7(ENS)'!N21</f>
        <v>0</v>
      </c>
      <c r="O20" s="2475">
        <f>'T-7(ENS)'!O21</f>
        <v>0</v>
      </c>
      <c r="P20" s="2474">
        <f>'T-7(ENS)'!P21</f>
        <v>0</v>
      </c>
      <c r="Q20" s="2475">
        <f>'T-7(ENS)'!Q21</f>
        <v>0</v>
      </c>
      <c r="R20" s="2475">
        <f>'T-7(ENS)'!R21</f>
        <v>0</v>
      </c>
      <c r="S20" s="2475">
        <f>'T-7(ENS)'!S21</f>
        <v>11.461688611200003</v>
      </c>
      <c r="T20" s="2475">
        <f>'T-7(ENS)'!T21</f>
        <v>0</v>
      </c>
      <c r="U20" s="2475">
        <f>'T-7(ENS)'!U21</f>
        <v>11.461688611200003</v>
      </c>
      <c r="V20" s="2475">
        <f>'T-7(ENS)'!V21</f>
        <v>0.1</v>
      </c>
      <c r="W20" s="2475">
        <f>'T-7(ENS)'!W21</f>
        <v>0</v>
      </c>
      <c r="X20" s="2475">
        <f>'T-7(ENS)'!X21</f>
        <v>0</v>
      </c>
      <c r="Y20" s="2475">
        <f>'T-7(ENS)'!Y21</f>
        <v>0</v>
      </c>
      <c r="Z20" s="2475">
        <f>'T-7(ENS)'!Z21</f>
        <v>0</v>
      </c>
      <c r="AA20" s="2475">
        <f>'T-7(ENS)'!AA21</f>
        <v>0</v>
      </c>
      <c r="AB20" s="2474">
        <f t="shared" si="0"/>
        <v>0</v>
      </c>
      <c r="AC20" s="2474">
        <f t="shared" si="0"/>
        <v>0</v>
      </c>
      <c r="AD20" s="2474">
        <f t="shared" si="0"/>
        <v>0</v>
      </c>
      <c r="AE20" s="2475">
        <f t="shared" si="0"/>
        <v>30</v>
      </c>
      <c r="AF20" s="2475">
        <f t="shared" si="0"/>
        <v>30</v>
      </c>
      <c r="AG20" s="2475">
        <f t="shared" si="0"/>
        <v>0</v>
      </c>
      <c r="AH20" s="2475">
        <f t="shared" si="0"/>
        <v>0</v>
      </c>
      <c r="AI20" s="2475">
        <f t="shared" si="0"/>
        <v>0</v>
      </c>
      <c r="AJ20" s="2475">
        <f t="shared" si="0"/>
        <v>0</v>
      </c>
      <c r="AK20" s="2475">
        <f t="shared" si="0"/>
        <v>0</v>
      </c>
      <c r="AL20" s="2475">
        <f t="shared" si="2"/>
        <v>11.461688611200003</v>
      </c>
      <c r="AM20" s="2475">
        <f t="shared" si="3"/>
        <v>0</v>
      </c>
      <c r="AN20" s="2475">
        <f t="shared" si="1"/>
        <v>11.461688611200003</v>
      </c>
      <c r="AO20" s="2475">
        <f t="shared" si="1"/>
        <v>0.1</v>
      </c>
      <c r="AP20" s="2475">
        <f t="shared" si="1"/>
        <v>0</v>
      </c>
      <c r="AQ20" s="2475">
        <f t="shared" si="1"/>
        <v>0</v>
      </c>
      <c r="AR20" s="2475">
        <f t="shared" si="1"/>
        <v>0</v>
      </c>
      <c r="AS20" s="2475">
        <f t="shared" si="1"/>
        <v>0</v>
      </c>
      <c r="AT20" s="2475">
        <f t="shared" si="1"/>
        <v>0</v>
      </c>
      <c r="AU20" s="2475">
        <f t="shared" si="4"/>
        <v>0</v>
      </c>
      <c r="AV20" s="2475">
        <f t="shared" si="5"/>
        <v>0</v>
      </c>
      <c r="AW20" s="2476">
        <f t="shared" si="6"/>
        <v>0</v>
      </c>
      <c r="AX20" s="2476">
        <f t="shared" si="6"/>
        <v>0</v>
      </c>
      <c r="AY20" s="2472"/>
      <c r="AZ20" s="2477"/>
      <c r="BA20" s="2477"/>
      <c r="BB20" s="2472"/>
      <c r="BC20" s="2472"/>
      <c r="BD20" s="2472"/>
      <c r="BE20" s="2472"/>
      <c r="BF20" s="2478"/>
      <c r="BG20" s="2478"/>
      <c r="BH20" s="2502"/>
    </row>
    <row r="21" spans="1:60" ht="15" customHeight="1">
      <c r="A21" s="2500"/>
      <c r="B21" s="1024" t="s">
        <v>1329</v>
      </c>
      <c r="C21" s="1024"/>
      <c r="D21" s="2473">
        <f>'T-7(ENS)'!D22</f>
        <v>78.545003762681773</v>
      </c>
      <c r="E21" s="2473">
        <f>'T-7(ENS)'!E22</f>
        <v>0</v>
      </c>
      <c r="F21" s="2474">
        <f>'T-7(ENS)'!F22</f>
        <v>0</v>
      </c>
      <c r="G21" s="2474">
        <f>'T-7(ENS)'!G22</f>
        <v>0</v>
      </c>
      <c r="H21" s="2474">
        <f>'T-7(ENS)'!H22</f>
        <v>0</v>
      </c>
      <c r="I21" s="2474">
        <f>'T-7(ENS)'!I22</f>
        <v>0</v>
      </c>
      <c r="J21" s="2474">
        <f>'T-7(ENS)'!J22</f>
        <v>590</v>
      </c>
      <c r="K21" s="2475">
        <f>'T-7(ENS)'!K22</f>
        <v>0</v>
      </c>
      <c r="L21" s="2475">
        <f>'T-7(ENS)'!L22</f>
        <v>0</v>
      </c>
      <c r="M21" s="2475">
        <f>'T-7(ENS)'!M22</f>
        <v>0</v>
      </c>
      <c r="N21" s="2475">
        <f>'T-7(ENS)'!N22</f>
        <v>0</v>
      </c>
      <c r="O21" s="2475">
        <f>'T-7(ENS)'!O22</f>
        <v>0</v>
      </c>
      <c r="P21" s="2474">
        <f>'T-7(ENS)'!P22</f>
        <v>0</v>
      </c>
      <c r="Q21" s="2475">
        <f>'T-7(ENS)'!Q22</f>
        <v>0</v>
      </c>
      <c r="R21" s="2475">
        <f>'T-7(ENS)'!R22</f>
        <v>46.341552219982248</v>
      </c>
      <c r="S21" s="2475">
        <f>'T-7(ENS)'!S22</f>
        <v>0</v>
      </c>
      <c r="T21" s="2475">
        <f>'T-7(ENS)'!T22</f>
        <v>0</v>
      </c>
      <c r="U21" s="2475">
        <f>'T-7(ENS)'!U22</f>
        <v>46.341552219982248</v>
      </c>
      <c r="V21" s="2475">
        <f>'T-7(ENS)'!V22</f>
        <v>0.1</v>
      </c>
      <c r="W21" s="2475">
        <f>'T-7(ENS)'!W22</f>
        <v>0</v>
      </c>
      <c r="X21" s="2475">
        <f>'T-7(ENS)'!X22</f>
        <v>54.981502633877241</v>
      </c>
      <c r="Y21" s="2475">
        <f>'T-7(ENS)'!Y22</f>
        <v>0.54981502633877244</v>
      </c>
      <c r="Z21" s="2475">
        <f>'T-7(ENS)'!Z22</f>
        <v>0</v>
      </c>
      <c r="AA21" s="2475">
        <f>'T-7(ENS)'!AA22</f>
        <v>0</v>
      </c>
      <c r="AB21" s="2474">
        <f t="shared" si="0"/>
        <v>0</v>
      </c>
      <c r="AC21" s="2474">
        <f t="shared" si="0"/>
        <v>590</v>
      </c>
      <c r="AD21" s="2474">
        <f t="shared" si="0"/>
        <v>0</v>
      </c>
      <c r="AE21" s="2475">
        <f t="shared" si="0"/>
        <v>0</v>
      </c>
      <c r="AF21" s="2475">
        <f t="shared" si="0"/>
        <v>0</v>
      </c>
      <c r="AG21" s="2475">
        <f t="shared" si="0"/>
        <v>0</v>
      </c>
      <c r="AH21" s="2475">
        <f t="shared" si="0"/>
        <v>0</v>
      </c>
      <c r="AI21" s="2475">
        <f t="shared" si="0"/>
        <v>0</v>
      </c>
      <c r="AJ21" s="2475">
        <f t="shared" si="0"/>
        <v>0</v>
      </c>
      <c r="AK21" s="2475">
        <f t="shared" si="0"/>
        <v>46.341552219982248</v>
      </c>
      <c r="AL21" s="2475">
        <f t="shared" si="2"/>
        <v>0</v>
      </c>
      <c r="AM21" s="2475">
        <f t="shared" si="3"/>
        <v>0</v>
      </c>
      <c r="AN21" s="2475">
        <f t="shared" si="1"/>
        <v>46.341552219982248</v>
      </c>
      <c r="AO21" s="2475">
        <f t="shared" si="1"/>
        <v>0.1</v>
      </c>
      <c r="AP21" s="2475">
        <f t="shared" si="1"/>
        <v>0</v>
      </c>
      <c r="AQ21" s="2475">
        <f t="shared" si="1"/>
        <v>54.981502633877241</v>
      </c>
      <c r="AR21" s="2475">
        <f t="shared" si="1"/>
        <v>0.54981502633877244</v>
      </c>
      <c r="AS21" s="2475">
        <f t="shared" si="1"/>
        <v>0</v>
      </c>
      <c r="AT21" s="2475">
        <f t="shared" si="1"/>
        <v>0</v>
      </c>
      <c r="AU21" s="2475">
        <f t="shared" si="4"/>
        <v>0</v>
      </c>
      <c r="AV21" s="2475">
        <f t="shared" si="5"/>
        <v>0</v>
      </c>
      <c r="AW21" s="2476">
        <f t="shared" si="6"/>
        <v>0</v>
      </c>
      <c r="AX21" s="2476">
        <f t="shared" si="6"/>
        <v>0</v>
      </c>
      <c r="AY21" s="2472"/>
      <c r="AZ21" s="2477"/>
      <c r="BA21" s="2477"/>
      <c r="BB21" s="2472"/>
      <c r="BC21" s="2472"/>
      <c r="BD21" s="2472"/>
      <c r="BE21" s="2472"/>
      <c r="BF21" s="2478"/>
      <c r="BG21" s="2478"/>
      <c r="BH21" s="2502"/>
    </row>
    <row r="22" spans="1:60" ht="15" customHeight="1">
      <c r="A22" s="2500"/>
      <c r="B22" s="1024" t="s">
        <v>1330</v>
      </c>
      <c r="C22" s="1021"/>
      <c r="D22" s="2473">
        <f>'T-7(ENS)'!D23</f>
        <v>85.339008926910836</v>
      </c>
      <c r="E22" s="2473">
        <f>'T-7(ENS)'!E23</f>
        <v>0</v>
      </c>
      <c r="F22" s="2474">
        <f>'T-7(ENS)'!F23</f>
        <v>0</v>
      </c>
      <c r="G22" s="2474">
        <f>'T-7(ENS)'!G23</f>
        <v>0</v>
      </c>
      <c r="H22" s="2474">
        <f>'T-7(ENS)'!H23</f>
        <v>0</v>
      </c>
      <c r="I22" s="2474">
        <f>'T-7(ENS)'!I23</f>
        <v>0</v>
      </c>
      <c r="J22" s="2474">
        <f>'T-7(ENS)'!J23</f>
        <v>700</v>
      </c>
      <c r="K22" s="2475">
        <f>'T-7(ENS)'!K23</f>
        <v>0</v>
      </c>
      <c r="L22" s="2475">
        <f>'T-7(ENS)'!L23</f>
        <v>0</v>
      </c>
      <c r="M22" s="2475">
        <f>'T-7(ENS)'!M23</f>
        <v>0</v>
      </c>
      <c r="N22" s="2475">
        <f>'T-7(ENS)'!N23</f>
        <v>0</v>
      </c>
      <c r="O22" s="2475">
        <f>'T-7(ENS)'!O23</f>
        <v>0</v>
      </c>
      <c r="P22" s="2474">
        <f>'T-7(ENS)'!P23</f>
        <v>0</v>
      </c>
      <c r="Q22" s="2475">
        <f>'T-7(ENS)'!Q23</f>
        <v>0</v>
      </c>
      <c r="R22" s="2475">
        <f>'T-7(ENS)'!R23</f>
        <v>59.737306248837584</v>
      </c>
      <c r="S22" s="2475">
        <f>'T-7(ENS)'!S23</f>
        <v>0</v>
      </c>
      <c r="T22" s="2475">
        <f>'T-7(ENS)'!T23</f>
        <v>0</v>
      </c>
      <c r="U22" s="2475">
        <f>'T-7(ENS)'!U23</f>
        <v>59.737306248837584</v>
      </c>
      <c r="V22" s="2475">
        <f>'T-7(ENS)'!V23</f>
        <v>0.1</v>
      </c>
      <c r="W22" s="2475">
        <f>'T-7(ENS)'!W23</f>
        <v>0</v>
      </c>
      <c r="X22" s="2475">
        <f>'T-7(ENS)'!X23</f>
        <v>59.737306248837584</v>
      </c>
      <c r="Y22" s="2475">
        <f>'T-7(ENS)'!Y23</f>
        <v>0.59737306248837585</v>
      </c>
      <c r="Z22" s="2475">
        <f>'T-7(ENS)'!Z23</f>
        <v>0</v>
      </c>
      <c r="AA22" s="2475">
        <f>'T-7(ENS)'!AA23</f>
        <v>0</v>
      </c>
      <c r="AB22" s="2474">
        <f t="shared" si="0"/>
        <v>0</v>
      </c>
      <c r="AC22" s="2474">
        <f t="shared" si="0"/>
        <v>700</v>
      </c>
      <c r="AD22" s="2474">
        <f t="shared" si="0"/>
        <v>0</v>
      </c>
      <c r="AE22" s="2475">
        <f t="shared" si="0"/>
        <v>0</v>
      </c>
      <c r="AF22" s="2475">
        <f t="shared" si="0"/>
        <v>0</v>
      </c>
      <c r="AG22" s="2475">
        <f t="shared" si="0"/>
        <v>0</v>
      </c>
      <c r="AH22" s="2475">
        <f t="shared" si="0"/>
        <v>0</v>
      </c>
      <c r="AI22" s="2475">
        <f t="shared" si="0"/>
        <v>0</v>
      </c>
      <c r="AJ22" s="2475">
        <f t="shared" si="0"/>
        <v>0</v>
      </c>
      <c r="AK22" s="2475">
        <f t="shared" si="0"/>
        <v>59.737306248837584</v>
      </c>
      <c r="AL22" s="2475">
        <f t="shared" si="2"/>
        <v>0</v>
      </c>
      <c r="AM22" s="2475">
        <f t="shared" si="3"/>
        <v>0</v>
      </c>
      <c r="AN22" s="2475">
        <f t="shared" si="1"/>
        <v>59.737306248837584</v>
      </c>
      <c r="AO22" s="2475">
        <f t="shared" si="1"/>
        <v>0.1</v>
      </c>
      <c r="AP22" s="2475">
        <f t="shared" si="1"/>
        <v>0</v>
      </c>
      <c r="AQ22" s="2475">
        <f t="shared" si="1"/>
        <v>59.737306248837584</v>
      </c>
      <c r="AR22" s="2475">
        <f t="shared" si="1"/>
        <v>0.59737306248837585</v>
      </c>
      <c r="AS22" s="2475">
        <f t="shared" si="1"/>
        <v>0</v>
      </c>
      <c r="AT22" s="2475">
        <f t="shared" si="1"/>
        <v>0</v>
      </c>
      <c r="AU22" s="2475">
        <f t="shared" si="4"/>
        <v>0</v>
      </c>
      <c r="AV22" s="2475">
        <f t="shared" si="5"/>
        <v>0</v>
      </c>
      <c r="AW22" s="2476">
        <f t="shared" si="6"/>
        <v>0</v>
      </c>
      <c r="AX22" s="2476">
        <f t="shared" si="6"/>
        <v>0</v>
      </c>
      <c r="AY22" s="2472"/>
      <c r="AZ22" s="2477"/>
      <c r="BA22" s="2477"/>
      <c r="BB22" s="2472"/>
      <c r="BC22" s="2472"/>
      <c r="BD22" s="2472"/>
      <c r="BE22" s="2472"/>
      <c r="BF22" s="2478"/>
      <c r="BG22" s="2478"/>
      <c r="BH22" s="2502"/>
    </row>
    <row r="23" spans="1:60" ht="15" customHeight="1">
      <c r="A23" s="2500"/>
      <c r="B23" s="1024" t="s">
        <v>1331</v>
      </c>
      <c r="C23" s="1024"/>
      <c r="D23" s="2473">
        <f>'T-7(ENS)'!D24</f>
        <v>141.11656873322519</v>
      </c>
      <c r="E23" s="2473">
        <f>'T-7(ENS)'!E24</f>
        <v>0</v>
      </c>
      <c r="F23" s="2474">
        <f>'T-7(ENS)'!F24</f>
        <v>0</v>
      </c>
      <c r="G23" s="2474">
        <f>'T-7(ENS)'!G24</f>
        <v>0</v>
      </c>
      <c r="H23" s="2474">
        <f>'T-7(ENS)'!H24</f>
        <v>0</v>
      </c>
      <c r="I23" s="2474">
        <f>'T-7(ENS)'!I24</f>
        <v>0</v>
      </c>
      <c r="J23" s="2474">
        <f>'T-7(ENS)'!J24</f>
        <v>790</v>
      </c>
      <c r="K23" s="2475">
        <f>'T-7(ENS)'!K24</f>
        <v>0</v>
      </c>
      <c r="L23" s="2475">
        <f>'T-7(ENS)'!L24</f>
        <v>0</v>
      </c>
      <c r="M23" s="2475">
        <f>'T-7(ENS)'!M24</f>
        <v>0</v>
      </c>
      <c r="N23" s="2475">
        <f>'T-7(ENS)'!N24</f>
        <v>0</v>
      </c>
      <c r="O23" s="2475">
        <f>'T-7(ENS)'!O24</f>
        <v>0</v>
      </c>
      <c r="P23" s="2474">
        <f>'T-7(ENS)'!P24</f>
        <v>0</v>
      </c>
      <c r="Q23" s="2475">
        <f>'T-7(ENS)'!Q24</f>
        <v>0</v>
      </c>
      <c r="R23" s="2475">
        <f>'T-7(ENS)'!R24</f>
        <v>111.4820892992479</v>
      </c>
      <c r="S23" s="2475">
        <f>'T-7(ENS)'!S24</f>
        <v>0</v>
      </c>
      <c r="T23" s="2475">
        <f>'T-7(ENS)'!T24</f>
        <v>0</v>
      </c>
      <c r="U23" s="2475">
        <f>'T-7(ENS)'!U24</f>
        <v>111.4820892992479</v>
      </c>
      <c r="V23" s="2475">
        <f>'T-7(ENS)'!V24</f>
        <v>0.1</v>
      </c>
      <c r="W23" s="2475">
        <f>'T-7(ENS)'!W24</f>
        <v>0</v>
      </c>
      <c r="X23" s="2475">
        <f>'T-7(ENS)'!X24</f>
        <v>98.78159811325763</v>
      </c>
      <c r="Y23" s="2475">
        <f>'T-7(ENS)'!Y24</f>
        <v>0.98781598113257629</v>
      </c>
      <c r="Z23" s="2475">
        <f>'T-7(ENS)'!Z24</f>
        <v>0</v>
      </c>
      <c r="AA23" s="2475">
        <f>'T-7(ENS)'!AA24</f>
        <v>0</v>
      </c>
      <c r="AB23" s="2474">
        <f t="shared" si="0"/>
        <v>0</v>
      </c>
      <c r="AC23" s="2474">
        <f t="shared" si="0"/>
        <v>790</v>
      </c>
      <c r="AD23" s="2474">
        <f t="shared" si="0"/>
        <v>0</v>
      </c>
      <c r="AE23" s="2475">
        <f t="shared" si="0"/>
        <v>0</v>
      </c>
      <c r="AF23" s="2475">
        <f t="shared" si="0"/>
        <v>0</v>
      </c>
      <c r="AG23" s="2475">
        <f t="shared" si="0"/>
        <v>0</v>
      </c>
      <c r="AH23" s="2475">
        <f t="shared" si="0"/>
        <v>0</v>
      </c>
      <c r="AI23" s="2475">
        <f t="shared" si="0"/>
        <v>0</v>
      </c>
      <c r="AJ23" s="2475">
        <f t="shared" si="0"/>
        <v>0</v>
      </c>
      <c r="AK23" s="2475">
        <f t="shared" si="0"/>
        <v>111.4820892992479</v>
      </c>
      <c r="AL23" s="2475">
        <f t="shared" si="2"/>
        <v>0</v>
      </c>
      <c r="AM23" s="2475">
        <f t="shared" si="3"/>
        <v>0</v>
      </c>
      <c r="AN23" s="2475">
        <f t="shared" si="1"/>
        <v>111.4820892992479</v>
      </c>
      <c r="AO23" s="2475">
        <f t="shared" si="1"/>
        <v>0.1</v>
      </c>
      <c r="AP23" s="2475">
        <f t="shared" si="1"/>
        <v>0</v>
      </c>
      <c r="AQ23" s="2475">
        <f t="shared" si="1"/>
        <v>98.78159811325763</v>
      </c>
      <c r="AR23" s="2475">
        <f t="shared" si="1"/>
        <v>0.98781598113257629</v>
      </c>
      <c r="AS23" s="2475">
        <f t="shared" si="1"/>
        <v>0</v>
      </c>
      <c r="AT23" s="2475">
        <f t="shared" si="1"/>
        <v>0</v>
      </c>
      <c r="AU23" s="2475">
        <f t="shared" si="4"/>
        <v>0</v>
      </c>
      <c r="AV23" s="2475">
        <f t="shared" si="5"/>
        <v>0</v>
      </c>
      <c r="AW23" s="2476">
        <f t="shared" si="6"/>
        <v>0</v>
      </c>
      <c r="AX23" s="2476">
        <f t="shared" si="6"/>
        <v>0</v>
      </c>
      <c r="AY23" s="2478"/>
      <c r="AZ23" s="2477"/>
      <c r="BA23" s="2477"/>
      <c r="BB23" s="2478"/>
      <c r="BC23" s="2478"/>
      <c r="BD23" s="2478"/>
      <c r="BE23" s="2478"/>
      <c r="BF23" s="2478"/>
      <c r="BG23" s="2478"/>
      <c r="BH23" s="2502"/>
    </row>
    <row r="24" spans="1:60" ht="15" customHeight="1">
      <c r="A24" s="2500"/>
      <c r="B24" s="1021"/>
      <c r="C24" s="2465" t="s">
        <v>1327</v>
      </c>
      <c r="D24" s="2480">
        <f>'T-7(ENS)'!D25</f>
        <v>305.00058142281785</v>
      </c>
      <c r="E24" s="2473">
        <f>'T-7(ENS)'!E25</f>
        <v>0</v>
      </c>
      <c r="F24" s="2481">
        <f>'T-7(ENS)'!F25</f>
        <v>101933</v>
      </c>
      <c r="G24" s="2481">
        <f>'T-7(ENS)'!G25</f>
        <v>308648.23920000007</v>
      </c>
      <c r="H24" s="2481">
        <f>'T-7(ENS)'!H25</f>
        <v>216447.23920000007</v>
      </c>
      <c r="I24" s="2481">
        <f>'T-7(ENS)'!I25</f>
        <v>0</v>
      </c>
      <c r="J24" s="2481">
        <f>'T-7(ENS)'!J25</f>
        <v>0</v>
      </c>
      <c r="K24" s="2482">
        <f>'T-7(ENS)'!K25</f>
        <v>0</v>
      </c>
      <c r="L24" s="2482">
        <f>'T-7(ENS)'!L25</f>
        <v>30</v>
      </c>
      <c r="M24" s="2482">
        <f>'T-7(ENS)'!M25</f>
        <v>30</v>
      </c>
      <c r="N24" s="2482">
        <f>'T-7(ENS)'!N25</f>
        <v>0</v>
      </c>
      <c r="O24" s="2482">
        <f>'T-7(ENS)'!O25</f>
        <v>0</v>
      </c>
      <c r="P24" s="2481">
        <f>'T-7(ENS)'!P25</f>
        <v>750.89245833855307</v>
      </c>
      <c r="Q24" s="2482">
        <f>'T-7(ENS)'!Q25</f>
        <v>0</v>
      </c>
      <c r="R24" s="2482">
        <f>'T-7(ENS)'!R25</f>
        <v>217.56094776806773</v>
      </c>
      <c r="S24" s="2482">
        <f>'T-7(ENS)'!S25</f>
        <v>11.461688611200003</v>
      </c>
      <c r="T24" s="2482">
        <f>'T-7(ENS)'!T25</f>
        <v>0</v>
      </c>
      <c r="U24" s="2482">
        <f>'T-7(ENS)'!U25</f>
        <v>229.02263637926774</v>
      </c>
      <c r="V24" s="2482">
        <f>'T-7(ENS)'!V25</f>
        <v>0.1</v>
      </c>
      <c r="W24" s="2482">
        <f>'T-7(ENS)'!W25</f>
        <v>743.89245833855307</v>
      </c>
      <c r="X24" s="2482">
        <f>'T-7(ENS)'!X25</f>
        <v>213.50040699597247</v>
      </c>
      <c r="Y24" s="2482">
        <f>'T-7(ENS)'!Y25</f>
        <v>2.1350040699597246</v>
      </c>
      <c r="Z24" s="2482">
        <f>'T-7(ENS)'!Z25</f>
        <v>0</v>
      </c>
      <c r="AA24" s="2482">
        <f>'T-7(ENS)'!AA25</f>
        <v>226.887632309308</v>
      </c>
      <c r="AB24" s="2474">
        <f t="shared" si="0"/>
        <v>0</v>
      </c>
      <c r="AC24" s="2474">
        <f t="shared" si="0"/>
        <v>0</v>
      </c>
      <c r="AD24" s="2474">
        <f t="shared" si="0"/>
        <v>0</v>
      </c>
      <c r="AE24" s="2475">
        <f t="shared" si="0"/>
        <v>30</v>
      </c>
      <c r="AF24" s="2475">
        <f t="shared" si="0"/>
        <v>30</v>
      </c>
      <c r="AG24" s="2475">
        <f t="shared" si="0"/>
        <v>0</v>
      </c>
      <c r="AH24" s="2475">
        <f t="shared" si="0"/>
        <v>0</v>
      </c>
      <c r="AI24" s="2475">
        <f t="shared" si="0"/>
        <v>750.89245833855307</v>
      </c>
      <c r="AJ24" s="2475">
        <f t="shared" si="0"/>
        <v>0</v>
      </c>
      <c r="AK24" s="2475">
        <f t="shared" si="0"/>
        <v>217.56094776806773</v>
      </c>
      <c r="AL24" s="2475">
        <f t="shared" si="2"/>
        <v>11.461688611200003</v>
      </c>
      <c r="AM24" s="2475">
        <f t="shared" si="3"/>
        <v>0</v>
      </c>
      <c r="AN24" s="2475">
        <f t="shared" si="1"/>
        <v>229.02263637926774</v>
      </c>
      <c r="AO24" s="2475">
        <f t="shared" si="1"/>
        <v>0.1</v>
      </c>
      <c r="AP24" s="2475">
        <f t="shared" si="1"/>
        <v>743.89245833855307</v>
      </c>
      <c r="AQ24" s="2475">
        <f t="shared" si="1"/>
        <v>213.50040699597247</v>
      </c>
      <c r="AR24" s="2475">
        <f t="shared" si="1"/>
        <v>2.1350040699597246</v>
      </c>
      <c r="AS24" s="2475">
        <f t="shared" si="1"/>
        <v>0</v>
      </c>
      <c r="AT24" s="2475">
        <f t="shared" si="1"/>
        <v>226.887632309308</v>
      </c>
      <c r="AU24" s="2475">
        <f t="shared" si="4"/>
        <v>226.887632309308</v>
      </c>
      <c r="AV24" s="2475">
        <f t="shared" si="5"/>
        <v>0</v>
      </c>
      <c r="AW24" s="2476">
        <f t="shared" si="6"/>
        <v>0</v>
      </c>
      <c r="AX24" s="2476">
        <f t="shared" si="6"/>
        <v>0</v>
      </c>
      <c r="AY24" s="2478"/>
      <c r="AZ24" s="2477">
        <f>'T-7(ENS)'!AB25</f>
        <v>0.9470000942651754</v>
      </c>
      <c r="BA24" s="2477">
        <f t="shared" ref="BA24:BA36" si="7">AZ24</f>
        <v>0.9470000942651754</v>
      </c>
      <c r="BB24" s="2478"/>
      <c r="BC24" s="2478"/>
      <c r="BD24" s="2478"/>
      <c r="BE24" s="2478"/>
      <c r="BF24" s="2478">
        <f t="shared" ref="BF24:BF36" si="8">D24*$G$67/1000</f>
        <v>239.58570369682877</v>
      </c>
      <c r="BG24" s="2478">
        <f t="shared" ref="BG24:BG36" si="9">BF24*$D$71-AT24</f>
        <v>-24.195660540861752</v>
      </c>
      <c r="BH24" s="2502">
        <f t="shared" ref="BH24:BH36" si="10">BG24/D24*10</f>
        <v>-0.79329883333303097</v>
      </c>
    </row>
    <row r="25" spans="1:60" ht="15" customHeight="1">
      <c r="A25" s="2500">
        <v>3</v>
      </c>
      <c r="B25" s="1021" t="s">
        <v>4085</v>
      </c>
      <c r="C25" s="1024" t="s">
        <v>1496</v>
      </c>
      <c r="D25" s="2473">
        <f>'T-7(ENS)'!D26</f>
        <v>121.50265799877999</v>
      </c>
      <c r="E25" s="2473">
        <f>'T-7(ENS)'!E26</f>
        <v>0</v>
      </c>
      <c r="F25" s="2474">
        <f>'T-7(ENS)'!F26</f>
        <v>32905</v>
      </c>
      <c r="G25" s="2474">
        <f>'T-7(ENS)'!G26</f>
        <v>141558</v>
      </c>
      <c r="H25" s="2474">
        <f>'T-7(ENS)'!H26</f>
        <v>108653</v>
      </c>
      <c r="I25" s="2474">
        <f>'T-7(ENS)'!I26</f>
        <v>0</v>
      </c>
      <c r="J25" s="2474">
        <f>'T-7(ENS)'!J26</f>
        <v>150</v>
      </c>
      <c r="K25" s="2475">
        <f>'T-7(ENS)'!K26</f>
        <v>0</v>
      </c>
      <c r="L25" s="2475">
        <f>'T-7(ENS)'!L26</f>
        <v>20</v>
      </c>
      <c r="M25" s="2475">
        <f>'T-7(ENS)'!M26</f>
        <v>10</v>
      </c>
      <c r="N25" s="2475">
        <f>'T-7(ENS)'!N26</f>
        <v>0</v>
      </c>
      <c r="O25" s="2475">
        <f>'T-7(ENS)'!O26</f>
        <v>0</v>
      </c>
      <c r="P25" s="2474">
        <f>'T-7(ENS)'!P26</f>
        <v>167.23053663584068</v>
      </c>
      <c r="Q25" s="2475">
        <f>'T-7(ENS)'!Q26</f>
        <v>0</v>
      </c>
      <c r="R25" s="2475">
        <f>'T-7(ENS)'!R26</f>
        <v>18.225398699816999</v>
      </c>
      <c r="S25" s="2475">
        <f>'T-7(ENS)'!S26</f>
        <v>2.093556</v>
      </c>
      <c r="T25" s="2475">
        <f>'T-7(ENS)'!T26</f>
        <v>0</v>
      </c>
      <c r="U25" s="2475">
        <f>'T-7(ENS)'!U26</f>
        <v>20.318954699816999</v>
      </c>
      <c r="V25" s="2475">
        <f>'T-7(ENS)'!V26</f>
        <v>0.1</v>
      </c>
      <c r="W25" s="2475">
        <f>'T-7(ENS)'!W26</f>
        <v>161.23053663584071</v>
      </c>
      <c r="X25" s="2475">
        <f>'T-7(ENS)'!X26</f>
        <v>72.901594799267997</v>
      </c>
      <c r="Y25" s="2475">
        <f>'T-7(ENS)'!Y26</f>
        <v>0.72901594799267999</v>
      </c>
      <c r="Z25" s="2475">
        <f>'T-7(ENS)'!Z26</f>
        <v>0</v>
      </c>
      <c r="AA25" s="2475">
        <f>'T-7(ENS)'!AA26</f>
        <v>19.58993875182432</v>
      </c>
      <c r="AB25" s="2474">
        <f t="shared" si="0"/>
        <v>0</v>
      </c>
      <c r="AC25" s="2474">
        <f t="shared" si="0"/>
        <v>150</v>
      </c>
      <c r="AD25" s="2474">
        <f t="shared" si="0"/>
        <v>0</v>
      </c>
      <c r="AE25" s="2475">
        <f t="shared" si="0"/>
        <v>20</v>
      </c>
      <c r="AF25" s="2475">
        <f t="shared" si="0"/>
        <v>10</v>
      </c>
      <c r="AG25" s="2475">
        <f t="shared" si="0"/>
        <v>0</v>
      </c>
      <c r="AH25" s="2475">
        <f t="shared" si="0"/>
        <v>0</v>
      </c>
      <c r="AI25" s="2475">
        <f t="shared" si="0"/>
        <v>167.23053663584068</v>
      </c>
      <c r="AJ25" s="2475">
        <f t="shared" si="0"/>
        <v>0</v>
      </c>
      <c r="AK25" s="2475">
        <f t="shared" si="0"/>
        <v>18.225398699816999</v>
      </c>
      <c r="AL25" s="2475">
        <f t="shared" si="2"/>
        <v>2.093556</v>
      </c>
      <c r="AM25" s="2475">
        <f t="shared" si="3"/>
        <v>0</v>
      </c>
      <c r="AN25" s="2475">
        <f t="shared" si="1"/>
        <v>20.318954699816999</v>
      </c>
      <c r="AO25" s="2475">
        <f t="shared" si="1"/>
        <v>0.1</v>
      </c>
      <c r="AP25" s="2475">
        <f t="shared" si="1"/>
        <v>161.23053663584071</v>
      </c>
      <c r="AQ25" s="2475">
        <f t="shared" si="1"/>
        <v>72.901594799267997</v>
      </c>
      <c r="AR25" s="2475">
        <f t="shared" si="1"/>
        <v>0.72901594799267999</v>
      </c>
      <c r="AS25" s="2475">
        <f t="shared" si="1"/>
        <v>0</v>
      </c>
      <c r="AT25" s="2475">
        <f t="shared" si="1"/>
        <v>19.58993875182432</v>
      </c>
      <c r="AU25" s="2475">
        <f t="shared" si="4"/>
        <v>19.58993875182432</v>
      </c>
      <c r="AV25" s="2475">
        <f t="shared" si="5"/>
        <v>0</v>
      </c>
      <c r="AW25" s="2476">
        <f t="shared" si="6"/>
        <v>0</v>
      </c>
      <c r="AX25" s="2476">
        <f t="shared" si="6"/>
        <v>0</v>
      </c>
      <c r="AY25" s="2478"/>
      <c r="AZ25" s="2477">
        <f>'T-7(ENS)'!AB26</f>
        <v>0.20525189048640322</v>
      </c>
      <c r="BA25" s="2477">
        <f t="shared" si="7"/>
        <v>0.20525189048640322</v>
      </c>
      <c r="BB25" s="2478"/>
      <c r="BC25" s="2478"/>
      <c r="BD25" s="2478"/>
      <c r="BE25" s="2478"/>
      <c r="BF25" s="2478">
        <f t="shared" si="8"/>
        <v>95.443424015371448</v>
      </c>
      <c r="BG25" s="2478">
        <f t="shared" si="9"/>
        <v>61.156180517827153</v>
      </c>
      <c r="BH25" s="2502">
        <f t="shared" si="10"/>
        <v>5.0333203836940932</v>
      </c>
    </row>
    <row r="26" spans="1:60" ht="15" customHeight="1">
      <c r="A26" s="2500">
        <f>A25+1</f>
        <v>4</v>
      </c>
      <c r="B26" s="1021" t="s">
        <v>4086</v>
      </c>
      <c r="C26" s="1024" t="s">
        <v>1496</v>
      </c>
      <c r="D26" s="2473">
        <f>'T-7(ENS)'!D27</f>
        <v>20.88849382415</v>
      </c>
      <c r="E26" s="2473">
        <f>'T-7(ENS)'!E27</f>
        <v>0</v>
      </c>
      <c r="F26" s="2474">
        <f>'T-7(ENS)'!F27</f>
        <v>1134</v>
      </c>
      <c r="G26" s="2474">
        <f>'T-7(ENS)'!G27</f>
        <v>6369</v>
      </c>
      <c r="H26" s="2474">
        <f>'T-7(ENS)'!H27</f>
        <v>5235</v>
      </c>
      <c r="I26" s="2474">
        <f>'T-7(ENS)'!I27</f>
        <v>0</v>
      </c>
      <c r="J26" s="2474">
        <f>'T-7(ENS)'!J27</f>
        <v>160</v>
      </c>
      <c r="K26" s="2475">
        <f>'T-7(ENS)'!K27</f>
        <v>0</v>
      </c>
      <c r="L26" s="2475">
        <f>'T-7(ENS)'!L27</f>
        <v>20</v>
      </c>
      <c r="M26" s="2475">
        <f>'T-7(ENS)'!M27</f>
        <v>10</v>
      </c>
      <c r="N26" s="2475">
        <f>'T-7(ENS)'!N27</f>
        <v>0</v>
      </c>
      <c r="O26" s="2475">
        <f>'T-7(ENS)'!O27</f>
        <v>0</v>
      </c>
      <c r="P26" s="2474">
        <f>'T-7(ENS)'!P27</f>
        <v>164.31031556214484</v>
      </c>
      <c r="Q26" s="2475">
        <f>'T-7(ENS)'!Q27</f>
        <v>0</v>
      </c>
      <c r="R26" s="2475">
        <f>'T-7(ENS)'!R27</f>
        <v>3.3421590118640001</v>
      </c>
      <c r="S26" s="2475">
        <f>'T-7(ENS)'!S27</f>
        <v>9.0036000000000005E-2</v>
      </c>
      <c r="T26" s="2475">
        <f>'T-7(ENS)'!T27</f>
        <v>0</v>
      </c>
      <c r="U26" s="2475">
        <f>'T-7(ENS)'!U27</f>
        <v>3.4321950118640001</v>
      </c>
      <c r="V26" s="2475">
        <f>'T-7(ENS)'!V27</f>
        <v>0.1</v>
      </c>
      <c r="W26" s="2475">
        <f>'T-7(ENS)'!W27</f>
        <v>158.31031556214484</v>
      </c>
      <c r="X26" s="2475">
        <f>'T-7(ENS)'!X27</f>
        <v>12.533096294489999</v>
      </c>
      <c r="Y26" s="2475">
        <f>'T-7(ENS)'!Y27</f>
        <v>0.12533096294489998</v>
      </c>
      <c r="Z26" s="2475">
        <f>'T-7(ENS)'!Z27</f>
        <v>0</v>
      </c>
      <c r="AA26" s="2475">
        <f>'T-7(ENS)'!AA27</f>
        <v>3.3068640489190999</v>
      </c>
      <c r="AB26" s="2474">
        <f t="shared" si="0"/>
        <v>0</v>
      </c>
      <c r="AC26" s="2474">
        <f t="shared" si="0"/>
        <v>160</v>
      </c>
      <c r="AD26" s="2474">
        <f t="shared" si="0"/>
        <v>0</v>
      </c>
      <c r="AE26" s="2475">
        <f t="shared" si="0"/>
        <v>20</v>
      </c>
      <c r="AF26" s="2475">
        <f t="shared" si="0"/>
        <v>10</v>
      </c>
      <c r="AG26" s="2475">
        <f t="shared" si="0"/>
        <v>0</v>
      </c>
      <c r="AH26" s="2475">
        <f t="shared" si="0"/>
        <v>0</v>
      </c>
      <c r="AI26" s="2475">
        <f t="shared" si="0"/>
        <v>164.31031556214484</v>
      </c>
      <c r="AJ26" s="2475">
        <f t="shared" si="0"/>
        <v>0</v>
      </c>
      <c r="AK26" s="2475">
        <f t="shared" si="0"/>
        <v>3.3421590118640001</v>
      </c>
      <c r="AL26" s="2475">
        <f t="shared" si="2"/>
        <v>9.0036000000000005E-2</v>
      </c>
      <c r="AM26" s="2475">
        <f t="shared" si="3"/>
        <v>0</v>
      </c>
      <c r="AN26" s="2475">
        <f t="shared" si="1"/>
        <v>3.4321950118640001</v>
      </c>
      <c r="AO26" s="2475">
        <f t="shared" si="1"/>
        <v>0.1</v>
      </c>
      <c r="AP26" s="2475">
        <f t="shared" si="1"/>
        <v>158.31031556214484</v>
      </c>
      <c r="AQ26" s="2475">
        <f t="shared" si="1"/>
        <v>12.533096294489999</v>
      </c>
      <c r="AR26" s="2475">
        <f t="shared" si="1"/>
        <v>0.12533096294489998</v>
      </c>
      <c r="AS26" s="2475">
        <f t="shared" si="1"/>
        <v>0</v>
      </c>
      <c r="AT26" s="2475">
        <f t="shared" si="1"/>
        <v>3.3068640489190999</v>
      </c>
      <c r="AU26" s="2475">
        <f t="shared" si="4"/>
        <v>3.3068640489190999</v>
      </c>
      <c r="AV26" s="2475">
        <f t="shared" si="5"/>
        <v>0</v>
      </c>
      <c r="AW26" s="2476">
        <f t="shared" si="6"/>
        <v>0</v>
      </c>
      <c r="AX26" s="2476">
        <f t="shared" si="6"/>
        <v>0</v>
      </c>
      <c r="AY26" s="2478"/>
      <c r="AZ26" s="2477">
        <f>'T-7(ENS)'!AB27</f>
        <v>0.20153435094010694</v>
      </c>
      <c r="BA26" s="2477">
        <f t="shared" si="7"/>
        <v>0.20153435094010694</v>
      </c>
      <c r="BB26" s="2478"/>
      <c r="BC26" s="2478"/>
      <c r="BD26" s="2478"/>
      <c r="BE26" s="2478"/>
      <c r="BF26" s="2478">
        <f t="shared" si="8"/>
        <v>16.408442464862247</v>
      </c>
      <c r="BG26" s="2478">
        <f t="shared" si="9"/>
        <v>10.574847194839286</v>
      </c>
      <c r="BH26" s="2502">
        <f t="shared" si="10"/>
        <v>5.0625225944310515</v>
      </c>
    </row>
    <row r="27" spans="1:60" ht="15" customHeight="1">
      <c r="A27" s="2500">
        <f t="shared" ref="A27:A35" si="11">A26+1</f>
        <v>5</v>
      </c>
      <c r="B27" s="1021" t="s">
        <v>4087</v>
      </c>
      <c r="C27" s="1024" t="s">
        <v>1496</v>
      </c>
      <c r="D27" s="2473">
        <f>'T-7(ENS)'!D28</f>
        <v>1.7956377379999999</v>
      </c>
      <c r="E27" s="2473">
        <f>'T-7(ENS)'!E28</f>
        <v>0</v>
      </c>
      <c r="F27" s="2474">
        <f>'T-7(ENS)'!F28</f>
        <v>72</v>
      </c>
      <c r="G27" s="2474">
        <f>'T-7(ENS)'!G28</f>
        <v>770</v>
      </c>
      <c r="H27" s="2474">
        <f>'T-7(ENS)'!H28</f>
        <v>698</v>
      </c>
      <c r="I27" s="2474">
        <f>'T-7(ENS)'!I28</f>
        <v>0</v>
      </c>
      <c r="J27" s="2474">
        <f>'T-7(ENS)'!J28</f>
        <v>770</v>
      </c>
      <c r="K27" s="2475">
        <f>'T-7(ENS)'!K28</f>
        <v>0</v>
      </c>
      <c r="L27" s="2475">
        <f>'T-7(ENS)'!L28</f>
        <v>80</v>
      </c>
      <c r="M27" s="2475">
        <f>'T-7(ENS)'!M28</f>
        <v>50</v>
      </c>
      <c r="N27" s="2475">
        <f>'T-7(ENS)'!N28</f>
        <v>0</v>
      </c>
      <c r="O27" s="2475">
        <f>'T-7(ENS)'!O28</f>
        <v>0</v>
      </c>
      <c r="P27" s="2474">
        <f>'T-7(ENS)'!P28</f>
        <v>797.17251869207485</v>
      </c>
      <c r="Q27" s="2475">
        <f>'T-7(ENS)'!Q28</f>
        <v>0</v>
      </c>
      <c r="R27" s="2475">
        <f>'T-7(ENS)'!R28</f>
        <v>1.3826410582599999</v>
      </c>
      <c r="S27" s="2475">
        <f>'T-7(ENS)'!S28</f>
        <v>4.8792000000000002E-2</v>
      </c>
      <c r="T27" s="2475">
        <f>'T-7(ENS)'!T28</f>
        <v>0</v>
      </c>
      <c r="U27" s="2475">
        <f>'T-7(ENS)'!U28</f>
        <v>1.4314330582599999</v>
      </c>
      <c r="V27" s="2475">
        <f>'T-7(ENS)'!V28</f>
        <v>0.1</v>
      </c>
      <c r="W27" s="2475">
        <f>'T-7(ENS)'!W28</f>
        <v>791.17251869207485</v>
      </c>
      <c r="X27" s="2475">
        <f>'T-7(ENS)'!X28</f>
        <v>1.0773826428</v>
      </c>
      <c r="Y27" s="2475">
        <f>'T-7(ENS)'!Y28</f>
        <v>1.0773826428E-2</v>
      </c>
      <c r="Z27" s="2475">
        <f>'T-7(ENS)'!Z28</f>
        <v>0</v>
      </c>
      <c r="AA27" s="2475">
        <f>'T-7(ENS)'!AA28</f>
        <v>1.4206592318319999</v>
      </c>
      <c r="AB27" s="2474">
        <f t="shared" si="0"/>
        <v>0</v>
      </c>
      <c r="AC27" s="2474">
        <f t="shared" si="0"/>
        <v>770</v>
      </c>
      <c r="AD27" s="2474">
        <f t="shared" si="0"/>
        <v>0</v>
      </c>
      <c r="AE27" s="2475">
        <f t="shared" si="0"/>
        <v>80</v>
      </c>
      <c r="AF27" s="2475">
        <f t="shared" si="0"/>
        <v>50</v>
      </c>
      <c r="AG27" s="2475">
        <f t="shared" si="0"/>
        <v>0</v>
      </c>
      <c r="AH27" s="2475">
        <f t="shared" si="0"/>
        <v>0</v>
      </c>
      <c r="AI27" s="2475">
        <f t="shared" si="0"/>
        <v>797.17251869207485</v>
      </c>
      <c r="AJ27" s="2475">
        <f t="shared" si="0"/>
        <v>0</v>
      </c>
      <c r="AK27" s="2475">
        <f t="shared" si="0"/>
        <v>1.3826410582599999</v>
      </c>
      <c r="AL27" s="2475">
        <f t="shared" si="2"/>
        <v>4.8792000000000002E-2</v>
      </c>
      <c r="AM27" s="2475">
        <f t="shared" si="3"/>
        <v>0</v>
      </c>
      <c r="AN27" s="2475">
        <f t="shared" si="1"/>
        <v>1.4314330582599999</v>
      </c>
      <c r="AO27" s="2475">
        <f t="shared" si="1"/>
        <v>0.1</v>
      </c>
      <c r="AP27" s="2475">
        <f t="shared" si="1"/>
        <v>791.17251869207485</v>
      </c>
      <c r="AQ27" s="2475">
        <f t="shared" si="1"/>
        <v>1.0773826428</v>
      </c>
      <c r="AR27" s="2475">
        <f t="shared" si="1"/>
        <v>1.0773826428E-2</v>
      </c>
      <c r="AS27" s="2475">
        <f t="shared" si="1"/>
        <v>0</v>
      </c>
      <c r="AT27" s="2475">
        <f t="shared" si="1"/>
        <v>1.4206592318319999</v>
      </c>
      <c r="AU27" s="2475">
        <f t="shared" si="4"/>
        <v>1.4206592318319999</v>
      </c>
      <c r="AV27" s="2475">
        <f t="shared" si="5"/>
        <v>0</v>
      </c>
      <c r="AW27" s="2476">
        <f t="shared" si="6"/>
        <v>0</v>
      </c>
      <c r="AX27" s="2476">
        <f t="shared" si="6"/>
        <v>0</v>
      </c>
      <c r="AY27" s="2478"/>
      <c r="AZ27" s="2477">
        <f>'T-7(ENS)'!AB28</f>
        <v>1.0071891997061007</v>
      </c>
      <c r="BA27" s="2477">
        <f t="shared" si="7"/>
        <v>1.0071891997061007</v>
      </c>
      <c r="BB27" s="2478"/>
      <c r="BC27" s="2478"/>
      <c r="BD27" s="2478"/>
      <c r="BE27" s="2478"/>
      <c r="BF27" s="2478">
        <f t="shared" si="8"/>
        <v>1.4105190522470485</v>
      </c>
      <c r="BG27" s="2478">
        <f t="shared" si="9"/>
        <v>-0.22734559289011758</v>
      </c>
      <c r="BH27" s="2502">
        <f t="shared" si="10"/>
        <v>-1.2660994368682488</v>
      </c>
    </row>
    <row r="28" spans="1:60" ht="15" customHeight="1">
      <c r="A28" s="2500">
        <f t="shared" si="11"/>
        <v>6</v>
      </c>
      <c r="B28" s="1021" t="s">
        <v>539</v>
      </c>
      <c r="C28" s="1024" t="s">
        <v>1496</v>
      </c>
      <c r="D28" s="2473">
        <f>'T-7(ENS)'!D29</f>
        <v>34.678076047899999</v>
      </c>
      <c r="E28" s="2473">
        <f>'T-7(ENS)'!E29</f>
        <v>0</v>
      </c>
      <c r="F28" s="2474">
        <f>'T-7(ENS)'!F29</f>
        <v>6236</v>
      </c>
      <c r="G28" s="2474">
        <f>'T-7(ENS)'!G29</f>
        <v>15157</v>
      </c>
      <c r="H28" s="2474">
        <f>'T-7(ENS)'!H29</f>
        <v>8921</v>
      </c>
      <c r="I28" s="2474">
        <f>'T-7(ENS)'!I29</f>
        <v>0</v>
      </c>
      <c r="J28" s="2474">
        <f>'T-7(ENS)'!J29</f>
        <v>620</v>
      </c>
      <c r="K28" s="2475">
        <f>'T-7(ENS)'!K29</f>
        <v>0</v>
      </c>
      <c r="L28" s="2475">
        <f>'T-7(ENS)'!L29</f>
        <v>20</v>
      </c>
      <c r="M28" s="2475">
        <f>'T-7(ENS)'!M29</f>
        <v>15</v>
      </c>
      <c r="N28" s="2475">
        <f>'T-7(ENS)'!N29</f>
        <v>0</v>
      </c>
      <c r="O28" s="2475">
        <f>'T-7(ENS)'!O29</f>
        <v>0</v>
      </c>
      <c r="P28" s="2474">
        <f>'T-7(ENS)'!P29</f>
        <v>628.94634406970761</v>
      </c>
      <c r="Q28" s="2475">
        <f>'T-7(ENS)'!Q29</f>
        <v>0</v>
      </c>
      <c r="R28" s="2475">
        <f>'T-7(ENS)'!R29</f>
        <v>21.500407149697999</v>
      </c>
      <c r="S28" s="2475">
        <f>'T-7(ENS)'!S29</f>
        <v>0.31024200000000002</v>
      </c>
      <c r="T28" s="2475">
        <f>'T-7(ENS)'!T29</f>
        <v>0</v>
      </c>
      <c r="U28" s="2475">
        <f>'T-7(ENS)'!U29</f>
        <v>21.810649149697998</v>
      </c>
      <c r="V28" s="2475">
        <f>'T-7(ENS)'!V29</f>
        <v>0</v>
      </c>
      <c r="W28" s="2475">
        <f>'T-7(ENS)'!W29</f>
        <v>625.17266600528933</v>
      </c>
      <c r="X28" s="2475">
        <f>'T-7(ENS)'!X29</f>
        <v>0</v>
      </c>
      <c r="Y28" s="2475">
        <f>'T-7(ENS)'!Y29</f>
        <v>0</v>
      </c>
      <c r="Z28" s="2475">
        <f>'T-7(ENS)'!Z29</f>
        <v>0.13086389489818798</v>
      </c>
      <c r="AA28" s="2475">
        <f>'T-7(ENS)'!AA29</f>
        <v>21.67978525479981</v>
      </c>
      <c r="AB28" s="2474">
        <f t="shared" ref="AB28:AJ56" si="12">I28</f>
        <v>0</v>
      </c>
      <c r="AC28" s="2474">
        <f t="shared" si="12"/>
        <v>620</v>
      </c>
      <c r="AD28" s="2474">
        <f t="shared" si="12"/>
        <v>0</v>
      </c>
      <c r="AE28" s="2475">
        <f t="shared" si="12"/>
        <v>20</v>
      </c>
      <c r="AF28" s="2475">
        <f t="shared" si="12"/>
        <v>15</v>
      </c>
      <c r="AG28" s="2475">
        <f t="shared" si="12"/>
        <v>0</v>
      </c>
      <c r="AH28" s="2475">
        <f t="shared" si="12"/>
        <v>0</v>
      </c>
      <c r="AI28" s="2475">
        <f t="shared" si="12"/>
        <v>628.94634406970761</v>
      </c>
      <c r="AJ28" s="2475">
        <f t="shared" si="12"/>
        <v>0</v>
      </c>
      <c r="AK28" s="2475">
        <f t="shared" ref="AK28:AK64" si="13">R28</f>
        <v>21.500407149697999</v>
      </c>
      <c r="AL28" s="2475">
        <f t="shared" si="2"/>
        <v>0.31024200000000002</v>
      </c>
      <c r="AM28" s="2475">
        <f t="shared" si="3"/>
        <v>0</v>
      </c>
      <c r="AN28" s="2475">
        <f t="shared" ref="AN28:AT64" si="14">U28</f>
        <v>21.810649149697998</v>
      </c>
      <c r="AO28" s="2475">
        <f t="shared" si="14"/>
        <v>0</v>
      </c>
      <c r="AP28" s="2475">
        <f t="shared" si="14"/>
        <v>625.17266600528933</v>
      </c>
      <c r="AQ28" s="2475">
        <f t="shared" si="14"/>
        <v>0</v>
      </c>
      <c r="AR28" s="2475">
        <f t="shared" si="14"/>
        <v>0</v>
      </c>
      <c r="AS28" s="2475">
        <f t="shared" si="14"/>
        <v>0.13086389489818798</v>
      </c>
      <c r="AT28" s="2475">
        <f t="shared" si="14"/>
        <v>21.67978525479981</v>
      </c>
      <c r="AU28" s="2475">
        <f t="shared" si="4"/>
        <v>21.67978525479981</v>
      </c>
      <c r="AV28" s="2475">
        <f t="shared" si="5"/>
        <v>0</v>
      </c>
      <c r="AW28" s="2476">
        <f t="shared" si="6"/>
        <v>0</v>
      </c>
      <c r="AX28" s="2476">
        <f t="shared" si="6"/>
        <v>0</v>
      </c>
      <c r="AY28" s="2478"/>
      <c r="AZ28" s="2477">
        <f>'T-7(ENS)'!AB29</f>
        <v>0.79586580963773823</v>
      </c>
      <c r="BA28" s="2477">
        <f t="shared" si="7"/>
        <v>0.79586580963773823</v>
      </c>
      <c r="BB28" s="2478"/>
      <c r="BC28" s="2478"/>
      <c r="BD28" s="2478"/>
      <c r="BE28" s="2478"/>
      <c r="BF28" s="2478">
        <f t="shared" si="8"/>
        <v>27.240509555850618</v>
      </c>
      <c r="BG28" s="2478">
        <f t="shared" si="9"/>
        <v>1.365966259820496</v>
      </c>
      <c r="BH28" s="2502">
        <f t="shared" si="10"/>
        <v>0.39389908999960649</v>
      </c>
    </row>
    <row r="29" spans="1:60" ht="15" customHeight="1">
      <c r="A29" s="2500">
        <f t="shared" si="11"/>
        <v>7</v>
      </c>
      <c r="B29" s="1021" t="s">
        <v>4088</v>
      </c>
      <c r="C29" s="1024" t="s">
        <v>1496</v>
      </c>
      <c r="D29" s="2473">
        <f>'T-7(ENS)'!D30</f>
        <v>14.536469326299997</v>
      </c>
      <c r="E29" s="2473">
        <f>'T-7(ENS)'!E30</f>
        <v>0</v>
      </c>
      <c r="F29" s="2474">
        <f>'T-7(ENS)'!F30</f>
        <v>2685</v>
      </c>
      <c r="G29" s="2474">
        <f>'T-7(ENS)'!G30</f>
        <v>31145</v>
      </c>
      <c r="H29" s="2474">
        <f>'T-7(ENS)'!H30</f>
        <v>28460</v>
      </c>
      <c r="I29" s="2474">
        <f>'T-7(ENS)'!I30</f>
        <v>0</v>
      </c>
      <c r="J29" s="2474">
        <f>'T-7(ENS)'!J30</f>
        <v>620</v>
      </c>
      <c r="K29" s="2475">
        <f>'T-7(ENS)'!K30</f>
        <v>0</v>
      </c>
      <c r="L29" s="2475">
        <f>'T-7(ENS)'!L30</f>
        <v>80</v>
      </c>
      <c r="M29" s="2475">
        <f>'T-7(ENS)'!M30</f>
        <v>35</v>
      </c>
      <c r="N29" s="2475">
        <f>'T-7(ENS)'!N30</f>
        <v>0</v>
      </c>
      <c r="O29" s="2475">
        <f>'T-7(ENS)'!O30</f>
        <v>0</v>
      </c>
      <c r="P29" s="2474">
        <f>'T-7(ENS)'!P30</f>
        <v>714.96099928962974</v>
      </c>
      <c r="Q29" s="2475">
        <f>'T-7(ENS)'!Q30</f>
        <v>0</v>
      </c>
      <c r="R29" s="2475">
        <f>'T-7(ENS)'!R30</f>
        <v>8.9399286356744962</v>
      </c>
      <c r="S29" s="2475">
        <f>'T-7(ENS)'!S30</f>
        <v>1.4530799999999999</v>
      </c>
      <c r="T29" s="2475">
        <f>'T-7(ENS)'!T30</f>
        <v>0</v>
      </c>
      <c r="U29" s="2475">
        <f>'T-7(ENS)'!U30</f>
        <v>10.393008635674496</v>
      </c>
      <c r="V29" s="2475">
        <f>'T-7(ENS)'!V30</f>
        <v>0.1</v>
      </c>
      <c r="W29" s="2475">
        <f>'T-7(ENS)'!W30</f>
        <v>705.96099928962974</v>
      </c>
      <c r="X29" s="2475">
        <f>'T-7(ENS)'!X30</f>
        <v>13.082822393669998</v>
      </c>
      <c r="Y29" s="2475">
        <f>'T-7(ENS)'!Y30</f>
        <v>0.13082822393669999</v>
      </c>
      <c r="Z29" s="2475">
        <f>'T-7(ENS)'!Z30</f>
        <v>0</v>
      </c>
      <c r="AA29" s="2475">
        <f>'T-7(ENS)'!AA30</f>
        <v>10.262180411737797</v>
      </c>
      <c r="AB29" s="2474">
        <f t="shared" si="12"/>
        <v>0</v>
      </c>
      <c r="AC29" s="2474">
        <f t="shared" si="12"/>
        <v>620</v>
      </c>
      <c r="AD29" s="2474">
        <f t="shared" si="12"/>
        <v>0</v>
      </c>
      <c r="AE29" s="2475">
        <f t="shared" si="12"/>
        <v>80</v>
      </c>
      <c r="AF29" s="2475">
        <f t="shared" si="12"/>
        <v>35</v>
      </c>
      <c r="AG29" s="2475">
        <f t="shared" si="12"/>
        <v>0</v>
      </c>
      <c r="AH29" s="2475">
        <f t="shared" si="12"/>
        <v>0</v>
      </c>
      <c r="AI29" s="2475">
        <f t="shared" si="12"/>
        <v>714.96099928962974</v>
      </c>
      <c r="AJ29" s="2475">
        <f t="shared" si="12"/>
        <v>0</v>
      </c>
      <c r="AK29" s="2475">
        <f t="shared" si="13"/>
        <v>8.9399286356744962</v>
      </c>
      <c r="AL29" s="2475">
        <f t="shared" si="2"/>
        <v>1.4530799999999999</v>
      </c>
      <c r="AM29" s="2475">
        <f t="shared" si="3"/>
        <v>0</v>
      </c>
      <c r="AN29" s="2475">
        <f t="shared" si="14"/>
        <v>10.393008635674496</v>
      </c>
      <c r="AO29" s="2475">
        <f t="shared" si="14"/>
        <v>0.1</v>
      </c>
      <c r="AP29" s="2475">
        <f t="shared" si="14"/>
        <v>705.96099928962974</v>
      </c>
      <c r="AQ29" s="2475">
        <f t="shared" si="14"/>
        <v>13.082822393669998</v>
      </c>
      <c r="AR29" s="2475">
        <f t="shared" si="14"/>
        <v>0.13082822393669999</v>
      </c>
      <c r="AS29" s="2475">
        <f t="shared" si="14"/>
        <v>0</v>
      </c>
      <c r="AT29" s="2475">
        <f t="shared" si="14"/>
        <v>10.262180411737797</v>
      </c>
      <c r="AU29" s="2475">
        <f t="shared" si="4"/>
        <v>10.262180411737797</v>
      </c>
      <c r="AV29" s="2475">
        <f t="shared" si="5"/>
        <v>0</v>
      </c>
      <c r="AW29" s="2476">
        <f t="shared" si="6"/>
        <v>0</v>
      </c>
      <c r="AX29" s="2476">
        <f t="shared" si="6"/>
        <v>0</v>
      </c>
      <c r="AY29" s="2478"/>
      <c r="AZ29" s="2477">
        <f>'T-7(ENS)'!AB30</f>
        <v>0.89871207239817863</v>
      </c>
      <c r="BA29" s="2477">
        <f t="shared" si="7"/>
        <v>0.89871207239817863</v>
      </c>
      <c r="BB29" s="2478"/>
      <c r="BC29" s="2478"/>
      <c r="BD29" s="2478"/>
      <c r="BE29" s="2478"/>
      <c r="BF29" s="2478">
        <f t="shared" si="8"/>
        <v>11.418765880911202</v>
      </c>
      <c r="BG29" s="2478">
        <f t="shared" si="9"/>
        <v>-0.60178692476703866</v>
      </c>
      <c r="BH29" s="2502">
        <f t="shared" si="10"/>
        <v>-0.4139842428437972</v>
      </c>
    </row>
    <row r="30" spans="1:60" ht="15" customHeight="1">
      <c r="A30" s="2500">
        <f t="shared" si="11"/>
        <v>8</v>
      </c>
      <c r="B30" s="1021" t="s">
        <v>4089</v>
      </c>
      <c r="C30" s="1024" t="s">
        <v>1496</v>
      </c>
      <c r="D30" s="2473">
        <f>'T-7(ENS)'!D31</f>
        <v>28.933550654099999</v>
      </c>
      <c r="E30" s="2473">
        <f>'T-7(ENS)'!E31</f>
        <v>0</v>
      </c>
      <c r="F30" s="2474">
        <f>'T-7(ENS)'!F31</f>
        <v>1114</v>
      </c>
      <c r="G30" s="2474">
        <f>'T-7(ENS)'!G31</f>
        <v>47518.93</v>
      </c>
      <c r="H30" s="2474">
        <f>'T-7(ENS)'!H31</f>
        <v>46404.93</v>
      </c>
      <c r="I30" s="2474">
        <f>'T-7(ENS)'!I31</f>
        <v>0</v>
      </c>
      <c r="J30" s="2474">
        <f>'T-7(ENS)'!J31</f>
        <v>620</v>
      </c>
      <c r="K30" s="2475">
        <f>'T-7(ENS)'!K31</f>
        <v>0</v>
      </c>
      <c r="L30" s="2475">
        <f>'T-7(ENS)'!L31</f>
        <v>100</v>
      </c>
      <c r="M30" s="2475">
        <f>'T-7(ENS)'!M31</f>
        <v>80</v>
      </c>
      <c r="N30" s="2475">
        <f>'T-7(ENS)'!N31</f>
        <v>0</v>
      </c>
      <c r="O30" s="2475">
        <f>'T-7(ENS)'!O31</f>
        <v>0</v>
      </c>
      <c r="P30" s="2474">
        <f>'T-7(ENS)'!P31</f>
        <v>773.58935997368792</v>
      </c>
      <c r="Q30" s="2475">
        <f>'T-7(ENS)'!Q31</f>
        <v>0</v>
      </c>
      <c r="R30" s="2475">
        <f>'T-7(ENS)'!R31</f>
        <v>17.794133652271498</v>
      </c>
      <c r="S30" s="2475">
        <f>'T-7(ENS)'!S31</f>
        <v>4.5885532799999993</v>
      </c>
      <c r="T30" s="2475">
        <f>'T-7(ENS)'!T31</f>
        <v>0</v>
      </c>
      <c r="U30" s="2475">
        <f>'T-7(ENS)'!U31</f>
        <v>22.382686932271497</v>
      </c>
      <c r="V30" s="2475">
        <f>'T-7(ENS)'!V31</f>
        <v>0</v>
      </c>
      <c r="W30" s="2475">
        <f>'T-7(ENS)'!W31</f>
        <v>768.94782381384573</v>
      </c>
      <c r="X30" s="2475">
        <f>'T-7(ENS)'!X31</f>
        <v>0</v>
      </c>
      <c r="Y30" s="2475">
        <f>'T-7(ENS)'!Y31</f>
        <v>0</v>
      </c>
      <c r="Z30" s="2475">
        <f>'T-7(ENS)'!Z31</f>
        <v>0.134296121593629</v>
      </c>
      <c r="AA30" s="2475">
        <f>'T-7(ENS)'!AA31</f>
        <v>22.248390810677869</v>
      </c>
      <c r="AB30" s="2474">
        <f t="shared" si="12"/>
        <v>0</v>
      </c>
      <c r="AC30" s="2474">
        <f t="shared" si="12"/>
        <v>620</v>
      </c>
      <c r="AD30" s="2474">
        <f t="shared" si="12"/>
        <v>0</v>
      </c>
      <c r="AE30" s="2475">
        <f t="shared" si="12"/>
        <v>100</v>
      </c>
      <c r="AF30" s="2475">
        <f t="shared" si="12"/>
        <v>80</v>
      </c>
      <c r="AG30" s="2475">
        <f t="shared" si="12"/>
        <v>0</v>
      </c>
      <c r="AH30" s="2475">
        <f t="shared" si="12"/>
        <v>0</v>
      </c>
      <c r="AI30" s="2475">
        <f t="shared" si="12"/>
        <v>773.58935997368792</v>
      </c>
      <c r="AJ30" s="2475">
        <f t="shared" si="12"/>
        <v>0</v>
      </c>
      <c r="AK30" s="2475">
        <f t="shared" si="13"/>
        <v>17.794133652271498</v>
      </c>
      <c r="AL30" s="2475">
        <f t="shared" si="2"/>
        <v>4.5885532799999993</v>
      </c>
      <c r="AM30" s="2475">
        <f t="shared" si="3"/>
        <v>0</v>
      </c>
      <c r="AN30" s="2475">
        <f t="shared" si="14"/>
        <v>22.382686932271497</v>
      </c>
      <c r="AO30" s="2475">
        <f t="shared" si="14"/>
        <v>0</v>
      </c>
      <c r="AP30" s="2475">
        <f t="shared" si="14"/>
        <v>768.94782381384573</v>
      </c>
      <c r="AQ30" s="2475">
        <f t="shared" si="14"/>
        <v>0</v>
      </c>
      <c r="AR30" s="2475">
        <f t="shared" si="14"/>
        <v>0</v>
      </c>
      <c r="AS30" s="2475">
        <f t="shared" si="14"/>
        <v>0.134296121593629</v>
      </c>
      <c r="AT30" s="2475">
        <f t="shared" si="14"/>
        <v>22.248390810677869</v>
      </c>
      <c r="AU30" s="2475">
        <f t="shared" si="4"/>
        <v>22.248390810677869</v>
      </c>
      <c r="AV30" s="2475">
        <f t="shared" si="5"/>
        <v>0</v>
      </c>
      <c r="AW30" s="2476">
        <f t="shared" si="6"/>
        <v>0</v>
      </c>
      <c r="AX30" s="2476">
        <f t="shared" si="6"/>
        <v>0</v>
      </c>
      <c r="AY30" s="2478"/>
      <c r="AZ30" s="2477">
        <f>'T-7(ENS)'!AB31</f>
        <v>0.97889641637596092</v>
      </c>
      <c r="BA30" s="2477">
        <f t="shared" si="7"/>
        <v>0.97889641637596092</v>
      </c>
      <c r="BB30" s="2478"/>
      <c r="BC30" s="2478"/>
      <c r="BD30" s="2478"/>
      <c r="BE30" s="2478"/>
      <c r="BF30" s="2478">
        <f t="shared" si="8"/>
        <v>22.728038948557181</v>
      </c>
      <c r="BG30" s="2478">
        <f t="shared" si="9"/>
        <v>-3.0202358839443342</v>
      </c>
      <c r="BH30" s="2502">
        <f t="shared" si="10"/>
        <v>-1.0438524880859565</v>
      </c>
    </row>
    <row r="31" spans="1:60" ht="15" customHeight="1">
      <c r="A31" s="2500">
        <f t="shared" si="11"/>
        <v>9</v>
      </c>
      <c r="B31" s="1021" t="s">
        <v>4090</v>
      </c>
      <c r="C31" s="1024" t="s">
        <v>1496</v>
      </c>
      <c r="D31" s="2473">
        <f>'T-7(ENS)'!D32</f>
        <v>48.002167556800003</v>
      </c>
      <c r="E31" s="2473">
        <f>'T-7(ENS)'!E32</f>
        <v>0</v>
      </c>
      <c r="F31" s="2474">
        <f>'T-7(ENS)'!F32</f>
        <v>15994</v>
      </c>
      <c r="G31" s="2474">
        <f>'T-7(ENS)'!G32</f>
        <v>41791.39</v>
      </c>
      <c r="H31" s="2474">
        <f>'T-7(ENS)'!H32</f>
        <v>25797.39</v>
      </c>
      <c r="I31" s="2474">
        <f>'T-7(ENS)'!I32</f>
        <v>0</v>
      </c>
      <c r="J31" s="2474">
        <f>'T-7(ENS)'!J32</f>
        <v>620</v>
      </c>
      <c r="K31" s="2475">
        <f>'T-7(ENS)'!K32</f>
        <v>0</v>
      </c>
      <c r="L31" s="2475">
        <f>'T-7(ENS)'!L32</f>
        <v>50</v>
      </c>
      <c r="M31" s="2475">
        <f>'T-7(ENS)'!M32</f>
        <v>50</v>
      </c>
      <c r="N31" s="2475">
        <f>'T-7(ENS)'!N32</f>
        <v>0</v>
      </c>
      <c r="O31" s="2475">
        <f>'T-7(ENS)'!O32</f>
        <v>0</v>
      </c>
      <c r="P31" s="2474">
        <f>'T-7(ENS)'!P32</f>
        <v>667.23687861663643</v>
      </c>
      <c r="Q31" s="2475">
        <f>'T-7(ENS)'!Q32</f>
        <v>0</v>
      </c>
      <c r="R31" s="2475">
        <f>'T-7(ENS)'!R32</f>
        <v>29.521333047432005</v>
      </c>
      <c r="S31" s="2475">
        <f>'T-7(ENS)'!S32</f>
        <v>2.5074833999999999</v>
      </c>
      <c r="T31" s="2475">
        <f>'T-7(ENS)'!T32</f>
        <v>0</v>
      </c>
      <c r="U31" s="2475">
        <f>'T-7(ENS)'!U32</f>
        <v>32.028816447432007</v>
      </c>
      <c r="V31" s="2475" t="str">
        <f>'T-7(ENS)'!V32</f>
        <v xml:space="preserve"> </v>
      </c>
      <c r="W31" s="2475">
        <f>'T-7(ENS)'!W32</f>
        <v>663.2334573449366</v>
      </c>
      <c r="X31" s="2475">
        <f>'T-7(ENS)'!X32</f>
        <v>0</v>
      </c>
      <c r="Y31" s="2475">
        <f>'T-7(ENS)'!Y32</f>
        <v>0</v>
      </c>
      <c r="Z31" s="2475">
        <f>'T-7(ENS)'!Z32</f>
        <v>0.19217289868459206</v>
      </c>
      <c r="AA31" s="2475">
        <f>'T-7(ENS)'!AA32</f>
        <v>31.836643548747414</v>
      </c>
      <c r="AB31" s="2474">
        <f t="shared" si="12"/>
        <v>0</v>
      </c>
      <c r="AC31" s="2474">
        <f t="shared" si="12"/>
        <v>620</v>
      </c>
      <c r="AD31" s="2474">
        <f t="shared" si="12"/>
        <v>0</v>
      </c>
      <c r="AE31" s="2475">
        <f t="shared" si="12"/>
        <v>50</v>
      </c>
      <c r="AF31" s="2475">
        <f t="shared" si="12"/>
        <v>50</v>
      </c>
      <c r="AG31" s="2475">
        <f t="shared" si="12"/>
        <v>0</v>
      </c>
      <c r="AH31" s="2475">
        <f t="shared" si="12"/>
        <v>0</v>
      </c>
      <c r="AI31" s="2475">
        <f t="shared" si="12"/>
        <v>667.23687861663643</v>
      </c>
      <c r="AJ31" s="2475">
        <f t="shared" si="12"/>
        <v>0</v>
      </c>
      <c r="AK31" s="2475">
        <f t="shared" si="13"/>
        <v>29.521333047432005</v>
      </c>
      <c r="AL31" s="2475">
        <f t="shared" si="2"/>
        <v>2.5074833999999999</v>
      </c>
      <c r="AM31" s="2475">
        <f t="shared" si="3"/>
        <v>0</v>
      </c>
      <c r="AN31" s="2475">
        <f t="shared" si="14"/>
        <v>32.028816447432007</v>
      </c>
      <c r="AO31" s="2475" t="str">
        <f t="shared" si="14"/>
        <v xml:space="preserve"> </v>
      </c>
      <c r="AP31" s="2475">
        <f t="shared" si="14"/>
        <v>663.2334573449366</v>
      </c>
      <c r="AQ31" s="2475">
        <f t="shared" si="14"/>
        <v>0</v>
      </c>
      <c r="AR31" s="2475">
        <f t="shared" si="14"/>
        <v>0</v>
      </c>
      <c r="AS31" s="2475">
        <f t="shared" si="14"/>
        <v>0.19217289868459206</v>
      </c>
      <c r="AT31" s="2475">
        <f t="shared" si="14"/>
        <v>31.836643548747414</v>
      </c>
      <c r="AU31" s="2475">
        <f t="shared" si="4"/>
        <v>31.836643548747414</v>
      </c>
      <c r="AV31" s="2475">
        <f t="shared" si="5"/>
        <v>0</v>
      </c>
      <c r="AW31" s="2476">
        <f t="shared" si="6"/>
        <v>0</v>
      </c>
      <c r="AX31" s="2476">
        <f t="shared" si="6"/>
        <v>0</v>
      </c>
      <c r="AY31" s="2478"/>
      <c r="AZ31" s="2477">
        <f>'T-7(ENS)'!AB32</f>
        <v>0.84431847585639397</v>
      </c>
      <c r="BA31" s="2477">
        <f t="shared" si="7"/>
        <v>0.84431847585639397</v>
      </c>
      <c r="BB31" s="2478"/>
      <c r="BC31" s="2478"/>
      <c r="BD31" s="2478"/>
      <c r="BE31" s="2478"/>
      <c r="BF31" s="2478">
        <f t="shared" si="8"/>
        <v>37.706921866899172</v>
      </c>
      <c r="BG31" s="2478">
        <f t="shared" si="9"/>
        <v>6.380052863306318E-2</v>
      </c>
      <c r="BH31" s="2502">
        <f t="shared" si="10"/>
        <v>1.3291176603133451E-2</v>
      </c>
    </row>
    <row r="32" spans="1:60" ht="15" customHeight="1">
      <c r="A32" s="2500">
        <f t="shared" si="11"/>
        <v>10</v>
      </c>
      <c r="B32" s="1021" t="s">
        <v>4091</v>
      </c>
      <c r="C32" s="1024" t="s">
        <v>1496</v>
      </c>
      <c r="D32" s="2473">
        <f>'T-7(ENS)'!D33</f>
        <v>68.553638419539993</v>
      </c>
      <c r="E32" s="2473">
        <f>'T-7(ENS)'!E33</f>
        <v>0</v>
      </c>
      <c r="F32" s="2474">
        <f>'T-7(ENS)'!F33</f>
        <v>5107</v>
      </c>
      <c r="G32" s="2474">
        <f>'T-7(ENS)'!G33</f>
        <v>33126.83</v>
      </c>
      <c r="H32" s="2474">
        <f>'T-7(ENS)'!H33</f>
        <v>28019.83</v>
      </c>
      <c r="I32" s="2474">
        <f>'T-7(ENS)'!I33</f>
        <v>0</v>
      </c>
      <c r="J32" s="2474">
        <f>'T-7(ENS)'!J33</f>
        <v>620</v>
      </c>
      <c r="K32" s="2475">
        <f>'T-7(ENS)'!K33</f>
        <v>0</v>
      </c>
      <c r="L32" s="2475">
        <f>'T-7(ENS)'!L33</f>
        <v>50</v>
      </c>
      <c r="M32" s="2475">
        <f>'T-7(ENS)'!M33</f>
        <v>50</v>
      </c>
      <c r="N32" s="2475">
        <f>'T-7(ENS)'!N33</f>
        <v>0</v>
      </c>
      <c r="O32" s="2475">
        <f>'T-7(ENS)'!O33</f>
        <v>0</v>
      </c>
      <c r="P32" s="2474">
        <f>'T-7(ENS)'!P33</f>
        <v>643.99349831494101</v>
      </c>
      <c r="Q32" s="2475">
        <f>'T-7(ENS)'!Q33</f>
        <v>0</v>
      </c>
      <c r="R32" s="2475">
        <f>'T-7(ENS)'!R33</f>
        <v>42.160487628017101</v>
      </c>
      <c r="S32" s="2475">
        <f>'T-7(ENS)'!S33</f>
        <v>1.9876098</v>
      </c>
      <c r="T32" s="2475">
        <f>'T-7(ENS)'!T33</f>
        <v>0</v>
      </c>
      <c r="U32" s="2475">
        <f>'T-7(ENS)'!U33</f>
        <v>44.148097428017103</v>
      </c>
      <c r="V32" s="2475">
        <f>'T-7(ENS)'!V33</f>
        <v>0.1</v>
      </c>
      <c r="W32" s="2475">
        <f>'T-7(ENS)'!W33</f>
        <v>636.99349831494089</v>
      </c>
      <c r="X32" s="2475">
        <f>'T-7(ENS)'!X33</f>
        <v>47.987546893677994</v>
      </c>
      <c r="Y32" s="2475">
        <f>'T-7(ENS)'!Y33</f>
        <v>0.47987546893677996</v>
      </c>
      <c r="Z32" s="2475">
        <f>'T-7(ENS)'!Z33</f>
        <v>0</v>
      </c>
      <c r="AA32" s="2475">
        <f>'T-7(ENS)'!AA33</f>
        <v>43.66822195908032</v>
      </c>
      <c r="AB32" s="2474">
        <f t="shared" si="12"/>
        <v>0</v>
      </c>
      <c r="AC32" s="2474">
        <f t="shared" si="12"/>
        <v>620</v>
      </c>
      <c r="AD32" s="2474">
        <f t="shared" si="12"/>
        <v>0</v>
      </c>
      <c r="AE32" s="2475">
        <f t="shared" si="12"/>
        <v>50</v>
      </c>
      <c r="AF32" s="2475">
        <f t="shared" si="12"/>
        <v>50</v>
      </c>
      <c r="AG32" s="2475">
        <f t="shared" si="12"/>
        <v>0</v>
      </c>
      <c r="AH32" s="2475">
        <f t="shared" si="12"/>
        <v>0</v>
      </c>
      <c r="AI32" s="2475">
        <f t="shared" si="12"/>
        <v>643.99349831494101</v>
      </c>
      <c r="AJ32" s="2475">
        <f t="shared" si="12"/>
        <v>0</v>
      </c>
      <c r="AK32" s="2475">
        <f t="shared" si="13"/>
        <v>42.160487628017101</v>
      </c>
      <c r="AL32" s="2475">
        <f t="shared" si="2"/>
        <v>1.9876098</v>
      </c>
      <c r="AM32" s="2475">
        <f t="shared" si="3"/>
        <v>0</v>
      </c>
      <c r="AN32" s="2475">
        <f t="shared" si="14"/>
        <v>44.148097428017103</v>
      </c>
      <c r="AO32" s="2475">
        <f t="shared" si="14"/>
        <v>0.1</v>
      </c>
      <c r="AP32" s="2475">
        <f t="shared" si="14"/>
        <v>636.99349831494089</v>
      </c>
      <c r="AQ32" s="2475">
        <f t="shared" si="14"/>
        <v>47.987546893677994</v>
      </c>
      <c r="AR32" s="2475">
        <f t="shared" si="14"/>
        <v>0.47987546893677996</v>
      </c>
      <c r="AS32" s="2475">
        <f t="shared" si="14"/>
        <v>0</v>
      </c>
      <c r="AT32" s="2475">
        <f t="shared" si="14"/>
        <v>43.66822195908032</v>
      </c>
      <c r="AU32" s="2475">
        <f t="shared" si="4"/>
        <v>43.66822195908032</v>
      </c>
      <c r="AV32" s="2475">
        <f t="shared" si="5"/>
        <v>0</v>
      </c>
      <c r="AW32" s="2476">
        <f t="shared" si="6"/>
        <v>0</v>
      </c>
      <c r="AX32" s="2476">
        <f t="shared" si="6"/>
        <v>0</v>
      </c>
      <c r="AY32" s="2478"/>
      <c r="AZ32" s="2477">
        <f>'T-7(ENS)'!AB33</f>
        <v>0.81091412634810633</v>
      </c>
      <c r="BA32" s="2477">
        <f t="shared" si="7"/>
        <v>0.81091412634810633</v>
      </c>
      <c r="BB32" s="2478"/>
      <c r="BC32" s="2478"/>
      <c r="BD32" s="2478"/>
      <c r="BE32" s="2478"/>
      <c r="BF32" s="2478">
        <f t="shared" si="8"/>
        <v>53.850624235218888</v>
      </c>
      <c r="BG32" s="2478">
        <f t="shared" si="9"/>
        <v>1.8899605149880188</v>
      </c>
      <c r="BH32" s="2502">
        <f t="shared" si="10"/>
        <v>0.27569076690309108</v>
      </c>
    </row>
    <row r="33" spans="1:60" ht="15" customHeight="1">
      <c r="A33" s="2500">
        <f t="shared" si="11"/>
        <v>11</v>
      </c>
      <c r="B33" s="1021" t="s">
        <v>4092</v>
      </c>
      <c r="C33" s="1024" t="s">
        <v>1496</v>
      </c>
      <c r="D33" s="2473">
        <f>'T-7(ENS)'!D34</f>
        <v>2.2476946512999998</v>
      </c>
      <c r="E33" s="2473">
        <f>'T-7(ENS)'!E34</f>
        <v>0</v>
      </c>
      <c r="F33" s="2474">
        <f>'T-7(ENS)'!F34</f>
        <v>10</v>
      </c>
      <c r="G33" s="2474">
        <f>'T-7(ENS)'!G34</f>
        <v>1042</v>
      </c>
      <c r="H33" s="2474">
        <f>'T-7(ENS)'!H34</f>
        <v>1032</v>
      </c>
      <c r="I33" s="2474">
        <f>'T-7(ENS)'!I34</f>
        <v>200</v>
      </c>
      <c r="J33" s="2474">
        <f>'T-7(ENS)'!J34</f>
        <v>620</v>
      </c>
      <c r="K33" s="2475">
        <f>'T-7(ENS)'!K34</f>
        <v>0</v>
      </c>
      <c r="L33" s="2475">
        <f>'T-7(ENS)'!L34</f>
        <v>0</v>
      </c>
      <c r="M33" s="2475">
        <f>'T-7(ENS)'!M34</f>
        <v>0</v>
      </c>
      <c r="N33" s="2475">
        <f>'T-7(ENS)'!N34</f>
        <v>30</v>
      </c>
      <c r="O33" s="2475">
        <f>'T-7(ENS)'!O34</f>
        <v>0</v>
      </c>
      <c r="P33" s="2474">
        <f>'T-7(ENS)'!P34</f>
        <v>720.50000928848749</v>
      </c>
      <c r="Q33" s="2475">
        <f>'T-7(ENS)'!Q34</f>
        <v>0.22229333333333334</v>
      </c>
      <c r="R33" s="2475">
        <f>'T-7(ENS)'!R34</f>
        <v>1.3935706838059998</v>
      </c>
      <c r="S33" s="2475">
        <f>'T-7(ENS)'!S34</f>
        <v>0</v>
      </c>
      <c r="T33" s="2475">
        <f>'T-7(ENS)'!T34</f>
        <v>3.5999999999999999E-3</v>
      </c>
      <c r="U33" s="2475">
        <f>'T-7(ENS)'!U34</f>
        <v>1.6194640171393333</v>
      </c>
      <c r="V33" s="2475">
        <f>'T-7(ENS)'!V34</f>
        <v>0.1</v>
      </c>
      <c r="W33" s="2475">
        <f>'T-7(ENS)'!W34</f>
        <v>710.50000928848749</v>
      </c>
      <c r="X33" s="2475">
        <f>'T-7(ENS)'!X34</f>
        <v>2.2476946512999998</v>
      </c>
      <c r="Y33" s="2475">
        <f>'T-7(ENS)'!Y34</f>
        <v>2.2476946512999998E-2</v>
      </c>
      <c r="Z33" s="2475">
        <f>'T-7(ENS)'!Z34</f>
        <v>0</v>
      </c>
      <c r="AA33" s="2475">
        <f>'T-7(ENS)'!AA34</f>
        <v>1.5969870706263334</v>
      </c>
      <c r="AB33" s="2474">
        <f t="shared" si="12"/>
        <v>200</v>
      </c>
      <c r="AC33" s="2474">
        <f t="shared" si="12"/>
        <v>620</v>
      </c>
      <c r="AD33" s="2474">
        <f t="shared" si="12"/>
        <v>0</v>
      </c>
      <c r="AE33" s="2475">
        <f t="shared" si="12"/>
        <v>0</v>
      </c>
      <c r="AF33" s="2475">
        <f t="shared" si="12"/>
        <v>0</v>
      </c>
      <c r="AG33" s="2475">
        <f t="shared" si="12"/>
        <v>30</v>
      </c>
      <c r="AH33" s="2475">
        <f t="shared" si="12"/>
        <v>0</v>
      </c>
      <c r="AI33" s="2475">
        <f t="shared" si="12"/>
        <v>720.50000928848749</v>
      </c>
      <c r="AJ33" s="2475">
        <f t="shared" si="12"/>
        <v>0.22229333333333334</v>
      </c>
      <c r="AK33" s="2475">
        <f t="shared" si="13"/>
        <v>1.3935706838059998</v>
      </c>
      <c r="AL33" s="2475">
        <f t="shared" si="2"/>
        <v>0</v>
      </c>
      <c r="AM33" s="2475">
        <f t="shared" si="3"/>
        <v>30</v>
      </c>
      <c r="AN33" s="2475">
        <f t="shared" si="14"/>
        <v>1.6194640171393333</v>
      </c>
      <c r="AO33" s="2475">
        <f t="shared" si="14"/>
        <v>0.1</v>
      </c>
      <c r="AP33" s="2475">
        <f t="shared" si="14"/>
        <v>710.50000928848749</v>
      </c>
      <c r="AQ33" s="2475">
        <f t="shared" si="14"/>
        <v>2.2476946512999998</v>
      </c>
      <c r="AR33" s="2475">
        <f t="shared" si="14"/>
        <v>2.2476946512999998E-2</v>
      </c>
      <c r="AS33" s="2475">
        <f t="shared" si="14"/>
        <v>0</v>
      </c>
      <c r="AT33" s="2475">
        <f t="shared" si="14"/>
        <v>1.5969870706263334</v>
      </c>
      <c r="AU33" s="2475">
        <f t="shared" si="4"/>
        <v>1.5969870706263334</v>
      </c>
      <c r="AV33" s="2475">
        <f t="shared" si="5"/>
        <v>0</v>
      </c>
      <c r="AW33" s="2476">
        <f t="shared" si="6"/>
        <v>0</v>
      </c>
      <c r="AX33" s="2476">
        <f t="shared" si="6"/>
        <v>0</v>
      </c>
      <c r="AY33" s="2478"/>
      <c r="AZ33" s="2477">
        <f>'T-7(ENS)'!AB34</f>
        <v>0.9044903846375435</v>
      </c>
      <c r="BA33" s="2477">
        <f t="shared" si="7"/>
        <v>0.9044903846375435</v>
      </c>
      <c r="BB33" s="2478"/>
      <c r="BC33" s="2478"/>
      <c r="BD33" s="2478"/>
      <c r="BE33" s="2478"/>
      <c r="BF33" s="2478">
        <f t="shared" si="8"/>
        <v>1.7656212398519084</v>
      </c>
      <c r="BG33" s="2478">
        <f t="shared" si="9"/>
        <v>-0.10325332533287801</v>
      </c>
      <c r="BH33" s="2502">
        <f t="shared" si="10"/>
        <v>-0.45937434283237433</v>
      </c>
    </row>
    <row r="34" spans="1:60" ht="15" customHeight="1">
      <c r="A34" s="2500">
        <f t="shared" si="11"/>
        <v>12</v>
      </c>
      <c r="B34" s="1021" t="s">
        <v>4093</v>
      </c>
      <c r="C34" s="1024" t="s">
        <v>1496</v>
      </c>
      <c r="D34" s="2473">
        <f>'T-7(ENS)'!D35</f>
        <v>0.8</v>
      </c>
      <c r="E34" s="2473">
        <f>'T-7(ENS)'!E35</f>
        <v>0</v>
      </c>
      <c r="F34" s="2474">
        <f>'T-7(ENS)'!F35</f>
        <v>18</v>
      </c>
      <c r="G34" s="2474">
        <f>'T-7(ENS)'!G35</f>
        <v>562.29999999999995</v>
      </c>
      <c r="H34" s="2474">
        <f>'T-7(ENS)'!H35</f>
        <v>544.29999999999995</v>
      </c>
      <c r="I34" s="2474">
        <f>'T-7(ENS)'!I35</f>
        <v>200</v>
      </c>
      <c r="J34" s="2474">
        <f>'T-7(ENS)'!J35</f>
        <v>620</v>
      </c>
      <c r="K34" s="2475">
        <f>'T-7(ENS)'!K35</f>
        <v>0</v>
      </c>
      <c r="L34" s="2475">
        <f>'T-7(ENS)'!L35</f>
        <v>0</v>
      </c>
      <c r="M34" s="2475">
        <f>'T-7(ENS)'!M35</f>
        <v>0</v>
      </c>
      <c r="N34" s="2475">
        <f>'T-7(ENS)'!N35</f>
        <v>30</v>
      </c>
      <c r="O34" s="2475">
        <f>'T-7(ENS)'!O35</f>
        <v>0</v>
      </c>
      <c r="P34" s="2474">
        <f>'T-7(ENS)'!P35</f>
        <v>778.04666666666662</v>
      </c>
      <c r="Q34" s="2475">
        <f>'T-7(ENS)'!Q35</f>
        <v>0.11995733333333333</v>
      </c>
      <c r="R34" s="2475">
        <f>'T-7(ENS)'!R35</f>
        <v>0.496</v>
      </c>
      <c r="S34" s="2475">
        <f>'T-7(ENS)'!S35</f>
        <v>0</v>
      </c>
      <c r="T34" s="2475">
        <f>'T-7(ENS)'!T35</f>
        <v>6.4799999999999996E-3</v>
      </c>
      <c r="U34" s="2475">
        <f>'T-7(ENS)'!U35</f>
        <v>0.6224373333333334</v>
      </c>
      <c r="V34" s="2475">
        <f>'T-7(ENS)'!V35</f>
        <v>0</v>
      </c>
      <c r="W34" s="2475">
        <f>'T-7(ENS)'!W35</f>
        <v>770.26620000000003</v>
      </c>
      <c r="X34" s="2475">
        <f>'T-7(ENS)'!X35</f>
        <v>0</v>
      </c>
      <c r="Y34" s="2475">
        <f>'T-7(ENS)'!Y35</f>
        <v>0</v>
      </c>
      <c r="Z34" s="2475">
        <f>'T-7(ENS)'!Z35</f>
        <v>6.2243733333333341E-3</v>
      </c>
      <c r="AA34" s="2475">
        <f>'T-7(ENS)'!AA35</f>
        <v>0.61621296000000003</v>
      </c>
      <c r="AB34" s="2474">
        <f t="shared" si="12"/>
        <v>200</v>
      </c>
      <c r="AC34" s="2474">
        <f t="shared" si="12"/>
        <v>620</v>
      </c>
      <c r="AD34" s="2474">
        <f t="shared" si="12"/>
        <v>0</v>
      </c>
      <c r="AE34" s="2475">
        <f t="shared" si="12"/>
        <v>0</v>
      </c>
      <c r="AF34" s="2475">
        <f t="shared" si="12"/>
        <v>0</v>
      </c>
      <c r="AG34" s="2475">
        <f t="shared" si="12"/>
        <v>30</v>
      </c>
      <c r="AH34" s="2475">
        <f t="shared" si="12"/>
        <v>0</v>
      </c>
      <c r="AI34" s="2475">
        <f t="shared" si="12"/>
        <v>778.04666666666662</v>
      </c>
      <c r="AJ34" s="2475">
        <f t="shared" si="12"/>
        <v>0.11995733333333333</v>
      </c>
      <c r="AK34" s="2475">
        <f t="shared" si="13"/>
        <v>0.496</v>
      </c>
      <c r="AL34" s="2475">
        <f t="shared" si="2"/>
        <v>0</v>
      </c>
      <c r="AM34" s="2475">
        <f t="shared" si="3"/>
        <v>30</v>
      </c>
      <c r="AN34" s="2475">
        <f t="shared" si="14"/>
        <v>0.6224373333333334</v>
      </c>
      <c r="AO34" s="2475">
        <f t="shared" si="14"/>
        <v>0</v>
      </c>
      <c r="AP34" s="2475">
        <f t="shared" si="14"/>
        <v>770.26620000000003</v>
      </c>
      <c r="AQ34" s="2475">
        <f t="shared" si="14"/>
        <v>0</v>
      </c>
      <c r="AR34" s="2475">
        <f t="shared" si="14"/>
        <v>0</v>
      </c>
      <c r="AS34" s="2475">
        <f t="shared" si="14"/>
        <v>6.2243733333333341E-3</v>
      </c>
      <c r="AT34" s="2475">
        <f t="shared" si="14"/>
        <v>0.61621296000000003</v>
      </c>
      <c r="AU34" s="2475">
        <f t="shared" si="4"/>
        <v>0.61621296000000003</v>
      </c>
      <c r="AV34" s="2475">
        <f t="shared" si="5"/>
        <v>0</v>
      </c>
      <c r="AW34" s="2476">
        <f t="shared" si="6"/>
        <v>0</v>
      </c>
      <c r="AX34" s="2476">
        <f t="shared" si="6"/>
        <v>0</v>
      </c>
      <c r="AY34" s="2472"/>
      <c r="AZ34" s="2477">
        <f>'T-7(ENS)'!AB35</f>
        <v>0.98057475355839929</v>
      </c>
      <c r="BA34" s="2477">
        <f t="shared" si="7"/>
        <v>0.98057475355839929</v>
      </c>
      <c r="BB34" s="2472"/>
      <c r="BC34" s="2472"/>
      <c r="BD34" s="2472"/>
      <c r="BE34" s="2472"/>
      <c r="BF34" s="2478">
        <f t="shared" si="8"/>
        <v>0.62842031993295033</v>
      </c>
      <c r="BG34" s="2478">
        <f t="shared" si="9"/>
        <v>-8.4562899995799912E-2</v>
      </c>
      <c r="BH34" s="2502">
        <f t="shared" si="10"/>
        <v>-1.0570362499474988</v>
      </c>
    </row>
    <row r="35" spans="1:60" ht="15" customHeight="1">
      <c r="A35" s="2500">
        <f t="shared" si="11"/>
        <v>13</v>
      </c>
      <c r="B35" s="1021" t="s">
        <v>890</v>
      </c>
      <c r="C35" s="1024" t="s">
        <v>1496</v>
      </c>
      <c r="D35" s="2473">
        <f>'T-7(ENS)'!D36</f>
        <v>0</v>
      </c>
      <c r="E35" s="2473">
        <f>'T-7(ENS)'!E36</f>
        <v>0</v>
      </c>
      <c r="F35" s="2474">
        <f>'T-7(ENS)'!F36</f>
        <v>0</v>
      </c>
      <c r="G35" s="2474">
        <f>'T-7(ENS)'!G36</f>
        <v>0</v>
      </c>
      <c r="H35" s="2474">
        <f>'T-7(ENS)'!H36</f>
        <v>0</v>
      </c>
      <c r="I35" s="2474">
        <f>'T-7(ENS)'!I36</f>
        <v>200</v>
      </c>
      <c r="J35" s="2474">
        <f>'T-7(ENS)'!J36</f>
        <v>620</v>
      </c>
      <c r="K35" s="2475">
        <f>'T-7(ENS)'!K36</f>
        <v>0</v>
      </c>
      <c r="L35" s="2475">
        <f>'T-7(ENS)'!L36</f>
        <v>0</v>
      </c>
      <c r="M35" s="2475">
        <f>'T-7(ENS)'!M36</f>
        <v>0</v>
      </c>
      <c r="N35" s="2475">
        <f>'T-7(ENS)'!N36</f>
        <v>30</v>
      </c>
      <c r="O35" s="2475">
        <f>'T-7(ENS)'!O36</f>
        <v>0</v>
      </c>
      <c r="P35" s="2474" t="e">
        <f>'T-7(ENS)'!P36</f>
        <v>#DIV/0!</v>
      </c>
      <c r="Q35" s="2475">
        <f>'T-7(ENS)'!Q36</f>
        <v>0</v>
      </c>
      <c r="R35" s="2475">
        <f>'T-7(ENS)'!R36</f>
        <v>0</v>
      </c>
      <c r="S35" s="2475">
        <f>'T-7(ENS)'!S36</f>
        <v>0</v>
      </c>
      <c r="T35" s="2475">
        <f>'T-7(ENS)'!T36</f>
        <v>0</v>
      </c>
      <c r="U35" s="2475">
        <f>'T-7(ENS)'!U36</f>
        <v>0</v>
      </c>
      <c r="V35" s="2475">
        <f>'T-7(ENS)'!V36</f>
        <v>0</v>
      </c>
      <c r="W35" s="2475" t="e">
        <f>'T-7(ENS)'!W36</f>
        <v>#DIV/0!</v>
      </c>
      <c r="X35" s="2475">
        <f>'T-7(ENS)'!X36</f>
        <v>0</v>
      </c>
      <c r="Y35" s="2475">
        <f>'T-7(ENS)'!Y36</f>
        <v>0</v>
      </c>
      <c r="Z35" s="2475">
        <f>'T-7(ENS)'!Z36</f>
        <v>0</v>
      </c>
      <c r="AA35" s="2475">
        <f>'T-7(ENS)'!AA36</f>
        <v>0</v>
      </c>
      <c r="AB35" s="2474">
        <f t="shared" si="12"/>
        <v>200</v>
      </c>
      <c r="AC35" s="2474">
        <f t="shared" si="12"/>
        <v>620</v>
      </c>
      <c r="AD35" s="2474">
        <f t="shared" si="12"/>
        <v>0</v>
      </c>
      <c r="AE35" s="2475">
        <f t="shared" si="12"/>
        <v>0</v>
      </c>
      <c r="AF35" s="2475">
        <f t="shared" si="12"/>
        <v>0</v>
      </c>
      <c r="AG35" s="2475">
        <f t="shared" si="12"/>
        <v>30</v>
      </c>
      <c r="AH35" s="2475">
        <f t="shared" si="12"/>
        <v>0</v>
      </c>
      <c r="AI35" s="2475" t="e">
        <f t="shared" si="12"/>
        <v>#DIV/0!</v>
      </c>
      <c r="AJ35" s="2475">
        <f t="shared" si="12"/>
        <v>0</v>
      </c>
      <c r="AK35" s="2475">
        <f t="shared" si="13"/>
        <v>0</v>
      </c>
      <c r="AL35" s="2475">
        <f t="shared" si="2"/>
        <v>0</v>
      </c>
      <c r="AM35" s="2475">
        <f t="shared" si="3"/>
        <v>30</v>
      </c>
      <c r="AN35" s="2475">
        <f t="shared" si="14"/>
        <v>0</v>
      </c>
      <c r="AO35" s="2475">
        <f t="shared" si="14"/>
        <v>0</v>
      </c>
      <c r="AP35" s="2475" t="e">
        <f t="shared" si="14"/>
        <v>#DIV/0!</v>
      </c>
      <c r="AQ35" s="2475">
        <f t="shared" si="14"/>
        <v>0</v>
      </c>
      <c r="AR35" s="2475">
        <f t="shared" si="14"/>
        <v>0</v>
      </c>
      <c r="AS35" s="2475">
        <f t="shared" si="14"/>
        <v>0</v>
      </c>
      <c r="AT35" s="2475">
        <f t="shared" si="14"/>
        <v>0</v>
      </c>
      <c r="AU35" s="2475">
        <f t="shared" si="4"/>
        <v>0</v>
      </c>
      <c r="AV35" s="2475">
        <f t="shared" si="5"/>
        <v>0</v>
      </c>
      <c r="AW35" s="2476">
        <f t="shared" si="6"/>
        <v>0</v>
      </c>
      <c r="AX35" s="2476">
        <f t="shared" si="6"/>
        <v>0</v>
      </c>
      <c r="AY35" s="2472"/>
      <c r="AZ35" s="2477" t="e">
        <f>'T-7(ENS)'!AB36</f>
        <v>#DIV/0!</v>
      </c>
      <c r="BA35" s="2477" t="e">
        <f t="shared" si="7"/>
        <v>#DIV/0!</v>
      </c>
      <c r="BB35" s="2472"/>
      <c r="BC35" s="2472"/>
      <c r="BD35" s="2472"/>
      <c r="BE35" s="2472"/>
      <c r="BF35" s="2478">
        <f t="shared" si="8"/>
        <v>0</v>
      </c>
      <c r="BG35" s="2478">
        <f t="shared" si="9"/>
        <v>0</v>
      </c>
      <c r="BH35" s="2502" t="e">
        <f t="shared" si="10"/>
        <v>#DIV/0!</v>
      </c>
    </row>
    <row r="36" spans="1:60" ht="15" customHeight="1">
      <c r="A36" s="2500"/>
      <c r="B36" s="2465" t="s">
        <v>4094</v>
      </c>
      <c r="C36" s="2465"/>
      <c r="D36" s="2480">
        <f>'T-7(ENS)'!D37</f>
        <v>2552.775448917188</v>
      </c>
      <c r="E36" s="2480">
        <f>'T-7(ENS)'!E37</f>
        <v>0</v>
      </c>
      <c r="F36" s="2481">
        <f>'T-7(ENS)'!F37</f>
        <v>2422870</v>
      </c>
      <c r="G36" s="2481">
        <f>'T-7(ENS)'!G37</f>
        <v>2690230.2202000003</v>
      </c>
      <c r="H36" s="2481">
        <f>'T-7(ENS)'!H37</f>
        <v>991538.53420000011</v>
      </c>
      <c r="I36" s="2481">
        <f>'T-7(ENS)'!I37</f>
        <v>0</v>
      </c>
      <c r="J36" s="2481">
        <f>'T-7(ENS)'!J37</f>
        <v>0</v>
      </c>
      <c r="K36" s="2482">
        <f>'T-7(ENS)'!K37</f>
        <v>0</v>
      </c>
      <c r="L36" s="2482">
        <f>'T-7(ENS)'!L37</f>
        <v>0</v>
      </c>
      <c r="M36" s="2482">
        <f>'T-7(ENS)'!M37</f>
        <v>0</v>
      </c>
      <c r="N36" s="2482">
        <f>'T-7(ENS)'!N37</f>
        <v>0</v>
      </c>
      <c r="O36" s="2482">
        <f>'T-7(ENS)'!O37</f>
        <v>0</v>
      </c>
      <c r="P36" s="2481">
        <f>'T-7(ENS)'!P37</f>
        <v>501.32838294532922</v>
      </c>
      <c r="Q36" s="2482">
        <f>'T-7(ENS)'!Q37</f>
        <v>0.3422506666666667</v>
      </c>
      <c r="R36" s="2482">
        <f>'T-7(ENS)'!R37</f>
        <v>1180.3030917903241</v>
      </c>
      <c r="S36" s="2482">
        <f>'T-7(ENS)'!S37</f>
        <v>99.123365371199995</v>
      </c>
      <c r="T36" s="2482">
        <f>'T-7(ENS)'!T37</f>
        <v>1.0079999999999999E-2</v>
      </c>
      <c r="U36" s="2482">
        <f>'T-7(ENS)'!U37</f>
        <v>1279.7787878281906</v>
      </c>
      <c r="V36" s="2482">
        <f>'T-7(ENS)'!V37</f>
        <v>0</v>
      </c>
      <c r="W36" s="2482">
        <f>'T-7(ENS)'!W37</f>
        <v>496.2514404344933</v>
      </c>
      <c r="X36" s="2482">
        <f>'T-7(ENS)'!X37</f>
        <v>1249.6736908716034</v>
      </c>
      <c r="Y36" s="2482">
        <f>'T-7(ENS)'!Y37</f>
        <v>12.496736908716034</v>
      </c>
      <c r="Z36" s="2482">
        <f>'T-7(ENS)'!Z37</f>
        <v>0.46355728850974237</v>
      </c>
      <c r="AA36" s="2482">
        <f>'T-7(ENS)'!AA37</f>
        <v>1266.8184936309649</v>
      </c>
      <c r="AB36" s="2474"/>
      <c r="AC36" s="2474"/>
      <c r="AD36" s="2474"/>
      <c r="AE36" s="2475"/>
      <c r="AF36" s="2475"/>
      <c r="AG36" s="2475"/>
      <c r="AH36" s="2475"/>
      <c r="AI36" s="2482">
        <f t="shared" si="12"/>
        <v>501.32838294532922</v>
      </c>
      <c r="AJ36" s="2482">
        <f t="shared" si="12"/>
        <v>0.3422506666666667</v>
      </c>
      <c r="AK36" s="2482">
        <f t="shared" si="13"/>
        <v>1180.3030917903241</v>
      </c>
      <c r="AL36" s="2482">
        <f t="shared" si="2"/>
        <v>99.123365371199995</v>
      </c>
      <c r="AM36" s="2482">
        <f t="shared" si="3"/>
        <v>0</v>
      </c>
      <c r="AN36" s="2482">
        <f t="shared" si="14"/>
        <v>1279.7787878281906</v>
      </c>
      <c r="AO36" s="2482">
        <f t="shared" si="14"/>
        <v>0</v>
      </c>
      <c r="AP36" s="2482">
        <f t="shared" si="14"/>
        <v>496.2514404344933</v>
      </c>
      <c r="AQ36" s="2482">
        <f t="shared" si="14"/>
        <v>1249.6736908716034</v>
      </c>
      <c r="AR36" s="2482">
        <f t="shared" si="14"/>
        <v>12.496736908716034</v>
      </c>
      <c r="AS36" s="2482">
        <f t="shared" si="14"/>
        <v>0.46355728850974237</v>
      </c>
      <c r="AT36" s="2482">
        <f t="shared" si="14"/>
        <v>1266.8184936309649</v>
      </c>
      <c r="AU36" s="2482">
        <f t="shared" si="4"/>
        <v>1266.8184936309649</v>
      </c>
      <c r="AV36" s="2482">
        <f t="shared" si="5"/>
        <v>0</v>
      </c>
      <c r="AW36" s="2483">
        <f t="shared" si="6"/>
        <v>0</v>
      </c>
      <c r="AX36" s="2483">
        <f t="shared" si="6"/>
        <v>0</v>
      </c>
      <c r="AY36" s="2484"/>
      <c r="AZ36" s="2485">
        <f>'T-7(ENS)'!AB37</f>
        <v>0.63174475773057925</v>
      </c>
      <c r="BA36" s="2485">
        <f t="shared" si="7"/>
        <v>0.63174475773057925</v>
      </c>
      <c r="BB36" s="2472"/>
      <c r="BC36" s="2472"/>
      <c r="BD36" s="2472"/>
      <c r="BE36" s="2472"/>
      <c r="BF36" s="2486">
        <f t="shared" si="8"/>
        <v>2005.2699554068997</v>
      </c>
      <c r="BG36" s="2486">
        <f t="shared" si="9"/>
        <v>429.66053211162443</v>
      </c>
      <c r="BH36" s="2503">
        <f t="shared" si="10"/>
        <v>1.6831113457075662</v>
      </c>
    </row>
    <row r="37" spans="1:60" ht="15" customHeight="1">
      <c r="A37" s="2504"/>
      <c r="B37" s="2457" t="s">
        <v>1333</v>
      </c>
      <c r="C37" s="1024"/>
      <c r="D37" s="2473"/>
      <c r="E37" s="2473">
        <f>'T-7(ENS)'!E38</f>
        <v>0</v>
      </c>
      <c r="F37" s="2474">
        <f>'T-7(ENS)'!F38</f>
        <v>0</v>
      </c>
      <c r="G37" s="2474">
        <f>'T-7(ENS)'!G38</f>
        <v>0</v>
      </c>
      <c r="H37" s="2474">
        <f>'T-7(ENS)'!H38</f>
        <v>0</v>
      </c>
      <c r="I37" s="2474">
        <f>'T-7(ENS)'!I38</f>
        <v>0</v>
      </c>
      <c r="J37" s="2474">
        <f>'T-7(ENS)'!J38</f>
        <v>0</v>
      </c>
      <c r="K37" s="2475">
        <f>'T-7(ENS)'!K38</f>
        <v>0</v>
      </c>
      <c r="L37" s="2475">
        <f>'T-7(ENS)'!L38</f>
        <v>0</v>
      </c>
      <c r="M37" s="2475">
        <f>'T-7(ENS)'!M38</f>
        <v>0</v>
      </c>
      <c r="N37" s="2475">
        <f>'T-7(ENS)'!N38</f>
        <v>0</v>
      </c>
      <c r="O37" s="2475">
        <f>'T-7(ENS)'!O38</f>
        <v>0</v>
      </c>
      <c r="P37" s="2474">
        <f>'T-7(ENS)'!P38</f>
        <v>0</v>
      </c>
      <c r="Q37" s="2475">
        <f>'T-7(ENS)'!Q38</f>
        <v>0</v>
      </c>
      <c r="R37" s="2475">
        <f>'T-7(ENS)'!R38</f>
        <v>0</v>
      </c>
      <c r="S37" s="2475">
        <f>'T-7(ENS)'!S38</f>
        <v>0</v>
      </c>
      <c r="T37" s="2475">
        <f>'T-7(ENS)'!T38</f>
        <v>0</v>
      </c>
      <c r="U37" s="2475">
        <f>'T-7(ENS)'!U38</f>
        <v>0</v>
      </c>
      <c r="V37" s="2475">
        <f>'T-7(ENS)'!V38</f>
        <v>0</v>
      </c>
      <c r="W37" s="2475">
        <f>'T-7(ENS)'!W38</f>
        <v>0</v>
      </c>
      <c r="X37" s="2475">
        <f>'T-7(ENS)'!X38</f>
        <v>0</v>
      </c>
      <c r="Y37" s="2475">
        <f>'T-7(ENS)'!Y38</f>
        <v>0</v>
      </c>
      <c r="Z37" s="2475">
        <f>'T-7(ENS)'!Z38</f>
        <v>0</v>
      </c>
      <c r="AA37" s="2475">
        <f>'T-7(ENS)'!AA38</f>
        <v>0</v>
      </c>
      <c r="AB37" s="2474">
        <f t="shared" si="12"/>
        <v>0</v>
      </c>
      <c r="AC37" s="2474">
        <f t="shared" si="12"/>
        <v>0</v>
      </c>
      <c r="AD37" s="2474">
        <f t="shared" si="12"/>
        <v>0</v>
      </c>
      <c r="AE37" s="2475">
        <f t="shared" si="12"/>
        <v>0</v>
      </c>
      <c r="AF37" s="2475">
        <f t="shared" si="12"/>
        <v>0</v>
      </c>
      <c r="AG37" s="2475">
        <f t="shared" si="12"/>
        <v>0</v>
      </c>
      <c r="AH37" s="2475">
        <f t="shared" si="12"/>
        <v>0</v>
      </c>
      <c r="AI37" s="2475">
        <f t="shared" si="12"/>
        <v>0</v>
      </c>
      <c r="AJ37" s="2475">
        <f t="shared" si="12"/>
        <v>0</v>
      </c>
      <c r="AK37" s="2475">
        <f t="shared" si="13"/>
        <v>0</v>
      </c>
      <c r="AL37" s="2475">
        <f t="shared" si="2"/>
        <v>0</v>
      </c>
      <c r="AM37" s="2475">
        <f t="shared" si="3"/>
        <v>0</v>
      </c>
      <c r="AN37" s="2475">
        <f t="shared" si="14"/>
        <v>0</v>
      </c>
      <c r="AO37" s="2475">
        <f t="shared" si="14"/>
        <v>0</v>
      </c>
      <c r="AP37" s="2475">
        <f t="shared" si="14"/>
        <v>0</v>
      </c>
      <c r="AQ37" s="2475">
        <f t="shared" si="14"/>
        <v>0</v>
      </c>
      <c r="AR37" s="2475">
        <f t="shared" si="14"/>
        <v>0</v>
      </c>
      <c r="AS37" s="2475">
        <f t="shared" si="14"/>
        <v>0</v>
      </c>
      <c r="AT37" s="2475">
        <f t="shared" si="14"/>
        <v>0</v>
      </c>
      <c r="AU37" s="2475">
        <f t="shared" si="4"/>
        <v>0</v>
      </c>
      <c r="AV37" s="2475">
        <f t="shared" si="5"/>
        <v>0</v>
      </c>
      <c r="AW37" s="2476">
        <f t="shared" si="6"/>
        <v>0</v>
      </c>
      <c r="AX37" s="2476">
        <f t="shared" si="6"/>
        <v>0</v>
      </c>
      <c r="AY37" s="2472"/>
      <c r="AZ37" s="2477"/>
      <c r="BA37" s="2477"/>
      <c r="BB37" s="2472"/>
      <c r="BC37" s="2472"/>
      <c r="BD37" s="2472"/>
      <c r="BE37" s="2472"/>
      <c r="BF37" s="2478"/>
      <c r="BG37" s="2478"/>
      <c r="BH37" s="2502"/>
    </row>
    <row r="38" spans="1:60" ht="15" customHeight="1">
      <c r="A38" s="2500">
        <v>13</v>
      </c>
      <c r="B38" s="1021" t="s">
        <v>1334</v>
      </c>
      <c r="C38" s="1024" t="s">
        <v>169</v>
      </c>
      <c r="D38" s="2473">
        <f>'T-7(ENS)'!D39</f>
        <v>6.8</v>
      </c>
      <c r="E38" s="2473">
        <f>'T-7(ENS)'!E39</f>
        <v>0</v>
      </c>
      <c r="F38" s="2474">
        <f>'T-7(ENS)'!F39</f>
        <v>58</v>
      </c>
      <c r="G38" s="2474">
        <f>'T-7(ENS)'!G39</f>
        <v>6902.27</v>
      </c>
      <c r="H38" s="2474">
        <f>'T-7(ENS)'!H39</f>
        <v>6844.27</v>
      </c>
      <c r="I38" s="2474">
        <f>'T-7(ENS)'!I39</f>
        <v>20</v>
      </c>
      <c r="J38" s="2474">
        <f>'T-7(ENS)'!J39</f>
        <v>490</v>
      </c>
      <c r="K38" s="2475">
        <f>'T-7(ENS)'!K39</f>
        <v>0</v>
      </c>
      <c r="L38" s="2475">
        <f>'T-7(ENS)'!L39</f>
        <v>0</v>
      </c>
      <c r="M38" s="2475">
        <f>'T-7(ENS)'!M39</f>
        <v>0</v>
      </c>
      <c r="N38" s="2475">
        <f>'T-7(ENS)'!N39</f>
        <v>250</v>
      </c>
      <c r="O38" s="2475">
        <f>'T-7(ENS)'!O39</f>
        <v>0</v>
      </c>
      <c r="P38" s="2474">
        <f>'T-7(ENS)'!P39</f>
        <v>532.24241568627451</v>
      </c>
      <c r="Q38" s="2475">
        <f>'T-7(ENS)'!Q39</f>
        <v>0.14724842666666668</v>
      </c>
      <c r="R38" s="2475">
        <f>'T-7(ENS)'!R39</f>
        <v>3.298</v>
      </c>
      <c r="S38" s="2475">
        <f>'T-7(ENS)'!S39</f>
        <v>0</v>
      </c>
      <c r="T38" s="2475">
        <f>'T-7(ENS)'!T39</f>
        <v>0.17399999999999999</v>
      </c>
      <c r="U38" s="2475">
        <f>'T-7(ENS)'!U39</f>
        <v>3.6192484266666667</v>
      </c>
      <c r="V38" s="2475">
        <f>'T-7(ENS)'!V39</f>
        <v>0.1</v>
      </c>
      <c r="W38" s="2475">
        <f>'T-7(ENS)'!W39</f>
        <v>522.24241568627451</v>
      </c>
      <c r="X38" s="2475">
        <f>'T-7(ENS)'!X39</f>
        <v>6.8</v>
      </c>
      <c r="Y38" s="2475">
        <f>'T-7(ENS)'!Y39</f>
        <v>6.8000000000000005E-2</v>
      </c>
      <c r="Z38" s="2475">
        <f>'T-7(ENS)'!Z39</f>
        <v>0</v>
      </c>
      <c r="AA38" s="2475">
        <f>'T-7(ENS)'!AA39</f>
        <v>3.5512484266666666</v>
      </c>
      <c r="AB38" s="2474">
        <f t="shared" si="12"/>
        <v>20</v>
      </c>
      <c r="AC38" s="2474">
        <f t="shared" si="12"/>
        <v>490</v>
      </c>
      <c r="AD38" s="2474">
        <f t="shared" si="12"/>
        <v>0</v>
      </c>
      <c r="AE38" s="2475">
        <f t="shared" si="12"/>
        <v>0</v>
      </c>
      <c r="AF38" s="2475">
        <f t="shared" si="12"/>
        <v>0</v>
      </c>
      <c r="AG38" s="2475">
        <f t="shared" si="12"/>
        <v>250</v>
      </c>
      <c r="AH38" s="2475">
        <f t="shared" si="12"/>
        <v>0</v>
      </c>
      <c r="AI38" s="2475">
        <f t="shared" si="12"/>
        <v>532.24241568627451</v>
      </c>
      <c r="AJ38" s="2475">
        <f t="shared" si="12"/>
        <v>0.14724842666666668</v>
      </c>
      <c r="AK38" s="2475">
        <f t="shared" si="13"/>
        <v>3.298</v>
      </c>
      <c r="AL38" s="2475">
        <f t="shared" si="2"/>
        <v>0</v>
      </c>
      <c r="AM38" s="2475">
        <f t="shared" si="3"/>
        <v>250</v>
      </c>
      <c r="AN38" s="2475">
        <f t="shared" si="14"/>
        <v>3.6192484266666667</v>
      </c>
      <c r="AO38" s="2475">
        <f t="shared" si="14"/>
        <v>0.1</v>
      </c>
      <c r="AP38" s="2475">
        <f t="shared" si="14"/>
        <v>522.24241568627451</v>
      </c>
      <c r="AQ38" s="2475">
        <f t="shared" si="14"/>
        <v>6.8</v>
      </c>
      <c r="AR38" s="2475">
        <f t="shared" si="14"/>
        <v>6.8000000000000005E-2</v>
      </c>
      <c r="AS38" s="2475">
        <f t="shared" si="14"/>
        <v>0</v>
      </c>
      <c r="AT38" s="2475">
        <f t="shared" si="14"/>
        <v>3.5512484266666666</v>
      </c>
      <c r="AU38" s="2475">
        <f t="shared" si="4"/>
        <v>3.5512484266666666</v>
      </c>
      <c r="AV38" s="2475">
        <f t="shared" si="5"/>
        <v>0</v>
      </c>
      <c r="AW38" s="2476">
        <f t="shared" si="6"/>
        <v>0</v>
      </c>
      <c r="AX38" s="2476">
        <f t="shared" si="6"/>
        <v>0</v>
      </c>
      <c r="AY38" s="2472"/>
      <c r="AZ38" s="2477">
        <f>'T-7(ENS)'!AB39</f>
        <v>1.3015633223994187</v>
      </c>
      <c r="BA38" s="2477">
        <f t="shared" ref="BA38:BA53" si="15">AZ38</f>
        <v>1.3015633223994187</v>
      </c>
      <c r="BB38" s="2472"/>
      <c r="BC38" s="2472"/>
      <c r="BD38" s="2472"/>
      <c r="BE38" s="2472"/>
      <c r="BF38" s="2478">
        <f>D38*$G$68/1000</f>
        <v>2.7284484477635527</v>
      </c>
      <c r="BG38" s="2478">
        <f>BF38*$D$71-AT38</f>
        <v>-1.2429529515511741</v>
      </c>
      <c r="BH38" s="2502">
        <f t="shared" ref="BH38:BH53" si="16">BG38/D38*10</f>
        <v>-1.827871987575256</v>
      </c>
    </row>
    <row r="39" spans="1:60" ht="15" customHeight="1">
      <c r="A39" s="2500">
        <f>A38+1</f>
        <v>14</v>
      </c>
      <c r="B39" s="1021" t="s">
        <v>4085</v>
      </c>
      <c r="C39" s="1024" t="s">
        <v>169</v>
      </c>
      <c r="D39" s="2473">
        <f>'T-7(ENS)'!D40</f>
        <v>4.29</v>
      </c>
      <c r="E39" s="2473">
        <f>'T-7(ENS)'!E40</f>
        <v>0</v>
      </c>
      <c r="F39" s="2474">
        <f>'T-7(ENS)'!F40</f>
        <v>121</v>
      </c>
      <c r="G39" s="2474">
        <f>'T-7(ENS)'!G40</f>
        <v>30000</v>
      </c>
      <c r="H39" s="2474">
        <f>'T-7(ENS)'!H40</f>
        <v>29879</v>
      </c>
      <c r="I39" s="2474">
        <f>'T-7(ENS)'!I40</f>
        <v>30</v>
      </c>
      <c r="J39" s="2474">
        <f>'T-7(ENS)'!J40</f>
        <v>140</v>
      </c>
      <c r="K39" s="2475">
        <f>'T-7(ENS)'!K40</f>
        <v>0</v>
      </c>
      <c r="L39" s="2475">
        <f>'T-7(ENS)'!L40</f>
        <v>0</v>
      </c>
      <c r="M39" s="2475">
        <f>'T-7(ENS)'!M40</f>
        <v>0</v>
      </c>
      <c r="N39" s="2475">
        <f>'T-7(ENS)'!N40</f>
        <v>250</v>
      </c>
      <c r="O39" s="2475">
        <f>'T-7(ENS)'!O40</f>
        <v>0</v>
      </c>
      <c r="P39" s="2474">
        <f>'T-7(ENS)'!P40</f>
        <v>0</v>
      </c>
      <c r="Q39" s="2475">
        <f>'T-7(ENS)'!Q40</f>
        <v>0.96000000000000019</v>
      </c>
      <c r="R39" s="2475">
        <f>'T-7(ENS)'!R40</f>
        <v>0.58987500000000004</v>
      </c>
      <c r="S39" s="2475">
        <f>'T-7(ENS)'!S40</f>
        <v>0</v>
      </c>
      <c r="T39" s="2475">
        <f>'T-7(ENS)'!T40</f>
        <v>0.36299999999999999</v>
      </c>
      <c r="U39" s="2475">
        <f>'T-7(ENS)'!U40</f>
        <v>1.9128750000000001</v>
      </c>
      <c r="V39" s="2475">
        <f>'T-7(ENS)'!V40</f>
        <v>0.1</v>
      </c>
      <c r="W39" s="2475">
        <f>'T-7(ENS)'!W40</f>
        <v>0</v>
      </c>
      <c r="X39" s="2475">
        <f>'T-7(ENS)'!X40</f>
        <v>4.29</v>
      </c>
      <c r="Y39" s="2475">
        <f>'T-7(ENS)'!Y40</f>
        <v>4.2900000000000001E-2</v>
      </c>
      <c r="Z39" s="2475">
        <f>'T-7(ENS)'!Z40</f>
        <v>0</v>
      </c>
      <c r="AA39" s="2475">
        <f>'T-7(ENS)'!AA40</f>
        <v>1.8699750000000002</v>
      </c>
      <c r="AB39" s="2474">
        <f t="shared" si="12"/>
        <v>30</v>
      </c>
      <c r="AC39" s="2474">
        <f t="shared" si="12"/>
        <v>140</v>
      </c>
      <c r="AD39" s="2474">
        <f t="shared" si="12"/>
        <v>0</v>
      </c>
      <c r="AE39" s="2475">
        <f t="shared" si="12"/>
        <v>0</v>
      </c>
      <c r="AF39" s="2475">
        <f t="shared" si="12"/>
        <v>0</v>
      </c>
      <c r="AG39" s="2475">
        <f t="shared" si="12"/>
        <v>250</v>
      </c>
      <c r="AH39" s="2475">
        <f t="shared" si="12"/>
        <v>0</v>
      </c>
      <c r="AI39" s="2475">
        <f t="shared" si="12"/>
        <v>0</v>
      </c>
      <c r="AJ39" s="2475">
        <f t="shared" si="12"/>
        <v>0.96000000000000019</v>
      </c>
      <c r="AK39" s="2475">
        <f t="shared" si="13"/>
        <v>0.58987500000000004</v>
      </c>
      <c r="AL39" s="2475">
        <f t="shared" si="2"/>
        <v>0</v>
      </c>
      <c r="AM39" s="2475">
        <f t="shared" si="3"/>
        <v>250</v>
      </c>
      <c r="AN39" s="2475">
        <f t="shared" si="14"/>
        <v>1.9128750000000001</v>
      </c>
      <c r="AO39" s="2475">
        <f t="shared" si="14"/>
        <v>0.1</v>
      </c>
      <c r="AP39" s="2475">
        <f t="shared" si="14"/>
        <v>0</v>
      </c>
      <c r="AQ39" s="2475">
        <f t="shared" si="14"/>
        <v>4.29</v>
      </c>
      <c r="AR39" s="2475">
        <f t="shared" si="14"/>
        <v>4.2900000000000001E-2</v>
      </c>
      <c r="AS39" s="2475">
        <f t="shared" si="14"/>
        <v>0</v>
      </c>
      <c r="AT39" s="2475">
        <f t="shared" si="14"/>
        <v>1.8699750000000002</v>
      </c>
      <c r="AU39" s="2475">
        <f t="shared" si="4"/>
        <v>1.8699750000000002</v>
      </c>
      <c r="AV39" s="2475">
        <f t="shared" si="5"/>
        <v>0</v>
      </c>
      <c r="AW39" s="2476">
        <f t="shared" si="6"/>
        <v>0</v>
      </c>
      <c r="AX39" s="2476">
        <f t="shared" si="6"/>
        <v>0</v>
      </c>
      <c r="AY39" s="2472"/>
      <c r="AZ39" s="2477">
        <f>'T-7(ENS)'!AB40</f>
        <v>0</v>
      </c>
      <c r="BA39" s="2477">
        <f t="shared" si="15"/>
        <v>0</v>
      </c>
      <c r="BB39" s="2472"/>
      <c r="BC39" s="2472"/>
      <c r="BD39" s="2472"/>
      <c r="BE39" s="2472"/>
      <c r="BF39" s="2478">
        <f t="shared" ref="BF39:BF53" si="17">D39*$G$68/1000</f>
        <v>1.7213299766037711</v>
      </c>
      <c r="BG39" s="2478">
        <f t="shared" ref="BG39:BG63" si="18">BF39*$D$71-AT39</f>
        <v>-0.41371211937566699</v>
      </c>
      <c r="BH39" s="2502"/>
    </row>
    <row r="40" spans="1:60" ht="15" customHeight="1">
      <c r="A40" s="2500">
        <f t="shared" ref="A40:A52" si="19">A39+1</f>
        <v>15</v>
      </c>
      <c r="B40" s="1021" t="s">
        <v>4086</v>
      </c>
      <c r="C40" s="1024" t="s">
        <v>169</v>
      </c>
      <c r="D40" s="2473">
        <f>'T-7(ENS)'!D41</f>
        <v>16.748321029999996</v>
      </c>
      <c r="E40" s="2473">
        <f>'T-7(ENS)'!E41</f>
        <v>0</v>
      </c>
      <c r="F40" s="2474">
        <f>'T-7(ENS)'!F41</f>
        <v>300</v>
      </c>
      <c r="G40" s="2474">
        <f>'T-7(ENS)'!G41</f>
        <v>22207.37</v>
      </c>
      <c r="H40" s="2474">
        <f>'T-7(ENS)'!H41</f>
        <v>21907.37</v>
      </c>
      <c r="I40" s="2474">
        <f>'T-7(ENS)'!I41</f>
        <v>30</v>
      </c>
      <c r="J40" s="2474">
        <f>'T-7(ENS)'!J41</f>
        <v>150</v>
      </c>
      <c r="K40" s="2475">
        <f>'T-7(ENS)'!K41</f>
        <v>0</v>
      </c>
      <c r="L40" s="2475">
        <f>'T-7(ENS)'!L41</f>
        <v>0</v>
      </c>
      <c r="M40" s="2475">
        <f>'T-7(ENS)'!M41</f>
        <v>0</v>
      </c>
      <c r="N40" s="2475">
        <f>'T-7(ENS)'!N41</f>
        <v>250</v>
      </c>
      <c r="O40" s="2475">
        <f>'T-7(ENS)'!O41</f>
        <v>0</v>
      </c>
      <c r="P40" s="2474">
        <f>'T-7(ENS)'!P41</f>
        <v>241.16700307541217</v>
      </c>
      <c r="Q40" s="2475">
        <f>'T-7(ENS)'!Q41</f>
        <v>0.71063584000000002</v>
      </c>
      <c r="R40" s="2475">
        <f>'T-7(ENS)'!R41</f>
        <v>2.4285065493499993</v>
      </c>
      <c r="S40" s="2475">
        <f>'T-7(ENS)'!S41</f>
        <v>0</v>
      </c>
      <c r="T40" s="2475">
        <f>'T-7(ENS)'!T41</f>
        <v>0.9</v>
      </c>
      <c r="U40" s="2475">
        <f>'T-7(ENS)'!U41</f>
        <v>4.0391423893499994</v>
      </c>
      <c r="V40" s="2475">
        <f>'T-7(ENS)'!V41</f>
        <v>0.1</v>
      </c>
      <c r="W40" s="2475">
        <f>'T-7(ENS)'!W41</f>
        <v>231.1670030754122</v>
      </c>
      <c r="X40" s="2475">
        <f>'T-7(ENS)'!X41</f>
        <v>16.748321029999996</v>
      </c>
      <c r="Y40" s="2475">
        <f>'T-7(ENS)'!Y41</f>
        <v>0.16748321029999996</v>
      </c>
      <c r="Z40" s="2475">
        <f>'T-7(ENS)'!Z41</f>
        <v>0</v>
      </c>
      <c r="AA40" s="2475">
        <f>'T-7(ENS)'!AA41</f>
        <v>3.8716591790499995</v>
      </c>
      <c r="AB40" s="2474">
        <f t="shared" si="12"/>
        <v>30</v>
      </c>
      <c r="AC40" s="2474">
        <f t="shared" si="12"/>
        <v>150</v>
      </c>
      <c r="AD40" s="2474">
        <f t="shared" si="12"/>
        <v>0</v>
      </c>
      <c r="AE40" s="2475">
        <f t="shared" si="12"/>
        <v>0</v>
      </c>
      <c r="AF40" s="2475">
        <f t="shared" si="12"/>
        <v>0</v>
      </c>
      <c r="AG40" s="2475">
        <f t="shared" si="12"/>
        <v>250</v>
      </c>
      <c r="AH40" s="2475">
        <f t="shared" si="12"/>
        <v>0</v>
      </c>
      <c r="AI40" s="2475">
        <f t="shared" si="12"/>
        <v>241.16700307541217</v>
      </c>
      <c r="AJ40" s="2475">
        <f t="shared" si="12"/>
        <v>0.71063584000000002</v>
      </c>
      <c r="AK40" s="2475">
        <f t="shared" si="13"/>
        <v>2.4285065493499993</v>
      </c>
      <c r="AL40" s="2475">
        <f t="shared" si="2"/>
        <v>0</v>
      </c>
      <c r="AM40" s="2475">
        <f t="shared" si="3"/>
        <v>250</v>
      </c>
      <c r="AN40" s="2475">
        <f t="shared" si="14"/>
        <v>4.0391423893499994</v>
      </c>
      <c r="AO40" s="2475">
        <f t="shared" si="14"/>
        <v>0.1</v>
      </c>
      <c r="AP40" s="2475">
        <f t="shared" si="14"/>
        <v>231.1670030754122</v>
      </c>
      <c r="AQ40" s="2475">
        <f t="shared" si="14"/>
        <v>16.748321029999996</v>
      </c>
      <c r="AR40" s="2475">
        <f t="shared" si="14"/>
        <v>0.16748321029999996</v>
      </c>
      <c r="AS40" s="2475">
        <f t="shared" si="14"/>
        <v>0</v>
      </c>
      <c r="AT40" s="2475">
        <f t="shared" si="14"/>
        <v>3.8716591790499995</v>
      </c>
      <c r="AU40" s="2475">
        <f t="shared" si="4"/>
        <v>3.8716591790499995</v>
      </c>
      <c r="AV40" s="2475">
        <f t="shared" si="5"/>
        <v>0</v>
      </c>
      <c r="AW40" s="2476">
        <f t="shared" si="6"/>
        <v>0</v>
      </c>
      <c r="AX40" s="2476">
        <f t="shared" si="6"/>
        <v>0</v>
      </c>
      <c r="AY40" s="2472"/>
      <c r="AZ40" s="2477">
        <f>'T-7(ENS)'!AB41</f>
        <v>0.5761280269749216</v>
      </c>
      <c r="BA40" s="2477">
        <f t="shared" si="15"/>
        <v>0.5761280269749216</v>
      </c>
      <c r="BB40" s="2472"/>
      <c r="BC40" s="2472"/>
      <c r="BD40" s="2472"/>
      <c r="BE40" s="2472"/>
      <c r="BF40" s="2478">
        <f t="shared" si="17"/>
        <v>6.7201368407278181</v>
      </c>
      <c r="BG40" s="2478">
        <f t="shared" si="18"/>
        <v>1.8136457693809773</v>
      </c>
      <c r="BH40" s="2502">
        <f t="shared" si="16"/>
        <v>1.0828821385333678</v>
      </c>
    </row>
    <row r="41" spans="1:60" ht="15" customHeight="1">
      <c r="A41" s="2500">
        <f t="shared" si="19"/>
        <v>16</v>
      </c>
      <c r="B41" s="1021" t="s">
        <v>4087</v>
      </c>
      <c r="C41" s="1024" t="s">
        <v>169</v>
      </c>
      <c r="D41" s="2473">
        <f>'T-7(ENS)'!D42</f>
        <v>1.75</v>
      </c>
      <c r="E41" s="2473">
        <f>'T-7(ENS)'!E42</f>
        <v>0</v>
      </c>
      <c r="F41" s="2474">
        <f>'T-7(ENS)'!F42</f>
        <v>15</v>
      </c>
      <c r="G41" s="2474">
        <f>'T-7(ENS)'!G42</f>
        <v>2187.13</v>
      </c>
      <c r="H41" s="2474">
        <f>'T-7(ENS)'!H42</f>
        <v>2172.13</v>
      </c>
      <c r="I41" s="2474">
        <f>'T-7(ENS)'!I42</f>
        <v>50</v>
      </c>
      <c r="J41" s="2474">
        <f>'T-7(ENS)'!J42</f>
        <v>460</v>
      </c>
      <c r="K41" s="2475">
        <f>'T-7(ENS)'!K42</f>
        <v>0</v>
      </c>
      <c r="L41" s="2475">
        <f>'T-7(ENS)'!L42</f>
        <v>0</v>
      </c>
      <c r="M41" s="2475">
        <f>'T-7(ENS)'!M42</f>
        <v>0</v>
      </c>
      <c r="N41" s="2475">
        <f>'T-7(ENS)'!N42</f>
        <v>250</v>
      </c>
      <c r="O41" s="2475">
        <f>'T-7(ENS)'!O42</f>
        <v>0</v>
      </c>
      <c r="P41" s="2474">
        <f>'T-7(ENS)'!P42</f>
        <v>547.36967619047618</v>
      </c>
      <c r="Q41" s="2475">
        <f>'T-7(ENS)'!Q42</f>
        <v>0.11664693333333336</v>
      </c>
      <c r="R41" s="2475">
        <f>'T-7(ENS)'!R42</f>
        <v>0.79625000000000001</v>
      </c>
      <c r="S41" s="2475">
        <f>'T-7(ENS)'!S42</f>
        <v>0</v>
      </c>
      <c r="T41" s="2475">
        <f>'T-7(ENS)'!T42</f>
        <v>4.4999999999999998E-2</v>
      </c>
      <c r="U41" s="2475">
        <f>'T-7(ENS)'!U42</f>
        <v>0.95789693333333337</v>
      </c>
      <c r="V41" s="2475">
        <f>'T-7(ENS)'!V42</f>
        <v>0</v>
      </c>
      <c r="W41" s="2475">
        <f>'T-7(ENS)'!W42</f>
        <v>541.89597942857154</v>
      </c>
      <c r="X41" s="2475">
        <f>'T-7(ENS)'!X42</f>
        <v>0</v>
      </c>
      <c r="Y41" s="2475">
        <f>'T-7(ENS)'!Y42</f>
        <v>0</v>
      </c>
      <c r="Z41" s="2475">
        <f>'T-7(ENS)'!Z42</f>
        <v>9.5789693333333346E-3</v>
      </c>
      <c r="AA41" s="2475">
        <f>'T-7(ENS)'!AA42</f>
        <v>0.94831796400000001</v>
      </c>
      <c r="AB41" s="2474">
        <f t="shared" si="12"/>
        <v>50</v>
      </c>
      <c r="AC41" s="2474">
        <f t="shared" si="12"/>
        <v>460</v>
      </c>
      <c r="AD41" s="2474">
        <f t="shared" si="12"/>
        <v>0</v>
      </c>
      <c r="AE41" s="2475">
        <f t="shared" si="12"/>
        <v>0</v>
      </c>
      <c r="AF41" s="2475">
        <f t="shared" si="12"/>
        <v>0</v>
      </c>
      <c r="AG41" s="2475">
        <f t="shared" si="12"/>
        <v>250</v>
      </c>
      <c r="AH41" s="2475">
        <f t="shared" si="12"/>
        <v>0</v>
      </c>
      <c r="AI41" s="2475">
        <f t="shared" si="12"/>
        <v>547.36967619047618</v>
      </c>
      <c r="AJ41" s="2475">
        <f t="shared" si="12"/>
        <v>0.11664693333333336</v>
      </c>
      <c r="AK41" s="2475">
        <f t="shared" si="13"/>
        <v>0.79625000000000001</v>
      </c>
      <c r="AL41" s="2475">
        <f t="shared" si="2"/>
        <v>0</v>
      </c>
      <c r="AM41" s="2475">
        <f t="shared" si="3"/>
        <v>250</v>
      </c>
      <c r="AN41" s="2475">
        <f t="shared" si="14"/>
        <v>0.95789693333333337</v>
      </c>
      <c r="AO41" s="2475">
        <f t="shared" si="14"/>
        <v>0</v>
      </c>
      <c r="AP41" s="2475">
        <f t="shared" si="14"/>
        <v>541.89597942857154</v>
      </c>
      <c r="AQ41" s="2475">
        <f t="shared" si="14"/>
        <v>0</v>
      </c>
      <c r="AR41" s="2475">
        <f t="shared" si="14"/>
        <v>0</v>
      </c>
      <c r="AS41" s="2475">
        <f t="shared" si="14"/>
        <v>9.5789693333333346E-3</v>
      </c>
      <c r="AT41" s="2475">
        <f t="shared" si="14"/>
        <v>0.94831796400000001</v>
      </c>
      <c r="AU41" s="2475">
        <f t="shared" si="4"/>
        <v>0.94831796400000001</v>
      </c>
      <c r="AV41" s="2475">
        <f t="shared" si="5"/>
        <v>0</v>
      </c>
      <c r="AW41" s="2476">
        <f t="shared" si="6"/>
        <v>0</v>
      </c>
      <c r="AX41" s="2476">
        <f t="shared" si="6"/>
        <v>0</v>
      </c>
      <c r="AY41" s="2472"/>
      <c r="AZ41" s="2477">
        <f>'T-7(ENS)'!AB42</f>
        <v>1.350545092077774</v>
      </c>
      <c r="BA41" s="2477">
        <f t="shared" si="15"/>
        <v>1.350545092077774</v>
      </c>
      <c r="BB41" s="2472"/>
      <c r="BC41" s="2472"/>
      <c r="BD41" s="2472"/>
      <c r="BE41" s="2472"/>
      <c r="BF41" s="2478">
        <f t="shared" si="17"/>
        <v>0.7021742328803261</v>
      </c>
      <c r="BG41" s="2478">
        <f t="shared" si="18"/>
        <v>-0.35427133437468938</v>
      </c>
      <c r="BH41" s="2502">
        <f t="shared" si="16"/>
        <v>-2.0244076249982252</v>
      </c>
    </row>
    <row r="42" spans="1:60" ht="15" customHeight="1">
      <c r="A42" s="2500">
        <f t="shared" si="19"/>
        <v>17</v>
      </c>
      <c r="B42" s="1021" t="s">
        <v>4090</v>
      </c>
      <c r="C42" s="1024" t="s">
        <v>169</v>
      </c>
      <c r="D42" s="2473">
        <f>'T-7(ENS)'!D43</f>
        <v>24.425999999999998</v>
      </c>
      <c r="E42" s="2473">
        <f>'T-7(ENS)'!E43</f>
        <v>0</v>
      </c>
      <c r="F42" s="2474">
        <f>'T-7(ENS)'!F43</f>
        <v>134</v>
      </c>
      <c r="G42" s="2474">
        <f>'T-7(ENS)'!G43</f>
        <v>20356.760000000002</v>
      </c>
      <c r="H42" s="2474">
        <f>'T-7(ENS)'!H43</f>
        <v>20222.760000000002</v>
      </c>
      <c r="I42" s="2474">
        <f>'T-7(ENS)'!I43</f>
        <v>250</v>
      </c>
      <c r="J42" s="2474">
        <f>'T-7(ENS)'!J43</f>
        <v>585</v>
      </c>
      <c r="K42" s="2475">
        <f>'T-7(ENS)'!K43</f>
        <v>475</v>
      </c>
      <c r="L42" s="2475">
        <f>'T-7(ENS)'!L43</f>
        <v>0</v>
      </c>
      <c r="M42" s="2475">
        <f>'T-7(ENS)'!M43</f>
        <v>0</v>
      </c>
      <c r="N42" s="2475">
        <f>'T-7(ENS)'!N43</f>
        <v>250</v>
      </c>
      <c r="O42" s="2475">
        <f>'T-7(ENS)'!O43</f>
        <v>0</v>
      </c>
      <c r="P42" s="2474">
        <f>'T-7(ENS)'!P43</f>
        <v>818.69930947897046</v>
      </c>
      <c r="Q42" s="2475">
        <f>'T-7(ENS)'!Q43</f>
        <v>5.428469333333334</v>
      </c>
      <c r="R42" s="2475">
        <f>'T-7(ENS)'!R43</f>
        <v>14.167079999999999</v>
      </c>
      <c r="S42" s="2475">
        <f>'T-7(ENS)'!S43</f>
        <v>0</v>
      </c>
      <c r="T42" s="2475">
        <f>'T-7(ENS)'!T43</f>
        <v>0.40200000000000002</v>
      </c>
      <c r="U42" s="2475">
        <f>'T-7(ENS)'!U43</f>
        <v>19.997549333333332</v>
      </c>
      <c r="V42" s="2475">
        <f>'T-7(ENS)'!V43</f>
        <v>0</v>
      </c>
      <c r="W42" s="2475">
        <f>'T-7(ENS)'!W43</f>
        <v>810.51231638418074</v>
      </c>
      <c r="X42" s="2475">
        <f>'T-7(ENS)'!X43</f>
        <v>0</v>
      </c>
      <c r="Y42" s="2475">
        <f>'T-7(ENS)'!Y43</f>
        <v>0</v>
      </c>
      <c r="Z42" s="2475">
        <f>'T-7(ENS)'!Z43</f>
        <v>0.19997549333333331</v>
      </c>
      <c r="AA42" s="2475">
        <f>'T-7(ENS)'!AA43</f>
        <v>19.797573839999998</v>
      </c>
      <c r="AB42" s="2474">
        <f t="shared" si="12"/>
        <v>250</v>
      </c>
      <c r="AC42" s="2474">
        <f t="shared" si="12"/>
        <v>585</v>
      </c>
      <c r="AD42" s="2474">
        <f t="shared" si="12"/>
        <v>475</v>
      </c>
      <c r="AE42" s="2475">
        <f t="shared" si="12"/>
        <v>0</v>
      </c>
      <c r="AF42" s="2475">
        <f t="shared" si="12"/>
        <v>0</v>
      </c>
      <c r="AG42" s="2475">
        <f t="shared" si="12"/>
        <v>250</v>
      </c>
      <c r="AH42" s="2475">
        <f t="shared" si="12"/>
        <v>0</v>
      </c>
      <c r="AI42" s="2475">
        <f t="shared" si="12"/>
        <v>818.69930947897046</v>
      </c>
      <c r="AJ42" s="2475">
        <f t="shared" si="12"/>
        <v>5.428469333333334</v>
      </c>
      <c r="AK42" s="2475">
        <f t="shared" si="13"/>
        <v>14.167079999999999</v>
      </c>
      <c r="AL42" s="2475">
        <f t="shared" si="2"/>
        <v>0</v>
      </c>
      <c r="AM42" s="2475">
        <f t="shared" si="3"/>
        <v>250</v>
      </c>
      <c r="AN42" s="2475">
        <f t="shared" si="14"/>
        <v>19.997549333333332</v>
      </c>
      <c r="AO42" s="2475">
        <f t="shared" si="14"/>
        <v>0</v>
      </c>
      <c r="AP42" s="2475">
        <f t="shared" si="14"/>
        <v>810.51231638418074</v>
      </c>
      <c r="AQ42" s="2475">
        <f t="shared" si="14"/>
        <v>0</v>
      </c>
      <c r="AR42" s="2475">
        <f t="shared" si="14"/>
        <v>0</v>
      </c>
      <c r="AS42" s="2475">
        <f t="shared" si="14"/>
        <v>0.19997549333333331</v>
      </c>
      <c r="AT42" s="2475">
        <f t="shared" si="14"/>
        <v>19.797573839999998</v>
      </c>
      <c r="AU42" s="2475">
        <f t="shared" si="4"/>
        <v>19.797573839999998</v>
      </c>
      <c r="AV42" s="2475">
        <f t="shared" si="5"/>
        <v>0</v>
      </c>
      <c r="AW42" s="2476">
        <f t="shared" si="6"/>
        <v>0</v>
      </c>
      <c r="AX42" s="2476">
        <f t="shared" si="6"/>
        <v>0</v>
      </c>
      <c r="AY42" s="2478"/>
      <c r="AZ42" s="2477">
        <f>'T-7(ENS)'!AB43</f>
        <v>2.020006555714867</v>
      </c>
      <c r="BA42" s="2477">
        <f t="shared" si="15"/>
        <v>2.020006555714867</v>
      </c>
      <c r="BB42" s="2478"/>
      <c r="BC42" s="2478"/>
      <c r="BD42" s="2478"/>
      <c r="BE42" s="2478"/>
      <c r="BF42" s="2478">
        <f t="shared" si="17"/>
        <v>9.800747321334196</v>
      </c>
      <c r="BG42" s="2478">
        <f t="shared" si="18"/>
        <v>-11.506040711298379</v>
      </c>
      <c r="BH42" s="2502">
        <f t="shared" si="16"/>
        <v>-4.7105709945543186</v>
      </c>
    </row>
    <row r="43" spans="1:60" ht="15" customHeight="1">
      <c r="A43" s="2500">
        <f t="shared" si="19"/>
        <v>18</v>
      </c>
      <c r="B43" s="1021" t="s">
        <v>4095</v>
      </c>
      <c r="C43" s="1024" t="s">
        <v>169</v>
      </c>
      <c r="D43" s="2473">
        <f>'T-7(ENS)'!D44</f>
        <v>12.509414705999999</v>
      </c>
      <c r="E43" s="2473">
        <f>'T-7(ENS)'!E44</f>
        <v>0</v>
      </c>
      <c r="F43" s="2474">
        <f>'T-7(ENS)'!F44</f>
        <v>152</v>
      </c>
      <c r="G43" s="2474">
        <f>'T-7(ENS)'!G44</f>
        <v>13658.86</v>
      </c>
      <c r="H43" s="2474">
        <f>'T-7(ENS)'!H44</f>
        <v>13506.86</v>
      </c>
      <c r="I43" s="2474">
        <f>'T-7(ENS)'!I44</f>
        <v>250</v>
      </c>
      <c r="J43" s="2474">
        <f>'T-7(ENS)'!J44</f>
        <v>585</v>
      </c>
      <c r="K43" s="2475">
        <f>'T-7(ENS)'!K44</f>
        <v>475</v>
      </c>
      <c r="L43" s="2475">
        <f>'T-7(ENS)'!L44</f>
        <v>0</v>
      </c>
      <c r="M43" s="2475">
        <f>'T-7(ENS)'!M44</f>
        <v>0</v>
      </c>
      <c r="N43" s="2475">
        <f>'T-7(ENS)'!N44</f>
        <v>250</v>
      </c>
      <c r="O43" s="2475">
        <f>'T-7(ENS)'!O44</f>
        <v>0</v>
      </c>
      <c r="P43" s="2474">
        <f>'T-7(ENS)'!P44</f>
        <v>907.62225595582277</v>
      </c>
      <c r="Q43" s="2475">
        <f>'T-7(ENS)'!Q44</f>
        <v>3.6423626666666666</v>
      </c>
      <c r="R43" s="2475">
        <f>'T-7(ENS)'!R44</f>
        <v>7.2554605294799996</v>
      </c>
      <c r="S43" s="2475">
        <f>'T-7(ENS)'!S44</f>
        <v>0</v>
      </c>
      <c r="T43" s="2475">
        <f>'T-7(ENS)'!T44</f>
        <v>0.45600000000000002</v>
      </c>
      <c r="U43" s="2475">
        <f>'T-7(ENS)'!U44</f>
        <v>11.353823196146665</v>
      </c>
      <c r="V43" s="2475">
        <f>'T-7(ENS)'!V44</f>
        <v>0.1</v>
      </c>
      <c r="W43" s="2475">
        <f>'T-7(ENS)'!W44</f>
        <v>907.62225595582277</v>
      </c>
      <c r="X43" s="2475">
        <f>'T-7(ENS)'!X44</f>
        <v>0</v>
      </c>
      <c r="Y43" s="2475">
        <f>'T-7(ENS)'!Y44</f>
        <v>0</v>
      </c>
      <c r="Z43" s="2475">
        <f>'T-7(ENS)'!Z44</f>
        <v>0</v>
      </c>
      <c r="AA43" s="2475">
        <f>'T-7(ENS)'!AA44</f>
        <v>11.353823196146665</v>
      </c>
      <c r="AB43" s="2474">
        <f t="shared" si="12"/>
        <v>250</v>
      </c>
      <c r="AC43" s="2474">
        <f t="shared" si="12"/>
        <v>585</v>
      </c>
      <c r="AD43" s="2474">
        <f t="shared" si="12"/>
        <v>475</v>
      </c>
      <c r="AE43" s="2475">
        <f t="shared" si="12"/>
        <v>0</v>
      </c>
      <c r="AF43" s="2475">
        <f t="shared" si="12"/>
        <v>0</v>
      </c>
      <c r="AG43" s="2475">
        <f t="shared" si="12"/>
        <v>250</v>
      </c>
      <c r="AH43" s="2475">
        <f t="shared" si="12"/>
        <v>0</v>
      </c>
      <c r="AI43" s="2475">
        <f t="shared" si="12"/>
        <v>907.62225595582277</v>
      </c>
      <c r="AJ43" s="2475">
        <f t="shared" si="12"/>
        <v>3.6423626666666666</v>
      </c>
      <c r="AK43" s="2475">
        <f t="shared" si="13"/>
        <v>7.2554605294799996</v>
      </c>
      <c r="AL43" s="2475">
        <f t="shared" si="2"/>
        <v>0</v>
      </c>
      <c r="AM43" s="2475">
        <f t="shared" si="3"/>
        <v>250</v>
      </c>
      <c r="AN43" s="2475">
        <f t="shared" si="14"/>
        <v>11.353823196146665</v>
      </c>
      <c r="AO43" s="2475">
        <f t="shared" si="14"/>
        <v>0.1</v>
      </c>
      <c r="AP43" s="2475">
        <f t="shared" si="14"/>
        <v>907.62225595582277</v>
      </c>
      <c r="AQ43" s="2475">
        <f t="shared" si="14"/>
        <v>0</v>
      </c>
      <c r="AR43" s="2475">
        <f t="shared" si="14"/>
        <v>0</v>
      </c>
      <c r="AS43" s="2475">
        <f t="shared" si="14"/>
        <v>0</v>
      </c>
      <c r="AT43" s="2475">
        <f t="shared" si="14"/>
        <v>11.353823196146665</v>
      </c>
      <c r="AU43" s="2475">
        <f t="shared" si="4"/>
        <v>11.353823196146665</v>
      </c>
      <c r="AV43" s="2475">
        <f t="shared" si="5"/>
        <v>0</v>
      </c>
      <c r="AW43" s="2476">
        <f t="shared" si="6"/>
        <v>0</v>
      </c>
      <c r="AX43" s="2476">
        <f t="shared" si="6"/>
        <v>0</v>
      </c>
      <c r="AY43" s="2478"/>
      <c r="AZ43" s="2477">
        <f>'T-7(ENS)'!AB44</f>
        <v>2.26202966948432</v>
      </c>
      <c r="BA43" s="2477">
        <f t="shared" si="15"/>
        <v>2.26202966948432</v>
      </c>
      <c r="BB43" s="2478"/>
      <c r="BC43" s="2478"/>
      <c r="BD43" s="2478"/>
      <c r="BE43" s="2478"/>
      <c r="BF43" s="2478">
        <f t="shared" si="17"/>
        <v>5.0193078142670977</v>
      </c>
      <c r="BG43" s="2478">
        <f t="shared" si="18"/>
        <v>-7.1074371134697527</v>
      </c>
      <c r="BH43" s="2502">
        <f t="shared" si="16"/>
        <v>-5.6816703902707379</v>
      </c>
    </row>
    <row r="44" spans="1:60" ht="15" customHeight="1">
      <c r="A44" s="2500">
        <f t="shared" si="19"/>
        <v>19</v>
      </c>
      <c r="B44" s="1021" t="s">
        <v>4093</v>
      </c>
      <c r="C44" s="1024"/>
      <c r="D44" s="2473">
        <f>'T-7(ENS)'!D45</f>
        <v>45.667000000000002</v>
      </c>
      <c r="E44" s="2473">
        <f>'T-7(ENS)'!E45</f>
        <v>0</v>
      </c>
      <c r="F44" s="2474">
        <f>'T-7(ENS)'!F45</f>
        <v>902</v>
      </c>
      <c r="G44" s="2474">
        <f>'T-7(ENS)'!G45</f>
        <v>57098.79</v>
      </c>
      <c r="H44" s="2474">
        <f>'T-7(ENS)'!H45</f>
        <v>56196.79</v>
      </c>
      <c r="I44" s="2474">
        <f>'T-7(ENS)'!I45</f>
        <v>250</v>
      </c>
      <c r="J44" s="2474">
        <f>'T-7(ENS)'!J45</f>
        <v>585</v>
      </c>
      <c r="K44" s="2475">
        <f>'T-7(ENS)'!K45</f>
        <v>475</v>
      </c>
      <c r="L44" s="2475">
        <f>'T-7(ENS)'!L45</f>
        <v>0</v>
      </c>
      <c r="M44" s="2475">
        <f>'T-7(ENS)'!M45</f>
        <v>0</v>
      </c>
      <c r="N44" s="2475">
        <f>'T-7(ENS)'!N45</f>
        <v>250</v>
      </c>
      <c r="O44" s="2475">
        <f>'T-7(ENS)'!O45</f>
        <v>0</v>
      </c>
      <c r="P44" s="2474">
        <f>'T-7(ENS)'!P45</f>
        <v>955.1277174695997</v>
      </c>
      <c r="Q44" s="2475">
        <f>'T-7(ENS)'!Q45</f>
        <v>14.424957473684213</v>
      </c>
      <c r="R44" s="2475">
        <f>'T-7(ENS)'!R45</f>
        <v>26.48686</v>
      </c>
      <c r="S44" s="2475">
        <f>'T-7(ENS)'!S45</f>
        <v>0</v>
      </c>
      <c r="T44" s="2475">
        <f>'T-7(ENS)'!T45</f>
        <v>2.706</v>
      </c>
      <c r="U44" s="2475">
        <f>'T-7(ENS)'!U45</f>
        <v>43.617817473684212</v>
      </c>
      <c r="V44" s="2475">
        <f>'T-7(ENS)'!V45</f>
        <v>0</v>
      </c>
      <c r="W44" s="2475">
        <f>'T-7(ENS)'!W45</f>
        <v>945.57644029490359</v>
      </c>
      <c r="X44" s="2475">
        <f>'T-7(ENS)'!X45</f>
        <v>0</v>
      </c>
      <c r="Y44" s="2475">
        <f>'T-7(ENS)'!Y45</f>
        <v>0</v>
      </c>
      <c r="Z44" s="2475">
        <f>'T-7(ENS)'!Z45</f>
        <v>0.43617817473684212</v>
      </c>
      <c r="AA44" s="2475">
        <f>'T-7(ENS)'!AA45</f>
        <v>43.181639298947367</v>
      </c>
      <c r="AB44" s="2474">
        <f t="shared" si="12"/>
        <v>250</v>
      </c>
      <c r="AC44" s="2474">
        <f t="shared" si="12"/>
        <v>585</v>
      </c>
      <c r="AD44" s="2474">
        <f t="shared" si="12"/>
        <v>475</v>
      </c>
      <c r="AE44" s="2475">
        <f t="shared" si="12"/>
        <v>0</v>
      </c>
      <c r="AF44" s="2475">
        <f t="shared" si="12"/>
        <v>0</v>
      </c>
      <c r="AG44" s="2475">
        <f t="shared" si="12"/>
        <v>250</v>
      </c>
      <c r="AH44" s="2475">
        <f t="shared" si="12"/>
        <v>0</v>
      </c>
      <c r="AI44" s="2475">
        <f t="shared" si="12"/>
        <v>955.1277174695997</v>
      </c>
      <c r="AJ44" s="2475">
        <f t="shared" si="12"/>
        <v>14.424957473684213</v>
      </c>
      <c r="AK44" s="2475">
        <f t="shared" si="13"/>
        <v>26.48686</v>
      </c>
      <c r="AL44" s="2475">
        <f t="shared" si="2"/>
        <v>0</v>
      </c>
      <c r="AM44" s="2475">
        <f t="shared" si="3"/>
        <v>250</v>
      </c>
      <c r="AN44" s="2475">
        <f t="shared" si="14"/>
        <v>43.617817473684212</v>
      </c>
      <c r="AO44" s="2475">
        <f t="shared" si="14"/>
        <v>0</v>
      </c>
      <c r="AP44" s="2475">
        <f t="shared" si="14"/>
        <v>945.57644029490359</v>
      </c>
      <c r="AQ44" s="2475">
        <f t="shared" si="14"/>
        <v>0</v>
      </c>
      <c r="AR44" s="2475">
        <f t="shared" si="14"/>
        <v>0</v>
      </c>
      <c r="AS44" s="2475">
        <f t="shared" si="14"/>
        <v>0.43617817473684212</v>
      </c>
      <c r="AT44" s="2475">
        <f t="shared" si="14"/>
        <v>43.181639298947367</v>
      </c>
      <c r="AU44" s="2475">
        <f t="shared" si="4"/>
        <v>43.181639298947367</v>
      </c>
      <c r="AV44" s="2475">
        <f t="shared" si="5"/>
        <v>0</v>
      </c>
      <c r="AW44" s="2476">
        <f t="shared" si="6"/>
        <v>0</v>
      </c>
      <c r="AX44" s="2476">
        <f t="shared" si="6"/>
        <v>0</v>
      </c>
      <c r="AY44" s="2478"/>
      <c r="AZ44" s="2477">
        <f>'T-7(ENS)'!AB45</f>
        <v>2.3566213242092973</v>
      </c>
      <c r="BA44" s="2477">
        <f t="shared" si="15"/>
        <v>2.3566213242092973</v>
      </c>
      <c r="BB44" s="2478"/>
      <c r="BC44" s="2478"/>
      <c r="BD44" s="2478"/>
      <c r="BE44" s="2478"/>
      <c r="BF44" s="2478">
        <f t="shared" si="17"/>
        <v>18.323537538826205</v>
      </c>
      <c r="BG44" s="2478">
        <f t="shared" si="18"/>
        <v>-27.679737907462187</v>
      </c>
      <c r="BH44" s="2502">
        <f t="shared" si="16"/>
        <v>-6.0612122336615473</v>
      </c>
    </row>
    <row r="45" spans="1:60" ht="15" customHeight="1">
      <c r="A45" s="2500">
        <f t="shared" si="19"/>
        <v>20</v>
      </c>
      <c r="B45" s="1021" t="s">
        <v>4096</v>
      </c>
      <c r="C45" s="1024" t="s">
        <v>169</v>
      </c>
      <c r="D45" s="2473">
        <f>'T-7(ENS)'!D46</f>
        <v>45.836118998000003</v>
      </c>
      <c r="E45" s="2473">
        <f>'T-7(ENS)'!E46</f>
        <v>0</v>
      </c>
      <c r="F45" s="2474">
        <f>'T-7(ENS)'!F46</f>
        <v>117</v>
      </c>
      <c r="G45" s="2474">
        <f>'T-7(ENS)'!G46</f>
        <v>25919</v>
      </c>
      <c r="H45" s="2474">
        <f>'T-7(ENS)'!H46</f>
        <v>25802</v>
      </c>
      <c r="I45" s="2474">
        <f>'T-7(ENS)'!I46</f>
        <v>150</v>
      </c>
      <c r="J45" s="2474">
        <f>'T-7(ENS)'!J46</f>
        <v>585</v>
      </c>
      <c r="K45" s="2475">
        <f>'T-7(ENS)'!K46</f>
        <v>475</v>
      </c>
      <c r="L45" s="2475">
        <f>'T-7(ENS)'!L46</f>
        <v>0</v>
      </c>
      <c r="M45" s="2475">
        <f>'T-7(ENS)'!M46</f>
        <v>0</v>
      </c>
      <c r="N45" s="2475">
        <f>'T-7(ENS)'!N46</f>
        <v>250</v>
      </c>
      <c r="O45" s="2475">
        <f>'T-7(ENS)'!O46</f>
        <v>0</v>
      </c>
      <c r="P45" s="2474">
        <f>'T-7(ENS)'!P46</f>
        <v>678.13309019893825</v>
      </c>
      <c r="Q45" s="2475">
        <f>'T-7(ENS)'!Q46</f>
        <v>4.1470399999999996</v>
      </c>
      <c r="R45" s="2475">
        <f>'T-7(ENS)'!R46</f>
        <v>26.58494901884</v>
      </c>
      <c r="S45" s="2475">
        <f>'T-7(ENS)'!S46</f>
        <v>0</v>
      </c>
      <c r="T45" s="2475">
        <f>'T-7(ENS)'!T46</f>
        <v>0.35099999999999998</v>
      </c>
      <c r="U45" s="2475">
        <f>'T-7(ENS)'!U46</f>
        <v>31.082989018839999</v>
      </c>
      <c r="V45" s="2475">
        <f>'T-7(ENS)'!V46</f>
        <v>0</v>
      </c>
      <c r="W45" s="2475">
        <f>'T-7(ENS)'!W46</f>
        <v>671.35175929694879</v>
      </c>
      <c r="X45" s="2475">
        <f>'T-7(ENS)'!X46</f>
        <v>0</v>
      </c>
      <c r="Y45" s="2475">
        <f>'T-7(ENS)'!Y46</f>
        <v>0</v>
      </c>
      <c r="Z45" s="2475">
        <f>'T-7(ENS)'!Z46</f>
        <v>0.31082989018840002</v>
      </c>
      <c r="AA45" s="2475">
        <f>'T-7(ENS)'!AA46</f>
        <v>30.772159128651598</v>
      </c>
      <c r="AB45" s="2474">
        <f t="shared" si="12"/>
        <v>150</v>
      </c>
      <c r="AC45" s="2474">
        <f t="shared" si="12"/>
        <v>585</v>
      </c>
      <c r="AD45" s="2474">
        <f t="shared" si="12"/>
        <v>475</v>
      </c>
      <c r="AE45" s="2475">
        <f t="shared" si="12"/>
        <v>0</v>
      </c>
      <c r="AF45" s="2475">
        <f t="shared" si="12"/>
        <v>0</v>
      </c>
      <c r="AG45" s="2475">
        <f t="shared" si="12"/>
        <v>250</v>
      </c>
      <c r="AH45" s="2475">
        <f t="shared" si="12"/>
        <v>0</v>
      </c>
      <c r="AI45" s="2475">
        <f t="shared" si="12"/>
        <v>678.13309019893825</v>
      </c>
      <c r="AJ45" s="2475">
        <f t="shared" si="12"/>
        <v>4.1470399999999996</v>
      </c>
      <c r="AK45" s="2475">
        <f t="shared" si="13"/>
        <v>26.58494901884</v>
      </c>
      <c r="AL45" s="2475">
        <f t="shared" si="2"/>
        <v>0</v>
      </c>
      <c r="AM45" s="2475">
        <f t="shared" si="3"/>
        <v>250</v>
      </c>
      <c r="AN45" s="2475">
        <f t="shared" si="14"/>
        <v>31.082989018839999</v>
      </c>
      <c r="AO45" s="2475">
        <f t="shared" si="14"/>
        <v>0</v>
      </c>
      <c r="AP45" s="2475">
        <f t="shared" si="14"/>
        <v>671.35175929694879</v>
      </c>
      <c r="AQ45" s="2475">
        <f t="shared" si="14"/>
        <v>0</v>
      </c>
      <c r="AR45" s="2475">
        <f t="shared" si="14"/>
        <v>0</v>
      </c>
      <c r="AS45" s="2475">
        <f t="shared" si="14"/>
        <v>0.31082989018840002</v>
      </c>
      <c r="AT45" s="2475">
        <f t="shared" si="14"/>
        <v>30.772159128651598</v>
      </c>
      <c r="AU45" s="2475">
        <f t="shared" si="4"/>
        <v>30.772159128651598</v>
      </c>
      <c r="AV45" s="2475">
        <f t="shared" si="5"/>
        <v>0</v>
      </c>
      <c r="AW45" s="2476">
        <f t="shared" si="6"/>
        <v>0</v>
      </c>
      <c r="AX45" s="2476">
        <f t="shared" si="6"/>
        <v>0</v>
      </c>
      <c r="AY45" s="2478"/>
      <c r="AZ45" s="2477">
        <f>'T-7(ENS)'!AB46</f>
        <v>1.6731824150686212</v>
      </c>
      <c r="BA45" s="2477">
        <f t="shared" si="15"/>
        <v>1.6731824150686212</v>
      </c>
      <c r="BB45" s="2478"/>
      <c r="BC45" s="2478"/>
      <c r="BD45" s="2478"/>
      <c r="BE45" s="2478"/>
      <c r="BF45" s="2478">
        <f t="shared" si="17"/>
        <v>18.391395254646852</v>
      </c>
      <c r="BG45" s="2478">
        <f t="shared" si="18"/>
        <v>-15.212849411013558</v>
      </c>
      <c r="BH45" s="2502">
        <f t="shared" si="16"/>
        <v>-3.3189654236819983</v>
      </c>
    </row>
    <row r="46" spans="1:60" ht="15" customHeight="1">
      <c r="A46" s="2500">
        <f t="shared" si="19"/>
        <v>21</v>
      </c>
      <c r="B46" s="1021" t="s">
        <v>1332</v>
      </c>
      <c r="C46" s="1024" t="s">
        <v>169</v>
      </c>
      <c r="D46" s="2473">
        <f>'T-7(ENS)'!D47</f>
        <v>27.767368269999992</v>
      </c>
      <c r="E46" s="2473">
        <f>'T-7(ENS)'!E47</f>
        <v>0</v>
      </c>
      <c r="F46" s="2474">
        <f>'T-7(ENS)'!F47</f>
        <v>70</v>
      </c>
      <c r="G46" s="2474">
        <f>'T-7(ENS)'!G47</f>
        <v>15392.21</v>
      </c>
      <c r="H46" s="2474">
        <f>'T-7(ENS)'!H47</f>
        <v>15322.21</v>
      </c>
      <c r="I46" s="2474">
        <f>'T-7(ENS)'!I47</f>
        <v>250</v>
      </c>
      <c r="J46" s="2474">
        <f>'T-7(ENS)'!J47</f>
        <v>585</v>
      </c>
      <c r="K46" s="2475">
        <f>'T-7(ENS)'!K47</f>
        <v>475</v>
      </c>
      <c r="L46" s="2475">
        <f>'T-7(ENS)'!L47</f>
        <v>0</v>
      </c>
      <c r="M46" s="2475">
        <f>'T-7(ENS)'!M47</f>
        <v>0</v>
      </c>
      <c r="N46" s="2475">
        <f>'T-7(ENS)'!N47</f>
        <v>250</v>
      </c>
      <c r="O46" s="2475">
        <f>'T-7(ENS)'!O47</f>
        <v>0</v>
      </c>
      <c r="P46" s="2474">
        <f>'T-7(ENS)'!P47</f>
        <v>735.38344474635869</v>
      </c>
      <c r="Q46" s="2475">
        <f>'T-7(ENS)'!Q47</f>
        <v>4.1045893333333332</v>
      </c>
      <c r="R46" s="2475">
        <f>'T-7(ENS)'!R47</f>
        <v>16.105073596599997</v>
      </c>
      <c r="S46" s="2475">
        <f>'T-7(ENS)'!S47</f>
        <v>0</v>
      </c>
      <c r="T46" s="2475">
        <f>'T-7(ENS)'!T47</f>
        <v>0.21</v>
      </c>
      <c r="U46" s="2475">
        <f>'T-7(ENS)'!U47</f>
        <v>20.419662929933331</v>
      </c>
      <c r="V46" s="2475">
        <f>'T-7(ENS)'!V47</f>
        <v>0.1</v>
      </c>
      <c r="W46" s="2475">
        <f>'T-7(ENS)'!W47</f>
        <v>735.38344474635869</v>
      </c>
      <c r="X46" s="2475">
        <f>'T-7(ENS)'!X47</f>
        <v>0</v>
      </c>
      <c r="Y46" s="2475">
        <f>'T-7(ENS)'!Y47</f>
        <v>0</v>
      </c>
      <c r="Z46" s="2475">
        <f>'T-7(ENS)'!Z47</f>
        <v>0</v>
      </c>
      <c r="AA46" s="2475">
        <f>'T-7(ENS)'!AA47</f>
        <v>20.419662929933331</v>
      </c>
      <c r="AB46" s="2474">
        <f t="shared" si="12"/>
        <v>250</v>
      </c>
      <c r="AC46" s="2474">
        <f t="shared" si="12"/>
        <v>585</v>
      </c>
      <c r="AD46" s="2474">
        <f t="shared" si="12"/>
        <v>475</v>
      </c>
      <c r="AE46" s="2475">
        <f t="shared" si="12"/>
        <v>0</v>
      </c>
      <c r="AF46" s="2475">
        <f t="shared" si="12"/>
        <v>0</v>
      </c>
      <c r="AG46" s="2475">
        <f t="shared" si="12"/>
        <v>250</v>
      </c>
      <c r="AH46" s="2475">
        <f t="shared" si="12"/>
        <v>0</v>
      </c>
      <c r="AI46" s="2475">
        <f t="shared" si="12"/>
        <v>735.38344474635869</v>
      </c>
      <c r="AJ46" s="2475">
        <f t="shared" si="12"/>
        <v>4.1045893333333332</v>
      </c>
      <c r="AK46" s="2475">
        <f t="shared" si="13"/>
        <v>16.105073596599997</v>
      </c>
      <c r="AL46" s="2475">
        <f t="shared" si="2"/>
        <v>0</v>
      </c>
      <c r="AM46" s="2475">
        <f t="shared" si="3"/>
        <v>250</v>
      </c>
      <c r="AN46" s="2475">
        <f t="shared" si="14"/>
        <v>20.419662929933331</v>
      </c>
      <c r="AO46" s="2475">
        <f t="shared" si="14"/>
        <v>0.1</v>
      </c>
      <c r="AP46" s="2475">
        <f t="shared" si="14"/>
        <v>735.38344474635869</v>
      </c>
      <c r="AQ46" s="2475">
        <f t="shared" si="14"/>
        <v>0</v>
      </c>
      <c r="AR46" s="2475">
        <f t="shared" si="14"/>
        <v>0</v>
      </c>
      <c r="AS46" s="2475">
        <f t="shared" si="14"/>
        <v>0</v>
      </c>
      <c r="AT46" s="2475">
        <f t="shared" si="14"/>
        <v>20.419662929933331</v>
      </c>
      <c r="AU46" s="2475">
        <f t="shared" si="4"/>
        <v>20.419662929933331</v>
      </c>
      <c r="AV46" s="2475">
        <f t="shared" si="5"/>
        <v>0</v>
      </c>
      <c r="AW46" s="2476">
        <f t="shared" si="6"/>
        <v>0</v>
      </c>
      <c r="AX46" s="2476">
        <f t="shared" si="6"/>
        <v>0</v>
      </c>
      <c r="AY46" s="2478"/>
      <c r="AZ46" s="2477">
        <f>'T-7(ENS)'!AB47</f>
        <v>1.8327659547220414</v>
      </c>
      <c r="BA46" s="2477">
        <f t="shared" si="15"/>
        <v>1.8327659547220414</v>
      </c>
      <c r="BB46" s="2478"/>
      <c r="BC46" s="2478"/>
      <c r="BD46" s="2478"/>
      <c r="BE46" s="2478"/>
      <c r="BF46" s="2478">
        <f t="shared" si="17"/>
        <v>11.141446008053</v>
      </c>
      <c r="BG46" s="2478">
        <f t="shared" si="18"/>
        <v>-10.993884910300025</v>
      </c>
      <c r="BH46" s="2502">
        <f t="shared" si="16"/>
        <v>-3.9592822781760977</v>
      </c>
    </row>
    <row r="47" spans="1:60" ht="15" customHeight="1">
      <c r="A47" s="2500">
        <f t="shared" si="19"/>
        <v>22</v>
      </c>
      <c r="B47" s="1021" t="s">
        <v>890</v>
      </c>
      <c r="C47" s="1024" t="s">
        <v>169</v>
      </c>
      <c r="D47" s="2473">
        <f>'T-7(ENS)'!D48</f>
        <v>205</v>
      </c>
      <c r="E47" s="2473">
        <f>'T-7(ENS)'!E48</f>
        <v>0</v>
      </c>
      <c r="F47" s="2474">
        <f>'T-7(ENS)'!F48</f>
        <v>316</v>
      </c>
      <c r="G47" s="2474">
        <f>'T-7(ENS)'!G48</f>
        <v>101212</v>
      </c>
      <c r="H47" s="2474">
        <f>'T-7(ENS)'!H48</f>
        <v>100896</v>
      </c>
      <c r="I47" s="2474">
        <f>'T-7(ENS)'!I48</f>
        <v>250</v>
      </c>
      <c r="J47" s="2474">
        <f>'T-7(ENS)'!J48</f>
        <v>585</v>
      </c>
      <c r="K47" s="2475">
        <f>'T-7(ENS)'!K48</f>
        <v>475</v>
      </c>
      <c r="L47" s="2475">
        <f>'T-7(ENS)'!L48</f>
        <v>0</v>
      </c>
      <c r="M47" s="2475">
        <f>'T-7(ENS)'!M48</f>
        <v>0</v>
      </c>
      <c r="N47" s="2475">
        <f>'T-7(ENS)'!N48</f>
        <v>250</v>
      </c>
      <c r="O47" s="2475">
        <f>'T-7(ENS)'!O48</f>
        <v>0</v>
      </c>
      <c r="P47" s="2474">
        <f>'T-7(ENS)'!P48</f>
        <v>710.67981318111049</v>
      </c>
      <c r="Q47" s="2475">
        <f>'T-7(ENS)'!Q48</f>
        <v>25.841361702127664</v>
      </c>
      <c r="R47" s="2475">
        <f>'T-7(ENS)'!R48</f>
        <v>118.89999999999999</v>
      </c>
      <c r="S47" s="2475">
        <f>'T-7(ENS)'!S48</f>
        <v>0</v>
      </c>
      <c r="T47" s="2475">
        <f>'T-7(ENS)'!T48</f>
        <v>0.94799999999999995</v>
      </c>
      <c r="U47" s="2475">
        <f>'T-7(ENS)'!U48</f>
        <v>145.68936170212766</v>
      </c>
      <c r="V47" s="2475">
        <f>'T-7(ENS)'!V48</f>
        <v>0</v>
      </c>
      <c r="W47" s="2475">
        <f>'T-7(ENS)'!W48</f>
        <v>703.57301504929933</v>
      </c>
      <c r="X47" s="2475">
        <f>'T-7(ENS)'!X48</f>
        <v>0</v>
      </c>
      <c r="Y47" s="2475">
        <f>'T-7(ENS)'!Y48</f>
        <v>0</v>
      </c>
      <c r="Z47" s="2475">
        <f>'T-7(ENS)'!Z48</f>
        <v>1.4568936170212765</v>
      </c>
      <c r="AA47" s="2475">
        <f>'T-7(ENS)'!AA48</f>
        <v>144.23246808510638</v>
      </c>
      <c r="AB47" s="2474">
        <f t="shared" si="12"/>
        <v>250</v>
      </c>
      <c r="AC47" s="2474">
        <f t="shared" si="12"/>
        <v>585</v>
      </c>
      <c r="AD47" s="2474">
        <f t="shared" si="12"/>
        <v>475</v>
      </c>
      <c r="AE47" s="2475">
        <f t="shared" si="12"/>
        <v>0</v>
      </c>
      <c r="AF47" s="2475">
        <f t="shared" si="12"/>
        <v>0</v>
      </c>
      <c r="AG47" s="2475">
        <f t="shared" si="12"/>
        <v>250</v>
      </c>
      <c r="AH47" s="2475">
        <f t="shared" si="12"/>
        <v>0</v>
      </c>
      <c r="AI47" s="2475">
        <f t="shared" si="12"/>
        <v>710.67981318111049</v>
      </c>
      <c r="AJ47" s="2475">
        <f t="shared" si="12"/>
        <v>25.841361702127664</v>
      </c>
      <c r="AK47" s="2475">
        <f t="shared" si="13"/>
        <v>118.89999999999999</v>
      </c>
      <c r="AL47" s="2475">
        <f t="shared" si="2"/>
        <v>0</v>
      </c>
      <c r="AM47" s="2475">
        <f t="shared" si="3"/>
        <v>250</v>
      </c>
      <c r="AN47" s="2475">
        <f t="shared" si="14"/>
        <v>145.68936170212766</v>
      </c>
      <c r="AO47" s="2475">
        <f t="shared" si="14"/>
        <v>0</v>
      </c>
      <c r="AP47" s="2475">
        <f t="shared" si="14"/>
        <v>703.57301504929933</v>
      </c>
      <c r="AQ47" s="2475">
        <f t="shared" si="14"/>
        <v>0</v>
      </c>
      <c r="AR47" s="2475">
        <f t="shared" si="14"/>
        <v>0</v>
      </c>
      <c r="AS47" s="2475">
        <f t="shared" si="14"/>
        <v>1.4568936170212765</v>
      </c>
      <c r="AT47" s="2475">
        <f t="shared" si="14"/>
        <v>144.23246808510638</v>
      </c>
      <c r="AU47" s="2475">
        <f t="shared" si="4"/>
        <v>144.23246808510638</v>
      </c>
      <c r="AV47" s="2475">
        <f t="shared" si="5"/>
        <v>0</v>
      </c>
      <c r="AW47" s="2476">
        <f t="shared" si="6"/>
        <v>0</v>
      </c>
      <c r="AX47" s="2476">
        <f t="shared" si="6"/>
        <v>0</v>
      </c>
      <c r="AY47" s="2478"/>
      <c r="AZ47" s="2477">
        <f>'T-7(ENS)'!AB48</f>
        <v>1.7534861273471429</v>
      </c>
      <c r="BA47" s="2477">
        <f t="shared" si="15"/>
        <v>1.7534861273471429</v>
      </c>
      <c r="BB47" s="2478"/>
      <c r="BC47" s="2478"/>
      <c r="BD47" s="2478"/>
      <c r="BE47" s="2478"/>
      <c r="BF47" s="2478">
        <f t="shared" si="17"/>
        <v>82.254695851695345</v>
      </c>
      <c r="BG47" s="2478">
        <f t="shared" si="18"/>
        <v>-74.644148614712847</v>
      </c>
      <c r="BH47" s="2502">
        <f t="shared" si="16"/>
        <v>-3.6411779812055043</v>
      </c>
    </row>
    <row r="48" spans="1:60" ht="15" customHeight="1">
      <c r="A48" s="2500">
        <f t="shared" si="19"/>
        <v>23</v>
      </c>
      <c r="B48" s="1021" t="s">
        <v>893</v>
      </c>
      <c r="C48" s="1024" t="s">
        <v>169</v>
      </c>
      <c r="D48" s="2473">
        <f>'T-7(ENS)'!D49</f>
        <v>0</v>
      </c>
      <c r="E48" s="2473">
        <f>'T-7(ENS)'!E49</f>
        <v>0</v>
      </c>
      <c r="F48" s="2474">
        <f>'T-7(ENS)'!F49</f>
        <v>0</v>
      </c>
      <c r="G48" s="2474">
        <f>'T-7(ENS)'!G49</f>
        <v>0</v>
      </c>
      <c r="H48" s="2474">
        <f>'T-7(ENS)'!H49</f>
        <v>0</v>
      </c>
      <c r="I48" s="2474">
        <f>'T-7(ENS)'!I49</f>
        <v>250</v>
      </c>
      <c r="J48" s="2474">
        <f>'T-7(ENS)'!J49</f>
        <v>585</v>
      </c>
      <c r="K48" s="2475">
        <f>'T-7(ENS)'!K49</f>
        <v>475</v>
      </c>
      <c r="L48" s="2475">
        <f>'T-7(ENS)'!L49</f>
        <v>0</v>
      </c>
      <c r="M48" s="2475">
        <f>'T-7(ENS)'!M49</f>
        <v>0</v>
      </c>
      <c r="N48" s="2475">
        <f>'T-7(ENS)'!N49</f>
        <v>250</v>
      </c>
      <c r="O48" s="2475">
        <f>'T-7(ENS)'!O49</f>
        <v>0</v>
      </c>
      <c r="P48" s="2474">
        <f>'T-7(ENS)'!P49</f>
        <v>0</v>
      </c>
      <c r="Q48" s="2475">
        <f>'T-7(ENS)'!Q49</f>
        <v>0</v>
      </c>
      <c r="R48" s="2475">
        <f>'T-7(ENS)'!R49</f>
        <v>0</v>
      </c>
      <c r="S48" s="2475">
        <f>'T-7(ENS)'!S49</f>
        <v>0</v>
      </c>
      <c r="T48" s="2475">
        <f>'T-7(ENS)'!T49</f>
        <v>0</v>
      </c>
      <c r="U48" s="2475">
        <f>'T-7(ENS)'!U49</f>
        <v>0</v>
      </c>
      <c r="V48" s="2475">
        <f>'T-7(ENS)'!V49</f>
        <v>0</v>
      </c>
      <c r="W48" s="2475">
        <f>'T-7(ENS)'!W49</f>
        <v>0</v>
      </c>
      <c r="X48" s="2475">
        <f>'T-7(ENS)'!X49</f>
        <v>0</v>
      </c>
      <c r="Y48" s="2475">
        <f>'T-7(ENS)'!Y49</f>
        <v>0</v>
      </c>
      <c r="Z48" s="2475">
        <f>'T-7(ENS)'!Z49</f>
        <v>0</v>
      </c>
      <c r="AA48" s="2475">
        <f>'T-7(ENS)'!AA49</f>
        <v>0</v>
      </c>
      <c r="AB48" s="2474">
        <f t="shared" si="12"/>
        <v>250</v>
      </c>
      <c r="AC48" s="2474">
        <f t="shared" si="12"/>
        <v>585</v>
      </c>
      <c r="AD48" s="2474">
        <f t="shared" si="12"/>
        <v>475</v>
      </c>
      <c r="AE48" s="2475">
        <f t="shared" si="12"/>
        <v>0</v>
      </c>
      <c r="AF48" s="2475">
        <f t="shared" si="12"/>
        <v>0</v>
      </c>
      <c r="AG48" s="2475">
        <f t="shared" si="12"/>
        <v>250</v>
      </c>
      <c r="AH48" s="2475">
        <f t="shared" si="12"/>
        <v>0</v>
      </c>
      <c r="AI48" s="2475">
        <f t="shared" si="12"/>
        <v>0</v>
      </c>
      <c r="AJ48" s="2475">
        <f t="shared" si="12"/>
        <v>0</v>
      </c>
      <c r="AK48" s="2475">
        <f t="shared" si="13"/>
        <v>0</v>
      </c>
      <c r="AL48" s="2475">
        <f t="shared" si="2"/>
        <v>0</v>
      </c>
      <c r="AM48" s="2475">
        <f t="shared" si="3"/>
        <v>250</v>
      </c>
      <c r="AN48" s="2475">
        <f t="shared" si="14"/>
        <v>0</v>
      </c>
      <c r="AO48" s="2475">
        <f t="shared" si="14"/>
        <v>0</v>
      </c>
      <c r="AP48" s="2475">
        <f t="shared" si="14"/>
        <v>0</v>
      </c>
      <c r="AQ48" s="2475">
        <f t="shared" si="14"/>
        <v>0</v>
      </c>
      <c r="AR48" s="2475">
        <f t="shared" si="14"/>
        <v>0</v>
      </c>
      <c r="AS48" s="2475">
        <f t="shared" si="14"/>
        <v>0</v>
      </c>
      <c r="AT48" s="2475">
        <f t="shared" si="14"/>
        <v>0</v>
      </c>
      <c r="AU48" s="2475">
        <f t="shared" si="4"/>
        <v>0</v>
      </c>
      <c r="AV48" s="2475">
        <f t="shared" si="5"/>
        <v>0</v>
      </c>
      <c r="AW48" s="2476">
        <f t="shared" si="6"/>
        <v>0</v>
      </c>
      <c r="AX48" s="2476">
        <f t="shared" si="6"/>
        <v>0</v>
      </c>
      <c r="AY48" s="2478"/>
      <c r="AZ48" s="2477">
        <f>'T-7(ENS)'!AB49</f>
        <v>0</v>
      </c>
      <c r="BA48" s="2477">
        <f t="shared" si="15"/>
        <v>0</v>
      </c>
      <c r="BB48" s="2478"/>
      <c r="BC48" s="2478"/>
      <c r="BD48" s="2478"/>
      <c r="BE48" s="2478"/>
      <c r="BF48" s="2478">
        <f t="shared" si="17"/>
        <v>0</v>
      </c>
      <c r="BG48" s="2478">
        <f t="shared" si="18"/>
        <v>0</v>
      </c>
      <c r="BH48" s="2502"/>
    </row>
    <row r="49" spans="1:60" ht="15" customHeight="1">
      <c r="A49" s="2500">
        <f t="shared" si="19"/>
        <v>24</v>
      </c>
      <c r="B49" s="1021" t="s">
        <v>1336</v>
      </c>
      <c r="C49" s="1024" t="s">
        <v>169</v>
      </c>
      <c r="D49" s="2473">
        <f>'T-7(ENS)'!D50</f>
        <v>0</v>
      </c>
      <c r="E49" s="2473">
        <f>'T-7(ENS)'!E50</f>
        <v>0</v>
      </c>
      <c r="F49" s="2474">
        <f>'T-7(ENS)'!F50</f>
        <v>0</v>
      </c>
      <c r="G49" s="2474">
        <f>'T-7(ENS)'!G50</f>
        <v>0</v>
      </c>
      <c r="H49" s="2474">
        <f>'T-7(ENS)'!H50</f>
        <v>0</v>
      </c>
      <c r="I49" s="2474">
        <f>'T-7(ENS)'!I50</f>
        <v>250</v>
      </c>
      <c r="J49" s="2474">
        <f>'T-7(ENS)'!J50</f>
        <v>585</v>
      </c>
      <c r="K49" s="2475">
        <f>'T-7(ENS)'!K50</f>
        <v>475</v>
      </c>
      <c r="L49" s="2475">
        <f>'T-7(ENS)'!L50</f>
        <v>0</v>
      </c>
      <c r="M49" s="2475">
        <f>'T-7(ENS)'!M50</f>
        <v>0</v>
      </c>
      <c r="N49" s="2475">
        <f>'T-7(ENS)'!N50</f>
        <v>250</v>
      </c>
      <c r="O49" s="2475">
        <f>'T-7(ENS)'!O50</f>
        <v>0</v>
      </c>
      <c r="P49" s="2474">
        <f>'T-7(ENS)'!P50</f>
        <v>0</v>
      </c>
      <c r="Q49" s="2475">
        <f>'T-7(ENS)'!Q50</f>
        <v>0</v>
      </c>
      <c r="R49" s="2475">
        <f>'T-7(ENS)'!R50</f>
        <v>0</v>
      </c>
      <c r="S49" s="2475">
        <f>'T-7(ENS)'!S50</f>
        <v>0</v>
      </c>
      <c r="T49" s="2475">
        <f>'T-7(ENS)'!T50</f>
        <v>0</v>
      </c>
      <c r="U49" s="2475">
        <f>'T-7(ENS)'!U50</f>
        <v>0</v>
      </c>
      <c r="V49" s="2475">
        <f>'T-7(ENS)'!V50</f>
        <v>0</v>
      </c>
      <c r="W49" s="2475">
        <f>'T-7(ENS)'!W50</f>
        <v>0</v>
      </c>
      <c r="X49" s="2475">
        <f>'T-7(ENS)'!X50</f>
        <v>0</v>
      </c>
      <c r="Y49" s="2475">
        <f>'T-7(ENS)'!Y50</f>
        <v>0</v>
      </c>
      <c r="Z49" s="2475">
        <f>'T-7(ENS)'!Z50</f>
        <v>0</v>
      </c>
      <c r="AA49" s="2475">
        <f>'T-7(ENS)'!AA50</f>
        <v>0</v>
      </c>
      <c r="AB49" s="2474">
        <f t="shared" si="12"/>
        <v>250</v>
      </c>
      <c r="AC49" s="2474">
        <f t="shared" si="12"/>
        <v>585</v>
      </c>
      <c r="AD49" s="2474">
        <f t="shared" si="12"/>
        <v>475</v>
      </c>
      <c r="AE49" s="2475">
        <f t="shared" si="12"/>
        <v>0</v>
      </c>
      <c r="AF49" s="2475">
        <f t="shared" si="12"/>
        <v>0</v>
      </c>
      <c r="AG49" s="2475">
        <f t="shared" si="12"/>
        <v>250</v>
      </c>
      <c r="AH49" s="2475">
        <f t="shared" si="12"/>
        <v>0</v>
      </c>
      <c r="AI49" s="2475">
        <f t="shared" si="12"/>
        <v>0</v>
      </c>
      <c r="AJ49" s="2475">
        <f t="shared" si="12"/>
        <v>0</v>
      </c>
      <c r="AK49" s="2475">
        <f t="shared" si="13"/>
        <v>0</v>
      </c>
      <c r="AL49" s="2475">
        <f t="shared" si="2"/>
        <v>0</v>
      </c>
      <c r="AM49" s="2475">
        <f t="shared" si="3"/>
        <v>250</v>
      </c>
      <c r="AN49" s="2475">
        <f t="shared" si="14"/>
        <v>0</v>
      </c>
      <c r="AO49" s="2475">
        <f t="shared" si="14"/>
        <v>0</v>
      </c>
      <c r="AP49" s="2475">
        <f t="shared" si="14"/>
        <v>0</v>
      </c>
      <c r="AQ49" s="2475">
        <f t="shared" si="14"/>
        <v>0</v>
      </c>
      <c r="AR49" s="2475">
        <f t="shared" si="14"/>
        <v>0</v>
      </c>
      <c r="AS49" s="2475">
        <f t="shared" si="14"/>
        <v>0</v>
      </c>
      <c r="AT49" s="2475">
        <f t="shared" si="14"/>
        <v>0</v>
      </c>
      <c r="AU49" s="2475">
        <f t="shared" si="4"/>
        <v>0</v>
      </c>
      <c r="AV49" s="2475">
        <f t="shared" si="5"/>
        <v>0</v>
      </c>
      <c r="AW49" s="2476">
        <f t="shared" si="6"/>
        <v>0</v>
      </c>
      <c r="AX49" s="2476">
        <f t="shared" si="6"/>
        <v>0</v>
      </c>
      <c r="AY49" s="2478"/>
      <c r="AZ49" s="2477">
        <f>'T-7(ENS)'!AB50</f>
        <v>0</v>
      </c>
      <c r="BA49" s="2477">
        <f t="shared" si="15"/>
        <v>0</v>
      </c>
      <c r="BB49" s="2478"/>
      <c r="BC49" s="2478"/>
      <c r="BD49" s="2478"/>
      <c r="BE49" s="2478"/>
      <c r="BF49" s="2478">
        <f t="shared" si="17"/>
        <v>0</v>
      </c>
      <c r="BG49" s="2478">
        <f t="shared" si="18"/>
        <v>0</v>
      </c>
      <c r="BH49" s="2502"/>
    </row>
    <row r="50" spans="1:60" ht="15" customHeight="1">
      <c r="A50" s="2500">
        <f t="shared" si="19"/>
        <v>25</v>
      </c>
      <c r="B50" s="1021" t="s">
        <v>891</v>
      </c>
      <c r="C50" s="1024" t="s">
        <v>169</v>
      </c>
      <c r="D50" s="2473">
        <f>'T-7(ENS)'!D51</f>
        <v>0</v>
      </c>
      <c r="E50" s="2473">
        <f>'T-7(ENS)'!E51</f>
        <v>0</v>
      </c>
      <c r="F50" s="2474">
        <f>'T-7(ENS)'!F51</f>
        <v>0</v>
      </c>
      <c r="G50" s="2474">
        <f>'T-7(ENS)'!G51</f>
        <v>0</v>
      </c>
      <c r="H50" s="2474">
        <f>'T-7(ENS)'!H51</f>
        <v>0</v>
      </c>
      <c r="I50" s="2474">
        <f>'T-7(ENS)'!I51</f>
        <v>250</v>
      </c>
      <c r="J50" s="2474">
        <f>'T-7(ENS)'!J51</f>
        <v>585</v>
      </c>
      <c r="K50" s="2475">
        <f>'T-7(ENS)'!K51</f>
        <v>475</v>
      </c>
      <c r="L50" s="2475">
        <f>'T-7(ENS)'!L51</f>
        <v>0</v>
      </c>
      <c r="M50" s="2475">
        <f>'T-7(ENS)'!M51</f>
        <v>0</v>
      </c>
      <c r="N50" s="2475">
        <f>'T-7(ENS)'!N51</f>
        <v>250</v>
      </c>
      <c r="O50" s="2475">
        <f>'T-7(ENS)'!O51</f>
        <v>0</v>
      </c>
      <c r="P50" s="2474">
        <f>'T-7(ENS)'!P51</f>
        <v>0</v>
      </c>
      <c r="Q50" s="2475">
        <f>'T-7(ENS)'!Q51</f>
        <v>0</v>
      </c>
      <c r="R50" s="2475">
        <f>'T-7(ENS)'!R51</f>
        <v>0</v>
      </c>
      <c r="S50" s="2475">
        <f>'T-7(ENS)'!S51</f>
        <v>0</v>
      </c>
      <c r="T50" s="2475">
        <f>'T-7(ENS)'!T51</f>
        <v>0</v>
      </c>
      <c r="U50" s="2475">
        <f>'T-7(ENS)'!U51</f>
        <v>0</v>
      </c>
      <c r="V50" s="2475">
        <f>'T-7(ENS)'!V51</f>
        <v>0</v>
      </c>
      <c r="W50" s="2475">
        <f>'T-7(ENS)'!W51</f>
        <v>0</v>
      </c>
      <c r="X50" s="2475">
        <f>'T-7(ENS)'!X51</f>
        <v>0</v>
      </c>
      <c r="Y50" s="2475">
        <f>'T-7(ENS)'!Y51</f>
        <v>0</v>
      </c>
      <c r="Z50" s="2475">
        <f>'T-7(ENS)'!Z51</f>
        <v>0</v>
      </c>
      <c r="AA50" s="2475">
        <f>'T-7(ENS)'!AA51</f>
        <v>0</v>
      </c>
      <c r="AB50" s="2474">
        <f t="shared" si="12"/>
        <v>250</v>
      </c>
      <c r="AC50" s="2474">
        <f t="shared" si="12"/>
        <v>585</v>
      </c>
      <c r="AD50" s="2474">
        <f t="shared" si="12"/>
        <v>475</v>
      </c>
      <c r="AE50" s="2475">
        <f t="shared" si="12"/>
        <v>0</v>
      </c>
      <c r="AF50" s="2475">
        <f t="shared" si="12"/>
        <v>0</v>
      </c>
      <c r="AG50" s="2475">
        <f t="shared" si="12"/>
        <v>250</v>
      </c>
      <c r="AH50" s="2475">
        <f t="shared" si="12"/>
        <v>0</v>
      </c>
      <c r="AI50" s="2475">
        <f t="shared" si="12"/>
        <v>0</v>
      </c>
      <c r="AJ50" s="2475">
        <f t="shared" si="12"/>
        <v>0</v>
      </c>
      <c r="AK50" s="2475">
        <f t="shared" si="13"/>
        <v>0</v>
      </c>
      <c r="AL50" s="2475">
        <f t="shared" si="2"/>
        <v>0</v>
      </c>
      <c r="AM50" s="2475">
        <f t="shared" si="3"/>
        <v>250</v>
      </c>
      <c r="AN50" s="2475">
        <f t="shared" si="14"/>
        <v>0</v>
      </c>
      <c r="AO50" s="2475">
        <f t="shared" si="14"/>
        <v>0</v>
      </c>
      <c r="AP50" s="2475">
        <f t="shared" si="14"/>
        <v>0</v>
      </c>
      <c r="AQ50" s="2475">
        <f t="shared" si="14"/>
        <v>0</v>
      </c>
      <c r="AR50" s="2475">
        <f t="shared" si="14"/>
        <v>0</v>
      </c>
      <c r="AS50" s="2475">
        <f t="shared" si="14"/>
        <v>0</v>
      </c>
      <c r="AT50" s="2475">
        <f t="shared" si="14"/>
        <v>0</v>
      </c>
      <c r="AU50" s="2475">
        <f t="shared" si="4"/>
        <v>0</v>
      </c>
      <c r="AV50" s="2475">
        <f t="shared" si="5"/>
        <v>0</v>
      </c>
      <c r="AW50" s="2476">
        <f t="shared" si="6"/>
        <v>0</v>
      </c>
      <c r="AX50" s="2476">
        <f t="shared" si="6"/>
        <v>0</v>
      </c>
      <c r="AY50" s="2472"/>
      <c r="AZ50" s="2477">
        <f>'T-7(ENS)'!AB51</f>
        <v>0</v>
      </c>
      <c r="BA50" s="2477">
        <f t="shared" si="15"/>
        <v>0</v>
      </c>
      <c r="BB50" s="2472"/>
      <c r="BC50" s="2472"/>
      <c r="BD50" s="2472"/>
      <c r="BE50" s="2472"/>
      <c r="BF50" s="2478">
        <f t="shared" si="17"/>
        <v>0</v>
      </c>
      <c r="BG50" s="2478">
        <f t="shared" si="18"/>
        <v>0</v>
      </c>
      <c r="BH50" s="2502"/>
    </row>
    <row r="51" spans="1:60" ht="15" customHeight="1">
      <c r="A51" s="2500">
        <f t="shared" si="19"/>
        <v>26</v>
      </c>
      <c r="B51" s="1021" t="s">
        <v>1463</v>
      </c>
      <c r="C51" s="1024"/>
      <c r="D51" s="2473">
        <f>'T-7(ENS)'!D52</f>
        <v>0</v>
      </c>
      <c r="E51" s="2473">
        <f>'T-7(ENS)'!E52</f>
        <v>0</v>
      </c>
      <c r="F51" s="2474">
        <f>'T-7(ENS)'!F52</f>
        <v>0</v>
      </c>
      <c r="G51" s="2474">
        <f>'T-7(ENS)'!G52</f>
        <v>0</v>
      </c>
      <c r="H51" s="2474">
        <f>'T-7(ENS)'!H52</f>
        <v>0</v>
      </c>
      <c r="I51" s="2474">
        <f>'T-7(ENS)'!I52</f>
        <v>0</v>
      </c>
      <c r="J51" s="2474">
        <f>'T-7(ENS)'!J52</f>
        <v>780</v>
      </c>
      <c r="K51" s="2475">
        <f>'T-7(ENS)'!K52</f>
        <v>0</v>
      </c>
      <c r="L51" s="2475">
        <f>'T-7(ENS)'!L52</f>
        <v>0</v>
      </c>
      <c r="M51" s="2475">
        <f>'T-7(ENS)'!M52</f>
        <v>0</v>
      </c>
      <c r="N51" s="2475">
        <f>'T-7(ENS)'!N52</f>
        <v>250</v>
      </c>
      <c r="O51" s="2475">
        <f>'T-7(ENS)'!O52</f>
        <v>0</v>
      </c>
      <c r="P51" s="2474">
        <f>'T-7(ENS)'!P52</f>
        <v>0</v>
      </c>
      <c r="Q51" s="2475">
        <f>'T-7(ENS)'!Q52</f>
        <v>0</v>
      </c>
      <c r="R51" s="2475">
        <f>'T-7(ENS)'!R52</f>
        <v>0</v>
      </c>
      <c r="S51" s="2475">
        <f>'T-7(ENS)'!S52</f>
        <v>0</v>
      </c>
      <c r="T51" s="2475">
        <f>'T-7(ENS)'!T52</f>
        <v>0</v>
      </c>
      <c r="U51" s="2475">
        <f>'T-7(ENS)'!U52</f>
        <v>0</v>
      </c>
      <c r="V51" s="2475">
        <f>'T-7(ENS)'!V52</f>
        <v>0</v>
      </c>
      <c r="W51" s="2475">
        <f>'T-7(ENS)'!W52</f>
        <v>0</v>
      </c>
      <c r="X51" s="2475">
        <f>'T-7(ENS)'!X52</f>
        <v>0</v>
      </c>
      <c r="Y51" s="2475">
        <f>'T-7(ENS)'!Y52</f>
        <v>0</v>
      </c>
      <c r="Z51" s="2475">
        <f>'T-7(ENS)'!Z52</f>
        <v>0</v>
      </c>
      <c r="AA51" s="2475">
        <f>'T-7(ENS)'!AA52</f>
        <v>0</v>
      </c>
      <c r="AB51" s="2474">
        <f t="shared" si="12"/>
        <v>0</v>
      </c>
      <c r="AC51" s="2474">
        <f t="shared" si="12"/>
        <v>780</v>
      </c>
      <c r="AD51" s="2474">
        <f t="shared" si="12"/>
        <v>0</v>
      </c>
      <c r="AE51" s="2475">
        <f t="shared" si="12"/>
        <v>0</v>
      </c>
      <c r="AF51" s="2475">
        <f t="shared" si="12"/>
        <v>0</v>
      </c>
      <c r="AG51" s="2475">
        <f t="shared" si="12"/>
        <v>250</v>
      </c>
      <c r="AH51" s="2475">
        <f t="shared" si="12"/>
        <v>0</v>
      </c>
      <c r="AI51" s="2475">
        <f t="shared" si="12"/>
        <v>0</v>
      </c>
      <c r="AJ51" s="2475">
        <f t="shared" si="12"/>
        <v>0</v>
      </c>
      <c r="AK51" s="2475">
        <f t="shared" si="13"/>
        <v>0</v>
      </c>
      <c r="AL51" s="2475">
        <f t="shared" si="2"/>
        <v>0</v>
      </c>
      <c r="AM51" s="2475">
        <f t="shared" si="3"/>
        <v>250</v>
      </c>
      <c r="AN51" s="2475">
        <f t="shared" si="14"/>
        <v>0</v>
      </c>
      <c r="AO51" s="2475">
        <f t="shared" si="14"/>
        <v>0</v>
      </c>
      <c r="AP51" s="2475">
        <f t="shared" si="14"/>
        <v>0</v>
      </c>
      <c r="AQ51" s="2475">
        <f t="shared" si="14"/>
        <v>0</v>
      </c>
      <c r="AR51" s="2475">
        <f t="shared" si="14"/>
        <v>0</v>
      </c>
      <c r="AS51" s="2475">
        <f t="shared" si="14"/>
        <v>0</v>
      </c>
      <c r="AT51" s="2475">
        <f t="shared" si="14"/>
        <v>0</v>
      </c>
      <c r="AU51" s="2475">
        <f t="shared" si="4"/>
        <v>0</v>
      </c>
      <c r="AV51" s="2475">
        <f t="shared" si="5"/>
        <v>0</v>
      </c>
      <c r="AW51" s="2476">
        <f t="shared" si="6"/>
        <v>0</v>
      </c>
      <c r="AX51" s="2476">
        <f t="shared" si="6"/>
        <v>0</v>
      </c>
      <c r="AY51" s="2478"/>
      <c r="AZ51" s="2477">
        <f>'T-7(ENS)'!AB52</f>
        <v>0</v>
      </c>
      <c r="BA51" s="2477">
        <f t="shared" si="15"/>
        <v>0</v>
      </c>
      <c r="BB51" s="2478"/>
      <c r="BC51" s="2478"/>
      <c r="BD51" s="2478"/>
      <c r="BE51" s="2478"/>
      <c r="BF51" s="2478">
        <f t="shared" si="17"/>
        <v>0</v>
      </c>
      <c r="BG51" s="2478">
        <f t="shared" si="18"/>
        <v>0</v>
      </c>
      <c r="BH51" s="2502"/>
    </row>
    <row r="52" spans="1:60" ht="15" customHeight="1">
      <c r="A52" s="2500">
        <f t="shared" si="19"/>
        <v>27</v>
      </c>
      <c r="B52" s="1021" t="s">
        <v>1337</v>
      </c>
      <c r="C52" s="1024" t="s">
        <v>169</v>
      </c>
      <c r="D52" s="2473">
        <f>'T-7(ENS)'!D53</f>
        <v>0.5</v>
      </c>
      <c r="E52" s="2473">
        <f>'T-7(ENS)'!E53</f>
        <v>0</v>
      </c>
      <c r="F52" s="2474">
        <f>'T-7(ENS)'!F53</f>
        <v>0</v>
      </c>
      <c r="G52" s="2474">
        <f>'T-7(ENS)'!G53</f>
        <v>0</v>
      </c>
      <c r="H52" s="2474">
        <f>'T-7(ENS)'!H53</f>
        <v>0</v>
      </c>
      <c r="I52" s="2474">
        <f>'T-7(ENS)'!I53</f>
        <v>0</v>
      </c>
      <c r="J52" s="2474">
        <f>'T-7(ENS)'!J53</f>
        <v>490</v>
      </c>
      <c r="K52" s="2475">
        <f>'T-7(ENS)'!K53</f>
        <v>0</v>
      </c>
      <c r="L52" s="2475">
        <f>'T-7(ENS)'!L53</f>
        <v>0</v>
      </c>
      <c r="M52" s="2475">
        <f>'T-7(ENS)'!M53</f>
        <v>0</v>
      </c>
      <c r="N52" s="2475">
        <f>'T-7(ENS)'!N53</f>
        <v>250</v>
      </c>
      <c r="O52" s="2475">
        <f>'T-7(ENS)'!O53</f>
        <v>0</v>
      </c>
      <c r="P52" s="2474">
        <f>'T-7(ENS)'!P53</f>
        <v>490</v>
      </c>
      <c r="Q52" s="2475">
        <f>'T-7(ENS)'!Q53</f>
        <v>0</v>
      </c>
      <c r="R52" s="2475">
        <f>'T-7(ENS)'!R53</f>
        <v>0.245</v>
      </c>
      <c r="S52" s="2475">
        <f>'T-7(ENS)'!S53</f>
        <v>0</v>
      </c>
      <c r="T52" s="2475">
        <f>'T-7(ENS)'!T53</f>
        <v>0</v>
      </c>
      <c r="U52" s="2475">
        <f>'T-7(ENS)'!U53</f>
        <v>0.245</v>
      </c>
      <c r="V52" s="2475">
        <f>'T-7(ENS)'!V53</f>
        <v>0</v>
      </c>
      <c r="W52" s="2475">
        <f>'T-7(ENS)'!W53</f>
        <v>485.09999999999997</v>
      </c>
      <c r="X52" s="2475">
        <f>'T-7(ENS)'!X53</f>
        <v>0</v>
      </c>
      <c r="Y52" s="2475">
        <f>'T-7(ENS)'!Y53</f>
        <v>0</v>
      </c>
      <c r="Z52" s="2475">
        <f>'T-7(ENS)'!Z53</f>
        <v>2.4499999999999999E-3</v>
      </c>
      <c r="AA52" s="2475">
        <f>'T-7(ENS)'!AA53</f>
        <v>0.24254999999999999</v>
      </c>
      <c r="AB52" s="2474">
        <f t="shared" si="12"/>
        <v>0</v>
      </c>
      <c r="AC52" s="2474">
        <f t="shared" si="12"/>
        <v>490</v>
      </c>
      <c r="AD52" s="2474">
        <f t="shared" si="12"/>
        <v>0</v>
      </c>
      <c r="AE52" s="2475">
        <f t="shared" si="12"/>
        <v>0</v>
      </c>
      <c r="AF52" s="2475">
        <f t="shared" si="12"/>
        <v>0</v>
      </c>
      <c r="AG52" s="2475">
        <f t="shared" si="12"/>
        <v>250</v>
      </c>
      <c r="AH52" s="2475">
        <f t="shared" si="12"/>
        <v>0</v>
      </c>
      <c r="AI52" s="2475">
        <f t="shared" si="12"/>
        <v>490</v>
      </c>
      <c r="AJ52" s="2475">
        <f t="shared" si="12"/>
        <v>0</v>
      </c>
      <c r="AK52" s="2475">
        <f t="shared" si="13"/>
        <v>0.245</v>
      </c>
      <c r="AL52" s="2475">
        <f t="shared" si="2"/>
        <v>0</v>
      </c>
      <c r="AM52" s="2475">
        <f t="shared" si="3"/>
        <v>250</v>
      </c>
      <c r="AN52" s="2475">
        <f t="shared" si="14"/>
        <v>0.245</v>
      </c>
      <c r="AO52" s="2475">
        <f t="shared" si="14"/>
        <v>0</v>
      </c>
      <c r="AP52" s="2475">
        <f t="shared" si="14"/>
        <v>485.09999999999997</v>
      </c>
      <c r="AQ52" s="2475">
        <f t="shared" si="14"/>
        <v>0</v>
      </c>
      <c r="AR52" s="2475">
        <f t="shared" si="14"/>
        <v>0</v>
      </c>
      <c r="AS52" s="2475">
        <f t="shared" si="14"/>
        <v>2.4499999999999999E-3</v>
      </c>
      <c r="AT52" s="2475">
        <f t="shared" si="14"/>
        <v>0.24254999999999999</v>
      </c>
      <c r="AU52" s="2475">
        <f t="shared" si="4"/>
        <v>0.24254999999999999</v>
      </c>
      <c r="AV52" s="2475">
        <f t="shared" si="5"/>
        <v>0</v>
      </c>
      <c r="AW52" s="2476">
        <f t="shared" si="6"/>
        <v>0</v>
      </c>
      <c r="AX52" s="2476">
        <f t="shared" si="6"/>
        <v>0</v>
      </c>
      <c r="AY52" s="2478"/>
      <c r="AZ52" s="2477">
        <f>'T-7(ENS)'!AB53</f>
        <v>1.2089948053458195</v>
      </c>
      <c r="BA52" s="2477">
        <f t="shared" si="15"/>
        <v>1.2089948053458195</v>
      </c>
      <c r="BB52" s="2478"/>
      <c r="BC52" s="2478"/>
      <c r="BD52" s="2478"/>
      <c r="BE52" s="2478"/>
      <c r="BF52" s="2478">
        <f t="shared" si="17"/>
        <v>0.20062120939437889</v>
      </c>
      <c r="BG52" s="2478">
        <f t="shared" si="18"/>
        <v>-7.282239153562553E-2</v>
      </c>
      <c r="BH52" s="2502">
        <f t="shared" si="16"/>
        <v>-1.4564478307125106</v>
      </c>
    </row>
    <row r="53" spans="1:60" ht="15" customHeight="1">
      <c r="A53" s="2500"/>
      <c r="B53" s="2465" t="s">
        <v>4094</v>
      </c>
      <c r="C53" s="1024"/>
      <c r="D53" s="2480">
        <f>'T-7(ENS)'!D54</f>
        <v>391.29422300399995</v>
      </c>
      <c r="E53" s="2480">
        <f>'T-7(ENS)'!E54</f>
        <v>0</v>
      </c>
      <c r="F53" s="2481">
        <f>'T-7(ENS)'!F54</f>
        <v>2185</v>
      </c>
      <c r="G53" s="2481">
        <f>'T-7(ENS)'!G54</f>
        <v>294934.39</v>
      </c>
      <c r="H53" s="2481">
        <f>'T-7(ENS)'!H54</f>
        <v>292749.39</v>
      </c>
      <c r="I53" s="2481">
        <f>'T-7(ENS)'!I54</f>
        <v>0</v>
      </c>
      <c r="J53" s="2481">
        <f>'T-7(ENS)'!J54</f>
        <v>0</v>
      </c>
      <c r="K53" s="2482">
        <f>'T-7(ENS)'!K54</f>
        <v>0</v>
      </c>
      <c r="L53" s="2482">
        <f>'T-7(ENS)'!L54</f>
        <v>0</v>
      </c>
      <c r="M53" s="2482">
        <f>'T-7(ENS)'!M54</f>
        <v>0</v>
      </c>
      <c r="N53" s="2482">
        <f>'T-7(ENS)'!N54</f>
        <v>0</v>
      </c>
      <c r="O53" s="2482">
        <f>'T-7(ENS)'!O54</f>
        <v>0</v>
      </c>
      <c r="P53" s="2481">
        <f>'T-7(ENS)'!P54</f>
        <v>723.07575673184147</v>
      </c>
      <c r="Q53" s="2482">
        <f>'T-7(ENS)'!Q54</f>
        <v>59.523311709145212</v>
      </c>
      <c r="R53" s="2482">
        <f>'T-7(ENS)'!R54</f>
        <v>216.85705469427</v>
      </c>
      <c r="S53" s="2482">
        <f>'T-7(ENS)'!S54</f>
        <v>0</v>
      </c>
      <c r="T53" s="2482">
        <f>'T-7(ENS)'!T54</f>
        <v>6.5549999999999997</v>
      </c>
      <c r="U53" s="2482">
        <f>'T-7(ENS)'!U54</f>
        <v>282.93536640341517</v>
      </c>
      <c r="V53" s="2482">
        <f>'T-7(ENS)'!V54</f>
        <v>0</v>
      </c>
      <c r="W53" s="2482">
        <f>'T-7(ENS)'!W54</f>
        <v>716.1901724412561</v>
      </c>
      <c r="X53" s="2482">
        <f>'T-7(ENS)'!X54</f>
        <v>27.838321029999996</v>
      </c>
      <c r="Y53" s="2482">
        <f>'T-7(ENS)'!Y54</f>
        <v>0.27838321029999996</v>
      </c>
      <c r="Z53" s="2482">
        <f>'T-7(ENS)'!Z54</f>
        <v>2.4159061446131855</v>
      </c>
      <c r="AA53" s="2482">
        <f>'T-7(ENS)'!AA54</f>
        <v>280.24107704850201</v>
      </c>
      <c r="AB53" s="2474">
        <f t="shared" si="12"/>
        <v>0</v>
      </c>
      <c r="AC53" s="2474">
        <f t="shared" si="12"/>
        <v>0</v>
      </c>
      <c r="AD53" s="2474">
        <f t="shared" si="12"/>
        <v>0</v>
      </c>
      <c r="AE53" s="2475">
        <f t="shared" si="12"/>
        <v>0</v>
      </c>
      <c r="AF53" s="2475">
        <f t="shared" si="12"/>
        <v>0</v>
      </c>
      <c r="AG53" s="2475">
        <f t="shared" si="12"/>
        <v>0</v>
      </c>
      <c r="AH53" s="2475">
        <f t="shared" si="12"/>
        <v>0</v>
      </c>
      <c r="AI53" s="2475">
        <f t="shared" si="12"/>
        <v>723.07575673184147</v>
      </c>
      <c r="AJ53" s="2475">
        <f t="shared" si="12"/>
        <v>59.523311709145212</v>
      </c>
      <c r="AK53" s="2482">
        <f t="shared" si="13"/>
        <v>216.85705469427</v>
      </c>
      <c r="AL53" s="2475">
        <f t="shared" si="2"/>
        <v>0</v>
      </c>
      <c r="AM53" s="2475">
        <f t="shared" si="3"/>
        <v>0</v>
      </c>
      <c r="AN53" s="2475">
        <f t="shared" si="14"/>
        <v>282.93536640341517</v>
      </c>
      <c r="AO53" s="2475">
        <f t="shared" si="14"/>
        <v>0</v>
      </c>
      <c r="AP53" s="2475">
        <f t="shared" si="14"/>
        <v>716.1901724412561</v>
      </c>
      <c r="AQ53" s="2475">
        <f t="shared" si="14"/>
        <v>27.838321029999996</v>
      </c>
      <c r="AR53" s="2475">
        <f t="shared" si="14"/>
        <v>0.27838321029999996</v>
      </c>
      <c r="AS53" s="2475">
        <f t="shared" si="14"/>
        <v>2.4159061446131855</v>
      </c>
      <c r="AT53" s="2475">
        <f t="shared" si="14"/>
        <v>280.24107704850201</v>
      </c>
      <c r="AU53" s="2475">
        <f t="shared" si="4"/>
        <v>280.24107704850201</v>
      </c>
      <c r="AV53" s="2475">
        <f t="shared" si="5"/>
        <v>0</v>
      </c>
      <c r="AW53" s="2476">
        <f t="shared" si="6"/>
        <v>0</v>
      </c>
      <c r="AX53" s="2476">
        <f t="shared" si="6"/>
        <v>0</v>
      </c>
      <c r="AY53" s="2478"/>
      <c r="AZ53" s="2477">
        <f>'T-7(ENS)'!AB54</f>
        <v>1.7849313504869211</v>
      </c>
      <c r="BA53" s="2477">
        <f t="shared" si="15"/>
        <v>1.7849313504869211</v>
      </c>
      <c r="BB53" s="2478"/>
      <c r="BC53" s="2478"/>
      <c r="BD53" s="2478"/>
      <c r="BE53" s="2478"/>
      <c r="BF53" s="2486">
        <f t="shared" si="17"/>
        <v>157.00384049619254</v>
      </c>
      <c r="BG53" s="2486">
        <f t="shared" si="18"/>
        <v>-147.41421169571294</v>
      </c>
      <c r="BH53" s="2503">
        <f t="shared" si="16"/>
        <v>-3.7673495551250706</v>
      </c>
    </row>
    <row r="54" spans="1:60" ht="15" customHeight="1">
      <c r="A54" s="2504"/>
      <c r="B54" s="2457" t="s">
        <v>1338</v>
      </c>
      <c r="C54" s="1024"/>
      <c r="D54" s="2473"/>
      <c r="E54" s="2473"/>
      <c r="F54" s="2474">
        <f>'T-7(ENS)'!F55</f>
        <v>0</v>
      </c>
      <c r="G54" s="2474">
        <f>'T-7(ENS)'!G55</f>
        <v>0</v>
      </c>
      <c r="H54" s="2474">
        <f>'T-7(ENS)'!H55</f>
        <v>0</v>
      </c>
      <c r="I54" s="2474">
        <f>'T-7(ENS)'!I55</f>
        <v>0</v>
      </c>
      <c r="J54" s="2474">
        <f>'T-7(ENS)'!J55</f>
        <v>0</v>
      </c>
      <c r="K54" s="2475">
        <f>'T-7(ENS)'!K55</f>
        <v>0</v>
      </c>
      <c r="L54" s="2475">
        <f>'T-7(ENS)'!L55</f>
        <v>0</v>
      </c>
      <c r="M54" s="2475">
        <f>'T-7(ENS)'!M55</f>
        <v>0</v>
      </c>
      <c r="N54" s="2475">
        <f>'T-7(ENS)'!N55</f>
        <v>0</v>
      </c>
      <c r="O54" s="2475">
        <f>'T-7(ENS)'!O55</f>
        <v>0</v>
      </c>
      <c r="P54" s="2474">
        <f>'T-7(ENS)'!P55</f>
        <v>0</v>
      </c>
      <c r="Q54" s="2475">
        <f>'T-7(ENS)'!Q55</f>
        <v>0</v>
      </c>
      <c r="R54" s="2475">
        <f>'T-7(ENS)'!R55</f>
        <v>0</v>
      </c>
      <c r="S54" s="2475">
        <f>'T-7(ENS)'!S55</f>
        <v>0</v>
      </c>
      <c r="T54" s="2475">
        <f>'T-7(ENS)'!T55</f>
        <v>0</v>
      </c>
      <c r="U54" s="2475">
        <f>'T-7(ENS)'!U55</f>
        <v>0</v>
      </c>
      <c r="V54" s="2475">
        <f>'T-7(ENS)'!V55</f>
        <v>0</v>
      </c>
      <c r="W54" s="2475">
        <f>'T-7(ENS)'!W55</f>
        <v>0</v>
      </c>
      <c r="X54" s="2475">
        <f>'T-7(ENS)'!X55</f>
        <v>0</v>
      </c>
      <c r="Y54" s="2475">
        <f>'T-7(ENS)'!Y55</f>
        <v>0</v>
      </c>
      <c r="Z54" s="2475">
        <f>'T-7(ENS)'!Z55</f>
        <v>0</v>
      </c>
      <c r="AA54" s="2475">
        <f>'T-7(ENS)'!AA55</f>
        <v>0</v>
      </c>
      <c r="AB54" s="2474">
        <f t="shared" si="12"/>
        <v>0</v>
      </c>
      <c r="AC54" s="2474">
        <f t="shared" si="12"/>
        <v>0</v>
      </c>
      <c r="AD54" s="2474">
        <f t="shared" si="12"/>
        <v>0</v>
      </c>
      <c r="AE54" s="2475">
        <f t="shared" si="12"/>
        <v>0</v>
      </c>
      <c r="AF54" s="2475">
        <f t="shared" si="12"/>
        <v>0</v>
      </c>
      <c r="AG54" s="2475">
        <f t="shared" si="12"/>
        <v>0</v>
      </c>
      <c r="AH54" s="2475">
        <f t="shared" si="12"/>
        <v>0</v>
      </c>
      <c r="AI54" s="2475">
        <f t="shared" si="12"/>
        <v>0</v>
      </c>
      <c r="AJ54" s="2475">
        <f t="shared" si="12"/>
        <v>0</v>
      </c>
      <c r="AK54" s="2475">
        <f t="shared" si="13"/>
        <v>0</v>
      </c>
      <c r="AL54" s="2475">
        <f t="shared" si="2"/>
        <v>0</v>
      </c>
      <c r="AM54" s="2475">
        <f t="shared" si="3"/>
        <v>0</v>
      </c>
      <c r="AN54" s="2475">
        <f t="shared" si="14"/>
        <v>0</v>
      </c>
      <c r="AO54" s="2475">
        <f t="shared" si="14"/>
        <v>0</v>
      </c>
      <c r="AP54" s="2475">
        <f t="shared" si="14"/>
        <v>0</v>
      </c>
      <c r="AQ54" s="2475">
        <f t="shared" si="14"/>
        <v>0</v>
      </c>
      <c r="AR54" s="2475">
        <f t="shared" si="14"/>
        <v>0</v>
      </c>
      <c r="AS54" s="2475">
        <f t="shared" si="14"/>
        <v>0</v>
      </c>
      <c r="AT54" s="2475">
        <f t="shared" si="14"/>
        <v>0</v>
      </c>
      <c r="AU54" s="2475">
        <f t="shared" si="4"/>
        <v>0</v>
      </c>
      <c r="AV54" s="2475">
        <f t="shared" si="5"/>
        <v>0</v>
      </c>
      <c r="AW54" s="2476">
        <f t="shared" si="6"/>
        <v>0</v>
      </c>
      <c r="AX54" s="2476">
        <f t="shared" si="6"/>
        <v>0</v>
      </c>
      <c r="AY54" s="2478"/>
      <c r="AZ54" s="2477"/>
      <c r="BA54" s="2477"/>
      <c r="BB54" s="2478"/>
      <c r="BC54" s="2478"/>
      <c r="BD54" s="2478"/>
      <c r="BE54" s="2478"/>
      <c r="BF54" s="2478"/>
      <c r="BG54" s="2478"/>
      <c r="BH54" s="2502"/>
    </row>
    <row r="55" spans="1:60" ht="15" customHeight="1">
      <c r="A55" s="2500">
        <f>A52+1</f>
        <v>28</v>
      </c>
      <c r="B55" s="1021" t="s">
        <v>670</v>
      </c>
      <c r="C55" s="1024" t="s">
        <v>1494</v>
      </c>
      <c r="D55" s="2473">
        <f>'T-7(ENS)'!D56</f>
        <v>0</v>
      </c>
      <c r="E55" s="2473">
        <f>'T-7(ENS)'!E56</f>
        <v>0</v>
      </c>
      <c r="F55" s="2474">
        <f>'T-7(ENS)'!F56</f>
        <v>0</v>
      </c>
      <c r="G55" s="2474">
        <f>'T-7(ENS)'!G56</f>
        <v>0</v>
      </c>
      <c r="H55" s="2474">
        <f>'T-7(ENS)'!H56</f>
        <v>0</v>
      </c>
      <c r="I55" s="2474">
        <f>'T-7(ENS)'!I56</f>
        <v>250</v>
      </c>
      <c r="J55" s="2474">
        <f>'T-7(ENS)'!J56</f>
        <v>580</v>
      </c>
      <c r="K55" s="2475">
        <f>'T-7(ENS)'!K56</f>
        <v>470</v>
      </c>
      <c r="L55" s="2475">
        <f>'T-7(ENS)'!L56</f>
        <v>0</v>
      </c>
      <c r="M55" s="2475">
        <f>'T-7(ENS)'!M56</f>
        <v>0</v>
      </c>
      <c r="N55" s="2475">
        <f>'T-7(ENS)'!N56</f>
        <v>700</v>
      </c>
      <c r="O55" s="2475">
        <f>'T-7(ENS)'!O56</f>
        <v>0</v>
      </c>
      <c r="P55" s="2474">
        <f>'T-7(ENS)'!P56</f>
        <v>0</v>
      </c>
      <c r="Q55" s="2475">
        <f>'T-7(ENS)'!Q56</f>
        <v>0</v>
      </c>
      <c r="R55" s="2475">
        <f>'T-7(ENS)'!R56</f>
        <v>0</v>
      </c>
      <c r="S55" s="2475">
        <f>'T-7(ENS)'!S56</f>
        <v>0</v>
      </c>
      <c r="T55" s="2475">
        <f>'T-7(ENS)'!T56</f>
        <v>0</v>
      </c>
      <c r="U55" s="2475">
        <f>'T-7(ENS)'!U56</f>
        <v>0</v>
      </c>
      <c r="V55" s="2475">
        <f>'T-7(ENS)'!V56</f>
        <v>0</v>
      </c>
      <c r="W55" s="2475">
        <f>'T-7(ENS)'!W56</f>
        <v>0</v>
      </c>
      <c r="X55" s="2475">
        <f>'T-7(ENS)'!X56</f>
        <v>0</v>
      </c>
      <c r="Y55" s="2475">
        <f>'T-7(ENS)'!Y56</f>
        <v>0</v>
      </c>
      <c r="Z55" s="2475">
        <f>'T-7(ENS)'!Z56</f>
        <v>0</v>
      </c>
      <c r="AA55" s="2475">
        <f>'T-7(ENS)'!AA56</f>
        <v>0</v>
      </c>
      <c r="AB55" s="2474">
        <f t="shared" si="12"/>
        <v>250</v>
      </c>
      <c r="AC55" s="2474">
        <f t="shared" si="12"/>
        <v>580</v>
      </c>
      <c r="AD55" s="2474">
        <f t="shared" si="12"/>
        <v>470</v>
      </c>
      <c r="AE55" s="2475">
        <f t="shared" si="12"/>
        <v>0</v>
      </c>
      <c r="AF55" s="2475">
        <f t="shared" si="12"/>
        <v>0</v>
      </c>
      <c r="AG55" s="2475">
        <f t="shared" si="12"/>
        <v>700</v>
      </c>
      <c r="AH55" s="2475">
        <f t="shared" si="12"/>
        <v>0</v>
      </c>
      <c r="AI55" s="2475">
        <f t="shared" si="12"/>
        <v>0</v>
      </c>
      <c r="AJ55" s="2475">
        <f t="shared" si="12"/>
        <v>0</v>
      </c>
      <c r="AK55" s="2475">
        <f t="shared" si="13"/>
        <v>0</v>
      </c>
      <c r="AL55" s="2475">
        <f t="shared" si="2"/>
        <v>0</v>
      </c>
      <c r="AM55" s="2475">
        <f t="shared" si="3"/>
        <v>700</v>
      </c>
      <c r="AN55" s="2475">
        <f t="shared" si="14"/>
        <v>0</v>
      </c>
      <c r="AO55" s="2475">
        <f t="shared" si="14"/>
        <v>0</v>
      </c>
      <c r="AP55" s="2475">
        <f t="shared" si="14"/>
        <v>0</v>
      </c>
      <c r="AQ55" s="2475">
        <f t="shared" si="14"/>
        <v>0</v>
      </c>
      <c r="AR55" s="2475">
        <f t="shared" si="14"/>
        <v>0</v>
      </c>
      <c r="AS55" s="2475">
        <f t="shared" si="14"/>
        <v>0</v>
      </c>
      <c r="AT55" s="2475">
        <f t="shared" si="14"/>
        <v>0</v>
      </c>
      <c r="AU55" s="2475">
        <f t="shared" si="4"/>
        <v>0</v>
      </c>
      <c r="AV55" s="2475">
        <f t="shared" si="5"/>
        <v>0</v>
      </c>
      <c r="AW55" s="2476">
        <f t="shared" si="6"/>
        <v>0</v>
      </c>
      <c r="AX55" s="2476">
        <f t="shared" si="6"/>
        <v>0</v>
      </c>
      <c r="AY55" s="2478"/>
      <c r="AZ55" s="2477">
        <f>'T-7(ENS)'!AB56</f>
        <v>0</v>
      </c>
      <c r="BA55" s="2477">
        <f t="shared" ref="BA55:BA64" si="20">AZ55</f>
        <v>0</v>
      </c>
      <c r="BB55" s="2478"/>
      <c r="BC55" s="2478"/>
      <c r="BD55" s="2478"/>
      <c r="BE55" s="2478"/>
      <c r="BF55" s="2478">
        <f>D55*$G$69/1000</f>
        <v>0</v>
      </c>
      <c r="BG55" s="2478">
        <f t="shared" si="18"/>
        <v>0</v>
      </c>
      <c r="BH55" s="2502"/>
    </row>
    <row r="56" spans="1:60" ht="15" customHeight="1">
      <c r="A56" s="2500">
        <f t="shared" ref="A56:A62" si="21">A55+1</f>
        <v>29</v>
      </c>
      <c r="B56" s="1021" t="s">
        <v>890</v>
      </c>
      <c r="C56" s="1024" t="s">
        <v>1494</v>
      </c>
      <c r="D56" s="2473">
        <f>'T-7(ENS)'!D57</f>
        <v>145</v>
      </c>
      <c r="E56" s="2473">
        <f>'T-7(ENS)'!E57</f>
        <v>75</v>
      </c>
      <c r="F56" s="2474">
        <f>'T-7(ENS)'!F57</f>
        <v>4</v>
      </c>
      <c r="G56" s="2474">
        <f>'T-7(ENS)'!G57</f>
        <v>48445</v>
      </c>
      <c r="H56" s="2474">
        <f>'T-7(ENS)'!H57</f>
        <v>48441</v>
      </c>
      <c r="I56" s="2474">
        <f>'T-7(ENS)'!I57</f>
        <v>250</v>
      </c>
      <c r="J56" s="2474">
        <f>'T-7(ENS)'!J57</f>
        <v>580</v>
      </c>
      <c r="K56" s="2475">
        <f>'T-7(ENS)'!K57</f>
        <v>470</v>
      </c>
      <c r="L56" s="2475">
        <f>'T-7(ENS)'!L57</f>
        <v>0</v>
      </c>
      <c r="M56" s="2475">
        <f>'T-7(ENS)'!M57</f>
        <v>0</v>
      </c>
      <c r="N56" s="2475">
        <f>'T-7(ENS)'!N57</f>
        <v>700</v>
      </c>
      <c r="O56" s="2475">
        <f>'T-7(ENS)'!O57</f>
        <v>0</v>
      </c>
      <c r="P56" s="2474">
        <f>'T-7(ENS)'!P57</f>
        <v>606.85373737373743</v>
      </c>
      <c r="Q56" s="2475">
        <f>'T-7(ENS)'!Q57</f>
        <v>12.918666666666665</v>
      </c>
      <c r="R56" s="2475">
        <f>'T-7(ENS)'!R57</f>
        <v>120.55555555555556</v>
      </c>
      <c r="S56" s="2475">
        <f>'T-7(ENS)'!S57</f>
        <v>0</v>
      </c>
      <c r="T56" s="2475">
        <f>'T-7(ENS)'!T57</f>
        <v>3.3599999999999998E-2</v>
      </c>
      <c r="U56" s="2475">
        <f>'T-7(ENS)'!U57</f>
        <v>133.50782222222222</v>
      </c>
      <c r="V56" s="2475">
        <f>'T-7(ENS)'!V57</f>
        <v>0</v>
      </c>
      <c r="W56" s="2475">
        <f>'T-7(ENS)'!W57</f>
        <v>600.78520000000003</v>
      </c>
      <c r="X56" s="2475">
        <f>'T-7(ENS)'!X57</f>
        <v>0</v>
      </c>
      <c r="Y56" s="2475">
        <f>'T-7(ENS)'!Y57</f>
        <v>0</v>
      </c>
      <c r="Z56" s="2475">
        <f>'T-7(ENS)'!Z57</f>
        <v>1.3350782222222222</v>
      </c>
      <c r="AA56" s="2475">
        <f>'T-7(ENS)'!AA57</f>
        <v>132.17274399999999</v>
      </c>
      <c r="AB56" s="2474">
        <f t="shared" si="12"/>
        <v>250</v>
      </c>
      <c r="AC56" s="2474">
        <f t="shared" si="12"/>
        <v>580</v>
      </c>
      <c r="AD56" s="2474">
        <f t="shared" si="12"/>
        <v>470</v>
      </c>
      <c r="AE56" s="2475">
        <f t="shared" ref="AE56:AJ64" si="22">L56</f>
        <v>0</v>
      </c>
      <c r="AF56" s="2475">
        <f t="shared" si="22"/>
        <v>0</v>
      </c>
      <c r="AG56" s="2475">
        <f t="shared" si="22"/>
        <v>700</v>
      </c>
      <c r="AH56" s="2475">
        <f t="shared" si="22"/>
        <v>0</v>
      </c>
      <c r="AI56" s="2475">
        <f t="shared" si="22"/>
        <v>606.85373737373743</v>
      </c>
      <c r="AJ56" s="2475">
        <f t="shared" si="22"/>
        <v>12.918666666666665</v>
      </c>
      <c r="AK56" s="2475">
        <f t="shared" si="13"/>
        <v>120.55555555555556</v>
      </c>
      <c r="AL56" s="2475">
        <f t="shared" si="2"/>
        <v>0</v>
      </c>
      <c r="AM56" s="2475">
        <f t="shared" si="3"/>
        <v>700</v>
      </c>
      <c r="AN56" s="2475">
        <f t="shared" si="14"/>
        <v>133.50782222222222</v>
      </c>
      <c r="AO56" s="2475">
        <f t="shared" si="14"/>
        <v>0</v>
      </c>
      <c r="AP56" s="2475">
        <f t="shared" si="14"/>
        <v>600.78520000000003</v>
      </c>
      <c r="AQ56" s="2475">
        <f t="shared" si="14"/>
        <v>0</v>
      </c>
      <c r="AR56" s="2475">
        <f t="shared" si="14"/>
        <v>0</v>
      </c>
      <c r="AS56" s="2475">
        <f t="shared" si="14"/>
        <v>1.3350782222222222</v>
      </c>
      <c r="AT56" s="2475">
        <f t="shared" si="14"/>
        <v>132.17274399999999</v>
      </c>
      <c r="AU56" s="2475">
        <f t="shared" si="4"/>
        <v>132.17274399999999</v>
      </c>
      <c r="AV56" s="2475">
        <f t="shared" si="5"/>
        <v>0</v>
      </c>
      <c r="AW56" s="2476">
        <f t="shared" si="6"/>
        <v>0</v>
      </c>
      <c r="AX56" s="2476">
        <f t="shared" si="6"/>
        <v>0</v>
      </c>
      <c r="AY56" s="2478"/>
      <c r="AZ56" s="2477">
        <f>'T-7(ENS)'!AB57</f>
        <v>1.8647432581927454</v>
      </c>
      <c r="BA56" s="2477">
        <f t="shared" si="20"/>
        <v>1.8647432581927454</v>
      </c>
      <c r="BB56" s="2478"/>
      <c r="BC56" s="2478"/>
      <c r="BD56" s="2478"/>
      <c r="BE56" s="2478"/>
      <c r="BF56" s="2478">
        <f t="shared" ref="BF56:BF63" si="23">D56*$G$69/1000</f>
        <v>41.262773365390302</v>
      </c>
      <c r="BG56" s="2478">
        <f t="shared" si="18"/>
        <v>-97.264012948798324</v>
      </c>
      <c r="BH56" s="2502">
        <f t="shared" ref="BH56:BH64" si="24">BG56/D56*10</f>
        <v>-6.7078629619860921</v>
      </c>
    </row>
    <row r="57" spans="1:60" ht="15" customHeight="1">
      <c r="A57" s="2500">
        <f t="shared" si="21"/>
        <v>30</v>
      </c>
      <c r="B57" s="1021" t="s">
        <v>891</v>
      </c>
      <c r="C57" s="1024" t="s">
        <v>1494</v>
      </c>
      <c r="D57" s="2473">
        <f>'T-7(ENS)'!D58</f>
        <v>270</v>
      </c>
      <c r="E57" s="2473"/>
      <c r="F57" s="2474">
        <f>'T-7(ENS)'!F58</f>
        <v>12</v>
      </c>
      <c r="G57" s="2474">
        <f>'T-7(ENS)'!G58</f>
        <v>137200</v>
      </c>
      <c r="H57" s="2474">
        <f>'T-7(ENS)'!H58</f>
        <v>137188</v>
      </c>
      <c r="I57" s="2474">
        <f>'T-7(ENS)'!I58</f>
        <v>250</v>
      </c>
      <c r="J57" s="2474">
        <f>'T-7(ENS)'!J58</f>
        <v>580</v>
      </c>
      <c r="K57" s="2475">
        <f>'T-7(ENS)'!K58</f>
        <v>470</v>
      </c>
      <c r="L57" s="2475">
        <f>'T-7(ENS)'!L58</f>
        <v>0</v>
      </c>
      <c r="M57" s="2475">
        <f>'T-7(ENS)'!M58</f>
        <v>0</v>
      </c>
      <c r="N57" s="2475">
        <f>'T-7(ENS)'!N58</f>
        <v>700</v>
      </c>
      <c r="O57" s="2475">
        <f>'T-7(ENS)'!O58</f>
        <v>0</v>
      </c>
      <c r="P57" s="2474">
        <f>'T-7(ENS)'!P58</f>
        <v>715.87950617283946</v>
      </c>
      <c r="Q57" s="2475">
        <f>'T-7(ENS)'!Q58</f>
        <v>36.586666666666666</v>
      </c>
      <c r="R57" s="2475">
        <f>'T-7(ENS)'!R58</f>
        <v>156.6</v>
      </c>
      <c r="S57" s="2475">
        <f>'T-7(ENS)'!S58</f>
        <v>0</v>
      </c>
      <c r="T57" s="2475">
        <f>'T-7(ENS)'!T58</f>
        <v>0.1008</v>
      </c>
      <c r="U57" s="2475">
        <f>'T-7(ENS)'!U58</f>
        <v>193.28746666666666</v>
      </c>
      <c r="V57" s="2475">
        <f>'T-7(ENS)'!V58</f>
        <v>0</v>
      </c>
      <c r="W57" s="2475">
        <f>'T-7(ENS)'!W58</f>
        <v>708.72071111111109</v>
      </c>
      <c r="X57" s="2475">
        <f>'T-7(ENS)'!X58</f>
        <v>0</v>
      </c>
      <c r="Y57" s="2475">
        <f>'T-7(ENS)'!Y58</f>
        <v>0</v>
      </c>
      <c r="Z57" s="2475">
        <f>'T-7(ENS)'!Z58</f>
        <v>1.9328746666666667</v>
      </c>
      <c r="AA57" s="2475">
        <f>'T-7(ENS)'!AA58</f>
        <v>191.354592</v>
      </c>
      <c r="AB57" s="2474">
        <f t="shared" ref="AB57:AD64" si="25">I57</f>
        <v>250</v>
      </c>
      <c r="AC57" s="2474">
        <f t="shared" si="25"/>
        <v>580</v>
      </c>
      <c r="AD57" s="2474">
        <f t="shared" si="25"/>
        <v>470</v>
      </c>
      <c r="AE57" s="2475">
        <f t="shared" si="22"/>
        <v>0</v>
      </c>
      <c r="AF57" s="2475">
        <f t="shared" si="22"/>
        <v>0</v>
      </c>
      <c r="AG57" s="2475">
        <f t="shared" si="22"/>
        <v>700</v>
      </c>
      <c r="AH57" s="2475">
        <f t="shared" si="22"/>
        <v>0</v>
      </c>
      <c r="AI57" s="2475">
        <f t="shared" si="22"/>
        <v>715.87950617283946</v>
      </c>
      <c r="AJ57" s="2475">
        <f t="shared" si="22"/>
        <v>36.586666666666666</v>
      </c>
      <c r="AK57" s="2475">
        <f t="shared" si="13"/>
        <v>156.6</v>
      </c>
      <c r="AL57" s="2475">
        <f t="shared" si="2"/>
        <v>0</v>
      </c>
      <c r="AM57" s="2475">
        <f t="shared" si="3"/>
        <v>700</v>
      </c>
      <c r="AN57" s="2475">
        <f t="shared" si="14"/>
        <v>193.28746666666666</v>
      </c>
      <c r="AO57" s="2475">
        <f t="shared" si="14"/>
        <v>0</v>
      </c>
      <c r="AP57" s="2475">
        <f t="shared" si="14"/>
        <v>708.72071111111109</v>
      </c>
      <c r="AQ57" s="2475">
        <f t="shared" si="14"/>
        <v>0</v>
      </c>
      <c r="AR57" s="2475">
        <f t="shared" si="14"/>
        <v>0</v>
      </c>
      <c r="AS57" s="2475">
        <f t="shared" si="14"/>
        <v>1.9328746666666667</v>
      </c>
      <c r="AT57" s="2475">
        <f t="shared" si="14"/>
        <v>191.354592</v>
      </c>
      <c r="AU57" s="2475">
        <f t="shared" si="4"/>
        <v>191.354592</v>
      </c>
      <c r="AV57" s="2475">
        <f t="shared" si="5"/>
        <v>0</v>
      </c>
      <c r="AW57" s="2476">
        <f t="shared" si="6"/>
        <v>0</v>
      </c>
      <c r="AX57" s="2476">
        <f t="shared" si="6"/>
        <v>0</v>
      </c>
      <c r="AY57" s="2478"/>
      <c r="AZ57" s="2477">
        <f>'T-7(ENS)'!AB58</f>
        <v>2.199758196416977</v>
      </c>
      <c r="BA57" s="2477">
        <f t="shared" si="20"/>
        <v>2.199758196416977</v>
      </c>
      <c r="BB57" s="2478"/>
      <c r="BC57" s="2478"/>
      <c r="BD57" s="2478"/>
      <c r="BE57" s="2478"/>
      <c r="BF57" s="2478">
        <f t="shared" si="23"/>
        <v>76.834129714864702</v>
      </c>
      <c r="BG57" s="2478">
        <f t="shared" si="18"/>
        <v>-126.35212728396932</v>
      </c>
      <c r="BH57" s="2502">
        <f t="shared" si="24"/>
        <v>-4.6797084179247896</v>
      </c>
    </row>
    <row r="58" spans="1:60" ht="15" customHeight="1">
      <c r="A58" s="2500">
        <f t="shared" si="21"/>
        <v>31</v>
      </c>
      <c r="B58" s="1021" t="s">
        <v>892</v>
      </c>
      <c r="C58" s="1024" t="s">
        <v>1494</v>
      </c>
      <c r="D58" s="2473">
        <f>'T-7(ENS)'!D59</f>
        <v>0</v>
      </c>
      <c r="E58" s="2473"/>
      <c r="F58" s="2474">
        <f>'T-7(ENS)'!F59</f>
        <v>0</v>
      </c>
      <c r="G58" s="2474">
        <f>'T-7(ENS)'!G59</f>
        <v>0</v>
      </c>
      <c r="H58" s="2474">
        <f>'T-7(ENS)'!H59</f>
        <v>0</v>
      </c>
      <c r="I58" s="2474">
        <f>'T-7(ENS)'!I59</f>
        <v>250</v>
      </c>
      <c r="J58" s="2474">
        <f>'T-7(ENS)'!J59</f>
        <v>580</v>
      </c>
      <c r="K58" s="2475">
        <f>'T-7(ENS)'!K59</f>
        <v>470</v>
      </c>
      <c r="L58" s="2475">
        <f>'T-7(ENS)'!L59</f>
        <v>0</v>
      </c>
      <c r="M58" s="2475">
        <f>'T-7(ENS)'!M59</f>
        <v>0</v>
      </c>
      <c r="N58" s="2475">
        <f>'T-7(ENS)'!N59</f>
        <v>700</v>
      </c>
      <c r="O58" s="2475">
        <f>'T-7(ENS)'!O59</f>
        <v>0</v>
      </c>
      <c r="P58" s="2474">
        <f>'T-7(ENS)'!P59</f>
        <v>0</v>
      </c>
      <c r="Q58" s="2475">
        <f>'T-7(ENS)'!Q59</f>
        <v>0</v>
      </c>
      <c r="R58" s="2475">
        <f>'T-7(ENS)'!R59</f>
        <v>0</v>
      </c>
      <c r="S58" s="2475">
        <f>'T-7(ENS)'!S59</f>
        <v>0</v>
      </c>
      <c r="T58" s="2475">
        <f>'T-7(ENS)'!T59</f>
        <v>0</v>
      </c>
      <c r="U58" s="2475">
        <f>'T-7(ENS)'!U59</f>
        <v>0</v>
      </c>
      <c r="V58" s="2475">
        <f>'T-7(ENS)'!V59</f>
        <v>0</v>
      </c>
      <c r="W58" s="2475">
        <f>'T-7(ENS)'!W59</f>
        <v>0</v>
      </c>
      <c r="X58" s="2475">
        <f>'T-7(ENS)'!X59</f>
        <v>0</v>
      </c>
      <c r="Y58" s="2475">
        <f>'T-7(ENS)'!Y59</f>
        <v>0</v>
      </c>
      <c r="Z58" s="2475">
        <f>'T-7(ENS)'!Z59</f>
        <v>0</v>
      </c>
      <c r="AA58" s="2475">
        <f>'T-7(ENS)'!AA59</f>
        <v>0</v>
      </c>
      <c r="AB58" s="2474">
        <f t="shared" si="25"/>
        <v>250</v>
      </c>
      <c r="AC58" s="2474">
        <f t="shared" si="25"/>
        <v>580</v>
      </c>
      <c r="AD58" s="2474">
        <f t="shared" si="25"/>
        <v>470</v>
      </c>
      <c r="AE58" s="2475">
        <f t="shared" si="22"/>
        <v>0</v>
      </c>
      <c r="AF58" s="2475">
        <f t="shared" si="22"/>
        <v>0</v>
      </c>
      <c r="AG58" s="2475">
        <f t="shared" si="22"/>
        <v>700</v>
      </c>
      <c r="AH58" s="2475">
        <f t="shared" si="22"/>
        <v>0</v>
      </c>
      <c r="AI58" s="2475">
        <f t="shared" si="22"/>
        <v>0</v>
      </c>
      <c r="AJ58" s="2475">
        <f t="shared" si="22"/>
        <v>0</v>
      </c>
      <c r="AK58" s="2475">
        <f t="shared" si="13"/>
        <v>0</v>
      </c>
      <c r="AL58" s="2475">
        <f t="shared" si="2"/>
        <v>0</v>
      </c>
      <c r="AM58" s="2475">
        <f t="shared" si="3"/>
        <v>700</v>
      </c>
      <c r="AN58" s="2475">
        <f t="shared" si="14"/>
        <v>0</v>
      </c>
      <c r="AO58" s="2475">
        <f t="shared" si="14"/>
        <v>0</v>
      </c>
      <c r="AP58" s="2475">
        <f t="shared" si="14"/>
        <v>0</v>
      </c>
      <c r="AQ58" s="2475">
        <f t="shared" si="14"/>
        <v>0</v>
      </c>
      <c r="AR58" s="2475">
        <f t="shared" si="14"/>
        <v>0</v>
      </c>
      <c r="AS58" s="2475">
        <f t="shared" si="14"/>
        <v>0</v>
      </c>
      <c r="AT58" s="2475">
        <f t="shared" si="14"/>
        <v>0</v>
      </c>
      <c r="AU58" s="2475">
        <f t="shared" si="4"/>
        <v>0</v>
      </c>
      <c r="AV58" s="2475">
        <f t="shared" si="5"/>
        <v>0</v>
      </c>
      <c r="AW58" s="2476">
        <f t="shared" si="6"/>
        <v>0</v>
      </c>
      <c r="AX58" s="2476">
        <f t="shared" si="6"/>
        <v>0</v>
      </c>
      <c r="AY58" s="2478"/>
      <c r="AZ58" s="2477">
        <f>'T-7(ENS)'!AB59</f>
        <v>0</v>
      </c>
      <c r="BA58" s="2477">
        <f t="shared" si="20"/>
        <v>0</v>
      </c>
      <c r="BB58" s="2478"/>
      <c r="BC58" s="2478"/>
      <c r="BD58" s="2478"/>
      <c r="BE58" s="2478"/>
      <c r="BF58" s="2478">
        <f t="shared" si="23"/>
        <v>0</v>
      </c>
      <c r="BG58" s="2478">
        <f t="shared" si="18"/>
        <v>0</v>
      </c>
      <c r="BH58" s="2502"/>
    </row>
    <row r="59" spans="1:60" ht="15" customHeight="1">
      <c r="A59" s="2500">
        <f t="shared" si="21"/>
        <v>32</v>
      </c>
      <c r="B59" s="1021" t="s">
        <v>893</v>
      </c>
      <c r="C59" s="1024" t="s">
        <v>1494</v>
      </c>
      <c r="D59" s="2473">
        <f>'T-7(ENS)'!D60</f>
        <v>135</v>
      </c>
      <c r="E59" s="2473">
        <f>'T-7(ENS)'!E60</f>
        <v>0</v>
      </c>
      <c r="F59" s="2474">
        <f>'T-7(ENS)'!F60</f>
        <v>1</v>
      </c>
      <c r="G59" s="2474">
        <f>'T-7(ENS)'!G60</f>
        <v>28888</v>
      </c>
      <c r="H59" s="2474">
        <f>'T-7(ENS)'!H60</f>
        <v>28887</v>
      </c>
      <c r="I59" s="2474">
        <f>'T-7(ENS)'!I60</f>
        <v>250</v>
      </c>
      <c r="J59" s="2474">
        <f>'T-7(ENS)'!J60</f>
        <v>580</v>
      </c>
      <c r="K59" s="2475">
        <f>'T-7(ENS)'!K60</f>
        <v>470</v>
      </c>
      <c r="L59" s="2475">
        <f>'T-7(ENS)'!L60</f>
        <v>0</v>
      </c>
      <c r="M59" s="2475">
        <f>'T-7(ENS)'!M60</f>
        <v>0</v>
      </c>
      <c r="N59" s="2475">
        <f>'T-7(ENS)'!N60</f>
        <v>700</v>
      </c>
      <c r="O59" s="2475">
        <f>'T-7(ENS)'!O60</f>
        <v>0</v>
      </c>
      <c r="P59" s="2474">
        <f>'T-7(ENS)'!P60</f>
        <v>633.27638726445741</v>
      </c>
      <c r="Q59" s="2475">
        <f>'T-7(ENS)'!Q60</f>
        <v>8.1089122807017553</v>
      </c>
      <c r="R59" s="2475">
        <f>'T-7(ENS)'!R60</f>
        <v>77.375</v>
      </c>
      <c r="S59" s="2475">
        <f>'T-7(ENS)'!S60</f>
        <v>0</v>
      </c>
      <c r="T59" s="2475">
        <f>'T-7(ENS)'!T60</f>
        <v>8.3999999999999995E-3</v>
      </c>
      <c r="U59" s="2475">
        <f>'T-7(ENS)'!U60</f>
        <v>85.492312280701753</v>
      </c>
      <c r="V59" s="2475">
        <f>'T-7(ENS)'!V60</f>
        <v>0</v>
      </c>
      <c r="W59" s="2475">
        <f>'T-7(ENS)'!W60</f>
        <v>626.94362339181282</v>
      </c>
      <c r="X59" s="2475">
        <f>'T-7(ENS)'!X60</f>
        <v>0</v>
      </c>
      <c r="Y59" s="2475">
        <f>'T-7(ENS)'!Y60</f>
        <v>0</v>
      </c>
      <c r="Z59" s="2475">
        <f>'T-7(ENS)'!Z60</f>
        <v>0.85492312280701754</v>
      </c>
      <c r="AA59" s="2475">
        <f>'T-7(ENS)'!AA60</f>
        <v>84.637389157894731</v>
      </c>
      <c r="AB59" s="2474">
        <f t="shared" si="25"/>
        <v>250</v>
      </c>
      <c r="AC59" s="2474">
        <f t="shared" si="25"/>
        <v>580</v>
      </c>
      <c r="AD59" s="2474">
        <f t="shared" si="25"/>
        <v>470</v>
      </c>
      <c r="AE59" s="2475">
        <f t="shared" si="22"/>
        <v>0</v>
      </c>
      <c r="AF59" s="2475">
        <f t="shared" si="22"/>
        <v>0</v>
      </c>
      <c r="AG59" s="2475">
        <f t="shared" si="22"/>
        <v>700</v>
      </c>
      <c r="AH59" s="2475">
        <f t="shared" si="22"/>
        <v>0</v>
      </c>
      <c r="AI59" s="2475">
        <f t="shared" si="22"/>
        <v>633.27638726445741</v>
      </c>
      <c r="AJ59" s="2475">
        <f t="shared" si="22"/>
        <v>8.1089122807017553</v>
      </c>
      <c r="AK59" s="2475">
        <f t="shared" si="13"/>
        <v>77.375</v>
      </c>
      <c r="AL59" s="2475">
        <f t="shared" si="2"/>
        <v>0</v>
      </c>
      <c r="AM59" s="2475">
        <f t="shared" si="3"/>
        <v>700</v>
      </c>
      <c r="AN59" s="2475">
        <f t="shared" si="14"/>
        <v>85.492312280701753</v>
      </c>
      <c r="AO59" s="2475">
        <f t="shared" si="14"/>
        <v>0</v>
      </c>
      <c r="AP59" s="2475">
        <f t="shared" si="14"/>
        <v>626.94362339181282</v>
      </c>
      <c r="AQ59" s="2475">
        <f t="shared" si="14"/>
        <v>0</v>
      </c>
      <c r="AR59" s="2475">
        <f t="shared" si="14"/>
        <v>0</v>
      </c>
      <c r="AS59" s="2475">
        <f t="shared" si="14"/>
        <v>0.85492312280701754</v>
      </c>
      <c r="AT59" s="2475">
        <f t="shared" si="14"/>
        <v>84.637389157894731</v>
      </c>
      <c r="AU59" s="2475">
        <f t="shared" si="4"/>
        <v>84.637389157894731</v>
      </c>
      <c r="AV59" s="2475">
        <f t="shared" si="5"/>
        <v>0</v>
      </c>
      <c r="AW59" s="2476">
        <f t="shared" si="6"/>
        <v>0</v>
      </c>
      <c r="AX59" s="2476">
        <f t="shared" si="6"/>
        <v>0</v>
      </c>
      <c r="AY59" s="2478"/>
      <c r="AZ59" s="2477">
        <f>'T-7(ENS)'!AB60</f>
        <v>1.9459349114905202</v>
      </c>
      <c r="BA59" s="2477">
        <f t="shared" si="20"/>
        <v>1.9459349114905202</v>
      </c>
      <c r="BB59" s="2478"/>
      <c r="BC59" s="2478"/>
      <c r="BD59" s="2478"/>
      <c r="BE59" s="2478"/>
      <c r="BF59" s="2478">
        <f t="shared" si="23"/>
        <v>38.417064857432351</v>
      </c>
      <c r="BG59" s="2478">
        <f t="shared" si="18"/>
        <v>-52.136156799879394</v>
      </c>
      <c r="BH59" s="2502">
        <f t="shared" si="24"/>
        <v>-3.8619375407318071</v>
      </c>
    </row>
    <row r="60" spans="1:60" ht="15" customHeight="1">
      <c r="A60" s="2500">
        <f t="shared" si="21"/>
        <v>33</v>
      </c>
      <c r="B60" s="1021" t="s">
        <v>1336</v>
      </c>
      <c r="C60" s="1024" t="s">
        <v>1494</v>
      </c>
      <c r="D60" s="2473">
        <f>'T-7(ENS)'!D61</f>
        <v>0</v>
      </c>
      <c r="E60" s="2473"/>
      <c r="F60" s="2474">
        <f>'T-7(ENS)'!F61</f>
        <v>0</v>
      </c>
      <c r="G60" s="2474">
        <f>'T-7(ENS)'!G61</f>
        <v>0</v>
      </c>
      <c r="H60" s="2474">
        <f>'T-7(ENS)'!H61</f>
        <v>0</v>
      </c>
      <c r="I60" s="2474">
        <f>'T-7(ENS)'!I61</f>
        <v>250</v>
      </c>
      <c r="J60" s="2474">
        <f>'T-7(ENS)'!J61</f>
        <v>580</v>
      </c>
      <c r="K60" s="2475">
        <f>'T-7(ENS)'!K61</f>
        <v>470</v>
      </c>
      <c r="L60" s="2475">
        <f>'T-7(ENS)'!L61</f>
        <v>0</v>
      </c>
      <c r="M60" s="2475">
        <f>'T-7(ENS)'!M61</f>
        <v>0</v>
      </c>
      <c r="N60" s="2475">
        <f>'T-7(ENS)'!N61</f>
        <v>700</v>
      </c>
      <c r="O60" s="2475">
        <f>'T-7(ENS)'!O61</f>
        <v>0</v>
      </c>
      <c r="P60" s="2474">
        <f>'T-7(ENS)'!P61</f>
        <v>0</v>
      </c>
      <c r="Q60" s="2475">
        <f>'T-7(ENS)'!Q61</f>
        <v>0</v>
      </c>
      <c r="R60" s="2475">
        <f>'T-7(ENS)'!R61</f>
        <v>0</v>
      </c>
      <c r="S60" s="2475">
        <f>'T-7(ENS)'!S61</f>
        <v>0</v>
      </c>
      <c r="T60" s="2475">
        <f>'T-7(ENS)'!T61</f>
        <v>0</v>
      </c>
      <c r="U60" s="2475">
        <f>'T-7(ENS)'!U61</f>
        <v>0</v>
      </c>
      <c r="V60" s="2475">
        <f>'T-7(ENS)'!V61</f>
        <v>0</v>
      </c>
      <c r="W60" s="2475">
        <f>'T-7(ENS)'!W61</f>
        <v>0</v>
      </c>
      <c r="X60" s="2475">
        <f>'T-7(ENS)'!X61</f>
        <v>0</v>
      </c>
      <c r="Y60" s="2475">
        <f>'T-7(ENS)'!Y61</f>
        <v>0</v>
      </c>
      <c r="Z60" s="2475">
        <f>'T-7(ENS)'!Z61</f>
        <v>0</v>
      </c>
      <c r="AA60" s="2475">
        <f>'T-7(ENS)'!AA61</f>
        <v>0</v>
      </c>
      <c r="AB60" s="2474">
        <f t="shared" si="25"/>
        <v>250</v>
      </c>
      <c r="AC60" s="2474">
        <f t="shared" si="25"/>
        <v>580</v>
      </c>
      <c r="AD60" s="2474">
        <f t="shared" si="25"/>
        <v>470</v>
      </c>
      <c r="AE60" s="2475">
        <f t="shared" si="22"/>
        <v>0</v>
      </c>
      <c r="AF60" s="2475">
        <f t="shared" si="22"/>
        <v>0</v>
      </c>
      <c r="AG60" s="2475">
        <f t="shared" si="22"/>
        <v>700</v>
      </c>
      <c r="AH60" s="2475">
        <f t="shared" si="22"/>
        <v>0</v>
      </c>
      <c r="AI60" s="2475">
        <f t="shared" si="22"/>
        <v>0</v>
      </c>
      <c r="AJ60" s="2475">
        <f t="shared" si="22"/>
        <v>0</v>
      </c>
      <c r="AK60" s="2475">
        <f t="shared" si="13"/>
        <v>0</v>
      </c>
      <c r="AL60" s="2475">
        <f t="shared" si="2"/>
        <v>0</v>
      </c>
      <c r="AM60" s="2475">
        <f t="shared" si="3"/>
        <v>700</v>
      </c>
      <c r="AN60" s="2475">
        <f t="shared" si="14"/>
        <v>0</v>
      </c>
      <c r="AO60" s="2475">
        <f t="shared" si="14"/>
        <v>0</v>
      </c>
      <c r="AP60" s="2475">
        <f t="shared" si="14"/>
        <v>0</v>
      </c>
      <c r="AQ60" s="2475">
        <f t="shared" si="14"/>
        <v>0</v>
      </c>
      <c r="AR60" s="2475">
        <f t="shared" si="14"/>
        <v>0</v>
      </c>
      <c r="AS60" s="2475">
        <f t="shared" si="14"/>
        <v>0</v>
      </c>
      <c r="AT60" s="2475">
        <f t="shared" si="14"/>
        <v>0</v>
      </c>
      <c r="AU60" s="2475">
        <f t="shared" si="4"/>
        <v>0</v>
      </c>
      <c r="AV60" s="2475">
        <f t="shared" si="5"/>
        <v>0</v>
      </c>
      <c r="AW60" s="2476">
        <f t="shared" si="6"/>
        <v>0</v>
      </c>
      <c r="AX60" s="2476">
        <f t="shared" si="6"/>
        <v>0</v>
      </c>
      <c r="AY60" s="2478"/>
      <c r="AZ60" s="2477">
        <f>'T-7(ENS)'!AB61</f>
        <v>0</v>
      </c>
      <c r="BA60" s="2477">
        <f t="shared" si="20"/>
        <v>0</v>
      </c>
      <c r="BB60" s="2478"/>
      <c r="BC60" s="2478"/>
      <c r="BD60" s="2478"/>
      <c r="BE60" s="2478"/>
      <c r="BF60" s="2478">
        <f t="shared" si="23"/>
        <v>0</v>
      </c>
      <c r="BG60" s="2478">
        <f t="shared" si="18"/>
        <v>0</v>
      </c>
      <c r="BH60" s="2502"/>
    </row>
    <row r="61" spans="1:60" ht="15" customHeight="1">
      <c r="A61" s="2500">
        <f t="shared" si="21"/>
        <v>34</v>
      </c>
      <c r="B61" s="1021" t="s">
        <v>1339</v>
      </c>
      <c r="C61" s="1024" t="s">
        <v>1494</v>
      </c>
      <c r="D61" s="2473">
        <f>'T-7(ENS)'!D62</f>
        <v>8.1620000000000008</v>
      </c>
      <c r="E61" s="2473"/>
      <c r="F61" s="2474">
        <f>'T-7(ENS)'!F62</f>
        <v>1</v>
      </c>
      <c r="G61" s="2474">
        <f>'T-7(ENS)'!G62</f>
        <v>0</v>
      </c>
      <c r="H61" s="2474">
        <f>'T-7(ENS)'!H62</f>
        <v>0</v>
      </c>
      <c r="I61" s="2474">
        <f>'T-7(ENS)'!I62</f>
        <v>250</v>
      </c>
      <c r="J61" s="2474">
        <f>'T-7(ENS)'!J62</f>
        <v>770</v>
      </c>
      <c r="K61" s="2475">
        <f>'T-7(ENS)'!K62</f>
        <v>0</v>
      </c>
      <c r="L61" s="2475">
        <f>'T-7(ENS)'!L62</f>
        <v>0</v>
      </c>
      <c r="M61" s="2475">
        <f>'T-7(ENS)'!M62</f>
        <v>0</v>
      </c>
      <c r="N61" s="2475">
        <f>'T-7(ENS)'!N62</f>
        <v>700</v>
      </c>
      <c r="O61" s="2475">
        <f>'T-7(ENS)'!O62</f>
        <v>0</v>
      </c>
      <c r="P61" s="2474">
        <f>'T-7(ENS)'!P62</f>
        <v>771.02915951972557</v>
      </c>
      <c r="Q61" s="2475">
        <f>'T-7(ENS)'!Q62</f>
        <v>0</v>
      </c>
      <c r="R61" s="2475">
        <f>'T-7(ENS)'!R62</f>
        <v>6.2847400000000011</v>
      </c>
      <c r="S61" s="2475">
        <f>'T-7(ENS)'!S62</f>
        <v>0</v>
      </c>
      <c r="T61" s="2475">
        <f>'T-7(ENS)'!T62</f>
        <v>8.3999999999999995E-3</v>
      </c>
      <c r="U61" s="2475">
        <f>'T-7(ENS)'!U62</f>
        <v>6.2931400000000011</v>
      </c>
      <c r="V61" s="2475">
        <f>'T-7(ENS)'!V62</f>
        <v>0</v>
      </c>
      <c r="W61" s="2475">
        <f>'T-7(ENS)'!W62</f>
        <v>763.31886792452826</v>
      </c>
      <c r="X61" s="2475">
        <f>'T-7(ENS)'!X62</f>
        <v>0</v>
      </c>
      <c r="Y61" s="2475">
        <f>'T-7(ENS)'!Y62</f>
        <v>0</v>
      </c>
      <c r="Z61" s="2475">
        <f>'T-7(ENS)'!Z62</f>
        <v>6.2931400000000012E-2</v>
      </c>
      <c r="AA61" s="2475">
        <f>'T-7(ENS)'!AA62</f>
        <v>6.230208600000001</v>
      </c>
      <c r="AB61" s="2474">
        <f t="shared" si="25"/>
        <v>250</v>
      </c>
      <c r="AC61" s="2474">
        <f t="shared" si="25"/>
        <v>770</v>
      </c>
      <c r="AD61" s="2474">
        <f t="shared" si="25"/>
        <v>0</v>
      </c>
      <c r="AE61" s="2475">
        <f t="shared" si="22"/>
        <v>0</v>
      </c>
      <c r="AF61" s="2475">
        <f t="shared" si="22"/>
        <v>0</v>
      </c>
      <c r="AG61" s="2475">
        <f t="shared" si="22"/>
        <v>700</v>
      </c>
      <c r="AH61" s="2475">
        <f t="shared" si="22"/>
        <v>0</v>
      </c>
      <c r="AI61" s="2475">
        <f t="shared" si="22"/>
        <v>771.02915951972557</v>
      </c>
      <c r="AJ61" s="2475">
        <f t="shared" si="22"/>
        <v>0</v>
      </c>
      <c r="AK61" s="2475">
        <f t="shared" si="13"/>
        <v>6.2847400000000011</v>
      </c>
      <c r="AL61" s="2475">
        <f t="shared" si="2"/>
        <v>0</v>
      </c>
      <c r="AM61" s="2475">
        <f t="shared" si="3"/>
        <v>700</v>
      </c>
      <c r="AN61" s="2475">
        <f t="shared" si="14"/>
        <v>6.2931400000000011</v>
      </c>
      <c r="AO61" s="2475">
        <f t="shared" si="14"/>
        <v>0</v>
      </c>
      <c r="AP61" s="2475">
        <f t="shared" si="14"/>
        <v>763.31886792452826</v>
      </c>
      <c r="AQ61" s="2475">
        <f t="shared" si="14"/>
        <v>0</v>
      </c>
      <c r="AR61" s="2475">
        <f t="shared" si="14"/>
        <v>0</v>
      </c>
      <c r="AS61" s="2475">
        <f t="shared" si="14"/>
        <v>6.2931400000000012E-2</v>
      </c>
      <c r="AT61" s="2475">
        <f t="shared" si="14"/>
        <v>6.230208600000001</v>
      </c>
      <c r="AU61" s="2475">
        <f t="shared" si="4"/>
        <v>6.230208600000001</v>
      </c>
      <c r="AV61" s="2475">
        <f t="shared" si="5"/>
        <v>0</v>
      </c>
      <c r="AW61" s="2476">
        <f t="shared" si="6"/>
        <v>0</v>
      </c>
      <c r="AX61" s="2476">
        <f t="shared" si="6"/>
        <v>0</v>
      </c>
      <c r="AY61" s="2478"/>
      <c r="AZ61" s="2477">
        <f>'T-7(ENS)'!AB62</f>
        <v>2.3692223323969746</v>
      </c>
      <c r="BA61" s="2477">
        <f t="shared" si="20"/>
        <v>2.3692223323969746</v>
      </c>
      <c r="BB61" s="2478"/>
      <c r="BC61" s="2478"/>
      <c r="BD61" s="2478"/>
      <c r="BE61" s="2478"/>
      <c r="BF61" s="2478">
        <f t="shared" si="23"/>
        <v>2.3226672841952802</v>
      </c>
      <c r="BG61" s="2478">
        <f t="shared" si="18"/>
        <v>-4.265208166621326</v>
      </c>
      <c r="BH61" s="2502">
        <f t="shared" si="24"/>
        <v>-5.2256899860589634</v>
      </c>
    </row>
    <row r="62" spans="1:60" ht="15" customHeight="1">
      <c r="A62" s="2500">
        <f t="shared" si="21"/>
        <v>35</v>
      </c>
      <c r="B62" s="1021" t="s">
        <v>1337</v>
      </c>
      <c r="C62" s="1024" t="s">
        <v>1494</v>
      </c>
      <c r="D62" s="2473">
        <f>'T-7(ENS)'!D63</f>
        <v>9.31</v>
      </c>
      <c r="E62" s="2473"/>
      <c r="F62" s="2474">
        <f>'T-7(ENS)'!F63</f>
        <v>0</v>
      </c>
      <c r="G62" s="2474">
        <f>'T-7(ENS)'!G63</f>
        <v>0</v>
      </c>
      <c r="H62" s="2474">
        <f>'T-7(ENS)'!H63</f>
        <v>0</v>
      </c>
      <c r="I62" s="2474">
        <f>'T-7(ENS)'!I63</f>
        <v>250</v>
      </c>
      <c r="J62" s="2474">
        <f>'T-7(ENS)'!J63</f>
        <v>485</v>
      </c>
      <c r="K62" s="2475">
        <f>'T-7(ENS)'!K63</f>
        <v>0</v>
      </c>
      <c r="L62" s="2475">
        <f>'T-7(ENS)'!L63</f>
        <v>0</v>
      </c>
      <c r="M62" s="2475">
        <f>'T-7(ENS)'!M63</f>
        <v>0</v>
      </c>
      <c r="N62" s="2475">
        <f>'T-7(ENS)'!N63</f>
        <v>700</v>
      </c>
      <c r="O62" s="2475">
        <f>'T-7(ENS)'!O63</f>
        <v>0</v>
      </c>
      <c r="P62" s="2474">
        <f>'T-7(ENS)'!P63</f>
        <v>485.00000000000006</v>
      </c>
      <c r="Q62" s="2475">
        <f>'T-7(ENS)'!Q63</f>
        <v>0</v>
      </c>
      <c r="R62" s="2475">
        <f>'T-7(ENS)'!R63</f>
        <v>4.5153500000000006</v>
      </c>
      <c r="S62" s="2475">
        <f>'T-7(ENS)'!S63</f>
        <v>0</v>
      </c>
      <c r="T62" s="2475">
        <f>'T-7(ENS)'!T63</f>
        <v>0</v>
      </c>
      <c r="U62" s="2475">
        <f>'T-7(ENS)'!U63</f>
        <v>4.5153500000000006</v>
      </c>
      <c r="V62" s="2475">
        <f>'T-7(ENS)'!V63</f>
        <v>0</v>
      </c>
      <c r="W62" s="2475">
        <f>'T-7(ENS)'!W63</f>
        <v>480.15000000000009</v>
      </c>
      <c r="X62" s="2475">
        <f>'T-7(ENS)'!X63</f>
        <v>0</v>
      </c>
      <c r="Y62" s="2475">
        <f>'T-7(ENS)'!Y63</f>
        <v>0</v>
      </c>
      <c r="Z62" s="2475">
        <f>'T-7(ENS)'!Z63</f>
        <v>4.5153500000000006E-2</v>
      </c>
      <c r="AA62" s="2475">
        <f>'T-7(ENS)'!AA63</f>
        <v>4.470196500000001</v>
      </c>
      <c r="AB62" s="2474">
        <f t="shared" si="25"/>
        <v>250</v>
      </c>
      <c r="AC62" s="2474">
        <f t="shared" si="25"/>
        <v>485</v>
      </c>
      <c r="AD62" s="2474">
        <f t="shared" si="25"/>
        <v>0</v>
      </c>
      <c r="AE62" s="2475">
        <f t="shared" si="22"/>
        <v>0</v>
      </c>
      <c r="AF62" s="2475">
        <f t="shared" si="22"/>
        <v>0</v>
      </c>
      <c r="AG62" s="2475">
        <f t="shared" si="22"/>
        <v>700</v>
      </c>
      <c r="AH62" s="2475">
        <f t="shared" si="22"/>
        <v>0</v>
      </c>
      <c r="AI62" s="2475">
        <f t="shared" si="22"/>
        <v>485.00000000000006</v>
      </c>
      <c r="AJ62" s="2475">
        <f t="shared" si="22"/>
        <v>0</v>
      </c>
      <c r="AK62" s="2475">
        <f t="shared" si="13"/>
        <v>4.5153500000000006</v>
      </c>
      <c r="AL62" s="2475">
        <f t="shared" si="2"/>
        <v>0</v>
      </c>
      <c r="AM62" s="2475">
        <f t="shared" si="3"/>
        <v>700</v>
      </c>
      <c r="AN62" s="2475">
        <f t="shared" si="14"/>
        <v>4.5153500000000006</v>
      </c>
      <c r="AO62" s="2475">
        <f t="shared" si="14"/>
        <v>0</v>
      </c>
      <c r="AP62" s="2475">
        <f t="shared" si="14"/>
        <v>480.15000000000009</v>
      </c>
      <c r="AQ62" s="2475">
        <f t="shared" si="14"/>
        <v>0</v>
      </c>
      <c r="AR62" s="2475">
        <f t="shared" si="14"/>
        <v>0</v>
      </c>
      <c r="AS62" s="2475">
        <f t="shared" si="14"/>
        <v>4.5153500000000006E-2</v>
      </c>
      <c r="AT62" s="2475">
        <f t="shared" si="14"/>
        <v>4.470196500000001</v>
      </c>
      <c r="AU62" s="2475">
        <f t="shared" si="4"/>
        <v>4.470196500000001</v>
      </c>
      <c r="AV62" s="2475">
        <f t="shared" si="5"/>
        <v>0</v>
      </c>
      <c r="AW62" s="2476">
        <f t="shared" si="6"/>
        <v>0</v>
      </c>
      <c r="AX62" s="2476">
        <f t="shared" si="6"/>
        <v>0</v>
      </c>
      <c r="AY62" s="2478"/>
      <c r="AZ62" s="2477">
        <f>'T-7(ENS)'!AB63</f>
        <v>1.4903104727300986</v>
      </c>
      <c r="BA62" s="2477">
        <f t="shared" si="20"/>
        <v>1.4903104727300986</v>
      </c>
      <c r="BB62" s="2478"/>
      <c r="BC62" s="2478"/>
      <c r="BD62" s="2478"/>
      <c r="BE62" s="2478"/>
      <c r="BF62" s="2478">
        <f t="shared" si="23"/>
        <v>2.6493546209088534</v>
      </c>
      <c r="BG62" s="2478">
        <f t="shared" si="18"/>
        <v>-2.2288152166435355</v>
      </c>
      <c r="BH62" s="2502">
        <f t="shared" si="24"/>
        <v>-2.3940013068136792</v>
      </c>
    </row>
    <row r="63" spans="1:60" ht="15" customHeight="1">
      <c r="A63" s="2500"/>
      <c r="B63" s="2465" t="s">
        <v>4094</v>
      </c>
      <c r="C63" s="1021"/>
      <c r="D63" s="2480">
        <f>'T-7(ENS)'!D64</f>
        <v>567.47199999999998</v>
      </c>
      <c r="E63" s="2473">
        <f>'T-7(ENS)'!E64</f>
        <v>75</v>
      </c>
      <c r="F63" s="2474">
        <f>'T-7(ENS)'!F64</f>
        <v>18</v>
      </c>
      <c r="G63" s="2474">
        <f>'T-7(ENS)'!G64</f>
        <v>214533</v>
      </c>
      <c r="H63" s="2474">
        <f>'T-7(ENS)'!H64</f>
        <v>214516</v>
      </c>
      <c r="I63" s="2474">
        <f>'T-7(ENS)'!I64</f>
        <v>0</v>
      </c>
      <c r="J63" s="2474">
        <f>'T-7(ENS)'!J64</f>
        <v>0</v>
      </c>
      <c r="K63" s="2475">
        <f>'T-7(ENS)'!K64</f>
        <v>0</v>
      </c>
      <c r="L63" s="2475">
        <f>'T-7(ENS)'!L64</f>
        <v>0</v>
      </c>
      <c r="M63" s="2475">
        <f>'T-7(ENS)'!M64</f>
        <v>0</v>
      </c>
      <c r="N63" s="2475">
        <f>'T-7(ENS)'!N64</f>
        <v>0</v>
      </c>
      <c r="O63" s="2475">
        <f>'T-7(ENS)'!O64</f>
        <v>0</v>
      </c>
      <c r="P63" s="2474">
        <f>'T-7(ENS)'!P64</f>
        <v>658.54401618995178</v>
      </c>
      <c r="Q63" s="2475">
        <f>'T-7(ENS)'!Q64</f>
        <v>57.614245614035084</v>
      </c>
      <c r="R63" s="2475">
        <f>'T-7(ENS)'!R64</f>
        <v>365.33064555555558</v>
      </c>
      <c r="S63" s="2475">
        <f>'T-7(ENS)'!S64</f>
        <v>0</v>
      </c>
      <c r="T63" s="2475">
        <f>'T-7(ENS)'!T64</f>
        <v>0.15119999999999997</v>
      </c>
      <c r="U63" s="2475">
        <f>'T-7(ENS)'!U64</f>
        <v>423.09609116959064</v>
      </c>
      <c r="V63" s="2475">
        <f>'T-7(ENS)'!V64</f>
        <v>0</v>
      </c>
      <c r="W63" s="2475">
        <f>'T-7(ENS)'!W64</f>
        <v>651.95857602805222</v>
      </c>
      <c r="X63" s="2475">
        <f>'T-7(ENS)'!X64</f>
        <v>0</v>
      </c>
      <c r="Y63" s="2475">
        <f>'T-7(ENS)'!Y64</f>
        <v>0</v>
      </c>
      <c r="Z63" s="2475">
        <f>'T-7(ENS)'!Z64</f>
        <v>4.2309609116959059</v>
      </c>
      <c r="AA63" s="2482">
        <f>'T-7(ENS)'!AA64</f>
        <v>418.86513025789475</v>
      </c>
      <c r="AB63" s="2474">
        <f t="shared" si="25"/>
        <v>0</v>
      </c>
      <c r="AC63" s="2474">
        <f t="shared" si="25"/>
        <v>0</v>
      </c>
      <c r="AD63" s="2474">
        <f t="shared" si="25"/>
        <v>0</v>
      </c>
      <c r="AE63" s="2475">
        <f t="shared" si="22"/>
        <v>0</v>
      </c>
      <c r="AF63" s="2475">
        <f t="shared" si="22"/>
        <v>0</v>
      </c>
      <c r="AG63" s="2475">
        <f t="shared" si="22"/>
        <v>0</v>
      </c>
      <c r="AH63" s="2475">
        <f t="shared" si="22"/>
        <v>0</v>
      </c>
      <c r="AI63" s="2475">
        <f t="shared" si="22"/>
        <v>658.54401618995178</v>
      </c>
      <c r="AJ63" s="2475">
        <f t="shared" si="22"/>
        <v>57.614245614035084</v>
      </c>
      <c r="AK63" s="2475">
        <f t="shared" si="13"/>
        <v>365.33064555555558</v>
      </c>
      <c r="AL63" s="2475">
        <f t="shared" si="2"/>
        <v>0</v>
      </c>
      <c r="AM63" s="2475">
        <f t="shared" si="3"/>
        <v>0</v>
      </c>
      <c r="AN63" s="2475">
        <f t="shared" si="14"/>
        <v>423.09609116959064</v>
      </c>
      <c r="AO63" s="2475">
        <f t="shared" si="14"/>
        <v>0</v>
      </c>
      <c r="AP63" s="2475">
        <f t="shared" si="14"/>
        <v>651.95857602805222</v>
      </c>
      <c r="AQ63" s="2475">
        <f t="shared" si="14"/>
        <v>0</v>
      </c>
      <c r="AR63" s="2475">
        <f t="shared" si="14"/>
        <v>0</v>
      </c>
      <c r="AS63" s="2475">
        <f t="shared" si="14"/>
        <v>4.2309609116959059</v>
      </c>
      <c r="AT63" s="2475">
        <f t="shared" si="14"/>
        <v>418.86513025789475</v>
      </c>
      <c r="AU63" s="2475">
        <f t="shared" si="4"/>
        <v>418.86513025789475</v>
      </c>
      <c r="AV63" s="2475">
        <f t="shared" si="5"/>
        <v>0</v>
      </c>
      <c r="AW63" s="2476">
        <f t="shared" si="6"/>
        <v>0</v>
      </c>
      <c r="AX63" s="2476">
        <f t="shared" si="6"/>
        <v>0</v>
      </c>
      <c r="AY63" s="2478"/>
      <c r="AZ63" s="2477">
        <f>'T-7(ENS)'!AB64</f>
        <v>2.0235774104775763</v>
      </c>
      <c r="BA63" s="2477">
        <f t="shared" si="20"/>
        <v>2.0235774104775763</v>
      </c>
      <c r="BB63" s="2478"/>
      <c r="BC63" s="2478"/>
      <c r="BD63" s="2478"/>
      <c r="BE63" s="2478"/>
      <c r="BF63" s="2486">
        <f t="shared" si="23"/>
        <v>161.4859898427915</v>
      </c>
      <c r="BG63" s="2486">
        <f t="shared" si="18"/>
        <v>-282.2463204159119</v>
      </c>
      <c r="BH63" s="2503">
        <f t="shared" si="24"/>
        <v>-4.9737488442762263</v>
      </c>
    </row>
    <row r="64" spans="1:60" ht="15" customHeight="1" thickBot="1">
      <c r="A64" s="2505"/>
      <c r="B64" s="2506" t="s">
        <v>1340</v>
      </c>
      <c r="C64" s="2507"/>
      <c r="D64" s="2508">
        <f>'T-7(ENS)'!D65</f>
        <v>3511.541671921188</v>
      </c>
      <c r="E64" s="2508">
        <f>'T-7(ENS)'!E65</f>
        <v>75</v>
      </c>
      <c r="F64" s="2509">
        <f>'T-7(ENS)'!F65</f>
        <v>2425073</v>
      </c>
      <c r="G64" s="2509">
        <f>'T-7(ENS)'!G65</f>
        <v>3199697.6102000005</v>
      </c>
      <c r="H64" s="2509">
        <f>'T-7(ENS)'!H65</f>
        <v>1498803.9242000002</v>
      </c>
      <c r="I64" s="2509">
        <f>'T-7(ENS)'!I65</f>
        <v>0</v>
      </c>
      <c r="J64" s="2509">
        <f>'T-7(ENS)'!J65</f>
        <v>0</v>
      </c>
      <c r="K64" s="2510">
        <f>'T-7(ENS)'!K65</f>
        <v>0</v>
      </c>
      <c r="L64" s="2510">
        <f>'T-7(ENS)'!L65</f>
        <v>0</v>
      </c>
      <c r="M64" s="2510">
        <f>'T-7(ENS)'!M65</f>
        <v>0</v>
      </c>
      <c r="N64" s="2510">
        <f>'T-7(ENS)'!N65</f>
        <v>0</v>
      </c>
      <c r="O64" s="2510">
        <f>'T-7(ENS)'!O65</f>
        <v>0</v>
      </c>
      <c r="P64" s="2509">
        <f>'T-7(ENS)'!P65</f>
        <v>553.68386235352602</v>
      </c>
      <c r="Q64" s="2510">
        <f>'T-7(ENS)'!Q65</f>
        <v>117.47980798984696</v>
      </c>
      <c r="R64" s="2510">
        <f>'T-7(ENS)'!R65</f>
        <v>1762.4907920401497</v>
      </c>
      <c r="S64" s="2510">
        <f>'T-7(ENS)'!S65</f>
        <v>99.123365371199995</v>
      </c>
      <c r="T64" s="2510">
        <f>'T-7(ENS)'!T65</f>
        <v>6.7162800000000002</v>
      </c>
      <c r="U64" s="2510">
        <f>'T-7(ENS)'!U65</f>
        <v>1985.8102454011964</v>
      </c>
      <c r="V64" s="2510">
        <f>'T-7(ENS)'!V65</f>
        <v>0</v>
      </c>
      <c r="W64" s="2510">
        <f>'T-7(ENS)'!W65</f>
        <v>559.84661001097879</v>
      </c>
      <c r="X64" s="2510">
        <f>'T-7(ENS)'!X65</f>
        <v>1277.5120119016035</v>
      </c>
      <c r="Y64" s="2510">
        <f>'T-7(ENS)'!Y65</f>
        <v>12.775120119016036</v>
      </c>
      <c r="Z64" s="2510">
        <f>'T-7(ENS)'!Z65</f>
        <v>7.1104243448188331</v>
      </c>
      <c r="AA64" s="2510">
        <f>'T-7(ENS)'!AA65</f>
        <v>1965.9247009373616</v>
      </c>
      <c r="AB64" s="2511">
        <f t="shared" si="25"/>
        <v>0</v>
      </c>
      <c r="AC64" s="2511">
        <f t="shared" si="25"/>
        <v>0</v>
      </c>
      <c r="AD64" s="2511">
        <f t="shared" si="25"/>
        <v>0</v>
      </c>
      <c r="AE64" s="2512">
        <f t="shared" si="22"/>
        <v>0</v>
      </c>
      <c r="AF64" s="2512">
        <f t="shared" si="22"/>
        <v>0</v>
      </c>
      <c r="AG64" s="2512">
        <f t="shared" si="22"/>
        <v>0</v>
      </c>
      <c r="AH64" s="2512">
        <f t="shared" si="22"/>
        <v>0</v>
      </c>
      <c r="AI64" s="2512">
        <f t="shared" si="22"/>
        <v>553.68386235352602</v>
      </c>
      <c r="AJ64" s="2512">
        <f t="shared" si="22"/>
        <v>117.47980798984696</v>
      </c>
      <c r="AK64" s="2510">
        <f t="shared" si="13"/>
        <v>1762.4907920401497</v>
      </c>
      <c r="AL64" s="2512">
        <f t="shared" si="2"/>
        <v>99.123365371199995</v>
      </c>
      <c r="AM64" s="2512">
        <f t="shared" si="3"/>
        <v>0</v>
      </c>
      <c r="AN64" s="2512">
        <f t="shared" si="14"/>
        <v>1985.8102454011964</v>
      </c>
      <c r="AO64" s="2512">
        <f t="shared" si="14"/>
        <v>0</v>
      </c>
      <c r="AP64" s="2512">
        <f t="shared" si="14"/>
        <v>559.84661001097879</v>
      </c>
      <c r="AQ64" s="2512">
        <f>X64</f>
        <v>1277.5120119016035</v>
      </c>
      <c r="AR64" s="2512">
        <f>Y64</f>
        <v>12.775120119016036</v>
      </c>
      <c r="AS64" s="2512">
        <f>Z64</f>
        <v>7.1104243448188331</v>
      </c>
      <c r="AT64" s="2512">
        <f>AA64</f>
        <v>1965.9247009373616</v>
      </c>
      <c r="AU64" s="2512">
        <f t="shared" si="4"/>
        <v>1965.9247009373616</v>
      </c>
      <c r="AV64" s="2512">
        <f t="shared" si="5"/>
        <v>0</v>
      </c>
      <c r="AW64" s="2513">
        <f t="shared" si="6"/>
        <v>0</v>
      </c>
      <c r="AX64" s="2513">
        <f t="shared" si="6"/>
        <v>0</v>
      </c>
      <c r="AY64" s="2514"/>
      <c r="AZ64" s="2515">
        <f>'T-7(ENS)'!AB65</f>
        <v>0.83831090553790488</v>
      </c>
      <c r="BA64" s="2515">
        <f t="shared" si="20"/>
        <v>0.83831090553790488</v>
      </c>
      <c r="BB64" s="2514"/>
      <c r="BC64" s="2514"/>
      <c r="BD64" s="2514"/>
      <c r="BE64" s="2514"/>
      <c r="BF64" s="2516">
        <f>D64*$G$70/1000</f>
        <v>2316.424275329005</v>
      </c>
      <c r="BG64" s="2516">
        <f>BF64*$D$71-AT64</f>
        <v>-6.2059173288848797</v>
      </c>
      <c r="BH64" s="2517">
        <f t="shared" si="24"/>
        <v>-1.7672913804521594E-2</v>
      </c>
    </row>
    <row r="65" spans="2:59" ht="15" customHeight="1">
      <c r="BG65" s="1098"/>
    </row>
    <row r="66" spans="2:59" ht="15" customHeight="1">
      <c r="D66" s="1118" t="s">
        <v>461</v>
      </c>
      <c r="E66" s="1211" t="s">
        <v>862</v>
      </c>
    </row>
    <row r="67" spans="2:59" ht="15" customHeight="1">
      <c r="B67" s="1100" t="s">
        <v>1509</v>
      </c>
      <c r="C67" s="1100"/>
      <c r="D67" s="1099">
        <f>D36</f>
        <v>2552.775448917188</v>
      </c>
      <c r="E67" s="1098">
        <f>D67*G67/1000</f>
        <v>2005.2699554068997</v>
      </c>
      <c r="F67" s="1100" t="s">
        <v>4211</v>
      </c>
      <c r="G67" s="1265">
        <f>'F-5'!N34*100</f>
        <v>785.52539991618778</v>
      </c>
    </row>
    <row r="68" spans="2:59" ht="15" customHeight="1">
      <c r="B68" s="1100" t="s">
        <v>1511</v>
      </c>
      <c r="C68" s="1100"/>
      <c r="D68" s="1099">
        <f>D53</f>
        <v>391.29422300399995</v>
      </c>
      <c r="E68" s="1098">
        <f>D68*G68/1000</f>
        <v>157.00384049619254</v>
      </c>
      <c r="F68" s="1100" t="s">
        <v>4211</v>
      </c>
      <c r="G68" s="1265">
        <f>'F-5'!M34*100</f>
        <v>401.24241878875779</v>
      </c>
    </row>
    <row r="69" spans="2:59" ht="15" customHeight="1">
      <c r="B69" s="1100" t="s">
        <v>1512</v>
      </c>
      <c r="C69" s="1100"/>
      <c r="D69" s="1099">
        <f>D63</f>
        <v>567.47199999999998</v>
      </c>
      <c r="E69" s="1098">
        <f>D69*G69/1000</f>
        <v>161.4859898427915</v>
      </c>
      <c r="F69" s="1100" t="s">
        <v>4211</v>
      </c>
      <c r="G69" s="1265">
        <f>'F-5'!L34*100</f>
        <v>284.5708507957952</v>
      </c>
    </row>
    <row r="70" spans="2:59" ht="15" customHeight="1">
      <c r="B70" s="1100" t="s">
        <v>4212</v>
      </c>
      <c r="C70" s="1100"/>
      <c r="D70" s="1205">
        <f>SUM(D67:D69)</f>
        <v>3511.541671921188</v>
      </c>
      <c r="E70" s="1098">
        <f>E67+E68+E69</f>
        <v>2323.7597857458841</v>
      </c>
      <c r="F70" s="1100" t="s">
        <v>4211</v>
      </c>
      <c r="G70" s="1265">
        <f>'F-5'!O34*100</f>
        <v>659.66019821193629</v>
      </c>
    </row>
    <row r="71" spans="2:59" ht="15" customHeight="1">
      <c r="B71" s="1100" t="s">
        <v>839</v>
      </c>
      <c r="D71" s="1098">
        <f>AA64/E70</f>
        <v>0.84601029460811328</v>
      </c>
    </row>
  </sheetData>
  <printOptions horizontalCentered="1" verticalCentered="1"/>
  <pageMargins left="0" right="0" top="0.39370078740157483" bottom="0.19685039370078741" header="0" footer="0"/>
  <pageSetup paperSize="9" scale="52" fitToWidth="4" fitToHeight="4" orientation="landscape" r:id="rId1"/>
  <headerFooter alignWithMargins="0"/>
  <colBreaks count="1" manualBreakCount="1">
    <brk id="43" max="70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BC55"/>
  <sheetViews>
    <sheetView tabSelected="1" view="pageBreakPreview" topLeftCell="E4" zoomScale="75" zoomScaleNormal="75" zoomScaleSheetLayoutView="75" workbookViewId="0">
      <selection activeCell="U57" sqref="U57"/>
    </sheetView>
  </sheetViews>
  <sheetFormatPr defaultRowHeight="14.5"/>
  <cols>
    <col min="1" max="1" width="5.26953125" style="1212" customWidth="1"/>
    <col min="2" max="2" width="26.6328125" style="1212" customWidth="1"/>
    <col min="3" max="3" width="34.1796875" style="1212" customWidth="1"/>
    <col min="4" max="4" width="43" style="1212" bestFit="1" customWidth="1"/>
    <col min="5" max="5" width="15.81640625" style="1212" customWidth="1"/>
    <col min="6" max="6" width="8.7265625" style="1212"/>
    <col min="7" max="7" width="7.81640625" style="1212" bestFit="1" customWidth="1"/>
    <col min="8" max="9" width="8.7265625" style="1212"/>
    <col min="10" max="10" width="12.81640625" style="1212" customWidth="1"/>
    <col min="11" max="11" width="11.26953125" style="1212" customWidth="1"/>
    <col min="12" max="12" width="14.453125" style="1212" customWidth="1"/>
    <col min="13" max="13" width="9.7265625" style="1212" customWidth="1"/>
    <col min="14" max="14" width="10.453125" style="1212" customWidth="1"/>
    <col min="15" max="15" width="11" style="1212" customWidth="1"/>
    <col min="16" max="16" width="10.54296875" style="1212" customWidth="1"/>
    <col min="17" max="17" width="12.54296875" style="1212" bestFit="1" customWidth="1"/>
    <col min="18" max="18" width="12" style="1212" bestFit="1" customWidth="1"/>
    <col min="19" max="19" width="10.1796875" style="1212" customWidth="1"/>
    <col min="20" max="20" width="13.54296875" style="1212" bestFit="1" customWidth="1"/>
    <col min="21" max="21" width="10" style="1212" bestFit="1" customWidth="1"/>
    <col min="22" max="256" width="8.7265625" style="1212"/>
    <col min="257" max="257" width="5.26953125" style="1212" customWidth="1"/>
    <col min="258" max="258" width="18.26953125" style="1212" customWidth="1"/>
    <col min="259" max="259" width="34.1796875" style="1212" customWidth="1"/>
    <col min="260" max="264" width="8.7265625" style="1212"/>
    <col min="265" max="265" width="12.81640625" style="1212" customWidth="1"/>
    <col min="266" max="266" width="8.7265625" style="1212"/>
    <col min="267" max="267" width="12" style="1212" customWidth="1"/>
    <col min="268" max="268" width="9.7265625" style="1212" customWidth="1"/>
    <col min="269" max="269" width="8.7265625" style="1212"/>
    <col min="270" max="270" width="11" style="1212" customWidth="1"/>
    <col min="271" max="271" width="10.54296875" style="1212" customWidth="1"/>
    <col min="272" max="272" width="12.54296875" style="1212" bestFit="1" customWidth="1"/>
    <col min="273" max="273" width="8.7265625" style="1212"/>
    <col min="274" max="274" width="10.1796875" style="1212" customWidth="1"/>
    <col min="275" max="275" width="13.54296875" style="1212" bestFit="1" customWidth="1"/>
    <col min="276" max="512" width="8.7265625" style="1212"/>
    <col min="513" max="513" width="5.26953125" style="1212" customWidth="1"/>
    <col min="514" max="514" width="18.26953125" style="1212" customWidth="1"/>
    <col min="515" max="515" width="34.1796875" style="1212" customWidth="1"/>
    <col min="516" max="520" width="8.7265625" style="1212"/>
    <col min="521" max="521" width="12.81640625" style="1212" customWidth="1"/>
    <col min="522" max="522" width="8.7265625" style="1212"/>
    <col min="523" max="523" width="12" style="1212" customWidth="1"/>
    <col min="524" max="524" width="9.7265625" style="1212" customWidth="1"/>
    <col min="525" max="525" width="8.7265625" style="1212"/>
    <col min="526" max="526" width="11" style="1212" customWidth="1"/>
    <col min="527" max="527" width="10.54296875" style="1212" customWidth="1"/>
    <col min="528" max="528" width="12.54296875" style="1212" bestFit="1" customWidth="1"/>
    <col min="529" max="529" width="8.7265625" style="1212"/>
    <col min="530" max="530" width="10.1796875" style="1212" customWidth="1"/>
    <col min="531" max="531" width="13.54296875" style="1212" bestFit="1" customWidth="1"/>
    <col min="532" max="768" width="8.7265625" style="1212"/>
    <col min="769" max="769" width="5.26953125" style="1212" customWidth="1"/>
    <col min="770" max="770" width="18.26953125" style="1212" customWidth="1"/>
    <col min="771" max="771" width="34.1796875" style="1212" customWidth="1"/>
    <col min="772" max="776" width="8.7265625" style="1212"/>
    <col min="777" max="777" width="12.81640625" style="1212" customWidth="1"/>
    <col min="778" max="778" width="8.7265625" style="1212"/>
    <col min="779" max="779" width="12" style="1212" customWidth="1"/>
    <col min="780" max="780" width="9.7265625" style="1212" customWidth="1"/>
    <col min="781" max="781" width="8.7265625" style="1212"/>
    <col min="782" max="782" width="11" style="1212" customWidth="1"/>
    <col min="783" max="783" width="10.54296875" style="1212" customWidth="1"/>
    <col min="784" max="784" width="12.54296875" style="1212" bestFit="1" customWidth="1"/>
    <col min="785" max="785" width="8.7265625" style="1212"/>
    <col min="786" max="786" width="10.1796875" style="1212" customWidth="1"/>
    <col min="787" max="787" width="13.54296875" style="1212" bestFit="1" customWidth="1"/>
    <col min="788" max="1024" width="8.7265625" style="1212"/>
    <col min="1025" max="1025" width="5.26953125" style="1212" customWidth="1"/>
    <col min="1026" max="1026" width="18.26953125" style="1212" customWidth="1"/>
    <col min="1027" max="1027" width="34.1796875" style="1212" customWidth="1"/>
    <col min="1028" max="1032" width="8.7265625" style="1212"/>
    <col min="1033" max="1033" width="12.81640625" style="1212" customWidth="1"/>
    <col min="1034" max="1034" width="8.7265625" style="1212"/>
    <col min="1035" max="1035" width="12" style="1212" customWidth="1"/>
    <col min="1036" max="1036" width="9.7265625" style="1212" customWidth="1"/>
    <col min="1037" max="1037" width="8.7265625" style="1212"/>
    <col min="1038" max="1038" width="11" style="1212" customWidth="1"/>
    <col min="1039" max="1039" width="10.54296875" style="1212" customWidth="1"/>
    <col min="1040" max="1040" width="12.54296875" style="1212" bestFit="1" customWidth="1"/>
    <col min="1041" max="1041" width="8.7265625" style="1212"/>
    <col min="1042" max="1042" width="10.1796875" style="1212" customWidth="1"/>
    <col min="1043" max="1043" width="13.54296875" style="1212" bestFit="1" customWidth="1"/>
    <col min="1044" max="1280" width="8.7265625" style="1212"/>
    <col min="1281" max="1281" width="5.26953125" style="1212" customWidth="1"/>
    <col min="1282" max="1282" width="18.26953125" style="1212" customWidth="1"/>
    <col min="1283" max="1283" width="34.1796875" style="1212" customWidth="1"/>
    <col min="1284" max="1288" width="8.7265625" style="1212"/>
    <col min="1289" max="1289" width="12.81640625" style="1212" customWidth="1"/>
    <col min="1290" max="1290" width="8.7265625" style="1212"/>
    <col min="1291" max="1291" width="12" style="1212" customWidth="1"/>
    <col min="1292" max="1292" width="9.7265625" style="1212" customWidth="1"/>
    <col min="1293" max="1293" width="8.7265625" style="1212"/>
    <col min="1294" max="1294" width="11" style="1212" customWidth="1"/>
    <col min="1295" max="1295" width="10.54296875" style="1212" customWidth="1"/>
    <col min="1296" max="1296" width="12.54296875" style="1212" bestFit="1" customWidth="1"/>
    <col min="1297" max="1297" width="8.7265625" style="1212"/>
    <col min="1298" max="1298" width="10.1796875" style="1212" customWidth="1"/>
    <col min="1299" max="1299" width="13.54296875" style="1212" bestFit="1" customWidth="1"/>
    <col min="1300" max="1536" width="8.7265625" style="1212"/>
    <col min="1537" max="1537" width="5.26953125" style="1212" customWidth="1"/>
    <col min="1538" max="1538" width="18.26953125" style="1212" customWidth="1"/>
    <col min="1539" max="1539" width="34.1796875" style="1212" customWidth="1"/>
    <col min="1540" max="1544" width="8.7265625" style="1212"/>
    <col min="1545" max="1545" width="12.81640625" style="1212" customWidth="1"/>
    <col min="1546" max="1546" width="8.7265625" style="1212"/>
    <col min="1547" max="1547" width="12" style="1212" customWidth="1"/>
    <col min="1548" max="1548" width="9.7265625" style="1212" customWidth="1"/>
    <col min="1549" max="1549" width="8.7265625" style="1212"/>
    <col min="1550" max="1550" width="11" style="1212" customWidth="1"/>
    <col min="1551" max="1551" width="10.54296875" style="1212" customWidth="1"/>
    <col min="1552" max="1552" width="12.54296875" style="1212" bestFit="1" customWidth="1"/>
    <col min="1553" max="1553" width="8.7265625" style="1212"/>
    <col min="1554" max="1554" width="10.1796875" style="1212" customWidth="1"/>
    <col min="1555" max="1555" width="13.54296875" style="1212" bestFit="1" customWidth="1"/>
    <col min="1556" max="1792" width="8.7265625" style="1212"/>
    <col min="1793" max="1793" width="5.26953125" style="1212" customWidth="1"/>
    <col min="1794" max="1794" width="18.26953125" style="1212" customWidth="1"/>
    <col min="1795" max="1795" width="34.1796875" style="1212" customWidth="1"/>
    <col min="1796" max="1800" width="8.7265625" style="1212"/>
    <col min="1801" max="1801" width="12.81640625" style="1212" customWidth="1"/>
    <col min="1802" max="1802" width="8.7265625" style="1212"/>
    <col min="1803" max="1803" width="12" style="1212" customWidth="1"/>
    <col min="1804" max="1804" width="9.7265625" style="1212" customWidth="1"/>
    <col min="1805" max="1805" width="8.7265625" style="1212"/>
    <col min="1806" max="1806" width="11" style="1212" customWidth="1"/>
    <col min="1807" max="1807" width="10.54296875" style="1212" customWidth="1"/>
    <col min="1808" max="1808" width="12.54296875" style="1212" bestFit="1" customWidth="1"/>
    <col min="1809" max="1809" width="8.7265625" style="1212"/>
    <col min="1810" max="1810" width="10.1796875" style="1212" customWidth="1"/>
    <col min="1811" max="1811" width="13.54296875" style="1212" bestFit="1" customWidth="1"/>
    <col min="1812" max="2048" width="8.7265625" style="1212"/>
    <col min="2049" max="2049" width="5.26953125" style="1212" customWidth="1"/>
    <col min="2050" max="2050" width="18.26953125" style="1212" customWidth="1"/>
    <col min="2051" max="2051" width="34.1796875" style="1212" customWidth="1"/>
    <col min="2052" max="2056" width="8.7265625" style="1212"/>
    <col min="2057" max="2057" width="12.81640625" style="1212" customWidth="1"/>
    <col min="2058" max="2058" width="8.7265625" style="1212"/>
    <col min="2059" max="2059" width="12" style="1212" customWidth="1"/>
    <col min="2060" max="2060" width="9.7265625" style="1212" customWidth="1"/>
    <col min="2061" max="2061" width="8.7265625" style="1212"/>
    <col min="2062" max="2062" width="11" style="1212" customWidth="1"/>
    <col min="2063" max="2063" width="10.54296875" style="1212" customWidth="1"/>
    <col min="2064" max="2064" width="12.54296875" style="1212" bestFit="1" customWidth="1"/>
    <col min="2065" max="2065" width="8.7265625" style="1212"/>
    <col min="2066" max="2066" width="10.1796875" style="1212" customWidth="1"/>
    <col min="2067" max="2067" width="13.54296875" style="1212" bestFit="1" customWidth="1"/>
    <col min="2068" max="2304" width="8.7265625" style="1212"/>
    <col min="2305" max="2305" width="5.26953125" style="1212" customWidth="1"/>
    <col min="2306" max="2306" width="18.26953125" style="1212" customWidth="1"/>
    <col min="2307" max="2307" width="34.1796875" style="1212" customWidth="1"/>
    <col min="2308" max="2312" width="8.7265625" style="1212"/>
    <col min="2313" max="2313" width="12.81640625" style="1212" customWidth="1"/>
    <col min="2314" max="2314" width="8.7265625" style="1212"/>
    <col min="2315" max="2315" width="12" style="1212" customWidth="1"/>
    <col min="2316" max="2316" width="9.7265625" style="1212" customWidth="1"/>
    <col min="2317" max="2317" width="8.7265625" style="1212"/>
    <col min="2318" max="2318" width="11" style="1212" customWidth="1"/>
    <col min="2319" max="2319" width="10.54296875" style="1212" customWidth="1"/>
    <col min="2320" max="2320" width="12.54296875" style="1212" bestFit="1" customWidth="1"/>
    <col min="2321" max="2321" width="8.7265625" style="1212"/>
    <col min="2322" max="2322" width="10.1796875" style="1212" customWidth="1"/>
    <col min="2323" max="2323" width="13.54296875" style="1212" bestFit="1" customWidth="1"/>
    <col min="2324" max="2560" width="8.7265625" style="1212"/>
    <col min="2561" max="2561" width="5.26953125" style="1212" customWidth="1"/>
    <col min="2562" max="2562" width="18.26953125" style="1212" customWidth="1"/>
    <col min="2563" max="2563" width="34.1796875" style="1212" customWidth="1"/>
    <col min="2564" max="2568" width="8.7265625" style="1212"/>
    <col min="2569" max="2569" width="12.81640625" style="1212" customWidth="1"/>
    <col min="2570" max="2570" width="8.7265625" style="1212"/>
    <col min="2571" max="2571" width="12" style="1212" customWidth="1"/>
    <col min="2572" max="2572" width="9.7265625" style="1212" customWidth="1"/>
    <col min="2573" max="2573" width="8.7265625" style="1212"/>
    <col min="2574" max="2574" width="11" style="1212" customWidth="1"/>
    <col min="2575" max="2575" width="10.54296875" style="1212" customWidth="1"/>
    <col min="2576" max="2576" width="12.54296875" style="1212" bestFit="1" customWidth="1"/>
    <col min="2577" max="2577" width="8.7265625" style="1212"/>
    <col min="2578" max="2578" width="10.1796875" style="1212" customWidth="1"/>
    <col min="2579" max="2579" width="13.54296875" style="1212" bestFit="1" customWidth="1"/>
    <col min="2580" max="2816" width="8.7265625" style="1212"/>
    <col min="2817" max="2817" width="5.26953125" style="1212" customWidth="1"/>
    <col min="2818" max="2818" width="18.26953125" style="1212" customWidth="1"/>
    <col min="2819" max="2819" width="34.1796875" style="1212" customWidth="1"/>
    <col min="2820" max="2824" width="8.7265625" style="1212"/>
    <col min="2825" max="2825" width="12.81640625" style="1212" customWidth="1"/>
    <col min="2826" max="2826" width="8.7265625" style="1212"/>
    <col min="2827" max="2827" width="12" style="1212" customWidth="1"/>
    <col min="2828" max="2828" width="9.7265625" style="1212" customWidth="1"/>
    <col min="2829" max="2829" width="8.7265625" style="1212"/>
    <col min="2830" max="2830" width="11" style="1212" customWidth="1"/>
    <col min="2831" max="2831" width="10.54296875" style="1212" customWidth="1"/>
    <col min="2832" max="2832" width="12.54296875" style="1212" bestFit="1" customWidth="1"/>
    <col min="2833" max="2833" width="8.7265625" style="1212"/>
    <col min="2834" max="2834" width="10.1796875" style="1212" customWidth="1"/>
    <col min="2835" max="2835" width="13.54296875" style="1212" bestFit="1" customWidth="1"/>
    <col min="2836" max="3072" width="8.7265625" style="1212"/>
    <col min="3073" max="3073" width="5.26953125" style="1212" customWidth="1"/>
    <col min="3074" max="3074" width="18.26953125" style="1212" customWidth="1"/>
    <col min="3075" max="3075" width="34.1796875" style="1212" customWidth="1"/>
    <col min="3076" max="3080" width="8.7265625" style="1212"/>
    <col min="3081" max="3081" width="12.81640625" style="1212" customWidth="1"/>
    <col min="3082" max="3082" width="8.7265625" style="1212"/>
    <col min="3083" max="3083" width="12" style="1212" customWidth="1"/>
    <col min="3084" max="3084" width="9.7265625" style="1212" customWidth="1"/>
    <col min="3085" max="3085" width="8.7265625" style="1212"/>
    <col min="3086" max="3086" width="11" style="1212" customWidth="1"/>
    <col min="3087" max="3087" width="10.54296875" style="1212" customWidth="1"/>
    <col min="3088" max="3088" width="12.54296875" style="1212" bestFit="1" customWidth="1"/>
    <col min="3089" max="3089" width="8.7265625" style="1212"/>
    <col min="3090" max="3090" width="10.1796875" style="1212" customWidth="1"/>
    <col min="3091" max="3091" width="13.54296875" style="1212" bestFit="1" customWidth="1"/>
    <col min="3092" max="3328" width="8.7265625" style="1212"/>
    <col min="3329" max="3329" width="5.26953125" style="1212" customWidth="1"/>
    <col min="3330" max="3330" width="18.26953125" style="1212" customWidth="1"/>
    <col min="3331" max="3331" width="34.1796875" style="1212" customWidth="1"/>
    <col min="3332" max="3336" width="8.7265625" style="1212"/>
    <col min="3337" max="3337" width="12.81640625" style="1212" customWidth="1"/>
    <col min="3338" max="3338" width="8.7265625" style="1212"/>
    <col min="3339" max="3339" width="12" style="1212" customWidth="1"/>
    <col min="3340" max="3340" width="9.7265625" style="1212" customWidth="1"/>
    <col min="3341" max="3341" width="8.7265625" style="1212"/>
    <col min="3342" max="3342" width="11" style="1212" customWidth="1"/>
    <col min="3343" max="3343" width="10.54296875" style="1212" customWidth="1"/>
    <col min="3344" max="3344" width="12.54296875" style="1212" bestFit="1" customWidth="1"/>
    <col min="3345" max="3345" width="8.7265625" style="1212"/>
    <col min="3346" max="3346" width="10.1796875" style="1212" customWidth="1"/>
    <col min="3347" max="3347" width="13.54296875" style="1212" bestFit="1" customWidth="1"/>
    <col min="3348" max="3584" width="8.7265625" style="1212"/>
    <col min="3585" max="3585" width="5.26953125" style="1212" customWidth="1"/>
    <col min="3586" max="3586" width="18.26953125" style="1212" customWidth="1"/>
    <col min="3587" max="3587" width="34.1796875" style="1212" customWidth="1"/>
    <col min="3588" max="3592" width="8.7265625" style="1212"/>
    <col min="3593" max="3593" width="12.81640625" style="1212" customWidth="1"/>
    <col min="3594" max="3594" width="8.7265625" style="1212"/>
    <col min="3595" max="3595" width="12" style="1212" customWidth="1"/>
    <col min="3596" max="3596" width="9.7265625" style="1212" customWidth="1"/>
    <col min="3597" max="3597" width="8.7265625" style="1212"/>
    <col min="3598" max="3598" width="11" style="1212" customWidth="1"/>
    <col min="3599" max="3599" width="10.54296875" style="1212" customWidth="1"/>
    <col min="3600" max="3600" width="12.54296875" style="1212" bestFit="1" customWidth="1"/>
    <col min="3601" max="3601" width="8.7265625" style="1212"/>
    <col min="3602" max="3602" width="10.1796875" style="1212" customWidth="1"/>
    <col min="3603" max="3603" width="13.54296875" style="1212" bestFit="1" customWidth="1"/>
    <col min="3604" max="3840" width="8.7265625" style="1212"/>
    <col min="3841" max="3841" width="5.26953125" style="1212" customWidth="1"/>
    <col min="3842" max="3842" width="18.26953125" style="1212" customWidth="1"/>
    <col min="3843" max="3843" width="34.1796875" style="1212" customWidth="1"/>
    <col min="3844" max="3848" width="8.7265625" style="1212"/>
    <col min="3849" max="3849" width="12.81640625" style="1212" customWidth="1"/>
    <col min="3850" max="3850" width="8.7265625" style="1212"/>
    <col min="3851" max="3851" width="12" style="1212" customWidth="1"/>
    <col min="3852" max="3852" width="9.7265625" style="1212" customWidth="1"/>
    <col min="3853" max="3853" width="8.7265625" style="1212"/>
    <col min="3854" max="3854" width="11" style="1212" customWidth="1"/>
    <col min="3855" max="3855" width="10.54296875" style="1212" customWidth="1"/>
    <col min="3856" max="3856" width="12.54296875" style="1212" bestFit="1" customWidth="1"/>
    <col min="3857" max="3857" width="8.7265625" style="1212"/>
    <col min="3858" max="3858" width="10.1796875" style="1212" customWidth="1"/>
    <col min="3859" max="3859" width="13.54296875" style="1212" bestFit="1" customWidth="1"/>
    <col min="3860" max="4096" width="8.7265625" style="1212"/>
    <col min="4097" max="4097" width="5.26953125" style="1212" customWidth="1"/>
    <col min="4098" max="4098" width="18.26953125" style="1212" customWidth="1"/>
    <col min="4099" max="4099" width="34.1796875" style="1212" customWidth="1"/>
    <col min="4100" max="4104" width="8.7265625" style="1212"/>
    <col min="4105" max="4105" width="12.81640625" style="1212" customWidth="1"/>
    <col min="4106" max="4106" width="8.7265625" style="1212"/>
    <col min="4107" max="4107" width="12" style="1212" customWidth="1"/>
    <col min="4108" max="4108" width="9.7265625" style="1212" customWidth="1"/>
    <col min="4109" max="4109" width="8.7265625" style="1212"/>
    <col min="4110" max="4110" width="11" style="1212" customWidth="1"/>
    <col min="4111" max="4111" width="10.54296875" style="1212" customWidth="1"/>
    <col min="4112" max="4112" width="12.54296875" style="1212" bestFit="1" customWidth="1"/>
    <col min="4113" max="4113" width="8.7265625" style="1212"/>
    <col min="4114" max="4114" width="10.1796875" style="1212" customWidth="1"/>
    <col min="4115" max="4115" width="13.54296875" style="1212" bestFit="1" customWidth="1"/>
    <col min="4116" max="4352" width="8.7265625" style="1212"/>
    <col min="4353" max="4353" width="5.26953125" style="1212" customWidth="1"/>
    <col min="4354" max="4354" width="18.26953125" style="1212" customWidth="1"/>
    <col min="4355" max="4355" width="34.1796875" style="1212" customWidth="1"/>
    <col min="4356" max="4360" width="8.7265625" style="1212"/>
    <col min="4361" max="4361" width="12.81640625" style="1212" customWidth="1"/>
    <col min="4362" max="4362" width="8.7265625" style="1212"/>
    <col min="4363" max="4363" width="12" style="1212" customWidth="1"/>
    <col min="4364" max="4364" width="9.7265625" style="1212" customWidth="1"/>
    <col min="4365" max="4365" width="8.7265625" style="1212"/>
    <col min="4366" max="4366" width="11" style="1212" customWidth="1"/>
    <col min="4367" max="4367" width="10.54296875" style="1212" customWidth="1"/>
    <col min="4368" max="4368" width="12.54296875" style="1212" bestFit="1" customWidth="1"/>
    <col min="4369" max="4369" width="8.7265625" style="1212"/>
    <col min="4370" max="4370" width="10.1796875" style="1212" customWidth="1"/>
    <col min="4371" max="4371" width="13.54296875" style="1212" bestFit="1" customWidth="1"/>
    <col min="4372" max="4608" width="8.7265625" style="1212"/>
    <col min="4609" max="4609" width="5.26953125" style="1212" customWidth="1"/>
    <col min="4610" max="4610" width="18.26953125" style="1212" customWidth="1"/>
    <col min="4611" max="4611" width="34.1796875" style="1212" customWidth="1"/>
    <col min="4612" max="4616" width="8.7265625" style="1212"/>
    <col min="4617" max="4617" width="12.81640625" style="1212" customWidth="1"/>
    <col min="4618" max="4618" width="8.7265625" style="1212"/>
    <col min="4619" max="4619" width="12" style="1212" customWidth="1"/>
    <col min="4620" max="4620" width="9.7265625" style="1212" customWidth="1"/>
    <col min="4621" max="4621" width="8.7265625" style="1212"/>
    <col min="4622" max="4622" width="11" style="1212" customWidth="1"/>
    <col min="4623" max="4623" width="10.54296875" style="1212" customWidth="1"/>
    <col min="4624" max="4624" width="12.54296875" style="1212" bestFit="1" customWidth="1"/>
    <col min="4625" max="4625" width="8.7265625" style="1212"/>
    <col min="4626" max="4626" width="10.1796875" style="1212" customWidth="1"/>
    <col min="4627" max="4627" width="13.54296875" style="1212" bestFit="1" customWidth="1"/>
    <col min="4628" max="4864" width="8.7265625" style="1212"/>
    <col min="4865" max="4865" width="5.26953125" style="1212" customWidth="1"/>
    <col min="4866" max="4866" width="18.26953125" style="1212" customWidth="1"/>
    <col min="4867" max="4867" width="34.1796875" style="1212" customWidth="1"/>
    <col min="4868" max="4872" width="8.7265625" style="1212"/>
    <col min="4873" max="4873" width="12.81640625" style="1212" customWidth="1"/>
    <col min="4874" max="4874" width="8.7265625" style="1212"/>
    <col min="4875" max="4875" width="12" style="1212" customWidth="1"/>
    <col min="4876" max="4876" width="9.7265625" style="1212" customWidth="1"/>
    <col min="4877" max="4877" width="8.7265625" style="1212"/>
    <col min="4878" max="4878" width="11" style="1212" customWidth="1"/>
    <col min="4879" max="4879" width="10.54296875" style="1212" customWidth="1"/>
    <col min="4880" max="4880" width="12.54296875" style="1212" bestFit="1" customWidth="1"/>
    <col min="4881" max="4881" width="8.7265625" style="1212"/>
    <col min="4882" max="4882" width="10.1796875" style="1212" customWidth="1"/>
    <col min="4883" max="4883" width="13.54296875" style="1212" bestFit="1" customWidth="1"/>
    <col min="4884" max="5120" width="8.7265625" style="1212"/>
    <col min="5121" max="5121" width="5.26953125" style="1212" customWidth="1"/>
    <col min="5122" max="5122" width="18.26953125" style="1212" customWidth="1"/>
    <col min="5123" max="5123" width="34.1796875" style="1212" customWidth="1"/>
    <col min="5124" max="5128" width="8.7265625" style="1212"/>
    <col min="5129" max="5129" width="12.81640625" style="1212" customWidth="1"/>
    <col min="5130" max="5130" width="8.7265625" style="1212"/>
    <col min="5131" max="5131" width="12" style="1212" customWidth="1"/>
    <col min="5132" max="5132" width="9.7265625" style="1212" customWidth="1"/>
    <col min="5133" max="5133" width="8.7265625" style="1212"/>
    <col min="5134" max="5134" width="11" style="1212" customWidth="1"/>
    <col min="5135" max="5135" width="10.54296875" style="1212" customWidth="1"/>
    <col min="5136" max="5136" width="12.54296875" style="1212" bestFit="1" customWidth="1"/>
    <col min="5137" max="5137" width="8.7265625" style="1212"/>
    <col min="5138" max="5138" width="10.1796875" style="1212" customWidth="1"/>
    <col min="5139" max="5139" width="13.54296875" style="1212" bestFit="1" customWidth="1"/>
    <col min="5140" max="5376" width="8.7265625" style="1212"/>
    <col min="5377" max="5377" width="5.26953125" style="1212" customWidth="1"/>
    <col min="5378" max="5378" width="18.26953125" style="1212" customWidth="1"/>
    <col min="5379" max="5379" width="34.1796875" style="1212" customWidth="1"/>
    <col min="5380" max="5384" width="8.7265625" style="1212"/>
    <col min="5385" max="5385" width="12.81640625" style="1212" customWidth="1"/>
    <col min="5386" max="5386" width="8.7265625" style="1212"/>
    <col min="5387" max="5387" width="12" style="1212" customWidth="1"/>
    <col min="5388" max="5388" width="9.7265625" style="1212" customWidth="1"/>
    <col min="5389" max="5389" width="8.7265625" style="1212"/>
    <col min="5390" max="5390" width="11" style="1212" customWidth="1"/>
    <col min="5391" max="5391" width="10.54296875" style="1212" customWidth="1"/>
    <col min="5392" max="5392" width="12.54296875" style="1212" bestFit="1" customWidth="1"/>
    <col min="5393" max="5393" width="8.7265625" style="1212"/>
    <col min="5394" max="5394" width="10.1796875" style="1212" customWidth="1"/>
    <col min="5395" max="5395" width="13.54296875" style="1212" bestFit="1" customWidth="1"/>
    <col min="5396" max="5632" width="8.7265625" style="1212"/>
    <col min="5633" max="5633" width="5.26953125" style="1212" customWidth="1"/>
    <col min="5634" max="5634" width="18.26953125" style="1212" customWidth="1"/>
    <col min="5635" max="5635" width="34.1796875" style="1212" customWidth="1"/>
    <col min="5636" max="5640" width="8.7265625" style="1212"/>
    <col min="5641" max="5641" width="12.81640625" style="1212" customWidth="1"/>
    <col min="5642" max="5642" width="8.7265625" style="1212"/>
    <col min="5643" max="5643" width="12" style="1212" customWidth="1"/>
    <col min="5644" max="5644" width="9.7265625" style="1212" customWidth="1"/>
    <col min="5645" max="5645" width="8.7265625" style="1212"/>
    <col min="5646" max="5646" width="11" style="1212" customWidth="1"/>
    <col min="5647" max="5647" width="10.54296875" style="1212" customWidth="1"/>
    <col min="5648" max="5648" width="12.54296875" style="1212" bestFit="1" customWidth="1"/>
    <col min="5649" max="5649" width="8.7265625" style="1212"/>
    <col min="5650" max="5650" width="10.1796875" style="1212" customWidth="1"/>
    <col min="5651" max="5651" width="13.54296875" style="1212" bestFit="1" customWidth="1"/>
    <col min="5652" max="5888" width="8.7265625" style="1212"/>
    <col min="5889" max="5889" width="5.26953125" style="1212" customWidth="1"/>
    <col min="5890" max="5890" width="18.26953125" style="1212" customWidth="1"/>
    <col min="5891" max="5891" width="34.1796875" style="1212" customWidth="1"/>
    <col min="5892" max="5896" width="8.7265625" style="1212"/>
    <col min="5897" max="5897" width="12.81640625" style="1212" customWidth="1"/>
    <col min="5898" max="5898" width="8.7265625" style="1212"/>
    <col min="5899" max="5899" width="12" style="1212" customWidth="1"/>
    <col min="5900" max="5900" width="9.7265625" style="1212" customWidth="1"/>
    <col min="5901" max="5901" width="8.7265625" style="1212"/>
    <col min="5902" max="5902" width="11" style="1212" customWidth="1"/>
    <col min="5903" max="5903" width="10.54296875" style="1212" customWidth="1"/>
    <col min="5904" max="5904" width="12.54296875" style="1212" bestFit="1" customWidth="1"/>
    <col min="5905" max="5905" width="8.7265625" style="1212"/>
    <col min="5906" max="5906" width="10.1796875" style="1212" customWidth="1"/>
    <col min="5907" max="5907" width="13.54296875" style="1212" bestFit="1" customWidth="1"/>
    <col min="5908" max="6144" width="8.7265625" style="1212"/>
    <col min="6145" max="6145" width="5.26953125" style="1212" customWidth="1"/>
    <col min="6146" max="6146" width="18.26953125" style="1212" customWidth="1"/>
    <col min="6147" max="6147" width="34.1796875" style="1212" customWidth="1"/>
    <col min="6148" max="6152" width="8.7265625" style="1212"/>
    <col min="6153" max="6153" width="12.81640625" style="1212" customWidth="1"/>
    <col min="6154" max="6154" width="8.7265625" style="1212"/>
    <col min="6155" max="6155" width="12" style="1212" customWidth="1"/>
    <col min="6156" max="6156" width="9.7265625" style="1212" customWidth="1"/>
    <col min="6157" max="6157" width="8.7265625" style="1212"/>
    <col min="6158" max="6158" width="11" style="1212" customWidth="1"/>
    <col min="6159" max="6159" width="10.54296875" style="1212" customWidth="1"/>
    <col min="6160" max="6160" width="12.54296875" style="1212" bestFit="1" customWidth="1"/>
    <col min="6161" max="6161" width="8.7265625" style="1212"/>
    <col min="6162" max="6162" width="10.1796875" style="1212" customWidth="1"/>
    <col min="6163" max="6163" width="13.54296875" style="1212" bestFit="1" customWidth="1"/>
    <col min="6164" max="6400" width="8.7265625" style="1212"/>
    <col min="6401" max="6401" width="5.26953125" style="1212" customWidth="1"/>
    <col min="6402" max="6402" width="18.26953125" style="1212" customWidth="1"/>
    <col min="6403" max="6403" width="34.1796875" style="1212" customWidth="1"/>
    <col min="6404" max="6408" width="8.7265625" style="1212"/>
    <col min="6409" max="6409" width="12.81640625" style="1212" customWidth="1"/>
    <col min="6410" max="6410" width="8.7265625" style="1212"/>
    <col min="6411" max="6411" width="12" style="1212" customWidth="1"/>
    <col min="6412" max="6412" width="9.7265625" style="1212" customWidth="1"/>
    <col min="6413" max="6413" width="8.7265625" style="1212"/>
    <col min="6414" max="6414" width="11" style="1212" customWidth="1"/>
    <col min="6415" max="6415" width="10.54296875" style="1212" customWidth="1"/>
    <col min="6416" max="6416" width="12.54296875" style="1212" bestFit="1" customWidth="1"/>
    <col min="6417" max="6417" width="8.7265625" style="1212"/>
    <col min="6418" max="6418" width="10.1796875" style="1212" customWidth="1"/>
    <col min="6419" max="6419" width="13.54296875" style="1212" bestFit="1" customWidth="1"/>
    <col min="6420" max="6656" width="8.7265625" style="1212"/>
    <col min="6657" max="6657" width="5.26953125" style="1212" customWidth="1"/>
    <col min="6658" max="6658" width="18.26953125" style="1212" customWidth="1"/>
    <col min="6659" max="6659" width="34.1796875" style="1212" customWidth="1"/>
    <col min="6660" max="6664" width="8.7265625" style="1212"/>
    <col min="6665" max="6665" width="12.81640625" style="1212" customWidth="1"/>
    <col min="6666" max="6666" width="8.7265625" style="1212"/>
    <col min="6667" max="6667" width="12" style="1212" customWidth="1"/>
    <col min="6668" max="6668" width="9.7265625" style="1212" customWidth="1"/>
    <col min="6669" max="6669" width="8.7265625" style="1212"/>
    <col min="6670" max="6670" width="11" style="1212" customWidth="1"/>
    <col min="6671" max="6671" width="10.54296875" style="1212" customWidth="1"/>
    <col min="6672" max="6672" width="12.54296875" style="1212" bestFit="1" customWidth="1"/>
    <col min="6673" max="6673" width="8.7265625" style="1212"/>
    <col min="6674" max="6674" width="10.1796875" style="1212" customWidth="1"/>
    <col min="6675" max="6675" width="13.54296875" style="1212" bestFit="1" customWidth="1"/>
    <col min="6676" max="6912" width="8.7265625" style="1212"/>
    <col min="6913" max="6913" width="5.26953125" style="1212" customWidth="1"/>
    <col min="6914" max="6914" width="18.26953125" style="1212" customWidth="1"/>
    <col min="6915" max="6915" width="34.1796875" style="1212" customWidth="1"/>
    <col min="6916" max="6920" width="8.7265625" style="1212"/>
    <col min="6921" max="6921" width="12.81640625" style="1212" customWidth="1"/>
    <col min="6922" max="6922" width="8.7265625" style="1212"/>
    <col min="6923" max="6923" width="12" style="1212" customWidth="1"/>
    <col min="6924" max="6924" width="9.7265625" style="1212" customWidth="1"/>
    <col min="6925" max="6925" width="8.7265625" style="1212"/>
    <col min="6926" max="6926" width="11" style="1212" customWidth="1"/>
    <col min="6927" max="6927" width="10.54296875" style="1212" customWidth="1"/>
    <col min="6928" max="6928" width="12.54296875" style="1212" bestFit="1" customWidth="1"/>
    <col min="6929" max="6929" width="8.7265625" style="1212"/>
    <col min="6930" max="6930" width="10.1796875" style="1212" customWidth="1"/>
    <col min="6931" max="6931" width="13.54296875" style="1212" bestFit="1" customWidth="1"/>
    <col min="6932" max="7168" width="8.7265625" style="1212"/>
    <col min="7169" max="7169" width="5.26953125" style="1212" customWidth="1"/>
    <col min="7170" max="7170" width="18.26953125" style="1212" customWidth="1"/>
    <col min="7171" max="7171" width="34.1796875" style="1212" customWidth="1"/>
    <col min="7172" max="7176" width="8.7265625" style="1212"/>
    <col min="7177" max="7177" width="12.81640625" style="1212" customWidth="1"/>
    <col min="7178" max="7178" width="8.7265625" style="1212"/>
    <col min="7179" max="7179" width="12" style="1212" customWidth="1"/>
    <col min="7180" max="7180" width="9.7265625" style="1212" customWidth="1"/>
    <col min="7181" max="7181" width="8.7265625" style="1212"/>
    <col min="7182" max="7182" width="11" style="1212" customWidth="1"/>
    <col min="7183" max="7183" width="10.54296875" style="1212" customWidth="1"/>
    <col min="7184" max="7184" width="12.54296875" style="1212" bestFit="1" customWidth="1"/>
    <col min="7185" max="7185" width="8.7265625" style="1212"/>
    <col min="7186" max="7186" width="10.1796875" style="1212" customWidth="1"/>
    <col min="7187" max="7187" width="13.54296875" style="1212" bestFit="1" customWidth="1"/>
    <col min="7188" max="7424" width="8.7265625" style="1212"/>
    <col min="7425" max="7425" width="5.26953125" style="1212" customWidth="1"/>
    <col min="7426" max="7426" width="18.26953125" style="1212" customWidth="1"/>
    <col min="7427" max="7427" width="34.1796875" style="1212" customWidth="1"/>
    <col min="7428" max="7432" width="8.7265625" style="1212"/>
    <col min="7433" max="7433" width="12.81640625" style="1212" customWidth="1"/>
    <col min="7434" max="7434" width="8.7265625" style="1212"/>
    <col min="7435" max="7435" width="12" style="1212" customWidth="1"/>
    <col min="7436" max="7436" width="9.7265625" style="1212" customWidth="1"/>
    <col min="7437" max="7437" width="8.7265625" style="1212"/>
    <col min="7438" max="7438" width="11" style="1212" customWidth="1"/>
    <col min="7439" max="7439" width="10.54296875" style="1212" customWidth="1"/>
    <col min="7440" max="7440" width="12.54296875" style="1212" bestFit="1" customWidth="1"/>
    <col min="7441" max="7441" width="8.7265625" style="1212"/>
    <col min="7442" max="7442" width="10.1796875" style="1212" customWidth="1"/>
    <col min="7443" max="7443" width="13.54296875" style="1212" bestFit="1" customWidth="1"/>
    <col min="7444" max="7680" width="8.7265625" style="1212"/>
    <col min="7681" max="7681" width="5.26953125" style="1212" customWidth="1"/>
    <col min="7682" max="7682" width="18.26953125" style="1212" customWidth="1"/>
    <col min="7683" max="7683" width="34.1796875" style="1212" customWidth="1"/>
    <col min="7684" max="7688" width="8.7265625" style="1212"/>
    <col min="7689" max="7689" width="12.81640625" style="1212" customWidth="1"/>
    <col min="7690" max="7690" width="8.7265625" style="1212"/>
    <col min="7691" max="7691" width="12" style="1212" customWidth="1"/>
    <col min="7692" max="7692" width="9.7265625" style="1212" customWidth="1"/>
    <col min="7693" max="7693" width="8.7265625" style="1212"/>
    <col min="7694" max="7694" width="11" style="1212" customWidth="1"/>
    <col min="7695" max="7695" width="10.54296875" style="1212" customWidth="1"/>
    <col min="7696" max="7696" width="12.54296875" style="1212" bestFit="1" customWidth="1"/>
    <col min="7697" max="7697" width="8.7265625" style="1212"/>
    <col min="7698" max="7698" width="10.1796875" style="1212" customWidth="1"/>
    <col min="7699" max="7699" width="13.54296875" style="1212" bestFit="1" customWidth="1"/>
    <col min="7700" max="7936" width="8.7265625" style="1212"/>
    <col min="7937" max="7937" width="5.26953125" style="1212" customWidth="1"/>
    <col min="7938" max="7938" width="18.26953125" style="1212" customWidth="1"/>
    <col min="7939" max="7939" width="34.1796875" style="1212" customWidth="1"/>
    <col min="7940" max="7944" width="8.7265625" style="1212"/>
    <col min="7945" max="7945" width="12.81640625" style="1212" customWidth="1"/>
    <col min="7946" max="7946" width="8.7265625" style="1212"/>
    <col min="7947" max="7947" width="12" style="1212" customWidth="1"/>
    <col min="7948" max="7948" width="9.7265625" style="1212" customWidth="1"/>
    <col min="7949" max="7949" width="8.7265625" style="1212"/>
    <col min="7950" max="7950" width="11" style="1212" customWidth="1"/>
    <col min="7951" max="7951" width="10.54296875" style="1212" customWidth="1"/>
    <col min="7952" max="7952" width="12.54296875" style="1212" bestFit="1" customWidth="1"/>
    <col min="7953" max="7953" width="8.7265625" style="1212"/>
    <col min="7954" max="7954" width="10.1796875" style="1212" customWidth="1"/>
    <col min="7955" max="7955" width="13.54296875" style="1212" bestFit="1" customWidth="1"/>
    <col min="7956" max="8192" width="8.7265625" style="1212"/>
    <col min="8193" max="8193" width="5.26953125" style="1212" customWidth="1"/>
    <col min="8194" max="8194" width="18.26953125" style="1212" customWidth="1"/>
    <col min="8195" max="8195" width="34.1796875" style="1212" customWidth="1"/>
    <col min="8196" max="8200" width="8.7265625" style="1212"/>
    <col min="8201" max="8201" width="12.81640625" style="1212" customWidth="1"/>
    <col min="8202" max="8202" width="8.7265625" style="1212"/>
    <col min="8203" max="8203" width="12" style="1212" customWidth="1"/>
    <col min="8204" max="8204" width="9.7265625" style="1212" customWidth="1"/>
    <col min="8205" max="8205" width="8.7265625" style="1212"/>
    <col min="8206" max="8206" width="11" style="1212" customWidth="1"/>
    <col min="8207" max="8207" width="10.54296875" style="1212" customWidth="1"/>
    <col min="8208" max="8208" width="12.54296875" style="1212" bestFit="1" customWidth="1"/>
    <col min="8209" max="8209" width="8.7265625" style="1212"/>
    <col min="8210" max="8210" width="10.1796875" style="1212" customWidth="1"/>
    <col min="8211" max="8211" width="13.54296875" style="1212" bestFit="1" customWidth="1"/>
    <col min="8212" max="8448" width="8.7265625" style="1212"/>
    <col min="8449" max="8449" width="5.26953125" style="1212" customWidth="1"/>
    <col min="8450" max="8450" width="18.26953125" style="1212" customWidth="1"/>
    <col min="8451" max="8451" width="34.1796875" style="1212" customWidth="1"/>
    <col min="8452" max="8456" width="8.7265625" style="1212"/>
    <col min="8457" max="8457" width="12.81640625" style="1212" customWidth="1"/>
    <col min="8458" max="8458" width="8.7265625" style="1212"/>
    <col min="8459" max="8459" width="12" style="1212" customWidth="1"/>
    <col min="8460" max="8460" width="9.7265625" style="1212" customWidth="1"/>
    <col min="8461" max="8461" width="8.7265625" style="1212"/>
    <col min="8462" max="8462" width="11" style="1212" customWidth="1"/>
    <col min="8463" max="8463" width="10.54296875" style="1212" customWidth="1"/>
    <col min="8464" max="8464" width="12.54296875" style="1212" bestFit="1" customWidth="1"/>
    <col min="8465" max="8465" width="8.7265625" style="1212"/>
    <col min="8466" max="8466" width="10.1796875" style="1212" customWidth="1"/>
    <col min="8467" max="8467" width="13.54296875" style="1212" bestFit="1" customWidth="1"/>
    <col min="8468" max="8704" width="8.7265625" style="1212"/>
    <col min="8705" max="8705" width="5.26953125" style="1212" customWidth="1"/>
    <col min="8706" max="8706" width="18.26953125" style="1212" customWidth="1"/>
    <col min="8707" max="8707" width="34.1796875" style="1212" customWidth="1"/>
    <col min="8708" max="8712" width="8.7265625" style="1212"/>
    <col min="8713" max="8713" width="12.81640625" style="1212" customWidth="1"/>
    <col min="8714" max="8714" width="8.7265625" style="1212"/>
    <col min="8715" max="8715" width="12" style="1212" customWidth="1"/>
    <col min="8716" max="8716" width="9.7265625" style="1212" customWidth="1"/>
    <col min="8717" max="8717" width="8.7265625" style="1212"/>
    <col min="8718" max="8718" width="11" style="1212" customWidth="1"/>
    <col min="8719" max="8719" width="10.54296875" style="1212" customWidth="1"/>
    <col min="8720" max="8720" width="12.54296875" style="1212" bestFit="1" customWidth="1"/>
    <col min="8721" max="8721" width="8.7265625" style="1212"/>
    <col min="8722" max="8722" width="10.1796875" style="1212" customWidth="1"/>
    <col min="8723" max="8723" width="13.54296875" style="1212" bestFit="1" customWidth="1"/>
    <col min="8724" max="8960" width="8.7265625" style="1212"/>
    <col min="8961" max="8961" width="5.26953125" style="1212" customWidth="1"/>
    <col min="8962" max="8962" width="18.26953125" style="1212" customWidth="1"/>
    <col min="8963" max="8963" width="34.1796875" style="1212" customWidth="1"/>
    <col min="8964" max="8968" width="8.7265625" style="1212"/>
    <col min="8969" max="8969" width="12.81640625" style="1212" customWidth="1"/>
    <col min="8970" max="8970" width="8.7265625" style="1212"/>
    <col min="8971" max="8971" width="12" style="1212" customWidth="1"/>
    <col min="8972" max="8972" width="9.7265625" style="1212" customWidth="1"/>
    <col min="8973" max="8973" width="8.7265625" style="1212"/>
    <col min="8974" max="8974" width="11" style="1212" customWidth="1"/>
    <col min="8975" max="8975" width="10.54296875" style="1212" customWidth="1"/>
    <col min="8976" max="8976" width="12.54296875" style="1212" bestFit="1" customWidth="1"/>
    <col min="8977" max="8977" width="8.7265625" style="1212"/>
    <col min="8978" max="8978" width="10.1796875" style="1212" customWidth="1"/>
    <col min="8979" max="8979" width="13.54296875" style="1212" bestFit="1" customWidth="1"/>
    <col min="8980" max="9216" width="8.7265625" style="1212"/>
    <col min="9217" max="9217" width="5.26953125" style="1212" customWidth="1"/>
    <col min="9218" max="9218" width="18.26953125" style="1212" customWidth="1"/>
    <col min="9219" max="9219" width="34.1796875" style="1212" customWidth="1"/>
    <col min="9220" max="9224" width="8.7265625" style="1212"/>
    <col min="9225" max="9225" width="12.81640625" style="1212" customWidth="1"/>
    <col min="9226" max="9226" width="8.7265625" style="1212"/>
    <col min="9227" max="9227" width="12" style="1212" customWidth="1"/>
    <col min="9228" max="9228" width="9.7265625" style="1212" customWidth="1"/>
    <col min="9229" max="9229" width="8.7265625" style="1212"/>
    <col min="9230" max="9230" width="11" style="1212" customWidth="1"/>
    <col min="9231" max="9231" width="10.54296875" style="1212" customWidth="1"/>
    <col min="9232" max="9232" width="12.54296875" style="1212" bestFit="1" customWidth="1"/>
    <col min="9233" max="9233" width="8.7265625" style="1212"/>
    <col min="9234" max="9234" width="10.1796875" style="1212" customWidth="1"/>
    <col min="9235" max="9235" width="13.54296875" style="1212" bestFit="1" customWidth="1"/>
    <col min="9236" max="9472" width="8.7265625" style="1212"/>
    <col min="9473" max="9473" width="5.26953125" style="1212" customWidth="1"/>
    <col min="9474" max="9474" width="18.26953125" style="1212" customWidth="1"/>
    <col min="9475" max="9475" width="34.1796875" style="1212" customWidth="1"/>
    <col min="9476" max="9480" width="8.7265625" style="1212"/>
    <col min="9481" max="9481" width="12.81640625" style="1212" customWidth="1"/>
    <col min="9482" max="9482" width="8.7265625" style="1212"/>
    <col min="9483" max="9483" width="12" style="1212" customWidth="1"/>
    <col min="9484" max="9484" width="9.7265625" style="1212" customWidth="1"/>
    <col min="9485" max="9485" width="8.7265625" style="1212"/>
    <col min="9486" max="9486" width="11" style="1212" customWidth="1"/>
    <col min="9487" max="9487" width="10.54296875" style="1212" customWidth="1"/>
    <col min="9488" max="9488" width="12.54296875" style="1212" bestFit="1" customWidth="1"/>
    <col min="9489" max="9489" width="8.7265625" style="1212"/>
    <col min="9490" max="9490" width="10.1796875" style="1212" customWidth="1"/>
    <col min="9491" max="9491" width="13.54296875" style="1212" bestFit="1" customWidth="1"/>
    <col min="9492" max="9728" width="8.7265625" style="1212"/>
    <col min="9729" max="9729" width="5.26953125" style="1212" customWidth="1"/>
    <col min="9730" max="9730" width="18.26953125" style="1212" customWidth="1"/>
    <col min="9731" max="9731" width="34.1796875" style="1212" customWidth="1"/>
    <col min="9732" max="9736" width="8.7265625" style="1212"/>
    <col min="9737" max="9737" width="12.81640625" style="1212" customWidth="1"/>
    <col min="9738" max="9738" width="8.7265625" style="1212"/>
    <col min="9739" max="9739" width="12" style="1212" customWidth="1"/>
    <col min="9740" max="9740" width="9.7265625" style="1212" customWidth="1"/>
    <col min="9741" max="9741" width="8.7265625" style="1212"/>
    <col min="9742" max="9742" width="11" style="1212" customWidth="1"/>
    <col min="9743" max="9743" width="10.54296875" style="1212" customWidth="1"/>
    <col min="9744" max="9744" width="12.54296875" style="1212" bestFit="1" customWidth="1"/>
    <col min="9745" max="9745" width="8.7265625" style="1212"/>
    <col min="9746" max="9746" width="10.1796875" style="1212" customWidth="1"/>
    <col min="9747" max="9747" width="13.54296875" style="1212" bestFit="1" customWidth="1"/>
    <col min="9748" max="9984" width="8.7265625" style="1212"/>
    <col min="9985" max="9985" width="5.26953125" style="1212" customWidth="1"/>
    <col min="9986" max="9986" width="18.26953125" style="1212" customWidth="1"/>
    <col min="9987" max="9987" width="34.1796875" style="1212" customWidth="1"/>
    <col min="9988" max="9992" width="8.7265625" style="1212"/>
    <col min="9993" max="9993" width="12.81640625" style="1212" customWidth="1"/>
    <col min="9994" max="9994" width="8.7265625" style="1212"/>
    <col min="9995" max="9995" width="12" style="1212" customWidth="1"/>
    <col min="9996" max="9996" width="9.7265625" style="1212" customWidth="1"/>
    <col min="9997" max="9997" width="8.7265625" style="1212"/>
    <col min="9998" max="9998" width="11" style="1212" customWidth="1"/>
    <col min="9999" max="9999" width="10.54296875" style="1212" customWidth="1"/>
    <col min="10000" max="10000" width="12.54296875" style="1212" bestFit="1" customWidth="1"/>
    <col min="10001" max="10001" width="8.7265625" style="1212"/>
    <col min="10002" max="10002" width="10.1796875" style="1212" customWidth="1"/>
    <col min="10003" max="10003" width="13.54296875" style="1212" bestFit="1" customWidth="1"/>
    <col min="10004" max="10240" width="8.7265625" style="1212"/>
    <col min="10241" max="10241" width="5.26953125" style="1212" customWidth="1"/>
    <col min="10242" max="10242" width="18.26953125" style="1212" customWidth="1"/>
    <col min="10243" max="10243" width="34.1796875" style="1212" customWidth="1"/>
    <col min="10244" max="10248" width="8.7265625" style="1212"/>
    <col min="10249" max="10249" width="12.81640625" style="1212" customWidth="1"/>
    <col min="10250" max="10250" width="8.7265625" style="1212"/>
    <col min="10251" max="10251" width="12" style="1212" customWidth="1"/>
    <col min="10252" max="10252" width="9.7265625" style="1212" customWidth="1"/>
    <col min="10253" max="10253" width="8.7265625" style="1212"/>
    <col min="10254" max="10254" width="11" style="1212" customWidth="1"/>
    <col min="10255" max="10255" width="10.54296875" style="1212" customWidth="1"/>
    <col min="10256" max="10256" width="12.54296875" style="1212" bestFit="1" customWidth="1"/>
    <col min="10257" max="10257" width="8.7265625" style="1212"/>
    <col min="10258" max="10258" width="10.1796875" style="1212" customWidth="1"/>
    <col min="10259" max="10259" width="13.54296875" style="1212" bestFit="1" customWidth="1"/>
    <col min="10260" max="10496" width="8.7265625" style="1212"/>
    <col min="10497" max="10497" width="5.26953125" style="1212" customWidth="1"/>
    <col min="10498" max="10498" width="18.26953125" style="1212" customWidth="1"/>
    <col min="10499" max="10499" width="34.1796875" style="1212" customWidth="1"/>
    <col min="10500" max="10504" width="8.7265625" style="1212"/>
    <col min="10505" max="10505" width="12.81640625" style="1212" customWidth="1"/>
    <col min="10506" max="10506" width="8.7265625" style="1212"/>
    <col min="10507" max="10507" width="12" style="1212" customWidth="1"/>
    <col min="10508" max="10508" width="9.7265625" style="1212" customWidth="1"/>
    <col min="10509" max="10509" width="8.7265625" style="1212"/>
    <col min="10510" max="10510" width="11" style="1212" customWidth="1"/>
    <col min="10511" max="10511" width="10.54296875" style="1212" customWidth="1"/>
    <col min="10512" max="10512" width="12.54296875" style="1212" bestFit="1" customWidth="1"/>
    <col min="10513" max="10513" width="8.7265625" style="1212"/>
    <col min="10514" max="10514" width="10.1796875" style="1212" customWidth="1"/>
    <col min="10515" max="10515" width="13.54296875" style="1212" bestFit="1" customWidth="1"/>
    <col min="10516" max="10752" width="8.7265625" style="1212"/>
    <col min="10753" max="10753" width="5.26953125" style="1212" customWidth="1"/>
    <col min="10754" max="10754" width="18.26953125" style="1212" customWidth="1"/>
    <col min="10755" max="10755" width="34.1796875" style="1212" customWidth="1"/>
    <col min="10756" max="10760" width="8.7265625" style="1212"/>
    <col min="10761" max="10761" width="12.81640625" style="1212" customWidth="1"/>
    <col min="10762" max="10762" width="8.7265625" style="1212"/>
    <col min="10763" max="10763" width="12" style="1212" customWidth="1"/>
    <col min="10764" max="10764" width="9.7265625" style="1212" customWidth="1"/>
    <col min="10765" max="10765" width="8.7265625" style="1212"/>
    <col min="10766" max="10766" width="11" style="1212" customWidth="1"/>
    <col min="10767" max="10767" width="10.54296875" style="1212" customWidth="1"/>
    <col min="10768" max="10768" width="12.54296875" style="1212" bestFit="1" customWidth="1"/>
    <col min="10769" max="10769" width="8.7265625" style="1212"/>
    <col min="10770" max="10770" width="10.1796875" style="1212" customWidth="1"/>
    <col min="10771" max="10771" width="13.54296875" style="1212" bestFit="1" customWidth="1"/>
    <col min="10772" max="11008" width="8.7265625" style="1212"/>
    <col min="11009" max="11009" width="5.26953125" style="1212" customWidth="1"/>
    <col min="11010" max="11010" width="18.26953125" style="1212" customWidth="1"/>
    <col min="11011" max="11011" width="34.1796875" style="1212" customWidth="1"/>
    <col min="11012" max="11016" width="8.7265625" style="1212"/>
    <col min="11017" max="11017" width="12.81640625" style="1212" customWidth="1"/>
    <col min="11018" max="11018" width="8.7265625" style="1212"/>
    <col min="11019" max="11019" width="12" style="1212" customWidth="1"/>
    <col min="11020" max="11020" width="9.7265625" style="1212" customWidth="1"/>
    <col min="11021" max="11021" width="8.7265625" style="1212"/>
    <col min="11022" max="11022" width="11" style="1212" customWidth="1"/>
    <col min="11023" max="11023" width="10.54296875" style="1212" customWidth="1"/>
    <col min="11024" max="11024" width="12.54296875" style="1212" bestFit="1" customWidth="1"/>
    <col min="11025" max="11025" width="8.7265625" style="1212"/>
    <col min="11026" max="11026" width="10.1796875" style="1212" customWidth="1"/>
    <col min="11027" max="11027" width="13.54296875" style="1212" bestFit="1" customWidth="1"/>
    <col min="11028" max="11264" width="8.7265625" style="1212"/>
    <col min="11265" max="11265" width="5.26953125" style="1212" customWidth="1"/>
    <col min="11266" max="11266" width="18.26953125" style="1212" customWidth="1"/>
    <col min="11267" max="11267" width="34.1796875" style="1212" customWidth="1"/>
    <col min="11268" max="11272" width="8.7265625" style="1212"/>
    <col min="11273" max="11273" width="12.81640625" style="1212" customWidth="1"/>
    <col min="11274" max="11274" width="8.7265625" style="1212"/>
    <col min="11275" max="11275" width="12" style="1212" customWidth="1"/>
    <col min="11276" max="11276" width="9.7265625" style="1212" customWidth="1"/>
    <col min="11277" max="11277" width="8.7265625" style="1212"/>
    <col min="11278" max="11278" width="11" style="1212" customWidth="1"/>
    <col min="11279" max="11279" width="10.54296875" style="1212" customWidth="1"/>
    <col min="11280" max="11280" width="12.54296875" style="1212" bestFit="1" customWidth="1"/>
    <col min="11281" max="11281" width="8.7265625" style="1212"/>
    <col min="11282" max="11282" width="10.1796875" style="1212" customWidth="1"/>
    <col min="11283" max="11283" width="13.54296875" style="1212" bestFit="1" customWidth="1"/>
    <col min="11284" max="11520" width="8.7265625" style="1212"/>
    <col min="11521" max="11521" width="5.26953125" style="1212" customWidth="1"/>
    <col min="11522" max="11522" width="18.26953125" style="1212" customWidth="1"/>
    <col min="11523" max="11523" width="34.1796875" style="1212" customWidth="1"/>
    <col min="11524" max="11528" width="8.7265625" style="1212"/>
    <col min="11529" max="11529" width="12.81640625" style="1212" customWidth="1"/>
    <col min="11530" max="11530" width="8.7265625" style="1212"/>
    <col min="11531" max="11531" width="12" style="1212" customWidth="1"/>
    <col min="11532" max="11532" width="9.7265625" style="1212" customWidth="1"/>
    <col min="11533" max="11533" width="8.7265625" style="1212"/>
    <col min="11534" max="11534" width="11" style="1212" customWidth="1"/>
    <col min="11535" max="11535" width="10.54296875" style="1212" customWidth="1"/>
    <col min="11536" max="11536" width="12.54296875" style="1212" bestFit="1" customWidth="1"/>
    <col min="11537" max="11537" width="8.7265625" style="1212"/>
    <col min="11538" max="11538" width="10.1796875" style="1212" customWidth="1"/>
    <col min="11539" max="11539" width="13.54296875" style="1212" bestFit="1" customWidth="1"/>
    <col min="11540" max="11776" width="8.7265625" style="1212"/>
    <col min="11777" max="11777" width="5.26953125" style="1212" customWidth="1"/>
    <col min="11778" max="11778" width="18.26953125" style="1212" customWidth="1"/>
    <col min="11779" max="11779" width="34.1796875" style="1212" customWidth="1"/>
    <col min="11780" max="11784" width="8.7265625" style="1212"/>
    <col min="11785" max="11785" width="12.81640625" style="1212" customWidth="1"/>
    <col min="11786" max="11786" width="8.7265625" style="1212"/>
    <col min="11787" max="11787" width="12" style="1212" customWidth="1"/>
    <col min="11788" max="11788" width="9.7265625" style="1212" customWidth="1"/>
    <col min="11789" max="11789" width="8.7265625" style="1212"/>
    <col min="11790" max="11790" width="11" style="1212" customWidth="1"/>
    <col min="11791" max="11791" width="10.54296875" style="1212" customWidth="1"/>
    <col min="11792" max="11792" width="12.54296875" style="1212" bestFit="1" customWidth="1"/>
    <col min="11793" max="11793" width="8.7265625" style="1212"/>
    <col min="11794" max="11794" width="10.1796875" style="1212" customWidth="1"/>
    <col min="11795" max="11795" width="13.54296875" style="1212" bestFit="1" customWidth="1"/>
    <col min="11796" max="12032" width="8.7265625" style="1212"/>
    <col min="12033" max="12033" width="5.26953125" style="1212" customWidth="1"/>
    <col min="12034" max="12034" width="18.26953125" style="1212" customWidth="1"/>
    <col min="12035" max="12035" width="34.1796875" style="1212" customWidth="1"/>
    <col min="12036" max="12040" width="8.7265625" style="1212"/>
    <col min="12041" max="12041" width="12.81640625" style="1212" customWidth="1"/>
    <col min="12042" max="12042" width="8.7265625" style="1212"/>
    <col min="12043" max="12043" width="12" style="1212" customWidth="1"/>
    <col min="12044" max="12044" width="9.7265625" style="1212" customWidth="1"/>
    <col min="12045" max="12045" width="8.7265625" style="1212"/>
    <col min="12046" max="12046" width="11" style="1212" customWidth="1"/>
    <col min="12047" max="12047" width="10.54296875" style="1212" customWidth="1"/>
    <col min="12048" max="12048" width="12.54296875" style="1212" bestFit="1" customWidth="1"/>
    <col min="12049" max="12049" width="8.7265625" style="1212"/>
    <col min="12050" max="12050" width="10.1796875" style="1212" customWidth="1"/>
    <col min="12051" max="12051" width="13.54296875" style="1212" bestFit="1" customWidth="1"/>
    <col min="12052" max="12288" width="8.7265625" style="1212"/>
    <col min="12289" max="12289" width="5.26953125" style="1212" customWidth="1"/>
    <col min="12290" max="12290" width="18.26953125" style="1212" customWidth="1"/>
    <col min="12291" max="12291" width="34.1796875" style="1212" customWidth="1"/>
    <col min="12292" max="12296" width="8.7265625" style="1212"/>
    <col min="12297" max="12297" width="12.81640625" style="1212" customWidth="1"/>
    <col min="12298" max="12298" width="8.7265625" style="1212"/>
    <col min="12299" max="12299" width="12" style="1212" customWidth="1"/>
    <col min="12300" max="12300" width="9.7265625" style="1212" customWidth="1"/>
    <col min="12301" max="12301" width="8.7265625" style="1212"/>
    <col min="12302" max="12302" width="11" style="1212" customWidth="1"/>
    <col min="12303" max="12303" width="10.54296875" style="1212" customWidth="1"/>
    <col min="12304" max="12304" width="12.54296875" style="1212" bestFit="1" customWidth="1"/>
    <col min="12305" max="12305" width="8.7265625" style="1212"/>
    <col min="12306" max="12306" width="10.1796875" style="1212" customWidth="1"/>
    <col min="12307" max="12307" width="13.54296875" style="1212" bestFit="1" customWidth="1"/>
    <col min="12308" max="12544" width="8.7265625" style="1212"/>
    <col min="12545" max="12545" width="5.26953125" style="1212" customWidth="1"/>
    <col min="12546" max="12546" width="18.26953125" style="1212" customWidth="1"/>
    <col min="12547" max="12547" width="34.1796875" style="1212" customWidth="1"/>
    <col min="12548" max="12552" width="8.7265625" style="1212"/>
    <col min="12553" max="12553" width="12.81640625" style="1212" customWidth="1"/>
    <col min="12554" max="12554" width="8.7265625" style="1212"/>
    <col min="12555" max="12555" width="12" style="1212" customWidth="1"/>
    <col min="12556" max="12556" width="9.7265625" style="1212" customWidth="1"/>
    <col min="12557" max="12557" width="8.7265625" style="1212"/>
    <col min="12558" max="12558" width="11" style="1212" customWidth="1"/>
    <col min="12559" max="12559" width="10.54296875" style="1212" customWidth="1"/>
    <col min="12560" max="12560" width="12.54296875" style="1212" bestFit="1" customWidth="1"/>
    <col min="12561" max="12561" width="8.7265625" style="1212"/>
    <col min="12562" max="12562" width="10.1796875" style="1212" customWidth="1"/>
    <col min="12563" max="12563" width="13.54296875" style="1212" bestFit="1" customWidth="1"/>
    <col min="12564" max="12800" width="8.7265625" style="1212"/>
    <col min="12801" max="12801" width="5.26953125" style="1212" customWidth="1"/>
    <col min="12802" max="12802" width="18.26953125" style="1212" customWidth="1"/>
    <col min="12803" max="12803" width="34.1796875" style="1212" customWidth="1"/>
    <col min="12804" max="12808" width="8.7265625" style="1212"/>
    <col min="12809" max="12809" width="12.81640625" style="1212" customWidth="1"/>
    <col min="12810" max="12810" width="8.7265625" style="1212"/>
    <col min="12811" max="12811" width="12" style="1212" customWidth="1"/>
    <col min="12812" max="12812" width="9.7265625" style="1212" customWidth="1"/>
    <col min="12813" max="12813" width="8.7265625" style="1212"/>
    <col min="12814" max="12814" width="11" style="1212" customWidth="1"/>
    <col min="12815" max="12815" width="10.54296875" style="1212" customWidth="1"/>
    <col min="12816" max="12816" width="12.54296875" style="1212" bestFit="1" customWidth="1"/>
    <col min="12817" max="12817" width="8.7265625" style="1212"/>
    <col min="12818" max="12818" width="10.1796875" style="1212" customWidth="1"/>
    <col min="12819" max="12819" width="13.54296875" style="1212" bestFit="1" customWidth="1"/>
    <col min="12820" max="13056" width="8.7265625" style="1212"/>
    <col min="13057" max="13057" width="5.26953125" style="1212" customWidth="1"/>
    <col min="13058" max="13058" width="18.26953125" style="1212" customWidth="1"/>
    <col min="13059" max="13059" width="34.1796875" style="1212" customWidth="1"/>
    <col min="13060" max="13064" width="8.7265625" style="1212"/>
    <col min="13065" max="13065" width="12.81640625" style="1212" customWidth="1"/>
    <col min="13066" max="13066" width="8.7265625" style="1212"/>
    <col min="13067" max="13067" width="12" style="1212" customWidth="1"/>
    <col min="13068" max="13068" width="9.7265625" style="1212" customWidth="1"/>
    <col min="13069" max="13069" width="8.7265625" style="1212"/>
    <col min="13070" max="13070" width="11" style="1212" customWidth="1"/>
    <col min="13071" max="13071" width="10.54296875" style="1212" customWidth="1"/>
    <col min="13072" max="13072" width="12.54296875" style="1212" bestFit="1" customWidth="1"/>
    <col min="13073" max="13073" width="8.7265625" style="1212"/>
    <col min="13074" max="13074" width="10.1796875" style="1212" customWidth="1"/>
    <col min="13075" max="13075" width="13.54296875" style="1212" bestFit="1" customWidth="1"/>
    <col min="13076" max="13312" width="8.7265625" style="1212"/>
    <col min="13313" max="13313" width="5.26953125" style="1212" customWidth="1"/>
    <col min="13314" max="13314" width="18.26953125" style="1212" customWidth="1"/>
    <col min="13315" max="13315" width="34.1796875" style="1212" customWidth="1"/>
    <col min="13316" max="13320" width="8.7265625" style="1212"/>
    <col min="13321" max="13321" width="12.81640625" style="1212" customWidth="1"/>
    <col min="13322" max="13322" width="8.7265625" style="1212"/>
    <col min="13323" max="13323" width="12" style="1212" customWidth="1"/>
    <col min="13324" max="13324" width="9.7265625" style="1212" customWidth="1"/>
    <col min="13325" max="13325" width="8.7265625" style="1212"/>
    <col min="13326" max="13326" width="11" style="1212" customWidth="1"/>
    <col min="13327" max="13327" width="10.54296875" style="1212" customWidth="1"/>
    <col min="13328" max="13328" width="12.54296875" style="1212" bestFit="1" customWidth="1"/>
    <col min="13329" max="13329" width="8.7265625" style="1212"/>
    <col min="13330" max="13330" width="10.1796875" style="1212" customWidth="1"/>
    <col min="13331" max="13331" width="13.54296875" style="1212" bestFit="1" customWidth="1"/>
    <col min="13332" max="13568" width="8.7265625" style="1212"/>
    <col min="13569" max="13569" width="5.26953125" style="1212" customWidth="1"/>
    <col min="13570" max="13570" width="18.26953125" style="1212" customWidth="1"/>
    <col min="13571" max="13571" width="34.1796875" style="1212" customWidth="1"/>
    <col min="13572" max="13576" width="8.7265625" style="1212"/>
    <col min="13577" max="13577" width="12.81640625" style="1212" customWidth="1"/>
    <col min="13578" max="13578" width="8.7265625" style="1212"/>
    <col min="13579" max="13579" width="12" style="1212" customWidth="1"/>
    <col min="13580" max="13580" width="9.7265625" style="1212" customWidth="1"/>
    <col min="13581" max="13581" width="8.7265625" style="1212"/>
    <col min="13582" max="13582" width="11" style="1212" customWidth="1"/>
    <col min="13583" max="13583" width="10.54296875" style="1212" customWidth="1"/>
    <col min="13584" max="13584" width="12.54296875" style="1212" bestFit="1" customWidth="1"/>
    <col min="13585" max="13585" width="8.7265625" style="1212"/>
    <col min="13586" max="13586" width="10.1796875" style="1212" customWidth="1"/>
    <col min="13587" max="13587" width="13.54296875" style="1212" bestFit="1" customWidth="1"/>
    <col min="13588" max="13824" width="8.7265625" style="1212"/>
    <col min="13825" max="13825" width="5.26953125" style="1212" customWidth="1"/>
    <col min="13826" max="13826" width="18.26953125" style="1212" customWidth="1"/>
    <col min="13827" max="13827" width="34.1796875" style="1212" customWidth="1"/>
    <col min="13828" max="13832" width="8.7265625" style="1212"/>
    <col min="13833" max="13833" width="12.81640625" style="1212" customWidth="1"/>
    <col min="13834" max="13834" width="8.7265625" style="1212"/>
    <col min="13835" max="13835" width="12" style="1212" customWidth="1"/>
    <col min="13836" max="13836" width="9.7265625" style="1212" customWidth="1"/>
    <col min="13837" max="13837" width="8.7265625" style="1212"/>
    <col min="13838" max="13838" width="11" style="1212" customWidth="1"/>
    <col min="13839" max="13839" width="10.54296875" style="1212" customWidth="1"/>
    <col min="13840" max="13840" width="12.54296875" style="1212" bestFit="1" customWidth="1"/>
    <col min="13841" max="13841" width="8.7265625" style="1212"/>
    <col min="13842" max="13842" width="10.1796875" style="1212" customWidth="1"/>
    <col min="13843" max="13843" width="13.54296875" style="1212" bestFit="1" customWidth="1"/>
    <col min="13844" max="14080" width="8.7265625" style="1212"/>
    <col min="14081" max="14081" width="5.26953125" style="1212" customWidth="1"/>
    <col min="14082" max="14082" width="18.26953125" style="1212" customWidth="1"/>
    <col min="14083" max="14083" width="34.1796875" style="1212" customWidth="1"/>
    <col min="14084" max="14088" width="8.7265625" style="1212"/>
    <col min="14089" max="14089" width="12.81640625" style="1212" customWidth="1"/>
    <col min="14090" max="14090" width="8.7265625" style="1212"/>
    <col min="14091" max="14091" width="12" style="1212" customWidth="1"/>
    <col min="14092" max="14092" width="9.7265625" style="1212" customWidth="1"/>
    <col min="14093" max="14093" width="8.7265625" style="1212"/>
    <col min="14094" max="14094" width="11" style="1212" customWidth="1"/>
    <col min="14095" max="14095" width="10.54296875" style="1212" customWidth="1"/>
    <col min="14096" max="14096" width="12.54296875" style="1212" bestFit="1" customWidth="1"/>
    <col min="14097" max="14097" width="8.7265625" style="1212"/>
    <col min="14098" max="14098" width="10.1796875" style="1212" customWidth="1"/>
    <col min="14099" max="14099" width="13.54296875" style="1212" bestFit="1" customWidth="1"/>
    <col min="14100" max="14336" width="8.7265625" style="1212"/>
    <col min="14337" max="14337" width="5.26953125" style="1212" customWidth="1"/>
    <col min="14338" max="14338" width="18.26953125" style="1212" customWidth="1"/>
    <col min="14339" max="14339" width="34.1796875" style="1212" customWidth="1"/>
    <col min="14340" max="14344" width="8.7265625" style="1212"/>
    <col min="14345" max="14345" width="12.81640625" style="1212" customWidth="1"/>
    <col min="14346" max="14346" width="8.7265625" style="1212"/>
    <col min="14347" max="14347" width="12" style="1212" customWidth="1"/>
    <col min="14348" max="14348" width="9.7265625" style="1212" customWidth="1"/>
    <col min="14349" max="14349" width="8.7265625" style="1212"/>
    <col min="14350" max="14350" width="11" style="1212" customWidth="1"/>
    <col min="14351" max="14351" width="10.54296875" style="1212" customWidth="1"/>
    <col min="14352" max="14352" width="12.54296875" style="1212" bestFit="1" customWidth="1"/>
    <col min="14353" max="14353" width="8.7265625" style="1212"/>
    <col min="14354" max="14354" width="10.1796875" style="1212" customWidth="1"/>
    <col min="14355" max="14355" width="13.54296875" style="1212" bestFit="1" customWidth="1"/>
    <col min="14356" max="14592" width="8.7265625" style="1212"/>
    <col min="14593" max="14593" width="5.26953125" style="1212" customWidth="1"/>
    <col min="14594" max="14594" width="18.26953125" style="1212" customWidth="1"/>
    <col min="14595" max="14595" width="34.1796875" style="1212" customWidth="1"/>
    <col min="14596" max="14600" width="8.7265625" style="1212"/>
    <col min="14601" max="14601" width="12.81640625" style="1212" customWidth="1"/>
    <col min="14602" max="14602" width="8.7265625" style="1212"/>
    <col min="14603" max="14603" width="12" style="1212" customWidth="1"/>
    <col min="14604" max="14604" width="9.7265625" style="1212" customWidth="1"/>
    <col min="14605" max="14605" width="8.7265625" style="1212"/>
    <col min="14606" max="14606" width="11" style="1212" customWidth="1"/>
    <col min="14607" max="14607" width="10.54296875" style="1212" customWidth="1"/>
    <col min="14608" max="14608" width="12.54296875" style="1212" bestFit="1" customWidth="1"/>
    <col min="14609" max="14609" width="8.7265625" style="1212"/>
    <col min="14610" max="14610" width="10.1796875" style="1212" customWidth="1"/>
    <col min="14611" max="14611" width="13.54296875" style="1212" bestFit="1" customWidth="1"/>
    <col min="14612" max="14848" width="8.7265625" style="1212"/>
    <col min="14849" max="14849" width="5.26953125" style="1212" customWidth="1"/>
    <col min="14850" max="14850" width="18.26953125" style="1212" customWidth="1"/>
    <col min="14851" max="14851" width="34.1796875" style="1212" customWidth="1"/>
    <col min="14852" max="14856" width="8.7265625" style="1212"/>
    <col min="14857" max="14857" width="12.81640625" style="1212" customWidth="1"/>
    <col min="14858" max="14858" width="8.7265625" style="1212"/>
    <col min="14859" max="14859" width="12" style="1212" customWidth="1"/>
    <col min="14860" max="14860" width="9.7265625" style="1212" customWidth="1"/>
    <col min="14861" max="14861" width="8.7265625" style="1212"/>
    <col min="14862" max="14862" width="11" style="1212" customWidth="1"/>
    <col min="14863" max="14863" width="10.54296875" style="1212" customWidth="1"/>
    <col min="14864" max="14864" width="12.54296875" style="1212" bestFit="1" customWidth="1"/>
    <col min="14865" max="14865" width="8.7265625" style="1212"/>
    <col min="14866" max="14866" width="10.1796875" style="1212" customWidth="1"/>
    <col min="14867" max="14867" width="13.54296875" style="1212" bestFit="1" customWidth="1"/>
    <col min="14868" max="15104" width="8.7265625" style="1212"/>
    <col min="15105" max="15105" width="5.26953125" style="1212" customWidth="1"/>
    <col min="15106" max="15106" width="18.26953125" style="1212" customWidth="1"/>
    <col min="15107" max="15107" width="34.1796875" style="1212" customWidth="1"/>
    <col min="15108" max="15112" width="8.7265625" style="1212"/>
    <col min="15113" max="15113" width="12.81640625" style="1212" customWidth="1"/>
    <col min="15114" max="15114" width="8.7265625" style="1212"/>
    <col min="15115" max="15115" width="12" style="1212" customWidth="1"/>
    <col min="15116" max="15116" width="9.7265625" style="1212" customWidth="1"/>
    <col min="15117" max="15117" width="8.7265625" style="1212"/>
    <col min="15118" max="15118" width="11" style="1212" customWidth="1"/>
    <col min="15119" max="15119" width="10.54296875" style="1212" customWidth="1"/>
    <col min="15120" max="15120" width="12.54296875" style="1212" bestFit="1" customWidth="1"/>
    <col min="15121" max="15121" width="8.7265625" style="1212"/>
    <col min="15122" max="15122" width="10.1796875" style="1212" customWidth="1"/>
    <col min="15123" max="15123" width="13.54296875" style="1212" bestFit="1" customWidth="1"/>
    <col min="15124" max="15360" width="8.7265625" style="1212"/>
    <col min="15361" max="15361" width="5.26953125" style="1212" customWidth="1"/>
    <col min="15362" max="15362" width="18.26953125" style="1212" customWidth="1"/>
    <col min="15363" max="15363" width="34.1796875" style="1212" customWidth="1"/>
    <col min="15364" max="15368" width="8.7265625" style="1212"/>
    <col min="15369" max="15369" width="12.81640625" style="1212" customWidth="1"/>
    <col min="15370" max="15370" width="8.7265625" style="1212"/>
    <col min="15371" max="15371" width="12" style="1212" customWidth="1"/>
    <col min="15372" max="15372" width="9.7265625" style="1212" customWidth="1"/>
    <col min="15373" max="15373" width="8.7265625" style="1212"/>
    <col min="15374" max="15374" width="11" style="1212" customWidth="1"/>
    <col min="15375" max="15375" width="10.54296875" style="1212" customWidth="1"/>
    <col min="15376" max="15376" width="12.54296875" style="1212" bestFit="1" customWidth="1"/>
    <col min="15377" max="15377" width="8.7265625" style="1212"/>
    <col min="15378" max="15378" width="10.1796875" style="1212" customWidth="1"/>
    <col min="15379" max="15379" width="13.54296875" style="1212" bestFit="1" customWidth="1"/>
    <col min="15380" max="15616" width="8.7265625" style="1212"/>
    <col min="15617" max="15617" width="5.26953125" style="1212" customWidth="1"/>
    <col min="15618" max="15618" width="18.26953125" style="1212" customWidth="1"/>
    <col min="15619" max="15619" width="34.1796875" style="1212" customWidth="1"/>
    <col min="15620" max="15624" width="8.7265625" style="1212"/>
    <col min="15625" max="15625" width="12.81640625" style="1212" customWidth="1"/>
    <col min="15626" max="15626" width="8.7265625" style="1212"/>
    <col min="15627" max="15627" width="12" style="1212" customWidth="1"/>
    <col min="15628" max="15628" width="9.7265625" style="1212" customWidth="1"/>
    <col min="15629" max="15629" width="8.7265625" style="1212"/>
    <col min="15630" max="15630" width="11" style="1212" customWidth="1"/>
    <col min="15631" max="15631" width="10.54296875" style="1212" customWidth="1"/>
    <col min="15632" max="15632" width="12.54296875" style="1212" bestFit="1" customWidth="1"/>
    <col min="15633" max="15633" width="8.7265625" style="1212"/>
    <col min="15634" max="15634" width="10.1796875" style="1212" customWidth="1"/>
    <col min="15635" max="15635" width="13.54296875" style="1212" bestFit="1" customWidth="1"/>
    <col min="15636" max="15872" width="8.7265625" style="1212"/>
    <col min="15873" max="15873" width="5.26953125" style="1212" customWidth="1"/>
    <col min="15874" max="15874" width="18.26953125" style="1212" customWidth="1"/>
    <col min="15875" max="15875" width="34.1796875" style="1212" customWidth="1"/>
    <col min="15876" max="15880" width="8.7265625" style="1212"/>
    <col min="15881" max="15881" width="12.81640625" style="1212" customWidth="1"/>
    <col min="15882" max="15882" width="8.7265625" style="1212"/>
    <col min="15883" max="15883" width="12" style="1212" customWidth="1"/>
    <col min="15884" max="15884" width="9.7265625" style="1212" customWidth="1"/>
    <col min="15885" max="15885" width="8.7265625" style="1212"/>
    <col min="15886" max="15886" width="11" style="1212" customWidth="1"/>
    <col min="15887" max="15887" width="10.54296875" style="1212" customWidth="1"/>
    <col min="15888" max="15888" width="12.54296875" style="1212" bestFit="1" customWidth="1"/>
    <col min="15889" max="15889" width="8.7265625" style="1212"/>
    <col min="15890" max="15890" width="10.1796875" style="1212" customWidth="1"/>
    <col min="15891" max="15891" width="13.54296875" style="1212" bestFit="1" customWidth="1"/>
    <col min="15892" max="16128" width="8.7265625" style="1212"/>
    <col min="16129" max="16129" width="5.26953125" style="1212" customWidth="1"/>
    <col min="16130" max="16130" width="18.26953125" style="1212" customWidth="1"/>
    <col min="16131" max="16131" width="34.1796875" style="1212" customWidth="1"/>
    <col min="16132" max="16136" width="8.7265625" style="1212"/>
    <col min="16137" max="16137" width="12.81640625" style="1212" customWidth="1"/>
    <col min="16138" max="16138" width="8.7265625" style="1212"/>
    <col min="16139" max="16139" width="12" style="1212" customWidth="1"/>
    <col min="16140" max="16140" width="9.7265625" style="1212" customWidth="1"/>
    <col min="16141" max="16141" width="8.7265625" style="1212"/>
    <col min="16142" max="16142" width="11" style="1212" customWidth="1"/>
    <col min="16143" max="16143" width="10.54296875" style="1212" customWidth="1"/>
    <col min="16144" max="16144" width="12.54296875" style="1212" bestFit="1" customWidth="1"/>
    <col min="16145" max="16145" width="8.7265625" style="1212"/>
    <col min="16146" max="16146" width="10.1796875" style="1212" customWidth="1"/>
    <col min="16147" max="16147" width="13.54296875" style="1212" bestFit="1" customWidth="1"/>
    <col min="16148" max="16384" width="8.7265625" style="1212"/>
  </cols>
  <sheetData>
    <row r="1" spans="1:55" s="1072" customFormat="1" ht="15" customHeight="1">
      <c r="B1" s="1043" t="s">
        <v>5525</v>
      </c>
      <c r="D1" s="1008"/>
      <c r="E1" s="1008"/>
      <c r="Z1" s="1089"/>
      <c r="AA1" s="1090"/>
      <c r="AN1" s="1089" t="s">
        <v>124</v>
      </c>
      <c r="AO1" s="1090" t="s">
        <v>4213</v>
      </c>
      <c r="BB1" s="1089" t="s">
        <v>124</v>
      </c>
      <c r="BC1" s="1090" t="s">
        <v>4213</v>
      </c>
    </row>
    <row r="2" spans="1:55" s="1072" customFormat="1" ht="24" customHeight="1">
      <c r="A2" s="1206"/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089" t="s">
        <v>124</v>
      </c>
      <c r="P2" s="3091" t="s">
        <v>4728</v>
      </c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B2" s="3092"/>
      <c r="AC2" s="1207"/>
      <c r="AD2" s="1207"/>
      <c r="AE2" s="1207"/>
      <c r="AF2" s="1207"/>
      <c r="AG2" s="1207"/>
      <c r="AH2" s="1207"/>
      <c r="AI2" s="1207"/>
      <c r="AJ2" s="1207"/>
      <c r="AK2" s="1207"/>
      <c r="AL2" s="1207"/>
      <c r="AM2" s="1207"/>
      <c r="AN2" s="1207"/>
      <c r="AO2" s="1207"/>
      <c r="AP2" s="3092"/>
      <c r="AQ2" s="1207"/>
      <c r="AR2" s="1207"/>
      <c r="AS2" s="1207"/>
      <c r="AT2" s="1207"/>
      <c r="AU2" s="1207"/>
      <c r="AV2" s="1207"/>
      <c r="AW2" s="1207"/>
      <c r="AX2" s="1207"/>
      <c r="AY2" s="1207"/>
      <c r="AZ2" s="1207"/>
      <c r="BA2" s="1207"/>
      <c r="BB2" s="1207"/>
      <c r="BC2" s="1207"/>
    </row>
    <row r="3" spans="1:55" ht="15.75" customHeight="1">
      <c r="A3" s="3521" t="s">
        <v>4237</v>
      </c>
      <c r="B3" s="3522"/>
      <c r="C3" s="3522"/>
      <c r="D3" s="3522"/>
      <c r="E3" s="3522"/>
      <c r="F3" s="3522"/>
      <c r="G3" s="3522"/>
      <c r="H3" s="3522"/>
      <c r="I3" s="3522"/>
      <c r="J3" s="3522"/>
      <c r="K3" s="3522"/>
      <c r="L3" s="3522"/>
      <c r="M3" s="3522"/>
      <c r="N3" s="3522"/>
      <c r="O3" s="3522"/>
      <c r="P3" s="3522"/>
      <c r="Q3" s="3522"/>
      <c r="R3" s="3522"/>
      <c r="S3" s="3522"/>
      <c r="T3" s="3523"/>
    </row>
    <row r="4" spans="1:55" s="1213" customFormat="1" ht="12.75" customHeight="1">
      <c r="A4" s="3524" t="s">
        <v>4238</v>
      </c>
      <c r="B4" s="3524" t="s">
        <v>4239</v>
      </c>
      <c r="C4" s="3524" t="s">
        <v>878</v>
      </c>
      <c r="D4" s="3524" t="s">
        <v>344</v>
      </c>
      <c r="E4" s="3027"/>
      <c r="F4" s="3524" t="s">
        <v>4240</v>
      </c>
      <c r="G4" s="3524" t="s">
        <v>4241</v>
      </c>
      <c r="H4" s="3524" t="s">
        <v>4242</v>
      </c>
      <c r="I4" s="3524" t="s">
        <v>4243</v>
      </c>
      <c r="J4" s="3525" t="s">
        <v>4244</v>
      </c>
      <c r="K4" s="3525"/>
      <c r="L4" s="3525"/>
      <c r="M4" s="3525"/>
      <c r="N4" s="3525"/>
      <c r="O4" s="3525"/>
      <c r="P4" s="3525"/>
      <c r="Q4" s="3525"/>
      <c r="R4" s="3520" t="s">
        <v>4245</v>
      </c>
      <c r="S4" s="3520" t="s">
        <v>4246</v>
      </c>
      <c r="T4" s="3520" t="s">
        <v>4247</v>
      </c>
    </row>
    <row r="5" spans="1:55" s="1213" customFormat="1" ht="65.25" customHeight="1">
      <c r="A5" s="3524"/>
      <c r="B5" s="3524"/>
      <c r="C5" s="3524"/>
      <c r="D5" s="3524"/>
      <c r="E5" s="3027"/>
      <c r="F5" s="3524"/>
      <c r="G5" s="3524"/>
      <c r="H5" s="3524"/>
      <c r="I5" s="3524"/>
      <c r="J5" s="1214">
        <v>44652</v>
      </c>
      <c r="K5" s="1214">
        <v>44682</v>
      </c>
      <c r="L5" s="1214">
        <v>44713</v>
      </c>
      <c r="M5" s="1214">
        <v>44743</v>
      </c>
      <c r="N5" s="1214">
        <v>44774</v>
      </c>
      <c r="O5" s="1214">
        <v>44805</v>
      </c>
      <c r="P5" s="1214">
        <v>44835</v>
      </c>
      <c r="Q5" s="1215" t="s">
        <v>1101</v>
      </c>
      <c r="R5" s="3520"/>
      <c r="S5" s="3520"/>
      <c r="T5" s="3520"/>
    </row>
    <row r="6" spans="1:55" s="1220" customFormat="1">
      <c r="A6" s="1216" t="s">
        <v>1102</v>
      </c>
      <c r="B6" s="1217" t="s">
        <v>4248</v>
      </c>
      <c r="C6" s="1217"/>
      <c r="D6" s="1217"/>
      <c r="E6" s="1217"/>
      <c r="F6" s="1217"/>
      <c r="G6" s="1217"/>
      <c r="H6" s="1217"/>
      <c r="I6" s="1217"/>
      <c r="J6" s="1218"/>
      <c r="K6" s="1218"/>
      <c r="L6" s="1218"/>
      <c r="M6" s="1218"/>
      <c r="N6" s="1218"/>
      <c r="O6" s="1218"/>
      <c r="P6" s="1218"/>
      <c r="Q6" s="1218"/>
      <c r="R6" s="1219"/>
      <c r="S6" s="1219"/>
      <c r="T6" s="1218"/>
    </row>
    <row r="7" spans="1:55">
      <c r="A7" s="1670">
        <v>1</v>
      </c>
      <c r="B7" s="1671" t="s">
        <v>7172</v>
      </c>
      <c r="C7" s="1671" t="s">
        <v>288</v>
      </c>
      <c r="D7" s="1671" t="s">
        <v>7173</v>
      </c>
      <c r="E7" s="1674">
        <v>341000000001</v>
      </c>
      <c r="F7" s="1671" t="s">
        <v>7174</v>
      </c>
      <c r="G7" s="1671">
        <v>16000</v>
      </c>
      <c r="H7" s="1671">
        <f t="shared" ref="H7:H15" si="0">I7-G7</f>
        <v>0</v>
      </c>
      <c r="I7" s="1671">
        <v>16000</v>
      </c>
      <c r="J7" s="595">
        <v>3986400</v>
      </c>
      <c r="K7" s="595">
        <v>4147680</v>
      </c>
      <c r="L7" s="595">
        <v>3912000</v>
      </c>
      <c r="M7" s="595">
        <v>3956160</v>
      </c>
      <c r="N7" s="2451">
        <v>3972000</v>
      </c>
      <c r="O7" s="1671">
        <v>4144320</v>
      </c>
      <c r="P7" s="595">
        <v>3932640</v>
      </c>
      <c r="Q7" s="1671">
        <f>J7+K7+L7+M7+N7+O7+P7</f>
        <v>28051200</v>
      </c>
      <c r="R7" s="1672">
        <f>Q7/7*11</f>
        <v>44080457.142857142</v>
      </c>
      <c r="S7" s="1673">
        <f t="shared" ref="S7:S24" si="1">R7/(I7*0.9*30*24*12)</f>
        <v>0.35429894179894178</v>
      </c>
      <c r="T7" s="1674">
        <f>R7+2000000</f>
        <v>46080457.142857142</v>
      </c>
      <c r="U7" s="1222"/>
      <c r="V7" s="1222"/>
      <c r="W7" s="1222"/>
      <c r="X7" s="1222"/>
      <c r="Y7" s="1222"/>
      <c r="Z7" s="1222"/>
    </row>
    <row r="8" spans="1:55">
      <c r="A8" s="1670">
        <v>2</v>
      </c>
      <c r="B8" s="1671" t="s">
        <v>7175</v>
      </c>
      <c r="C8" s="1671" t="s">
        <v>625</v>
      </c>
      <c r="D8" s="1671" t="s">
        <v>1377</v>
      </c>
      <c r="E8" s="1674">
        <v>211000000007</v>
      </c>
      <c r="F8" s="1671" t="s">
        <v>7174</v>
      </c>
      <c r="G8" s="1671">
        <v>11000</v>
      </c>
      <c r="H8" s="1671">
        <f t="shared" si="0"/>
        <v>0</v>
      </c>
      <c r="I8" s="1671">
        <v>11000</v>
      </c>
      <c r="J8" s="595">
        <v>5438700</v>
      </c>
      <c r="K8" s="595">
        <v>5394780</v>
      </c>
      <c r="L8" s="595">
        <v>5105340</v>
      </c>
      <c r="M8" s="595">
        <v>5302080</v>
      </c>
      <c r="N8" s="2451">
        <v>5592420</v>
      </c>
      <c r="O8" s="1671">
        <v>5054220</v>
      </c>
      <c r="P8" s="595">
        <v>5111100</v>
      </c>
      <c r="Q8" s="1671">
        <f t="shared" ref="Q8:Q24" si="2">J8+K8+L8+M8+N8+O8+P8</f>
        <v>36998640</v>
      </c>
      <c r="R8" s="1672">
        <f t="shared" ref="R8:R24" si="3">Q8/7*11</f>
        <v>58140720</v>
      </c>
      <c r="S8" s="1673">
        <f t="shared" si="1"/>
        <v>0.67972222222222223</v>
      </c>
      <c r="T8" s="1674">
        <f>R8+200000</f>
        <v>58340720</v>
      </c>
      <c r="U8" s="1222"/>
      <c r="V8" s="1222"/>
      <c r="W8" s="1222"/>
      <c r="X8" s="1222"/>
      <c r="Y8" s="1222"/>
      <c r="Z8" s="1222"/>
    </row>
    <row r="9" spans="1:55">
      <c r="A9" s="1670">
        <v>3</v>
      </c>
      <c r="B9" s="1671" t="s">
        <v>7175</v>
      </c>
      <c r="C9" s="1671" t="s">
        <v>7176</v>
      </c>
      <c r="D9" s="1671" t="s">
        <v>1377</v>
      </c>
      <c r="E9" s="1674">
        <v>211000000014</v>
      </c>
      <c r="F9" s="1671" t="s">
        <v>7177</v>
      </c>
      <c r="G9" s="1671">
        <v>12000</v>
      </c>
      <c r="H9" s="1671">
        <f t="shared" si="0"/>
        <v>0</v>
      </c>
      <c r="I9" s="1671">
        <v>12000</v>
      </c>
      <c r="J9" s="595">
        <v>4029200</v>
      </c>
      <c r="K9" s="595">
        <v>9717040</v>
      </c>
      <c r="L9" s="595">
        <v>14558280</v>
      </c>
      <c r="M9" s="595">
        <v>15429340</v>
      </c>
      <c r="N9" s="2451">
        <v>14803520</v>
      </c>
      <c r="O9" s="1671">
        <v>12117880</v>
      </c>
      <c r="P9" s="595">
        <v>14077717</v>
      </c>
      <c r="Q9" s="1671">
        <f t="shared" si="2"/>
        <v>84732977</v>
      </c>
      <c r="R9" s="1672">
        <f>Q9/7*10+5000000-560000</f>
        <v>125487110</v>
      </c>
      <c r="S9" s="1673">
        <f t="shared" si="1"/>
        <v>1.3448121356310014</v>
      </c>
      <c r="T9" s="1674">
        <f>R9+R9*7%</f>
        <v>134271207.69999999</v>
      </c>
      <c r="U9" s="1222"/>
      <c r="V9" s="1222"/>
      <c r="W9" s="1222"/>
      <c r="X9" s="1222"/>
      <c r="Y9" s="1222"/>
      <c r="Z9" s="1222"/>
    </row>
    <row r="10" spans="1:55">
      <c r="A10" s="1670">
        <v>4</v>
      </c>
      <c r="B10" s="1671" t="s">
        <v>7175</v>
      </c>
      <c r="C10" s="1671" t="s">
        <v>610</v>
      </c>
      <c r="D10" s="1671" t="s">
        <v>7173</v>
      </c>
      <c r="E10" s="1674">
        <v>211000000002</v>
      </c>
      <c r="F10" s="1671" t="s">
        <v>7174</v>
      </c>
      <c r="G10" s="1671">
        <v>13000</v>
      </c>
      <c r="H10" s="1671">
        <f t="shared" si="0"/>
        <v>0</v>
      </c>
      <c r="I10" s="1671">
        <v>13000</v>
      </c>
      <c r="J10" s="595">
        <v>3267480</v>
      </c>
      <c r="K10" s="595">
        <v>3277680</v>
      </c>
      <c r="L10" s="595">
        <v>3284280</v>
      </c>
      <c r="M10" s="595">
        <v>3338520</v>
      </c>
      <c r="N10" s="2451">
        <v>3459480</v>
      </c>
      <c r="O10" s="1671">
        <v>3536280</v>
      </c>
      <c r="P10" s="595">
        <v>3504720</v>
      </c>
      <c r="Q10" s="1671">
        <f t="shared" si="2"/>
        <v>23668440</v>
      </c>
      <c r="R10" s="1672">
        <f t="shared" si="3"/>
        <v>37193262.857142858</v>
      </c>
      <c r="S10" s="1673">
        <f t="shared" si="1"/>
        <v>0.36792955501288838</v>
      </c>
      <c r="T10" s="1674">
        <f>R10+2000000</f>
        <v>39193262.857142858</v>
      </c>
      <c r="U10" s="1222"/>
      <c r="V10" s="1222"/>
      <c r="W10" s="1222"/>
      <c r="X10" s="1222"/>
      <c r="Y10" s="1222"/>
      <c r="Z10" s="1222"/>
    </row>
    <row r="11" spans="1:55">
      <c r="A11" s="1670">
        <v>5</v>
      </c>
      <c r="B11" s="1671" t="s">
        <v>7175</v>
      </c>
      <c r="C11" s="1671" t="s">
        <v>4764</v>
      </c>
      <c r="D11" s="1671" t="s">
        <v>7178</v>
      </c>
      <c r="E11" s="1674">
        <v>211000000010</v>
      </c>
      <c r="F11" s="1671" t="s">
        <v>7174</v>
      </c>
      <c r="G11" s="1671">
        <v>28888</v>
      </c>
      <c r="H11" s="1671">
        <f t="shared" si="0"/>
        <v>0</v>
      </c>
      <c r="I11" s="1671">
        <v>28888</v>
      </c>
      <c r="J11" s="595">
        <v>13693000</v>
      </c>
      <c r="K11" s="595">
        <v>13369000</v>
      </c>
      <c r="L11" s="595">
        <v>10964000</v>
      </c>
      <c r="M11" s="595">
        <v>9753014</v>
      </c>
      <c r="N11" s="2451">
        <v>11466921</v>
      </c>
      <c r="O11" s="1671">
        <v>10198221</v>
      </c>
      <c r="P11" s="595">
        <v>10214050</v>
      </c>
      <c r="Q11" s="1671">
        <f t="shared" si="2"/>
        <v>79658206</v>
      </c>
      <c r="R11" s="1672">
        <f t="shared" si="3"/>
        <v>125177180.85714287</v>
      </c>
      <c r="S11" s="1673">
        <f t="shared" si="1"/>
        <v>0.5572517476015949</v>
      </c>
      <c r="T11" s="1674">
        <f>R11+R11*7.5%</f>
        <v>134565469.42142859</v>
      </c>
      <c r="U11" s="1222"/>
      <c r="V11" s="1222"/>
      <c r="W11" s="1222"/>
      <c r="X11" s="1222"/>
      <c r="Y11" s="1222"/>
      <c r="Z11" s="1222"/>
    </row>
    <row r="12" spans="1:55">
      <c r="A12" s="1670">
        <v>6</v>
      </c>
      <c r="B12" s="1671" t="s">
        <v>7179</v>
      </c>
      <c r="C12" s="1671" t="s">
        <v>292</v>
      </c>
      <c r="D12" s="1671" t="s">
        <v>7173</v>
      </c>
      <c r="E12" s="1674">
        <v>711000000002</v>
      </c>
      <c r="F12" s="1671" t="s">
        <v>7174</v>
      </c>
      <c r="G12" s="1671">
        <v>6000</v>
      </c>
      <c r="H12" s="1671">
        <f t="shared" si="0"/>
        <v>0</v>
      </c>
      <c r="I12" s="1671">
        <v>6000</v>
      </c>
      <c r="J12" s="595">
        <v>901200</v>
      </c>
      <c r="K12" s="595">
        <v>573360</v>
      </c>
      <c r="L12" s="595">
        <v>643920</v>
      </c>
      <c r="M12" s="595">
        <v>169680</v>
      </c>
      <c r="N12" s="2451">
        <v>1181520</v>
      </c>
      <c r="O12" s="1671">
        <v>1158600</v>
      </c>
      <c r="P12" s="595">
        <v>1175880</v>
      </c>
      <c r="Q12" s="1671">
        <f t="shared" si="2"/>
        <v>5804160</v>
      </c>
      <c r="R12" s="1672">
        <f t="shared" si="3"/>
        <v>9120822.8571428582</v>
      </c>
      <c r="S12" s="1673">
        <f t="shared" si="1"/>
        <v>0.19549088771310996</v>
      </c>
      <c r="T12" s="1674">
        <f>R12+1000000</f>
        <v>10120822.857142858</v>
      </c>
      <c r="U12" s="1222"/>
      <c r="V12" s="1222"/>
      <c r="W12" s="1222"/>
      <c r="X12" s="1222"/>
      <c r="Y12" s="1222"/>
      <c r="Z12" s="1222"/>
    </row>
    <row r="13" spans="1:55">
      <c r="A13" s="1670">
        <v>7</v>
      </c>
      <c r="B13" s="1671" t="s">
        <v>7179</v>
      </c>
      <c r="C13" s="1671" t="s">
        <v>293</v>
      </c>
      <c r="D13" s="1671" t="s">
        <v>7173</v>
      </c>
      <c r="E13" s="1674">
        <v>711000000003</v>
      </c>
      <c r="F13" s="1671" t="s">
        <v>7174</v>
      </c>
      <c r="G13" s="1671">
        <v>6000</v>
      </c>
      <c r="H13" s="1671">
        <f t="shared" si="0"/>
        <v>0</v>
      </c>
      <c r="I13" s="1671">
        <v>6000</v>
      </c>
      <c r="J13" s="595">
        <v>894240</v>
      </c>
      <c r="K13" s="595">
        <v>705120</v>
      </c>
      <c r="L13" s="595">
        <v>504000</v>
      </c>
      <c r="M13" s="595">
        <v>366960</v>
      </c>
      <c r="N13" s="2451">
        <v>624720</v>
      </c>
      <c r="O13" s="1671">
        <v>672000</v>
      </c>
      <c r="P13" s="595">
        <v>763440</v>
      </c>
      <c r="Q13" s="1671">
        <f t="shared" si="2"/>
        <v>4530480</v>
      </c>
      <c r="R13" s="1672">
        <f t="shared" si="3"/>
        <v>7119325.7142857136</v>
      </c>
      <c r="S13" s="1673">
        <f t="shared" si="1"/>
        <v>0.1525918577307466</v>
      </c>
      <c r="T13" s="1674">
        <f>R13+766000</f>
        <v>7885325.7142857136</v>
      </c>
      <c r="U13" s="1222"/>
      <c r="V13" s="1222"/>
      <c r="W13" s="1222"/>
      <c r="X13" s="1222"/>
      <c r="Y13" s="1222"/>
      <c r="Z13" s="1222"/>
    </row>
    <row r="14" spans="1:55">
      <c r="A14" s="1670">
        <v>8</v>
      </c>
      <c r="B14" s="1671" t="s">
        <v>7179</v>
      </c>
      <c r="C14" s="1671" t="s">
        <v>290</v>
      </c>
      <c r="D14" s="1671" t="s">
        <v>7173</v>
      </c>
      <c r="E14" s="1674">
        <v>711000000001</v>
      </c>
      <c r="F14" s="1671" t="s">
        <v>7174</v>
      </c>
      <c r="G14" s="1671">
        <v>11000</v>
      </c>
      <c r="H14" s="1671">
        <f t="shared" si="0"/>
        <v>0</v>
      </c>
      <c r="I14" s="1671">
        <v>11000</v>
      </c>
      <c r="J14" s="595">
        <v>2150880</v>
      </c>
      <c r="K14" s="595">
        <v>1779120</v>
      </c>
      <c r="L14" s="595">
        <v>1254960</v>
      </c>
      <c r="M14" s="595">
        <v>971760</v>
      </c>
      <c r="N14" s="2451">
        <v>1502400</v>
      </c>
      <c r="O14" s="1671">
        <v>1653360</v>
      </c>
      <c r="P14" s="595">
        <v>1981680</v>
      </c>
      <c r="Q14" s="1671">
        <f t="shared" si="2"/>
        <v>11294160</v>
      </c>
      <c r="R14" s="1672">
        <f t="shared" si="3"/>
        <v>17747965.714285716</v>
      </c>
      <c r="S14" s="1673">
        <f t="shared" si="1"/>
        <v>0.20749118165784836</v>
      </c>
      <c r="T14" s="1674">
        <f>R14+1000000+10000</f>
        <v>18757965.714285716</v>
      </c>
      <c r="U14" s="1222"/>
      <c r="V14" s="1222"/>
      <c r="W14" s="1222"/>
      <c r="X14" s="1222"/>
      <c r="Y14" s="1222"/>
      <c r="Z14" s="1222"/>
    </row>
    <row r="15" spans="1:55">
      <c r="A15" s="1670">
        <v>9</v>
      </c>
      <c r="B15" s="1671" t="s">
        <v>7180</v>
      </c>
      <c r="C15" s="1671" t="s">
        <v>295</v>
      </c>
      <c r="D15" s="1671" t="s">
        <v>7173</v>
      </c>
      <c r="E15" s="1674">
        <v>714000000002</v>
      </c>
      <c r="F15" s="1671" t="s">
        <v>7174</v>
      </c>
      <c r="G15" s="1671">
        <v>5200</v>
      </c>
      <c r="H15" s="1671">
        <f t="shared" si="0"/>
        <v>0</v>
      </c>
      <c r="I15" s="1671">
        <v>5200</v>
      </c>
      <c r="J15" s="595">
        <v>1113600</v>
      </c>
      <c r="K15" s="595">
        <v>956640</v>
      </c>
      <c r="L15" s="595">
        <v>703920</v>
      </c>
      <c r="M15" s="595">
        <v>542640</v>
      </c>
      <c r="N15" s="2451">
        <v>784800</v>
      </c>
      <c r="O15" s="1671">
        <v>858720</v>
      </c>
      <c r="P15" s="595">
        <v>1037520</v>
      </c>
      <c r="Q15" s="1671">
        <f t="shared" si="2"/>
        <v>5997840</v>
      </c>
      <c r="R15" s="1672">
        <f t="shared" si="3"/>
        <v>9425177.1428571418</v>
      </c>
      <c r="S15" s="1673">
        <f t="shared" si="1"/>
        <v>0.23309337267670599</v>
      </c>
      <c r="T15" s="1674">
        <f t="shared" ref="T15:T21" si="4">R15</f>
        <v>9425177.1428571418</v>
      </c>
      <c r="U15" s="1222"/>
      <c r="V15" s="1222"/>
      <c r="W15" s="1222"/>
      <c r="X15" s="1222"/>
      <c r="Y15" s="1222"/>
      <c r="Z15" s="1222"/>
    </row>
    <row r="16" spans="1:55">
      <c r="A16" s="1670">
        <v>10</v>
      </c>
      <c r="B16" s="1671" t="s">
        <v>7180</v>
      </c>
      <c r="C16" s="1671" t="s">
        <v>296</v>
      </c>
      <c r="D16" s="1671" t="s">
        <v>7173</v>
      </c>
      <c r="E16" s="1674">
        <v>714000000003</v>
      </c>
      <c r="F16" s="1671" t="s">
        <v>7174</v>
      </c>
      <c r="G16" s="1671">
        <v>5500</v>
      </c>
      <c r="H16" s="1671">
        <f>I16-G16</f>
        <v>0</v>
      </c>
      <c r="I16" s="1671">
        <v>5500</v>
      </c>
      <c r="J16" s="595">
        <v>874320</v>
      </c>
      <c r="K16" s="595">
        <v>744480</v>
      </c>
      <c r="L16" s="595">
        <v>541200</v>
      </c>
      <c r="M16" s="595">
        <v>410400</v>
      </c>
      <c r="N16" s="2451">
        <v>609120</v>
      </c>
      <c r="O16" s="1671">
        <v>668160</v>
      </c>
      <c r="P16" s="595">
        <v>814320</v>
      </c>
      <c r="Q16" s="1671">
        <f t="shared" si="2"/>
        <v>4662000</v>
      </c>
      <c r="R16" s="1672">
        <f t="shared" si="3"/>
        <v>7326000</v>
      </c>
      <c r="S16" s="1673">
        <f t="shared" si="1"/>
        <v>0.17129629629629631</v>
      </c>
      <c r="T16" s="1674">
        <f>R16+1000000</f>
        <v>8326000</v>
      </c>
      <c r="U16" s="1222"/>
      <c r="V16" s="1222"/>
      <c r="W16" s="1222"/>
      <c r="X16" s="1222"/>
      <c r="Y16" s="1222"/>
      <c r="Z16" s="1222"/>
    </row>
    <row r="17" spans="1:26">
      <c r="A17" s="1670">
        <v>11</v>
      </c>
      <c r="B17" s="1671" t="s">
        <v>7180</v>
      </c>
      <c r="C17" s="1671" t="s">
        <v>294</v>
      </c>
      <c r="D17" s="1671" t="s">
        <v>7173</v>
      </c>
      <c r="E17" s="1674">
        <v>714000000001</v>
      </c>
      <c r="F17" s="1671" t="s">
        <v>7174</v>
      </c>
      <c r="G17" s="1671">
        <v>10500</v>
      </c>
      <c r="H17" s="1671">
        <f t="shared" ref="H17:H21" si="5">I17-G17</f>
        <v>0</v>
      </c>
      <c r="I17" s="1671">
        <v>10500</v>
      </c>
      <c r="J17" s="595">
        <v>2027280</v>
      </c>
      <c r="K17" s="595">
        <v>1734289.6551999999</v>
      </c>
      <c r="L17" s="595">
        <v>1290000</v>
      </c>
      <c r="M17" s="595">
        <v>1031520</v>
      </c>
      <c r="N17" s="2451">
        <v>1584240</v>
      </c>
      <c r="O17" s="1671">
        <v>1726800</v>
      </c>
      <c r="P17" s="595">
        <v>2053680</v>
      </c>
      <c r="Q17" s="1674">
        <f t="shared" si="2"/>
        <v>11447809.655200001</v>
      </c>
      <c r="R17" s="1672">
        <f t="shared" si="3"/>
        <v>17989415.172457144</v>
      </c>
      <c r="S17" s="1673">
        <f t="shared" si="1"/>
        <v>0.22032891402676297</v>
      </c>
      <c r="T17" s="1674">
        <f t="shared" si="4"/>
        <v>17989415.172457144</v>
      </c>
      <c r="U17" s="1222"/>
      <c r="V17" s="1222"/>
      <c r="W17" s="1222"/>
      <c r="X17" s="1222"/>
      <c r="Y17" s="1222"/>
      <c r="Z17" s="1222"/>
    </row>
    <row r="18" spans="1:26">
      <c r="A18" s="1670">
        <v>12</v>
      </c>
      <c r="B18" s="1671" t="s">
        <v>7180</v>
      </c>
      <c r="C18" s="1671" t="s">
        <v>297</v>
      </c>
      <c r="D18" s="1671" t="s">
        <v>1377</v>
      </c>
      <c r="E18" s="1674">
        <v>714000000004</v>
      </c>
      <c r="F18" s="1671" t="s">
        <v>7174</v>
      </c>
      <c r="G18" s="1671">
        <v>15445</v>
      </c>
      <c r="H18" s="1671">
        <f t="shared" si="5"/>
        <v>0</v>
      </c>
      <c r="I18" s="1671">
        <v>15445</v>
      </c>
      <c r="J18" s="595">
        <v>3215850</v>
      </c>
      <c r="K18" s="595">
        <v>3394250</v>
      </c>
      <c r="L18" s="595">
        <v>3809500</v>
      </c>
      <c r="M18" s="595">
        <v>3702000</v>
      </c>
      <c r="N18" s="2451">
        <v>3489300</v>
      </c>
      <c r="O18" s="1671">
        <v>3783000</v>
      </c>
      <c r="P18" s="595">
        <v>3232750</v>
      </c>
      <c r="Q18" s="1671">
        <f t="shared" si="2"/>
        <v>24626650</v>
      </c>
      <c r="R18" s="1672">
        <f t="shared" si="3"/>
        <v>38699021.428571433</v>
      </c>
      <c r="S18" s="1673">
        <f t="shared" si="1"/>
        <v>0.32222246725546971</v>
      </c>
      <c r="T18" s="1674">
        <f>R18+1000000</f>
        <v>39699021.428571433</v>
      </c>
      <c r="U18" s="1222"/>
      <c r="V18" s="1222"/>
      <c r="W18" s="1222"/>
      <c r="X18" s="1222"/>
      <c r="Y18" s="1222"/>
      <c r="Z18" s="1222"/>
    </row>
    <row r="19" spans="1:26">
      <c r="A19" s="1670">
        <v>13</v>
      </c>
      <c r="B19" s="1671" t="s">
        <v>7181</v>
      </c>
      <c r="C19" s="1671" t="s">
        <v>4249</v>
      </c>
      <c r="D19" s="1671" t="s">
        <v>1377</v>
      </c>
      <c r="E19" s="1674">
        <v>311000000019</v>
      </c>
      <c r="F19" s="1671" t="s">
        <v>7174</v>
      </c>
      <c r="G19" s="1671">
        <v>10000</v>
      </c>
      <c r="H19" s="1671">
        <f t="shared" si="5"/>
        <v>0</v>
      </c>
      <c r="I19" s="1671">
        <v>10000</v>
      </c>
      <c r="J19" s="595">
        <v>9750</v>
      </c>
      <c r="K19" s="595">
        <v>782550</v>
      </c>
      <c r="L19" s="595">
        <v>1733550</v>
      </c>
      <c r="M19" s="595">
        <v>9600</v>
      </c>
      <c r="N19" s="2451">
        <v>11600</v>
      </c>
      <c r="O19" s="1671">
        <v>22750</v>
      </c>
      <c r="P19" s="595">
        <v>9300</v>
      </c>
      <c r="Q19" s="1671">
        <f t="shared" si="2"/>
        <v>2579100</v>
      </c>
      <c r="R19" s="1672">
        <f t="shared" si="3"/>
        <v>4052871.4285714286</v>
      </c>
      <c r="S19" s="1673">
        <f>R19/(I19*0.9*30*24*12)</f>
        <v>5.2120260141093472E-2</v>
      </c>
      <c r="T19" s="1674">
        <f t="shared" si="4"/>
        <v>4052871.4285714286</v>
      </c>
      <c r="U19" s="1222"/>
      <c r="V19" s="1222"/>
      <c r="W19" s="1222"/>
      <c r="X19" s="1222"/>
      <c r="Y19" s="1222"/>
      <c r="Z19" s="1222"/>
    </row>
    <row r="20" spans="1:26">
      <c r="A20" s="1670">
        <v>14</v>
      </c>
      <c r="B20" s="1671" t="s">
        <v>7181</v>
      </c>
      <c r="C20" s="1671" t="s">
        <v>7182</v>
      </c>
      <c r="D20" s="1671" t="s">
        <v>7173</v>
      </c>
      <c r="E20" s="1674">
        <v>311000000075</v>
      </c>
      <c r="F20" s="1671" t="s">
        <v>7174</v>
      </c>
      <c r="G20" s="1671">
        <v>13000</v>
      </c>
      <c r="H20" s="1671">
        <f t="shared" si="5"/>
        <v>2000</v>
      </c>
      <c r="I20" s="1671">
        <v>15000</v>
      </c>
      <c r="J20" s="595">
        <v>1066000</v>
      </c>
      <c r="K20" s="595">
        <v>1181000</v>
      </c>
      <c r="L20" s="595">
        <v>1055001</v>
      </c>
      <c r="M20" s="595">
        <v>1218000</v>
      </c>
      <c r="N20" s="2451">
        <v>1078000</v>
      </c>
      <c r="O20" s="1671">
        <v>1149000</v>
      </c>
      <c r="P20" s="595">
        <v>1018001</v>
      </c>
      <c r="Q20" s="1671">
        <f t="shared" si="2"/>
        <v>7765002</v>
      </c>
      <c r="R20" s="1672">
        <f t="shared" si="3"/>
        <v>12202146</v>
      </c>
      <c r="S20" s="1673">
        <f>R20/(I20*0.9*30*24*3)</f>
        <v>0.41845493827160496</v>
      </c>
      <c r="T20" s="1674">
        <f>R20+1000000</f>
        <v>13202146</v>
      </c>
      <c r="U20" s="1222"/>
      <c r="V20" s="1222"/>
      <c r="W20" s="1222"/>
      <c r="X20" s="1222"/>
      <c r="Y20" s="1222"/>
      <c r="Z20" s="1222"/>
    </row>
    <row r="21" spans="1:26" s="1220" customFormat="1">
      <c r="A21" s="1670">
        <v>15</v>
      </c>
      <c r="B21" s="1671" t="s">
        <v>7181</v>
      </c>
      <c r="C21" s="1671" t="s">
        <v>7183</v>
      </c>
      <c r="D21" s="1671" t="s">
        <v>7173</v>
      </c>
      <c r="E21" s="1674">
        <v>311000000064</v>
      </c>
      <c r="F21" s="1671" t="s">
        <v>7174</v>
      </c>
      <c r="G21" s="1671">
        <v>18000</v>
      </c>
      <c r="H21" s="1671">
        <f t="shared" si="5"/>
        <v>4000</v>
      </c>
      <c r="I21" s="1671">
        <v>22000</v>
      </c>
      <c r="J21" s="595">
        <v>4275800</v>
      </c>
      <c r="K21" s="595">
        <v>4518800</v>
      </c>
      <c r="L21" s="595">
        <v>4408600</v>
      </c>
      <c r="M21" s="595">
        <v>4009200</v>
      </c>
      <c r="N21" s="2451">
        <v>4438200</v>
      </c>
      <c r="O21" s="1671">
        <v>4348400</v>
      </c>
      <c r="P21" s="595">
        <v>4436400</v>
      </c>
      <c r="Q21" s="1671">
        <f t="shared" si="2"/>
        <v>30435400</v>
      </c>
      <c r="R21" s="1672">
        <f t="shared" si="3"/>
        <v>47827057.142857142</v>
      </c>
      <c r="S21" s="1673">
        <f t="shared" si="1"/>
        <v>0.2795726778365667</v>
      </c>
      <c r="T21" s="1674">
        <f t="shared" si="4"/>
        <v>47827057.142857142</v>
      </c>
    </row>
    <row r="22" spans="1:26" s="1220" customFormat="1">
      <c r="A22" s="1670">
        <v>16</v>
      </c>
      <c r="B22" s="1223" t="s">
        <v>7181</v>
      </c>
      <c r="C22" s="1223" t="s">
        <v>4765</v>
      </c>
      <c r="D22" s="1223" t="s">
        <v>7173</v>
      </c>
      <c r="E22" s="3093">
        <v>311000000057</v>
      </c>
      <c r="F22" s="1671" t="s">
        <v>7174</v>
      </c>
      <c r="G22" s="1671">
        <v>17000</v>
      </c>
      <c r="H22" s="1671">
        <f>I22-G22</f>
        <v>0</v>
      </c>
      <c r="I22" s="1671">
        <v>17000</v>
      </c>
      <c r="J22" s="595">
        <v>3622180</v>
      </c>
      <c r="K22" s="595">
        <v>3772000</v>
      </c>
      <c r="L22" s="595">
        <v>3527600</v>
      </c>
      <c r="M22" s="595">
        <v>3592400</v>
      </c>
      <c r="N22" s="2451">
        <v>3798400</v>
      </c>
      <c r="O22" s="1671">
        <v>3474000</v>
      </c>
      <c r="P22" s="595">
        <v>3551800</v>
      </c>
      <c r="Q22" s="1671">
        <f t="shared" si="2"/>
        <v>25338380</v>
      </c>
      <c r="R22" s="1672">
        <f t="shared" si="3"/>
        <v>39817454.285714284</v>
      </c>
      <c r="S22" s="1673">
        <f t="shared" si="1"/>
        <v>0.30120925839471591</v>
      </c>
      <c r="T22" s="1674">
        <f>R22+1000000</f>
        <v>40817454.285714284</v>
      </c>
    </row>
    <row r="23" spans="1:26" s="1220" customFormat="1">
      <c r="A23" s="1670">
        <v>17</v>
      </c>
      <c r="B23" s="1223" t="s">
        <v>7181</v>
      </c>
      <c r="C23" s="1223" t="s">
        <v>4250</v>
      </c>
      <c r="D23" s="1223" t="s">
        <v>7184</v>
      </c>
      <c r="E23" s="3093">
        <v>311000000046</v>
      </c>
      <c r="F23" s="1671" t="s">
        <v>7177</v>
      </c>
      <c r="G23" s="1671">
        <v>33333</v>
      </c>
      <c r="H23" s="1671"/>
      <c r="I23" s="1671">
        <v>33333</v>
      </c>
      <c r="J23" s="595">
        <v>167400</v>
      </c>
      <c r="K23" s="595">
        <v>97400</v>
      </c>
      <c r="L23" s="595">
        <v>1075900</v>
      </c>
      <c r="M23" s="595">
        <v>2346800</v>
      </c>
      <c r="N23" s="2451">
        <v>1240000</v>
      </c>
      <c r="O23" s="1671">
        <v>153300</v>
      </c>
      <c r="P23" s="595">
        <v>139800</v>
      </c>
      <c r="Q23" s="1671">
        <f t="shared" si="2"/>
        <v>5220600</v>
      </c>
      <c r="R23" s="1672">
        <f t="shared" si="3"/>
        <v>8203800</v>
      </c>
      <c r="S23" s="1673">
        <v>0</v>
      </c>
      <c r="T23" s="1674">
        <f>100000*12</f>
        <v>1200000</v>
      </c>
    </row>
    <row r="24" spans="1:26">
      <c r="A24" s="1670">
        <v>18</v>
      </c>
      <c r="B24" s="1671" t="s">
        <v>7180</v>
      </c>
      <c r="C24" s="1671" t="s">
        <v>7183</v>
      </c>
      <c r="D24" s="1671" t="s">
        <v>7173</v>
      </c>
      <c r="E24" s="3093">
        <v>714000000051</v>
      </c>
      <c r="F24" s="1671" t="s">
        <v>7177</v>
      </c>
      <c r="G24" s="1671">
        <v>10000</v>
      </c>
      <c r="H24" s="1217"/>
      <c r="I24" s="1671">
        <v>10000</v>
      </c>
      <c r="J24" s="595">
        <v>854000</v>
      </c>
      <c r="K24" s="595">
        <v>931000</v>
      </c>
      <c r="L24" s="595">
        <v>810000</v>
      </c>
      <c r="M24" s="595">
        <v>837000</v>
      </c>
      <c r="N24" s="2451">
        <v>865000</v>
      </c>
      <c r="O24" s="1671">
        <v>976000</v>
      </c>
      <c r="P24" s="595">
        <v>913999</v>
      </c>
      <c r="Q24" s="1671">
        <f t="shared" si="2"/>
        <v>6186999</v>
      </c>
      <c r="R24" s="1672">
        <f t="shared" si="3"/>
        <v>9722427</v>
      </c>
      <c r="S24" s="1673">
        <f t="shared" si="1"/>
        <v>0.1250312114197531</v>
      </c>
      <c r="T24" s="1674">
        <f>R24+1000000</f>
        <v>10722427</v>
      </c>
      <c r="U24" s="1222"/>
      <c r="V24" s="1222"/>
    </row>
    <row r="25" spans="1:26">
      <c r="A25" s="1221"/>
      <c r="B25" s="1671"/>
      <c r="C25" s="1671"/>
      <c r="D25" s="1671"/>
      <c r="E25" s="1671"/>
      <c r="F25" s="1671"/>
      <c r="G25" s="1671"/>
      <c r="H25" s="1671"/>
      <c r="I25" s="1671"/>
      <c r="J25" s="1777"/>
      <c r="K25" s="1777"/>
      <c r="L25" s="1777"/>
      <c r="M25" s="1777"/>
      <c r="N25" s="1777"/>
      <c r="O25" s="1777"/>
      <c r="P25" s="1777"/>
      <c r="Q25" s="1777"/>
      <c r="R25" s="1674"/>
      <c r="S25" s="1674"/>
      <c r="T25" s="1674"/>
      <c r="U25" s="1222"/>
      <c r="V25" s="1222"/>
    </row>
    <row r="26" spans="1:26" s="1226" customFormat="1">
      <c r="A26" s="1671"/>
      <c r="B26" s="1671"/>
      <c r="C26" s="1671"/>
      <c r="D26" s="1671"/>
      <c r="E26" s="1671"/>
      <c r="F26" s="1671"/>
      <c r="G26" s="1671"/>
      <c r="H26" s="1671"/>
      <c r="I26" s="1671"/>
      <c r="J26" s="1777"/>
      <c r="K26" s="1777"/>
      <c r="L26" s="1777"/>
      <c r="M26" s="1777"/>
      <c r="N26" s="1777"/>
      <c r="O26" s="1777"/>
      <c r="P26" s="1777"/>
      <c r="Q26" s="1777"/>
      <c r="R26" s="1674"/>
      <c r="S26" s="1674"/>
      <c r="T26" s="1777"/>
    </row>
    <row r="27" spans="1:26" s="1220" customFormat="1">
      <c r="A27" s="1224"/>
      <c r="B27" s="1225"/>
      <c r="C27" s="1225"/>
      <c r="D27" s="1225" t="s">
        <v>4251</v>
      </c>
      <c r="E27" s="1225"/>
      <c r="F27" s="2452">
        <f>1300000-R23</f>
        <v>-6903800</v>
      </c>
      <c r="G27" s="3094"/>
      <c r="H27" s="3094"/>
      <c r="I27" s="3094">
        <f t="shared" ref="I27:R27" si="6">SUM(I7:I26)</f>
        <v>247866</v>
      </c>
      <c r="J27" s="1217">
        <f t="shared" si="6"/>
        <v>51587280</v>
      </c>
      <c r="K27" s="1217">
        <f t="shared" si="6"/>
        <v>57076189.655199997</v>
      </c>
      <c r="L27" s="1217">
        <f t="shared" si="6"/>
        <v>59182051</v>
      </c>
      <c r="M27" s="1217">
        <f t="shared" si="6"/>
        <v>56987074</v>
      </c>
      <c r="N27" s="1217">
        <f t="shared" si="6"/>
        <v>60501641</v>
      </c>
      <c r="O27" s="1217">
        <f t="shared" si="6"/>
        <v>55695011</v>
      </c>
      <c r="P27" s="1217">
        <f t="shared" si="6"/>
        <v>57968797</v>
      </c>
      <c r="Q27" s="1217">
        <f t="shared" si="6"/>
        <v>398998043.6552</v>
      </c>
      <c r="R27" s="1219">
        <f t="shared" si="6"/>
        <v>619332214.74388576</v>
      </c>
      <c r="S27" s="1640">
        <f t="shared" ref="S27" si="7">R27/(I27*0.9*30*24*12)</f>
        <v>0.32132939795902649</v>
      </c>
      <c r="T27" s="3095">
        <f>ROUND(SUM(T7:T26),0)</f>
        <v>642476801</v>
      </c>
    </row>
    <row r="28" spans="1:26" s="1220" customFormat="1">
      <c r="A28" s="1216" t="s">
        <v>1102</v>
      </c>
      <c r="B28" s="1217" t="s">
        <v>4248</v>
      </c>
      <c r="C28" s="1217"/>
      <c r="D28" s="1217"/>
      <c r="E28" s="1217"/>
      <c r="F28" s="1217"/>
      <c r="G28" s="1217"/>
      <c r="H28" s="1217"/>
      <c r="I28" s="1217"/>
      <c r="J28" s="1218"/>
      <c r="K28" s="1218"/>
      <c r="L28" s="1218"/>
      <c r="M28" s="1218"/>
      <c r="N28" s="1218"/>
      <c r="O28" s="1218"/>
      <c r="P28" s="1218"/>
      <c r="Q28" s="1218"/>
      <c r="R28" s="1219"/>
      <c r="S28" s="1219"/>
      <c r="T28" s="1218"/>
    </row>
    <row r="29" spans="1:26" s="1220" customFormat="1">
      <c r="A29" s="1670">
        <v>1</v>
      </c>
      <c r="B29" s="1671" t="s">
        <v>7172</v>
      </c>
      <c r="C29" s="1671" t="s">
        <v>4253</v>
      </c>
      <c r="D29" s="1671" t="s">
        <v>7185</v>
      </c>
      <c r="E29" s="1674">
        <v>341000000016</v>
      </c>
      <c r="F29" s="1671" t="s">
        <v>7186</v>
      </c>
      <c r="G29" s="1671">
        <v>1700</v>
      </c>
      <c r="H29" s="1675">
        <f>I29-G29</f>
        <v>0</v>
      </c>
      <c r="I29" s="1671">
        <v>1700</v>
      </c>
      <c r="J29" s="595">
        <v>817029</v>
      </c>
      <c r="K29" s="595">
        <v>881772</v>
      </c>
      <c r="L29" s="595">
        <v>883641</v>
      </c>
      <c r="M29" s="595">
        <v>921264</v>
      </c>
      <c r="N29" s="595">
        <v>895836</v>
      </c>
      <c r="O29" s="595">
        <v>929355</v>
      </c>
      <c r="P29" s="595">
        <v>768609</v>
      </c>
      <c r="Q29" s="1671">
        <f>J29+K29+L29+M29+N29+O29+P29</f>
        <v>6097506</v>
      </c>
      <c r="R29" s="1672">
        <f>Q29+P29*5</f>
        <v>9940551</v>
      </c>
      <c r="S29" s="1673">
        <f t="shared" ref="S29:S52" si="8">R29/(I29*0.9*30*24*12)</f>
        <v>0.75197825889615111</v>
      </c>
      <c r="T29" s="1674">
        <f>P29*12</f>
        <v>9223308</v>
      </c>
      <c r="V29" s="1220">
        <f>96-87</f>
        <v>9</v>
      </c>
    </row>
    <row r="30" spans="1:26" s="1220" customFormat="1">
      <c r="A30" s="1670">
        <v>2</v>
      </c>
      <c r="B30" s="1671" t="s">
        <v>7172</v>
      </c>
      <c r="C30" s="1671" t="s">
        <v>7187</v>
      </c>
      <c r="D30" s="1671" t="s">
        <v>883</v>
      </c>
      <c r="E30" s="1674">
        <v>341000000097</v>
      </c>
      <c r="F30" s="1671" t="s">
        <v>7188</v>
      </c>
      <c r="G30" s="1671">
        <v>1871</v>
      </c>
      <c r="H30" s="1675">
        <f t="shared" ref="H30:H38" si="9">I30-G30</f>
        <v>0</v>
      </c>
      <c r="I30" s="1671">
        <v>1871</v>
      </c>
      <c r="J30" s="595">
        <v>335596</v>
      </c>
      <c r="K30" s="595">
        <v>367876</v>
      </c>
      <c r="L30" s="595">
        <v>358260</v>
      </c>
      <c r="M30" s="595">
        <v>326486</v>
      </c>
      <c r="N30" s="595">
        <v>302488</v>
      </c>
      <c r="O30" s="595">
        <v>338762</v>
      </c>
      <c r="P30" s="595">
        <v>270334</v>
      </c>
      <c r="Q30" s="1671">
        <f t="shared" ref="Q30:Q52" si="10">J30+K30+L30+M30+N30+O30+P30</f>
        <v>2299802</v>
      </c>
      <c r="R30" s="1672">
        <f t="shared" ref="R30:R52" si="11">Q30+P30*5</f>
        <v>3651472</v>
      </c>
      <c r="S30" s="1673">
        <f t="shared" si="8"/>
        <v>0.25097931829329179</v>
      </c>
      <c r="T30" s="1674">
        <f t="shared" ref="T30:T52" si="12">P30*12</f>
        <v>3244008</v>
      </c>
    </row>
    <row r="31" spans="1:26" s="1220" customFormat="1">
      <c r="A31" s="1670">
        <v>3</v>
      </c>
      <c r="B31" s="1671" t="s">
        <v>7172</v>
      </c>
      <c r="C31" s="1671" t="s">
        <v>7189</v>
      </c>
      <c r="D31" s="1671" t="s">
        <v>883</v>
      </c>
      <c r="E31" s="1674">
        <v>341000000107</v>
      </c>
      <c r="F31" s="1671" t="s">
        <v>7186</v>
      </c>
      <c r="G31" s="1671">
        <v>1500</v>
      </c>
      <c r="H31" s="1675">
        <f t="shared" si="9"/>
        <v>0</v>
      </c>
      <c r="I31" s="1671">
        <v>1500</v>
      </c>
      <c r="J31" s="595">
        <v>216524</v>
      </c>
      <c r="K31" s="595">
        <v>238403</v>
      </c>
      <c r="L31" s="595">
        <v>247863</v>
      </c>
      <c r="M31" s="595">
        <v>238254</v>
      </c>
      <c r="N31" s="595">
        <v>231192</v>
      </c>
      <c r="O31" s="595">
        <v>211522</v>
      </c>
      <c r="P31" s="595">
        <v>221550</v>
      </c>
      <c r="Q31" s="1671">
        <f t="shared" si="10"/>
        <v>1605308</v>
      </c>
      <c r="R31" s="1672">
        <f t="shared" si="11"/>
        <v>2713058</v>
      </c>
      <c r="S31" s="1673">
        <f t="shared" si="8"/>
        <v>0.23260099451303154</v>
      </c>
      <c r="T31" s="1674">
        <f t="shared" si="12"/>
        <v>2658600</v>
      </c>
    </row>
    <row r="32" spans="1:26" s="1220" customFormat="1">
      <c r="A32" s="1670">
        <v>4</v>
      </c>
      <c r="B32" s="1671" t="s">
        <v>7190</v>
      </c>
      <c r="C32" s="1671" t="s">
        <v>7191</v>
      </c>
      <c r="D32" s="1671" t="s">
        <v>7192</v>
      </c>
      <c r="E32" s="1674">
        <v>291000000017</v>
      </c>
      <c r="F32" s="1671" t="s">
        <v>7186</v>
      </c>
      <c r="G32" s="1671">
        <v>3071</v>
      </c>
      <c r="H32" s="1675">
        <f t="shared" si="9"/>
        <v>0</v>
      </c>
      <c r="I32" s="1671">
        <v>3071</v>
      </c>
      <c r="J32" s="595">
        <v>4752</v>
      </c>
      <c r="K32" s="595">
        <v>4890</v>
      </c>
      <c r="L32" s="595">
        <v>5094</v>
      </c>
      <c r="M32" s="595">
        <v>10758</v>
      </c>
      <c r="N32" s="595">
        <v>16818</v>
      </c>
      <c r="O32" s="595">
        <v>13266</v>
      </c>
      <c r="P32" s="595">
        <v>8208</v>
      </c>
      <c r="Q32" s="1671">
        <f t="shared" si="10"/>
        <v>63786</v>
      </c>
      <c r="R32" s="1672">
        <f t="shared" si="11"/>
        <v>104826</v>
      </c>
      <c r="S32" s="1673">
        <f>R32/(I32*0.9*30*24*7)</f>
        <v>7.5251671637213803E-3</v>
      </c>
      <c r="T32" s="1674">
        <f t="shared" si="12"/>
        <v>98496</v>
      </c>
    </row>
    <row r="33" spans="1:20" s="1220" customFormat="1">
      <c r="A33" s="1670">
        <v>5</v>
      </c>
      <c r="B33" s="1671" t="s">
        <v>7190</v>
      </c>
      <c r="C33" s="1671" t="s">
        <v>7193</v>
      </c>
      <c r="D33" s="1671" t="s">
        <v>7192</v>
      </c>
      <c r="E33" s="1674">
        <v>291000000020</v>
      </c>
      <c r="F33" s="1671" t="s">
        <v>7186</v>
      </c>
      <c r="G33" s="1671">
        <v>1228</v>
      </c>
      <c r="H33" s="1675">
        <f t="shared" si="9"/>
        <v>0</v>
      </c>
      <c r="I33" s="1671">
        <v>1228</v>
      </c>
      <c r="J33" s="595">
        <v>675</v>
      </c>
      <c r="K33" s="595">
        <v>832</v>
      </c>
      <c r="L33" s="595">
        <v>990</v>
      </c>
      <c r="M33" s="595">
        <v>5884</v>
      </c>
      <c r="N33" s="595">
        <v>9326</v>
      </c>
      <c r="O33" s="595">
        <v>26595</v>
      </c>
      <c r="P33" s="595">
        <v>12308</v>
      </c>
      <c r="Q33" s="1671">
        <f t="shared" si="10"/>
        <v>56610</v>
      </c>
      <c r="R33" s="1672">
        <f t="shared" si="11"/>
        <v>118150</v>
      </c>
      <c r="S33" s="1673">
        <f t="shared" ref="S33:S36" si="13">R33/(I33*0.9*30*24*7)</f>
        <v>2.1211057109537024E-2</v>
      </c>
      <c r="T33" s="1674">
        <f t="shared" si="12"/>
        <v>147696</v>
      </c>
    </row>
    <row r="34" spans="1:20">
      <c r="A34" s="1670">
        <v>6</v>
      </c>
      <c r="B34" s="1671" t="s">
        <v>7190</v>
      </c>
      <c r="C34" s="1671" t="s">
        <v>7194</v>
      </c>
      <c r="D34" s="1671" t="s">
        <v>7192</v>
      </c>
      <c r="E34" s="1674">
        <v>291000000016</v>
      </c>
      <c r="F34" s="1671" t="s">
        <v>7186</v>
      </c>
      <c r="G34" s="1671">
        <v>3178</v>
      </c>
      <c r="H34" s="1675">
        <f t="shared" si="9"/>
        <v>0</v>
      </c>
      <c r="I34" s="1671">
        <v>3178</v>
      </c>
      <c r="J34" s="595">
        <v>6720</v>
      </c>
      <c r="K34" s="595">
        <v>6732</v>
      </c>
      <c r="L34" s="595">
        <v>5616</v>
      </c>
      <c r="M34" s="595">
        <v>52584</v>
      </c>
      <c r="N34" s="595">
        <v>216348</v>
      </c>
      <c r="O34" s="595">
        <v>299604</v>
      </c>
      <c r="P34" s="595">
        <v>123408</v>
      </c>
      <c r="Q34" s="1671">
        <f t="shared" si="10"/>
        <v>711012</v>
      </c>
      <c r="R34" s="1672">
        <f t="shared" si="11"/>
        <v>1328052</v>
      </c>
      <c r="S34" s="1673">
        <f t="shared" si="13"/>
        <v>9.2127257168163376E-2</v>
      </c>
      <c r="T34" s="1674">
        <f t="shared" si="12"/>
        <v>1480896</v>
      </c>
    </row>
    <row r="35" spans="1:20">
      <c r="A35" s="1670">
        <v>7</v>
      </c>
      <c r="B35" s="1671" t="s">
        <v>8471</v>
      </c>
      <c r="C35" s="1671" t="s">
        <v>8472</v>
      </c>
      <c r="D35" s="1671" t="s">
        <v>8473</v>
      </c>
      <c r="E35" s="1674">
        <v>293000000027</v>
      </c>
      <c r="F35" s="1671" t="s">
        <v>7186</v>
      </c>
      <c r="G35" s="1671">
        <v>2593</v>
      </c>
      <c r="H35" s="1675">
        <f t="shared" si="9"/>
        <v>0</v>
      </c>
      <c r="I35" s="1671">
        <v>2593</v>
      </c>
      <c r="J35" s="595">
        <v>14265</v>
      </c>
      <c r="K35" s="595">
        <v>3071</v>
      </c>
      <c r="L35" s="595">
        <v>2227</v>
      </c>
      <c r="M35" s="595">
        <v>35280</v>
      </c>
      <c r="N35" s="595">
        <v>39915</v>
      </c>
      <c r="O35" s="595">
        <v>97166</v>
      </c>
      <c r="P35" s="595">
        <v>181001</v>
      </c>
      <c r="Q35" s="1671">
        <f t="shared" si="10"/>
        <v>372925</v>
      </c>
      <c r="R35" s="1672">
        <f t="shared" si="11"/>
        <v>1277930</v>
      </c>
      <c r="S35" s="1673">
        <f t="shared" si="13"/>
        <v>0.10865044336570236</v>
      </c>
      <c r="T35" s="1674">
        <f t="shared" si="12"/>
        <v>2172012</v>
      </c>
    </row>
    <row r="36" spans="1:20">
      <c r="A36" s="1670">
        <v>8</v>
      </c>
      <c r="B36" s="1671" t="s">
        <v>8471</v>
      </c>
      <c r="C36" s="1671" t="s">
        <v>8472</v>
      </c>
      <c r="D36" s="1671" t="s">
        <v>8473</v>
      </c>
      <c r="E36" s="1674">
        <v>293000000028</v>
      </c>
      <c r="F36" s="1671" t="s">
        <v>7186</v>
      </c>
      <c r="G36" s="1671">
        <v>1744</v>
      </c>
      <c r="H36" s="1675">
        <f t="shared" si="9"/>
        <v>0</v>
      </c>
      <c r="I36" s="1671">
        <v>1744</v>
      </c>
      <c r="J36" s="595">
        <v>10913</v>
      </c>
      <c r="K36" s="595">
        <v>7852</v>
      </c>
      <c r="L36" s="595">
        <v>5186</v>
      </c>
      <c r="M36" s="595">
        <v>5760</v>
      </c>
      <c r="N36" s="595">
        <v>6266</v>
      </c>
      <c r="O36" s="595">
        <v>6266</v>
      </c>
      <c r="P36" s="595">
        <v>3181</v>
      </c>
      <c r="Q36" s="1671">
        <f t="shared" si="10"/>
        <v>45424</v>
      </c>
      <c r="R36" s="1672">
        <f t="shared" si="11"/>
        <v>61329</v>
      </c>
      <c r="S36" s="1673">
        <f t="shared" si="13"/>
        <v>7.7525817921460108E-3</v>
      </c>
      <c r="T36" s="1674">
        <f t="shared" si="12"/>
        <v>38172</v>
      </c>
    </row>
    <row r="37" spans="1:20">
      <c r="A37" s="1670">
        <v>9</v>
      </c>
      <c r="B37" s="1671" t="s">
        <v>7175</v>
      </c>
      <c r="C37" s="1671" t="s">
        <v>4252</v>
      </c>
      <c r="D37" s="1671" t="s">
        <v>7195</v>
      </c>
      <c r="E37" s="1674">
        <v>211000000005</v>
      </c>
      <c r="F37" s="1671" t="s">
        <v>7186</v>
      </c>
      <c r="G37" s="1671">
        <v>1200</v>
      </c>
      <c r="H37" s="1675">
        <f t="shared" si="9"/>
        <v>0</v>
      </c>
      <c r="I37" s="1671">
        <v>1200</v>
      </c>
      <c r="J37" s="595">
        <v>277545</v>
      </c>
      <c r="K37" s="595">
        <v>282585</v>
      </c>
      <c r="L37" s="595">
        <v>267090</v>
      </c>
      <c r="M37" s="595">
        <v>306465</v>
      </c>
      <c r="N37" s="595">
        <v>308910</v>
      </c>
      <c r="O37" s="595">
        <v>311385</v>
      </c>
      <c r="P37" s="595">
        <v>306120</v>
      </c>
      <c r="Q37" s="1671">
        <f t="shared" si="10"/>
        <v>2060100</v>
      </c>
      <c r="R37" s="1672">
        <f t="shared" si="11"/>
        <v>3590700</v>
      </c>
      <c r="S37" s="1673">
        <f t="shared" si="8"/>
        <v>0.38480581275720166</v>
      </c>
      <c r="T37" s="1674">
        <v>9600</v>
      </c>
    </row>
    <row r="38" spans="1:20" s="1220" customFormat="1">
      <c r="A38" s="1670">
        <v>10</v>
      </c>
      <c r="B38" s="1671" t="s">
        <v>7175</v>
      </c>
      <c r="C38" s="1671" t="s">
        <v>7196</v>
      </c>
      <c r="D38" s="1671" t="s">
        <v>7185</v>
      </c>
      <c r="E38" s="1674">
        <v>211000000009</v>
      </c>
      <c r="F38" s="1671" t="s">
        <v>7186</v>
      </c>
      <c r="G38" s="1671">
        <v>3000</v>
      </c>
      <c r="H38" s="1675">
        <f t="shared" si="9"/>
        <v>3000</v>
      </c>
      <c r="I38" s="1671">
        <v>6000</v>
      </c>
      <c r="J38" s="595">
        <v>290100</v>
      </c>
      <c r="K38" s="595">
        <v>339360</v>
      </c>
      <c r="L38" s="595">
        <v>300360</v>
      </c>
      <c r="M38" s="595">
        <v>352440</v>
      </c>
      <c r="N38" s="595">
        <v>275280</v>
      </c>
      <c r="O38" s="595">
        <v>303540</v>
      </c>
      <c r="P38" s="595">
        <v>215040</v>
      </c>
      <c r="Q38" s="1671">
        <f t="shared" si="10"/>
        <v>2076120</v>
      </c>
      <c r="R38" s="1672">
        <f t="shared" si="11"/>
        <v>3151320</v>
      </c>
      <c r="S38" s="1673">
        <f t="shared" si="8"/>
        <v>6.754372427983539E-2</v>
      </c>
      <c r="T38" s="1674">
        <f t="shared" si="12"/>
        <v>2580480</v>
      </c>
    </row>
    <row r="39" spans="1:20">
      <c r="A39" s="1670">
        <v>11</v>
      </c>
      <c r="B39" s="1671" t="s">
        <v>7175</v>
      </c>
      <c r="C39" s="1671" t="s">
        <v>4729</v>
      </c>
      <c r="D39" s="1671" t="s">
        <v>1377</v>
      </c>
      <c r="E39" s="1674">
        <v>211000000015</v>
      </c>
      <c r="F39" s="1671" t="s">
        <v>7186</v>
      </c>
      <c r="G39" s="1671">
        <v>22500</v>
      </c>
      <c r="H39" s="1675">
        <f>I39-G39</f>
        <v>0</v>
      </c>
      <c r="I39" s="1671">
        <v>22500</v>
      </c>
      <c r="J39" s="595">
        <v>5889360</v>
      </c>
      <c r="K39" s="595">
        <v>7186800</v>
      </c>
      <c r="L39" s="595">
        <v>7609200</v>
      </c>
      <c r="M39" s="595">
        <v>8962560</v>
      </c>
      <c r="N39" s="595">
        <v>8806560</v>
      </c>
      <c r="O39" s="595">
        <v>7145280</v>
      </c>
      <c r="P39" s="595">
        <v>3623520</v>
      </c>
      <c r="Q39" s="1671">
        <f t="shared" si="10"/>
        <v>49223280</v>
      </c>
      <c r="R39" s="1672">
        <f t="shared" si="11"/>
        <v>67340880</v>
      </c>
      <c r="S39" s="1673">
        <f t="shared" si="8"/>
        <v>0.38489300411522631</v>
      </c>
      <c r="T39" s="1674">
        <f t="shared" si="12"/>
        <v>43482240</v>
      </c>
    </row>
    <row r="40" spans="1:20">
      <c r="A40" s="1670">
        <v>12</v>
      </c>
      <c r="B40" s="1671" t="s">
        <v>7175</v>
      </c>
      <c r="C40" s="1671" t="s">
        <v>8474</v>
      </c>
      <c r="D40" s="1671" t="s">
        <v>1377</v>
      </c>
      <c r="E40" s="1674">
        <v>211000000063</v>
      </c>
      <c r="F40" s="1671" t="s">
        <v>7186</v>
      </c>
      <c r="G40" s="1671">
        <v>1000</v>
      </c>
      <c r="H40" s="1675">
        <f t="shared" ref="H40:H52" si="14">I40-G40</f>
        <v>0</v>
      </c>
      <c r="I40" s="1671">
        <v>1000</v>
      </c>
      <c r="J40" s="595">
        <v>34710</v>
      </c>
      <c r="K40" s="595">
        <v>29046</v>
      </c>
      <c r="L40" s="595">
        <v>26244</v>
      </c>
      <c r="M40" s="595">
        <v>23940</v>
      </c>
      <c r="N40" s="595">
        <v>26382</v>
      </c>
      <c r="O40" s="595">
        <v>18318</v>
      </c>
      <c r="P40" s="595">
        <v>10164</v>
      </c>
      <c r="Q40" s="1671">
        <f t="shared" si="10"/>
        <v>168804</v>
      </c>
      <c r="R40" s="1672">
        <f t="shared" si="11"/>
        <v>219624</v>
      </c>
      <c r="S40" s="1673">
        <f>R40/(I40*0.9*30*24*3)</f>
        <v>0.1129753086419753</v>
      </c>
      <c r="T40" s="1674">
        <f t="shared" si="12"/>
        <v>121968</v>
      </c>
    </row>
    <row r="41" spans="1:20">
      <c r="A41" s="1670">
        <v>13</v>
      </c>
      <c r="B41" s="1671" t="s">
        <v>7197</v>
      </c>
      <c r="C41" s="1671" t="s">
        <v>4730</v>
      </c>
      <c r="D41" s="1671" t="s">
        <v>1377</v>
      </c>
      <c r="E41" s="1674">
        <v>353000000006</v>
      </c>
      <c r="F41" s="1671" t="s">
        <v>7186</v>
      </c>
      <c r="G41" s="1671">
        <v>1600</v>
      </c>
      <c r="H41" s="1675">
        <f t="shared" si="14"/>
        <v>0</v>
      </c>
      <c r="I41" s="1674">
        <v>1600</v>
      </c>
      <c r="J41" s="595">
        <v>602190</v>
      </c>
      <c r="K41" s="595">
        <v>681300</v>
      </c>
      <c r="L41" s="595">
        <v>774810</v>
      </c>
      <c r="M41" s="595">
        <v>821010</v>
      </c>
      <c r="N41" s="595">
        <v>744330</v>
      </c>
      <c r="O41" s="595">
        <v>638580</v>
      </c>
      <c r="P41" s="595">
        <v>475710</v>
      </c>
      <c r="Q41" s="1671">
        <f t="shared" si="10"/>
        <v>4737930</v>
      </c>
      <c r="R41" s="1672">
        <f t="shared" si="11"/>
        <v>7116480</v>
      </c>
      <c r="S41" s="1673">
        <f t="shared" si="8"/>
        <v>0.57199074074074074</v>
      </c>
      <c r="T41" s="1674">
        <f t="shared" si="12"/>
        <v>5708520</v>
      </c>
    </row>
    <row r="42" spans="1:20">
      <c r="A42" s="1670">
        <v>14</v>
      </c>
      <c r="B42" s="1671" t="s">
        <v>7179</v>
      </c>
      <c r="C42" s="1671" t="s">
        <v>7198</v>
      </c>
      <c r="D42" s="1671" t="s">
        <v>7192</v>
      </c>
      <c r="E42" s="1674">
        <v>711000000072</v>
      </c>
      <c r="F42" s="1671" t="s">
        <v>7186</v>
      </c>
      <c r="G42" s="1671">
        <v>1155</v>
      </c>
      <c r="H42" s="1675">
        <f t="shared" si="14"/>
        <v>0</v>
      </c>
      <c r="I42" s="1671">
        <v>1155</v>
      </c>
      <c r="J42" s="595"/>
      <c r="K42" s="595"/>
      <c r="L42" s="595">
        <v>8100</v>
      </c>
      <c r="M42" s="595">
        <v>14490</v>
      </c>
      <c r="N42" s="595">
        <v>42825</v>
      </c>
      <c r="O42" s="595">
        <v>54825</v>
      </c>
      <c r="P42" s="595">
        <v>56505</v>
      </c>
      <c r="Q42" s="1671">
        <f t="shared" si="10"/>
        <v>176745</v>
      </c>
      <c r="R42" s="1672">
        <f t="shared" si="11"/>
        <v>459270</v>
      </c>
      <c r="S42" s="1673">
        <f t="shared" si="8"/>
        <v>5.113636363636364E-2</v>
      </c>
      <c r="T42" s="1674">
        <f t="shared" si="12"/>
        <v>678060</v>
      </c>
    </row>
    <row r="43" spans="1:20">
      <c r="A43" s="1670">
        <v>15</v>
      </c>
      <c r="B43" s="1671" t="s">
        <v>7179</v>
      </c>
      <c r="C43" s="1671" t="s">
        <v>8475</v>
      </c>
      <c r="D43" s="1671" t="s">
        <v>1377</v>
      </c>
      <c r="E43" s="1674">
        <v>711000000010</v>
      </c>
      <c r="F43" s="1671" t="s">
        <v>7186</v>
      </c>
      <c r="G43" s="1671">
        <v>1111</v>
      </c>
      <c r="H43" s="1675">
        <f t="shared" si="14"/>
        <v>0</v>
      </c>
      <c r="I43">
        <v>1111</v>
      </c>
      <c r="J43" s="595">
        <v>45000</v>
      </c>
      <c r="K43" s="595">
        <v>114840</v>
      </c>
      <c r="L43" s="595">
        <v>116820</v>
      </c>
      <c r="M43" s="595">
        <v>201240</v>
      </c>
      <c r="N43" s="595">
        <v>346920</v>
      </c>
      <c r="O43" s="595">
        <v>385200</v>
      </c>
      <c r="P43" s="595">
        <v>310020</v>
      </c>
      <c r="Q43" s="1671">
        <f t="shared" si="10"/>
        <v>1520040</v>
      </c>
      <c r="R43" s="1672">
        <f t="shared" si="11"/>
        <v>3070140</v>
      </c>
      <c r="S43" s="1673">
        <f t="shared" si="8"/>
        <v>0.35537581535931373</v>
      </c>
      <c r="T43" s="1674">
        <f t="shared" si="12"/>
        <v>3720240</v>
      </c>
    </row>
    <row r="44" spans="1:20">
      <c r="A44" s="1670">
        <v>16</v>
      </c>
      <c r="B44" s="1671" t="s">
        <v>7179</v>
      </c>
      <c r="C44" s="1671" t="s">
        <v>8475</v>
      </c>
      <c r="D44" s="1671" t="s">
        <v>1377</v>
      </c>
      <c r="E44" s="1674">
        <v>711000000009</v>
      </c>
      <c r="F44" s="1671" t="s">
        <v>7186</v>
      </c>
      <c r="G44" s="1671">
        <v>4000</v>
      </c>
      <c r="H44" s="1675">
        <f t="shared" si="14"/>
        <v>0</v>
      </c>
      <c r="I44">
        <v>4000</v>
      </c>
      <c r="J44" s="595">
        <v>255120</v>
      </c>
      <c r="K44" s="595">
        <v>519720</v>
      </c>
      <c r="L44" s="595">
        <v>475320</v>
      </c>
      <c r="M44" s="595">
        <v>1150800</v>
      </c>
      <c r="N44" s="595">
        <v>1716360</v>
      </c>
      <c r="O44" s="595">
        <v>2096160</v>
      </c>
      <c r="P44" s="595">
        <v>1783560</v>
      </c>
      <c r="Q44" s="1671">
        <f t="shared" si="10"/>
        <v>7997040</v>
      </c>
      <c r="R44" s="1672">
        <f t="shared" si="11"/>
        <v>16914840</v>
      </c>
      <c r="S44" s="1673">
        <f t="shared" si="8"/>
        <v>0.54381558641975314</v>
      </c>
      <c r="T44" s="1674">
        <f t="shared" si="12"/>
        <v>21402720</v>
      </c>
    </row>
    <row r="45" spans="1:20">
      <c r="A45" s="1670">
        <v>17</v>
      </c>
      <c r="B45" s="1671" t="s">
        <v>7180</v>
      </c>
      <c r="C45" s="1671" t="s">
        <v>4766</v>
      </c>
      <c r="D45" s="1671" t="s">
        <v>883</v>
      </c>
      <c r="E45" s="1674">
        <v>714000000037</v>
      </c>
      <c r="F45" s="1671" t="s">
        <v>7186</v>
      </c>
      <c r="G45" s="1671">
        <v>1504</v>
      </c>
      <c r="H45" s="1675">
        <f t="shared" si="14"/>
        <v>0</v>
      </c>
      <c r="I45" s="1671">
        <v>1504</v>
      </c>
      <c r="J45" s="595">
        <v>54255</v>
      </c>
      <c r="K45" s="595">
        <v>69459</v>
      </c>
      <c r="L45" s="595">
        <v>45195</v>
      </c>
      <c r="M45" s="595">
        <v>26769</v>
      </c>
      <c r="N45" s="595">
        <v>26601</v>
      </c>
      <c r="O45" s="595">
        <v>23871</v>
      </c>
      <c r="P45" s="595">
        <v>18447</v>
      </c>
      <c r="Q45" s="1671">
        <f t="shared" si="10"/>
        <v>264597</v>
      </c>
      <c r="R45" s="1672">
        <f t="shared" si="11"/>
        <v>356832</v>
      </c>
      <c r="S45" s="1673">
        <f t="shared" si="8"/>
        <v>3.0511229314420796E-2</v>
      </c>
      <c r="T45" s="1674">
        <f t="shared" si="12"/>
        <v>221364</v>
      </c>
    </row>
    <row r="46" spans="1:20">
      <c r="A46" s="1670">
        <v>18</v>
      </c>
      <c r="B46" s="1671" t="s">
        <v>7180</v>
      </c>
      <c r="C46" s="1671" t="s">
        <v>717</v>
      </c>
      <c r="D46" s="1671" t="s">
        <v>1377</v>
      </c>
      <c r="E46" s="1674">
        <v>714000000006</v>
      </c>
      <c r="F46" s="1671" t="s">
        <v>7186</v>
      </c>
      <c r="G46" s="1671">
        <v>4000</v>
      </c>
      <c r="H46" s="1675">
        <f t="shared" si="14"/>
        <v>0</v>
      </c>
      <c r="I46" s="1671">
        <v>4000</v>
      </c>
      <c r="J46" s="595">
        <v>1078860</v>
      </c>
      <c r="K46" s="595">
        <v>1124544</v>
      </c>
      <c r="L46" s="595">
        <v>850644</v>
      </c>
      <c r="M46" s="595">
        <v>741396</v>
      </c>
      <c r="N46" s="595">
        <v>770304</v>
      </c>
      <c r="O46" s="595">
        <v>193464</v>
      </c>
      <c r="P46" s="595">
        <v>1138620</v>
      </c>
      <c r="Q46" s="1671">
        <f t="shared" si="10"/>
        <v>5897832</v>
      </c>
      <c r="R46" s="1672">
        <f t="shared" si="11"/>
        <v>11590932</v>
      </c>
      <c r="S46" s="1673">
        <f t="shared" si="8"/>
        <v>0.37265084876543209</v>
      </c>
      <c r="T46" s="1674">
        <f t="shared" si="12"/>
        <v>13663440</v>
      </c>
    </row>
    <row r="47" spans="1:20">
      <c r="A47" s="1670">
        <v>19</v>
      </c>
      <c r="B47" s="1671" t="s">
        <v>7199</v>
      </c>
      <c r="C47" s="1671" t="s">
        <v>7198</v>
      </c>
      <c r="D47" s="1671" t="s">
        <v>7192</v>
      </c>
      <c r="E47" s="1674">
        <v>713000000019</v>
      </c>
      <c r="F47" s="1671" t="s">
        <v>7186</v>
      </c>
      <c r="G47" s="1671">
        <v>1547</v>
      </c>
      <c r="H47" s="1675">
        <f t="shared" si="14"/>
        <v>0</v>
      </c>
      <c r="I47" s="1671">
        <v>1547</v>
      </c>
      <c r="J47" s="595">
        <v>8450</v>
      </c>
      <c r="K47" s="595">
        <v>4480</v>
      </c>
      <c r="L47" s="595">
        <v>17800</v>
      </c>
      <c r="M47" s="595">
        <v>36660</v>
      </c>
      <c r="N47" s="595">
        <v>27860</v>
      </c>
      <c r="O47" s="595">
        <v>29870</v>
      </c>
      <c r="P47" s="595">
        <v>18300</v>
      </c>
      <c r="Q47" s="1671">
        <f t="shared" si="10"/>
        <v>143420</v>
      </c>
      <c r="R47" s="1672">
        <f t="shared" si="11"/>
        <v>234920</v>
      </c>
      <c r="S47" s="1673">
        <f t="shared" si="8"/>
        <v>1.9528704169227046E-2</v>
      </c>
      <c r="T47" s="1674">
        <f t="shared" si="12"/>
        <v>219600</v>
      </c>
    </row>
    <row r="48" spans="1:20">
      <c r="A48" s="1670">
        <v>20</v>
      </c>
      <c r="B48" s="1671" t="s">
        <v>7199</v>
      </c>
      <c r="C48" s="1671" t="s">
        <v>7200</v>
      </c>
      <c r="D48" s="1671" t="s">
        <v>1377</v>
      </c>
      <c r="E48" s="1674">
        <v>713000000006</v>
      </c>
      <c r="F48" s="1671" t="s">
        <v>7186</v>
      </c>
      <c r="G48" s="1671">
        <v>4000</v>
      </c>
      <c r="H48" s="1675">
        <f t="shared" si="14"/>
        <v>0</v>
      </c>
      <c r="I48" s="1671">
        <v>4000</v>
      </c>
      <c r="J48" s="595">
        <v>2144940</v>
      </c>
      <c r="K48" s="595">
        <v>2110620</v>
      </c>
      <c r="L48" s="595">
        <v>1977660</v>
      </c>
      <c r="M48" s="595">
        <v>1842600</v>
      </c>
      <c r="N48" s="595">
        <v>2044440</v>
      </c>
      <c r="O48" s="595">
        <v>1711740</v>
      </c>
      <c r="P48" s="595">
        <v>1853880</v>
      </c>
      <c r="Q48" s="1671">
        <f t="shared" si="10"/>
        <v>13685880</v>
      </c>
      <c r="R48" s="1672">
        <f t="shared" si="11"/>
        <v>22955280</v>
      </c>
      <c r="S48" s="1673">
        <f t="shared" si="8"/>
        <v>0.73801697530864196</v>
      </c>
      <c r="T48" s="1674">
        <f t="shared" si="12"/>
        <v>22246560</v>
      </c>
    </row>
    <row r="49" spans="1:20">
      <c r="A49" s="1670">
        <v>21</v>
      </c>
      <c r="B49" s="1671" t="s">
        <v>7201</v>
      </c>
      <c r="C49" s="1671" t="s">
        <v>7198</v>
      </c>
      <c r="D49" s="1671" t="s">
        <v>7192</v>
      </c>
      <c r="E49" s="1674">
        <v>712000000025</v>
      </c>
      <c r="F49" s="1671" t="s">
        <v>7186</v>
      </c>
      <c r="G49" s="1671">
        <v>1977</v>
      </c>
      <c r="H49" s="1675">
        <f t="shared" si="14"/>
        <v>0</v>
      </c>
      <c r="I49" s="1671">
        <v>1977</v>
      </c>
      <c r="J49" s="595">
        <v>1650</v>
      </c>
      <c r="K49" s="595">
        <v>2700</v>
      </c>
      <c r="L49" s="595">
        <v>28800</v>
      </c>
      <c r="M49" s="595">
        <v>87450</v>
      </c>
      <c r="N49" s="595">
        <v>48900</v>
      </c>
      <c r="O49" s="595">
        <v>77400</v>
      </c>
      <c r="P49" s="595">
        <v>18150</v>
      </c>
      <c r="Q49" s="1671">
        <f t="shared" si="10"/>
        <v>265050</v>
      </c>
      <c r="R49" s="1672">
        <f t="shared" si="11"/>
        <v>355800</v>
      </c>
      <c r="S49" s="1673">
        <f t="shared" si="8"/>
        <v>2.3144245240013239E-2</v>
      </c>
      <c r="T49" s="1674">
        <f t="shared" si="12"/>
        <v>217800</v>
      </c>
    </row>
    <row r="50" spans="1:20">
      <c r="A50" s="1670">
        <v>22</v>
      </c>
      <c r="B50" s="1671" t="s">
        <v>7201</v>
      </c>
      <c r="C50" s="1671" t="s">
        <v>720</v>
      </c>
      <c r="D50" s="1671" t="s">
        <v>1377</v>
      </c>
      <c r="E50" s="1674">
        <v>712000000001</v>
      </c>
      <c r="F50" s="1671" t="s">
        <v>7186</v>
      </c>
      <c r="G50" s="1671">
        <v>3000</v>
      </c>
      <c r="H50" s="1675">
        <f t="shared" si="14"/>
        <v>0</v>
      </c>
      <c r="I50" s="1671">
        <v>3000</v>
      </c>
      <c r="J50" s="595">
        <v>979920</v>
      </c>
      <c r="K50" s="595">
        <v>515430</v>
      </c>
      <c r="L50" s="595">
        <v>118665</v>
      </c>
      <c r="M50" s="595">
        <v>99696</v>
      </c>
      <c r="N50" s="595">
        <v>634302</v>
      </c>
      <c r="O50" s="595">
        <v>853260</v>
      </c>
      <c r="P50" s="595">
        <v>707220</v>
      </c>
      <c r="Q50" s="1671">
        <f t="shared" si="10"/>
        <v>3908493</v>
      </c>
      <c r="R50" s="1672">
        <f t="shared" si="11"/>
        <v>7444593</v>
      </c>
      <c r="S50" s="1673">
        <f t="shared" si="8"/>
        <v>0.31912692901234568</v>
      </c>
      <c r="T50" s="1674">
        <f t="shared" si="12"/>
        <v>8486640</v>
      </c>
    </row>
    <row r="51" spans="1:20">
      <c r="A51" s="1670">
        <v>23</v>
      </c>
      <c r="B51" s="1671" t="s">
        <v>7202</v>
      </c>
      <c r="C51" s="1671" t="s">
        <v>7203</v>
      </c>
      <c r="D51" s="1671" t="s">
        <v>7192</v>
      </c>
      <c r="E51" s="1674">
        <v>312000000023</v>
      </c>
      <c r="F51" s="1671" t="s">
        <v>7188</v>
      </c>
      <c r="G51" s="1671">
        <v>2845</v>
      </c>
      <c r="H51" s="1675">
        <f t="shared" si="14"/>
        <v>0</v>
      </c>
      <c r="I51" s="1671">
        <v>2845</v>
      </c>
      <c r="J51" s="595">
        <v>2936</v>
      </c>
      <c r="K51" s="595">
        <v>2724</v>
      </c>
      <c r="L51" s="595">
        <v>2486</v>
      </c>
      <c r="M51" s="595">
        <v>4932</v>
      </c>
      <c r="N51" s="595">
        <v>17211</v>
      </c>
      <c r="O51" s="595">
        <v>6198</v>
      </c>
      <c r="P51" s="595">
        <v>10108</v>
      </c>
      <c r="Q51" s="1671">
        <f t="shared" si="10"/>
        <v>46595</v>
      </c>
      <c r="R51" s="1672">
        <f t="shared" si="11"/>
        <v>97135</v>
      </c>
      <c r="S51" s="1673">
        <f t="shared" si="8"/>
        <v>4.3907349548337636E-3</v>
      </c>
      <c r="T51" s="1674">
        <f t="shared" si="12"/>
        <v>121296</v>
      </c>
    </row>
    <row r="52" spans="1:20">
      <c r="A52" s="1670">
        <v>24</v>
      </c>
      <c r="B52" s="1671" t="s">
        <v>7204</v>
      </c>
      <c r="C52" s="1671" t="s">
        <v>7198</v>
      </c>
      <c r="D52" s="1671" t="s">
        <v>7192</v>
      </c>
      <c r="E52" s="1674">
        <v>214000000004</v>
      </c>
      <c r="F52" s="1671" t="s">
        <v>7186</v>
      </c>
      <c r="G52" s="1671">
        <v>3260</v>
      </c>
      <c r="H52" s="1675">
        <f t="shared" si="14"/>
        <v>0</v>
      </c>
      <c r="I52" s="1671">
        <v>3260</v>
      </c>
      <c r="J52" s="595">
        <v>11280</v>
      </c>
      <c r="K52" s="595">
        <v>10710</v>
      </c>
      <c r="L52" s="595">
        <v>11340</v>
      </c>
      <c r="M52" s="595">
        <v>72180</v>
      </c>
      <c r="N52" s="595">
        <v>84780</v>
      </c>
      <c r="O52" s="595">
        <v>36630</v>
      </c>
      <c r="P52" s="595">
        <v>44730</v>
      </c>
      <c r="Q52" s="1671">
        <f t="shared" si="10"/>
        <v>271650</v>
      </c>
      <c r="R52" s="1672">
        <f t="shared" si="11"/>
        <v>495300</v>
      </c>
      <c r="S52" s="1673">
        <f t="shared" si="8"/>
        <v>1.9538646519730363E-2</v>
      </c>
      <c r="T52" s="1674">
        <f t="shared" si="12"/>
        <v>536760</v>
      </c>
    </row>
    <row r="53" spans="1:20">
      <c r="A53" s="1221"/>
      <c r="B53" s="1223"/>
      <c r="C53" s="1223"/>
      <c r="D53" s="1223"/>
      <c r="E53" s="1223"/>
      <c r="F53" s="1223"/>
      <c r="G53" s="1223"/>
      <c r="H53" s="1223"/>
      <c r="I53" s="1223"/>
      <c r="J53" s="3096"/>
      <c r="K53" s="3096"/>
      <c r="L53" s="3096"/>
      <c r="M53" s="3096"/>
      <c r="N53" s="3096"/>
      <c r="O53" s="3096"/>
      <c r="P53" s="3096"/>
      <c r="Q53" s="3096"/>
      <c r="R53" s="3093"/>
      <c r="S53" s="3093"/>
      <c r="T53" s="3096"/>
    </row>
    <row r="54" spans="1:20">
      <c r="A54" s="1223"/>
      <c r="B54" s="1223"/>
      <c r="C54" s="1223"/>
      <c r="D54" s="1217" t="s">
        <v>4256</v>
      </c>
      <c r="E54" s="1217"/>
      <c r="F54" s="1223"/>
      <c r="G54" s="1223"/>
      <c r="H54" s="1223"/>
      <c r="I54" s="1217">
        <f>SUM(I29:I53)</f>
        <v>77584</v>
      </c>
      <c r="J54" s="1217">
        <f t="shared" ref="J54:Q54" si="15">SUM(J29:J53)</f>
        <v>13082790</v>
      </c>
      <c r="K54" s="1217">
        <f t="shared" si="15"/>
        <v>14505746</v>
      </c>
      <c r="L54" s="1217">
        <f t="shared" si="15"/>
        <v>14139411</v>
      </c>
      <c r="M54" s="1217">
        <f t="shared" si="15"/>
        <v>16340898</v>
      </c>
      <c r="N54" s="1217">
        <f t="shared" si="15"/>
        <v>17640154</v>
      </c>
      <c r="O54" s="1217">
        <f t="shared" si="15"/>
        <v>15808257</v>
      </c>
      <c r="P54" s="1217">
        <f t="shared" si="15"/>
        <v>12178693</v>
      </c>
      <c r="Q54" s="1217">
        <f t="shared" si="15"/>
        <v>103695949</v>
      </c>
      <c r="R54" s="1219">
        <f>SUM(R29:R53)</f>
        <v>164589414</v>
      </c>
      <c r="S54" s="1640">
        <f>R54/(I54*0.9*30*24*12)</f>
        <v>0.2728182886283031</v>
      </c>
      <c r="T54" s="1219">
        <f>SUM(T29:T53)</f>
        <v>142480476</v>
      </c>
    </row>
    <row r="55" spans="1:20">
      <c r="A55" s="1217"/>
      <c r="B55" s="1217"/>
      <c r="C55" s="1217"/>
      <c r="D55" s="1217" t="s">
        <v>4257</v>
      </c>
      <c r="E55" s="1217"/>
      <c r="F55" s="1217"/>
      <c r="G55" s="1217"/>
      <c r="H55" s="1217"/>
      <c r="I55" s="1217">
        <f t="shared" ref="I55:R55" si="16">I27+I54</f>
        <v>325450</v>
      </c>
      <c r="J55" s="1217">
        <f t="shared" si="16"/>
        <v>64670070</v>
      </c>
      <c r="K55" s="1217">
        <f t="shared" si="16"/>
        <v>71581935.655200005</v>
      </c>
      <c r="L55" s="1217">
        <f t="shared" si="16"/>
        <v>73321462</v>
      </c>
      <c r="M55" s="1217">
        <f t="shared" si="16"/>
        <v>73327972</v>
      </c>
      <c r="N55" s="1217">
        <f t="shared" si="16"/>
        <v>78141795</v>
      </c>
      <c r="O55" s="1217">
        <f t="shared" si="16"/>
        <v>71503268</v>
      </c>
      <c r="P55" s="1217">
        <f t="shared" si="16"/>
        <v>70147490</v>
      </c>
      <c r="Q55" s="1217">
        <f t="shared" si="16"/>
        <v>502693992.6552</v>
      </c>
      <c r="R55" s="1219">
        <f t="shared" si="16"/>
        <v>783921628.74388576</v>
      </c>
      <c r="S55" s="1640">
        <f>R55/(I55*0.9*30*24*12)</f>
        <v>0.30976483840666869</v>
      </c>
      <c r="T55" s="1217">
        <f>T27+T54</f>
        <v>784957277</v>
      </c>
    </row>
  </sheetData>
  <mergeCells count="13">
    <mergeCell ref="R4:R5"/>
    <mergeCell ref="S4:S5"/>
    <mergeCell ref="T4:T5"/>
    <mergeCell ref="A3:T3"/>
    <mergeCell ref="A4:A5"/>
    <mergeCell ref="B4:B5"/>
    <mergeCell ref="C4:C5"/>
    <mergeCell ref="D4:D5"/>
    <mergeCell ref="F4:F5"/>
    <mergeCell ref="G4:G5"/>
    <mergeCell ref="H4:H5"/>
    <mergeCell ref="I4:I5"/>
    <mergeCell ref="J4:Q4"/>
  </mergeCells>
  <printOptions horizontalCentered="1" verticalCentered="1"/>
  <pageMargins left="0" right="0" top="0" bottom="0" header="0" footer="0"/>
  <pageSetup paperSize="9" scale="51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6C426-5799-4BC7-831E-0155A3BC16FD}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"/>
  <sheetViews>
    <sheetView workbookViewId="0">
      <selection activeCell="R25" activeCellId="1" sqref="A1 R25"/>
    </sheetView>
  </sheetViews>
  <sheetFormatPr defaultRowHeight="12.5"/>
  <sheetData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indexed="11"/>
  </sheetPr>
  <dimension ref="B7:I30"/>
  <sheetViews>
    <sheetView topLeftCell="A3" workbookViewId="0">
      <selection activeCell="R25" activeCellId="1" sqref="A1 R25"/>
    </sheetView>
  </sheetViews>
  <sheetFormatPr defaultRowHeight="12.5"/>
  <cols>
    <col min="2" max="2" width="10.7265625" bestFit="1" customWidth="1"/>
    <col min="3" max="5" width="11" customWidth="1"/>
    <col min="7" max="7" width="12.1796875" customWidth="1"/>
    <col min="8" max="8" width="10.81640625" customWidth="1"/>
  </cols>
  <sheetData>
    <row r="7" spans="2:9">
      <c r="B7" s="3526" t="s">
        <v>1010</v>
      </c>
      <c r="C7" s="3526"/>
      <c r="D7" s="3526"/>
      <c r="E7" s="3526"/>
      <c r="F7" s="3526"/>
      <c r="G7" s="3526"/>
      <c r="H7" s="3526"/>
    </row>
    <row r="8" spans="2:9" ht="37.5">
      <c r="B8" s="12"/>
      <c r="C8" s="588" t="s">
        <v>4796</v>
      </c>
      <c r="D8" s="1650" t="s">
        <v>5374</v>
      </c>
      <c r="E8" s="588" t="s">
        <v>5136</v>
      </c>
      <c r="F8" s="588" t="s">
        <v>5351</v>
      </c>
      <c r="G8" s="588" t="s">
        <v>5368</v>
      </c>
      <c r="H8" s="623" t="s">
        <v>5368</v>
      </c>
    </row>
    <row r="9" spans="2:9">
      <c r="B9" s="12" t="s">
        <v>1496</v>
      </c>
      <c r="C9" s="73">
        <f>'T-6 (21-22)'!K33*I9</f>
        <v>480.88085542138498</v>
      </c>
      <c r="D9" s="1651">
        <v>405</v>
      </c>
      <c r="E9" s="73">
        <f>Sheet2!C17*I9</f>
        <v>404.68612597813615</v>
      </c>
      <c r="F9" s="73">
        <f>'T-6 (22-23)'!K34*I9</f>
        <v>501.27651063164899</v>
      </c>
      <c r="G9" s="73">
        <f>'T-7(CUR)'!W37</f>
        <v>496.18904912453667</v>
      </c>
      <c r="H9" s="73">
        <f>'T-7(ENS)'!W37</f>
        <v>496.2514404344933</v>
      </c>
      <c r="I9">
        <v>100</v>
      </c>
    </row>
    <row r="10" spans="2:9">
      <c r="B10" s="12" t="s">
        <v>169</v>
      </c>
      <c r="C10" s="73">
        <f>'T-6 (21-22)'!K51*100</f>
        <v>779.52916857396792</v>
      </c>
      <c r="D10" s="1651">
        <v>685</v>
      </c>
      <c r="E10" s="73">
        <f>Sheet2!C18*100</f>
        <v>583.62829203911451</v>
      </c>
      <c r="F10" s="73">
        <f>'T-6 (22-23)'!K52*I10</f>
        <v>723.31876931240834</v>
      </c>
      <c r="G10" s="73">
        <f>'T-7(CUR)'!W54</f>
        <v>716.41134699693362</v>
      </c>
      <c r="H10" s="73">
        <f>'T-7(ENS)'!W54</f>
        <v>716.1901724412561</v>
      </c>
      <c r="I10">
        <v>100</v>
      </c>
    </row>
    <row r="11" spans="2:9">
      <c r="B11" s="12" t="s">
        <v>1494</v>
      </c>
      <c r="C11" s="73">
        <f>'T-6 (21-22)'!K61*100</f>
        <v>675.69282529254292</v>
      </c>
      <c r="D11" s="1651">
        <v>592</v>
      </c>
      <c r="E11" s="73">
        <f>Sheet2!C19*I11</f>
        <v>585.87165060682491</v>
      </c>
      <c r="F11" s="73">
        <f>'T-6 (22-23)'!K63*I11</f>
        <v>659.10519322935443</v>
      </c>
      <c r="G11" s="73">
        <f>'T-7(CUR)'!W64</f>
        <v>658.91799505938252</v>
      </c>
      <c r="H11" s="73">
        <f>'T-7(ENS)'!W64</f>
        <v>651.95857602805222</v>
      </c>
      <c r="I11">
        <v>100</v>
      </c>
    </row>
    <row r="12" spans="2:9" ht="13">
      <c r="B12" s="12" t="s">
        <v>1100</v>
      </c>
      <c r="C12" s="501">
        <f>'T-6 (21-22)'!K70*I12</f>
        <v>547.68301282711218</v>
      </c>
      <c r="D12" s="1652">
        <v>456</v>
      </c>
      <c r="E12" s="1253">
        <f>Sheet2!C20*I12</f>
        <v>451.99670781893008</v>
      </c>
      <c r="F12" s="501">
        <f>'T-6 (22-23)'!K72*I12</f>
        <v>559.78713212870673</v>
      </c>
      <c r="G12" s="501">
        <f>'T-7(CUR)'!W65</f>
        <v>549.87205416621362</v>
      </c>
      <c r="H12" s="501">
        <f>'T-7(ENS)'!W65</f>
        <v>559.84661001097879</v>
      </c>
      <c r="I12">
        <v>100</v>
      </c>
    </row>
    <row r="18" spans="2:9" ht="13">
      <c r="B18" s="423" t="s">
        <v>895</v>
      </c>
      <c r="C18" s="24" t="s">
        <v>945</v>
      </c>
      <c r="D18" s="24" t="s">
        <v>946</v>
      </c>
      <c r="E18" s="24" t="s">
        <v>947</v>
      </c>
      <c r="F18" s="24" t="s">
        <v>1592</v>
      </c>
      <c r="G18" s="24" t="s">
        <v>3681</v>
      </c>
      <c r="H18" s="24" t="s">
        <v>3311</v>
      </c>
      <c r="I18" s="24" t="s">
        <v>3599</v>
      </c>
    </row>
    <row r="19" spans="2:9">
      <c r="B19" s="75" t="s">
        <v>3682</v>
      </c>
      <c r="C19" s="55">
        <v>537557</v>
      </c>
      <c r="D19" s="55">
        <v>586688</v>
      </c>
      <c r="E19" s="55">
        <v>662163</v>
      </c>
      <c r="F19" s="55">
        <v>740661</v>
      </c>
      <c r="G19" s="55">
        <v>831787</v>
      </c>
      <c r="H19" s="55">
        <v>871787</v>
      </c>
      <c r="I19" s="55">
        <v>969787</v>
      </c>
    </row>
    <row r="20" spans="2:9">
      <c r="B20" s="75" t="s">
        <v>3683</v>
      </c>
      <c r="C20" s="55">
        <v>21992</v>
      </c>
      <c r="D20" s="55">
        <v>65104</v>
      </c>
      <c r="E20" s="55">
        <v>150767</v>
      </c>
      <c r="F20" s="55">
        <v>247432</v>
      </c>
      <c r="G20" s="55">
        <v>285989</v>
      </c>
      <c r="H20" s="55">
        <v>543177</v>
      </c>
      <c r="I20" s="55">
        <v>695177</v>
      </c>
    </row>
    <row r="21" spans="2:9">
      <c r="B21" s="75" t="s">
        <v>3684</v>
      </c>
      <c r="C21" s="55">
        <v>45681</v>
      </c>
      <c r="D21" s="55">
        <v>47048</v>
      </c>
      <c r="E21" s="55">
        <v>48161</v>
      </c>
      <c r="F21" s="55">
        <v>49804</v>
      </c>
      <c r="G21" s="55">
        <v>50189</v>
      </c>
      <c r="H21" s="55">
        <v>51200</v>
      </c>
      <c r="I21" s="55">
        <v>52700</v>
      </c>
    </row>
    <row r="22" spans="2:9">
      <c r="B22" s="75" t="s">
        <v>3685</v>
      </c>
      <c r="C22" s="55">
        <v>5142</v>
      </c>
      <c r="D22" s="55">
        <v>5368</v>
      </c>
      <c r="E22" s="55">
        <v>5718</v>
      </c>
      <c r="F22" s="55">
        <v>6137</v>
      </c>
      <c r="G22" s="55">
        <v>6225</v>
      </c>
      <c r="H22" s="55">
        <v>6300</v>
      </c>
      <c r="I22" s="55">
        <v>6500</v>
      </c>
    </row>
    <row r="23" spans="2:9" ht="13">
      <c r="B23" s="423" t="s">
        <v>1101</v>
      </c>
      <c r="C23" s="24">
        <f t="shared" ref="C23:I23" si="0">SUM(C19:C22)</f>
        <v>610372</v>
      </c>
      <c r="D23" s="24">
        <f t="shared" si="0"/>
        <v>704208</v>
      </c>
      <c r="E23" s="24">
        <f t="shared" si="0"/>
        <v>866809</v>
      </c>
      <c r="F23" s="24">
        <f t="shared" si="0"/>
        <v>1044034</v>
      </c>
      <c r="G23" s="24">
        <f t="shared" si="0"/>
        <v>1174190</v>
      </c>
      <c r="H23" s="24">
        <f t="shared" si="0"/>
        <v>1472464</v>
      </c>
      <c r="I23" s="24">
        <f t="shared" si="0"/>
        <v>1724164</v>
      </c>
    </row>
    <row r="25" spans="2:9">
      <c r="B25" s="141" t="s">
        <v>4618</v>
      </c>
    </row>
    <row r="26" spans="2:9">
      <c r="B26" s="12"/>
      <c r="C26" s="12" t="s">
        <v>3353</v>
      </c>
      <c r="D26" s="12" t="s">
        <v>3663</v>
      </c>
      <c r="E26" s="12" t="s">
        <v>4045</v>
      </c>
      <c r="F26" s="12" t="s">
        <v>4617</v>
      </c>
    </row>
    <row r="27" spans="2:9">
      <c r="B27" s="12" t="s">
        <v>1496</v>
      </c>
      <c r="C27" s="12">
        <v>1135.1440000000002</v>
      </c>
      <c r="D27" s="12">
        <v>1365.2909999999999</v>
      </c>
      <c r="E27" s="313">
        <v>1571.1712999999997</v>
      </c>
      <c r="F27" s="313">
        <v>1739.5731875000001</v>
      </c>
    </row>
    <row r="28" spans="2:9">
      <c r="B28" s="12" t="s">
        <v>169</v>
      </c>
      <c r="C28" s="12">
        <v>180.65100000000001</v>
      </c>
      <c r="D28" s="12">
        <v>195.60399999999998</v>
      </c>
      <c r="E28" s="313">
        <v>204.10001999999997</v>
      </c>
      <c r="F28" s="313">
        <v>211.99341570000001</v>
      </c>
    </row>
    <row r="29" spans="2:9">
      <c r="B29" s="12" t="s">
        <v>1494</v>
      </c>
      <c r="C29" s="12">
        <v>404.56800000000004</v>
      </c>
      <c r="D29" s="12">
        <v>386.83800000000002</v>
      </c>
      <c r="E29" s="313">
        <v>350.12400000000002</v>
      </c>
      <c r="F29" s="313">
        <v>356.09987999999998</v>
      </c>
    </row>
    <row r="30" spans="2:9" ht="13">
      <c r="B30" s="14" t="s">
        <v>1100</v>
      </c>
      <c r="C30" s="14">
        <f>SUM(C27:C29)</f>
        <v>1720.3630000000003</v>
      </c>
      <c r="D30" s="14">
        <f>SUM(D27:D29)</f>
        <v>1947.7329999999999</v>
      </c>
      <c r="E30" s="314">
        <f>SUM(E27:E29)</f>
        <v>2125.3953199999996</v>
      </c>
      <c r="F30" s="314">
        <f>SUM(F27:F29)</f>
        <v>2307.6664832000001</v>
      </c>
    </row>
  </sheetData>
  <mergeCells count="1">
    <mergeCell ref="B7:H7"/>
  </mergeCells>
  <phoneticPr fontId="63" type="noConversion"/>
  <pageMargins left="0.75" right="0.75" top="1" bottom="1" header="0.5" footer="0.5"/>
  <pageSetup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indexed="34"/>
    <pageSetUpPr fitToPage="1"/>
  </sheetPr>
  <dimension ref="A1:L382"/>
  <sheetViews>
    <sheetView view="pageBreakPreview" topLeftCell="A249" zoomScaleSheetLayoutView="100" workbookViewId="0">
      <selection activeCell="R25" activeCellId="1" sqref="A1 R25"/>
    </sheetView>
  </sheetViews>
  <sheetFormatPr defaultRowHeight="12.5"/>
  <cols>
    <col min="1" max="1" width="6.81640625" customWidth="1"/>
    <col min="2" max="2" width="52.26953125" customWidth="1"/>
    <col min="3" max="3" width="21.1796875" customWidth="1"/>
    <col min="4" max="4" width="15.54296875" customWidth="1"/>
    <col min="5" max="5" width="13.54296875" customWidth="1"/>
    <col min="6" max="6" width="12.1796875" customWidth="1"/>
    <col min="7" max="7" width="11.26953125" customWidth="1"/>
    <col min="8" max="8" width="12.26953125" customWidth="1"/>
    <col min="9" max="9" width="13.26953125" customWidth="1"/>
    <col min="10" max="10" width="13.453125" customWidth="1"/>
    <col min="11" max="11" width="12.26953125" customWidth="1"/>
    <col min="12" max="12" width="13.1796875" customWidth="1"/>
  </cols>
  <sheetData>
    <row r="1" spans="1:6">
      <c r="A1" t="s">
        <v>7155</v>
      </c>
    </row>
    <row r="2" spans="1:6">
      <c r="A2" t="s">
        <v>4795</v>
      </c>
    </row>
    <row r="3" spans="1:6">
      <c r="E3" t="s">
        <v>427</v>
      </c>
    </row>
    <row r="4" spans="1:6" ht="21.5" thickBot="1">
      <c r="A4" s="311"/>
      <c r="B4" s="312" t="s">
        <v>428</v>
      </c>
      <c r="C4" s="496" t="s">
        <v>5369</v>
      </c>
      <c r="D4" s="312" t="s">
        <v>5370</v>
      </c>
      <c r="E4" s="312" t="s">
        <v>429</v>
      </c>
    </row>
    <row r="5" spans="1:6" ht="13" thickTop="1">
      <c r="B5" t="s">
        <v>1267</v>
      </c>
      <c r="C5" s="2">
        <v>4050</v>
      </c>
      <c r="D5" s="610">
        <f>'T-1'!K62</f>
        <v>4495.3606545443999</v>
      </c>
      <c r="E5" s="2">
        <f>C5-D5</f>
        <v>-445.36065454439995</v>
      </c>
    </row>
    <row r="6" spans="1:6">
      <c r="C6" s="3">
        <f>C31/C5*10</f>
        <v>2.1685432098765429</v>
      </c>
      <c r="D6" s="3">
        <f>C6</f>
        <v>2.1685432098765429</v>
      </c>
      <c r="E6" s="2"/>
    </row>
    <row r="7" spans="1:6">
      <c r="B7" s="12" t="s">
        <v>1291</v>
      </c>
      <c r="C7" s="313"/>
      <c r="D7" s="313"/>
      <c r="E7" s="313"/>
    </row>
    <row r="8" spans="1:6">
      <c r="B8" s="12" t="s">
        <v>1496</v>
      </c>
      <c r="C8" s="313">
        <v>2240.23</v>
      </c>
      <c r="D8" s="313">
        <f>'T-1'!K32</f>
        <v>2385.0961995057</v>
      </c>
      <c r="E8" s="313">
        <f>C8-D8</f>
        <v>-144.86619950570002</v>
      </c>
      <c r="F8" s="2"/>
    </row>
    <row r="9" spans="1:6">
      <c r="B9" s="12" t="s">
        <v>169</v>
      </c>
      <c r="C9" s="313">
        <v>333.38</v>
      </c>
      <c r="D9" s="313">
        <f>'T-1'!K49</f>
        <v>367.22209249219998</v>
      </c>
      <c r="E9" s="313">
        <f>C9-D9</f>
        <v>-33.842092492199981</v>
      </c>
    </row>
    <row r="10" spans="1:6" ht="13">
      <c r="B10" s="12" t="s">
        <v>1266</v>
      </c>
      <c r="C10" s="314">
        <f>C9+C8</f>
        <v>2573.61</v>
      </c>
      <c r="D10" s="314">
        <f>D9+D8</f>
        <v>2752.3182919978999</v>
      </c>
      <c r="E10" s="314">
        <f>E9+E8</f>
        <v>-178.70829199790001</v>
      </c>
    </row>
    <row r="11" spans="1:6">
      <c r="B11" s="12" t="s">
        <v>1494</v>
      </c>
      <c r="C11" s="313">
        <v>463.89</v>
      </c>
      <c r="D11" s="313">
        <f>'T-1'!K59</f>
        <v>619.3351813104</v>
      </c>
      <c r="E11" s="313">
        <f>C11-D11</f>
        <v>-155.44518131040002</v>
      </c>
    </row>
    <row r="12" spans="1:6" ht="13">
      <c r="B12" s="12" t="s">
        <v>1100</v>
      </c>
      <c r="C12" s="314">
        <f>C11+C10</f>
        <v>3037.5</v>
      </c>
      <c r="D12" s="314">
        <f>D11+D10</f>
        <v>3371.6534733082999</v>
      </c>
      <c r="E12" s="314">
        <f>C12-D12</f>
        <v>-334.15347330829991</v>
      </c>
    </row>
    <row r="13" spans="1:6" ht="13">
      <c r="B13" s="12" t="s">
        <v>430</v>
      </c>
      <c r="C13" s="1575">
        <f>(C5-C12)/C5</f>
        <v>0.25</v>
      </c>
      <c r="D13" s="315">
        <f>(D5-D12)/D5</f>
        <v>0.24997041785738247</v>
      </c>
      <c r="E13" s="315">
        <f>C13-D13</f>
        <v>2.9582142617529117E-5</v>
      </c>
    </row>
    <row r="14" spans="1:6" ht="13">
      <c r="B14" s="12" t="s">
        <v>431</v>
      </c>
      <c r="C14" s="1575">
        <f>((C5-C11)-C10)/(C5-C11)</f>
        <v>0.28233935936153659</v>
      </c>
      <c r="D14" s="315">
        <f>((D5-D11)-D10)/(D5-D11)</f>
        <v>0.28991222813056589</v>
      </c>
      <c r="E14" s="315">
        <f>C14-D14</f>
        <v>-7.5728687690292951E-3</v>
      </c>
    </row>
    <row r="15" spans="1:6" ht="13">
      <c r="B15" s="12"/>
      <c r="C15" s="523"/>
      <c r="D15" s="315"/>
      <c r="E15" s="315"/>
    </row>
    <row r="16" spans="1:6">
      <c r="B16" s="12" t="s">
        <v>434</v>
      </c>
      <c r="C16" s="12"/>
      <c r="D16" s="12"/>
      <c r="E16" s="12"/>
    </row>
    <row r="17" spans="2:9">
      <c r="B17" s="12" t="s">
        <v>1496</v>
      </c>
      <c r="C17" s="19">
        <f>C22/C8*10</f>
        <v>4.0468612597813616</v>
      </c>
      <c r="D17" s="19">
        <f>D22/D8*10</f>
        <v>4.9618706583288823</v>
      </c>
      <c r="E17" s="73">
        <f>C17-D17</f>
        <v>-0.91500939854752072</v>
      </c>
    </row>
    <row r="18" spans="2:9">
      <c r="B18" s="12" t="s">
        <v>169</v>
      </c>
      <c r="C18" s="19">
        <f>C23/C9*10</f>
        <v>5.8362829203911453</v>
      </c>
      <c r="D18" s="19">
        <f>D23/D9*10</f>
        <v>7.1641134699693367</v>
      </c>
      <c r="E18" s="73">
        <f>C18-D18</f>
        <v>-1.3278305495781915</v>
      </c>
    </row>
    <row r="19" spans="2:9">
      <c r="B19" s="12" t="s">
        <v>1494</v>
      </c>
      <c r="C19" s="19">
        <f>C24/C11*10</f>
        <v>5.8587165060682489</v>
      </c>
      <c r="D19" s="19">
        <f>D24/D11*10</f>
        <v>6.5253452438040158</v>
      </c>
      <c r="E19" s="73">
        <f>C19-D19</f>
        <v>-0.66662873773576692</v>
      </c>
    </row>
    <row r="20" spans="2:9">
      <c r="B20" s="12" t="s">
        <v>1100</v>
      </c>
      <c r="C20" s="524">
        <f>+C25/C12*10</f>
        <v>4.5199670781893007</v>
      </c>
      <c r="D20" s="127">
        <f>+D25/D12*10</f>
        <v>5.48891978820056</v>
      </c>
      <c r="E20" s="127">
        <f>+E25/E12/10</f>
        <v>0.14296830199904476</v>
      </c>
    </row>
    <row r="21" spans="2:9">
      <c r="B21" s="12" t="s">
        <v>435</v>
      </c>
      <c r="C21" s="12"/>
      <c r="D21" s="12"/>
      <c r="E21" s="12"/>
    </row>
    <row r="22" spans="2:9">
      <c r="B22" s="12" t="s">
        <v>1496</v>
      </c>
      <c r="C22" s="524">
        <v>906.59</v>
      </c>
      <c r="D22" s="127">
        <f>'T-7(CUR)'!AA37</f>
        <v>1183.4538849619064</v>
      </c>
      <c r="E22" s="127">
        <f>C22-D22</f>
        <v>-276.86388496190636</v>
      </c>
    </row>
    <row r="23" spans="2:9">
      <c r="B23" s="12" t="s">
        <v>169</v>
      </c>
      <c r="C23" s="524">
        <v>194.57</v>
      </c>
      <c r="D23" s="127">
        <f>'T-7(CUR)'!AA54</f>
        <v>263.08207392936953</v>
      </c>
      <c r="E23" s="127">
        <f>C23-D23</f>
        <v>-68.512073929369535</v>
      </c>
    </row>
    <row r="24" spans="2:9">
      <c r="B24" s="12" t="s">
        <v>1494</v>
      </c>
      <c r="C24" s="524">
        <v>271.77999999999997</v>
      </c>
      <c r="D24" s="127">
        <f>'T-7(CUR)'!AA64</f>
        <v>404.13758796843166</v>
      </c>
      <c r="E24" s="127">
        <f>C24-D24</f>
        <v>-132.35758796843169</v>
      </c>
    </row>
    <row r="25" spans="2:9" ht="13">
      <c r="B25" s="12" t="s">
        <v>1100</v>
      </c>
      <c r="C25" s="525">
        <f>SUM(C22:C24)</f>
        <v>1372.94</v>
      </c>
      <c r="D25" s="316">
        <f>SUM(D22:D24)</f>
        <v>1850.6735468597076</v>
      </c>
      <c r="E25" s="316">
        <f>SUM(E22:E24)</f>
        <v>-477.73354685970759</v>
      </c>
      <c r="F25" s="234"/>
    </row>
    <row r="26" spans="2:9">
      <c r="B26" s="12" t="s">
        <v>1292</v>
      </c>
      <c r="C26" s="524"/>
      <c r="D26" s="127"/>
      <c r="E26" s="127"/>
      <c r="G26" s="3"/>
    </row>
    <row r="27" spans="2:9">
      <c r="B27" s="12" t="s">
        <v>896</v>
      </c>
      <c r="C27" s="524">
        <v>39.770000000000003</v>
      </c>
      <c r="D27" s="127">
        <f>+'F-6'!J34</f>
        <v>52.488218606000011</v>
      </c>
      <c r="E27" s="127">
        <f>C27-D27</f>
        <v>-12.718218606000008</v>
      </c>
    </row>
    <row r="28" spans="2:9" ht="13">
      <c r="B28" s="12" t="s">
        <v>305</v>
      </c>
      <c r="C28" s="525">
        <f>C27+C25+C26</f>
        <v>1412.71</v>
      </c>
      <c r="D28" s="316">
        <f>D27+D25</f>
        <v>1903.1617654657075</v>
      </c>
      <c r="E28" s="316">
        <f>E27+E25</f>
        <v>-490.45176546570758</v>
      </c>
    </row>
    <row r="29" spans="2:9">
      <c r="B29" s="12"/>
      <c r="C29" s="524"/>
      <c r="D29" s="127"/>
      <c r="E29" s="127"/>
      <c r="H29" s="620"/>
    </row>
    <row r="30" spans="2:9" ht="13">
      <c r="B30" s="14" t="s">
        <v>1414</v>
      </c>
      <c r="C30" s="524"/>
      <c r="D30" s="127"/>
      <c r="E30" s="127"/>
    </row>
    <row r="31" spans="2:9">
      <c r="B31" s="12" t="s">
        <v>306</v>
      </c>
      <c r="C31" s="524">
        <v>878.26</v>
      </c>
      <c r="D31" s="127">
        <f>+'F-6'!J11</f>
        <v>1135.5547172397337</v>
      </c>
      <c r="E31" s="127">
        <f t="shared" ref="E31:E38" si="0">C31-D31</f>
        <v>-257.2947172397337</v>
      </c>
      <c r="I31" s="608"/>
    </row>
    <row r="32" spans="2:9">
      <c r="B32" s="12" t="s">
        <v>307</v>
      </c>
      <c r="C32" s="524">
        <v>370.88</v>
      </c>
      <c r="D32" s="127">
        <f>+'F-6'!J13</f>
        <v>545.84891526230615</v>
      </c>
      <c r="E32" s="127">
        <f t="shared" si="0"/>
        <v>-174.96891526230615</v>
      </c>
    </row>
    <row r="33" spans="2:9">
      <c r="B33" s="12" t="s">
        <v>1355</v>
      </c>
      <c r="C33" s="524">
        <v>35.49</v>
      </c>
      <c r="D33" s="127">
        <f>+'F-6'!J15+'F-6'!J28</f>
        <v>123.40058121603747</v>
      </c>
      <c r="E33" s="127">
        <f t="shared" si="0"/>
        <v>-87.910581216037457</v>
      </c>
    </row>
    <row r="34" spans="2:9">
      <c r="B34" s="12" t="s">
        <v>308</v>
      </c>
      <c r="C34" s="524">
        <v>45.96</v>
      </c>
      <c r="D34" s="127">
        <f>+'F-6'!J14</f>
        <v>145.39831301164173</v>
      </c>
      <c r="E34" s="127">
        <f t="shared" si="0"/>
        <v>-99.438313011641725</v>
      </c>
      <c r="F34" s="234">
        <f>C32+C33+C34</f>
        <v>452.33</v>
      </c>
      <c r="G34" s="234">
        <f>D32+D33+D34</f>
        <v>814.64780948998532</v>
      </c>
      <c r="H34" s="234">
        <f>F34-G34</f>
        <v>-362.31780948998534</v>
      </c>
    </row>
    <row r="35" spans="2:9">
      <c r="B35" s="12" t="s">
        <v>4414</v>
      </c>
      <c r="C35" s="524">
        <v>0</v>
      </c>
      <c r="D35" s="127"/>
      <c r="E35" s="127"/>
      <c r="F35" s="234"/>
      <c r="G35" s="234"/>
      <c r="H35" s="234"/>
    </row>
    <row r="36" spans="2:9">
      <c r="B36" s="12" t="s">
        <v>309</v>
      </c>
      <c r="C36" s="524">
        <v>11.01</v>
      </c>
      <c r="D36" s="127">
        <f>+'F-6'!J16</f>
        <v>18.693517058126908</v>
      </c>
      <c r="E36" s="127">
        <f t="shared" si="0"/>
        <v>-7.6835170581269079</v>
      </c>
      <c r="F36" s="234">
        <f>+C25-C36</f>
        <v>1361.93</v>
      </c>
      <c r="G36" s="234">
        <f>+D25-D36</f>
        <v>1831.9800298015807</v>
      </c>
      <c r="H36" s="234">
        <f>F36-G36</f>
        <v>-470.05002980158065</v>
      </c>
    </row>
    <row r="37" spans="2:9">
      <c r="B37" s="12" t="s">
        <v>310</v>
      </c>
      <c r="C37" s="524">
        <v>29.03</v>
      </c>
      <c r="D37" s="127">
        <f>+'F-6'!J17</f>
        <v>52.228739074452392</v>
      </c>
      <c r="E37" s="127">
        <f t="shared" si="0"/>
        <v>-23.198739074452391</v>
      </c>
    </row>
    <row r="38" spans="2:9">
      <c r="B38" s="12" t="s">
        <v>311</v>
      </c>
      <c r="C38" s="524">
        <v>25.48</v>
      </c>
      <c r="D38" s="127">
        <f>+'F-6'!J20+'F-6'!J21+'F-6'!J22</f>
        <v>56.30678705062892</v>
      </c>
      <c r="E38" s="127">
        <f t="shared" si="0"/>
        <v>-30.826787050628919</v>
      </c>
    </row>
    <row r="39" spans="2:9" ht="13">
      <c r="B39" s="12" t="s">
        <v>312</v>
      </c>
      <c r="C39" s="525">
        <f>SUM(C31:C38)</f>
        <v>1396.11</v>
      </c>
      <c r="D39" s="316">
        <f>SUM(D31:D38)</f>
        <v>2077.431569912927</v>
      </c>
      <c r="E39" s="316">
        <f>SUM(E31:E38)</f>
        <v>-681.32156991292732</v>
      </c>
    </row>
    <row r="40" spans="2:9">
      <c r="B40" s="12" t="s">
        <v>313</v>
      </c>
      <c r="C40" s="524">
        <v>0</v>
      </c>
      <c r="D40" s="127">
        <f>-'F-6'!J19</f>
        <v>28.27</v>
      </c>
      <c r="E40" s="127">
        <f>C40-D40</f>
        <v>-28.27</v>
      </c>
      <c r="F40" s="234">
        <f>+C32+C33+C34-C40</f>
        <v>452.33</v>
      </c>
      <c r="G40" s="234">
        <f>+D32+D33+D34-D40</f>
        <v>786.37780948998534</v>
      </c>
    </row>
    <row r="41" spans="2:9" ht="13">
      <c r="B41" s="12" t="s">
        <v>314</v>
      </c>
      <c r="C41" s="525">
        <f>C39-C40</f>
        <v>1396.11</v>
      </c>
      <c r="D41" s="316">
        <f>D39-D40</f>
        <v>2049.161569912927</v>
      </c>
      <c r="E41" s="316">
        <f>E39-E40</f>
        <v>-653.05156991292733</v>
      </c>
      <c r="F41" s="3"/>
      <c r="G41" s="3"/>
      <c r="H41" s="3"/>
    </row>
    <row r="42" spans="2:9">
      <c r="B42" s="12" t="s">
        <v>315</v>
      </c>
      <c r="C42" s="524">
        <v>6.03</v>
      </c>
      <c r="D42" s="127">
        <f>ROUND(+'F-6'!J23,2)</f>
        <v>44</v>
      </c>
      <c r="E42" s="327">
        <f>C42-D42</f>
        <v>-37.97</v>
      </c>
    </row>
    <row r="43" spans="2:9" ht="13">
      <c r="B43" s="12" t="s">
        <v>316</v>
      </c>
      <c r="C43" s="525">
        <f>C41+C42</f>
        <v>1402.1399999999999</v>
      </c>
      <c r="D43" s="316">
        <f>D41+D42</f>
        <v>2093.161569912927</v>
      </c>
      <c r="E43" s="316">
        <f>E41+E42</f>
        <v>-691.02156991292736</v>
      </c>
    </row>
    <row r="44" spans="2:9">
      <c r="B44" s="624" t="s">
        <v>5371</v>
      </c>
      <c r="C44" s="524">
        <f>C28-C43</f>
        <v>10.570000000000164</v>
      </c>
      <c r="D44" s="127">
        <f>D28-D43</f>
        <v>-189.9998044472195</v>
      </c>
      <c r="E44" s="127">
        <f>C44-D44</f>
        <v>200.56980444721967</v>
      </c>
    </row>
    <row r="45" spans="2:9">
      <c r="B45" s="12"/>
      <c r="C45" s="524"/>
      <c r="D45" s="127"/>
      <c r="E45" s="127">
        <f>C45-D45</f>
        <v>0</v>
      </c>
    </row>
    <row r="46" spans="2:9">
      <c r="B46" s="12" t="s">
        <v>317</v>
      </c>
      <c r="C46" s="524">
        <f>C44+C45</f>
        <v>10.570000000000164</v>
      </c>
      <c r="D46" s="127">
        <f>D44+D45</f>
        <v>-189.9998044472195</v>
      </c>
      <c r="E46" s="127">
        <f>E44+E45</f>
        <v>200.56980444721967</v>
      </c>
      <c r="G46" s="234">
        <f>C32+C33+C34</f>
        <v>452.33</v>
      </c>
      <c r="H46" s="234">
        <f>D32+D33+D34</f>
        <v>814.64780948998532</v>
      </c>
      <c r="I46" s="234">
        <f>H46-G46</f>
        <v>362.31780948998534</v>
      </c>
    </row>
    <row r="47" spans="2:9">
      <c r="B47" s="12" t="s">
        <v>17</v>
      </c>
      <c r="C47" s="618"/>
      <c r="D47" s="619"/>
      <c r="E47" s="619">
        <f>C47-D47</f>
        <v>0</v>
      </c>
    </row>
    <row r="48" spans="2:9">
      <c r="B48" s="12" t="s">
        <v>1185</v>
      </c>
      <c r="C48" s="524">
        <f>+C46-C47</f>
        <v>10.570000000000164</v>
      </c>
      <c r="D48" s="127">
        <f>+D46-D47</f>
        <v>-189.9998044472195</v>
      </c>
      <c r="E48" s="127">
        <f>+E46-E47</f>
        <v>200.56980444721967</v>
      </c>
      <c r="F48" s="3"/>
    </row>
    <row r="49" spans="2:5">
      <c r="D49" s="3">
        <f>+'F-6'!J42</f>
        <v>-210.79385134615904</v>
      </c>
    </row>
    <row r="50" spans="2:5">
      <c r="D50" s="232">
        <f>+D48+D49</f>
        <v>-400.79365579337855</v>
      </c>
    </row>
    <row r="53" spans="2:5">
      <c r="B53" t="s">
        <v>318</v>
      </c>
    </row>
    <row r="54" spans="2:5">
      <c r="B54" t="s">
        <v>1517</v>
      </c>
      <c r="C54" s="232">
        <f>C28-C24</f>
        <v>1140.93</v>
      </c>
      <c r="D54" s="232">
        <f>D28-D24</f>
        <v>1499.0241774972758</v>
      </c>
      <c r="E54" s="232">
        <f>D54-C54</f>
        <v>358.09417749727572</v>
      </c>
    </row>
    <row r="55" spans="2:5">
      <c r="B55" t="s">
        <v>1234</v>
      </c>
      <c r="C55" s="232">
        <f>C43-(C11*C6*10)</f>
        <v>-8657.5150962962944</v>
      </c>
      <c r="D55" s="232">
        <f>D43-(D11*D6*10)</f>
        <v>-11337.389450770328</v>
      </c>
      <c r="E55" s="232">
        <f>D55-C55</f>
        <v>-2679.8743544740337</v>
      </c>
    </row>
    <row r="56" spans="2:5">
      <c r="C56" s="232">
        <f>C54-C55</f>
        <v>9798.4450962962947</v>
      </c>
      <c r="D56" s="232">
        <f>D54-D55</f>
        <v>12836.413628267605</v>
      </c>
      <c r="E56" s="232">
        <f>D56-C56</f>
        <v>3037.9685319713099</v>
      </c>
    </row>
    <row r="57" spans="2:5">
      <c r="B57" t="s">
        <v>319</v>
      </c>
      <c r="C57" s="232">
        <f>(C11*(C19-C6*100))/10</f>
        <v>-9787.8750962962949</v>
      </c>
      <c r="D57" s="232">
        <f>(D11*(D19-D6*100))/10</f>
        <v>-13026.413432714824</v>
      </c>
      <c r="E57" s="232">
        <f>D57-C57</f>
        <v>-3238.5383364185291</v>
      </c>
    </row>
    <row r="58" spans="2:5">
      <c r="B58" t="s">
        <v>320</v>
      </c>
      <c r="C58" s="232">
        <f>C56+C57</f>
        <v>10.569999999999709</v>
      </c>
      <c r="D58" s="232">
        <f>D56+D57</f>
        <v>-189.9998044472195</v>
      </c>
      <c r="E58" s="232">
        <f>D58-C58</f>
        <v>-200.56980444721921</v>
      </c>
    </row>
    <row r="60" spans="2:5">
      <c r="C60" s="3">
        <f>5134-3191</f>
        <v>1943</v>
      </c>
    </row>
    <row r="61" spans="2:5">
      <c r="C61" s="232">
        <f>+C44+C60</f>
        <v>1953.5700000000002</v>
      </c>
    </row>
    <row r="62" spans="2:5">
      <c r="C62" s="232"/>
    </row>
    <row r="63" spans="2:5">
      <c r="C63" s="232"/>
    </row>
    <row r="64" spans="2:5" s="1" customFormat="1" ht="13">
      <c r="B64" s="2400" t="s">
        <v>7159</v>
      </c>
      <c r="C64" s="2407"/>
      <c r="D64" s="2400"/>
      <c r="E64" s="2400"/>
    </row>
    <row r="65" spans="2:6">
      <c r="B65" s="2408"/>
      <c r="C65" s="2409" t="s">
        <v>4796</v>
      </c>
      <c r="D65" s="2410" t="s">
        <v>5132</v>
      </c>
      <c r="E65" s="2410" t="s">
        <v>7160</v>
      </c>
    </row>
    <row r="66" spans="2:6">
      <c r="B66" s="2408" t="s">
        <v>1133</v>
      </c>
      <c r="C66" s="2411">
        <f>F166+F175+F183</f>
        <v>2555.88</v>
      </c>
      <c r="D66" s="2412">
        <f>'T-1'!F61</f>
        <v>3021.54255641694</v>
      </c>
      <c r="E66" s="2412">
        <f>'T-1'!K61</f>
        <v>3371.6534733082999</v>
      </c>
      <c r="F66" s="3">
        <f>(D66-C66)/C66*100</f>
        <v>18.219265240032389</v>
      </c>
    </row>
    <row r="67" spans="2:6">
      <c r="B67" s="2408" t="s">
        <v>1134</v>
      </c>
      <c r="C67" s="2412">
        <v>3468.6280000000002</v>
      </c>
      <c r="D67" s="2412">
        <f>'T-1'!F62</f>
        <v>3941.5407756566683</v>
      </c>
      <c r="E67" s="2412">
        <f>'T-1'!K62</f>
        <v>4495.3606545443999</v>
      </c>
      <c r="F67" s="3">
        <f>(D67-C67)/C67*100</f>
        <v>13.634000984154776</v>
      </c>
    </row>
    <row r="68" spans="2:6">
      <c r="B68" s="2408" t="s">
        <v>240</v>
      </c>
      <c r="C68" s="2413">
        <f>(C67-C66)/C67</f>
        <v>0.26314381363467054</v>
      </c>
      <c r="D68" s="2413">
        <f>(D67-D66)/D67</f>
        <v>0.23341080851471208</v>
      </c>
      <c r="E68" s="2413">
        <f>(E67-E66)/E67</f>
        <v>0.24997041785738247</v>
      </c>
    </row>
    <row r="69" spans="2:6">
      <c r="D69" s="499">
        <f>D68-C68</f>
        <v>-2.9733005119958467E-2</v>
      </c>
      <c r="E69" s="499">
        <f>E68-D68</f>
        <v>1.6559609342670395E-2</v>
      </c>
    </row>
    <row r="71" spans="2:6" ht="13">
      <c r="B71" s="2414" t="s">
        <v>7161</v>
      </c>
      <c r="C71" s="2415"/>
      <c r="D71" s="1"/>
      <c r="E71" s="1"/>
    </row>
    <row r="72" spans="2:6">
      <c r="B72" s="2408"/>
      <c r="C72" s="2409" t="s">
        <v>7162</v>
      </c>
      <c r="D72" s="4" t="s">
        <v>241</v>
      </c>
      <c r="E72" s="4"/>
    </row>
    <row r="73" spans="2:6">
      <c r="B73" s="2408" t="s">
        <v>1133</v>
      </c>
      <c r="C73" s="2412">
        <f>'T-1'!O61</f>
        <v>3586.5410904983701</v>
      </c>
      <c r="E73" s="2"/>
    </row>
    <row r="74" spans="2:6">
      <c r="B74" s="2408" t="s">
        <v>1134</v>
      </c>
      <c r="C74" s="2412">
        <f>'T-1'!O62</f>
        <v>4781.2681206644938</v>
      </c>
      <c r="E74" s="2"/>
    </row>
    <row r="75" spans="2:6">
      <c r="B75" s="2408" t="s">
        <v>240</v>
      </c>
      <c r="C75" s="2413">
        <f>(C74-C73)/C74</f>
        <v>0.24987660177486185</v>
      </c>
      <c r="D75" s="409">
        <f>C75-E68</f>
        <v>-9.3816082520625788E-5</v>
      </c>
      <c r="E75" s="409"/>
    </row>
    <row r="76" spans="2:6">
      <c r="C76" s="409"/>
      <c r="D76" s="409"/>
      <c r="E76" s="409"/>
    </row>
    <row r="77" spans="2:6">
      <c r="C77" s="409"/>
      <c r="D77" s="409"/>
      <c r="E77" s="409"/>
    </row>
    <row r="78" spans="2:6" ht="13">
      <c r="B78" s="1" t="s">
        <v>26</v>
      </c>
      <c r="C78" s="409"/>
      <c r="D78" s="409"/>
      <c r="E78" s="409"/>
    </row>
    <row r="79" spans="2:6" ht="25">
      <c r="B79" s="2408"/>
      <c r="C79" s="2416" t="s">
        <v>5132</v>
      </c>
      <c r="D79" s="2417" t="s">
        <v>7163</v>
      </c>
      <c r="E79" s="2418" t="s">
        <v>7160</v>
      </c>
      <c r="F79" s="2418" t="s">
        <v>7164</v>
      </c>
    </row>
    <row r="80" spans="2:6">
      <c r="B80" s="2421" t="s">
        <v>1624</v>
      </c>
      <c r="C80" s="2419">
        <f>C91</f>
        <v>0.23341080851471208</v>
      </c>
      <c r="D80" s="2419">
        <f>E91</f>
        <v>0.25</v>
      </c>
      <c r="E80" s="2419">
        <f t="shared" ref="E80:F82" si="1">G91</f>
        <v>0.24997041785738247</v>
      </c>
      <c r="F80" s="2420">
        <f t="shared" si="1"/>
        <v>0.24987660177486185</v>
      </c>
    </row>
    <row r="81" spans="2:10">
      <c r="B81" s="2421" t="s">
        <v>138</v>
      </c>
      <c r="C81" s="2419">
        <f>C92</f>
        <v>0</v>
      </c>
      <c r="D81" s="2419">
        <f>E92</f>
        <v>0.99</v>
      </c>
      <c r="E81" s="2419">
        <f t="shared" si="1"/>
        <v>0.94</v>
      </c>
      <c r="F81" s="2420">
        <f t="shared" si="1"/>
        <v>0.94</v>
      </c>
    </row>
    <row r="82" spans="2:10">
      <c r="B82" s="2421" t="s">
        <v>1625</v>
      </c>
      <c r="C82" s="2420">
        <f>C93</f>
        <v>1</v>
      </c>
      <c r="D82" s="2420">
        <f>E93</f>
        <v>0.25750000000000006</v>
      </c>
      <c r="E82" s="2420">
        <f t="shared" si="1"/>
        <v>0.29497219278593956</v>
      </c>
      <c r="F82" s="2420">
        <f t="shared" si="1"/>
        <v>0.29488400566837014</v>
      </c>
    </row>
    <row r="83" spans="2:10">
      <c r="E83" s="499">
        <f>C82-E82</f>
        <v>0.70502780721406044</v>
      </c>
      <c r="F83" s="499">
        <f>E82-F82</f>
        <v>8.8187117569415996E-5</v>
      </c>
    </row>
    <row r="85" spans="2:10" ht="15">
      <c r="B85" s="328" t="s">
        <v>18</v>
      </c>
    </row>
    <row r="86" spans="2:10" ht="15">
      <c r="B86" s="328"/>
    </row>
    <row r="87" spans="2:10" ht="13">
      <c r="B87" s="14"/>
      <c r="C87" s="24" t="s">
        <v>5350</v>
      </c>
      <c r="D87" s="3390" t="s">
        <v>5132</v>
      </c>
      <c r="E87" s="3390"/>
      <c r="F87" s="3390"/>
      <c r="G87" s="3390"/>
      <c r="H87" s="3390" t="s">
        <v>5368</v>
      </c>
      <c r="I87" s="3390" t="s">
        <v>3686</v>
      </c>
      <c r="J87" s="3390"/>
    </row>
    <row r="88" spans="2:10" ht="38.25" customHeight="1">
      <c r="B88" s="74" t="s">
        <v>27</v>
      </c>
      <c r="C88" s="14"/>
      <c r="D88" s="74" t="s">
        <v>19</v>
      </c>
      <c r="E88" s="74" t="s">
        <v>20</v>
      </c>
      <c r="F88" s="74" t="s">
        <v>21</v>
      </c>
      <c r="G88" s="74" t="s">
        <v>22</v>
      </c>
      <c r="H88" s="3390"/>
      <c r="I88" s="74" t="s">
        <v>4733</v>
      </c>
      <c r="J88" s="74" t="s">
        <v>4790</v>
      </c>
    </row>
    <row r="89" spans="2:10">
      <c r="B89" s="46" t="s">
        <v>23</v>
      </c>
      <c r="C89" s="412">
        <f>D67</f>
        <v>3941.5407756566683</v>
      </c>
      <c r="D89" s="1647">
        <v>4050</v>
      </c>
      <c r="E89" s="412">
        <v>4050</v>
      </c>
      <c r="F89" s="412">
        <f>'T-1'!I62</f>
        <v>2248.4833159999998</v>
      </c>
      <c r="G89" s="413">
        <f>'T-1'!K62</f>
        <v>4495.3606545443999</v>
      </c>
      <c r="H89" s="413">
        <f>'T-1'!O62</f>
        <v>4781.2681206644938</v>
      </c>
      <c r="I89" s="1648">
        <v>4100</v>
      </c>
      <c r="J89" s="1648">
        <v>4100</v>
      </c>
    </row>
    <row r="90" spans="2:10">
      <c r="B90" s="46" t="s">
        <v>24</v>
      </c>
      <c r="C90" s="412">
        <f>D66</f>
        <v>3021.54255641694</v>
      </c>
      <c r="D90" s="1647">
        <v>3037.7</v>
      </c>
      <c r="E90" s="412">
        <v>3037.5</v>
      </c>
      <c r="F90" s="412">
        <f>'T-1'!I61</f>
        <v>1727.37594733377</v>
      </c>
      <c r="G90" s="412">
        <f>'T-1'!K61</f>
        <v>3371.6534733082999</v>
      </c>
      <c r="H90" s="412">
        <f>'T-1'!O61</f>
        <v>3586.5410904983701</v>
      </c>
      <c r="I90" s="1649">
        <v>2854.75</v>
      </c>
      <c r="J90" s="1649">
        <v>2854.75</v>
      </c>
    </row>
    <row r="91" spans="2:10">
      <c r="B91" s="46" t="s">
        <v>25</v>
      </c>
      <c r="C91" s="414">
        <f t="shared" ref="C91:J91" si="2">+(C89-C90)/C89</f>
        <v>0.23341080851471208</v>
      </c>
      <c r="D91" s="622">
        <f t="shared" si="2"/>
        <v>0.24995061728395065</v>
      </c>
      <c r="E91" s="414">
        <f t="shared" si="2"/>
        <v>0.25</v>
      </c>
      <c r="F91" s="414">
        <f t="shared" si="2"/>
        <v>0.23175949981842331</v>
      </c>
      <c r="G91" s="414">
        <f t="shared" si="2"/>
        <v>0.24997041785738247</v>
      </c>
      <c r="H91" s="414">
        <f t="shared" si="2"/>
        <v>0.24987660177486185</v>
      </c>
      <c r="I91" s="1622">
        <f t="shared" ref="I91" si="3">+(I89-I90)/I89</f>
        <v>0.30371951219512194</v>
      </c>
      <c r="J91" s="1622">
        <f t="shared" si="2"/>
        <v>0.30371951219512194</v>
      </c>
    </row>
    <row r="92" spans="2:10">
      <c r="B92" s="46" t="s">
        <v>138</v>
      </c>
      <c r="C92" s="414">
        <f>'T-1'!F65</f>
        <v>0</v>
      </c>
      <c r="D92" s="622">
        <v>0.96</v>
      </c>
      <c r="E92" s="414">
        <v>0.99</v>
      </c>
      <c r="F92" s="414">
        <f>'T-1'!I65</f>
        <v>0</v>
      </c>
      <c r="G92" s="414">
        <f>'T-1'!K65</f>
        <v>0.94</v>
      </c>
      <c r="H92" s="414">
        <f>'T-1'!O65</f>
        <v>0.94</v>
      </c>
      <c r="I92" s="1622">
        <v>0.98</v>
      </c>
      <c r="J92" s="1622">
        <v>0.98</v>
      </c>
    </row>
    <row r="93" spans="2:10">
      <c r="B93" s="46" t="s">
        <v>26</v>
      </c>
      <c r="C93" s="414">
        <f t="shared" ref="C93:J93" si="4">+(1-((1-C91)*C92))*100%</f>
        <v>1</v>
      </c>
      <c r="D93" s="622">
        <f t="shared" si="4"/>
        <v>0.27995259259259264</v>
      </c>
      <c r="E93" s="414">
        <f t="shared" si="4"/>
        <v>0.25750000000000006</v>
      </c>
      <c r="F93" s="414">
        <f t="shared" si="4"/>
        <v>1</v>
      </c>
      <c r="G93" s="414">
        <f t="shared" si="4"/>
        <v>0.29497219278593956</v>
      </c>
      <c r="H93" s="414">
        <f t="shared" si="4"/>
        <v>0.29488400566837014</v>
      </c>
      <c r="I93" s="1622">
        <f t="shared" ref="I93" si="5">+(1-((1-I91)*I92))*100%</f>
        <v>0.31764512195121952</v>
      </c>
      <c r="J93" s="1622">
        <f t="shared" si="4"/>
        <v>0.31764512195121952</v>
      </c>
    </row>
    <row r="94" spans="2:10">
      <c r="B94" s="415"/>
      <c r="C94" s="418"/>
      <c r="D94" s="419"/>
      <c r="E94" s="420"/>
      <c r="F94" s="418"/>
      <c r="G94" s="419"/>
      <c r="H94" s="420"/>
    </row>
    <row r="95" spans="2:10">
      <c r="B95" s="415"/>
      <c r="C95" s="3527" t="s">
        <v>270</v>
      </c>
      <c r="D95" s="3528"/>
      <c r="E95" s="3529"/>
      <c r="F95" s="3527" t="s">
        <v>271</v>
      </c>
      <c r="G95" s="3528"/>
      <c r="H95" s="3529"/>
    </row>
    <row r="96" spans="2:10">
      <c r="B96" s="46" t="s">
        <v>23</v>
      </c>
      <c r="C96" s="622" t="s">
        <v>4045</v>
      </c>
      <c r="D96" s="622" t="s">
        <v>4617</v>
      </c>
      <c r="E96" s="622" t="s">
        <v>4726</v>
      </c>
      <c r="F96" s="622" t="s">
        <v>4045</v>
      </c>
      <c r="G96" s="622" t="s">
        <v>4617</v>
      </c>
      <c r="H96" s="622" t="s">
        <v>4726</v>
      </c>
    </row>
    <row r="97" spans="1:12">
      <c r="B97" s="12" t="s">
        <v>1496</v>
      </c>
      <c r="C97" s="313">
        <f t="shared" ref="C97:H97" si="6">C100-C99-C98</f>
        <v>3050.5482387005814</v>
      </c>
      <c r="D97" s="313">
        <f t="shared" si="6"/>
        <v>3476.871024872913</v>
      </c>
      <c r="E97" s="313">
        <f t="shared" si="6"/>
        <v>3713.4763130514507</v>
      </c>
      <c r="F97" s="313">
        <f t="shared" si="6"/>
        <v>2862.8230906155954</v>
      </c>
      <c r="G97" s="313">
        <f t="shared" si="6"/>
        <v>3269.4713553506786</v>
      </c>
      <c r="H97" s="313">
        <f t="shared" si="6"/>
        <v>3491.495889791071</v>
      </c>
    </row>
    <row r="98" spans="1:12">
      <c r="B98" s="12" t="s">
        <v>169</v>
      </c>
      <c r="C98" s="313">
        <f>C103/0.92</f>
        <v>353.614793956087</v>
      </c>
      <c r="D98" s="313">
        <f>D103/0.92</f>
        <v>399.15444836108691</v>
      </c>
      <c r="E98" s="313">
        <f>E103/0.92</f>
        <v>425.31980761304339</v>
      </c>
      <c r="F98" s="313">
        <f>(F103+F102)/0.92-F102</f>
        <v>541.33994204107285</v>
      </c>
      <c r="G98" s="313">
        <f>(G103+G102)/0.92-G102</f>
        <v>606.5541178833214</v>
      </c>
      <c r="H98" s="313">
        <f>(H103+H102)/0.92-H102</f>
        <v>647.30023087342306</v>
      </c>
    </row>
    <row r="99" spans="1:12">
      <c r="B99" s="12" t="s">
        <v>1494</v>
      </c>
      <c r="C99" s="12">
        <f t="shared" ref="C99:H99" si="7">C104</f>
        <v>537.37774300000001</v>
      </c>
      <c r="D99" s="313">
        <f t="shared" si="7"/>
        <v>619.3351813104</v>
      </c>
      <c r="E99" s="313">
        <f t="shared" si="7"/>
        <v>642.47199999999998</v>
      </c>
      <c r="F99" s="12">
        <f t="shared" si="7"/>
        <v>537.37774300000001</v>
      </c>
      <c r="G99" s="313">
        <f t="shared" si="7"/>
        <v>619.3351813104</v>
      </c>
      <c r="H99" s="313">
        <f t="shared" si="7"/>
        <v>642.47199999999998</v>
      </c>
    </row>
    <row r="100" spans="1:12">
      <c r="B100" s="12"/>
      <c r="C100" s="313">
        <f>C89</f>
        <v>3941.5407756566683</v>
      </c>
      <c r="D100" s="313">
        <f>G89</f>
        <v>4495.3606545443999</v>
      </c>
      <c r="E100" s="313">
        <f>H89</f>
        <v>4781.2681206644938</v>
      </c>
      <c r="F100" s="313">
        <f>C100</f>
        <v>3941.5407756566683</v>
      </c>
      <c r="G100" s="313">
        <f>D100</f>
        <v>4495.3606545443999</v>
      </c>
      <c r="H100" s="313">
        <f>E100</f>
        <v>4781.2681206644938</v>
      </c>
    </row>
    <row r="101" spans="1:12">
      <c r="B101" s="12" t="s">
        <v>242</v>
      </c>
      <c r="C101" s="12"/>
      <c r="D101" s="12"/>
      <c r="E101" s="12"/>
      <c r="F101" s="12"/>
      <c r="G101" s="12"/>
      <c r="H101" s="12"/>
    </row>
    <row r="102" spans="1:12">
      <c r="B102" s="12" t="s">
        <v>1496</v>
      </c>
      <c r="C102" s="313">
        <f>C166</f>
        <v>2158.8392029773395</v>
      </c>
      <c r="D102" s="313">
        <f>D166</f>
        <v>2385.0961995056996</v>
      </c>
      <c r="E102" s="313">
        <f>E166</f>
        <v>2552.77486749437</v>
      </c>
      <c r="F102" s="313">
        <f t="shared" ref="F102:H105" si="8">C102</f>
        <v>2158.8392029773395</v>
      </c>
      <c r="G102" s="313">
        <f t="shared" si="8"/>
        <v>2385.0961995056996</v>
      </c>
      <c r="H102" s="313">
        <f t="shared" si="8"/>
        <v>2552.77486749437</v>
      </c>
    </row>
    <row r="103" spans="1:12">
      <c r="B103" s="12" t="s">
        <v>169</v>
      </c>
      <c r="C103" s="313">
        <f>C175</f>
        <v>325.32561043960004</v>
      </c>
      <c r="D103" s="313">
        <f>D175</f>
        <v>367.22209249219998</v>
      </c>
      <c r="E103" s="313">
        <f>E175</f>
        <v>391.29422300399995</v>
      </c>
      <c r="F103" s="313">
        <f t="shared" si="8"/>
        <v>325.32561043960004</v>
      </c>
      <c r="G103" s="313">
        <f t="shared" si="8"/>
        <v>367.22209249219998</v>
      </c>
      <c r="H103" s="313">
        <f t="shared" si="8"/>
        <v>391.29422300399995</v>
      </c>
    </row>
    <row r="104" spans="1:12">
      <c r="B104" s="12" t="s">
        <v>1494</v>
      </c>
      <c r="C104" s="12">
        <f>C183</f>
        <v>537.37774300000001</v>
      </c>
      <c r="D104" s="313">
        <f>D183</f>
        <v>619.3351813104</v>
      </c>
      <c r="E104" s="313">
        <f>E183</f>
        <v>642.47199999999998</v>
      </c>
      <c r="F104" s="313">
        <f t="shared" si="8"/>
        <v>537.37774300000001</v>
      </c>
      <c r="G104" s="313">
        <f t="shared" si="8"/>
        <v>619.3351813104</v>
      </c>
      <c r="H104" s="313">
        <f t="shared" si="8"/>
        <v>642.47199999999998</v>
      </c>
    </row>
    <row r="105" spans="1:12">
      <c r="B105" s="12"/>
      <c r="C105" s="313">
        <f>SUM(C102:C104)</f>
        <v>3021.5425564169395</v>
      </c>
      <c r="D105" s="416">
        <f>SUM(D102:D104)</f>
        <v>3371.6534733082995</v>
      </c>
      <c r="E105" s="416">
        <f>SUM(E102:E104)</f>
        <v>3586.5410904983701</v>
      </c>
      <c r="F105" s="313">
        <f t="shared" si="8"/>
        <v>3021.5425564169395</v>
      </c>
      <c r="G105" s="313">
        <f t="shared" si="8"/>
        <v>3371.6534733082995</v>
      </c>
      <c r="H105" s="313">
        <f t="shared" si="8"/>
        <v>3586.5410904983701</v>
      </c>
      <c r="J105" s="234"/>
    </row>
    <row r="106" spans="1:12">
      <c r="B106" s="12" t="s">
        <v>269</v>
      </c>
      <c r="C106" s="127"/>
      <c r="D106" s="127"/>
      <c r="E106" s="127"/>
      <c r="F106" s="127"/>
      <c r="G106" s="127"/>
      <c r="H106" s="127"/>
      <c r="J106" s="234"/>
    </row>
    <row r="107" spans="1:12">
      <c r="B107" s="12" t="s">
        <v>1496</v>
      </c>
      <c r="C107" s="417">
        <f t="shared" ref="C107:H107" si="9">(C97-C102)/C97</f>
        <v>0.29231107523907779</v>
      </c>
      <c r="D107" s="417">
        <f t="shared" si="9"/>
        <v>0.31401073481209163</v>
      </c>
      <c r="E107" s="417">
        <f t="shared" si="9"/>
        <v>0.31256465578564713</v>
      </c>
      <c r="F107" s="417">
        <f t="shared" si="9"/>
        <v>0.24590548048390851</v>
      </c>
      <c r="G107" s="417">
        <f t="shared" si="9"/>
        <v>0.27049484755315195</v>
      </c>
      <c r="H107" s="417">
        <f t="shared" si="9"/>
        <v>0.26885926603593208</v>
      </c>
    </row>
    <row r="108" spans="1:12">
      <c r="B108" s="12" t="s">
        <v>169</v>
      </c>
      <c r="C108" s="417">
        <f t="shared" ref="C108:D110" si="10">(C98-C103)/C98</f>
        <v>7.9999999999999988E-2</v>
      </c>
      <c r="D108" s="417">
        <f t="shared" si="10"/>
        <v>7.9999999999999946E-2</v>
      </c>
      <c r="E108" s="417">
        <f t="shared" ref="E108:H110" si="11">(E98-E103)/E98</f>
        <v>7.9999999999999946E-2</v>
      </c>
      <c r="F108" s="417">
        <f t="shared" si="11"/>
        <v>0.39903638144085668</v>
      </c>
      <c r="G108" s="417">
        <f t="shared" si="11"/>
        <v>0.39457654038573364</v>
      </c>
      <c r="H108" s="417">
        <f t="shared" si="11"/>
        <v>0.39549809448389345</v>
      </c>
    </row>
    <row r="109" spans="1:12">
      <c r="B109" s="12" t="s">
        <v>1494</v>
      </c>
      <c r="C109" s="417">
        <f t="shared" si="10"/>
        <v>0</v>
      </c>
      <c r="D109" s="417">
        <f t="shared" si="10"/>
        <v>0</v>
      </c>
      <c r="E109" s="417">
        <f t="shared" si="11"/>
        <v>0</v>
      </c>
      <c r="F109" s="417">
        <f t="shared" si="11"/>
        <v>0</v>
      </c>
      <c r="G109" s="417">
        <f t="shared" si="11"/>
        <v>0</v>
      </c>
      <c r="H109" s="417">
        <f t="shared" si="11"/>
        <v>0</v>
      </c>
    </row>
    <row r="110" spans="1:12" ht="13">
      <c r="B110" s="14" t="s">
        <v>1100</v>
      </c>
      <c r="C110" s="315">
        <f t="shared" si="10"/>
        <v>0.23341080851471219</v>
      </c>
      <c r="D110" s="315">
        <f t="shared" si="10"/>
        <v>0.24997041785738258</v>
      </c>
      <c r="E110" s="315">
        <f t="shared" si="11"/>
        <v>0.24987660177486185</v>
      </c>
      <c r="F110" s="315">
        <f t="shared" si="11"/>
        <v>0.23341080851471219</v>
      </c>
      <c r="G110" s="315">
        <f t="shared" si="11"/>
        <v>0.24997041785738258</v>
      </c>
      <c r="H110" s="315">
        <f t="shared" si="11"/>
        <v>0.24987660177486185</v>
      </c>
    </row>
    <row r="112" spans="1:12" ht="13">
      <c r="A112" s="1">
        <v>4</v>
      </c>
      <c r="B112" s="1" t="s">
        <v>1441</v>
      </c>
      <c r="K112" s="526"/>
      <c r="L112" s="526"/>
    </row>
    <row r="113" spans="1:12">
      <c r="B113" s="46" t="s">
        <v>895</v>
      </c>
      <c r="C113" s="413" t="s">
        <v>3354</v>
      </c>
      <c r="D113" s="413" t="s">
        <v>3354</v>
      </c>
      <c r="K113" s="526"/>
      <c r="L113" s="526"/>
    </row>
    <row r="114" spans="1:12" ht="15" customHeight="1">
      <c r="B114" s="588" t="s">
        <v>3692</v>
      </c>
      <c r="C114" s="19">
        <v>1202</v>
      </c>
      <c r="D114" s="19">
        <f>C114/10</f>
        <v>120.2</v>
      </c>
      <c r="K114" s="526"/>
      <c r="L114" s="526"/>
    </row>
    <row r="115" spans="1:12">
      <c r="B115" s="624" t="s">
        <v>3691</v>
      </c>
      <c r="C115" s="19">
        <f>-C357</f>
        <v>-50.571581901422178</v>
      </c>
      <c r="D115" s="19">
        <f>C115*0</f>
        <v>0</v>
      </c>
    </row>
    <row r="116" spans="1:12">
      <c r="B116" s="624" t="s">
        <v>4514</v>
      </c>
      <c r="C116" s="19">
        <f>-E382</f>
        <v>189.9998044472195</v>
      </c>
      <c r="D116" s="19">
        <f>C116/3</f>
        <v>63.33326814907317</v>
      </c>
    </row>
    <row r="117" spans="1:12" ht="13">
      <c r="B117" s="14" t="s">
        <v>1100</v>
      </c>
      <c r="C117" s="20">
        <f>SUM(C112:C116)</f>
        <v>1341.4282225457973</v>
      </c>
      <c r="D117" s="20">
        <f>SUM(D112:D116)</f>
        <v>183.53326814907317</v>
      </c>
    </row>
    <row r="118" spans="1:12" ht="13">
      <c r="B118" s="14" t="s">
        <v>3693</v>
      </c>
      <c r="C118" s="20">
        <f>D117</f>
        <v>183.53326814907317</v>
      </c>
      <c r="D118" s="20"/>
    </row>
    <row r="121" spans="1:12" ht="13">
      <c r="A121" s="2400">
        <v>5</v>
      </c>
      <c r="B121" s="2400" t="s">
        <v>863</v>
      </c>
      <c r="C121" s="2401" t="s">
        <v>7158</v>
      </c>
      <c r="D121" s="2401" t="s">
        <v>4732</v>
      </c>
    </row>
    <row r="122" spans="1:12">
      <c r="A122" s="2401"/>
      <c r="B122" s="2402" t="s">
        <v>7156</v>
      </c>
      <c r="C122" s="2403">
        <f>(+'F-6'!N24+'F-6'!N28+'F-6'!N11)-C123</f>
        <v>2270.3980487858494</v>
      </c>
      <c r="D122" s="2403">
        <f>C122-('T-1'!O53*D6)/10</f>
        <v>2211.8473821191828</v>
      </c>
      <c r="E122" s="3"/>
    </row>
    <row r="123" spans="1:12">
      <c r="A123" s="2401"/>
      <c r="B123" s="2402" t="s">
        <v>139</v>
      </c>
      <c r="C123" s="2403">
        <f>+'F-6'!N23</f>
        <v>54.137172229099377</v>
      </c>
      <c r="D123" s="2403">
        <f>C123</f>
        <v>54.137172229099377</v>
      </c>
    </row>
    <row r="124" spans="1:12" ht="25">
      <c r="A124" s="2401"/>
      <c r="B124" s="2404" t="s">
        <v>7157</v>
      </c>
      <c r="C124" s="2403">
        <f>'F-12-A '!G3608</f>
        <v>0</v>
      </c>
      <c r="D124" s="2403">
        <f>C124</f>
        <v>0</v>
      </c>
    </row>
    <row r="125" spans="1:12" s="1" customFormat="1" ht="13">
      <c r="A125" s="2400"/>
      <c r="B125" s="2405" t="s">
        <v>754</v>
      </c>
      <c r="C125" s="2406">
        <f>SUM(C122:C124)</f>
        <v>2324.5352210149485</v>
      </c>
      <c r="D125" s="2406">
        <f>SUM(D122:D124)</f>
        <v>2265.984554348282</v>
      </c>
    </row>
    <row r="126" spans="1:12">
      <c r="A126" s="2401"/>
      <c r="B126" s="2402" t="s">
        <v>5387</v>
      </c>
      <c r="C126" s="2403">
        <f>+'F-6'!N40</f>
        <v>1985.8102454011964</v>
      </c>
      <c r="D126" s="2403">
        <f>C126-'T-7(ENS)'!AA58</f>
        <v>1794.4556534011965</v>
      </c>
    </row>
    <row r="127" spans="1:12" s="1" customFormat="1" ht="13">
      <c r="A127" s="2400"/>
      <c r="B127" s="2405" t="s">
        <v>1084</v>
      </c>
      <c r="C127" s="2406">
        <f>+'F-6'!N34</f>
        <v>55.566274225108359</v>
      </c>
      <c r="D127" s="2406">
        <f>C127</f>
        <v>55.566274225108359</v>
      </c>
    </row>
    <row r="128" spans="1:12">
      <c r="A128" s="2401"/>
      <c r="B128" s="2404" t="s">
        <v>1132</v>
      </c>
      <c r="C128" s="2403">
        <f>+C125-C126-C127</f>
        <v>283.15870138864375</v>
      </c>
      <c r="D128" s="2403">
        <f>+D125-D126-D127</f>
        <v>415.96262672197713</v>
      </c>
    </row>
    <row r="129" spans="1:12">
      <c r="A129" s="2401"/>
      <c r="B129" s="2404" t="s">
        <v>847</v>
      </c>
      <c r="C129" s="2403">
        <f>'T-8'!AV64</f>
        <v>0</v>
      </c>
      <c r="D129" s="2403">
        <f>C129</f>
        <v>0</v>
      </c>
    </row>
    <row r="130" spans="1:12" s="1" customFormat="1" ht="13">
      <c r="A130" s="2400"/>
      <c r="B130" s="2405" t="s">
        <v>1131</v>
      </c>
      <c r="C130" s="2406">
        <f>+C128-C129</f>
        <v>283.15870138864375</v>
      </c>
      <c r="D130" s="2406">
        <f>+D128-D129</f>
        <v>415.96262672197713</v>
      </c>
      <c r="E130" s="5">
        <f>D130-C130</f>
        <v>132.80392533333338</v>
      </c>
    </row>
    <row r="133" spans="1:12" ht="13">
      <c r="B133" s="423" t="s">
        <v>5388</v>
      </c>
      <c r="C133" s="24" t="s">
        <v>3354</v>
      </c>
    </row>
    <row r="134" spans="1:12" ht="25">
      <c r="B134" s="588" t="s">
        <v>5389</v>
      </c>
      <c r="C134" s="317">
        <f>Terminal!I24</f>
        <v>1266.1600000000001</v>
      </c>
      <c r="D134" s="3">
        <f>D149</f>
        <v>1250.6799999999998</v>
      </c>
    </row>
    <row r="135" spans="1:12" ht="25">
      <c r="B135" s="588" t="s">
        <v>5135</v>
      </c>
      <c r="C135" s="317">
        <f>Terminal!I25</f>
        <v>1250.6799999999998</v>
      </c>
      <c r="D135" s="3">
        <f>C149</f>
        <v>1228.48</v>
      </c>
    </row>
    <row r="136" spans="1:12" ht="25">
      <c r="B136" s="588" t="s">
        <v>5390</v>
      </c>
      <c r="C136" s="317">
        <f>Terminal!I26</f>
        <v>2.1484079999999999</v>
      </c>
    </row>
    <row r="137" spans="1:12" ht="13">
      <c r="A137" s="1"/>
      <c r="B137" s="588" t="s">
        <v>5391</v>
      </c>
      <c r="C137" s="317">
        <f>Terminal!I27</f>
        <v>145.08412949770994</v>
      </c>
    </row>
    <row r="138" spans="1:12">
      <c r="B138" s="588" t="s">
        <v>5392</v>
      </c>
      <c r="C138" s="389">
        <f>C134-(C135+C136-C137)</f>
        <v>158.41572149771014</v>
      </c>
    </row>
    <row r="139" spans="1:12" ht="13">
      <c r="B139" s="93" t="s">
        <v>5393</v>
      </c>
      <c r="C139" s="325">
        <f>C138</f>
        <v>158.41572149771014</v>
      </c>
    </row>
    <row r="142" spans="1:12" ht="13" thickBot="1"/>
    <row r="143" spans="1:12" ht="50">
      <c r="B143" s="323"/>
      <c r="C143" s="483" t="s">
        <v>1027</v>
      </c>
      <c r="D143" s="1003" t="s">
        <v>5134</v>
      </c>
      <c r="E143" s="1003" t="s">
        <v>5394</v>
      </c>
      <c r="F143" s="424" t="s">
        <v>591</v>
      </c>
      <c r="G143" s="600" t="s">
        <v>5396</v>
      </c>
      <c r="H143" s="424" t="s">
        <v>527</v>
      </c>
      <c r="I143" s="600" t="s">
        <v>5377</v>
      </c>
      <c r="J143" s="600" t="s">
        <v>5397</v>
      </c>
      <c r="K143" s="600" t="s">
        <v>5398</v>
      </c>
      <c r="L143" s="601" t="s">
        <v>5337</v>
      </c>
    </row>
    <row r="144" spans="1:12">
      <c r="B144" s="362" t="s">
        <v>895</v>
      </c>
      <c r="C144" s="876" t="s">
        <v>4794</v>
      </c>
      <c r="D144" s="876" t="s">
        <v>5127</v>
      </c>
      <c r="E144" s="876" t="s">
        <v>5335</v>
      </c>
      <c r="F144" s="876" t="s">
        <v>5395</v>
      </c>
      <c r="G144" s="15"/>
      <c r="H144" s="876" t="s">
        <v>5132</v>
      </c>
      <c r="I144" s="15"/>
      <c r="J144" s="15"/>
      <c r="K144" s="15"/>
      <c r="L144" s="425"/>
    </row>
    <row r="145" spans="2:12" s="4" customFormat="1">
      <c r="B145" s="167">
        <v>1</v>
      </c>
      <c r="C145" s="15">
        <v>2</v>
      </c>
      <c r="D145" s="15">
        <v>3</v>
      </c>
      <c r="E145" s="15">
        <v>4</v>
      </c>
      <c r="F145" s="15">
        <v>5</v>
      </c>
      <c r="G145" s="15">
        <v>6</v>
      </c>
      <c r="H145" s="15">
        <v>7</v>
      </c>
      <c r="I145" s="15">
        <v>8</v>
      </c>
      <c r="J145" s="15" t="s">
        <v>1028</v>
      </c>
      <c r="K145" s="15">
        <v>10</v>
      </c>
      <c r="L145" s="425">
        <v>11</v>
      </c>
    </row>
    <row r="146" spans="2:12">
      <c r="B146" s="79" t="s">
        <v>367</v>
      </c>
      <c r="C146" s="19">
        <f>+Terminal!I14</f>
        <v>1080.8</v>
      </c>
      <c r="D146" s="19">
        <f>+Terminal!J14</f>
        <v>1100</v>
      </c>
      <c r="E146" s="19">
        <f>+Terminal!K14</f>
        <v>1112.4100000000001</v>
      </c>
      <c r="F146" s="19">
        <f>+Terminal!L14</f>
        <v>29.28</v>
      </c>
      <c r="G146" s="19">
        <f>+Terminal!M14</f>
        <v>1.7567999999999999</v>
      </c>
      <c r="H146" s="19">
        <f>+Terminal!N14</f>
        <v>106.8396362</v>
      </c>
      <c r="I146" s="178">
        <f>+Terminal!O14</f>
        <v>0</v>
      </c>
      <c r="J146" s="127">
        <f>+Terminal!P6</f>
        <v>-75.802836200000002</v>
      </c>
      <c r="K146" s="19">
        <f>+Terminal!Q14</f>
        <v>0</v>
      </c>
      <c r="L146" s="82">
        <f>+Terminal!R14</f>
        <v>131.63872949770996</v>
      </c>
    </row>
    <row r="147" spans="2:12">
      <c r="B147" s="79" t="s">
        <v>801</v>
      </c>
      <c r="C147" s="19">
        <f>+Terminal!I15</f>
        <v>71.91</v>
      </c>
      <c r="D147" s="19">
        <f>+Terminal!J15</f>
        <v>73.349999999999994</v>
      </c>
      <c r="E147" s="19">
        <f>+Terminal!K15</f>
        <v>74.98</v>
      </c>
      <c r="F147" s="19">
        <f>+Terminal!L15</f>
        <v>4.5</v>
      </c>
      <c r="G147" s="19">
        <f>+Terminal!M15</f>
        <v>0.27</v>
      </c>
      <c r="H147" s="19">
        <f>+Terminal!N15</f>
        <v>9.0641999999999996</v>
      </c>
      <c r="I147" s="178">
        <f>+Terminal!O15</f>
        <v>0</v>
      </c>
      <c r="J147" s="127">
        <f>+Terminal!P7</f>
        <v>-4.2942</v>
      </c>
      <c r="K147" s="19">
        <f>+Terminal!Q15</f>
        <v>0</v>
      </c>
      <c r="L147" s="82">
        <f>+Terminal!R15</f>
        <v>6.3053999999999997</v>
      </c>
    </row>
    <row r="148" spans="2:12">
      <c r="B148" s="79" t="s">
        <v>1435</v>
      </c>
      <c r="C148" s="19">
        <f>+Terminal!I16</f>
        <v>75.77</v>
      </c>
      <c r="D148" s="19">
        <f>+Terminal!J16</f>
        <v>77.33</v>
      </c>
      <c r="E148" s="19">
        <f>+Terminal!K16</f>
        <v>78.77</v>
      </c>
      <c r="F148" s="19">
        <f>+Terminal!L16</f>
        <v>0</v>
      </c>
      <c r="G148" s="19">
        <f>+Terminal!M16</f>
        <v>0</v>
      </c>
      <c r="H148" s="19">
        <f>+Terminal!N16</f>
        <v>7.94</v>
      </c>
      <c r="I148" s="178">
        <f>+Terminal!O16</f>
        <v>0</v>
      </c>
      <c r="J148" s="127">
        <f>+Terminal!P16</f>
        <v>0</v>
      </c>
      <c r="K148" s="19">
        <f>+Terminal!Q16</f>
        <v>0</v>
      </c>
      <c r="L148" s="82">
        <f>+Terminal!R16</f>
        <v>7.14</v>
      </c>
    </row>
    <row r="149" spans="2:12" s="1" customFormat="1" ht="13">
      <c r="B149" s="324" t="s">
        <v>1100</v>
      </c>
      <c r="C149" s="20">
        <f>+Terminal!I17</f>
        <v>1228.48</v>
      </c>
      <c r="D149" s="20">
        <f>+Terminal!J17</f>
        <v>1250.6799999999998</v>
      </c>
      <c r="E149" s="20">
        <f>+Terminal!K17</f>
        <v>1266.1600000000001</v>
      </c>
      <c r="F149" s="20">
        <f>+Terminal!L17</f>
        <v>33.78</v>
      </c>
      <c r="G149" s="20">
        <f>+Terminal!M17</f>
        <v>2.0267999999999997</v>
      </c>
      <c r="H149" s="20">
        <f>+Terminal!N17</f>
        <v>123.8438362</v>
      </c>
      <c r="I149" s="20">
        <f>Terminal!O17</f>
        <v>150.02000000000001</v>
      </c>
      <c r="J149" s="20">
        <f>+Terminal!P17</f>
        <v>35.806800000000003</v>
      </c>
      <c r="K149" s="20">
        <f>+Terminal!Q17</f>
        <v>2.1484079999999999</v>
      </c>
      <c r="L149" s="84">
        <f>+Terminal!R17</f>
        <v>145.08412949770994</v>
      </c>
    </row>
    <row r="150" spans="2:12">
      <c r="B150" s="79" t="s">
        <v>322</v>
      </c>
      <c r="C150" s="19"/>
      <c r="D150" s="19"/>
      <c r="E150" s="19"/>
      <c r="F150" s="19"/>
      <c r="G150" s="19"/>
      <c r="H150" s="19"/>
      <c r="I150" s="19"/>
      <c r="J150" s="19">
        <f>+Terminal!P18</f>
        <v>0</v>
      </c>
      <c r="K150" s="19"/>
      <c r="L150" s="82"/>
    </row>
    <row r="151" spans="2:12">
      <c r="B151" s="79" t="s">
        <v>1029</v>
      </c>
      <c r="C151" s="19"/>
      <c r="D151" s="19"/>
      <c r="E151" s="19"/>
      <c r="F151" s="19"/>
      <c r="G151" s="19"/>
      <c r="H151" s="19"/>
      <c r="I151" s="19"/>
      <c r="J151" s="19">
        <f>+Terminal!P19</f>
        <v>1048.097</v>
      </c>
      <c r="K151" s="19"/>
      <c r="L151" s="82"/>
    </row>
    <row r="152" spans="2:12" s="1" customFormat="1" ht="13.5" thickBot="1">
      <c r="B152" s="331" t="s">
        <v>1584</v>
      </c>
      <c r="C152" s="152"/>
      <c r="D152" s="152"/>
      <c r="E152" s="152"/>
      <c r="F152" s="152"/>
      <c r="G152" s="152"/>
      <c r="H152" s="152"/>
      <c r="I152" s="152"/>
      <c r="J152" s="152">
        <f>+Terminal!P20</f>
        <v>1083.9038</v>
      </c>
      <c r="K152" s="152"/>
      <c r="L152" s="153"/>
    </row>
    <row r="153" spans="2:12">
      <c r="C153" s="3"/>
      <c r="D153" s="3"/>
      <c r="E153" s="3"/>
      <c r="F153" s="3"/>
      <c r="G153" s="3"/>
      <c r="H153" s="3"/>
      <c r="I153" s="3"/>
      <c r="J153" s="3"/>
      <c r="K153" s="3"/>
      <c r="L153" s="3"/>
    </row>
    <row r="154" spans="2:12">
      <c r="C154" s="3"/>
      <c r="D154" s="3"/>
      <c r="E154" s="3"/>
      <c r="F154" s="3"/>
      <c r="G154" s="3"/>
      <c r="H154" s="3"/>
      <c r="I154" s="3"/>
      <c r="J154" s="3"/>
      <c r="K154" s="3"/>
      <c r="L154" s="3"/>
    </row>
    <row r="155" spans="2:12" ht="13">
      <c r="B155" s="2414" t="s">
        <v>245</v>
      </c>
      <c r="C155" s="2408"/>
      <c r="D155" s="2408"/>
      <c r="E155" s="2408"/>
      <c r="F155" s="12"/>
      <c r="G155" s="3390" t="s">
        <v>272</v>
      </c>
      <c r="H155" s="3390"/>
      <c r="I155" s="3390"/>
    </row>
    <row r="156" spans="2:12" ht="13">
      <c r="B156" s="2414" t="s">
        <v>242</v>
      </c>
      <c r="C156" s="2422" t="s">
        <v>5132</v>
      </c>
      <c r="D156" s="2422" t="s">
        <v>5368</v>
      </c>
      <c r="E156" s="2422" t="s">
        <v>6929</v>
      </c>
      <c r="F156" s="16" t="s">
        <v>4759</v>
      </c>
      <c r="G156" s="24" t="s">
        <v>4790</v>
      </c>
      <c r="H156" s="24" t="s">
        <v>5104</v>
      </c>
      <c r="I156" s="24" t="s">
        <v>5329</v>
      </c>
    </row>
    <row r="157" spans="2:12">
      <c r="B157" s="2421" t="s">
        <v>666</v>
      </c>
      <c r="C157" s="2423">
        <f>'T-1'!F15</f>
        <v>1592.7103936444198</v>
      </c>
      <c r="D157" s="2423">
        <f>'T-1'!K15</f>
        <v>1770.26</v>
      </c>
      <c r="E157" s="2423">
        <f>'T-1'!O15</f>
        <v>1905.8364812775001</v>
      </c>
      <c r="F157" s="313">
        <v>1335.069</v>
      </c>
      <c r="G157" s="34">
        <f>(C157-F157)/F157</f>
        <v>0.19297983373475069</v>
      </c>
      <c r="H157" s="34">
        <f>(D157-C157)/C157</f>
        <v>0.11147639085176898</v>
      </c>
      <c r="I157" s="34">
        <f>(E157-D157)/D157</f>
        <v>7.6585632210805235E-2</v>
      </c>
      <c r="J157" s="2">
        <f>E157-D157</f>
        <v>135.57648127750008</v>
      </c>
    </row>
    <row r="158" spans="2:12">
      <c r="B158" s="2421" t="s">
        <v>248</v>
      </c>
      <c r="C158" s="2423">
        <f>'T-1'!F20+'T-1'!F30</f>
        <v>280.82269981928994</v>
      </c>
      <c r="D158" s="2423">
        <f>'T-1'!K20+'T-1'!K30</f>
        <v>290.37936750610004</v>
      </c>
      <c r="E158" s="2423">
        <f>'T-1'!O20+'T-1'!O30</f>
        <v>305.8</v>
      </c>
      <c r="F158" s="313">
        <v>224.73699999999999</v>
      </c>
      <c r="G158" s="34">
        <f t="shared" ref="G158:G166" si="12">(C158-F158)/F158</f>
        <v>0.24956148662343069</v>
      </c>
      <c r="H158" s="34">
        <f t="shared" ref="H158:H166" si="13">(D158-C158)/C158</f>
        <v>3.4030965776484019E-2</v>
      </c>
      <c r="I158" s="34">
        <f t="shared" ref="I158:I166" si="14">(E158-D158)/D158</f>
        <v>5.3105124604199125E-2</v>
      </c>
    </row>
    <row r="159" spans="2:12">
      <c r="B159" s="2421" t="s">
        <v>243</v>
      </c>
      <c r="C159" s="2423">
        <f>'T-1'!F27</f>
        <v>33.366072639560002</v>
      </c>
      <c r="D159" s="2423">
        <f>'T-1'!K27</f>
        <v>45.365766586399999</v>
      </c>
      <c r="E159" s="2423">
        <f>'T-1'!O27</f>
        <v>48.002167556800003</v>
      </c>
      <c r="F159" s="313">
        <v>34.384</v>
      </c>
      <c r="G159" s="34">
        <f t="shared" si="12"/>
        <v>-2.9604681259888264E-2</v>
      </c>
      <c r="H159" s="34">
        <f t="shared" si="13"/>
        <v>0.35963758984965866</v>
      </c>
      <c r="I159" s="34">
        <f t="shared" si="14"/>
        <v>5.8114326479613787E-2</v>
      </c>
    </row>
    <row r="160" spans="2:12">
      <c r="B160" s="2421" t="s">
        <v>667</v>
      </c>
      <c r="C160" s="2423">
        <f>'T-1'!F21</f>
        <v>106.99796581154999</v>
      </c>
      <c r="D160" s="2423">
        <f>'T-1'!K21</f>
        <v>115.2</v>
      </c>
      <c r="E160" s="2423">
        <f>'T-1'!O21</f>
        <v>121.50265799877999</v>
      </c>
      <c r="F160" s="313">
        <v>71.141999999999996</v>
      </c>
      <c r="G160" s="34">
        <f t="shared" si="12"/>
        <v>0.50400559179598547</v>
      </c>
      <c r="H160" s="34">
        <f t="shared" si="13"/>
        <v>7.6655982440786169E-2</v>
      </c>
      <c r="I160" s="34">
        <f t="shared" si="14"/>
        <v>5.4710572906076317E-2</v>
      </c>
    </row>
    <row r="161" spans="2:10">
      <c r="B161" s="2424" t="s">
        <v>842</v>
      </c>
      <c r="C161" s="2423">
        <f>'T-1'!F22</f>
        <v>5.1907730133999994</v>
      </c>
      <c r="D161" s="2423">
        <f>'T-1'!K22</f>
        <v>19.221</v>
      </c>
      <c r="E161" s="2423">
        <f>'T-1'!O22</f>
        <v>20.88849382415</v>
      </c>
      <c r="F161" s="313">
        <v>9.8330000000000002</v>
      </c>
      <c r="G161" s="34">
        <v>0</v>
      </c>
      <c r="H161" s="34">
        <f t="shared" si="13"/>
        <v>2.7029166851220268</v>
      </c>
      <c r="I161" s="34">
        <f t="shared" si="14"/>
        <v>8.6753749760678428E-2</v>
      </c>
    </row>
    <row r="162" spans="2:10">
      <c r="B162" s="2424" t="s">
        <v>843</v>
      </c>
      <c r="C162" s="2423">
        <f>'T-1'!F23</f>
        <v>0.65484174799999995</v>
      </c>
      <c r="D162" s="2423">
        <f>'T-1'!K23</f>
        <v>1.5960000000000001</v>
      </c>
      <c r="E162" s="2423">
        <f>'T-1'!O23</f>
        <v>1.7956377379999999</v>
      </c>
      <c r="F162" s="313">
        <v>0.85599999999999998</v>
      </c>
      <c r="G162" s="34">
        <v>0</v>
      </c>
      <c r="H162" s="34">
        <f t="shared" si="13"/>
        <v>1.4372300710430579</v>
      </c>
      <c r="I162" s="34">
        <f t="shared" si="14"/>
        <v>0.12508630200501242</v>
      </c>
    </row>
    <row r="163" spans="2:10">
      <c r="B163" s="2421" t="s">
        <v>244</v>
      </c>
      <c r="C163" s="2423">
        <f>'T-1'!F25+'T-1'!F26+'T-1'!F31</f>
        <v>39.411335110899998</v>
      </c>
      <c r="D163" s="2423">
        <f>'T-1'!K25+'T-1'!K26+'T-1'!K31</f>
        <v>41.269180301599995</v>
      </c>
      <c r="E163" s="2423">
        <f>'T-1'!O25+'T-1'!O26+'T-1'!O31</f>
        <v>43.470019980399996</v>
      </c>
      <c r="F163" s="313">
        <v>34.79</v>
      </c>
      <c r="G163" s="34">
        <f t="shared" si="12"/>
        <v>0.13283515696751938</v>
      </c>
      <c r="H163" s="34">
        <f t="shared" si="13"/>
        <v>4.7139869417572026E-2</v>
      </c>
      <c r="I163" s="34">
        <f t="shared" si="14"/>
        <v>5.3328892474141902E-2</v>
      </c>
    </row>
    <row r="164" spans="2:10">
      <c r="B164" s="2421" t="s">
        <v>1332</v>
      </c>
      <c r="C164" s="2423">
        <f>'T-1'!F28+'T-1'!F29</f>
        <v>63.077975612119992</v>
      </c>
      <c r="D164" s="2423">
        <f>'T-1'!K28+'T-1'!K29</f>
        <v>67.855885111600003</v>
      </c>
      <c r="E164" s="2423">
        <f>'T-1'!O28+'T-1'!O29</f>
        <v>70.801333070839988</v>
      </c>
      <c r="F164" s="313">
        <v>38.542999999999999</v>
      </c>
      <c r="G164" s="34">
        <f t="shared" si="12"/>
        <v>0.63656112944295962</v>
      </c>
      <c r="H164" s="34">
        <f t="shared" si="13"/>
        <v>7.5746081783924099E-2</v>
      </c>
      <c r="I164" s="34">
        <f t="shared" si="14"/>
        <v>4.3407406069432566E-2</v>
      </c>
    </row>
    <row r="165" spans="2:10">
      <c r="B165" s="2421" t="s">
        <v>539</v>
      </c>
      <c r="C165" s="2423">
        <f>'T-1'!F24</f>
        <v>36.607145578099995</v>
      </c>
      <c r="D165" s="2423">
        <f>'T-1'!K24</f>
        <v>33.948999999999998</v>
      </c>
      <c r="E165" s="2423">
        <f>'T-1'!O24</f>
        <v>34.678076047899999</v>
      </c>
      <c r="F165" s="313">
        <v>22.765999999999998</v>
      </c>
      <c r="G165" s="34">
        <f t="shared" si="12"/>
        <v>0.60797441702978117</v>
      </c>
      <c r="H165" s="34">
        <f t="shared" si="13"/>
        <v>-7.261275185821145E-2</v>
      </c>
      <c r="I165" s="34">
        <f t="shared" si="14"/>
        <v>2.1475626613449629E-2</v>
      </c>
    </row>
    <row r="166" spans="2:10" s="1" customFormat="1" ht="13">
      <c r="B166" s="2414" t="s">
        <v>1100</v>
      </c>
      <c r="C166" s="2425">
        <f>SUM(C157:C165)</f>
        <v>2158.8392029773395</v>
      </c>
      <c r="D166" s="2425">
        <f>SUM(D157:D165)</f>
        <v>2385.0961995056996</v>
      </c>
      <c r="E166" s="2425">
        <f>SUM(E157:E165)</f>
        <v>2552.77486749437</v>
      </c>
      <c r="F166" s="314">
        <f>SUM(F157:F165)</f>
        <v>1772.1200000000001</v>
      </c>
      <c r="G166" s="2426">
        <f t="shared" si="12"/>
        <v>0.21822404971296488</v>
      </c>
      <c r="H166" s="2426">
        <f t="shared" si="13"/>
        <v>0.10480493230636179</v>
      </c>
      <c r="I166" s="2426">
        <f t="shared" si="14"/>
        <v>7.0302685494790976E-2</v>
      </c>
      <c r="J166" s="504">
        <f>E166-D166</f>
        <v>167.67866798867044</v>
      </c>
    </row>
    <row r="167" spans="2:10">
      <c r="B167" s="12"/>
      <c r="C167" s="12">
        <f>'T-1'!F32</f>
        <v>2158.8392029773399</v>
      </c>
      <c r="D167" s="313">
        <f>'T-1'!K32</f>
        <v>2385.0961995057</v>
      </c>
      <c r="E167" s="313">
        <f>'T-1'!O32</f>
        <v>2552.77486749437</v>
      </c>
      <c r="F167" s="12"/>
      <c r="G167" s="12"/>
      <c r="H167" s="12"/>
      <c r="I167" s="12"/>
    </row>
    <row r="168" spans="2:10">
      <c r="B168" s="12"/>
      <c r="C168" s="313">
        <f>C167-C166</f>
        <v>0</v>
      </c>
      <c r="D168" s="313">
        <f>D167-D166</f>
        <v>0</v>
      </c>
      <c r="E168" s="313">
        <f>E167-E166</f>
        <v>0</v>
      </c>
      <c r="F168" s="12"/>
      <c r="G168" s="12"/>
      <c r="H168" s="12"/>
      <c r="I168" s="12"/>
    </row>
    <row r="169" spans="2:10" ht="13">
      <c r="B169" s="14" t="s">
        <v>169</v>
      </c>
      <c r="C169" s="12"/>
      <c r="D169" s="12"/>
      <c r="E169" s="12"/>
      <c r="F169" s="12"/>
      <c r="G169" s="3390" t="s">
        <v>272</v>
      </c>
      <c r="H169" s="3390"/>
      <c r="I169" s="3390"/>
    </row>
    <row r="170" spans="2:10" ht="13">
      <c r="B170" s="2422" t="s">
        <v>242</v>
      </c>
      <c r="C170" s="2422" t="s">
        <v>5132</v>
      </c>
      <c r="D170" s="2422" t="s">
        <v>5368</v>
      </c>
      <c r="E170" s="2422" t="s">
        <v>6929</v>
      </c>
      <c r="F170" s="16" t="s">
        <v>4759</v>
      </c>
      <c r="G170" s="24" t="s">
        <v>4790</v>
      </c>
      <c r="H170" s="24" t="s">
        <v>5104</v>
      </c>
      <c r="I170" s="24" t="s">
        <v>5329</v>
      </c>
    </row>
    <row r="171" spans="2:10">
      <c r="B171" s="2421" t="s">
        <v>246</v>
      </c>
      <c r="C171" s="2412">
        <f>'T-1'!F43+'T-1'!F48</f>
        <v>159.74244885000002</v>
      </c>
      <c r="D171" s="2412">
        <f>'T-1'!K43+'T-1'!K48</f>
        <v>190.3348</v>
      </c>
      <c r="E171" s="2412">
        <f>'T-1'!O43+'T-1'!O48</f>
        <v>205.5</v>
      </c>
      <c r="F171" s="1803">
        <v>134.44499999999999</v>
      </c>
      <c r="G171" s="417">
        <f>(C171-F171)/F171</f>
        <v>0.18816206515675574</v>
      </c>
      <c r="H171" s="417">
        <f t="shared" ref="H171:I175" si="15">(D171-C171)/C171</f>
        <v>0.19151046807055369</v>
      </c>
      <c r="I171" s="417">
        <f t="shared" si="15"/>
        <v>7.9676443824250737E-2</v>
      </c>
    </row>
    <row r="172" spans="2:10">
      <c r="B172" s="2427" t="s">
        <v>670</v>
      </c>
      <c r="C172" s="2412">
        <f>'T-1'!F41</f>
        <v>32.932545650000002</v>
      </c>
      <c r="D172" s="2412">
        <f>'T-1'!K41</f>
        <v>44.083258114000003</v>
      </c>
      <c r="E172" s="2412">
        <f>'T-1'!O41</f>
        <v>45.836118998000003</v>
      </c>
      <c r="F172" s="313">
        <v>95.959000000000003</v>
      </c>
      <c r="G172" s="417">
        <f>(C172-F172)/F172</f>
        <v>-0.65680607707458394</v>
      </c>
      <c r="H172" s="417">
        <f t="shared" si="15"/>
        <v>0.3385924848478879</v>
      </c>
      <c r="I172" s="417">
        <f t="shared" si="15"/>
        <v>3.9762507559379448E-2</v>
      </c>
    </row>
    <row r="173" spans="2:10">
      <c r="B173" s="2427" t="s">
        <v>1900</v>
      </c>
      <c r="C173" s="2412">
        <f>'T-1'!F39+'T-1'!F40</f>
        <v>49.903536581599994</v>
      </c>
      <c r="D173" s="2412">
        <f>'T-1'!K39+'T-1'!K40</f>
        <v>54.985354438199998</v>
      </c>
      <c r="E173" s="2412">
        <f>'T-1'!O39+'T-1'!O40</f>
        <v>58.176414706000003</v>
      </c>
      <c r="F173" s="313">
        <v>45.7</v>
      </c>
      <c r="G173" s="417">
        <f>(C173-F173)/F173</f>
        <v>9.1981106818380537E-2</v>
      </c>
      <c r="H173" s="417">
        <f t="shared" si="15"/>
        <v>0.10183281997039322</v>
      </c>
      <c r="I173" s="417">
        <f t="shared" si="15"/>
        <v>5.803473125533002E-2</v>
      </c>
    </row>
    <row r="174" spans="2:10">
      <c r="B174" s="2421" t="s">
        <v>116</v>
      </c>
      <c r="C174" s="2412">
        <f>+C175-C171-C172-C173</f>
        <v>82.747079358000022</v>
      </c>
      <c r="D174" s="2412">
        <f>+D175-D171-D172-D173</f>
        <v>77.818679939999953</v>
      </c>
      <c r="E174" s="2412">
        <f>+E175-E171-E172-E173</f>
        <v>81.781689299999925</v>
      </c>
      <c r="F174" s="12">
        <v>51.54</v>
      </c>
      <c r="G174" s="417">
        <f>(C174-F174)/F174</f>
        <v>0.60549242060535546</v>
      </c>
      <c r="H174" s="417">
        <f t="shared" si="15"/>
        <v>-5.9559799043512579E-2</v>
      </c>
      <c r="I174" s="417">
        <f t="shared" si="15"/>
        <v>5.09261961659533E-2</v>
      </c>
    </row>
    <row r="175" spans="2:10" ht="13">
      <c r="B175" s="2414" t="s">
        <v>1100</v>
      </c>
      <c r="C175" s="2425">
        <f>'T-1'!F49</f>
        <v>325.32561043960004</v>
      </c>
      <c r="D175" s="2425">
        <f>'T-1'!K49</f>
        <v>367.22209249219998</v>
      </c>
      <c r="E175" s="2425">
        <f>'T-1'!O49</f>
        <v>391.29422300399995</v>
      </c>
      <c r="F175" s="314">
        <f>SUM(F171:F174)</f>
        <v>327.64400000000001</v>
      </c>
      <c r="G175" s="315">
        <f>(C175-F175)/F175</f>
        <v>-7.0759408394475845E-3</v>
      </c>
      <c r="H175" s="315">
        <f t="shared" si="15"/>
        <v>0.12878322735178097</v>
      </c>
      <c r="I175" s="315">
        <f t="shared" si="15"/>
        <v>6.5551967062851144E-2</v>
      </c>
      <c r="J175" s="409"/>
    </row>
    <row r="176" spans="2:10" ht="13">
      <c r="B176" s="14"/>
      <c r="C176" s="313"/>
      <c r="D176" s="313"/>
      <c r="E176" s="313"/>
      <c r="F176" s="12"/>
      <c r="G176" s="12"/>
      <c r="H176" s="12"/>
      <c r="I176" s="12"/>
    </row>
    <row r="177" spans="2:12" ht="13">
      <c r="B177" s="2414" t="s">
        <v>1494</v>
      </c>
      <c r="C177" s="2408"/>
      <c r="D177" s="2408"/>
      <c r="E177" s="2408"/>
      <c r="F177" s="12"/>
      <c r="G177" s="3390" t="s">
        <v>272</v>
      </c>
      <c r="H177" s="3390"/>
      <c r="I177" s="3390"/>
    </row>
    <row r="178" spans="2:12" ht="13">
      <c r="B178" s="2408" t="s">
        <v>242</v>
      </c>
      <c r="C178" s="2422" t="s">
        <v>5132</v>
      </c>
      <c r="D178" s="2422" t="s">
        <v>5368</v>
      </c>
      <c r="E178" s="2422" t="s">
        <v>6929</v>
      </c>
      <c r="F178" s="16" t="s">
        <v>4759</v>
      </c>
      <c r="G178" s="24" t="s">
        <v>4733</v>
      </c>
      <c r="H178" s="24" t="s">
        <v>4790</v>
      </c>
      <c r="I178" s="24" t="s">
        <v>5104</v>
      </c>
    </row>
    <row r="179" spans="2:12">
      <c r="B179" s="2408" t="s">
        <v>890</v>
      </c>
      <c r="C179" s="2412">
        <f>'T-1'!F52+'T-1'!F58</f>
        <v>112.18249000000003</v>
      </c>
      <c r="D179" s="2412">
        <f>'T-1'!K52+'T-1'!K58</f>
        <v>219.29</v>
      </c>
      <c r="E179" s="2412">
        <f>'T-1'!O52+'T-1'!O58</f>
        <v>229.31</v>
      </c>
      <c r="F179" s="313">
        <v>119.304</v>
      </c>
      <c r="G179" s="417">
        <f>(C179-F179)/F179</f>
        <v>-5.9692131026620833E-2</v>
      </c>
      <c r="H179" s="417">
        <f t="shared" ref="H179:I183" si="16">(D179-C179)/C179</f>
        <v>0.9547613892328467</v>
      </c>
      <c r="I179" s="417">
        <f t="shared" si="16"/>
        <v>4.5692918053718869E-2</v>
      </c>
    </row>
    <row r="180" spans="2:12">
      <c r="B180" s="2408" t="s">
        <v>891</v>
      </c>
      <c r="C180" s="2412">
        <f>'T-1'!F53</f>
        <v>262.35451999999998</v>
      </c>
      <c r="D180" s="2412">
        <f>'T-1'!K53</f>
        <v>265.99558131039998</v>
      </c>
      <c r="E180" s="2412">
        <f>'T-1'!O53</f>
        <v>270</v>
      </c>
      <c r="F180" s="12">
        <v>158.22200000000001</v>
      </c>
      <c r="G180" s="417">
        <f>(C180-F180)/F180</f>
        <v>0.65814185132282466</v>
      </c>
      <c r="H180" s="417">
        <f t="shared" si="16"/>
        <v>1.3878401296078318E-2</v>
      </c>
      <c r="I180" s="417">
        <f t="shared" si="16"/>
        <v>1.5054455678822397E-2</v>
      </c>
    </row>
    <row r="181" spans="2:12">
      <c r="B181" s="2408" t="s">
        <v>247</v>
      </c>
      <c r="C181" s="2412">
        <f>'T-1'!F55</f>
        <v>132.89894100000001</v>
      </c>
      <c r="D181" s="2412">
        <f>'T-1'!K55</f>
        <v>125.88800000000001</v>
      </c>
      <c r="E181" s="2412">
        <f>'T-1'!O55</f>
        <v>135</v>
      </c>
      <c r="F181" s="313">
        <v>176.64500000000001</v>
      </c>
      <c r="G181" s="417">
        <f>(C181-F181)/F181</f>
        <v>-0.24764957400435902</v>
      </c>
      <c r="H181" s="417">
        <f t="shared" si="16"/>
        <v>-5.2753926760033418E-2</v>
      </c>
      <c r="I181" s="417">
        <f t="shared" si="16"/>
        <v>7.2381799694966914E-2</v>
      </c>
    </row>
    <row r="182" spans="2:12">
      <c r="B182" s="2427" t="s">
        <v>4416</v>
      </c>
      <c r="C182" s="2412">
        <f>'T-1'!F57</f>
        <v>29.941791999999992</v>
      </c>
      <c r="D182" s="2412">
        <f>'T-1'!K57</f>
        <v>8.1616</v>
      </c>
      <c r="E182" s="2412">
        <f>'T-1'!O57</f>
        <v>8.1620000000000008</v>
      </c>
      <c r="F182" s="313">
        <v>1.9450000000000001</v>
      </c>
      <c r="G182" s="417">
        <f>(C182-F182)/F182</f>
        <v>14.394237532133671</v>
      </c>
      <c r="H182" s="417">
        <f t="shared" ref="H182" si="17">(D182-C182)/C182</f>
        <v>-0.72741778447996697</v>
      </c>
      <c r="I182" s="417">
        <f t="shared" ref="I182" si="18">(E182-D182)/D182</f>
        <v>4.9009998039703505E-5</v>
      </c>
    </row>
    <row r="183" spans="2:12" ht="13">
      <c r="B183" s="2414" t="s">
        <v>1100</v>
      </c>
      <c r="C183" s="2425">
        <f>SUM(C179:C182)</f>
        <v>537.37774300000001</v>
      </c>
      <c r="D183" s="2425">
        <f>SUM(D179:D182)</f>
        <v>619.3351813104</v>
      </c>
      <c r="E183" s="2425">
        <f>SUM(E179:E182)</f>
        <v>642.47199999999998</v>
      </c>
      <c r="F183" s="314">
        <f>SUM(F179:F182)</f>
        <v>456.11600000000004</v>
      </c>
      <c r="G183" s="417">
        <f>(C183-F183)/F183</f>
        <v>0.17816025528593596</v>
      </c>
      <c r="H183" s="417">
        <f t="shared" si="16"/>
        <v>0.15251364496947539</v>
      </c>
      <c r="I183" s="417">
        <f t="shared" si="16"/>
        <v>3.7357507514181092E-2</v>
      </c>
    </row>
    <row r="185" spans="2:12" ht="14">
      <c r="B185" s="3533"/>
      <c r="C185" s="3532" t="s">
        <v>616</v>
      </c>
      <c r="D185" s="3532"/>
      <c r="E185" s="3532" t="s">
        <v>1073</v>
      </c>
      <c r="F185" s="3532"/>
      <c r="G185" s="3533" t="s">
        <v>1100</v>
      </c>
    </row>
    <row r="186" spans="2:12" ht="14">
      <c r="B186" s="3534"/>
      <c r="C186" s="2429" t="s">
        <v>961</v>
      </c>
      <c r="D186" s="2429" t="s">
        <v>933</v>
      </c>
      <c r="E186" s="2429" t="s">
        <v>961</v>
      </c>
      <c r="F186" s="2429" t="s">
        <v>933</v>
      </c>
      <c r="G186" s="3534"/>
      <c r="H186" s="2428" t="s">
        <v>242</v>
      </c>
      <c r="I186" s="66" t="s">
        <v>4726</v>
      </c>
      <c r="J186" s="2422" t="s">
        <v>5132</v>
      </c>
      <c r="K186" s="2422" t="s">
        <v>5368</v>
      </c>
      <c r="L186" s="2422" t="s">
        <v>6929</v>
      </c>
    </row>
    <row r="187" spans="2:12" ht="14">
      <c r="B187" s="2428" t="s">
        <v>5414</v>
      </c>
      <c r="C187" s="2430">
        <f>'F-12-A '!J128</f>
        <v>295</v>
      </c>
      <c r="D187" s="2430">
        <f>'F-12-A '!K128</f>
        <v>92</v>
      </c>
      <c r="E187" s="2430">
        <f>'F-12-A '!L128</f>
        <v>1128</v>
      </c>
      <c r="F187" s="2430">
        <f>'F-12-A '!M128</f>
        <v>454</v>
      </c>
      <c r="G187" s="2430">
        <f t="shared" ref="G187:G193" si="19">SUM(C187:F187)</f>
        <v>1969</v>
      </c>
      <c r="H187" s="2408" t="s">
        <v>1496</v>
      </c>
      <c r="I187" s="313">
        <f>F166</f>
        <v>1772.1200000000001</v>
      </c>
      <c r="J187" s="2412">
        <f>C166</f>
        <v>2158.8392029773395</v>
      </c>
      <c r="K187" s="2412">
        <f t="shared" ref="K187:L187" si="20">D166</f>
        <v>2385.0961995056996</v>
      </c>
      <c r="L187" s="2412">
        <f t="shared" si="20"/>
        <v>2552.77486749437</v>
      </c>
    </row>
    <row r="188" spans="2:12" ht="14">
      <c r="B188" s="2428" t="s">
        <v>5375</v>
      </c>
      <c r="C188" s="2430">
        <f>'F-12-A '!J129</f>
        <v>0</v>
      </c>
      <c r="D188" s="2430">
        <f>'F-12-A '!K129</f>
        <v>0</v>
      </c>
      <c r="E188" s="2430">
        <f>'F-12-A '!L129</f>
        <v>0</v>
      </c>
      <c r="F188" s="2430">
        <f>'F-12-A '!M129</f>
        <v>3</v>
      </c>
      <c r="G188" s="2430">
        <f t="shared" si="19"/>
        <v>3</v>
      </c>
      <c r="H188" s="2408" t="s">
        <v>1495</v>
      </c>
      <c r="I188" s="313">
        <f>F175</f>
        <v>327.64400000000001</v>
      </c>
      <c r="J188" s="2412">
        <f>C175</f>
        <v>325.32561043960004</v>
      </c>
      <c r="K188" s="2412">
        <f t="shared" ref="K188:L188" si="21">D175</f>
        <v>367.22209249219998</v>
      </c>
      <c r="L188" s="2412">
        <f t="shared" si="21"/>
        <v>391.29422300399995</v>
      </c>
    </row>
    <row r="189" spans="2:12" ht="14">
      <c r="B189" s="2428" t="s">
        <v>5376</v>
      </c>
      <c r="C189" s="2430">
        <f>'F-12-A '!J130</f>
        <v>4</v>
      </c>
      <c r="D189" s="2430">
        <f>'F-12-A '!K130</f>
        <v>4</v>
      </c>
      <c r="E189" s="2430">
        <f>'F-12-A '!L130</f>
        <v>72</v>
      </c>
      <c r="F189" s="2430">
        <f>'F-12-A '!M130</f>
        <v>30</v>
      </c>
      <c r="G189" s="2430">
        <f t="shared" si="19"/>
        <v>110</v>
      </c>
      <c r="H189" s="2408" t="s">
        <v>1494</v>
      </c>
      <c r="I189" s="313">
        <f>F183</f>
        <v>456.11600000000004</v>
      </c>
      <c r="J189" s="2412">
        <f>C183</f>
        <v>537.37774300000001</v>
      </c>
      <c r="K189" s="2412">
        <f t="shared" ref="K189:L189" si="22">D183</f>
        <v>619.3351813104</v>
      </c>
      <c r="L189" s="2412">
        <f t="shared" si="22"/>
        <v>642.47199999999998</v>
      </c>
    </row>
    <row r="190" spans="2:12" ht="14">
      <c r="B190" s="2431" t="s">
        <v>7165</v>
      </c>
      <c r="C190" s="2432">
        <f>C187+C188-C189</f>
        <v>291</v>
      </c>
      <c r="D190" s="2432">
        <f>D187+D188-D189</f>
        <v>88</v>
      </c>
      <c r="E190" s="2432">
        <f>E187+E188-E189</f>
        <v>1056</v>
      </c>
      <c r="F190" s="2432">
        <f>F187+F188-F189</f>
        <v>427</v>
      </c>
      <c r="G190" s="2432">
        <f t="shared" si="19"/>
        <v>1862</v>
      </c>
      <c r="H190" s="2414" t="s">
        <v>1100</v>
      </c>
      <c r="I190" s="314">
        <f>SUM(I187:I189)</f>
        <v>2555.88</v>
      </c>
      <c r="J190" s="2425">
        <f>SUM(J187:J189)</f>
        <v>3021.5425564169395</v>
      </c>
      <c r="K190" s="2425">
        <f>SUM(K187:K189)</f>
        <v>3371.6534733082995</v>
      </c>
      <c r="L190" s="2425">
        <f>SUM(L187:L189)</f>
        <v>3586.5410904983701</v>
      </c>
    </row>
    <row r="191" spans="2:12" ht="14">
      <c r="B191" s="2428" t="s">
        <v>7166</v>
      </c>
      <c r="C191" s="2430">
        <f>'F-12-A '!J132</f>
        <v>0</v>
      </c>
      <c r="D191" s="2430">
        <f>'F-12-A '!K132</f>
        <v>0</v>
      </c>
      <c r="E191" s="2430">
        <f>'F-12-A '!L132</f>
        <v>0</v>
      </c>
      <c r="F191" s="2430">
        <f>'F-12-A '!M132</f>
        <v>0</v>
      </c>
      <c r="G191" s="2430">
        <f t="shared" si="19"/>
        <v>0</v>
      </c>
    </row>
    <row r="192" spans="2:12" ht="14">
      <c r="B192" s="2428" t="s">
        <v>7167</v>
      </c>
      <c r="C192" s="2430">
        <f>'F-12-A '!J133</f>
        <v>3</v>
      </c>
      <c r="D192" s="2430">
        <f>'F-12-A '!K133</f>
        <v>1</v>
      </c>
      <c r="E192" s="2430">
        <f>'F-12-A '!L133</f>
        <v>55</v>
      </c>
      <c r="F192" s="2430">
        <f>'F-12-A '!M133</f>
        <v>19</v>
      </c>
      <c r="G192" s="2430">
        <f t="shared" si="19"/>
        <v>78</v>
      </c>
    </row>
    <row r="193" spans="2:7" ht="14">
      <c r="B193" s="2431" t="s">
        <v>7168</v>
      </c>
      <c r="C193" s="2432">
        <f>C190+C191-C192</f>
        <v>288</v>
      </c>
      <c r="D193" s="2432">
        <f>D190+D191-D192</f>
        <v>87</v>
      </c>
      <c r="E193" s="2432">
        <f>E190+E191-E192</f>
        <v>1001</v>
      </c>
      <c r="F193" s="2432">
        <f>F190+F191-F192</f>
        <v>408</v>
      </c>
      <c r="G193" s="2432">
        <f t="shared" si="19"/>
        <v>1784</v>
      </c>
    </row>
    <row r="195" spans="2:7" ht="39">
      <c r="B195" s="2414" t="s">
        <v>235</v>
      </c>
      <c r="C195" s="2414" t="s">
        <v>344</v>
      </c>
      <c r="D195" s="2405" t="s">
        <v>236</v>
      </c>
      <c r="E195" s="2405" t="s">
        <v>237</v>
      </c>
    </row>
    <row r="196" spans="2:7">
      <c r="B196" s="3530" t="s">
        <v>5329</v>
      </c>
      <c r="C196" s="2408" t="s">
        <v>616</v>
      </c>
      <c r="D196" s="2408">
        <f>'F-12-A '!T32+'F-12-A '!U32+'F-12-A '!T83+'F-12-A '!U83</f>
        <v>0</v>
      </c>
      <c r="E196" s="2403">
        <f>'F-12-A '!K109/100000</f>
        <v>0</v>
      </c>
    </row>
    <row r="197" spans="2:7">
      <c r="B197" s="3531"/>
      <c r="C197" s="2408" t="s">
        <v>1073</v>
      </c>
      <c r="D197" s="2408">
        <f>+'F-12-A '!V32+'F-12-A '!W32+'F-12-A '!V83+'F-12-A '!W83</f>
        <v>3</v>
      </c>
      <c r="E197" s="2403">
        <f>'F-12-A '!K110/100000</f>
        <v>0</v>
      </c>
    </row>
    <row r="198" spans="2:7">
      <c r="B198" s="3530" t="s">
        <v>5482</v>
      </c>
      <c r="C198" s="2408" t="s">
        <v>616</v>
      </c>
      <c r="D198" s="2408">
        <f>+'F-12-A '!T113+'F-12-A '!U113</f>
        <v>0</v>
      </c>
      <c r="E198" s="2403">
        <f>'F-12-A '!P109/100000</f>
        <v>0</v>
      </c>
    </row>
    <row r="199" spans="2:7">
      <c r="B199" s="3531"/>
      <c r="C199" s="2408" t="s">
        <v>1073</v>
      </c>
      <c r="D199" s="2408">
        <f>'F-12-A '!V113+'F-12-A '!W113</f>
        <v>0</v>
      </c>
      <c r="E199" s="2403">
        <f>'F-12-A '!P110/100000</f>
        <v>0</v>
      </c>
    </row>
    <row r="202" spans="2:7" ht="13">
      <c r="B202" s="383" t="s">
        <v>467</v>
      </c>
      <c r="E202" s="1"/>
    </row>
    <row r="203" spans="2:7" ht="25.5">
      <c r="B203" s="383" t="s">
        <v>468</v>
      </c>
      <c r="C203" s="383" t="s">
        <v>469</v>
      </c>
      <c r="D203" s="383" t="s">
        <v>1135</v>
      </c>
      <c r="E203" s="408" t="s">
        <v>1136</v>
      </c>
    </row>
    <row r="204" spans="2:7" ht="13">
      <c r="B204" t="s">
        <v>961</v>
      </c>
      <c r="C204" s="4">
        <f>+'F-12-A '!$T$22</f>
        <v>295</v>
      </c>
      <c r="D204" s="4">
        <f>+'F-12-A '!$V$22</f>
        <v>1128</v>
      </c>
      <c r="E204" s="1">
        <f>+C204+D204</f>
        <v>1423</v>
      </c>
    </row>
    <row r="205" spans="2:7" ht="13">
      <c r="B205" t="s">
        <v>933</v>
      </c>
      <c r="C205" s="4">
        <f>+'F-12-A '!$U$22</f>
        <v>92</v>
      </c>
      <c r="D205" s="4">
        <f>+'F-12-A '!$W$22</f>
        <v>454</v>
      </c>
      <c r="E205" s="1">
        <f>+C205+D205</f>
        <v>546</v>
      </c>
    </row>
    <row r="206" spans="2:7" ht="13">
      <c r="C206" s="4"/>
      <c r="D206" s="4"/>
      <c r="E206" s="1"/>
    </row>
    <row r="207" spans="2:7" ht="13">
      <c r="B207" s="1" t="s">
        <v>4800</v>
      </c>
      <c r="C207" s="18">
        <f>SUM(C204:C205)</f>
        <v>387</v>
      </c>
      <c r="D207" s="18">
        <f>SUM(D204:D205)</f>
        <v>1582</v>
      </c>
      <c r="E207" s="1">
        <f>+C207+D207</f>
        <v>1969</v>
      </c>
    </row>
    <row r="208" spans="2:7" ht="13">
      <c r="E208" s="1"/>
    </row>
    <row r="209" spans="2:5" ht="13">
      <c r="E209" s="1"/>
    </row>
    <row r="210" spans="2:5" ht="13">
      <c r="E210" s="1"/>
    </row>
    <row r="211" spans="2:5" ht="13">
      <c r="B211" s="1" t="s">
        <v>1069</v>
      </c>
      <c r="E211" s="1"/>
    </row>
    <row r="212" spans="2:5" ht="39">
      <c r="B212" s="383" t="s">
        <v>1070</v>
      </c>
      <c r="C212" s="383" t="s">
        <v>344</v>
      </c>
      <c r="D212" s="383" t="s">
        <v>1071</v>
      </c>
      <c r="E212" s="408" t="s">
        <v>1072</v>
      </c>
    </row>
    <row r="213" spans="2:5">
      <c r="B213" s="608" t="s">
        <v>4662</v>
      </c>
      <c r="C213" t="s">
        <v>616</v>
      </c>
      <c r="D213" s="21">
        <f>+'F-12-A '!T32+'F-12-A '!U32+'F-12-A '!T83+'F-12-A '!U83</f>
        <v>0</v>
      </c>
      <c r="E213" s="421">
        <f>E196</f>
        <v>0</v>
      </c>
    </row>
    <row r="214" spans="2:5">
      <c r="C214" t="s">
        <v>1073</v>
      </c>
      <c r="D214" s="21">
        <f>+'F-12-A '!V32+'F-12-A '!W32+'F-12-A '!V83+'F-12-A '!W83</f>
        <v>3</v>
      </c>
      <c r="E214" s="421">
        <f>E197</f>
        <v>0</v>
      </c>
    </row>
    <row r="215" spans="2:5">
      <c r="B215" s="608" t="s">
        <v>4733</v>
      </c>
      <c r="C215" t="s">
        <v>616</v>
      </c>
      <c r="D215" s="21">
        <f>+'F-12-A '!T113+'F-12-A '!U113</f>
        <v>0</v>
      </c>
      <c r="E215" s="421">
        <f>E198</f>
        <v>0</v>
      </c>
    </row>
    <row r="216" spans="2:5">
      <c r="C216" t="s">
        <v>1073</v>
      </c>
      <c r="D216" s="21">
        <f>+'F-12-A '!V113+'F-12-A '!W113</f>
        <v>0</v>
      </c>
      <c r="E216" s="421">
        <f>E199</f>
        <v>0</v>
      </c>
    </row>
    <row r="220" spans="2:5" ht="13">
      <c r="B220" s="2414" t="s">
        <v>346</v>
      </c>
      <c r="C220" s="2408"/>
      <c r="D220" s="2408"/>
      <c r="E220" s="2414"/>
    </row>
    <row r="221" spans="2:5" ht="39">
      <c r="B221" s="2404" t="s">
        <v>1070</v>
      </c>
      <c r="C221" s="2404" t="s">
        <v>344</v>
      </c>
      <c r="D221" s="2402" t="s">
        <v>4417</v>
      </c>
      <c r="E221" s="2433" t="s">
        <v>3355</v>
      </c>
    </row>
    <row r="222" spans="2:5">
      <c r="B222" s="2427" t="s">
        <v>5329</v>
      </c>
      <c r="C222" s="2408" t="s">
        <v>616</v>
      </c>
      <c r="D222" s="2421">
        <f>'F-12-A '!K146</f>
        <v>8</v>
      </c>
      <c r="E222" s="2434">
        <f>'F-12-A '!L146</f>
        <v>17.095496062015503</v>
      </c>
    </row>
    <row r="223" spans="2:5">
      <c r="B223" s="2408"/>
      <c r="C223" s="2408" t="s">
        <v>1073</v>
      </c>
      <c r="D223" s="2421">
        <f>'F-12-A '!K147</f>
        <v>102</v>
      </c>
      <c r="E223" s="2434">
        <f>'F-12-A '!L147</f>
        <v>106.68167614285717</v>
      </c>
    </row>
    <row r="224" spans="2:5">
      <c r="B224" s="2427" t="s">
        <v>5482</v>
      </c>
      <c r="C224" s="2408" t="s">
        <v>616</v>
      </c>
      <c r="D224" s="2421">
        <f>'F-12-A '!K148</f>
        <v>4</v>
      </c>
      <c r="E224" s="2434">
        <f>'F-12-A '!L148</f>
        <v>8.8043999999999993</v>
      </c>
    </row>
    <row r="225" spans="1:5">
      <c r="B225" s="2408"/>
      <c r="C225" s="2408" t="s">
        <v>1073</v>
      </c>
      <c r="D225" s="2421">
        <f>'F-12-A '!K153</f>
        <v>74</v>
      </c>
      <c r="E225" s="2434">
        <f>'F-12-A '!L153</f>
        <v>79.720200000000006</v>
      </c>
    </row>
    <row r="228" spans="1:5" s="1" customFormat="1" ht="13">
      <c r="A228" s="18" t="s">
        <v>347</v>
      </c>
      <c r="B228" s="1" t="s">
        <v>348</v>
      </c>
      <c r="C228" s="1" t="s">
        <v>1041</v>
      </c>
      <c r="D228" s="1" t="s">
        <v>1042</v>
      </c>
    </row>
    <row r="229" spans="1:5">
      <c r="A229" s="4">
        <v>1</v>
      </c>
      <c r="B229" t="s">
        <v>1043</v>
      </c>
      <c r="C229" t="s">
        <v>1044</v>
      </c>
      <c r="D229" t="s">
        <v>1045</v>
      </c>
    </row>
    <row r="230" spans="1:5">
      <c r="A230" s="4">
        <v>2</v>
      </c>
      <c r="B230" t="s">
        <v>1046</v>
      </c>
      <c r="C230" t="s">
        <v>1047</v>
      </c>
      <c r="D230" t="s">
        <v>1048</v>
      </c>
    </row>
    <row r="231" spans="1:5">
      <c r="A231" s="4">
        <v>3</v>
      </c>
      <c r="B231" t="s">
        <v>1049</v>
      </c>
      <c r="C231" t="s">
        <v>980</v>
      </c>
      <c r="D231" t="s">
        <v>981</v>
      </c>
    </row>
    <row r="232" spans="1:5">
      <c r="A232" s="4">
        <v>4</v>
      </c>
      <c r="B232" t="s">
        <v>982</v>
      </c>
      <c r="C232" t="s">
        <v>983</v>
      </c>
      <c r="D232" t="s">
        <v>984</v>
      </c>
    </row>
    <row r="233" spans="1:5">
      <c r="A233" s="4">
        <v>5</v>
      </c>
      <c r="B233" t="s">
        <v>985</v>
      </c>
      <c r="C233" t="s">
        <v>1111</v>
      </c>
      <c r="D233" t="s">
        <v>67</v>
      </c>
    </row>
    <row r="234" spans="1:5">
      <c r="A234" s="4">
        <v>6</v>
      </c>
      <c r="B234" t="s">
        <v>68</v>
      </c>
      <c r="C234" t="s">
        <v>1112</v>
      </c>
      <c r="D234" t="s">
        <v>69</v>
      </c>
    </row>
    <row r="235" spans="1:5">
      <c r="A235" s="4">
        <v>7</v>
      </c>
      <c r="B235" t="s">
        <v>70</v>
      </c>
      <c r="C235" t="s">
        <v>1113</v>
      </c>
      <c r="D235" t="s">
        <v>71</v>
      </c>
    </row>
    <row r="236" spans="1:5">
      <c r="A236" s="4">
        <v>8</v>
      </c>
      <c r="B236" t="s">
        <v>72</v>
      </c>
      <c r="C236" t="s">
        <v>73</v>
      </c>
      <c r="D236" t="s">
        <v>74</v>
      </c>
    </row>
    <row r="237" spans="1:5">
      <c r="A237" s="4">
        <v>9</v>
      </c>
      <c r="B237" t="s">
        <v>75</v>
      </c>
      <c r="C237" t="s">
        <v>76</v>
      </c>
      <c r="D237" t="s">
        <v>486</v>
      </c>
    </row>
    <row r="238" spans="1:5">
      <c r="A238" s="4">
        <v>10</v>
      </c>
      <c r="C238" t="s">
        <v>487</v>
      </c>
      <c r="D238" t="s">
        <v>489</v>
      </c>
    </row>
    <row r="239" spans="1:5">
      <c r="A239" s="4">
        <v>11</v>
      </c>
      <c r="C239" t="s">
        <v>488</v>
      </c>
      <c r="D239" t="s">
        <v>490</v>
      </c>
    </row>
    <row r="240" spans="1:5">
      <c r="A240" s="4">
        <v>12</v>
      </c>
      <c r="C240" t="s">
        <v>1054</v>
      </c>
      <c r="D240" t="s">
        <v>16</v>
      </c>
    </row>
    <row r="241" spans="1:8">
      <c r="A241" s="4">
        <v>13</v>
      </c>
      <c r="C241" t="s">
        <v>337</v>
      </c>
      <c r="D241" t="s">
        <v>106</v>
      </c>
    </row>
    <row r="242" spans="1:8">
      <c r="A242" s="4">
        <v>14</v>
      </c>
      <c r="C242" t="s">
        <v>107</v>
      </c>
      <c r="D242" t="s">
        <v>111</v>
      </c>
    </row>
    <row r="243" spans="1:8">
      <c r="A243" s="4">
        <v>15</v>
      </c>
      <c r="C243" t="s">
        <v>108</v>
      </c>
      <c r="D243" t="s">
        <v>110</v>
      </c>
    </row>
    <row r="244" spans="1:8">
      <c r="A244" s="4">
        <v>16</v>
      </c>
      <c r="C244" t="s">
        <v>109</v>
      </c>
      <c r="D244" t="s">
        <v>16</v>
      </c>
    </row>
    <row r="245" spans="1:8">
      <c r="A245" s="4">
        <v>17</v>
      </c>
      <c r="C245" t="s">
        <v>112</v>
      </c>
      <c r="D245" t="s">
        <v>113</v>
      </c>
    </row>
    <row r="251" spans="1:8" ht="13">
      <c r="A251" s="2436"/>
      <c r="B251" s="2400" t="s">
        <v>679</v>
      </c>
      <c r="C251" s="2435" t="s">
        <v>1138</v>
      </c>
    </row>
    <row r="252" spans="1:8">
      <c r="A252" s="2437">
        <v>1</v>
      </c>
      <c r="B252" s="2427" t="s">
        <v>4418</v>
      </c>
      <c r="C252" s="2403">
        <f>+'WF-INTEREST'!V11</f>
        <v>0</v>
      </c>
    </row>
    <row r="253" spans="1:8">
      <c r="A253" s="2437">
        <v>2</v>
      </c>
      <c r="B253" s="2408" t="s">
        <v>3679</v>
      </c>
      <c r="C253" s="2403">
        <f>'WF-INTEREST'!V13</f>
        <v>0</v>
      </c>
    </row>
    <row r="254" spans="1:8">
      <c r="A254" s="2437">
        <v>3</v>
      </c>
      <c r="B254" s="2427" t="s">
        <v>239</v>
      </c>
      <c r="C254" s="2403">
        <f>+'WF-INTEREST'!V15</f>
        <v>0</v>
      </c>
    </row>
    <row r="255" spans="1:8">
      <c r="A255" s="2437">
        <v>4</v>
      </c>
      <c r="B255" s="2408" t="s">
        <v>680</v>
      </c>
      <c r="C255" s="2403">
        <f>+('WF-INTEREST'!V17+'WF-INTEREST'!V19)</f>
        <v>1.0727199999999999E-2</v>
      </c>
      <c r="G255">
        <f>8.57+2.81+0.72+0.53+20.16+8.39+4.37</f>
        <v>45.55</v>
      </c>
      <c r="H255" s="3">
        <f>+C267-G255</f>
        <v>35.866016348830996</v>
      </c>
    </row>
    <row r="256" spans="1:8">
      <c r="A256" s="2437">
        <v>5</v>
      </c>
      <c r="B256" s="2408" t="s">
        <v>684</v>
      </c>
      <c r="C256" s="2403">
        <f>+'WF-INTEREST'!V25</f>
        <v>4.1193285752</v>
      </c>
    </row>
    <row r="257" spans="1:7">
      <c r="A257" s="2437">
        <v>7</v>
      </c>
      <c r="B257" s="2427" t="s">
        <v>3368</v>
      </c>
      <c r="C257" s="2403">
        <f>'WF-INTEREST'!V21</f>
        <v>1.6085076319999985</v>
      </c>
    </row>
    <row r="258" spans="1:7">
      <c r="A258" s="2437">
        <v>8</v>
      </c>
      <c r="B258" s="2427" t="s">
        <v>4763</v>
      </c>
      <c r="C258" s="2403">
        <f>'WF-INTEREST'!V23</f>
        <v>5.78</v>
      </c>
    </row>
    <row r="259" spans="1:7">
      <c r="A259" s="2437">
        <v>9</v>
      </c>
      <c r="B259" s="2427" t="s">
        <v>3369</v>
      </c>
      <c r="C259" s="2403">
        <f>'WF-INTEREST'!V29</f>
        <v>0</v>
      </c>
    </row>
    <row r="260" spans="1:7">
      <c r="A260" s="2437">
        <v>10</v>
      </c>
      <c r="B260" s="2427" t="s">
        <v>3370</v>
      </c>
      <c r="C260" s="2403">
        <f>'WF-INTEREST'!V27</f>
        <v>0</v>
      </c>
    </row>
    <row r="261" spans="1:7">
      <c r="A261" s="2437">
        <v>11</v>
      </c>
      <c r="B261" s="2427" t="s">
        <v>3371</v>
      </c>
      <c r="C261" s="2403">
        <f>'WF-INTEREST'!V44</f>
        <v>0</v>
      </c>
    </row>
    <row r="262" spans="1:7">
      <c r="A262" s="2437">
        <v>12</v>
      </c>
      <c r="B262" s="2408" t="s">
        <v>575</v>
      </c>
      <c r="C262" s="2403">
        <f>+'F-23 '!D54</f>
        <v>14.506862163805003</v>
      </c>
    </row>
    <row r="263" spans="1:7">
      <c r="A263" s="2437">
        <v>13</v>
      </c>
      <c r="B263" s="2408" t="s">
        <v>7169</v>
      </c>
      <c r="C263" s="2403">
        <f>'WF-12(RevRQEns)'!G30</f>
        <v>5.6033941740000071</v>
      </c>
    </row>
    <row r="264" spans="1:7">
      <c r="A264" s="2437">
        <v>14</v>
      </c>
      <c r="B264" s="2408" t="s">
        <v>7170</v>
      </c>
      <c r="C264" s="2403">
        <f>'WF-12(RevRQEns)'!G31</f>
        <v>9.1649999999999991</v>
      </c>
    </row>
    <row r="265" spans="1:7">
      <c r="A265" s="2437">
        <v>15</v>
      </c>
      <c r="B265" s="2408" t="s">
        <v>7171</v>
      </c>
      <c r="C265" s="2403">
        <f>'WF-12(RevRQEns)'!G32</f>
        <v>38.794308603825975</v>
      </c>
    </row>
    <row r="266" spans="1:7">
      <c r="A266" s="2437">
        <v>13</v>
      </c>
      <c r="B266" s="2408" t="s">
        <v>681</v>
      </c>
      <c r="C266" s="2403">
        <f>+'F-23 '!D53</f>
        <v>1.827888</v>
      </c>
      <c r="D266" s="3"/>
    </row>
    <row r="267" spans="1:7" ht="13">
      <c r="A267" s="2437">
        <v>14</v>
      </c>
      <c r="B267" s="2414" t="s">
        <v>253</v>
      </c>
      <c r="C267" s="2406">
        <f>SUM(C252:C266)</f>
        <v>81.416016348830993</v>
      </c>
      <c r="F267" s="422">
        <f>+'F-22'!D19</f>
        <v>89.297062773215515</v>
      </c>
      <c r="G267" s="422">
        <f>+C267-F267</f>
        <v>-7.8810464243845217</v>
      </c>
    </row>
    <row r="268" spans="1:7">
      <c r="A268" s="2437">
        <v>15</v>
      </c>
      <c r="B268" s="2408" t="s">
        <v>682</v>
      </c>
      <c r="C268" s="2403">
        <f>+'WF-INTEREST'!W45</f>
        <v>7.8810464243845262</v>
      </c>
      <c r="F268" s="422">
        <f>+'F-22'!D20</f>
        <v>7.8810464243845262</v>
      </c>
      <c r="G268" s="422">
        <f>+C268-F268</f>
        <v>0</v>
      </c>
    </row>
    <row r="269" spans="1:7" ht="13">
      <c r="A269" s="2437">
        <v>16</v>
      </c>
      <c r="B269" s="2414" t="s">
        <v>683</v>
      </c>
      <c r="C269" s="2406">
        <f>+C267-C268</f>
        <v>73.534969924446472</v>
      </c>
      <c r="F269" s="422">
        <f>+'F-22'!D21</f>
        <v>81.416016348830993</v>
      </c>
      <c r="G269" s="422">
        <f>+C269-F269</f>
        <v>-7.8810464243845217</v>
      </c>
    </row>
    <row r="273" spans="2:8" ht="13">
      <c r="B273" s="1" t="s">
        <v>477</v>
      </c>
      <c r="D273" t="s">
        <v>1138</v>
      </c>
    </row>
    <row r="274" spans="2:8">
      <c r="B274" s="12" t="s">
        <v>83</v>
      </c>
      <c r="C274" s="15" t="s">
        <v>4759</v>
      </c>
      <c r="D274" s="4" t="s">
        <v>480</v>
      </c>
      <c r="F274" s="3535" t="s">
        <v>481</v>
      </c>
      <c r="G274" s="3535"/>
      <c r="H274" t="s">
        <v>1100</v>
      </c>
    </row>
    <row r="275" spans="2:8">
      <c r="B275" s="12"/>
      <c r="C275" s="15"/>
      <c r="D275" s="4"/>
      <c r="F275" s="4"/>
      <c r="G275" s="4"/>
    </row>
    <row r="276" spans="2:8">
      <c r="B276" s="12" t="s">
        <v>478</v>
      </c>
      <c r="C276" s="27">
        <f>+'F-12-A '!G19-C277</f>
        <v>166.75379381000002</v>
      </c>
      <c r="D276" s="57">
        <f>+'F-12-A '!L19</f>
        <v>158.17630539982497</v>
      </c>
      <c r="F276" s="57">
        <f>+(2248.22+508.39+570.19)/100</f>
        <v>33.268000000000001</v>
      </c>
      <c r="G276" s="57">
        <f>488.95*0.05</f>
        <v>24.447500000000002</v>
      </c>
      <c r="H276" s="3">
        <f t="shared" ref="H276:H282" si="23">+F276+G276</f>
        <v>57.715500000000006</v>
      </c>
    </row>
    <row r="277" spans="2:8">
      <c r="B277" s="12" t="s">
        <v>82</v>
      </c>
      <c r="C277" s="27">
        <v>0</v>
      </c>
      <c r="D277" s="57"/>
      <c r="F277" s="57">
        <v>18.329999999999998</v>
      </c>
      <c r="G277" s="57">
        <f>1.58+0.17+0.75+13.75</f>
        <v>16.25</v>
      </c>
      <c r="H277" s="3">
        <f t="shared" si="23"/>
        <v>34.58</v>
      </c>
    </row>
    <row r="278" spans="2:8">
      <c r="B278" s="12" t="s">
        <v>479</v>
      </c>
      <c r="C278" s="27">
        <f>+'F-12-A '!G35</f>
        <v>2.8180843859999998</v>
      </c>
      <c r="D278" s="57">
        <f>+'F-12-A '!L35</f>
        <v>0</v>
      </c>
      <c r="F278" s="57">
        <f>+(484.94+177.47)/100</f>
        <v>6.6240999999999994</v>
      </c>
      <c r="G278" s="57">
        <f>+G276*0.1991</f>
        <v>4.8674972500000004</v>
      </c>
      <c r="H278" s="3">
        <f t="shared" si="23"/>
        <v>11.49159725</v>
      </c>
    </row>
    <row r="279" spans="2:8">
      <c r="B279" s="12" t="s">
        <v>546</v>
      </c>
      <c r="C279" s="27">
        <f>+'F-12-A '!G36</f>
        <v>3.0233826000000001</v>
      </c>
      <c r="D279" s="57">
        <f>+'F-12-A '!L36</f>
        <v>3.3198068100000002</v>
      </c>
      <c r="F279" s="57">
        <f>60.17/100</f>
        <v>0.60170000000000001</v>
      </c>
      <c r="G279" s="57">
        <v>0.4</v>
      </c>
      <c r="H279" s="3">
        <f t="shared" si="23"/>
        <v>1.0017</v>
      </c>
    </row>
    <row r="280" spans="2:8">
      <c r="B280" s="12" t="s">
        <v>621</v>
      </c>
      <c r="C280" s="27">
        <f>'F-12-A '!G37</f>
        <v>185.41145191800001</v>
      </c>
      <c r="D280" s="57">
        <f>+'F-12-A '!L37</f>
        <v>130.50712598462894</v>
      </c>
      <c r="F280" s="57">
        <f>2.3+2.32</f>
        <v>4.6199999999999992</v>
      </c>
      <c r="G280" s="57">
        <f>1*5</f>
        <v>5</v>
      </c>
      <c r="H280" s="3">
        <f t="shared" si="23"/>
        <v>9.6199999999999992</v>
      </c>
    </row>
    <row r="281" spans="2:8">
      <c r="B281" s="12" t="s">
        <v>622</v>
      </c>
      <c r="C281" s="27">
        <f>'F-12-A '!G38</f>
        <v>0</v>
      </c>
      <c r="D281" s="57">
        <f>+'F-12-A '!L38</f>
        <v>0</v>
      </c>
      <c r="F281" s="57">
        <v>1</v>
      </c>
      <c r="G281" s="57">
        <f>0.3*5</f>
        <v>1.5</v>
      </c>
      <c r="H281" s="3">
        <f t="shared" si="23"/>
        <v>2.5</v>
      </c>
    </row>
    <row r="282" spans="2:8" s="1" customFormat="1" ht="13">
      <c r="B282" s="14" t="s">
        <v>1100</v>
      </c>
      <c r="C282" s="31">
        <f>SUM(C276:C281)</f>
        <v>358.00671271400006</v>
      </c>
      <c r="D282" s="59">
        <f>SUM(D276:D281)</f>
        <v>292.0032381944539</v>
      </c>
      <c r="F282" s="59">
        <f>SUM(F276:F281)</f>
        <v>64.443799999999996</v>
      </c>
      <c r="G282" s="59">
        <f>SUM(G276:G281)</f>
        <v>52.464997250000003</v>
      </c>
      <c r="H282" s="5">
        <f t="shared" si="23"/>
        <v>116.90879724999999</v>
      </c>
    </row>
    <row r="283" spans="2:8">
      <c r="B283" s="12"/>
      <c r="C283" s="12"/>
    </row>
    <row r="284" spans="2:8">
      <c r="B284" s="23" t="s">
        <v>1469</v>
      </c>
      <c r="C284" s="15">
        <v>93.14</v>
      </c>
      <c r="D284" s="4">
        <v>98.59</v>
      </c>
    </row>
    <row r="285" spans="2:8">
      <c r="B285" s="12"/>
      <c r="C285" s="12"/>
    </row>
    <row r="286" spans="2:8">
      <c r="B286" s="12" t="s">
        <v>482</v>
      </c>
      <c r="C286" s="27">
        <f>+C282-C284</f>
        <v>264.86671271400007</v>
      </c>
      <c r="D286" s="57">
        <f>+D282-D284</f>
        <v>193.4132381944539</v>
      </c>
    </row>
    <row r="287" spans="2:8">
      <c r="B287" s="12"/>
      <c r="C287" s="15"/>
      <c r="D287" s="4"/>
    </row>
    <row r="288" spans="2:8" s="1" customFormat="1" ht="26">
      <c r="B288" s="58" t="s">
        <v>345</v>
      </c>
      <c r="C288" s="31">
        <f>C286*3/7</f>
        <v>113.51430544885717</v>
      </c>
    </row>
    <row r="291" spans="2:4" ht="13">
      <c r="B291" s="1" t="s">
        <v>1470</v>
      </c>
    </row>
    <row r="292" spans="2:4">
      <c r="B292" s="12" t="s">
        <v>864</v>
      </c>
      <c r="C292" s="12"/>
    </row>
    <row r="293" spans="2:4">
      <c r="B293" s="12" t="s">
        <v>513</v>
      </c>
      <c r="C293" s="127">
        <v>134.36000000000001</v>
      </c>
    </row>
    <row r="294" spans="2:4">
      <c r="B294" s="12" t="s">
        <v>1235</v>
      </c>
      <c r="C294" s="127">
        <v>58.43</v>
      </c>
    </row>
    <row r="295" spans="2:4">
      <c r="B295" s="12" t="s">
        <v>865</v>
      </c>
      <c r="C295" s="127">
        <f>+C293+C294</f>
        <v>192.79000000000002</v>
      </c>
    </row>
    <row r="296" spans="2:4" ht="13">
      <c r="B296" s="58" t="s">
        <v>866</v>
      </c>
      <c r="C296" s="127"/>
    </row>
    <row r="297" spans="2:4">
      <c r="B297" s="23" t="s">
        <v>867</v>
      </c>
      <c r="C297" s="127">
        <v>26.5</v>
      </c>
    </row>
    <row r="298" spans="2:4">
      <c r="B298" s="23" t="s">
        <v>868</v>
      </c>
      <c r="C298" s="127">
        <v>47.19</v>
      </c>
    </row>
    <row r="299" spans="2:4">
      <c r="B299" s="23" t="s">
        <v>869</v>
      </c>
      <c r="C299" s="127">
        <v>32.020000000000003</v>
      </c>
      <c r="D299" s="234">
        <f>C299+C297</f>
        <v>58.52</v>
      </c>
    </row>
    <row r="300" spans="2:4">
      <c r="B300" s="23" t="s">
        <v>870</v>
      </c>
      <c r="C300" s="127">
        <f>SUM(C297:C299)</f>
        <v>105.71000000000001</v>
      </c>
    </row>
    <row r="301" spans="2:4" s="1" customFormat="1" ht="13">
      <c r="B301" s="58" t="s">
        <v>871</v>
      </c>
      <c r="C301" s="316">
        <f>+C295+C300</f>
        <v>298.5</v>
      </c>
      <c r="D301" s="502">
        <f>161.5-C301</f>
        <v>-137</v>
      </c>
    </row>
    <row r="302" spans="2:4">
      <c r="B302" s="23" t="s">
        <v>154</v>
      </c>
      <c r="C302" s="127">
        <f>+C301-C299</f>
        <v>266.48</v>
      </c>
    </row>
    <row r="303" spans="2:4">
      <c r="B303" s="23" t="s">
        <v>155</v>
      </c>
      <c r="C303" s="127">
        <f>+C302/10</f>
        <v>26.648000000000003</v>
      </c>
      <c r="D303" s="234"/>
    </row>
    <row r="304" spans="2:4" ht="13">
      <c r="B304" s="58" t="s">
        <v>1431</v>
      </c>
      <c r="C304" s="316">
        <f>+C303*6-36.15</f>
        <v>123.73800000000003</v>
      </c>
    </row>
    <row r="305" spans="2:12" ht="22.5" customHeight="1">
      <c r="B305" s="14" t="s">
        <v>1398</v>
      </c>
      <c r="C305" s="325">
        <f>C304+C303</f>
        <v>150.38600000000002</v>
      </c>
    </row>
    <row r="312" spans="2:12" ht="13">
      <c r="C312" s="1" t="s">
        <v>1606</v>
      </c>
    </row>
    <row r="313" spans="2:12" ht="25">
      <c r="C313" s="12" t="s">
        <v>895</v>
      </c>
      <c r="D313" s="23" t="s">
        <v>1607</v>
      </c>
      <c r="E313" s="23" t="s">
        <v>325</v>
      </c>
      <c r="F313" s="12" t="s">
        <v>326</v>
      </c>
      <c r="G313" s="12" t="s">
        <v>1608</v>
      </c>
      <c r="H313" s="12" t="s">
        <v>328</v>
      </c>
      <c r="I313" s="12" t="s">
        <v>329</v>
      </c>
      <c r="J313" s="46" t="s">
        <v>1617</v>
      </c>
      <c r="K313" s="12" t="s">
        <v>332</v>
      </c>
      <c r="L313" s="12" t="s">
        <v>1609</v>
      </c>
    </row>
    <row r="314" spans="2:12">
      <c r="C314" s="12" t="s">
        <v>1610</v>
      </c>
      <c r="D314" s="12">
        <v>1</v>
      </c>
      <c r="E314" s="12"/>
      <c r="F314" s="12">
        <v>1</v>
      </c>
      <c r="G314" s="12"/>
      <c r="H314" s="12">
        <v>1</v>
      </c>
      <c r="I314" s="12">
        <v>1</v>
      </c>
      <c r="J314" s="12">
        <v>1</v>
      </c>
      <c r="K314" s="12"/>
      <c r="L314" s="12">
        <v>1</v>
      </c>
    </row>
    <row r="315" spans="2:12">
      <c r="C315" s="12" t="s">
        <v>1611</v>
      </c>
      <c r="D315" s="12">
        <v>2</v>
      </c>
      <c r="E315" s="12">
        <v>1</v>
      </c>
      <c r="F315" s="12">
        <v>1</v>
      </c>
      <c r="G315" s="12">
        <v>1</v>
      </c>
      <c r="H315" s="12"/>
      <c r="I315" s="12">
        <v>1</v>
      </c>
      <c r="J315" s="12">
        <v>1</v>
      </c>
      <c r="K315" s="12"/>
      <c r="L315" s="12">
        <v>1</v>
      </c>
    </row>
    <row r="316" spans="2:12">
      <c r="C316" s="12" t="s">
        <v>1612</v>
      </c>
      <c r="D316" s="12">
        <v>2</v>
      </c>
      <c r="E316" s="12">
        <v>1</v>
      </c>
      <c r="F316" s="12"/>
      <c r="G316" s="12">
        <v>1</v>
      </c>
      <c r="H316" s="12"/>
      <c r="I316" s="12"/>
      <c r="J316" s="12"/>
      <c r="K316" s="12"/>
      <c r="L316" s="12">
        <v>1</v>
      </c>
    </row>
    <row r="317" spans="2:12">
      <c r="C317" s="12" t="s">
        <v>1613</v>
      </c>
      <c r="D317" s="12">
        <v>1</v>
      </c>
      <c r="E317" s="12"/>
      <c r="F317" s="12"/>
      <c r="G317" s="12"/>
      <c r="H317" s="12">
        <v>1</v>
      </c>
      <c r="I317" s="12"/>
      <c r="J317" s="12"/>
      <c r="K317" s="12"/>
      <c r="L317" s="12"/>
    </row>
    <row r="318" spans="2:12">
      <c r="C318" s="12" t="s">
        <v>1614</v>
      </c>
      <c r="D318" s="12">
        <v>1</v>
      </c>
      <c r="E318" s="12">
        <v>1</v>
      </c>
      <c r="F318" s="12"/>
      <c r="G318" s="12"/>
      <c r="H318" s="12"/>
      <c r="I318" s="12"/>
      <c r="J318" s="12"/>
      <c r="K318" s="12"/>
      <c r="L318" s="12"/>
    </row>
    <row r="319" spans="2:12">
      <c r="C319" s="12" t="s">
        <v>1615</v>
      </c>
      <c r="D319" s="12">
        <v>1</v>
      </c>
      <c r="E319" s="12"/>
      <c r="F319" s="12"/>
      <c r="G319" s="12"/>
      <c r="H319" s="12"/>
      <c r="I319" s="12"/>
      <c r="J319" s="12"/>
      <c r="K319" s="12"/>
      <c r="L319" s="12"/>
    </row>
    <row r="320" spans="2:12">
      <c r="C320" s="12" t="s">
        <v>1616</v>
      </c>
      <c r="D320" s="12">
        <v>12</v>
      </c>
      <c r="E320" s="12">
        <v>6</v>
      </c>
      <c r="F320" s="12">
        <v>5</v>
      </c>
      <c r="G320" s="12">
        <v>4</v>
      </c>
      <c r="H320" s="12">
        <v>6</v>
      </c>
      <c r="I320" s="12">
        <v>4</v>
      </c>
      <c r="J320" s="12">
        <v>10</v>
      </c>
      <c r="K320" s="12">
        <v>4</v>
      </c>
      <c r="L320" s="12">
        <v>4</v>
      </c>
    </row>
    <row r="321" spans="1:12">
      <c r="C321" s="12" t="s">
        <v>1100</v>
      </c>
      <c r="D321" s="12">
        <f>SUM(D314:D320)</f>
        <v>20</v>
      </c>
      <c r="E321" s="12">
        <f>SUM(E314:E320)</f>
        <v>9</v>
      </c>
      <c r="F321" s="12">
        <f>SUM(F314:F320)</f>
        <v>7</v>
      </c>
      <c r="G321" s="12">
        <f t="shared" ref="G321:L321" si="24">SUM(G314:G320)</f>
        <v>6</v>
      </c>
      <c r="H321" s="12">
        <f t="shared" si="24"/>
        <v>8</v>
      </c>
      <c r="I321" s="12">
        <f t="shared" si="24"/>
        <v>6</v>
      </c>
      <c r="J321" s="12">
        <f t="shared" si="24"/>
        <v>12</v>
      </c>
      <c r="K321" s="12">
        <f t="shared" si="24"/>
        <v>4</v>
      </c>
      <c r="L321" s="12">
        <f t="shared" si="24"/>
        <v>7</v>
      </c>
    </row>
    <row r="324" spans="1:12">
      <c r="C324" s="21"/>
      <c r="D324" s="21" t="s">
        <v>1618</v>
      </c>
    </row>
    <row r="325" spans="1:12">
      <c r="C325" s="21"/>
      <c r="D325" s="46" t="s">
        <v>895</v>
      </c>
      <c r="E325" s="511" t="s">
        <v>325</v>
      </c>
      <c r="F325" s="12" t="s">
        <v>326</v>
      </c>
      <c r="G325" s="12" t="s">
        <v>1608</v>
      </c>
      <c r="H325" s="12" t="s">
        <v>328</v>
      </c>
      <c r="I325" s="12" t="s">
        <v>329</v>
      </c>
      <c r="J325" s="46" t="s">
        <v>1617</v>
      </c>
      <c r="K325" s="12" t="s">
        <v>332</v>
      </c>
      <c r="L325" s="12" t="s">
        <v>1609</v>
      </c>
    </row>
    <row r="326" spans="1:12">
      <c r="C326" s="21"/>
      <c r="D326" s="46" t="s">
        <v>1619</v>
      </c>
      <c r="E326" s="72"/>
      <c r="F326" s="12"/>
      <c r="G326" s="12"/>
      <c r="H326" s="12"/>
      <c r="I326" s="12"/>
      <c r="J326" s="12"/>
      <c r="K326" s="12"/>
      <c r="L326" s="12"/>
    </row>
    <row r="327" spans="1:12">
      <c r="C327" s="21"/>
      <c r="D327" s="46" t="s">
        <v>1620</v>
      </c>
      <c r="E327" s="72">
        <v>38</v>
      </c>
      <c r="F327" s="12"/>
      <c r="G327" s="12"/>
      <c r="H327" s="12"/>
      <c r="I327" s="12"/>
      <c r="J327" s="12"/>
      <c r="K327" s="12"/>
      <c r="L327" s="12"/>
    </row>
    <row r="328" spans="1:12">
      <c r="C328" s="141"/>
      <c r="D328" s="75">
        <v>2010</v>
      </c>
      <c r="E328" s="72">
        <v>96</v>
      </c>
      <c r="F328" s="12">
        <v>4</v>
      </c>
      <c r="G328" s="12">
        <v>5</v>
      </c>
      <c r="H328" s="12">
        <v>12</v>
      </c>
      <c r="I328" s="12">
        <v>1</v>
      </c>
      <c r="J328" s="12"/>
      <c r="K328" s="12"/>
      <c r="L328" s="12"/>
    </row>
    <row r="329" spans="1:12">
      <c r="C329" s="21"/>
      <c r="D329" s="46" t="s">
        <v>1621</v>
      </c>
      <c r="E329" s="72">
        <v>67</v>
      </c>
      <c r="F329" s="12">
        <v>8</v>
      </c>
      <c r="G329" s="12">
        <v>9</v>
      </c>
      <c r="H329" s="12">
        <v>13</v>
      </c>
      <c r="I329" s="12">
        <v>14</v>
      </c>
      <c r="J329" s="12">
        <v>0</v>
      </c>
      <c r="K329" s="12">
        <v>3</v>
      </c>
      <c r="L329" s="12">
        <v>2</v>
      </c>
    </row>
    <row r="330" spans="1:12" ht="13">
      <c r="C330" s="1"/>
      <c r="D330" s="14" t="s">
        <v>1622</v>
      </c>
      <c r="E330" s="77">
        <f t="shared" ref="E330:L330" si="25">SUM(E327:E329)</f>
        <v>201</v>
      </c>
      <c r="F330" s="14">
        <f t="shared" si="25"/>
        <v>12</v>
      </c>
      <c r="G330" s="14">
        <f t="shared" si="25"/>
        <v>14</v>
      </c>
      <c r="H330" s="14">
        <f t="shared" si="25"/>
        <v>25</v>
      </c>
      <c r="I330" s="14">
        <f t="shared" si="25"/>
        <v>15</v>
      </c>
      <c r="J330" s="14">
        <f t="shared" si="25"/>
        <v>0</v>
      </c>
      <c r="K330" s="14">
        <f t="shared" si="25"/>
        <v>3</v>
      </c>
      <c r="L330" s="14">
        <f t="shared" si="25"/>
        <v>2</v>
      </c>
    </row>
    <row r="331" spans="1:12" ht="25">
      <c r="C331" s="383"/>
      <c r="D331" s="23" t="s">
        <v>1623</v>
      </c>
      <c r="E331" s="72"/>
      <c r="F331" s="12"/>
      <c r="G331" s="12"/>
      <c r="H331" s="12"/>
      <c r="I331" s="12"/>
      <c r="J331" s="12"/>
      <c r="K331" s="12"/>
      <c r="L331" s="12"/>
    </row>
    <row r="335" spans="1:12" ht="13">
      <c r="A335" s="1" t="s">
        <v>5409</v>
      </c>
      <c r="C335" s="21" t="s">
        <v>1627</v>
      </c>
    </row>
    <row r="336" spans="1:12">
      <c r="E336" s="21"/>
    </row>
    <row r="337" spans="1:5">
      <c r="A337" s="46" t="s">
        <v>1626</v>
      </c>
      <c r="B337" s="46" t="s">
        <v>895</v>
      </c>
      <c r="C337" s="602" t="s">
        <v>4796</v>
      </c>
      <c r="D337" s="21"/>
      <c r="E337" s="21"/>
    </row>
    <row r="338" spans="1:5">
      <c r="A338" s="12">
        <v>1</v>
      </c>
      <c r="B338" s="46" t="s">
        <v>1628</v>
      </c>
      <c r="C338" s="19">
        <f>'F-6'!F11</f>
        <v>926.32682137899997</v>
      </c>
    </row>
    <row r="339" spans="1:5">
      <c r="A339" s="12"/>
      <c r="B339" s="624" t="s">
        <v>3694</v>
      </c>
      <c r="C339" s="19"/>
    </row>
    <row r="340" spans="1:5">
      <c r="A340" s="12">
        <v>2</v>
      </c>
      <c r="B340" s="46" t="s">
        <v>997</v>
      </c>
      <c r="C340" s="12"/>
    </row>
    <row r="341" spans="1:5">
      <c r="A341" s="12"/>
      <c r="B341" s="46" t="s">
        <v>1629</v>
      </c>
      <c r="C341" s="19">
        <f>'F-6'!F13</f>
        <v>463.33017142944203</v>
      </c>
    </row>
    <row r="342" spans="1:5">
      <c r="A342" s="12"/>
      <c r="B342" s="46" t="s">
        <v>1630</v>
      </c>
      <c r="C342" s="19">
        <f>'F-6'!F14</f>
        <v>90.675662714325981</v>
      </c>
    </row>
    <row r="343" spans="1:5">
      <c r="A343" s="12"/>
      <c r="B343" s="46" t="s">
        <v>1631</v>
      </c>
      <c r="C343" s="19">
        <f>'F-6'!F15</f>
        <v>96.763686864033673</v>
      </c>
    </row>
    <row r="344" spans="1:5">
      <c r="A344" s="12"/>
      <c r="B344" s="46" t="s">
        <v>1632</v>
      </c>
      <c r="C344" s="19">
        <f>'F-6'!F16</f>
        <v>16.546298806999999</v>
      </c>
    </row>
    <row r="345" spans="1:5">
      <c r="A345" s="12"/>
      <c r="B345" s="46" t="s">
        <v>1633</v>
      </c>
      <c r="C345" s="19">
        <f>'F-6'!F17</f>
        <v>28.286157527000004</v>
      </c>
    </row>
    <row r="346" spans="1:5">
      <c r="A346" s="12"/>
      <c r="B346" s="46" t="s">
        <v>1634</v>
      </c>
      <c r="C346" s="305">
        <f>'F-6'!F18</f>
        <v>0</v>
      </c>
    </row>
    <row r="347" spans="1:5">
      <c r="A347" s="12"/>
      <c r="B347" s="46" t="s">
        <v>1635</v>
      </c>
      <c r="C347" s="512">
        <f>'F-6'!F19</f>
        <v>-2.1675901870000001</v>
      </c>
    </row>
    <row r="348" spans="1:5">
      <c r="A348" s="12"/>
      <c r="B348" s="46" t="s">
        <v>1636</v>
      </c>
      <c r="C348" s="512">
        <f>'F-6'!F20+'F-6'!F22</f>
        <v>27.031663218999999</v>
      </c>
    </row>
    <row r="349" spans="1:5">
      <c r="A349" s="12"/>
      <c r="B349" s="46" t="s">
        <v>1637</v>
      </c>
      <c r="C349" s="305">
        <f>'F-6'!F21</f>
        <v>0</v>
      </c>
    </row>
    <row r="350" spans="1:5">
      <c r="A350" s="46" t="s">
        <v>0</v>
      </c>
      <c r="B350" s="46" t="s">
        <v>1638</v>
      </c>
      <c r="C350" s="305">
        <f>C341+C342+C343+C344+C345+C346+C347+C348+C349</f>
        <v>720.46605037380164</v>
      </c>
    </row>
    <row r="351" spans="1:5">
      <c r="A351" s="12">
        <v>3</v>
      </c>
      <c r="B351" s="46" t="s">
        <v>1</v>
      </c>
      <c r="C351" s="19">
        <f>'F-6'!F28</f>
        <v>0</v>
      </c>
    </row>
    <row r="352" spans="1:5">
      <c r="A352" s="12">
        <v>4</v>
      </c>
      <c r="B352" s="46" t="s">
        <v>386</v>
      </c>
      <c r="C352" s="19">
        <f>'F-6'!F23</f>
        <v>35.48268690077601</v>
      </c>
    </row>
    <row r="353" spans="1:6">
      <c r="A353" s="12">
        <v>5</v>
      </c>
      <c r="B353" s="46" t="s">
        <v>1639</v>
      </c>
      <c r="C353" s="305">
        <f>C350+C351+C352+C338-C339</f>
        <v>1682.2755586535777</v>
      </c>
    </row>
    <row r="354" spans="1:6">
      <c r="A354" s="12">
        <v>6</v>
      </c>
      <c r="B354" s="46" t="s">
        <v>1640</v>
      </c>
      <c r="C354" s="19">
        <f>'F-6'!F34</f>
        <v>92.930144975000005</v>
      </c>
    </row>
    <row r="355" spans="1:6">
      <c r="A355" s="12">
        <v>7</v>
      </c>
      <c r="B355" s="46" t="s">
        <v>1641</v>
      </c>
      <c r="C355" s="305">
        <f>C353-C354</f>
        <v>1589.3454136785776</v>
      </c>
    </row>
    <row r="356" spans="1:6">
      <c r="A356" s="12">
        <v>8</v>
      </c>
      <c r="B356" s="46" t="s">
        <v>5</v>
      </c>
      <c r="C356" s="19">
        <f>'F-6'!F40</f>
        <v>1639.9169955799998</v>
      </c>
    </row>
    <row r="357" spans="1:6">
      <c r="A357" s="12">
        <v>9</v>
      </c>
      <c r="B357" s="46" t="s">
        <v>1642</v>
      </c>
      <c r="C357" s="305">
        <f>C356-C355</f>
        <v>50.571581901422178</v>
      </c>
    </row>
    <row r="358" spans="1:6">
      <c r="A358" s="12">
        <v>10</v>
      </c>
      <c r="B358" s="609" t="s">
        <v>4415</v>
      </c>
      <c r="C358" s="603"/>
    </row>
    <row r="359" spans="1:6">
      <c r="A359" s="12">
        <v>11</v>
      </c>
      <c r="B359" s="624" t="s">
        <v>5410</v>
      </c>
      <c r="C359" s="305">
        <f>C357+C358</f>
        <v>50.571581901422178</v>
      </c>
    </row>
    <row r="362" spans="1:6" ht="15.5">
      <c r="A362" s="1"/>
      <c r="B362" s="43" t="s">
        <v>5372</v>
      </c>
      <c r="C362" s="28"/>
      <c r="D362" s="28"/>
      <c r="E362" s="28"/>
      <c r="F362" s="28"/>
    </row>
    <row r="363" spans="1:6" ht="31">
      <c r="B363" s="76" t="s">
        <v>176</v>
      </c>
      <c r="C363" s="76" t="s">
        <v>177</v>
      </c>
      <c r="D363" s="518" t="s">
        <v>178</v>
      </c>
      <c r="E363" s="509" t="s">
        <v>179</v>
      </c>
      <c r="F363" s="509" t="s">
        <v>180</v>
      </c>
    </row>
    <row r="364" spans="1:6" ht="15.5">
      <c r="B364" s="76" t="s">
        <v>181</v>
      </c>
      <c r="C364" s="76" t="s">
        <v>461</v>
      </c>
      <c r="D364" s="515">
        <f>C12</f>
        <v>3037.5</v>
      </c>
      <c r="E364" s="515">
        <f>D12</f>
        <v>3371.6534733082999</v>
      </c>
      <c r="F364" s="515">
        <f>D364-E364</f>
        <v>-334.15347330829991</v>
      </c>
    </row>
    <row r="365" spans="1:6" ht="15.5">
      <c r="B365" s="76" t="s">
        <v>182</v>
      </c>
      <c r="C365" s="76" t="s">
        <v>192</v>
      </c>
      <c r="D365" s="503">
        <f>C20</f>
        <v>4.5199670781893007</v>
      </c>
      <c r="E365" s="503">
        <f>D20</f>
        <v>5.48891978820056</v>
      </c>
      <c r="F365" s="503">
        <f>D365-E365</f>
        <v>-0.96895271001125938</v>
      </c>
    </row>
    <row r="366" spans="1:6" ht="15.5">
      <c r="B366" s="76" t="s">
        <v>242</v>
      </c>
      <c r="C366" s="76" t="s">
        <v>1301</v>
      </c>
      <c r="D366" s="86">
        <f>C25</f>
        <v>1372.94</v>
      </c>
      <c r="E366" s="86">
        <f>'F-6'!J40</f>
        <v>1850.6735468597076</v>
      </c>
      <c r="F366" s="86">
        <f>D366-E366</f>
        <v>-477.73354685970753</v>
      </c>
    </row>
    <row r="367" spans="1:6" ht="15.5">
      <c r="B367" s="76" t="s">
        <v>183</v>
      </c>
      <c r="C367" s="76" t="s">
        <v>1301</v>
      </c>
      <c r="D367" s="503">
        <f>C36</f>
        <v>11.01</v>
      </c>
      <c r="E367" s="503">
        <f>'F-6'!J16</f>
        <v>18.693517058126908</v>
      </c>
      <c r="F367" s="503">
        <f t="shared" ref="F367:F381" si="26">D367-E367</f>
        <v>-7.6835170581269079</v>
      </c>
    </row>
    <row r="368" spans="1:6" ht="15.5">
      <c r="B368" s="1445" t="s">
        <v>184</v>
      </c>
      <c r="C368" s="1445" t="s">
        <v>1301</v>
      </c>
      <c r="D368" s="1521">
        <f>D366-D367</f>
        <v>1361.93</v>
      </c>
      <c r="E368" s="1521">
        <f>E366-E367</f>
        <v>1831.9800298015807</v>
      </c>
      <c r="F368" s="1522">
        <f t="shared" si="26"/>
        <v>-470.05002980158065</v>
      </c>
    </row>
    <row r="369" spans="2:8" ht="15.5">
      <c r="B369" s="76" t="s">
        <v>896</v>
      </c>
      <c r="C369" s="76" t="s">
        <v>1301</v>
      </c>
      <c r="D369" s="503">
        <f>C27</f>
        <v>39.770000000000003</v>
      </c>
      <c r="E369" s="503">
        <f>'F-6'!J34</f>
        <v>52.488218606000011</v>
      </c>
      <c r="F369" s="86">
        <f t="shared" si="26"/>
        <v>-12.718218606000008</v>
      </c>
    </row>
    <row r="370" spans="2:8" ht="15.5">
      <c r="B370" s="76" t="s">
        <v>185</v>
      </c>
      <c r="C370" s="76" t="s">
        <v>1301</v>
      </c>
      <c r="D370" s="503">
        <f>D368+D369</f>
        <v>1401.7</v>
      </c>
      <c r="E370" s="503">
        <f>E368+E369</f>
        <v>1884.4682484075806</v>
      </c>
      <c r="F370" s="86">
        <f t="shared" si="26"/>
        <v>-482.76824840758059</v>
      </c>
    </row>
    <row r="371" spans="2:8" ht="15.5">
      <c r="B371" s="76" t="s">
        <v>186</v>
      </c>
      <c r="C371" s="76" t="s">
        <v>460</v>
      </c>
      <c r="D371" s="516">
        <f>1-(D364/D372)</f>
        <v>0.25</v>
      </c>
      <c r="E371" s="516">
        <f>1-(E364/E372)</f>
        <v>0.2499704178573825</v>
      </c>
      <c r="F371" s="516">
        <f t="shared" si="26"/>
        <v>2.9582142617501361E-5</v>
      </c>
    </row>
    <row r="372" spans="2:8" ht="15.5">
      <c r="B372" s="76" t="s">
        <v>187</v>
      </c>
      <c r="C372" s="76" t="s">
        <v>461</v>
      </c>
      <c r="D372" s="515">
        <f>C5</f>
        <v>4050</v>
      </c>
      <c r="E372" s="515">
        <f>D5</f>
        <v>4495.3606545443999</v>
      </c>
      <c r="F372" s="503">
        <f t="shared" si="26"/>
        <v>-445.36065454439995</v>
      </c>
    </row>
    <row r="373" spans="2:8" ht="15.5">
      <c r="B373" s="76" t="s">
        <v>188</v>
      </c>
      <c r="C373" s="76" t="s">
        <v>192</v>
      </c>
      <c r="D373" s="517">
        <f>D374/D372*10</f>
        <v>2.1685432098765429</v>
      </c>
      <c r="E373" s="517">
        <f>D373</f>
        <v>2.1685432098765429</v>
      </c>
      <c r="F373" s="86">
        <f t="shared" si="26"/>
        <v>0</v>
      </c>
    </row>
    <row r="374" spans="2:8" ht="15.5">
      <c r="B374" s="76" t="s">
        <v>306</v>
      </c>
      <c r="C374" s="76" t="s">
        <v>1301</v>
      </c>
      <c r="D374" s="503">
        <f>C31</f>
        <v>878.26</v>
      </c>
      <c r="E374" s="503">
        <f>'F-6'!J11</f>
        <v>1135.5547172397337</v>
      </c>
      <c r="F374" s="503">
        <f t="shared" si="26"/>
        <v>-257.2947172397337</v>
      </c>
    </row>
    <row r="375" spans="2:8" ht="15.5">
      <c r="B375" s="76" t="s">
        <v>189</v>
      </c>
      <c r="C375" s="76" t="s">
        <v>1301</v>
      </c>
      <c r="D375" s="528">
        <f>(C32+C33+C34+C35-C40)</f>
        <v>452.33</v>
      </c>
      <c r="E375" s="503">
        <f>('F-6'!J13+'F-6'!J14+'F-6'!J15+'F-6'!J19)</f>
        <v>786.37780948998545</v>
      </c>
      <c r="F375" s="503">
        <f t="shared" si="26"/>
        <v>-334.04780948998547</v>
      </c>
    </row>
    <row r="376" spans="2:8" ht="15.5">
      <c r="B376" s="76" t="s">
        <v>1605</v>
      </c>
      <c r="C376" s="76" t="s">
        <v>1301</v>
      </c>
      <c r="D376" s="503">
        <f>C38</f>
        <v>25.48</v>
      </c>
      <c r="E376" s="503">
        <f>('F-6'!J20+'F-6'!J21+'F-6'!J22)</f>
        <v>56.30678705062892</v>
      </c>
      <c r="F376" s="503">
        <f t="shared" si="26"/>
        <v>-30.826787050628919</v>
      </c>
    </row>
    <row r="377" spans="2:8" ht="15.5">
      <c r="B377" s="76" t="s">
        <v>118</v>
      </c>
      <c r="C377" s="76" t="s">
        <v>1301</v>
      </c>
      <c r="D377" s="503">
        <f>C37</f>
        <v>29.03</v>
      </c>
      <c r="E377" s="503">
        <f>'F-6'!J17</f>
        <v>52.228739074452392</v>
      </c>
      <c r="F377" s="503">
        <f t="shared" si="26"/>
        <v>-23.198739074452391</v>
      </c>
    </row>
    <row r="378" spans="2:8" ht="15.5">
      <c r="B378" s="1445" t="s">
        <v>1274</v>
      </c>
      <c r="C378" s="1445" t="s">
        <v>1301</v>
      </c>
      <c r="D378" s="1521">
        <f>SUM(D374:D377)</f>
        <v>1385.1</v>
      </c>
      <c r="E378" s="1521">
        <f>SUM(E374:E377)</f>
        <v>2030.4680528548001</v>
      </c>
      <c r="F378" s="1521">
        <f t="shared" si="26"/>
        <v>-645.36805285480023</v>
      </c>
      <c r="G378" s="3"/>
    </row>
    <row r="379" spans="2:8" ht="15.5">
      <c r="B379" s="76" t="s">
        <v>190</v>
      </c>
      <c r="C379" s="76" t="s">
        <v>1301</v>
      </c>
      <c r="D379" s="503">
        <v>0</v>
      </c>
      <c r="E379" s="503">
        <f>'F-6'!J28</f>
        <v>0</v>
      </c>
      <c r="F379" s="503">
        <f>D379-E379</f>
        <v>0</v>
      </c>
      <c r="G379" s="3"/>
    </row>
    <row r="380" spans="2:8" ht="15.5">
      <c r="B380" s="76" t="s">
        <v>1441</v>
      </c>
      <c r="C380" s="76" t="s">
        <v>1301</v>
      </c>
      <c r="D380" s="503">
        <f>C47/100</f>
        <v>0</v>
      </c>
      <c r="E380" s="86"/>
      <c r="F380" s="503">
        <f>E380-D380</f>
        <v>0</v>
      </c>
    </row>
    <row r="381" spans="2:8" ht="15.5">
      <c r="B381" s="76" t="s">
        <v>139</v>
      </c>
      <c r="C381" s="76" t="s">
        <v>1301</v>
      </c>
      <c r="D381" s="503">
        <f>C42</f>
        <v>6.03</v>
      </c>
      <c r="E381" s="503">
        <f>D42</f>
        <v>44</v>
      </c>
      <c r="F381" s="86">
        <f t="shared" si="26"/>
        <v>-37.97</v>
      </c>
    </row>
    <row r="382" spans="2:8" ht="15.5">
      <c r="B382" s="1445" t="s">
        <v>191</v>
      </c>
      <c r="C382" s="1445" t="s">
        <v>1301</v>
      </c>
      <c r="D382" s="1521">
        <f>D370-D378-D381-D380</f>
        <v>10.570000000000135</v>
      </c>
      <c r="E382" s="1521">
        <f>E370-E378-E381-E380-E379</f>
        <v>-189.9998044472195</v>
      </c>
      <c r="F382" s="1521">
        <f>F380+F379+F378-F370</f>
        <v>-162.59980444721964</v>
      </c>
      <c r="G382" s="234">
        <f>'F-6'!J44</f>
        <v>-210.79385134615904</v>
      </c>
      <c r="H382" s="234"/>
    </row>
  </sheetData>
  <mergeCells count="15">
    <mergeCell ref="F274:G274"/>
    <mergeCell ref="G155:I155"/>
    <mergeCell ref="G169:I169"/>
    <mergeCell ref="G177:I177"/>
    <mergeCell ref="B198:B199"/>
    <mergeCell ref="B185:B186"/>
    <mergeCell ref="I87:J87"/>
    <mergeCell ref="H87:H88"/>
    <mergeCell ref="C95:E95"/>
    <mergeCell ref="F95:H95"/>
    <mergeCell ref="B196:B197"/>
    <mergeCell ref="C185:D185"/>
    <mergeCell ref="E185:F185"/>
    <mergeCell ref="G185:G186"/>
    <mergeCell ref="D87:G87"/>
  </mergeCells>
  <phoneticPr fontId="0" type="noConversion"/>
  <printOptions horizontalCentered="1" gridLines="1"/>
  <pageMargins left="0.23622047244094499" right="0" top="0.74803149606299202" bottom="0.74803149606299202" header="0" footer="0"/>
  <pageSetup paperSize="9" scale="65" fitToWidth="7" fitToHeight="7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"/>
  <sheetViews>
    <sheetView workbookViewId="0">
      <selection activeCell="R25" activeCellId="1" sqref="A1 R25"/>
    </sheetView>
  </sheetViews>
  <sheetFormatPr defaultRowHeight="12.5"/>
  <sheetData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F0000"/>
  </sheetPr>
  <dimension ref="B5:H66"/>
  <sheetViews>
    <sheetView view="pageBreakPreview" zoomScaleSheetLayoutView="100" workbookViewId="0">
      <selection activeCell="R25" activeCellId="1" sqref="A1 R25"/>
    </sheetView>
  </sheetViews>
  <sheetFormatPr defaultRowHeight="12.5"/>
  <cols>
    <col min="1" max="1" width="4.81640625" customWidth="1"/>
    <col min="2" max="2" width="53" customWidth="1"/>
    <col min="3" max="3" width="12.453125" customWidth="1"/>
    <col min="4" max="4" width="13.54296875" customWidth="1"/>
    <col min="5" max="5" width="14" customWidth="1"/>
    <col min="6" max="6" width="12.7265625" bestFit="1" customWidth="1"/>
    <col min="7" max="8" width="13.7265625" customWidth="1"/>
  </cols>
  <sheetData>
    <row r="5" spans="2:8" ht="13">
      <c r="B5" s="14"/>
      <c r="C5" s="14" t="s">
        <v>5350</v>
      </c>
      <c r="D5" s="3387" t="s">
        <v>5132</v>
      </c>
      <c r="E5" s="3388"/>
      <c r="F5" s="3388"/>
      <c r="G5" s="3389"/>
      <c r="H5" s="3536" t="s">
        <v>5368</v>
      </c>
    </row>
    <row r="6" spans="2:8" ht="26">
      <c r="B6" s="74" t="s">
        <v>27</v>
      </c>
      <c r="C6" s="14"/>
      <c r="D6" s="74" t="s">
        <v>19</v>
      </c>
      <c r="E6" s="74" t="s">
        <v>20</v>
      </c>
      <c r="F6" s="74" t="s">
        <v>21</v>
      </c>
      <c r="G6" s="74" t="s">
        <v>22</v>
      </c>
      <c r="H6" s="3537"/>
    </row>
    <row r="7" spans="2:8">
      <c r="B7" s="46" t="s">
        <v>23</v>
      </c>
      <c r="C7" s="412">
        <f>Sheet2!C89</f>
        <v>3941.5407756566683</v>
      </c>
      <c r="D7" s="412">
        <f>Sheet2!D89</f>
        <v>4050</v>
      </c>
      <c r="E7" s="412">
        <f>Sheet2!E89</f>
        <v>4050</v>
      </c>
      <c r="F7" s="412">
        <f>Sheet2!F89</f>
        <v>2248.4833159999998</v>
      </c>
      <c r="G7" s="412">
        <f>Sheet2!G89</f>
        <v>4495.3606545443999</v>
      </c>
      <c r="H7" s="412">
        <f>Sheet2!H89</f>
        <v>4781.2681206644938</v>
      </c>
    </row>
    <row r="8" spans="2:8">
      <c r="B8" s="46" t="s">
        <v>24</v>
      </c>
      <c r="C8" s="412">
        <f>Sheet2!C90</f>
        <v>3021.54255641694</v>
      </c>
      <c r="D8" s="412">
        <f>Sheet2!D90</f>
        <v>3037.7</v>
      </c>
      <c r="E8" s="412">
        <f>Sheet2!E90</f>
        <v>3037.5</v>
      </c>
      <c r="F8" s="412">
        <f>Sheet2!F90</f>
        <v>1727.37594733377</v>
      </c>
      <c r="G8" s="412">
        <f>Sheet2!G90</f>
        <v>3371.6534733082999</v>
      </c>
      <c r="H8" s="412">
        <f>Sheet2!H90</f>
        <v>3586.5410904983701</v>
      </c>
    </row>
    <row r="9" spans="2:8">
      <c r="B9" s="46"/>
      <c r="C9" s="412"/>
      <c r="D9" s="412"/>
      <c r="E9" s="412"/>
      <c r="F9" s="412"/>
      <c r="G9" s="412"/>
      <c r="H9" s="412"/>
    </row>
    <row r="10" spans="2:8">
      <c r="B10" s="46" t="s">
        <v>1496</v>
      </c>
      <c r="C10" s="412">
        <f>Sheet2!C102</f>
        <v>2158.8392029773395</v>
      </c>
      <c r="D10" s="412">
        <v>2010.4949999999999</v>
      </c>
      <c r="E10" s="412">
        <f>Sheet2!C8</f>
        <v>2240.23</v>
      </c>
      <c r="F10" s="412">
        <f>'T-1'!I32</f>
        <v>1174.9254790145699</v>
      </c>
      <c r="G10" s="412">
        <f>Sheet2!D166</f>
        <v>2385.0961995056996</v>
      </c>
      <c r="H10" s="412">
        <f>Sheet2!E166</f>
        <v>2552.77486749437</v>
      </c>
    </row>
    <row r="11" spans="2:8">
      <c r="B11" s="46" t="s">
        <v>169</v>
      </c>
      <c r="C11" s="412">
        <f>Sheet2!C103</f>
        <v>325.32561043960004</v>
      </c>
      <c r="D11" s="412">
        <v>238.65</v>
      </c>
      <c r="E11" s="412">
        <f>Sheet2!C9</f>
        <v>333.38</v>
      </c>
      <c r="F11" s="412">
        <f>'T-1'!I49</f>
        <v>216.19436666399997</v>
      </c>
      <c r="G11" s="412">
        <f>Sheet2!D175</f>
        <v>367.22209249219998</v>
      </c>
      <c r="H11" s="412">
        <f>Sheet2!E175</f>
        <v>391.29422300399995</v>
      </c>
    </row>
    <row r="12" spans="2:8">
      <c r="B12" s="46" t="s">
        <v>1494</v>
      </c>
      <c r="C12" s="412">
        <f>Sheet2!C104</f>
        <v>537.37774300000001</v>
      </c>
      <c r="D12" s="412">
        <v>364.26799999999997</v>
      </c>
      <c r="E12" s="412">
        <f>Sheet2!C11</f>
        <v>463.89</v>
      </c>
      <c r="F12" s="412">
        <f>'T-1'!K59</f>
        <v>619.3351813104</v>
      </c>
      <c r="G12" s="412">
        <f>Sheet2!D183</f>
        <v>619.3351813104</v>
      </c>
      <c r="H12" s="412">
        <f>Sheet2!E183</f>
        <v>642.47199999999998</v>
      </c>
    </row>
    <row r="13" spans="2:8">
      <c r="B13" s="46" t="s">
        <v>25</v>
      </c>
      <c r="C13" s="414">
        <f t="shared" ref="C13:H13" si="0">+(C7-C8)/C7</f>
        <v>0.23341080851471208</v>
      </c>
      <c r="D13" s="414">
        <f t="shared" si="0"/>
        <v>0.24995061728395065</v>
      </c>
      <c r="E13" s="414">
        <f t="shared" si="0"/>
        <v>0.25</v>
      </c>
      <c r="F13" s="414">
        <f t="shared" si="0"/>
        <v>0.23175949981842331</v>
      </c>
      <c r="G13" s="414">
        <f t="shared" si="0"/>
        <v>0.24997041785738247</v>
      </c>
      <c r="H13" s="414">
        <f t="shared" si="0"/>
        <v>0.24987660177486185</v>
      </c>
    </row>
    <row r="14" spans="2:8">
      <c r="B14" s="46" t="s">
        <v>138</v>
      </c>
      <c r="C14" s="414">
        <f>Sheet2!C92</f>
        <v>0</v>
      </c>
      <c r="D14" s="414">
        <f>Sheet2!D92</f>
        <v>0.96</v>
      </c>
      <c r="E14" s="414">
        <f>Sheet2!E92</f>
        <v>0.99</v>
      </c>
      <c r="F14" s="414">
        <f>Sheet2!F92</f>
        <v>0</v>
      </c>
      <c r="G14" s="414">
        <f>Sheet2!G92</f>
        <v>0.94</v>
      </c>
      <c r="H14" s="414">
        <f>Sheet2!H92</f>
        <v>0.94</v>
      </c>
    </row>
    <row r="15" spans="2:8">
      <c r="B15" s="46" t="s">
        <v>26</v>
      </c>
      <c r="C15" s="414">
        <f t="shared" ref="C15:H15" si="1">+(1-((1-C13)*C14))*100%</f>
        <v>1</v>
      </c>
      <c r="D15" s="414">
        <f t="shared" si="1"/>
        <v>0.27995259259259264</v>
      </c>
      <c r="E15" s="414">
        <f t="shared" si="1"/>
        <v>0.25750000000000006</v>
      </c>
      <c r="F15" s="414">
        <f t="shared" si="1"/>
        <v>1</v>
      </c>
      <c r="G15" s="414">
        <f t="shared" si="1"/>
        <v>0.29497219278593956</v>
      </c>
      <c r="H15" s="414">
        <f t="shared" si="1"/>
        <v>0.29488400566837014</v>
      </c>
    </row>
    <row r="16" spans="2:8">
      <c r="G16" s="499">
        <f>G15-C15</f>
        <v>-0.70502780721406044</v>
      </c>
      <c r="H16" s="499">
        <f>H15-G15</f>
        <v>-8.8187117569415996E-5</v>
      </c>
    </row>
    <row r="20" spans="2:6" ht="13">
      <c r="B20" s="3311" t="s">
        <v>5411</v>
      </c>
      <c r="C20" s="3311"/>
      <c r="D20" s="3311"/>
      <c r="E20" s="3311"/>
      <c r="F20" s="3311"/>
    </row>
    <row r="21" spans="2:6" ht="13">
      <c r="B21" s="3311" t="s">
        <v>4661</v>
      </c>
      <c r="C21" s="3311"/>
      <c r="D21" s="3311"/>
      <c r="E21" s="3311"/>
      <c r="F21" s="3311"/>
    </row>
    <row r="23" spans="2:6">
      <c r="B23" s="3538" t="s">
        <v>895</v>
      </c>
      <c r="C23" s="15">
        <v>2020</v>
      </c>
      <c r="D23" s="15">
        <v>2021</v>
      </c>
      <c r="E23" s="15">
        <v>2022</v>
      </c>
      <c r="F23" s="4"/>
    </row>
    <row r="24" spans="2:6">
      <c r="B24" s="3538"/>
      <c r="C24" s="15" t="s">
        <v>897</v>
      </c>
      <c r="D24" s="15" t="s">
        <v>898</v>
      </c>
      <c r="E24" s="15" t="s">
        <v>899</v>
      </c>
      <c r="F24" s="4"/>
    </row>
    <row r="25" spans="2:6" ht="15">
      <c r="B25" s="690" t="s">
        <v>3726</v>
      </c>
      <c r="C25" s="12"/>
      <c r="D25" s="12"/>
      <c r="E25" s="12"/>
    </row>
    <row r="26" spans="2:6" ht="16.5" customHeight="1">
      <c r="B26" s="692" t="s">
        <v>306</v>
      </c>
      <c r="C26" s="19">
        <f>'F-6'!F8</f>
        <v>816.64708507900002</v>
      </c>
      <c r="D26" s="19">
        <f>'F-6'!J8</f>
        <v>1008.9766189124905</v>
      </c>
      <c r="E26" s="19">
        <f>'F-6'!N8</f>
        <v>1085.3478633908401</v>
      </c>
    </row>
    <row r="27" spans="2:6" ht="20.149999999999999" customHeight="1">
      <c r="B27" s="692" t="s">
        <v>3727</v>
      </c>
      <c r="C27" s="19">
        <f>'F-6'!F9</f>
        <v>108.9724923</v>
      </c>
      <c r="D27" s="19">
        <f>'F-6'!J9</f>
        <v>125.8700983272432</v>
      </c>
      <c r="E27" s="19">
        <f>'F-6'!N9</f>
        <v>133.87550737860585</v>
      </c>
    </row>
    <row r="28" spans="2:6" ht="20.149999999999999" customHeight="1">
      <c r="B28" s="692" t="s">
        <v>3728</v>
      </c>
      <c r="C28" s="19">
        <f>'F-6'!F10</f>
        <v>0.70724399999999998</v>
      </c>
      <c r="D28" s="19">
        <f>'F-6'!J10</f>
        <v>0.70800000000000007</v>
      </c>
      <c r="E28" s="19">
        <f>'F-6'!N10</f>
        <v>0.70800000000000007</v>
      </c>
    </row>
    <row r="29" spans="2:6" ht="20.149999999999999" customHeight="1">
      <c r="B29" s="699" t="s">
        <v>421</v>
      </c>
      <c r="C29" s="20">
        <f>SUM(C26:C28)</f>
        <v>926.32682137899997</v>
      </c>
      <c r="D29" s="20">
        <f>SUM(D26:D28)</f>
        <v>1135.5547172397337</v>
      </c>
      <c r="E29" s="20">
        <f>SUM(E26:E28)</f>
        <v>1219.9313707694459</v>
      </c>
    </row>
    <row r="30" spans="2:6" ht="20.149999999999999" customHeight="1">
      <c r="B30" s="699" t="s">
        <v>3733</v>
      </c>
      <c r="C30" s="12"/>
      <c r="D30" s="12"/>
      <c r="E30" s="12"/>
    </row>
    <row r="31" spans="2:6" ht="20.149999999999999" customHeight="1">
      <c r="B31" s="692" t="s">
        <v>517</v>
      </c>
      <c r="C31" s="19">
        <f>'F-6'!F13</f>
        <v>463.33017142944203</v>
      </c>
      <c r="D31" s="19">
        <f>'F-6'!J13</f>
        <v>545.84891526230615</v>
      </c>
      <c r="E31" s="19">
        <f>'F-6'!N13</f>
        <v>639.13815483471387</v>
      </c>
    </row>
    <row r="32" spans="2:6" ht="20.149999999999999" customHeight="1">
      <c r="B32" s="692" t="s">
        <v>1120</v>
      </c>
      <c r="C32" s="19">
        <f>'F-6'!F14</f>
        <v>90.675662714325981</v>
      </c>
      <c r="D32" s="19">
        <f>'F-6'!J14</f>
        <v>145.39831301164173</v>
      </c>
      <c r="E32" s="19">
        <f>'F-6'!N14</f>
        <v>155.40434263023732</v>
      </c>
    </row>
    <row r="33" spans="2:8" ht="20.149999999999999" customHeight="1">
      <c r="B33" s="692" t="s">
        <v>520</v>
      </c>
      <c r="C33" s="19">
        <f>'F-6'!F15</f>
        <v>96.763686864033673</v>
      </c>
      <c r="D33" s="19">
        <f>'F-6'!J15</f>
        <v>123.40058121603747</v>
      </c>
      <c r="E33" s="19">
        <f>'F-6'!N15</f>
        <v>137.46862190116008</v>
      </c>
    </row>
    <row r="34" spans="2:8" ht="20.149999999999999" customHeight="1">
      <c r="B34" s="692" t="s">
        <v>1524</v>
      </c>
      <c r="C34" s="19">
        <f>'F-6'!F16</f>
        <v>16.546298806999999</v>
      </c>
      <c r="D34" s="19">
        <f>'F-6'!J16</f>
        <v>18.693517058126908</v>
      </c>
      <c r="E34" s="19">
        <f>'F-6'!N16</f>
        <v>19.857064074586116</v>
      </c>
    </row>
    <row r="35" spans="2:8" ht="20.149999999999999" customHeight="1">
      <c r="B35" s="692" t="s">
        <v>118</v>
      </c>
      <c r="C35" s="19">
        <f>'F-6'!F17</f>
        <v>28.286157527000004</v>
      </c>
      <c r="D35" s="19">
        <f>'F-6'!J17</f>
        <v>52.228739074452392</v>
      </c>
      <c r="E35" s="19">
        <f>'F-6'!N17</f>
        <v>62.093519768688068</v>
      </c>
    </row>
    <row r="36" spans="2:8" ht="20.149999999999999" customHeight="1">
      <c r="B36" s="692" t="s">
        <v>799</v>
      </c>
      <c r="C36" s="19">
        <f>'F-6'!F18</f>
        <v>0</v>
      </c>
      <c r="D36" s="19">
        <f>'F-6'!J18</f>
        <v>0</v>
      </c>
      <c r="E36" s="19">
        <f>'F-6'!N18</f>
        <v>0</v>
      </c>
    </row>
    <row r="37" spans="2:8" ht="18" customHeight="1">
      <c r="B37" s="692" t="s">
        <v>3730</v>
      </c>
      <c r="C37" s="19">
        <f>'F-6'!F19</f>
        <v>-2.1675901870000001</v>
      </c>
      <c r="D37" s="19">
        <f>'F-6'!J19</f>
        <v>-28.27</v>
      </c>
      <c r="E37" s="19">
        <f>'F-6'!N19</f>
        <v>-30.240000000000002</v>
      </c>
    </row>
    <row r="38" spans="2:8" ht="20.149999999999999" customHeight="1">
      <c r="B38" s="692" t="s">
        <v>3731</v>
      </c>
      <c r="C38" s="19">
        <f>'F-6'!F20</f>
        <v>15.113530095999998</v>
      </c>
      <c r="D38" s="19">
        <f>'F-6'!J20</f>
        <v>43.778180662381438</v>
      </c>
      <c r="E38" s="19">
        <f>'F-6'!N20</f>
        <v>48.615344386377203</v>
      </c>
    </row>
    <row r="39" spans="2:8" ht="20.149999999999999" customHeight="1">
      <c r="B39" s="692" t="s">
        <v>3732</v>
      </c>
      <c r="C39" s="305">
        <f>'F-6'!F21</f>
        <v>0</v>
      </c>
      <c r="D39" s="19">
        <f>'F-6'!J21</f>
        <v>0</v>
      </c>
      <c r="E39" s="19">
        <f>'F-6'!N21</f>
        <v>0</v>
      </c>
    </row>
    <row r="40" spans="2:8" ht="20.149999999999999" customHeight="1">
      <c r="B40" s="692" t="s">
        <v>3729</v>
      </c>
      <c r="C40" s="305">
        <f>'F-6'!F22</f>
        <v>11.918133123</v>
      </c>
      <c r="D40" s="19">
        <f>'F-6'!J22</f>
        <v>12.52860638824748</v>
      </c>
      <c r="E40" s="19">
        <f>'F-6'!N22</f>
        <v>18.129630420640474</v>
      </c>
      <c r="F40" s="234">
        <f>C38+C40</f>
        <v>27.031663218999999</v>
      </c>
      <c r="G40" s="234">
        <f t="shared" ref="G40:H40" si="2">D38+D40</f>
        <v>56.30678705062892</v>
      </c>
      <c r="H40" s="234">
        <f t="shared" si="2"/>
        <v>66.744974807017684</v>
      </c>
    </row>
    <row r="41" spans="2:8" ht="20.149999999999999" customHeight="1">
      <c r="B41" s="692" t="s">
        <v>2</v>
      </c>
      <c r="C41" s="305">
        <f>'F-6'!F23</f>
        <v>35.48268690077601</v>
      </c>
      <c r="D41" s="19">
        <f>'F-6'!J23</f>
        <v>43.997783078707243</v>
      </c>
      <c r="E41" s="19">
        <f>'F-6'!N23</f>
        <v>54.137172229099377</v>
      </c>
    </row>
    <row r="42" spans="2:8" ht="20.149999999999999" customHeight="1">
      <c r="B42" s="699" t="s">
        <v>3734</v>
      </c>
      <c r="C42" s="325">
        <f>SUM(C31:C41)</f>
        <v>755.94873727457752</v>
      </c>
      <c r="D42" s="325">
        <f>SUM(D31:D41)</f>
        <v>957.6046357519009</v>
      </c>
      <c r="E42" s="325">
        <f>SUM(E31:E41)</f>
        <v>1104.6038502455026</v>
      </c>
      <c r="F42" s="234">
        <f>C42-C41</f>
        <v>720.46605037380152</v>
      </c>
      <c r="G42" s="234">
        <f t="shared" ref="G42:H42" si="3">D42-D41</f>
        <v>913.60685267319366</v>
      </c>
      <c r="H42" s="234">
        <f t="shared" si="3"/>
        <v>1050.4666780164032</v>
      </c>
    </row>
    <row r="43" spans="2:8" ht="20.149999999999999" customHeight="1">
      <c r="B43" s="699" t="s">
        <v>3735</v>
      </c>
      <c r="C43" s="19"/>
      <c r="D43" s="12"/>
      <c r="E43" s="12"/>
      <c r="F43" s="234">
        <f>F42-C37</f>
        <v>722.6336405608015</v>
      </c>
      <c r="G43" s="234">
        <f t="shared" ref="G43:H43" si="4">G42-D37</f>
        <v>941.87685267319364</v>
      </c>
      <c r="H43" s="234">
        <f t="shared" si="4"/>
        <v>1080.7066780164032</v>
      </c>
    </row>
    <row r="44" spans="2:8" ht="20.149999999999999" customHeight="1">
      <c r="B44" s="711" t="s">
        <v>1217</v>
      </c>
      <c r="C44" s="12">
        <f>'F-6'!F26</f>
        <v>-3.3497167430000001</v>
      </c>
      <c r="D44" s="19">
        <f>'F-6'!J26</f>
        <v>0</v>
      </c>
      <c r="E44" s="19">
        <f>'F-6'!N26</f>
        <v>0</v>
      </c>
    </row>
    <row r="45" spans="2:8" ht="20.149999999999999" customHeight="1">
      <c r="B45" s="692" t="s">
        <v>3736</v>
      </c>
      <c r="C45" s="12">
        <f>'F-6'!F27</f>
        <v>0</v>
      </c>
      <c r="D45" s="19">
        <f>'F-6'!J27</f>
        <v>0</v>
      </c>
      <c r="E45" s="19">
        <f>'F-6'!N27</f>
        <v>0</v>
      </c>
    </row>
    <row r="46" spans="2:8" ht="20.149999999999999" customHeight="1">
      <c r="B46" s="692" t="s">
        <v>1530</v>
      </c>
      <c r="C46" s="19">
        <f>'F-6'!F28</f>
        <v>0</v>
      </c>
      <c r="D46" s="19">
        <f>'F-6'!J28</f>
        <v>0</v>
      </c>
      <c r="E46" s="19">
        <f>'F-6'!N28</f>
        <v>0</v>
      </c>
    </row>
    <row r="47" spans="2:8" ht="20.149999999999999" customHeight="1">
      <c r="B47" s="692" t="s">
        <v>3737</v>
      </c>
      <c r="C47" s="12">
        <f>'F-6'!F29</f>
        <v>20.595484159999998</v>
      </c>
      <c r="D47" s="19">
        <f>'F-6'!J29</f>
        <v>20.796263820232149</v>
      </c>
      <c r="E47" s="19">
        <f>'F-6'!N29</f>
        <v>20.796263820232149</v>
      </c>
    </row>
    <row r="48" spans="2:8" ht="20.149999999999999" customHeight="1">
      <c r="B48" s="731" t="s">
        <v>3738</v>
      </c>
      <c r="C48" s="19">
        <f>SUM(C44:C47)</f>
        <v>17.245767416999996</v>
      </c>
      <c r="D48" s="19">
        <f>SUM(D44:D47)</f>
        <v>20.796263820232149</v>
      </c>
      <c r="E48" s="19">
        <f>SUM(E44:E47)</f>
        <v>20.796263820232149</v>
      </c>
    </row>
    <row r="49" spans="2:8" ht="9" customHeight="1">
      <c r="B49" s="692"/>
      <c r="C49" s="12"/>
      <c r="D49" s="12"/>
      <c r="E49" s="12"/>
    </row>
    <row r="50" spans="2:8" ht="20.149999999999999" customHeight="1">
      <c r="B50" s="699" t="s">
        <v>3739</v>
      </c>
      <c r="C50" s="325">
        <f>C48+C42+C29</f>
        <v>1699.5213260705775</v>
      </c>
      <c r="D50" s="325">
        <f>D48+D42+D29</f>
        <v>2113.955616811867</v>
      </c>
      <c r="E50" s="325">
        <f>E48+E42+E29</f>
        <v>2345.3314848351806</v>
      </c>
      <c r="F50" s="234">
        <f>C50-C45-C44</f>
        <v>1702.8710428135776</v>
      </c>
      <c r="G50" s="234">
        <f t="shared" ref="G50:H50" si="5">D50-D45-D44</f>
        <v>2113.955616811867</v>
      </c>
      <c r="H50" s="234">
        <f t="shared" si="5"/>
        <v>2345.3314848351806</v>
      </c>
    </row>
    <row r="51" spans="2:8" ht="7.5" customHeight="1">
      <c r="B51" s="692"/>
      <c r="C51" s="12"/>
      <c r="D51" s="12"/>
      <c r="E51" s="12"/>
    </row>
    <row r="52" spans="2:8" ht="20.149999999999999" customHeight="1">
      <c r="B52" s="1280" t="s">
        <v>3740</v>
      </c>
      <c r="C52" s="19">
        <f>'F-6'!F34</f>
        <v>92.930144975000005</v>
      </c>
      <c r="D52" s="19">
        <f>'F-6'!J34</f>
        <v>52.488218606000011</v>
      </c>
      <c r="E52" s="19">
        <f>'F-6'!N34</f>
        <v>55.566274225108359</v>
      </c>
    </row>
    <row r="53" spans="2:8" ht="3" customHeight="1">
      <c r="B53" s="692"/>
      <c r="C53" s="12"/>
      <c r="D53" s="12"/>
      <c r="E53" s="12"/>
    </row>
    <row r="54" spans="2:8" ht="20.149999999999999" customHeight="1">
      <c r="B54" s="692" t="s">
        <v>3</v>
      </c>
      <c r="C54" s="19">
        <f>'F-6'!F36</f>
        <v>0</v>
      </c>
      <c r="D54" s="19">
        <f>'F-6'!J36</f>
        <v>0</v>
      </c>
      <c r="E54" s="19">
        <f>'F-6'!N36</f>
        <v>0</v>
      </c>
    </row>
    <row r="55" spans="2:8" ht="10.5" customHeight="1">
      <c r="B55" s="692"/>
      <c r="C55" s="12"/>
      <c r="D55" s="12"/>
      <c r="E55" s="12"/>
    </row>
    <row r="56" spans="2:8" ht="20.149999999999999" customHeight="1">
      <c r="B56" s="699" t="s">
        <v>4</v>
      </c>
      <c r="C56" s="325">
        <f>C50-C52-C54</f>
        <v>1606.5911810955774</v>
      </c>
      <c r="D56" s="325">
        <f>D50-D52-D54</f>
        <v>2061.4673982058671</v>
      </c>
      <c r="E56" s="325">
        <f>E50-E52-E54</f>
        <v>2289.7652106100722</v>
      </c>
      <c r="F56" s="234">
        <f>C56-C45-C44</f>
        <v>1609.9408978385775</v>
      </c>
      <c r="G56" s="234">
        <f t="shared" ref="G56:H56" si="6">D56-D45-D44</f>
        <v>2061.4673982058671</v>
      </c>
      <c r="H56" s="234">
        <f t="shared" si="6"/>
        <v>2289.7652106100722</v>
      </c>
    </row>
    <row r="57" spans="2:8" ht="9.75" customHeight="1">
      <c r="B57" s="692"/>
      <c r="C57" s="12"/>
      <c r="D57" s="12"/>
      <c r="E57" s="12"/>
    </row>
    <row r="58" spans="2:8" ht="20.149999999999999" customHeight="1">
      <c r="B58" s="692" t="s">
        <v>3741</v>
      </c>
      <c r="C58" s="20">
        <f>'F-6'!F40</f>
        <v>1639.9169955799998</v>
      </c>
      <c r="D58" s="20">
        <f>'F-6'!J40</f>
        <v>1850.6735468597076</v>
      </c>
      <c r="E58" s="20">
        <f>'F-6'!N40</f>
        <v>1985.8102454011964</v>
      </c>
    </row>
    <row r="59" spans="2:8" ht="6" customHeight="1">
      <c r="B59" s="711"/>
      <c r="C59" s="12"/>
      <c r="D59" s="12"/>
      <c r="E59" s="12"/>
    </row>
    <row r="60" spans="2:8" ht="20.149999999999999" customHeight="1">
      <c r="B60" s="639" t="s">
        <v>4433</v>
      </c>
      <c r="C60" s="325">
        <f>C58-C56</f>
        <v>33.325814484422381</v>
      </c>
      <c r="D60" s="325">
        <f>D58-D56</f>
        <v>-210.7938513461595</v>
      </c>
      <c r="E60" s="325">
        <f>E58-E56</f>
        <v>-303.95496520887582</v>
      </c>
    </row>
    <row r="61" spans="2:8" ht="19.5" customHeight="1">
      <c r="B61" s="690" t="s">
        <v>4043</v>
      </c>
      <c r="C61" s="19">
        <f>C58</f>
        <v>1639.9169955799998</v>
      </c>
      <c r="D61" s="19">
        <f>D58</f>
        <v>1850.6735468597076</v>
      </c>
      <c r="E61" s="19">
        <f>E58</f>
        <v>1985.8102454011964</v>
      </c>
    </row>
    <row r="62" spans="2:8" ht="19.5" customHeight="1">
      <c r="B62" s="639" t="s">
        <v>4434</v>
      </c>
      <c r="C62" s="305">
        <f>C61-C56</f>
        <v>33.325814484422381</v>
      </c>
      <c r="D62" s="305">
        <f>D61-D56</f>
        <v>-210.7938513461595</v>
      </c>
      <c r="E62" s="305">
        <f>E61-E56</f>
        <v>-303.95496520887582</v>
      </c>
    </row>
    <row r="63" spans="2:8" ht="19.5" customHeight="1">
      <c r="B63" s="699" t="s">
        <v>4634</v>
      </c>
      <c r="C63" s="305">
        <f>C60</f>
        <v>33.325814484422381</v>
      </c>
      <c r="D63" s="305">
        <f>D60</f>
        <v>-210.7938513461595</v>
      </c>
      <c r="E63" s="305">
        <f>E60</f>
        <v>-303.95496520887582</v>
      </c>
    </row>
    <row r="64" spans="2:8" ht="20.25" customHeight="1">
      <c r="B64" s="699" t="s">
        <v>1012</v>
      </c>
      <c r="C64" s="19">
        <f>C58-C61</f>
        <v>0</v>
      </c>
      <c r="D64" s="19">
        <f>D58-D61</f>
        <v>0</v>
      </c>
      <c r="E64" s="19">
        <f>E58-E61</f>
        <v>0</v>
      </c>
    </row>
    <row r="65" spans="2:5" ht="19.5" customHeight="1">
      <c r="B65" s="699" t="s">
        <v>1013</v>
      </c>
      <c r="C65" s="305">
        <f>C63-C64</f>
        <v>33.325814484422381</v>
      </c>
      <c r="D65" s="305">
        <f>D63-D64</f>
        <v>-210.7938513461595</v>
      </c>
      <c r="E65" s="305">
        <f>E63-E64</f>
        <v>-303.95496520887582</v>
      </c>
    </row>
    <row r="66" spans="2:5" ht="19.5" customHeight="1">
      <c r="B66" s="699" t="s">
        <v>1015</v>
      </c>
      <c r="C66" s="305">
        <f>C65</f>
        <v>33.325814484422381</v>
      </c>
      <c r="D66" s="305">
        <f>D65</f>
        <v>-210.7938513461595</v>
      </c>
      <c r="E66" s="305">
        <f>E65</f>
        <v>-303.95496520887582</v>
      </c>
    </row>
  </sheetData>
  <mergeCells count="5">
    <mergeCell ref="D5:G5"/>
    <mergeCell ref="H5:H6"/>
    <mergeCell ref="B20:F20"/>
    <mergeCell ref="B21:F21"/>
    <mergeCell ref="B23:B24"/>
  </mergeCells>
  <phoneticPr fontId="63" type="noConversion"/>
  <conditionalFormatting sqref="B6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scale="6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Z84"/>
  <sheetViews>
    <sheetView topLeftCell="C9" zoomScale="85" zoomScaleNormal="85" workbookViewId="0">
      <selection activeCell="L14" sqref="L14"/>
    </sheetView>
  </sheetViews>
  <sheetFormatPr defaultColWidth="8.7265625" defaultRowHeight="12.5"/>
  <cols>
    <col min="1" max="1" width="34.7265625" customWidth="1"/>
    <col min="2" max="2" width="31.26953125" style="384" bestFit="1" customWidth="1"/>
    <col min="3" max="3" width="21" style="384" customWidth="1"/>
    <col min="4" max="4" width="20.453125" style="384" bestFit="1" customWidth="1"/>
    <col min="5" max="5" width="12" bestFit="1" customWidth="1"/>
    <col min="6" max="6" width="8" bestFit="1" customWidth="1"/>
    <col min="7" max="7" width="10.26953125" style="384" bestFit="1" customWidth="1"/>
    <col min="8" max="8" width="34" customWidth="1"/>
    <col min="9" max="9" width="11.26953125" bestFit="1" customWidth="1"/>
    <col min="10" max="11" width="11.453125" bestFit="1" customWidth="1"/>
    <col min="12" max="12" width="9.81640625" bestFit="1" customWidth="1"/>
    <col min="13" max="13" width="16.26953125" customWidth="1"/>
    <col min="14" max="14" width="11.26953125" customWidth="1"/>
    <col min="15" max="15" width="13.54296875" customWidth="1"/>
    <col min="16" max="16" width="13.7265625" customWidth="1"/>
    <col min="17" max="17" width="11.1796875" customWidth="1"/>
    <col min="18" max="18" width="15.81640625" customWidth="1"/>
    <col min="20" max="20" width="9.453125" customWidth="1"/>
    <col min="21" max="21" width="10.26953125" customWidth="1"/>
    <col min="23" max="23" width="12.81640625" bestFit="1" customWidth="1"/>
    <col min="24" max="24" width="6" bestFit="1" customWidth="1"/>
    <col min="25" max="25" width="12" style="232" bestFit="1" customWidth="1"/>
    <col min="26" max="26" width="11" style="232" bestFit="1" customWidth="1"/>
  </cols>
  <sheetData>
    <row r="1" spans="1:26" ht="13.5" thickBot="1">
      <c r="A1" s="1" t="s">
        <v>27</v>
      </c>
      <c r="D1" s="384" t="s">
        <v>1138</v>
      </c>
    </row>
    <row r="2" spans="1:26" ht="19.5" customHeight="1">
      <c r="A2" s="1729" t="s">
        <v>6878</v>
      </c>
      <c r="B2" s="1730"/>
      <c r="C2" s="1730"/>
      <c r="D2" s="1731"/>
    </row>
    <row r="3" spans="1:26" ht="37.5">
      <c r="A3" s="1732"/>
      <c r="B3" s="1733" t="s">
        <v>6879</v>
      </c>
      <c r="C3" s="1733" t="s">
        <v>6880</v>
      </c>
      <c r="D3" s="1734" t="s">
        <v>6881</v>
      </c>
    </row>
    <row r="4" spans="1:26" ht="14">
      <c r="A4" s="1732" t="s">
        <v>367</v>
      </c>
      <c r="B4" s="1735">
        <f>+I14</f>
        <v>1080.8</v>
      </c>
      <c r="C4" s="1735">
        <f>+J14</f>
        <v>1100</v>
      </c>
      <c r="D4" s="1736">
        <f t="shared" ref="B4:D6" si="0">+K14</f>
        <v>1112.4100000000001</v>
      </c>
      <c r="E4" s="234"/>
      <c r="F4" s="234"/>
      <c r="H4" s="329"/>
    </row>
    <row r="5" spans="1:26">
      <c r="A5" s="1732" t="s">
        <v>801</v>
      </c>
      <c r="B5" s="1735">
        <f t="shared" si="0"/>
        <v>71.91</v>
      </c>
      <c r="C5" s="1735">
        <f t="shared" si="0"/>
        <v>73.349999999999994</v>
      </c>
      <c r="D5" s="1736">
        <f t="shared" si="0"/>
        <v>74.98</v>
      </c>
      <c r="E5" s="234"/>
      <c r="F5" s="234"/>
    </row>
    <row r="6" spans="1:26" ht="14">
      <c r="A6" s="1732" t="s">
        <v>1435</v>
      </c>
      <c r="B6" s="1735">
        <f t="shared" si="0"/>
        <v>75.77</v>
      </c>
      <c r="C6" s="1735">
        <f t="shared" si="0"/>
        <v>77.33</v>
      </c>
      <c r="D6" s="1736">
        <f t="shared" si="0"/>
        <v>78.77</v>
      </c>
      <c r="E6" s="234"/>
      <c r="F6" s="234"/>
      <c r="H6" s="329"/>
      <c r="P6" s="395">
        <f>L14+M14-N14+O14</f>
        <v>-75.802836200000002</v>
      </c>
    </row>
    <row r="7" spans="1:26" ht="13">
      <c r="A7" s="1737" t="s">
        <v>1100</v>
      </c>
      <c r="B7" s="1738">
        <f>SUM(B4:B6)</f>
        <v>1228.48</v>
      </c>
      <c r="C7" s="1738">
        <f>SUM(C4:C6)</f>
        <v>1250.6799999999998</v>
      </c>
      <c r="D7" s="1739">
        <f>SUM(D4:D6)</f>
        <v>1266.1600000000001</v>
      </c>
      <c r="P7" s="395">
        <f>L15+M15-N15+O15</f>
        <v>-4.2942</v>
      </c>
    </row>
    <row r="8" spans="1:26">
      <c r="A8" s="1732"/>
      <c r="B8" s="1740"/>
      <c r="C8" s="1741"/>
      <c r="D8" s="1742"/>
      <c r="L8" s="1809" t="s">
        <v>801</v>
      </c>
      <c r="M8" s="1809">
        <f>+M15/L15</f>
        <v>6.0000000000000005E-2</v>
      </c>
      <c r="P8" s="3">
        <f>SUM(P6:P7)</f>
        <v>-80.097036200000005</v>
      </c>
    </row>
    <row r="9" spans="1:26">
      <c r="A9" s="1743" t="s">
        <v>6882</v>
      </c>
      <c r="B9" s="1740"/>
      <c r="C9" s="1740"/>
      <c r="D9" s="1744"/>
      <c r="J9" s="3"/>
      <c r="K9" s="3"/>
      <c r="L9" s="1809" t="s">
        <v>367</v>
      </c>
      <c r="M9" s="1809">
        <f>+M14/L14</f>
        <v>0.06</v>
      </c>
    </row>
    <row r="10" spans="1:26">
      <c r="A10" s="1732"/>
      <c r="B10" s="1740"/>
      <c r="C10" s="1740"/>
      <c r="D10" s="1744"/>
      <c r="R10" t="s">
        <v>102</v>
      </c>
    </row>
    <row r="11" spans="1:26" ht="50">
      <c r="A11" s="1732" t="s">
        <v>367</v>
      </c>
      <c r="B11" s="1740"/>
      <c r="C11" s="1741">
        <f>+C4-B4</f>
        <v>19.200000000000045</v>
      </c>
      <c r="D11" s="1742">
        <f t="shared" ref="C11:D13" si="1">+D4-C4</f>
        <v>12.410000000000082</v>
      </c>
      <c r="G11" s="55"/>
      <c r="H11" s="12"/>
      <c r="I11" s="23" t="s">
        <v>533</v>
      </c>
      <c r="J11" s="588" t="s">
        <v>3312</v>
      </c>
      <c r="K11" s="588" t="s">
        <v>3312</v>
      </c>
      <c r="L11" s="330" t="s">
        <v>591</v>
      </c>
      <c r="M11" s="589" t="s">
        <v>6883</v>
      </c>
      <c r="N11" s="330" t="s">
        <v>527</v>
      </c>
      <c r="O11" s="589" t="s">
        <v>6884</v>
      </c>
      <c r="P11" s="589" t="s">
        <v>5378</v>
      </c>
      <c r="Q11" s="589" t="s">
        <v>5379</v>
      </c>
      <c r="R11" s="589" t="s">
        <v>6885</v>
      </c>
    </row>
    <row r="12" spans="1:26" s="4" customFormat="1" ht="13">
      <c r="A12" s="1745" t="s">
        <v>801</v>
      </c>
      <c r="B12" s="1740"/>
      <c r="C12" s="1741">
        <f t="shared" si="1"/>
        <v>1.4399999999999977</v>
      </c>
      <c r="D12" s="1742">
        <f t="shared" si="1"/>
        <v>1.6300000000000097</v>
      </c>
      <c r="G12" s="55"/>
      <c r="H12" s="15" t="s">
        <v>895</v>
      </c>
      <c r="I12" s="1755" t="s">
        <v>5127</v>
      </c>
      <c r="J12" s="1755" t="s">
        <v>5335</v>
      </c>
      <c r="K12" s="1755" t="s">
        <v>6886</v>
      </c>
      <c r="L12" s="1755" t="s">
        <v>5127</v>
      </c>
      <c r="M12" s="16"/>
      <c r="N12" s="16" t="s">
        <v>5368</v>
      </c>
      <c r="O12" s="15"/>
      <c r="P12" s="15"/>
      <c r="Q12" s="15"/>
      <c r="R12" s="15"/>
      <c r="Y12" s="410"/>
      <c r="Z12" s="410"/>
    </row>
    <row r="13" spans="1:26" ht="13">
      <c r="A13" s="1732" t="s">
        <v>1435</v>
      </c>
      <c r="B13" s="1740"/>
      <c r="C13" s="1741">
        <f t="shared" si="1"/>
        <v>1.5600000000000023</v>
      </c>
      <c r="D13" s="1742">
        <f t="shared" si="1"/>
        <v>1.4399999999999977</v>
      </c>
      <c r="G13" s="55"/>
      <c r="H13" s="16">
        <v>1</v>
      </c>
      <c r="I13" s="1755">
        <v>2</v>
      </c>
      <c r="J13" s="1755">
        <v>3</v>
      </c>
      <c r="K13" s="1755">
        <v>4</v>
      </c>
      <c r="L13" s="1755">
        <v>5</v>
      </c>
      <c r="M13" s="16">
        <v>6</v>
      </c>
      <c r="N13" s="16">
        <v>7</v>
      </c>
      <c r="O13" s="16">
        <v>8</v>
      </c>
      <c r="P13" s="16" t="s">
        <v>1028</v>
      </c>
      <c r="Q13" s="16">
        <v>10</v>
      </c>
      <c r="R13" s="16">
        <v>11</v>
      </c>
    </row>
    <row r="14" spans="1:26" ht="13">
      <c r="A14" s="1737" t="s">
        <v>1100</v>
      </c>
      <c r="B14" s="1740"/>
      <c r="C14" s="1738">
        <f>SUM(C11:C13)</f>
        <v>22.200000000000045</v>
      </c>
      <c r="D14" s="1739">
        <f>SUM(D11:D13)</f>
        <v>15.480000000000089</v>
      </c>
      <c r="G14" s="55"/>
      <c r="H14" s="12" t="s">
        <v>367</v>
      </c>
      <c r="I14" s="1726">
        <v>1080.8</v>
      </c>
      <c r="J14" s="1726">
        <v>1100</v>
      </c>
      <c r="K14" s="1726">
        <v>1112.4100000000001</v>
      </c>
      <c r="L14" s="1726">
        <v>29.28</v>
      </c>
      <c r="M14" s="1728">
        <f>L14*0.06</f>
        <v>1.7567999999999999</v>
      </c>
      <c r="N14" s="1726">
        <f>P28/10000000+5.42</f>
        <v>106.8396362</v>
      </c>
      <c r="O14" s="585"/>
      <c r="P14" s="19"/>
      <c r="Q14" s="394">
        <v>0</v>
      </c>
      <c r="R14" s="506">
        <f>P34/10000000+15.2+6</f>
        <v>131.63872949770996</v>
      </c>
      <c r="T14" s="1"/>
    </row>
    <row r="15" spans="1:26">
      <c r="A15" s="1732"/>
      <c r="B15" s="1740"/>
      <c r="C15" s="1740"/>
      <c r="D15" s="1744"/>
      <c r="G15" s="55"/>
      <c r="H15" s="12" t="s">
        <v>801</v>
      </c>
      <c r="I15" s="1726">
        <v>71.91</v>
      </c>
      <c r="J15" s="1726">
        <v>73.349999999999994</v>
      </c>
      <c r="K15" s="1726">
        <v>74.98</v>
      </c>
      <c r="L15" s="1726">
        <v>4.5</v>
      </c>
      <c r="M15" s="1728">
        <f>L15*0.06</f>
        <v>0.27</v>
      </c>
      <c r="N15" s="1726">
        <f>P41/10000000</f>
        <v>9.0641999999999996</v>
      </c>
      <c r="O15" s="585"/>
      <c r="P15" s="12"/>
      <c r="Q15" s="394">
        <v>0</v>
      </c>
      <c r="R15" s="506">
        <f>P48/10000000</f>
        <v>6.3053999999999997</v>
      </c>
    </row>
    <row r="16" spans="1:26" ht="13">
      <c r="A16" s="1737" t="s">
        <v>6887</v>
      </c>
      <c r="B16" s="1740"/>
      <c r="C16" s="1740"/>
      <c r="D16" s="1744"/>
      <c r="G16" s="55"/>
      <c r="H16" s="12" t="s">
        <v>1435</v>
      </c>
      <c r="I16" s="1726">
        <v>75.77</v>
      </c>
      <c r="J16" s="1726">
        <v>77.33</v>
      </c>
      <c r="K16" s="1726">
        <v>78.77</v>
      </c>
      <c r="L16" s="1727"/>
      <c r="M16" s="1727"/>
      <c r="N16" s="1726">
        <f>P52/10000000</f>
        <v>7.94</v>
      </c>
      <c r="O16" s="12"/>
      <c r="P16" s="12"/>
      <c r="Q16" s="12"/>
      <c r="R16" s="19">
        <f>P56/10000000</f>
        <v>7.14</v>
      </c>
    </row>
    <row r="17" spans="1:26" ht="13">
      <c r="A17" s="1732" t="s">
        <v>367</v>
      </c>
      <c r="B17" s="1746">
        <f>+L14</f>
        <v>29.28</v>
      </c>
      <c r="C17" s="1740"/>
      <c r="D17" s="1744"/>
      <c r="G17" s="55"/>
      <c r="H17" s="14" t="s">
        <v>1100</v>
      </c>
      <c r="I17" s="1725">
        <f t="shared" ref="I17:N17" si="2">SUM(I14:I16)</f>
        <v>1228.48</v>
      </c>
      <c r="J17" s="1725">
        <f>SUM(J14:J16)</f>
        <v>1250.6799999999998</v>
      </c>
      <c r="K17" s="1725">
        <f t="shared" si="2"/>
        <v>1266.1600000000001</v>
      </c>
      <c r="L17" s="1725">
        <f t="shared" si="2"/>
        <v>33.78</v>
      </c>
      <c r="M17" s="1725">
        <f t="shared" si="2"/>
        <v>2.0267999999999997</v>
      </c>
      <c r="N17" s="1725">
        <f t="shared" si="2"/>
        <v>123.8438362</v>
      </c>
      <c r="O17" s="1725">
        <v>150.02000000000001</v>
      </c>
      <c r="P17" s="20">
        <f>L17+M17</f>
        <v>35.806800000000003</v>
      </c>
      <c r="Q17" s="20">
        <f>P17*6%</f>
        <v>2.1484079999999999</v>
      </c>
      <c r="R17" s="20">
        <f>SUM(R14:R16)</f>
        <v>145.08412949770994</v>
      </c>
    </row>
    <row r="18" spans="1:26">
      <c r="A18" s="1732" t="s">
        <v>801</v>
      </c>
      <c r="B18" s="1746">
        <f>+L15</f>
        <v>4.5</v>
      </c>
      <c r="C18" s="1740"/>
      <c r="D18" s="1744"/>
      <c r="G18" s="55"/>
      <c r="H18" s="12" t="s">
        <v>322</v>
      </c>
      <c r="I18" s="12"/>
      <c r="J18" s="12"/>
      <c r="K18" s="12"/>
      <c r="L18" s="12"/>
      <c r="M18" s="12"/>
      <c r="N18" s="12"/>
      <c r="O18" s="12"/>
      <c r="P18" s="507">
        <v>0</v>
      </c>
      <c r="Q18" s="12"/>
      <c r="R18" s="12"/>
    </row>
    <row r="19" spans="1:26" ht="13">
      <c r="A19" s="1737" t="s">
        <v>1100</v>
      </c>
      <c r="B19" s="1747">
        <f>SUM(B17:B18)</f>
        <v>33.78</v>
      </c>
      <c r="C19" s="1740"/>
      <c r="D19" s="1744"/>
      <c r="G19" s="55"/>
      <c r="H19" s="12" t="s">
        <v>1029</v>
      </c>
      <c r="I19" s="12"/>
      <c r="J19" s="12"/>
      <c r="K19" s="12"/>
      <c r="L19" s="12"/>
      <c r="M19" s="12"/>
      <c r="N19" s="12"/>
      <c r="O19" s="12"/>
      <c r="P19" s="394">
        <f>+B21</f>
        <v>1048.097</v>
      </c>
      <c r="Q19" s="12"/>
      <c r="R19" s="12"/>
    </row>
    <row r="20" spans="1:26" ht="13">
      <c r="A20" s="1732" t="s">
        <v>81</v>
      </c>
      <c r="B20" s="1748"/>
      <c r="C20" s="1740"/>
      <c r="D20" s="1744"/>
      <c r="G20" s="55"/>
      <c r="H20" s="12" t="s">
        <v>1584</v>
      </c>
      <c r="I20" s="12"/>
      <c r="J20" s="12"/>
      <c r="K20" s="12"/>
      <c r="L20" s="12"/>
      <c r="M20" s="12"/>
      <c r="N20" s="12"/>
      <c r="O20" s="12"/>
      <c r="P20" s="20">
        <f>SUM(P17:P19)</f>
        <v>1083.9038</v>
      </c>
      <c r="Q20" s="12"/>
      <c r="R20" s="12"/>
    </row>
    <row r="21" spans="1:26">
      <c r="A21" s="1732" t="s">
        <v>1029</v>
      </c>
      <c r="B21" s="1802">
        <v>1048.097</v>
      </c>
      <c r="C21" s="1740"/>
      <c r="D21" s="1744"/>
      <c r="N21" s="3"/>
    </row>
    <row r="22" spans="1:26" ht="13">
      <c r="A22" s="1737" t="s">
        <v>1436</v>
      </c>
      <c r="B22" s="1747">
        <f>+B19+B20+B21</f>
        <v>1081.877</v>
      </c>
      <c r="C22" s="1740"/>
      <c r="D22" s="1744"/>
      <c r="J22" t="s">
        <v>3643</v>
      </c>
    </row>
    <row r="23" spans="1:26" ht="13">
      <c r="A23" s="1732" t="s">
        <v>1436</v>
      </c>
      <c r="B23" s="1741"/>
      <c r="C23" s="1740"/>
      <c r="D23" s="1744"/>
      <c r="G23" s="24" t="s">
        <v>1102</v>
      </c>
      <c r="H23" s="58" t="s">
        <v>4619</v>
      </c>
      <c r="I23" s="14" t="s">
        <v>6940</v>
      </c>
      <c r="J23" s="14" t="s">
        <v>5336</v>
      </c>
      <c r="K23" s="3"/>
      <c r="M23" s="3543" t="s">
        <v>3606</v>
      </c>
      <c r="N23" s="3544"/>
      <c r="O23" s="3545"/>
      <c r="P23" s="1755" t="s">
        <v>5329</v>
      </c>
      <c r="R23" s="427" t="s">
        <v>1560</v>
      </c>
      <c r="S23" s="427"/>
      <c r="T23" s="491" t="s">
        <v>1235</v>
      </c>
      <c r="U23" s="491" t="s">
        <v>1235</v>
      </c>
      <c r="W23" s="1719"/>
      <c r="X23" s="1719"/>
      <c r="Y23" s="596"/>
      <c r="Z23" s="596"/>
    </row>
    <row r="24" spans="1:26" ht="25.5">
      <c r="A24" s="1732" t="s">
        <v>1437</v>
      </c>
      <c r="B24" s="1740"/>
      <c r="C24" s="1740"/>
      <c r="D24" s="1744"/>
      <c r="G24" s="55">
        <v>1</v>
      </c>
      <c r="H24" s="588" t="s">
        <v>5380</v>
      </c>
      <c r="I24" s="389">
        <f>+K17</f>
        <v>1266.1600000000001</v>
      </c>
      <c r="J24" s="19">
        <f>I25</f>
        <v>1250.6799999999998</v>
      </c>
      <c r="L24">
        <f>1250.68-(1228.48+2.03-144.02)</f>
        <v>164.19000000000005</v>
      </c>
      <c r="M24" s="1727"/>
      <c r="N24" s="1727"/>
      <c r="O24" s="1727"/>
      <c r="P24" s="1727"/>
      <c r="R24" s="490" t="s">
        <v>801</v>
      </c>
      <c r="S24" s="490"/>
      <c r="T24" s="492" t="s">
        <v>5329</v>
      </c>
      <c r="U24" s="492" t="s">
        <v>5482</v>
      </c>
      <c r="W24" s="1894"/>
      <c r="X24" s="1894"/>
      <c r="Y24" s="597"/>
      <c r="Z24" s="597"/>
    </row>
    <row r="25" spans="1:26" ht="25">
      <c r="A25" s="1732" t="s">
        <v>367</v>
      </c>
      <c r="B25" s="1740"/>
      <c r="C25" s="1746">
        <f>+M14</f>
        <v>1.7567999999999999</v>
      </c>
      <c r="D25" s="3541">
        <f>Q17</f>
        <v>2.1484079999999999</v>
      </c>
      <c r="F25" s="2"/>
      <c r="G25" s="55">
        <v>2</v>
      </c>
      <c r="H25" s="588" t="s">
        <v>5129</v>
      </c>
      <c r="I25" s="389">
        <f>J17</f>
        <v>1250.6799999999998</v>
      </c>
      <c r="J25" s="19">
        <f>I17</f>
        <v>1228.48</v>
      </c>
      <c r="K25" s="3">
        <f>+I24+I25-I26+I27</f>
        <v>2659.77572149771</v>
      </c>
      <c r="M25" s="1727" t="s">
        <v>534</v>
      </c>
      <c r="N25" s="1727">
        <f>ROUND(71232/2*0.4*12*8.194,0)</f>
        <v>1400820</v>
      </c>
      <c r="O25" s="1727">
        <v>8</v>
      </c>
      <c r="P25" s="1727">
        <f>N25*O25</f>
        <v>11206560</v>
      </c>
      <c r="R25" s="426">
        <v>24000000</v>
      </c>
      <c r="S25" s="426">
        <v>10.18</v>
      </c>
      <c r="T25" s="426">
        <f>R25*S25/100</f>
        <v>2443200</v>
      </c>
      <c r="U25" s="426">
        <f>R25*S25/100</f>
        <v>2443200</v>
      </c>
      <c r="W25" s="599"/>
      <c r="X25" s="599"/>
      <c r="Y25" s="598"/>
      <c r="Z25" s="598"/>
    </row>
    <row r="26" spans="1:26" ht="25">
      <c r="A26" s="1732" t="s">
        <v>801</v>
      </c>
      <c r="B26" s="1740"/>
      <c r="C26" s="1746">
        <f>+M15</f>
        <v>0.27</v>
      </c>
      <c r="D26" s="3542"/>
      <c r="F26" s="2"/>
      <c r="G26" s="55">
        <v>3</v>
      </c>
      <c r="H26" s="588" t="s">
        <v>5381</v>
      </c>
      <c r="I26" s="389">
        <f>Q17</f>
        <v>2.1484079999999999</v>
      </c>
      <c r="J26" s="19">
        <f>M17</f>
        <v>2.0267999999999997</v>
      </c>
      <c r="M26" s="1727" t="s">
        <v>535</v>
      </c>
      <c r="N26" s="1727">
        <f>ROUND(34864/2*0.4*12*8.194,0)</f>
        <v>685621</v>
      </c>
      <c r="O26" s="1727">
        <v>102</v>
      </c>
      <c r="P26" s="1727">
        <f>N26*O26</f>
        <v>69933342</v>
      </c>
      <c r="R26" s="426"/>
      <c r="S26" s="426">
        <v>11.15</v>
      </c>
      <c r="T26" s="426">
        <f>ROUND(R26*S26/100*(30+31+30+31)/365,2)</f>
        <v>0</v>
      </c>
      <c r="U26" s="426"/>
      <c r="W26" s="599"/>
      <c r="X26" s="599"/>
      <c r="Y26" s="598"/>
      <c r="Z26" s="598"/>
    </row>
    <row r="27" spans="1:26" ht="13">
      <c r="A27" s="1732"/>
      <c r="B27" s="1740"/>
      <c r="C27" s="1747">
        <f>SUM(C25:C26)</f>
        <v>2.0267999999999997</v>
      </c>
      <c r="D27" s="1749">
        <f>SUM(D25:D26)</f>
        <v>2.1484079999999999</v>
      </c>
      <c r="G27" s="55">
        <v>4</v>
      </c>
      <c r="H27" s="588" t="s">
        <v>527</v>
      </c>
      <c r="I27" s="389">
        <f>R17</f>
        <v>145.08412949770994</v>
      </c>
      <c r="J27" s="19">
        <f>N17</f>
        <v>123.8438362</v>
      </c>
      <c r="M27" s="1727" t="s">
        <v>1369</v>
      </c>
      <c r="N27" s="1727">
        <v>77754705</v>
      </c>
      <c r="O27" s="1727">
        <v>12</v>
      </c>
      <c r="P27" s="1727">
        <f>N27*O27</f>
        <v>933056460</v>
      </c>
      <c r="R27" s="426">
        <v>10000000</v>
      </c>
      <c r="S27" s="426">
        <v>7.2</v>
      </c>
      <c r="T27" s="426">
        <f t="shared" ref="T27:T37" si="3">R27*S27/100</f>
        <v>720000</v>
      </c>
      <c r="U27" s="426">
        <f t="shared" ref="U27:U37" si="4">R27*S27/100</f>
        <v>720000</v>
      </c>
      <c r="W27" s="599"/>
      <c r="X27" s="599"/>
      <c r="Y27" s="598"/>
      <c r="Z27" s="598"/>
    </row>
    <row r="28" spans="1:26" ht="17.5">
      <c r="A28" s="1732"/>
      <c r="B28" s="1740"/>
      <c r="C28" s="1740"/>
      <c r="D28" s="1744"/>
      <c r="G28" s="55">
        <v>5</v>
      </c>
      <c r="H28" s="588" t="s">
        <v>4596</v>
      </c>
      <c r="I28" s="1532">
        <f>I24-(I25+I26-I27)</f>
        <v>158.41572149771014</v>
      </c>
      <c r="J28" s="1532">
        <f>J24-(J25+J26-J27)</f>
        <v>144.01703619999967</v>
      </c>
      <c r="M28" s="1727"/>
      <c r="N28" s="1756" t="s">
        <v>1100</v>
      </c>
      <c r="O28" s="1756"/>
      <c r="P28" s="1756">
        <f>SUM(P24:P27)</f>
        <v>1014196362</v>
      </c>
      <c r="R28" s="426">
        <v>10000000</v>
      </c>
      <c r="S28" s="426">
        <v>9.8000000000000007</v>
      </c>
      <c r="T28" s="426">
        <f t="shared" si="3"/>
        <v>980000</v>
      </c>
      <c r="U28" s="426">
        <f t="shared" si="4"/>
        <v>980000</v>
      </c>
      <c r="W28" s="599"/>
      <c r="X28" s="599"/>
      <c r="Y28" s="598"/>
      <c r="Z28" s="598"/>
    </row>
    <row r="29" spans="1:26" ht="13">
      <c r="A29" s="1737" t="s">
        <v>1438</v>
      </c>
      <c r="B29" s="1740"/>
      <c r="C29" s="1740"/>
      <c r="D29" s="1744"/>
      <c r="G29" s="55"/>
      <c r="H29" s="23"/>
      <c r="I29" s="389">
        <f>J29*1.1</f>
        <v>158.42200000000003</v>
      </c>
      <c r="J29" s="3">
        <f>O17-6</f>
        <v>144.02000000000001</v>
      </c>
      <c r="K29" s="3"/>
      <c r="M29" s="1727"/>
      <c r="N29" s="1727"/>
      <c r="O29" s="1727"/>
      <c r="P29" s="1727"/>
      <c r="R29" s="426"/>
      <c r="S29" s="426">
        <v>8.3000000000000007</v>
      </c>
      <c r="T29" s="426">
        <f t="shared" si="3"/>
        <v>0</v>
      </c>
      <c r="U29" s="426">
        <f t="shared" si="4"/>
        <v>0</v>
      </c>
      <c r="W29" s="599"/>
      <c r="X29" s="599"/>
      <c r="Y29" s="598"/>
      <c r="Z29" s="598"/>
    </row>
    <row r="30" spans="1:26" ht="13">
      <c r="A30" s="1750" t="s">
        <v>367</v>
      </c>
      <c r="B30" s="1740"/>
      <c r="C30" s="1740"/>
      <c r="D30" s="1744"/>
      <c r="G30" s="55"/>
      <c r="H30" s="12"/>
      <c r="I30" s="12"/>
      <c r="K30" s="3"/>
      <c r="M30" s="1727"/>
      <c r="N30" s="1727"/>
      <c r="O30" s="1727"/>
      <c r="P30" s="1755" t="s">
        <v>5482</v>
      </c>
      <c r="R30" s="426"/>
      <c r="S30" s="426">
        <v>8.4</v>
      </c>
      <c r="T30" s="426">
        <f t="shared" si="3"/>
        <v>0</v>
      </c>
      <c r="U30" s="426">
        <f t="shared" si="4"/>
        <v>0</v>
      </c>
      <c r="W30" s="599"/>
      <c r="X30" s="599"/>
      <c r="Y30" s="598"/>
      <c r="Z30" s="598"/>
    </row>
    <row r="31" spans="1:26" ht="26">
      <c r="A31" s="1732" t="s">
        <v>1439</v>
      </c>
      <c r="B31" s="1740"/>
      <c r="C31" s="1735">
        <f>+N14</f>
        <v>106.8396362</v>
      </c>
      <c r="D31" s="1736">
        <f>+R14</f>
        <v>131.63872949770996</v>
      </c>
      <c r="G31" s="24" t="s">
        <v>543</v>
      </c>
      <c r="H31" s="521" t="s">
        <v>3320</v>
      </c>
      <c r="I31" s="55"/>
      <c r="M31" s="1727" t="s">
        <v>534</v>
      </c>
      <c r="N31" s="1727">
        <f>ROUND(51400*0.4*12*8.194,0)</f>
        <v>2021624</v>
      </c>
      <c r="O31" s="1727">
        <v>4</v>
      </c>
      <c r="P31" s="1727">
        <f>+O31*N31</f>
        <v>8086496</v>
      </c>
      <c r="R31" s="426">
        <v>10000</v>
      </c>
      <c r="S31" s="1649">
        <v>8.6300000000000008</v>
      </c>
      <c r="T31" s="426">
        <f t="shared" si="3"/>
        <v>863.00000000000011</v>
      </c>
      <c r="U31" s="426">
        <f t="shared" si="4"/>
        <v>863.00000000000011</v>
      </c>
      <c r="W31" s="599"/>
      <c r="X31" s="599"/>
      <c r="Y31" s="598"/>
      <c r="Z31" s="598"/>
    </row>
    <row r="32" spans="1:26">
      <c r="A32" s="1732"/>
      <c r="B32" s="1740"/>
      <c r="C32" s="1740"/>
      <c r="D32" s="1744"/>
      <c r="G32" s="55" t="s">
        <v>938</v>
      </c>
      <c r="H32" s="23"/>
      <c r="I32" s="12"/>
      <c r="M32" s="1727" t="s">
        <v>538</v>
      </c>
      <c r="N32" s="1727">
        <f>ROUND(25700*0.4*12*8.194,0)</f>
        <v>1010812</v>
      </c>
      <c r="O32" s="1727">
        <v>74</v>
      </c>
      <c r="P32" s="1727">
        <f>+O32*N32</f>
        <v>74800088</v>
      </c>
      <c r="R32" s="426">
        <v>1000000</v>
      </c>
      <c r="S32" s="1649">
        <v>9.3000000000000007</v>
      </c>
      <c r="T32" s="426">
        <f t="shared" si="3"/>
        <v>93000</v>
      </c>
      <c r="U32" s="426">
        <f t="shared" si="4"/>
        <v>93000</v>
      </c>
      <c r="W32" s="599"/>
      <c r="X32" s="599"/>
      <c r="Y32" s="598"/>
      <c r="Z32" s="598"/>
    </row>
    <row r="33" spans="1:26">
      <c r="A33" s="1732" t="s">
        <v>1440</v>
      </c>
      <c r="B33" s="1740"/>
      <c r="C33" s="1740"/>
      <c r="D33" s="1744"/>
      <c r="G33" s="55">
        <v>1</v>
      </c>
      <c r="H33" s="588" t="s">
        <v>3319</v>
      </c>
      <c r="I33" s="12"/>
      <c r="M33" s="1727" t="s">
        <v>1369</v>
      </c>
      <c r="N33" s="1727">
        <v>85125059.248091608</v>
      </c>
      <c r="O33" s="1727">
        <v>12</v>
      </c>
      <c r="P33" s="1727">
        <f>+O33*N33</f>
        <v>1021500710.9770993</v>
      </c>
      <c r="R33" s="426"/>
      <c r="S33" s="1649">
        <v>9.6</v>
      </c>
      <c r="T33" s="426">
        <f t="shared" si="3"/>
        <v>0</v>
      </c>
      <c r="U33" s="426">
        <f t="shared" si="4"/>
        <v>0</v>
      </c>
      <c r="W33" s="599"/>
      <c r="X33" s="599"/>
      <c r="Y33" s="598"/>
      <c r="Z33" s="598"/>
    </row>
    <row r="34" spans="1:26" ht="13">
      <c r="A34" s="1732" t="s">
        <v>273</v>
      </c>
      <c r="B34" s="1740"/>
      <c r="C34" s="1740"/>
      <c r="D34" s="1744"/>
      <c r="G34" s="55"/>
      <c r="H34" s="12" t="s">
        <v>691</v>
      </c>
      <c r="I34" s="12">
        <v>7.78</v>
      </c>
      <c r="M34" s="1727"/>
      <c r="N34" s="1756" t="s">
        <v>1100</v>
      </c>
      <c r="O34" s="1727"/>
      <c r="P34" s="1756">
        <f>SUM(P31:P33)</f>
        <v>1104387294.9770994</v>
      </c>
      <c r="R34" s="426"/>
      <c r="S34" s="426"/>
      <c r="T34" s="426">
        <f t="shared" si="3"/>
        <v>0</v>
      </c>
      <c r="U34" s="426">
        <f t="shared" si="4"/>
        <v>0</v>
      </c>
      <c r="W34" s="599"/>
      <c r="X34" s="599"/>
      <c r="Y34" s="598"/>
      <c r="Z34" s="598"/>
    </row>
    <row r="35" spans="1:26">
      <c r="A35" s="1732"/>
      <c r="B35" s="1740" t="s">
        <v>1085</v>
      </c>
      <c r="C35" s="1740">
        <f>O25</f>
        <v>8</v>
      </c>
      <c r="D35" s="1744">
        <v>4</v>
      </c>
      <c r="G35" s="55"/>
      <c r="H35" s="12" t="s">
        <v>1476</v>
      </c>
      <c r="I35" s="12">
        <v>7.07</v>
      </c>
      <c r="M35" s="1727"/>
      <c r="N35" s="1727"/>
      <c r="O35" s="1727"/>
      <c r="P35" s="1727"/>
      <c r="R35" s="426"/>
      <c r="S35" s="426"/>
      <c r="T35" s="426">
        <f t="shared" si="3"/>
        <v>0</v>
      </c>
      <c r="U35" s="426">
        <f t="shared" si="4"/>
        <v>0</v>
      </c>
      <c r="W35" s="599"/>
      <c r="X35" s="599"/>
      <c r="Y35" s="598"/>
      <c r="Z35" s="598"/>
    </row>
    <row r="36" spans="1:26">
      <c r="A36" s="1732"/>
      <c r="B36" s="1740" t="s">
        <v>1086</v>
      </c>
      <c r="C36" s="1740">
        <f>O26</f>
        <v>102</v>
      </c>
      <c r="D36" s="1744">
        <v>74</v>
      </c>
      <c r="G36" s="55"/>
      <c r="H36" s="12" t="s">
        <v>1360</v>
      </c>
      <c r="I36" s="12">
        <v>6.63</v>
      </c>
      <c r="M36" s="1727"/>
      <c r="N36" s="1727"/>
      <c r="O36" s="1727"/>
      <c r="P36" s="1727"/>
      <c r="R36" s="426"/>
      <c r="S36" s="426"/>
      <c r="T36" s="426">
        <f t="shared" si="3"/>
        <v>0</v>
      </c>
      <c r="U36" s="426">
        <f t="shared" si="4"/>
        <v>0</v>
      </c>
      <c r="W36" s="599"/>
      <c r="X36" s="599"/>
      <c r="Y36" s="598"/>
      <c r="Z36" s="598"/>
    </row>
    <row r="37" spans="1:26" ht="13">
      <c r="A37" s="1732"/>
      <c r="B37" s="1740" t="s">
        <v>1100</v>
      </c>
      <c r="C37" s="1751">
        <f>SUM(C35:C36)</f>
        <v>110</v>
      </c>
      <c r="D37" s="1752">
        <f>SUM(D35:D36)</f>
        <v>78</v>
      </c>
      <c r="G37" s="55"/>
      <c r="H37" s="12" t="s">
        <v>1519</v>
      </c>
      <c r="I37" s="12">
        <v>6.81</v>
      </c>
      <c r="M37" s="1727"/>
      <c r="N37" s="1727"/>
      <c r="O37" s="1727"/>
      <c r="P37" s="1755" t="s">
        <v>5329</v>
      </c>
      <c r="R37" s="426"/>
      <c r="S37" s="426">
        <v>3.5</v>
      </c>
      <c r="T37" s="426">
        <f t="shared" si="3"/>
        <v>0</v>
      </c>
      <c r="U37" s="426">
        <f t="shared" si="4"/>
        <v>0</v>
      </c>
      <c r="W37" s="599"/>
      <c r="X37" s="599"/>
      <c r="Y37" s="598"/>
      <c r="Z37" s="598"/>
    </row>
    <row r="38" spans="1:26" ht="13">
      <c r="A38" s="1732"/>
      <c r="B38" s="1740"/>
      <c r="C38" s="1735"/>
      <c r="D38" s="1744"/>
      <c r="G38" s="55"/>
      <c r="H38" s="12" t="s">
        <v>334</v>
      </c>
      <c r="I38" s="12">
        <v>7.57</v>
      </c>
      <c r="M38" s="1727" t="s">
        <v>536</v>
      </c>
      <c r="N38" s="1727">
        <v>1500000</v>
      </c>
      <c r="O38" s="1727">
        <f>O25</f>
        <v>8</v>
      </c>
      <c r="P38" s="1727">
        <f>+O38*N38</f>
        <v>12000000</v>
      </c>
      <c r="Q38" s="7" t="s">
        <v>1100</v>
      </c>
      <c r="R38" s="426">
        <f>SUM(R25:R37)</f>
        <v>45010000</v>
      </c>
      <c r="S38" s="426"/>
      <c r="T38" s="426">
        <f>SUM(T25:T37)</f>
        <v>4237063</v>
      </c>
      <c r="U38" s="426">
        <f>SUM(U25:U37)</f>
        <v>4237063</v>
      </c>
      <c r="W38" s="599"/>
      <c r="X38" s="599"/>
      <c r="Y38" s="598"/>
      <c r="Z38" s="598"/>
    </row>
    <row r="39" spans="1:26" ht="13">
      <c r="A39" s="1750" t="s">
        <v>801</v>
      </c>
      <c r="B39" s="1740"/>
      <c r="C39" s="1740"/>
      <c r="D39" s="1744"/>
      <c r="G39" s="55"/>
      <c r="H39" s="12" t="s">
        <v>1289</v>
      </c>
      <c r="I39" s="12">
        <v>9.4</v>
      </c>
      <c r="M39" s="1727" t="s">
        <v>537</v>
      </c>
      <c r="N39" s="1727">
        <v>771000</v>
      </c>
      <c r="O39" s="1727">
        <f>O26</f>
        <v>102</v>
      </c>
      <c r="P39" s="1727">
        <f>+O39*N39</f>
        <v>78642000</v>
      </c>
      <c r="R39" s="426" t="s">
        <v>930</v>
      </c>
      <c r="S39" s="426"/>
      <c r="T39" s="426">
        <f>T38/R38</f>
        <v>9.4136036436347478E-2</v>
      </c>
      <c r="U39" s="426">
        <f>U38/U41</f>
        <v>0.10590009997500625</v>
      </c>
      <c r="W39" s="599"/>
      <c r="X39" s="599"/>
      <c r="Y39" s="598"/>
      <c r="Z39" s="598"/>
    </row>
    <row r="40" spans="1:26">
      <c r="A40" s="1732" t="s">
        <v>1440</v>
      </c>
      <c r="B40" s="1740"/>
      <c r="C40" s="1735">
        <f>+N15</f>
        <v>9.0641999999999996</v>
      </c>
      <c r="D40" s="1736">
        <f>R15</f>
        <v>6.3053999999999997</v>
      </c>
      <c r="F40" s="234"/>
      <c r="G40" s="388"/>
      <c r="H40" s="1659" t="s">
        <v>218</v>
      </c>
      <c r="I40" s="12">
        <v>10.029999999999999</v>
      </c>
      <c r="M40" s="1757" t="s">
        <v>4060</v>
      </c>
      <c r="N40" s="1727">
        <v>69563000</v>
      </c>
      <c r="O40" s="1727">
        <v>0</v>
      </c>
      <c r="P40" s="1727"/>
      <c r="R40" s="489"/>
      <c r="S40" s="489"/>
      <c r="T40" s="489"/>
      <c r="U40" s="489">
        <f>R38-R27</f>
        <v>35010000</v>
      </c>
      <c r="W40" s="599"/>
      <c r="X40" s="599"/>
      <c r="Y40" s="598"/>
      <c r="Z40" s="598"/>
    </row>
    <row r="41" spans="1:26" ht="13">
      <c r="A41" s="1732"/>
      <c r="B41" s="1740"/>
      <c r="C41" s="1740"/>
      <c r="D41" s="1744"/>
      <c r="G41" s="55"/>
      <c r="H41" s="12" t="s">
        <v>1554</v>
      </c>
      <c r="I41" s="12">
        <v>9.73</v>
      </c>
      <c r="M41" s="1727"/>
      <c r="N41" s="1756" t="s">
        <v>1100</v>
      </c>
      <c r="O41" s="1727"/>
      <c r="P41" s="1756">
        <f>SUM(P38:P40)</f>
        <v>90642000</v>
      </c>
      <c r="R41" s="489" t="s">
        <v>931</v>
      </c>
      <c r="S41" s="489"/>
      <c r="T41" s="489"/>
      <c r="U41" s="489">
        <f>(U40+R38)/2</f>
        <v>40010000</v>
      </c>
      <c r="W41" s="599"/>
      <c r="X41" s="599"/>
      <c r="Y41" s="598"/>
      <c r="Z41" s="598"/>
    </row>
    <row r="42" spans="1:26" ht="13">
      <c r="A42" s="1732" t="s">
        <v>1594</v>
      </c>
      <c r="B42" s="1740"/>
      <c r="C42" s="1738">
        <f>+C40+C31</f>
        <v>115.9038362</v>
      </c>
      <c r="D42" s="1739">
        <f>+D40+D31</f>
        <v>137.94412949770995</v>
      </c>
      <c r="G42" s="55"/>
      <c r="H42" s="12" t="s">
        <v>1284</v>
      </c>
      <c r="I42" s="12">
        <v>13.97</v>
      </c>
      <c r="M42" s="1727"/>
      <c r="N42" s="1727"/>
      <c r="O42" s="1727"/>
      <c r="P42" s="1727"/>
      <c r="W42" s="599"/>
      <c r="X42" s="599"/>
      <c r="Y42" s="598"/>
      <c r="Z42" s="598"/>
    </row>
    <row r="43" spans="1:26">
      <c r="A43" s="1732"/>
      <c r="B43" s="1740"/>
      <c r="C43" s="1740"/>
      <c r="D43" s="1744"/>
      <c r="G43" s="55"/>
      <c r="H43" s="12" t="s">
        <v>873</v>
      </c>
      <c r="I43" s="12">
        <v>24.49</v>
      </c>
      <c r="M43" s="1727"/>
      <c r="N43" s="1727"/>
      <c r="O43" s="1727"/>
      <c r="P43" s="1727"/>
      <c r="W43" s="599"/>
      <c r="X43" s="599"/>
      <c r="Y43" s="598"/>
      <c r="Z43" s="598"/>
    </row>
    <row r="44" spans="1:26" ht="13">
      <c r="A44" s="1732" t="s">
        <v>1595</v>
      </c>
      <c r="B44" s="1740"/>
      <c r="C44" s="1740"/>
      <c r="D44" s="1744"/>
      <c r="G44" s="55"/>
      <c r="H44" s="12" t="s">
        <v>945</v>
      </c>
      <c r="I44" s="12">
        <v>20.53</v>
      </c>
      <c r="M44" s="1727"/>
      <c r="N44" s="1727"/>
      <c r="O44" s="1727"/>
      <c r="P44" s="1755" t="s">
        <v>5482</v>
      </c>
      <c r="W44" s="599"/>
      <c r="X44" s="599"/>
      <c r="Y44" s="598"/>
      <c r="Z44" s="598"/>
    </row>
    <row r="45" spans="1:26">
      <c r="A45" s="1732"/>
      <c r="B45" s="1753" t="s">
        <v>5360</v>
      </c>
      <c r="C45" s="1735">
        <f>B22</f>
        <v>1081.877</v>
      </c>
      <c r="D45" s="1744"/>
      <c r="G45" s="55"/>
      <c r="H45" s="624" t="s">
        <v>946</v>
      </c>
      <c r="I45" s="12">
        <v>58.22</v>
      </c>
      <c r="M45" s="1727" t="s">
        <v>536</v>
      </c>
      <c r="N45" s="1727">
        <v>1500000</v>
      </c>
      <c r="O45" s="1727">
        <f>O31</f>
        <v>4</v>
      </c>
      <c r="P45" s="1727">
        <f>+O45*N45</f>
        <v>6000000</v>
      </c>
      <c r="W45" s="599"/>
      <c r="X45" s="599"/>
      <c r="Y45" s="598"/>
      <c r="Z45" s="598"/>
    </row>
    <row r="46" spans="1:26">
      <c r="A46" s="1732"/>
      <c r="B46" s="1754" t="s">
        <v>1597</v>
      </c>
      <c r="C46" s="1735">
        <f>+C27</f>
        <v>2.0267999999999997</v>
      </c>
      <c r="D46" s="1744"/>
      <c r="G46" s="55"/>
      <c r="H46" s="624" t="s">
        <v>947</v>
      </c>
      <c r="I46" s="12">
        <v>60.78</v>
      </c>
      <c r="J46" s="1895"/>
      <c r="M46" s="1727" t="s">
        <v>537</v>
      </c>
      <c r="N46" s="1727">
        <v>771000</v>
      </c>
      <c r="O46" s="1727">
        <f>O32</f>
        <v>74</v>
      </c>
      <c r="P46" s="1727">
        <f>+O46*N46</f>
        <v>57054000</v>
      </c>
      <c r="R46">
        <f>500*3</f>
        <v>1500</v>
      </c>
      <c r="W46" s="599"/>
      <c r="X46" s="599"/>
      <c r="Y46" s="598"/>
      <c r="Z46" s="598"/>
    </row>
    <row r="47" spans="1:26">
      <c r="A47" s="1732"/>
      <c r="B47" s="1754" t="s">
        <v>528</v>
      </c>
      <c r="C47" s="1735">
        <f>+C42</f>
        <v>115.9038362</v>
      </c>
      <c r="D47" s="1744"/>
      <c r="G47" s="55"/>
      <c r="H47" s="624" t="s">
        <v>1592</v>
      </c>
      <c r="I47" s="12">
        <v>68.81</v>
      </c>
      <c r="J47" s="1895"/>
      <c r="M47" s="1757" t="s">
        <v>4060</v>
      </c>
      <c r="N47" s="1727">
        <v>771000</v>
      </c>
      <c r="O47" s="1727">
        <v>0</v>
      </c>
      <c r="P47" s="1727">
        <f>+O47*N47</f>
        <v>0</v>
      </c>
      <c r="W47" s="599"/>
      <c r="X47" s="599"/>
      <c r="Y47" s="598"/>
      <c r="Z47" s="598"/>
    </row>
    <row r="48" spans="1:26" ht="25.5" customHeight="1">
      <c r="A48" s="79"/>
      <c r="B48" s="590" t="s">
        <v>5361</v>
      </c>
      <c r="C48" s="386">
        <f>+C45+C46-C47</f>
        <v>967.99996380000005</v>
      </c>
      <c r="D48" s="387"/>
      <c r="G48" s="55"/>
      <c r="H48" s="624" t="s">
        <v>3311</v>
      </c>
      <c r="I48" s="12">
        <v>55.66</v>
      </c>
      <c r="J48" s="1895"/>
      <c r="M48" s="1727"/>
      <c r="N48" s="1756" t="s">
        <v>1100</v>
      </c>
      <c r="O48" s="1727"/>
      <c r="P48" s="1756">
        <f>SUM(P45:P47)</f>
        <v>63054000</v>
      </c>
      <c r="W48" s="599"/>
      <c r="X48" s="599"/>
      <c r="Y48" s="598"/>
      <c r="Z48" s="598"/>
    </row>
    <row r="49" spans="1:26" ht="25.5" customHeight="1">
      <c r="A49" s="79"/>
      <c r="B49" s="590" t="s">
        <v>5362</v>
      </c>
      <c r="C49" s="386">
        <f>+C7</f>
        <v>1250.6799999999998</v>
      </c>
      <c r="D49" s="387"/>
      <c r="G49" s="55"/>
      <c r="H49" s="12" t="s">
        <v>1101</v>
      </c>
      <c r="I49" s="12">
        <f>SUM(I34:I48)</f>
        <v>367.48</v>
      </c>
      <c r="J49" s="1895"/>
      <c r="K49" s="234"/>
      <c r="M49" s="1758" t="s">
        <v>5338</v>
      </c>
      <c r="N49" s="1759"/>
      <c r="O49" s="1759"/>
      <c r="P49" s="1759"/>
      <c r="W49" s="599"/>
      <c r="X49" s="599"/>
      <c r="Y49" s="598"/>
      <c r="Z49" s="598"/>
    </row>
    <row r="50" spans="1:26" ht="25.5">
      <c r="A50" s="79"/>
      <c r="B50" s="423" t="s">
        <v>5363</v>
      </c>
      <c r="C50" s="396">
        <f>+C49-C48</f>
        <v>282.68003619999979</v>
      </c>
      <c r="D50" s="387"/>
      <c r="E50" s="234">
        <f>+C50*100</f>
        <v>28268.003619999978</v>
      </c>
      <c r="F50">
        <v>2280.5850049999999</v>
      </c>
      <c r="G50" s="55">
        <v>2</v>
      </c>
      <c r="H50" s="588" t="s">
        <v>3321</v>
      </c>
      <c r="I50" s="55">
        <f>ROUND((314363895+590200000)/10000000,2)</f>
        <v>90.46</v>
      </c>
      <c r="J50" s="1895"/>
      <c r="M50" s="1760" t="s">
        <v>3609</v>
      </c>
      <c r="N50" s="1727">
        <v>1000000</v>
      </c>
      <c r="O50" s="1727">
        <f>O25</f>
        <v>8</v>
      </c>
      <c r="P50" s="1727">
        <f>N50*O50</f>
        <v>8000000</v>
      </c>
      <c r="W50" s="599"/>
      <c r="X50" s="599"/>
      <c r="Y50" s="598"/>
      <c r="Z50" s="598"/>
    </row>
    <row r="51" spans="1:26" ht="25.5">
      <c r="A51" s="79"/>
      <c r="B51" s="590" t="s">
        <v>5364</v>
      </c>
      <c r="C51" s="1531">
        <f>O17</f>
        <v>150.02000000000001</v>
      </c>
      <c r="D51" s="387"/>
      <c r="G51" s="55">
        <v>3</v>
      </c>
      <c r="H51" s="23" t="s">
        <v>692</v>
      </c>
      <c r="I51" s="510">
        <f>P18</f>
        <v>0</v>
      </c>
      <c r="J51" s="18"/>
      <c r="M51" s="1760" t="s">
        <v>3610</v>
      </c>
      <c r="N51" s="1727">
        <v>700000</v>
      </c>
      <c r="O51" s="1727">
        <f>O26</f>
        <v>102</v>
      </c>
      <c r="P51" s="1727">
        <f>N51*O51</f>
        <v>71400000</v>
      </c>
      <c r="W51" s="599"/>
      <c r="X51" s="599"/>
      <c r="Y51" s="598"/>
      <c r="Z51" s="598"/>
    </row>
    <row r="52" spans="1:26" s="383" customFormat="1" ht="27" customHeight="1">
      <c r="A52" s="365"/>
      <c r="B52" s="591" t="s">
        <v>5130</v>
      </c>
      <c r="C52" s="391">
        <f>+C50-C51</f>
        <v>132.66003619999978</v>
      </c>
      <c r="D52" s="385"/>
      <c r="G52" s="55"/>
      <c r="H52" s="23" t="s">
        <v>693</v>
      </c>
      <c r="I52" s="388">
        <f>I49+I50+I51</f>
        <v>457.94</v>
      </c>
      <c r="J52" s="1895"/>
      <c r="M52" s="1727"/>
      <c r="N52" s="1756" t="s">
        <v>1100</v>
      </c>
      <c r="O52" s="1727"/>
      <c r="P52" s="1756">
        <f>SUM(P50:P51)</f>
        <v>79400000</v>
      </c>
      <c r="W52" s="1896"/>
      <c r="X52" s="599"/>
      <c r="Y52" s="598"/>
      <c r="Z52" s="598"/>
    </row>
    <row r="53" spans="1:26" ht="25.5">
      <c r="A53" s="79"/>
      <c r="B53" s="423" t="s">
        <v>5365</v>
      </c>
      <c r="C53" s="386"/>
      <c r="D53" s="387"/>
      <c r="G53" s="55" t="s">
        <v>694</v>
      </c>
      <c r="H53" s="588" t="s">
        <v>4046</v>
      </c>
      <c r="I53" s="389">
        <f>J17</f>
        <v>1250.6799999999998</v>
      </c>
      <c r="J53" s="1895"/>
      <c r="M53" s="1758" t="s">
        <v>6888</v>
      </c>
      <c r="N53" s="1759"/>
      <c r="O53" s="1759"/>
      <c r="P53" s="1759"/>
      <c r="W53" s="599"/>
      <c r="X53" s="599"/>
      <c r="Y53" s="598"/>
      <c r="Z53" s="598"/>
    </row>
    <row r="54" spans="1:26" ht="25">
      <c r="A54" s="79"/>
      <c r="B54" s="590" t="s">
        <v>4734</v>
      </c>
      <c r="C54" s="386">
        <f>P20</f>
        <v>1083.9038</v>
      </c>
      <c r="D54" s="387"/>
      <c r="G54" s="55" t="s">
        <v>695</v>
      </c>
      <c r="H54" s="23" t="s">
        <v>1273</v>
      </c>
      <c r="I54" s="389">
        <f>I53-I52</f>
        <v>792.73999999999978</v>
      </c>
      <c r="J54" s="1895"/>
      <c r="M54" s="1760" t="s">
        <v>3609</v>
      </c>
      <c r="N54" s="1727">
        <v>1200000</v>
      </c>
      <c r="O54" s="1727">
        <f>O31</f>
        <v>4</v>
      </c>
      <c r="P54" s="1727">
        <f>N54*O54</f>
        <v>4800000</v>
      </c>
      <c r="W54" s="599"/>
      <c r="X54" s="599"/>
      <c r="Y54" s="598"/>
      <c r="Z54" s="598"/>
    </row>
    <row r="55" spans="1:26" ht="25">
      <c r="A55" s="79"/>
      <c r="B55" s="75" t="s">
        <v>1565</v>
      </c>
      <c r="C55" s="386">
        <f>Q17</f>
        <v>2.1484079999999999</v>
      </c>
      <c r="D55" s="387"/>
      <c r="G55" s="55"/>
      <c r="H55" s="23"/>
      <c r="I55" s="389"/>
      <c r="J55" s="1895"/>
      <c r="M55" s="1760" t="s">
        <v>3610</v>
      </c>
      <c r="N55" s="1727">
        <v>900000</v>
      </c>
      <c r="O55" s="1727">
        <f>O32</f>
        <v>74</v>
      </c>
      <c r="P55" s="1727">
        <f>N55*O55</f>
        <v>66600000</v>
      </c>
      <c r="W55" s="599"/>
      <c r="X55" s="599"/>
      <c r="Y55" s="598"/>
      <c r="Z55" s="598"/>
    </row>
    <row r="56" spans="1:26" ht="13">
      <c r="A56" s="79"/>
      <c r="B56" s="75" t="s">
        <v>1566</v>
      </c>
      <c r="C56" s="484">
        <f>R17</f>
        <v>145.08412949770994</v>
      </c>
      <c r="D56" s="387"/>
      <c r="G56" s="602" t="s">
        <v>543</v>
      </c>
      <c r="H56" s="592" t="s">
        <v>4047</v>
      </c>
      <c r="I56" s="1897">
        <v>0</v>
      </c>
      <c r="J56" s="1895"/>
      <c r="M56" s="1727"/>
      <c r="N56" s="1756" t="s">
        <v>1100</v>
      </c>
      <c r="O56" s="1727"/>
      <c r="P56" s="1756">
        <f>SUM(P54:P55)</f>
        <v>71400000</v>
      </c>
      <c r="W56" s="599"/>
      <c r="X56" s="599"/>
      <c r="Y56" s="598"/>
      <c r="Z56" s="598"/>
    </row>
    <row r="57" spans="1:26">
      <c r="A57" s="79"/>
      <c r="B57" s="590" t="s">
        <v>4734</v>
      </c>
      <c r="C57" s="386">
        <f>+C54+C55-C56</f>
        <v>940.96807850229015</v>
      </c>
      <c r="D57" s="387"/>
      <c r="G57" s="55"/>
      <c r="H57" s="12"/>
      <c r="I57" s="12"/>
      <c r="J57" s="1895"/>
      <c r="W57" s="599"/>
      <c r="X57" s="599"/>
      <c r="Y57" s="598"/>
      <c r="Z57" s="598"/>
    </row>
    <row r="58" spans="1:26" ht="26">
      <c r="A58" s="79"/>
      <c r="B58" s="590" t="s">
        <v>4760</v>
      </c>
      <c r="C58" s="386">
        <f>+D7</f>
        <v>1266.1600000000001</v>
      </c>
      <c r="D58" s="387"/>
      <c r="G58" s="24" t="s">
        <v>544</v>
      </c>
      <c r="H58" s="58" t="s">
        <v>4048</v>
      </c>
      <c r="I58" s="390">
        <f>I28+I56</f>
        <v>158.41572149771014</v>
      </c>
      <c r="J58" s="1895"/>
      <c r="W58" s="599"/>
      <c r="X58" s="599"/>
      <c r="Y58" s="598"/>
      <c r="Z58" s="598"/>
    </row>
    <row r="59" spans="1:26" ht="26">
      <c r="A59" s="79"/>
      <c r="B59" s="93" t="s">
        <v>4735</v>
      </c>
      <c r="C59" s="396">
        <f>+C58-C57</f>
        <v>325.19192149770993</v>
      </c>
      <c r="D59" s="387"/>
      <c r="E59">
        <f>+C59*100</f>
        <v>32519.192149770992</v>
      </c>
      <c r="F59">
        <v>2280.59</v>
      </c>
      <c r="J59" s="1895"/>
      <c r="W59" s="599"/>
      <c r="X59" s="599"/>
      <c r="Y59" s="598"/>
      <c r="Z59" s="598"/>
    </row>
    <row r="60" spans="1:26" ht="13">
      <c r="A60" s="79"/>
      <c r="B60" s="604" t="s">
        <v>994</v>
      </c>
      <c r="C60" s="605">
        <f>159.41/7*5</f>
        <v>113.8642857142857</v>
      </c>
      <c r="D60" s="387"/>
      <c r="G60" s="1898"/>
      <c r="H60" s="608"/>
      <c r="I60" s="1264"/>
      <c r="J60" s="1895"/>
      <c r="W60" s="599"/>
      <c r="X60" s="599"/>
      <c r="Y60" s="598"/>
      <c r="Z60" s="598"/>
    </row>
    <row r="61" spans="1:26" ht="26.5" thickBot="1">
      <c r="A61" s="326"/>
      <c r="B61" s="495" t="s">
        <v>1345</v>
      </c>
      <c r="C61" s="508">
        <v>16.22</v>
      </c>
      <c r="D61" s="392"/>
      <c r="G61" s="1898"/>
      <c r="H61" s="608"/>
      <c r="I61" s="1264"/>
      <c r="J61" s="1895"/>
      <c r="W61" s="599"/>
      <c r="X61" s="599"/>
      <c r="Y61" s="598"/>
      <c r="Z61" s="598"/>
    </row>
    <row r="62" spans="1:26" ht="13">
      <c r="B62" s="141"/>
      <c r="C62" s="500">
        <f>SUM(C59:C61)</f>
        <v>455.2762072119956</v>
      </c>
      <c r="G62" s="1898"/>
      <c r="H62" s="608"/>
      <c r="I62" s="1264"/>
      <c r="J62" s="1895"/>
      <c r="V62" s="599"/>
      <c r="W62" s="599"/>
      <c r="X62" s="599"/>
      <c r="Y62" s="598"/>
      <c r="Z62" s="598"/>
    </row>
    <row r="63" spans="1:26" ht="13">
      <c r="B63" s="141"/>
      <c r="G63" s="1898"/>
      <c r="H63" s="608"/>
      <c r="I63" s="1264"/>
      <c r="J63" s="1895"/>
      <c r="V63" s="599"/>
      <c r="W63" s="599"/>
      <c r="X63" s="599"/>
      <c r="Y63" s="598"/>
      <c r="Z63" s="598"/>
    </row>
    <row r="64" spans="1:26" ht="13">
      <c r="G64" s="1898"/>
      <c r="H64" s="608"/>
      <c r="I64" s="1264"/>
      <c r="J64" s="1895"/>
      <c r="V64" s="599"/>
      <c r="W64" s="599"/>
      <c r="X64" s="599"/>
      <c r="Y64" s="598"/>
      <c r="Z64" s="598"/>
    </row>
    <row r="65" spans="2:26" ht="13">
      <c r="G65" s="1898"/>
      <c r="H65" s="608"/>
      <c r="I65" s="1264"/>
      <c r="J65" s="1895"/>
      <c r="V65" s="599"/>
      <c r="W65" s="599"/>
      <c r="X65" s="599"/>
      <c r="Y65" s="598"/>
      <c r="Z65" s="598"/>
    </row>
    <row r="66" spans="2:26" ht="13">
      <c r="B66" s="493"/>
      <c r="C66" s="494"/>
      <c r="G66" s="1898"/>
      <c r="H66" s="608"/>
      <c r="I66" s="1264"/>
      <c r="J66" s="1895"/>
      <c r="V66" s="599"/>
      <c r="W66" s="599"/>
      <c r="X66" s="599"/>
      <c r="Y66" s="598"/>
      <c r="Z66" s="598"/>
    </row>
    <row r="67" spans="2:26" ht="13">
      <c r="B67" s="493"/>
      <c r="C67" s="494"/>
      <c r="G67" s="1898"/>
      <c r="H67" s="608"/>
      <c r="I67" s="1264"/>
      <c r="J67" s="1895"/>
    </row>
    <row r="68" spans="2:26" ht="13">
      <c r="B68" s="493"/>
      <c r="C68" s="494"/>
      <c r="G68" s="1898"/>
      <c r="H68" s="608"/>
      <c r="I68" s="1264"/>
      <c r="J68" s="1895"/>
    </row>
    <row r="69" spans="2:26" ht="13">
      <c r="B69" s="493"/>
      <c r="C69" s="494"/>
      <c r="G69" s="1898"/>
      <c r="H69" s="608"/>
      <c r="I69" s="1264"/>
      <c r="J69" s="1895"/>
    </row>
    <row r="70" spans="2:26" ht="13">
      <c r="B70" s="493"/>
      <c r="C70" s="494"/>
      <c r="G70" s="1898"/>
      <c r="H70" s="608"/>
      <c r="I70" s="1264"/>
      <c r="J70" s="1895"/>
    </row>
    <row r="71" spans="2:26" ht="13.5" customHeight="1">
      <c r="B71" s="393"/>
      <c r="G71" s="1898"/>
      <c r="H71" s="608"/>
      <c r="I71" s="1264"/>
      <c r="J71" s="18"/>
    </row>
    <row r="72" spans="2:26" ht="13">
      <c r="G72" s="1898"/>
      <c r="H72" s="608"/>
      <c r="I72" s="1264"/>
      <c r="J72" s="18"/>
    </row>
    <row r="73" spans="2:26" ht="13.5" customHeight="1">
      <c r="B73" s="393"/>
      <c r="G73" s="1898"/>
      <c r="H73" s="1895"/>
      <c r="I73" s="1899"/>
      <c r="J73" s="608"/>
    </row>
    <row r="74" spans="2:26" ht="13">
      <c r="G74" s="1898"/>
      <c r="H74" s="3546"/>
      <c r="I74" s="3546"/>
      <c r="J74" s="608"/>
    </row>
    <row r="75" spans="2:26" ht="13">
      <c r="G75" s="1898"/>
      <c r="H75" s="3546"/>
      <c r="I75" s="3546"/>
      <c r="J75" s="608"/>
    </row>
    <row r="76" spans="2:26" ht="13">
      <c r="G76" s="1900"/>
      <c r="H76" s="3547"/>
      <c r="I76" s="3547"/>
      <c r="J76" s="3539"/>
    </row>
    <row r="77" spans="2:26" ht="13">
      <c r="G77" s="1900"/>
      <c r="H77" s="3547"/>
      <c r="I77" s="3547"/>
      <c r="J77" s="3539"/>
    </row>
    <row r="78" spans="2:26" ht="13">
      <c r="G78" s="1900"/>
      <c r="H78" s="3548"/>
      <c r="I78" s="3548"/>
      <c r="J78" s="3539"/>
    </row>
    <row r="79" spans="2:26" ht="13">
      <c r="G79" s="3539"/>
      <c r="H79" s="3539"/>
      <c r="I79" s="3539"/>
      <c r="J79" s="3539"/>
    </row>
    <row r="80" spans="2:26" ht="13">
      <c r="G80" s="3539"/>
      <c r="H80" s="3539"/>
      <c r="I80" s="3539"/>
      <c r="J80" s="3539"/>
    </row>
    <row r="81" spans="7:9" ht="13">
      <c r="G81" s="3539"/>
      <c r="H81" s="3539"/>
      <c r="I81" s="3539"/>
    </row>
    <row r="82" spans="7:9" ht="13">
      <c r="G82" s="3539"/>
      <c r="H82" s="3540"/>
      <c r="I82" s="3540"/>
    </row>
    <row r="83" spans="7:9" ht="13">
      <c r="G83" s="3539"/>
      <c r="H83" s="3540"/>
      <c r="I83" s="3540"/>
    </row>
    <row r="84" spans="7:9" ht="15.5">
      <c r="G84" s="1901"/>
    </row>
  </sheetData>
  <mergeCells count="16">
    <mergeCell ref="M23:O23"/>
    <mergeCell ref="H81:I81"/>
    <mergeCell ref="H74:I74"/>
    <mergeCell ref="H75:I75"/>
    <mergeCell ref="H76:I76"/>
    <mergeCell ref="J76:J78"/>
    <mergeCell ref="H77:I77"/>
    <mergeCell ref="H78:I78"/>
    <mergeCell ref="H79:I79"/>
    <mergeCell ref="H80:I80"/>
    <mergeCell ref="G82:G83"/>
    <mergeCell ref="H82:I82"/>
    <mergeCell ref="H83:I83"/>
    <mergeCell ref="D25:D26"/>
    <mergeCell ref="J79:J80"/>
    <mergeCell ref="G79:G81"/>
  </mergeCells>
  <phoneticPr fontId="63" type="noConversion"/>
  <pageMargins left="0.75" right="0.75" top="1" bottom="1" header="0.5" footer="0.5"/>
  <pageSetup scale="6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68"/>
  <sheetViews>
    <sheetView topLeftCell="A13" zoomScale="66" zoomScaleNormal="66" workbookViewId="0">
      <selection activeCell="F35" sqref="F35"/>
    </sheetView>
  </sheetViews>
  <sheetFormatPr defaultColWidth="9.1796875" defaultRowHeight="13"/>
  <cols>
    <col min="1" max="1" width="65.81640625" style="885" customWidth="1"/>
    <col min="2" max="2" width="18.453125" style="885" customWidth="1"/>
    <col min="3" max="3" width="24.453125" style="569" customWidth="1"/>
    <col min="4" max="4" width="22.26953125" style="569" customWidth="1"/>
    <col min="5" max="5" width="21.453125" style="581" customWidth="1"/>
    <col min="6" max="6" width="20.26953125" style="885" customWidth="1"/>
    <col min="7" max="7" width="17.81640625" style="885" bestFit="1" customWidth="1"/>
    <col min="8" max="8" width="16.453125" style="885" bestFit="1" customWidth="1"/>
    <col min="9" max="9" width="12.26953125" style="885" bestFit="1" customWidth="1"/>
    <col min="10" max="16384" width="9.1796875" style="885"/>
  </cols>
  <sheetData>
    <row r="1" spans="1:8" ht="22.5" customHeight="1">
      <c r="A1" s="3193" t="s">
        <v>7155</v>
      </c>
      <c r="B1" s="3194"/>
      <c r="C1" s="3194"/>
      <c r="D1" s="3194"/>
      <c r="E1" s="3195"/>
    </row>
    <row r="2" spans="1:8" ht="6.75" customHeight="1">
      <c r="A2" s="3196"/>
      <c r="B2" s="3197"/>
      <c r="C2" s="3197"/>
      <c r="D2" s="3197"/>
      <c r="E2" s="3198"/>
    </row>
    <row r="3" spans="1:8" ht="18" customHeight="1">
      <c r="A3" s="3199" t="s">
        <v>7989</v>
      </c>
      <c r="B3" s="3200"/>
      <c r="C3" s="3200"/>
      <c r="D3" s="3200"/>
      <c r="E3" s="3201"/>
    </row>
    <row r="4" spans="1:8" ht="25.5" customHeight="1" thickBot="1">
      <c r="A4" s="886"/>
      <c r="B4" s="887"/>
      <c r="C4" s="560"/>
      <c r="D4" s="560"/>
      <c r="E4" s="561"/>
      <c r="G4" s="1609"/>
    </row>
    <row r="5" spans="1:8" ht="15.5">
      <c r="A5" s="3202" t="s">
        <v>1074</v>
      </c>
      <c r="B5" s="888" t="s">
        <v>1643</v>
      </c>
      <c r="C5" s="2812"/>
      <c r="D5" s="2813" t="s">
        <v>7932</v>
      </c>
      <c r="E5" s="2814" t="s">
        <v>5468</v>
      </c>
    </row>
    <row r="6" spans="1:8" ht="13.5" thickBot="1">
      <c r="A6" s="3203"/>
      <c r="B6" s="889" t="s">
        <v>718</v>
      </c>
      <c r="C6" s="536" t="s">
        <v>1645</v>
      </c>
      <c r="D6" s="537" t="s">
        <v>1645</v>
      </c>
      <c r="E6" s="562" t="s">
        <v>1645</v>
      </c>
    </row>
    <row r="7" spans="1:8" ht="13.5" thickTop="1">
      <c r="A7" s="890"/>
      <c r="B7" s="891"/>
      <c r="C7" s="892"/>
      <c r="D7" s="893"/>
      <c r="E7" s="576"/>
    </row>
    <row r="8" spans="1:8" ht="17.5">
      <c r="A8" s="894" t="s">
        <v>1647</v>
      </c>
      <c r="B8" s="895"/>
      <c r="C8" s="572"/>
      <c r="D8" s="547"/>
      <c r="E8" s="540"/>
    </row>
    <row r="9" spans="1:8" ht="13.5">
      <c r="A9" s="895"/>
      <c r="B9" s="895"/>
      <c r="C9" s="572"/>
      <c r="D9" s="547"/>
      <c r="E9" s="540"/>
    </row>
    <row r="10" spans="1:8" ht="17.5">
      <c r="A10" s="894" t="s">
        <v>1648</v>
      </c>
      <c r="B10" s="895"/>
      <c r="C10" s="572"/>
      <c r="D10" s="547"/>
      <c r="E10" s="540"/>
    </row>
    <row r="11" spans="1:8" ht="16.5" customHeight="1">
      <c r="A11" s="896" t="s">
        <v>1649</v>
      </c>
      <c r="B11" s="897">
        <v>1</v>
      </c>
      <c r="C11" s="583">
        <f>'OERC 1 &amp; 2'!C23</f>
        <v>2479400000</v>
      </c>
      <c r="D11" s="542"/>
      <c r="E11" s="543">
        <f>'OERC 1 &amp; 2'!E23</f>
        <v>2000000000</v>
      </c>
      <c r="G11" s="1768"/>
      <c r="H11" s="1768"/>
    </row>
    <row r="12" spans="1:8" ht="16.5" customHeight="1">
      <c r="A12" s="896" t="s">
        <v>7992</v>
      </c>
      <c r="B12" s="897" t="s">
        <v>7612</v>
      </c>
      <c r="C12" s="583">
        <f>'OERC 1 &amp; 2'!C34</f>
        <v>224054838.58000001</v>
      </c>
      <c r="D12" s="542"/>
      <c r="E12" s="543">
        <f>'OERC 1 &amp; 2'!E34</f>
        <v>0</v>
      </c>
      <c r="G12" s="1768"/>
      <c r="H12" s="1768"/>
    </row>
    <row r="13" spans="1:8" ht="18" customHeight="1" thickBot="1">
      <c r="A13" s="896" t="s">
        <v>1650</v>
      </c>
      <c r="B13" s="897">
        <v>2</v>
      </c>
      <c r="C13" s="1608">
        <f>'OERC 1 &amp; 2'!C80</f>
        <v>1106289704.0999999</v>
      </c>
      <c r="D13" s="542"/>
      <c r="E13" s="563">
        <f>'OERC 1 &amp; 2'!E80</f>
        <v>1481479972.0999999</v>
      </c>
      <c r="G13" s="1768"/>
      <c r="H13" s="1768"/>
    </row>
    <row r="14" spans="1:8" ht="18">
      <c r="A14" s="896"/>
      <c r="B14" s="900"/>
      <c r="C14" s="541"/>
      <c r="D14" s="542">
        <f>C11+C12+C13</f>
        <v>3809744542.6799998</v>
      </c>
      <c r="E14" s="543">
        <f>E11+E13</f>
        <v>3481479972.0999999</v>
      </c>
      <c r="G14" s="1768"/>
      <c r="H14" s="1768"/>
    </row>
    <row r="15" spans="1:8" ht="17.5">
      <c r="A15" s="894" t="s">
        <v>1651</v>
      </c>
      <c r="B15" s="900"/>
      <c r="C15" s="541"/>
      <c r="D15" s="542"/>
      <c r="E15" s="543"/>
      <c r="G15" s="1768"/>
      <c r="H15" s="1768"/>
    </row>
    <row r="16" spans="1:8" ht="18.75" customHeight="1">
      <c r="A16" s="896" t="s">
        <v>8101</v>
      </c>
      <c r="B16" s="897">
        <v>3</v>
      </c>
      <c r="C16" s="541"/>
      <c r="D16" s="542">
        <f>'OERC 3'!D48</f>
        <v>3402020897.29</v>
      </c>
      <c r="E16" s="543">
        <f>'OERC 3'!E48</f>
        <v>858750186.99999976</v>
      </c>
      <c r="G16" s="1768"/>
      <c r="H16" s="1768"/>
    </row>
    <row r="17" spans="1:9" ht="4.5" customHeight="1">
      <c r="A17" s="896"/>
      <c r="B17" s="897"/>
      <c r="C17" s="541"/>
      <c r="D17" s="542"/>
      <c r="E17" s="543"/>
      <c r="G17" s="1768"/>
      <c r="H17" s="1768"/>
    </row>
    <row r="18" spans="1:9" ht="15.75" customHeight="1">
      <c r="A18" s="894" t="s">
        <v>1652</v>
      </c>
      <c r="B18" s="897"/>
      <c r="C18" s="541"/>
      <c r="D18" s="542"/>
      <c r="E18" s="543"/>
      <c r="G18" s="1768"/>
      <c r="H18" s="1768"/>
    </row>
    <row r="19" spans="1:9" ht="17.25" customHeight="1">
      <c r="A19" s="896" t="s">
        <v>3572</v>
      </c>
      <c r="B19" s="897">
        <v>4</v>
      </c>
      <c r="C19" s="541"/>
      <c r="D19" s="582">
        <f>'OERC 4,5,7,8'!D12</f>
        <v>3070179332.6599998</v>
      </c>
      <c r="E19" s="543">
        <f>'OERC 4,5,7,8'!E12</f>
        <v>2729246443.4700003</v>
      </c>
      <c r="G19" s="1768"/>
      <c r="H19" s="1768"/>
    </row>
    <row r="20" spans="1:9" ht="17.25" customHeight="1">
      <c r="A20" s="896" t="s">
        <v>1653</v>
      </c>
      <c r="B20" s="897">
        <v>5</v>
      </c>
      <c r="C20" s="541"/>
      <c r="D20" s="582">
        <f>'OERC 4,5,7,8'!D22</f>
        <v>2163895223.7600002</v>
      </c>
      <c r="E20" s="543">
        <f>'OERC 4,5,7,8'!E22</f>
        <v>2287322308.4400001</v>
      </c>
      <c r="G20" s="1768"/>
      <c r="H20" s="1768"/>
    </row>
    <row r="21" spans="1:9" ht="15.75" customHeight="1">
      <c r="A21" s="896"/>
      <c r="B21" s="897"/>
      <c r="C21" s="541"/>
      <c r="D21" s="542"/>
      <c r="E21" s="543"/>
      <c r="G21" s="1768"/>
      <c r="H21" s="1768"/>
    </row>
    <row r="22" spans="1:9" ht="18.5" thickBot="1">
      <c r="A22" s="896"/>
      <c r="B22" s="900"/>
      <c r="C22" s="541"/>
      <c r="D22" s="544">
        <f>+D14+D16+D19+D20</f>
        <v>12445839996.389999</v>
      </c>
      <c r="E22" s="901">
        <f>+E14+E16+E19+E20</f>
        <v>9356798911.0100002</v>
      </c>
      <c r="G22" s="1768"/>
      <c r="H22" s="1768"/>
    </row>
    <row r="23" spans="1:9" ht="18" thickTop="1">
      <c r="A23" s="894" t="s">
        <v>1654</v>
      </c>
      <c r="B23" s="900"/>
      <c r="C23" s="541"/>
      <c r="D23" s="542"/>
      <c r="E23" s="543"/>
      <c r="G23" s="1768"/>
      <c r="H23" s="1768"/>
    </row>
    <row r="24" spans="1:9" ht="7.5" customHeight="1">
      <c r="A24" s="896"/>
      <c r="B24" s="900"/>
      <c r="C24" s="541"/>
      <c r="D24" s="542"/>
      <c r="E24" s="543"/>
      <c r="G24" s="1768"/>
      <c r="H24" s="1768"/>
    </row>
    <row r="25" spans="1:9" ht="17.5">
      <c r="A25" s="894" t="s">
        <v>1655</v>
      </c>
      <c r="B25" s="897">
        <v>6</v>
      </c>
      <c r="C25" s="541"/>
      <c r="D25" s="542"/>
      <c r="E25" s="543"/>
      <c r="G25" s="1768"/>
      <c r="H25" s="1768"/>
    </row>
    <row r="26" spans="1:9" ht="15.75" customHeight="1">
      <c r="A26" s="896" t="s">
        <v>1656</v>
      </c>
      <c r="B26" s="902"/>
      <c r="C26" s="541">
        <f>'OERC 6'!E23+'OERC 6'!E33</f>
        <v>11869138740.069998</v>
      </c>
      <c r="D26" s="542"/>
      <c r="E26" s="2449">
        <f>'OERC 6'!E59</f>
        <v>10005948137.539999</v>
      </c>
      <c r="G26" s="1768"/>
      <c r="H26" s="1768"/>
    </row>
    <row r="27" spans="1:9" ht="3.75" customHeight="1">
      <c r="A27" s="896"/>
      <c r="B27" s="900"/>
      <c r="C27" s="541"/>
      <c r="D27" s="542"/>
      <c r="E27" s="543"/>
      <c r="G27" s="1768"/>
      <c r="H27" s="1768"/>
    </row>
    <row r="28" spans="1:9" ht="18.5" thickBot="1">
      <c r="A28" s="896" t="s">
        <v>3573</v>
      </c>
      <c r="B28" s="902"/>
      <c r="C28" s="898">
        <f>'OERC 6'!Q23+'OERC 6'!Q33</f>
        <v>4026285593.6400003</v>
      </c>
      <c r="D28" s="542"/>
      <c r="E28" s="563">
        <f>'OERC 6'!Q59</f>
        <v>3619515709.9500003</v>
      </c>
      <c r="G28" s="1768"/>
      <c r="H28" s="1768"/>
      <c r="I28" s="899">
        <f>C28-G28</f>
        <v>4026285593.6400003</v>
      </c>
    </row>
    <row r="29" spans="1:9" ht="18" customHeight="1">
      <c r="A29" s="896" t="s">
        <v>1657</v>
      </c>
      <c r="B29" s="902"/>
      <c r="C29" s="541">
        <f>C26-C28</f>
        <v>7842853146.4299974</v>
      </c>
      <c r="D29" s="542"/>
      <c r="E29" s="543">
        <f>E26-E28</f>
        <v>6386432427.5899982</v>
      </c>
      <c r="G29" s="1768"/>
      <c r="H29" s="1768"/>
    </row>
    <row r="30" spans="1:9" ht="10.5" customHeight="1">
      <c r="A30" s="896"/>
      <c r="B30" s="900"/>
      <c r="C30" s="541"/>
      <c r="D30" s="542"/>
      <c r="E30" s="543"/>
      <c r="G30" s="1768"/>
      <c r="H30" s="1768"/>
    </row>
    <row r="31" spans="1:9" ht="18" thickBot="1">
      <c r="A31" s="894" t="s">
        <v>1658</v>
      </c>
      <c r="B31" s="897">
        <v>7</v>
      </c>
      <c r="C31" s="898">
        <f>'OERC 4,5,7,8'!D39</f>
        <v>798726609.44999981</v>
      </c>
      <c r="D31" s="542"/>
      <c r="E31" s="2450">
        <f>'OERC 4,5,7,8'!E39</f>
        <v>786332102.9799999</v>
      </c>
      <c r="F31" s="899"/>
      <c r="G31" s="1768"/>
      <c r="H31" s="1768"/>
    </row>
    <row r="32" spans="1:9" ht="18" customHeight="1">
      <c r="A32" s="896"/>
      <c r="B32" s="900"/>
      <c r="C32" s="541"/>
      <c r="D32" s="542">
        <f>+C29+C31</f>
        <v>8641579755.8799973</v>
      </c>
      <c r="E32" s="543">
        <f>E29+E31</f>
        <v>7172764530.5699978</v>
      </c>
      <c r="G32" s="1768"/>
      <c r="H32" s="1768"/>
    </row>
    <row r="33" spans="1:8" ht="6" customHeight="1">
      <c r="A33" s="896"/>
      <c r="B33" s="900"/>
      <c r="C33" s="541"/>
      <c r="D33" s="542"/>
      <c r="E33" s="543"/>
      <c r="G33" s="1768"/>
      <c r="H33" s="1768"/>
    </row>
    <row r="34" spans="1:8" ht="17.25" customHeight="1">
      <c r="A34" s="894" t="s">
        <v>1659</v>
      </c>
      <c r="B34" s="897"/>
      <c r="C34" s="541"/>
      <c r="D34" s="542"/>
      <c r="E34" s="543"/>
      <c r="G34" s="1768"/>
      <c r="H34" s="1768"/>
    </row>
    <row r="35" spans="1:8" ht="18.75" customHeight="1">
      <c r="A35" s="896" t="s">
        <v>1660</v>
      </c>
      <c r="B35" s="897">
        <v>8</v>
      </c>
      <c r="C35" s="541">
        <f>'OERC 4,5,7,8'!D62</f>
        <v>5361655781.6899986</v>
      </c>
      <c r="D35" s="542"/>
      <c r="E35" s="543">
        <f>'OERC 4,5,7,8'!E62</f>
        <v>2791861996.3000002</v>
      </c>
      <c r="G35" s="1768"/>
      <c r="H35" s="1768"/>
    </row>
    <row r="36" spans="1:8" ht="18.75" customHeight="1">
      <c r="A36" s="896" t="s">
        <v>1661</v>
      </c>
      <c r="B36" s="897">
        <v>9</v>
      </c>
      <c r="C36" s="541">
        <f>'OERC 09 ,10 &amp; 11'!D11</f>
        <v>283023005.34999996</v>
      </c>
      <c r="D36" s="542"/>
      <c r="E36" s="543">
        <f>'OERC 09 ,10 &amp; 11'!E11</f>
        <v>82519512.059999987</v>
      </c>
      <c r="G36" s="1768"/>
      <c r="H36" s="1768"/>
    </row>
    <row r="37" spans="1:8" ht="18.75" customHeight="1">
      <c r="A37" s="896" t="s">
        <v>1662</v>
      </c>
      <c r="B37" s="897">
        <v>10</v>
      </c>
      <c r="C37" s="541">
        <f>'OERC 09 ,10 &amp; 11'!D28</f>
        <v>6309827056.0699949</v>
      </c>
      <c r="D37" s="542"/>
      <c r="E37" s="543">
        <f>'OERC 09 ,10 &amp; 11'!E28</f>
        <v>5134703927.8899965</v>
      </c>
      <c r="G37" s="1768"/>
      <c r="H37" s="1768"/>
    </row>
    <row r="38" spans="1:8" ht="18.75" customHeight="1">
      <c r="A38" s="896" t="s">
        <v>1663</v>
      </c>
      <c r="B38" s="897">
        <v>11</v>
      </c>
      <c r="C38" s="541">
        <f>'OERC 09 ,10 &amp; 11'!D66</f>
        <v>2299994784.1999998</v>
      </c>
      <c r="D38" s="542"/>
      <c r="E38" s="543">
        <f>'OERC 09 ,10 &amp; 11'!E66</f>
        <v>1372261807.6900001</v>
      </c>
      <c r="G38" s="1768"/>
      <c r="H38" s="1768"/>
    </row>
    <row r="39" spans="1:8" ht="18.5" thickBot="1">
      <c r="A39" s="896"/>
      <c r="B39" s="897"/>
      <c r="C39" s="903">
        <f>C35+C36+C37+C38</f>
        <v>14254500627.309994</v>
      </c>
      <c r="D39" s="542"/>
      <c r="E39" s="564">
        <f>+E35+E36+E37+E38+0.18</f>
        <v>9381347244.119997</v>
      </c>
      <c r="G39" s="1768"/>
      <c r="H39" s="1768"/>
    </row>
    <row r="40" spans="1:8" ht="10.5" customHeight="1">
      <c r="A40" s="896"/>
      <c r="B40" s="897"/>
      <c r="C40" s="541"/>
      <c r="D40" s="542"/>
      <c r="E40" s="543"/>
      <c r="G40" s="1768"/>
      <c r="H40" s="1768"/>
    </row>
    <row r="41" spans="1:8" ht="18" customHeight="1">
      <c r="A41" s="896" t="s">
        <v>1664</v>
      </c>
      <c r="B41" s="897"/>
      <c r="C41" s="541"/>
      <c r="D41" s="542"/>
      <c r="E41" s="543"/>
      <c r="G41" s="1768"/>
      <c r="H41" s="1768"/>
    </row>
    <row r="42" spans="1:8" ht="18" customHeight="1">
      <c r="A42" s="896" t="s">
        <v>1665</v>
      </c>
      <c r="B42" s="897">
        <v>12</v>
      </c>
      <c r="C42" s="541">
        <f>'OERC 12 &amp; 13'!D38</f>
        <v>9000020268.0499992</v>
      </c>
      <c r="D42" s="542"/>
      <c r="E42" s="543">
        <f>'OERC 12 &amp; 13'!E38</f>
        <v>6742432512.3299999</v>
      </c>
      <c r="G42" s="1768"/>
      <c r="H42" s="1768"/>
    </row>
    <row r="43" spans="1:8" ht="18" customHeight="1">
      <c r="A43" s="896" t="s">
        <v>1666</v>
      </c>
      <c r="B43" s="897"/>
      <c r="C43" s="541">
        <f>'OERC 12 &amp; 13'!D47+'OERC 12 &amp; 13'!D49</f>
        <v>759880507.96000004</v>
      </c>
      <c r="D43" s="542"/>
      <c r="E43" s="543">
        <f>'OERC 12 &amp; 13'!E47+'OERC 12 &amp; 13'!E49</f>
        <v>230825512.59</v>
      </c>
      <c r="G43" s="1768"/>
      <c r="H43" s="1768"/>
    </row>
    <row r="44" spans="1:8" ht="18.5" thickBot="1">
      <c r="A44" s="896"/>
      <c r="B44" s="900"/>
      <c r="C44" s="903">
        <f>+C42+C43</f>
        <v>9759900776.0099983</v>
      </c>
      <c r="D44" s="542"/>
      <c r="E44" s="564">
        <f>E42+E43</f>
        <v>6973258024.9200001</v>
      </c>
      <c r="G44" s="1768"/>
      <c r="H44" s="1768"/>
    </row>
    <row r="45" spans="1:8" ht="32.25" customHeight="1">
      <c r="A45" s="894" t="s">
        <v>1667</v>
      </c>
      <c r="B45" s="900"/>
      <c r="C45" s="541"/>
      <c r="D45" s="542">
        <f>+C39-C44</f>
        <v>4494599851.2999954</v>
      </c>
      <c r="E45" s="543">
        <f>+E39-E44</f>
        <v>2408089219.1999969</v>
      </c>
      <c r="G45" s="1768"/>
      <c r="H45" s="1768"/>
    </row>
    <row r="46" spans="1:8" ht="9.75" customHeight="1">
      <c r="A46" s="896"/>
      <c r="B46" s="900"/>
      <c r="C46" s="541"/>
      <c r="D46" s="542"/>
      <c r="E46" s="543"/>
      <c r="G46" s="1768"/>
      <c r="H46" s="1768"/>
    </row>
    <row r="47" spans="1:8" ht="2.25" customHeight="1">
      <c r="A47" s="896"/>
      <c r="B47" s="900"/>
      <c r="C47" s="541"/>
      <c r="D47" s="542"/>
      <c r="E47" s="543"/>
      <c r="G47" s="1768"/>
      <c r="H47" s="1768"/>
    </row>
    <row r="48" spans="1:8" ht="17.5">
      <c r="A48" s="894" t="s">
        <v>5523</v>
      </c>
      <c r="B48" s="900"/>
      <c r="C48" s="541"/>
      <c r="D48" s="582">
        <f>-PL!F39</f>
        <v>-690339610.77999783</v>
      </c>
      <c r="E48" s="543">
        <f>-PL!G39</f>
        <v>-224054838.57999974</v>
      </c>
      <c r="G48" s="1768"/>
      <c r="H48" s="1768"/>
    </row>
    <row r="49" spans="1:9" ht="16.5">
      <c r="A49" s="895"/>
      <c r="B49" s="900"/>
      <c r="C49" s="541"/>
      <c r="D49" s="542"/>
      <c r="E49" s="543"/>
      <c r="G49" s="1768"/>
      <c r="H49" s="1768"/>
    </row>
    <row r="50" spans="1:9" ht="17" thickBot="1">
      <c r="A50" s="895"/>
      <c r="B50" s="900"/>
      <c r="C50" s="541"/>
      <c r="D50" s="544">
        <f>D32+D45+D48</f>
        <v>12445839996.399994</v>
      </c>
      <c r="E50" s="901">
        <f>E32+E45+E48</f>
        <v>9356798911.1899948</v>
      </c>
      <c r="F50" s="899">
        <f>E50-E22</f>
        <v>0.17999458312988281</v>
      </c>
      <c r="G50" s="1768"/>
      <c r="H50" s="1768"/>
      <c r="I50" s="899"/>
    </row>
    <row r="51" spans="1:9" ht="15.5" thickTop="1">
      <c r="A51" s="895" t="s">
        <v>1646</v>
      </c>
      <c r="B51" s="897">
        <v>19</v>
      </c>
      <c r="C51" s="572"/>
      <c r="D51" s="547"/>
      <c r="E51" s="540"/>
      <c r="F51" s="1768">
        <f>D22-D50</f>
        <v>-9.9945068359375E-3</v>
      </c>
      <c r="G51" s="899"/>
    </row>
    <row r="52" spans="1:9" ht="18.75" customHeight="1" thickBot="1">
      <c r="A52" s="905" t="s">
        <v>3574</v>
      </c>
      <c r="B52" s="897"/>
      <c r="C52" s="906"/>
      <c r="D52" s="907"/>
      <c r="E52" s="540"/>
      <c r="G52" s="904"/>
    </row>
    <row r="53" spans="1:9" ht="5.25" customHeight="1">
      <c r="A53" s="908"/>
      <c r="B53" s="909"/>
      <c r="C53" s="565"/>
      <c r="D53" s="565"/>
      <c r="E53" s="566"/>
    </row>
    <row r="54" spans="1:9" ht="18">
      <c r="A54" s="910"/>
      <c r="B54" s="911"/>
      <c r="C54" s="911"/>
      <c r="D54" s="912"/>
      <c r="E54" s="567"/>
      <c r="F54" s="1557"/>
    </row>
    <row r="55" spans="1:9" ht="6.75" customHeight="1">
      <c r="A55" s="890"/>
      <c r="B55" s="911"/>
      <c r="C55" s="911"/>
      <c r="D55" s="568"/>
      <c r="E55" s="567"/>
    </row>
    <row r="56" spans="1:9" ht="18">
      <c r="A56" s="896"/>
      <c r="B56" s="912"/>
      <c r="C56" s="912"/>
      <c r="D56" s="912"/>
      <c r="E56" s="913"/>
    </row>
    <row r="57" spans="1:9" ht="18">
      <c r="A57" s="896"/>
      <c r="B57" s="912"/>
      <c r="C57" s="912"/>
      <c r="D57" s="912"/>
      <c r="E57" s="913"/>
    </row>
    <row r="58" spans="1:9" ht="18">
      <c r="A58" s="896"/>
      <c r="B58" s="912"/>
      <c r="C58" s="912"/>
      <c r="D58" s="912"/>
      <c r="E58" s="913"/>
    </row>
    <row r="59" spans="1:9" ht="15.75" customHeight="1">
      <c r="A59" s="896"/>
      <c r="B59" s="912"/>
      <c r="C59" s="912"/>
      <c r="D59" s="912"/>
      <c r="E59" s="913"/>
    </row>
    <row r="60" spans="1:9" ht="12.75" customHeight="1">
      <c r="A60" s="896"/>
      <c r="B60" s="912"/>
      <c r="C60" s="912"/>
      <c r="D60" s="912"/>
      <c r="E60" s="913"/>
    </row>
    <row r="61" spans="1:9" ht="10.5" customHeight="1">
      <c r="A61" s="896"/>
      <c r="B61" s="912"/>
      <c r="C61" s="912"/>
      <c r="D61" s="912"/>
      <c r="E61" s="913"/>
    </row>
    <row r="62" spans="1:9" ht="18">
      <c r="A62" s="896"/>
      <c r="B62" s="912"/>
      <c r="C62" s="912"/>
      <c r="D62" s="912"/>
      <c r="E62" s="913"/>
    </row>
    <row r="63" spans="1:9" ht="18">
      <c r="A63" s="896"/>
      <c r="B63" s="912"/>
      <c r="C63" s="912"/>
      <c r="D63" s="912"/>
      <c r="E63" s="913"/>
    </row>
    <row r="64" spans="1:9" ht="18">
      <c r="A64" s="896"/>
      <c r="B64" s="912"/>
      <c r="C64" s="912"/>
      <c r="D64" s="912"/>
      <c r="E64" s="913"/>
    </row>
    <row r="65" spans="1:5" ht="18">
      <c r="A65" s="896"/>
      <c r="B65" s="912"/>
      <c r="C65" s="912"/>
      <c r="D65" s="912"/>
      <c r="E65" s="913"/>
    </row>
    <row r="66" spans="1:5" ht="18">
      <c r="A66" s="896"/>
      <c r="B66" s="912"/>
      <c r="C66" s="912"/>
      <c r="D66" s="912"/>
      <c r="E66" s="913"/>
    </row>
    <row r="67" spans="1:5" ht="18">
      <c r="A67" s="896"/>
      <c r="B67" s="912"/>
      <c r="C67" s="912"/>
      <c r="D67" s="912"/>
      <c r="E67" s="913"/>
    </row>
    <row r="68" spans="1:5" ht="18.5" thickBot="1">
      <c r="A68" s="914"/>
      <c r="B68" s="915"/>
      <c r="C68" s="915"/>
      <c r="D68" s="915"/>
      <c r="E68" s="916"/>
    </row>
  </sheetData>
  <mergeCells count="4">
    <mergeCell ref="A1:E1"/>
    <mergeCell ref="A2:E2"/>
    <mergeCell ref="A3:E3"/>
    <mergeCell ref="A5:A6"/>
  </mergeCells>
  <printOptions horizontalCentered="1"/>
  <pageMargins left="0.51181102362204722" right="0.31" top="0.59" bottom="0.19685039370078741" header="0.31496062992125984" footer="0.31496062992125984"/>
  <pageSetup paperSize="9" scale="68" orientation="portrait" horizontalDpi="300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F0000"/>
  </sheetPr>
  <dimension ref="B1:R11"/>
  <sheetViews>
    <sheetView workbookViewId="0">
      <selection activeCell="R25" activeCellId="1" sqref="A1 R25"/>
    </sheetView>
  </sheetViews>
  <sheetFormatPr defaultColWidth="11.453125" defaultRowHeight="15.5"/>
  <cols>
    <col min="1" max="1" width="4" style="252" customWidth="1"/>
    <col min="2" max="2" width="4" style="253" customWidth="1"/>
    <col min="3" max="3" width="30.81640625" style="253" bestFit="1" customWidth="1"/>
    <col min="4" max="6" width="17.26953125" style="253" customWidth="1"/>
    <col min="7" max="8" width="12.7265625" style="252" customWidth="1"/>
    <col min="9" max="16384" width="11.453125" style="252"/>
  </cols>
  <sheetData>
    <row r="1" spans="2:18" s="238" customFormat="1" ht="13">
      <c r="B1" s="195"/>
      <c r="C1" s="237"/>
      <c r="D1" s="237"/>
      <c r="E1" s="237"/>
      <c r="F1" s="237"/>
    </row>
    <row r="2" spans="2:18" s="238" customFormat="1" ht="13">
      <c r="B2" s="192" t="s">
        <v>451</v>
      </c>
      <c r="C2" s="239"/>
      <c r="D2" s="239"/>
      <c r="E2" s="239"/>
      <c r="F2" s="239"/>
    </row>
    <row r="4" spans="2:18" s="241" customFormat="1" ht="13">
      <c r="B4" s="240"/>
      <c r="D4" s="242"/>
      <c r="E4" s="242"/>
      <c r="F4" s="242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</row>
    <row r="5" spans="2:18" s="241" customFormat="1" ht="13">
      <c r="B5" s="244"/>
      <c r="C5" s="245" t="s">
        <v>452</v>
      </c>
      <c r="D5" s="246" t="s">
        <v>530</v>
      </c>
      <c r="E5" s="246" t="s">
        <v>531</v>
      </c>
      <c r="F5" s="246" t="s">
        <v>453</v>
      </c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</row>
    <row r="6" spans="2:18" s="241" customFormat="1" ht="12.5">
      <c r="B6" s="247">
        <v>1</v>
      </c>
      <c r="C6" s="248" t="s">
        <v>454</v>
      </c>
      <c r="D6" s="513">
        <f>'T-1'!F64</f>
        <v>0.23341080851471208</v>
      </c>
      <c r="E6" s="513">
        <f>'T-1'!K64</f>
        <v>0.24997041785738247</v>
      </c>
      <c r="F6" s="513">
        <f>'T-1'!O64</f>
        <v>0.24987660177486185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</row>
    <row r="7" spans="2:18" s="241" customFormat="1" ht="12.5">
      <c r="B7" s="249">
        <v>2</v>
      </c>
      <c r="C7" s="250" t="s">
        <v>745</v>
      </c>
      <c r="D7" s="514">
        <v>0.255</v>
      </c>
      <c r="E7" s="514">
        <f>Sheet2!C13</f>
        <v>0.25</v>
      </c>
      <c r="F7" s="514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</row>
    <row r="8" spans="2:18" s="241" customFormat="1" ht="12.5"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</row>
    <row r="9" spans="2:18" s="241" customFormat="1" ht="13">
      <c r="B9" s="244"/>
      <c r="C9" s="251" t="s">
        <v>412</v>
      </c>
      <c r="D9" s="246" t="s">
        <v>530</v>
      </c>
      <c r="E9" s="246" t="s">
        <v>531</v>
      </c>
      <c r="F9" s="246" t="s">
        <v>453</v>
      </c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</row>
    <row r="10" spans="2:18" s="241" customFormat="1" ht="12.5">
      <c r="B10" s="247">
        <v>1</v>
      </c>
      <c r="C10" s="248" t="s">
        <v>454</v>
      </c>
      <c r="D10" s="513">
        <f>Sheet2!C92</f>
        <v>0</v>
      </c>
      <c r="E10" s="513">
        <f>Sheet2!G92</f>
        <v>0.94</v>
      </c>
      <c r="F10" s="513">
        <f>Sheet2!H92</f>
        <v>0.94</v>
      </c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</row>
    <row r="11" spans="2:18" s="241" customFormat="1" ht="12.5">
      <c r="B11" s="249">
        <v>2</v>
      </c>
      <c r="C11" s="250" t="s">
        <v>745</v>
      </c>
      <c r="D11" s="514">
        <v>0.99</v>
      </c>
      <c r="E11" s="514">
        <v>0.99</v>
      </c>
      <c r="F11" s="514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</row>
  </sheetData>
  <phoneticPr fontId="24" type="noConversion"/>
  <pageMargins left="0.75" right="0.75" top="1" bottom="1" header="0.5" footer="0.5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B1:S20"/>
  <sheetViews>
    <sheetView topLeftCell="A17" zoomScaleSheetLayoutView="100" workbookViewId="0">
      <selection activeCell="R25" activeCellId="1" sqref="A1 R25"/>
    </sheetView>
  </sheetViews>
  <sheetFormatPr defaultColWidth="11.453125" defaultRowHeight="15.5"/>
  <cols>
    <col min="1" max="1" width="3.453125" style="283" customWidth="1"/>
    <col min="2" max="2" width="4.7265625" style="283" customWidth="1"/>
    <col min="3" max="3" width="35.1796875" style="283" customWidth="1"/>
    <col min="4" max="5" width="14.1796875" style="283" customWidth="1"/>
    <col min="6" max="6" width="18.54296875" style="283" customWidth="1"/>
    <col min="7" max="7" width="14.1796875" style="283" customWidth="1"/>
    <col min="8" max="16384" width="11.453125" style="283"/>
  </cols>
  <sheetData>
    <row r="1" spans="2:19" s="256" customFormat="1" ht="13">
      <c r="B1" s="254" t="s">
        <v>413</v>
      </c>
      <c r="C1" s="255"/>
      <c r="D1" s="255"/>
      <c r="E1" s="255"/>
      <c r="F1" s="255"/>
      <c r="G1" s="255"/>
    </row>
    <row r="2" spans="2:19" s="262" customFormat="1" ht="26">
      <c r="B2" s="257"/>
      <c r="C2" s="186"/>
      <c r="D2" s="258"/>
      <c r="E2" s="258"/>
      <c r="F2" s="259" t="s">
        <v>414</v>
      </c>
      <c r="G2" s="258"/>
      <c r="H2" s="260"/>
      <c r="I2" s="260"/>
      <c r="J2" s="260"/>
      <c r="K2" s="261" t="s">
        <v>114</v>
      </c>
      <c r="L2" s="260"/>
      <c r="M2" s="260"/>
      <c r="N2" s="260"/>
      <c r="O2" s="260"/>
      <c r="P2" s="260"/>
      <c r="Q2" s="260"/>
      <c r="R2" s="260"/>
      <c r="S2" s="260"/>
    </row>
    <row r="3" spans="2:19" s="268" customFormat="1" ht="39">
      <c r="B3" s="263"/>
      <c r="C3" s="264" t="s">
        <v>415</v>
      </c>
      <c r="D3" s="265" t="s">
        <v>5399</v>
      </c>
      <c r="E3" s="265" t="s">
        <v>5400</v>
      </c>
      <c r="F3" s="265" t="s">
        <v>5401</v>
      </c>
      <c r="G3" s="265" t="s">
        <v>532</v>
      </c>
      <c r="H3" s="266"/>
      <c r="I3" s="266"/>
      <c r="J3" s="266"/>
      <c r="K3" s="267" t="s">
        <v>115</v>
      </c>
      <c r="L3" s="266"/>
      <c r="M3" s="266"/>
      <c r="N3" s="266"/>
      <c r="O3" s="266"/>
      <c r="P3" s="266"/>
      <c r="Q3" s="266"/>
      <c r="R3" s="266"/>
      <c r="S3" s="266"/>
    </row>
    <row r="4" spans="2:19" s="268" customFormat="1" ht="21" customHeight="1">
      <c r="B4" s="269"/>
      <c r="C4" s="264" t="s">
        <v>542</v>
      </c>
      <c r="D4" s="265"/>
      <c r="E4" s="265"/>
      <c r="F4" s="265"/>
      <c r="G4" s="265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</row>
    <row r="5" spans="2:19" s="268" customFormat="1" ht="21" customHeight="1">
      <c r="B5" s="270">
        <v>1</v>
      </c>
      <c r="C5" s="264" t="s">
        <v>416</v>
      </c>
      <c r="D5" s="272">
        <f>'T-4'!C6</f>
        <v>3941.5407756566683</v>
      </c>
      <c r="E5" s="276">
        <f>Sheet2!C5</f>
        <v>4050</v>
      </c>
      <c r="F5" s="272">
        <f>'T-1'!I62</f>
        <v>2248.4833159999998</v>
      </c>
      <c r="G5" s="272">
        <f>'T-1'!O62</f>
        <v>4781.2681206644938</v>
      </c>
      <c r="H5" s="266"/>
      <c r="I5" s="266">
        <f>+G5/12</f>
        <v>398.43901005537447</v>
      </c>
      <c r="J5" s="266">
        <v>159</v>
      </c>
      <c r="K5" s="266"/>
      <c r="L5" s="266"/>
      <c r="M5" s="266"/>
      <c r="N5" s="266"/>
      <c r="O5" s="266"/>
      <c r="P5" s="266"/>
      <c r="Q5" s="266"/>
      <c r="R5" s="266"/>
      <c r="S5" s="266"/>
    </row>
    <row r="6" spans="2:19" s="275" customFormat="1" ht="21" customHeight="1">
      <c r="B6" s="270">
        <v>2</v>
      </c>
      <c r="C6" s="269" t="s">
        <v>417</v>
      </c>
      <c r="D6" s="276">
        <f>2.11</f>
        <v>2.11</v>
      </c>
      <c r="E6" s="276">
        <f>Sheet2!C6</f>
        <v>2.1685432098765429</v>
      </c>
      <c r="F6" s="1765">
        <v>2.11</v>
      </c>
      <c r="G6" s="276">
        <f>1.974+0.25</f>
        <v>2.2240000000000002</v>
      </c>
      <c r="H6" s="273"/>
      <c r="I6" s="274"/>
      <c r="J6" s="274">
        <f>+I5/J5</f>
        <v>2.5059057236187074</v>
      </c>
      <c r="K6" s="274"/>
      <c r="L6" s="274"/>
      <c r="M6" s="274"/>
      <c r="N6" s="274"/>
      <c r="O6" s="274"/>
      <c r="P6" s="274"/>
      <c r="Q6" s="274"/>
      <c r="R6" s="274"/>
      <c r="S6" s="274"/>
    </row>
    <row r="7" spans="2:19" s="275" customFormat="1" ht="21" customHeight="1">
      <c r="B7" s="270">
        <v>3</v>
      </c>
      <c r="C7" s="269" t="s">
        <v>418</v>
      </c>
      <c r="D7" s="272">
        <f>'T-4'!D66</f>
        <v>650</v>
      </c>
      <c r="E7" s="272">
        <v>660</v>
      </c>
      <c r="F7" s="272">
        <f>'T-4'!E66</f>
        <v>668.48</v>
      </c>
      <c r="G7" s="272">
        <f>'T-4'!M66</f>
        <v>800</v>
      </c>
      <c r="H7" s="277"/>
      <c r="I7" s="274"/>
      <c r="J7" s="274">
        <f>+F7*J6</f>
        <v>1675.1478581246336</v>
      </c>
      <c r="K7" s="274"/>
      <c r="L7" s="274"/>
      <c r="M7" s="274"/>
      <c r="N7" s="274"/>
      <c r="O7" s="274"/>
      <c r="P7" s="274"/>
      <c r="Q7" s="274"/>
      <c r="R7" s="274"/>
      <c r="S7" s="274"/>
    </row>
    <row r="8" spans="2:19" s="275" customFormat="1" ht="21" customHeight="1">
      <c r="B8" s="270">
        <v>4</v>
      </c>
      <c r="C8" s="269" t="s">
        <v>1275</v>
      </c>
      <c r="D8" s="276">
        <v>0</v>
      </c>
      <c r="E8" s="276">
        <v>0</v>
      </c>
      <c r="F8" s="276">
        <v>0</v>
      </c>
      <c r="G8" s="276">
        <v>0</v>
      </c>
      <c r="H8" s="273"/>
      <c r="I8" s="274"/>
      <c r="J8" s="274">
        <v>100</v>
      </c>
      <c r="K8" s="274">
        <v>125</v>
      </c>
      <c r="L8" s="274">
        <f>+K8-J8</f>
        <v>25</v>
      </c>
      <c r="M8" s="274"/>
      <c r="N8" s="274"/>
      <c r="O8" s="274"/>
      <c r="P8" s="274"/>
      <c r="Q8" s="274"/>
      <c r="R8" s="274"/>
      <c r="S8" s="274"/>
    </row>
    <row r="9" spans="2:19" s="275" customFormat="1" ht="21" customHeight="1">
      <c r="B9" s="270">
        <v>5</v>
      </c>
      <c r="C9" s="269" t="s">
        <v>420</v>
      </c>
      <c r="D9" s="276">
        <v>62.52</v>
      </c>
      <c r="E9" s="276">
        <v>61.73</v>
      </c>
      <c r="F9" s="276">
        <f>E9/2</f>
        <v>30.864999999999998</v>
      </c>
      <c r="G9" s="276">
        <f>E9</f>
        <v>61.73</v>
      </c>
      <c r="H9" s="273"/>
      <c r="I9" s="274"/>
      <c r="J9" s="274">
        <v>300</v>
      </c>
      <c r="K9" s="274"/>
      <c r="L9" s="274"/>
      <c r="M9" s="274"/>
      <c r="N9" s="274"/>
      <c r="O9" s="274"/>
      <c r="P9" s="274"/>
      <c r="Q9" s="274"/>
      <c r="R9" s="274"/>
      <c r="S9" s="274"/>
    </row>
    <row r="10" spans="2:19" s="275" customFormat="1" ht="21" customHeight="1">
      <c r="B10" s="270"/>
      <c r="C10" s="269" t="s">
        <v>421</v>
      </c>
      <c r="D10" s="278">
        <f>D5*D6*10+D7*D8*12/100+D9</f>
        <v>83229.030366355684</v>
      </c>
      <c r="E10" s="278">
        <f>E5*E6*10+E7*E8*12/100+E9</f>
        <v>87887.729999999981</v>
      </c>
      <c r="F10" s="278">
        <f>F5*F6*10+F7*F8*12/100+F9</f>
        <v>47473.862967599991</v>
      </c>
      <c r="G10" s="278">
        <f>G5*G6*10+G7*G8*12/100+G9</f>
        <v>106397.13300357836</v>
      </c>
      <c r="H10" s="277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</row>
    <row r="11" spans="2:19" s="262" customFormat="1" ht="13">
      <c r="C11" s="279"/>
      <c r="D11" s="280"/>
      <c r="E11" s="281"/>
      <c r="F11" s="281"/>
      <c r="G11" s="281"/>
      <c r="H11" s="273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</row>
    <row r="12" spans="2:19" s="262" customFormat="1" ht="26">
      <c r="B12" s="282"/>
      <c r="C12" s="264" t="s">
        <v>1351</v>
      </c>
      <c r="D12" s="265" t="s">
        <v>530</v>
      </c>
      <c r="E12" s="265" t="s">
        <v>1352</v>
      </c>
      <c r="F12" s="265" t="s">
        <v>1500</v>
      </c>
      <c r="G12" s="265" t="s">
        <v>532</v>
      </c>
      <c r="H12" s="273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</row>
    <row r="13" spans="2:19" s="268" customFormat="1" ht="19.5" customHeight="1">
      <c r="B13" s="269"/>
      <c r="C13" s="264" t="s">
        <v>1501</v>
      </c>
      <c r="D13" s="265"/>
      <c r="E13" s="265"/>
      <c r="F13" s="265"/>
      <c r="G13" s="265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</row>
    <row r="14" spans="2:19" s="268" customFormat="1" ht="19.5" customHeight="1">
      <c r="B14" s="270">
        <v>1</v>
      </c>
      <c r="C14" s="264" t="s">
        <v>416</v>
      </c>
      <c r="D14" s="271"/>
      <c r="E14" s="271"/>
      <c r="F14" s="271"/>
      <c r="G14" s="271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</row>
    <row r="15" spans="2:19" s="275" customFormat="1" ht="19.5" customHeight="1">
      <c r="B15" s="270">
        <v>2</v>
      </c>
      <c r="C15" s="269" t="s">
        <v>417</v>
      </c>
      <c r="D15" s="271"/>
      <c r="E15" s="271"/>
      <c r="F15" s="271"/>
      <c r="G15" s="271"/>
      <c r="H15" s="273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2:19" s="275" customFormat="1" ht="19.5" customHeight="1">
      <c r="B16" s="270">
        <v>3</v>
      </c>
      <c r="C16" s="269" t="s">
        <v>418</v>
      </c>
      <c r="D16" s="271"/>
      <c r="E16" s="271"/>
      <c r="F16" s="271"/>
      <c r="G16" s="271"/>
      <c r="H16" s="277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</row>
    <row r="17" spans="2:19" s="275" customFormat="1" ht="19.5" customHeight="1">
      <c r="B17" s="270">
        <v>4</v>
      </c>
      <c r="C17" s="269" t="s">
        <v>419</v>
      </c>
      <c r="D17" s="271"/>
      <c r="E17" s="271"/>
      <c r="F17" s="271"/>
      <c r="G17" s="271"/>
      <c r="H17" s="273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</row>
    <row r="18" spans="2:19" s="275" customFormat="1" ht="19.5" customHeight="1">
      <c r="B18" s="270">
        <v>5</v>
      </c>
      <c r="C18" s="269" t="s">
        <v>420</v>
      </c>
      <c r="D18" s="271"/>
      <c r="E18" s="271"/>
      <c r="F18" s="271"/>
      <c r="G18" s="271"/>
      <c r="H18" s="273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</row>
    <row r="19" spans="2:19" s="275" customFormat="1" ht="19.5" customHeight="1">
      <c r="B19" s="270"/>
      <c r="C19" s="269" t="s">
        <v>421</v>
      </c>
      <c r="D19" s="278">
        <f>D14*D15*10+D16*D17*12/100+D18</f>
        <v>0</v>
      </c>
      <c r="E19" s="278">
        <f>E14*E15*10+E16*E17*12/100+E18</f>
        <v>0</v>
      </c>
      <c r="F19" s="278"/>
      <c r="G19" s="278">
        <f>G14*G15*10+G16*G17*12/100+G18</f>
        <v>0</v>
      </c>
      <c r="H19" s="277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</row>
    <row r="20" spans="2:19">
      <c r="D20" s="1254">
        <f>+D10/D5/10</f>
        <v>2.1115861817385251</v>
      </c>
      <c r="E20" s="1254">
        <f>+E10/E5/10</f>
        <v>2.1700674074074069</v>
      </c>
      <c r="F20" s="1254">
        <f>+F10/F5/10</f>
        <v>2.1113727030919183</v>
      </c>
      <c r="G20" s="1254">
        <f>+G10/G5/10</f>
        <v>2.225291080074201</v>
      </c>
    </row>
  </sheetData>
  <phoneticPr fontId="24" type="noConversion"/>
  <printOptions horizontalCentered="1" verticalCentered="1"/>
  <pageMargins left="0.5" right="0.5" top="0.75" bottom="0.75" header="0.5" footer="0.5"/>
  <pageSetup paperSize="9" orientation="landscape" verticalDpi="300" r:id="rId1"/>
  <headerFooter alignWithMargins="0"/>
  <colBreaks count="1" manualBreakCount="1">
    <brk id="8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8">
    <pageSetUpPr fitToPage="1"/>
  </sheetPr>
  <dimension ref="A1:P40"/>
  <sheetViews>
    <sheetView showGridLines="0" view="pageBreakPreview" topLeftCell="A19" zoomScaleSheetLayoutView="100" workbookViewId="0">
      <selection activeCell="L14" sqref="L14"/>
    </sheetView>
  </sheetViews>
  <sheetFormatPr defaultColWidth="9.1796875" defaultRowHeight="12.5"/>
  <cols>
    <col min="1" max="1" width="16.1796875" customWidth="1"/>
    <col min="2" max="2" width="11.1796875" customWidth="1"/>
    <col min="3" max="3" width="13.26953125" customWidth="1"/>
    <col min="4" max="4" width="11.81640625" customWidth="1"/>
    <col min="5" max="5" width="9.26953125" customWidth="1"/>
    <col min="6" max="6" width="11" customWidth="1"/>
    <col min="7" max="7" width="9.26953125" customWidth="1"/>
    <col min="8" max="8" width="13.1796875" customWidth="1"/>
    <col min="9" max="9" width="9.26953125" customWidth="1"/>
    <col min="10" max="10" width="10.453125" bestFit="1" customWidth="1"/>
    <col min="11" max="11" width="16.54296875" bestFit="1" customWidth="1"/>
    <col min="12" max="12" width="13.1796875" bestFit="1" customWidth="1"/>
    <col min="13" max="13" width="11.81640625" customWidth="1"/>
    <col min="14" max="14" width="14" customWidth="1"/>
    <col min="15" max="15" width="9.453125" bestFit="1" customWidth="1"/>
    <col min="16" max="16" width="9.26953125" bestFit="1" customWidth="1"/>
  </cols>
  <sheetData>
    <row r="1" spans="1:16" ht="13">
      <c r="A1" s="6" t="s">
        <v>1341</v>
      </c>
      <c r="L1" s="7" t="s">
        <v>124</v>
      </c>
      <c r="M1" s="1" t="s">
        <v>1229</v>
      </c>
    </row>
    <row r="3" spans="1:16" ht="13">
      <c r="A3" s="22" t="s">
        <v>1230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5" spans="1:16" ht="13">
      <c r="M5" s="89" t="s">
        <v>4027</v>
      </c>
    </row>
    <row r="6" spans="1:16" ht="13">
      <c r="A6" s="1" t="s">
        <v>7131</v>
      </c>
      <c r="D6" s="1"/>
    </row>
    <row r="7" spans="1:16" s="4" customFormat="1" ht="26">
      <c r="A7" s="74" t="s">
        <v>1231</v>
      </c>
      <c r="B7" s="74" t="s">
        <v>1232</v>
      </c>
      <c r="C7" s="74"/>
      <c r="D7" s="3387" t="s">
        <v>1234</v>
      </c>
      <c r="E7" s="3388"/>
      <c r="F7" s="3388"/>
      <c r="G7" s="3388"/>
      <c r="H7" s="3389"/>
      <c r="I7" s="74" t="s">
        <v>1235</v>
      </c>
      <c r="J7" s="74" t="s">
        <v>1236</v>
      </c>
      <c r="K7" s="74" t="s">
        <v>1237</v>
      </c>
      <c r="L7" s="74" t="s">
        <v>303</v>
      </c>
      <c r="M7" s="74" t="s">
        <v>1100</v>
      </c>
      <c r="N7" s="74" t="s">
        <v>1238</v>
      </c>
      <c r="O7" s="143"/>
    </row>
    <row r="8" spans="1:16" ht="51" customHeight="1">
      <c r="A8" s="14"/>
      <c r="B8" s="14"/>
      <c r="C8" s="38" t="s">
        <v>1239</v>
      </c>
      <c r="D8" s="14" t="s">
        <v>1240</v>
      </c>
      <c r="E8" s="14" t="s">
        <v>1241</v>
      </c>
      <c r="F8" s="14" t="s">
        <v>1242</v>
      </c>
      <c r="G8" s="14" t="s">
        <v>116</v>
      </c>
      <c r="H8" s="14" t="s">
        <v>1100</v>
      </c>
      <c r="I8" s="14"/>
      <c r="J8" s="14"/>
      <c r="K8" s="14"/>
      <c r="L8" s="14"/>
      <c r="M8" s="14"/>
      <c r="N8" s="14"/>
    </row>
    <row r="9" spans="1:16">
      <c r="A9" s="12" t="s">
        <v>1243</v>
      </c>
      <c r="B9" s="12"/>
      <c r="C9" s="19"/>
      <c r="D9" s="19">
        <f>+'F-2'!L11</f>
        <v>0</v>
      </c>
      <c r="E9" s="12"/>
      <c r="F9" s="12"/>
      <c r="G9" s="19"/>
      <c r="H9" s="19">
        <f>+D9+E9+F9+G9</f>
        <v>0</v>
      </c>
      <c r="I9" s="12"/>
      <c r="J9" s="12"/>
      <c r="K9" s="12"/>
      <c r="L9" s="12"/>
      <c r="M9" s="19">
        <f>H9+I9+J9+K9+L9</f>
        <v>0</v>
      </c>
      <c r="N9" s="12"/>
    </row>
    <row r="10" spans="1:16">
      <c r="A10" s="12" t="s">
        <v>1244</v>
      </c>
      <c r="B10" s="12"/>
      <c r="C10" s="19"/>
      <c r="D10" s="19">
        <f>+'F-2'!L12</f>
        <v>0</v>
      </c>
      <c r="E10" s="19"/>
      <c r="F10" s="19"/>
      <c r="G10" s="19"/>
      <c r="H10" s="19">
        <f t="shared" ref="H10:H15" si="0">+D10+E10+F10+G10</f>
        <v>0</v>
      </c>
      <c r="I10" s="12"/>
      <c r="J10" s="12"/>
      <c r="K10" s="12"/>
      <c r="L10" s="12"/>
      <c r="M10" s="19">
        <f t="shared" ref="M10:M15" si="1">H10+I10+J10+K10+L10</f>
        <v>0</v>
      </c>
      <c r="N10" s="12"/>
    </row>
    <row r="11" spans="1:16">
      <c r="A11" s="12" t="s">
        <v>1245</v>
      </c>
      <c r="B11" s="12"/>
      <c r="C11" s="19">
        <f>+'F-2'!H89+'F-2'!I89+'F-2'!J89-'F-2'!I87-'F-2'!J89</f>
        <v>79.869999999999976</v>
      </c>
      <c r="D11" s="19">
        <f>+'F-2'!L89-'F-2'!I87-F11-G11-I11-'F-2'!J19</f>
        <v>-62.480000000000018</v>
      </c>
      <c r="E11" s="19"/>
      <c r="F11" s="1001"/>
      <c r="G11" s="1001"/>
      <c r="H11" s="19">
        <f>+D11+E11+F11+G11</f>
        <v>-62.480000000000018</v>
      </c>
      <c r="I11" s="19"/>
      <c r="J11" s="12"/>
      <c r="K11" s="12"/>
      <c r="L11" s="12"/>
      <c r="M11" s="19">
        <f t="shared" si="1"/>
        <v>-62.480000000000018</v>
      </c>
      <c r="N11" s="12" t="s">
        <v>145</v>
      </c>
      <c r="P11" s="3"/>
    </row>
    <row r="12" spans="1:16">
      <c r="A12" s="12" t="s">
        <v>1246</v>
      </c>
      <c r="B12" s="12"/>
      <c r="C12" s="19"/>
      <c r="D12" s="19"/>
      <c r="E12" s="19"/>
      <c r="F12" s="144"/>
      <c r="G12" s="12"/>
      <c r="H12" s="19">
        <f t="shared" si="0"/>
        <v>0</v>
      </c>
      <c r="I12" s="19"/>
      <c r="J12" s="19"/>
      <c r="K12" s="12"/>
      <c r="L12" s="12"/>
      <c r="M12" s="19">
        <f t="shared" si="1"/>
        <v>0</v>
      </c>
      <c r="N12" s="12"/>
    </row>
    <row r="13" spans="1:16">
      <c r="A13" s="12" t="s">
        <v>751</v>
      </c>
      <c r="B13" s="12"/>
      <c r="C13" s="19"/>
      <c r="D13" s="19">
        <f>+'F-2'!L13</f>
        <v>0</v>
      </c>
      <c r="E13" s="12"/>
      <c r="F13" s="12"/>
      <c r="G13" s="19"/>
      <c r="H13" s="19">
        <f t="shared" si="0"/>
        <v>0</v>
      </c>
      <c r="I13" s="12"/>
      <c r="J13" s="19"/>
      <c r="K13" s="12"/>
      <c r="L13" s="12"/>
      <c r="M13" s="19">
        <f t="shared" si="1"/>
        <v>0</v>
      </c>
      <c r="N13" s="12" t="s">
        <v>145</v>
      </c>
    </row>
    <row r="14" spans="1:16">
      <c r="A14" s="12" t="s">
        <v>121</v>
      </c>
      <c r="B14" s="12"/>
      <c r="C14" s="19"/>
      <c r="D14" s="19">
        <f>+'F-2'!L14</f>
        <v>0</v>
      </c>
      <c r="E14" s="12"/>
      <c r="F14" s="12"/>
      <c r="G14" s="19"/>
      <c r="H14" s="19">
        <f t="shared" si="0"/>
        <v>0</v>
      </c>
      <c r="I14" s="12"/>
      <c r="J14" s="12"/>
      <c r="K14" s="12"/>
      <c r="L14" s="12"/>
      <c r="M14" s="19">
        <f t="shared" si="1"/>
        <v>0</v>
      </c>
      <c r="N14" s="12"/>
    </row>
    <row r="15" spans="1:16">
      <c r="A15" s="12" t="s">
        <v>685</v>
      </c>
      <c r="B15" s="12"/>
      <c r="C15" s="19"/>
      <c r="D15" s="19">
        <f>+'F-2'!L15</f>
        <v>0</v>
      </c>
      <c r="E15" s="12"/>
      <c r="F15" s="12"/>
      <c r="G15" s="19"/>
      <c r="H15" s="19">
        <f t="shared" si="0"/>
        <v>0</v>
      </c>
      <c r="I15" s="12"/>
      <c r="J15" s="12"/>
      <c r="K15" s="12"/>
      <c r="L15" s="12"/>
      <c r="M15" s="19">
        <f t="shared" si="1"/>
        <v>0</v>
      </c>
      <c r="N15" s="12" t="s">
        <v>145</v>
      </c>
    </row>
    <row r="16" spans="1:16">
      <c r="A16" s="12"/>
      <c r="B16" s="12"/>
      <c r="C16" s="12"/>
      <c r="D16" s="19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6" ht="13">
      <c r="A17" s="24" t="s">
        <v>1100</v>
      </c>
      <c r="B17" s="14"/>
      <c r="C17" s="20">
        <f t="shared" ref="C17:L17" si="2">SUM(C9:C16)</f>
        <v>79.869999999999976</v>
      </c>
      <c r="D17" s="20">
        <f>SUM(D9:D16)</f>
        <v>-62.480000000000018</v>
      </c>
      <c r="E17" s="20">
        <f t="shared" si="2"/>
        <v>0</v>
      </c>
      <c r="F17" s="20">
        <f t="shared" si="2"/>
        <v>0</v>
      </c>
      <c r="G17" s="20">
        <f t="shared" si="2"/>
        <v>0</v>
      </c>
      <c r="H17" s="20">
        <f>SUM(H9:H16)</f>
        <v>-62.480000000000018</v>
      </c>
      <c r="I17" s="20">
        <f t="shared" si="2"/>
        <v>0</v>
      </c>
      <c r="J17" s="20">
        <f t="shared" si="2"/>
        <v>0</v>
      </c>
      <c r="K17" s="20">
        <f t="shared" si="2"/>
        <v>0</v>
      </c>
      <c r="L17" s="20">
        <f t="shared" si="2"/>
        <v>0</v>
      </c>
      <c r="M17" s="20">
        <f>SUM(M9:M16)</f>
        <v>-62.480000000000018</v>
      </c>
      <c r="N17" s="14"/>
      <c r="O17" s="3"/>
      <c r="P17" s="3">
        <f>+M17-'F-2'!L89</f>
        <v>-244.74127784290741</v>
      </c>
    </row>
    <row r="18" spans="1:16" ht="13">
      <c r="A18" s="7"/>
      <c r="B18" s="1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1"/>
      <c r="O18" s="3"/>
      <c r="P18" s="3"/>
    </row>
    <row r="19" spans="1:16">
      <c r="A19" t="s">
        <v>143</v>
      </c>
      <c r="M19" s="229"/>
    </row>
    <row r="20" spans="1:16">
      <c r="A20" t="s">
        <v>942</v>
      </c>
      <c r="F20" s="3"/>
      <c r="H20" s="1570"/>
      <c r="M20" s="3"/>
      <c r="N20" s="3"/>
    </row>
    <row r="21" spans="1:16">
      <c r="D21" s="3"/>
      <c r="H21" s="234">
        <f>'F-2'!L19</f>
        <v>182.26127784290739</v>
      </c>
      <c r="M21" s="3"/>
    </row>
    <row r="22" spans="1:16" ht="13">
      <c r="A22" s="1" t="s">
        <v>7132</v>
      </c>
      <c r="D22" s="1"/>
      <c r="G22" t="s">
        <v>4797</v>
      </c>
      <c r="H22" s="234">
        <f>H17-H21</f>
        <v>-244.74127784290741</v>
      </c>
    </row>
    <row r="23" spans="1:16" s="4" customFormat="1" ht="26">
      <c r="A23" s="74" t="s">
        <v>1231</v>
      </c>
      <c r="B23" s="74" t="s">
        <v>1232</v>
      </c>
      <c r="C23" s="74"/>
      <c r="D23" s="3387" t="s">
        <v>1234</v>
      </c>
      <c r="E23" s="3388"/>
      <c r="F23" s="3388"/>
      <c r="G23" s="3388"/>
      <c r="H23" s="3389"/>
      <c r="I23" s="74" t="s">
        <v>1235</v>
      </c>
      <c r="J23" s="74" t="s">
        <v>1236</v>
      </c>
      <c r="K23" s="74" t="s">
        <v>1237</v>
      </c>
      <c r="L23" s="74" t="s">
        <v>303</v>
      </c>
      <c r="M23" s="74" t="s">
        <v>1100</v>
      </c>
      <c r="N23" s="74" t="s">
        <v>1238</v>
      </c>
    </row>
    <row r="24" spans="1:16" ht="39">
      <c r="A24" s="14"/>
      <c r="B24" s="14"/>
      <c r="C24" s="38" t="s">
        <v>144</v>
      </c>
      <c r="D24" s="14" t="s">
        <v>1240</v>
      </c>
      <c r="E24" s="14" t="s">
        <v>1241</v>
      </c>
      <c r="F24" s="14" t="s">
        <v>1242</v>
      </c>
      <c r="G24" s="14" t="s">
        <v>116</v>
      </c>
      <c r="H24" s="14" t="s">
        <v>1100</v>
      </c>
      <c r="I24" s="14"/>
      <c r="J24" s="14"/>
      <c r="K24" s="14"/>
      <c r="L24" s="14"/>
      <c r="M24" s="14"/>
      <c r="N24" s="14"/>
    </row>
    <row r="25" spans="1:16">
      <c r="A25" s="12" t="s">
        <v>1243</v>
      </c>
      <c r="B25" s="12"/>
      <c r="C25" s="19"/>
      <c r="D25" s="19">
        <f>+'F-2'!Q11</f>
        <v>0</v>
      </c>
      <c r="E25" s="12"/>
      <c r="F25" s="12"/>
      <c r="G25" s="19"/>
      <c r="H25" s="19">
        <f>+D25+E25+F25+G25</f>
        <v>0</v>
      </c>
      <c r="I25" s="12"/>
      <c r="J25" s="12"/>
      <c r="K25" s="12"/>
      <c r="L25" s="12"/>
      <c r="M25" s="19">
        <f>H25+I25+J25+K25+L25</f>
        <v>0</v>
      </c>
      <c r="N25" s="12" t="s">
        <v>145</v>
      </c>
    </row>
    <row r="26" spans="1:16">
      <c r="A26" s="12" t="s">
        <v>1244</v>
      </c>
      <c r="B26" s="12"/>
      <c r="C26" s="19"/>
      <c r="D26" s="19">
        <f>+'F-2'!Q12</f>
        <v>0</v>
      </c>
      <c r="E26" s="19"/>
      <c r="F26" s="19"/>
      <c r="G26" s="19"/>
      <c r="H26" s="19">
        <f t="shared" ref="H26:H31" si="3">+D26+E26+F26+G26</f>
        <v>0</v>
      </c>
      <c r="I26" s="12"/>
      <c r="J26" s="12"/>
      <c r="K26" s="12"/>
      <c r="L26" s="12"/>
      <c r="M26" s="19">
        <f t="shared" ref="M26:M31" si="4">H26+I26+J26+K26+L26</f>
        <v>0</v>
      </c>
      <c r="N26" s="12"/>
    </row>
    <row r="27" spans="1:16">
      <c r="A27" s="12" t="s">
        <v>1245</v>
      </c>
      <c r="B27" s="12"/>
      <c r="C27" s="19">
        <f>+'F-2'!M89+'F-2'!N89+'F-2'!O89-'F-2'!N87-'F-2'!O19</f>
        <v>142.35000000000002</v>
      </c>
      <c r="D27" s="19">
        <f>+'F-2'!Q89-I27-F27-G27-'F-2'!N87-'F-2'!O19+'F-2'!R87</f>
        <v>62.480000000000018</v>
      </c>
      <c r="E27" s="19"/>
      <c r="F27" s="1001"/>
      <c r="G27" s="1001"/>
      <c r="H27" s="19">
        <f t="shared" si="3"/>
        <v>62.480000000000018</v>
      </c>
      <c r="I27" s="19">
        <v>0</v>
      </c>
      <c r="J27" s="12"/>
      <c r="K27" s="12"/>
      <c r="L27" s="12"/>
      <c r="M27" s="19">
        <f t="shared" si="4"/>
        <v>62.480000000000018</v>
      </c>
      <c r="N27" s="12" t="s">
        <v>145</v>
      </c>
    </row>
    <row r="28" spans="1:16">
      <c r="A28" s="12" t="s">
        <v>1246</v>
      </c>
      <c r="B28" s="12"/>
      <c r="C28" s="19"/>
      <c r="D28" s="19"/>
      <c r="E28" s="12"/>
      <c r="F28" s="19"/>
      <c r="G28" s="12"/>
      <c r="H28" s="19">
        <f t="shared" si="3"/>
        <v>0</v>
      </c>
      <c r="I28" s="12"/>
      <c r="J28" s="19"/>
      <c r="K28" s="12"/>
      <c r="L28" s="12"/>
      <c r="M28" s="19">
        <f t="shared" si="4"/>
        <v>0</v>
      </c>
      <c r="N28" s="12"/>
    </row>
    <row r="29" spans="1:16">
      <c r="A29" s="12" t="s">
        <v>751</v>
      </c>
      <c r="B29" s="12"/>
      <c r="C29" s="19"/>
      <c r="D29" s="19">
        <f>+'F-2'!Q13</f>
        <v>0</v>
      </c>
      <c r="E29" s="12"/>
      <c r="F29" s="19"/>
      <c r="G29" s="19"/>
      <c r="H29" s="19">
        <f>+D29+E29+F29+G29</f>
        <v>0</v>
      </c>
      <c r="I29" s="12"/>
      <c r="J29" s="19"/>
      <c r="K29" s="12"/>
      <c r="L29" s="12"/>
      <c r="M29" s="19">
        <f t="shared" si="4"/>
        <v>0</v>
      </c>
      <c r="N29" s="12" t="s">
        <v>145</v>
      </c>
    </row>
    <row r="30" spans="1:16">
      <c r="A30" s="12" t="s">
        <v>121</v>
      </c>
      <c r="B30" s="12"/>
      <c r="C30" s="19"/>
      <c r="D30" s="19">
        <f>+'F-2'!Q14</f>
        <v>0</v>
      </c>
      <c r="E30" s="12"/>
      <c r="F30" s="12"/>
      <c r="G30" s="19"/>
      <c r="H30" s="19">
        <f>+D30+E30+F30+G30</f>
        <v>0</v>
      </c>
      <c r="I30" s="12"/>
      <c r="J30" s="12"/>
      <c r="K30" s="12"/>
      <c r="L30" s="12"/>
      <c r="M30" s="19">
        <f t="shared" si="4"/>
        <v>0</v>
      </c>
      <c r="N30" s="12"/>
    </row>
    <row r="31" spans="1:16">
      <c r="A31" s="12" t="s">
        <v>685</v>
      </c>
      <c r="B31" s="12"/>
      <c r="C31" s="19"/>
      <c r="D31" s="19">
        <f>+'F-2'!Q15</f>
        <v>0</v>
      </c>
      <c r="E31" s="12"/>
      <c r="F31" s="12"/>
      <c r="G31" s="19"/>
      <c r="H31" s="19">
        <f t="shared" si="3"/>
        <v>0</v>
      </c>
      <c r="I31" s="12"/>
      <c r="J31" s="12"/>
      <c r="K31" s="12"/>
      <c r="L31" s="12"/>
      <c r="M31" s="19">
        <f t="shared" si="4"/>
        <v>0</v>
      </c>
      <c r="N31" s="12" t="s">
        <v>145</v>
      </c>
    </row>
    <row r="32" spans="1:16">
      <c r="A32" s="12"/>
      <c r="B32" s="12"/>
      <c r="C32" s="12"/>
      <c r="D32" s="19"/>
      <c r="E32" s="12"/>
      <c r="F32" s="12"/>
      <c r="G32" s="12"/>
      <c r="H32" s="12"/>
      <c r="I32" s="12"/>
      <c r="J32" s="12"/>
      <c r="K32" s="12"/>
      <c r="L32" s="12"/>
      <c r="M32" s="12"/>
      <c r="N32" s="12"/>
    </row>
    <row r="33" spans="1:16" ht="13">
      <c r="A33" s="24" t="s">
        <v>1100</v>
      </c>
      <c r="B33" s="14"/>
      <c r="C33" s="20">
        <f t="shared" ref="C33:L33" si="5">SUM(C25:C32)</f>
        <v>142.35000000000002</v>
      </c>
      <c r="D33" s="20">
        <f t="shared" si="5"/>
        <v>62.480000000000018</v>
      </c>
      <c r="E33" s="20">
        <f t="shared" si="5"/>
        <v>0</v>
      </c>
      <c r="F33" s="20">
        <f>SUM(F26:F32)</f>
        <v>0</v>
      </c>
      <c r="G33" s="20">
        <f t="shared" si="5"/>
        <v>0</v>
      </c>
      <c r="H33" s="20">
        <f t="shared" si="5"/>
        <v>62.480000000000018</v>
      </c>
      <c r="I33" s="20">
        <f t="shared" si="5"/>
        <v>0</v>
      </c>
      <c r="J33" s="20">
        <f t="shared" si="5"/>
        <v>0</v>
      </c>
      <c r="K33" s="20">
        <f t="shared" si="5"/>
        <v>0</v>
      </c>
      <c r="L33" s="20">
        <f t="shared" si="5"/>
        <v>0</v>
      </c>
      <c r="M33" s="20">
        <f>SUM(M25:M32)</f>
        <v>62.480000000000018</v>
      </c>
      <c r="N33" s="14"/>
      <c r="O33" s="3"/>
      <c r="P33" s="3">
        <f>+M33-'F-2'!Q89</f>
        <v>-249.27550996483001</v>
      </c>
    </row>
    <row r="34" spans="1:16" ht="13">
      <c r="A34" s="24"/>
      <c r="B34" s="14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4"/>
      <c r="O34" s="3"/>
    </row>
    <row r="35" spans="1:16">
      <c r="A35" s="12" t="s">
        <v>143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9"/>
      <c r="N35" s="12"/>
    </row>
    <row r="36" spans="1:16">
      <c r="E36" s="3"/>
      <c r="G36" s="3"/>
      <c r="H36" s="3">
        <f>'F-2'!Q19</f>
        <v>311.75550996483003</v>
      </c>
      <c r="J36" s="3"/>
      <c r="M36" s="3"/>
    </row>
    <row r="37" spans="1:16">
      <c r="E37" s="3"/>
      <c r="F37" s="3"/>
      <c r="H37" s="3">
        <f>H33-H36</f>
        <v>-249.27550996483001</v>
      </c>
      <c r="M37" s="229"/>
    </row>
    <row r="38" spans="1:16">
      <c r="H38" s="3"/>
      <c r="M38" s="3"/>
    </row>
    <row r="39" spans="1:16">
      <c r="E39" s="3"/>
      <c r="M39" s="3"/>
    </row>
    <row r="40" spans="1:16">
      <c r="M40" s="3"/>
    </row>
  </sheetData>
  <mergeCells count="2">
    <mergeCell ref="D7:H7"/>
    <mergeCell ref="D23:H23"/>
  </mergeCells>
  <phoneticPr fontId="0" type="noConversion"/>
  <printOptions horizontalCentered="1"/>
  <pageMargins left="0.75" right="0.75" top="1" bottom="1" header="0.5" footer="0.5"/>
  <pageSetup scale="72" orientation="landscape" r:id="rId1"/>
  <headerFooter alignWithMargins="0">
    <oddFooter>&amp;ROERC FORM No. -F29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3" tint="0.39997558519241921"/>
  </sheetPr>
  <dimension ref="A1:H51"/>
  <sheetViews>
    <sheetView workbookViewId="0">
      <selection activeCell="L14" sqref="L14"/>
    </sheetView>
  </sheetViews>
  <sheetFormatPr defaultRowHeight="12.5"/>
  <cols>
    <col min="1" max="1" width="35.54296875" customWidth="1"/>
    <col min="2" max="2" width="47.453125" customWidth="1"/>
    <col min="3" max="4" width="12" bestFit="1" customWidth="1"/>
  </cols>
  <sheetData>
    <row r="1" spans="1:8" ht="13">
      <c r="A1" s="3311" t="s">
        <v>7077</v>
      </c>
      <c r="B1" s="3311"/>
      <c r="C1" s="3311"/>
      <c r="D1" s="3311"/>
      <c r="E1" s="3311"/>
      <c r="F1" s="3311"/>
      <c r="G1" s="3311"/>
      <c r="H1" s="3311"/>
    </row>
    <row r="2" spans="1:8">
      <c r="A2" s="3312"/>
      <c r="B2" s="3314" t="s">
        <v>5430</v>
      </c>
      <c r="C2" s="2043" t="s">
        <v>7019</v>
      </c>
      <c r="D2" s="2043" t="s">
        <v>7019</v>
      </c>
      <c r="F2" s="3316" t="s">
        <v>7078</v>
      </c>
      <c r="G2" s="3317" t="s">
        <v>118</v>
      </c>
      <c r="H2" s="3317"/>
    </row>
    <row r="3" spans="1:8">
      <c r="A3" s="3313"/>
      <c r="B3" s="3315"/>
      <c r="C3" s="2043" t="s">
        <v>7079</v>
      </c>
      <c r="D3" s="2043" t="s">
        <v>7080</v>
      </c>
      <c r="F3" s="3316"/>
      <c r="G3" s="2043" t="s">
        <v>7079</v>
      </c>
      <c r="H3" s="2043" t="s">
        <v>7080</v>
      </c>
    </row>
    <row r="4" spans="1:8" ht="14">
      <c r="A4" s="3307" t="s">
        <v>7054</v>
      </c>
      <c r="B4" s="2044" t="s">
        <v>7081</v>
      </c>
      <c r="C4" s="2045">
        <v>9.99</v>
      </c>
      <c r="D4" s="2046">
        <v>5</v>
      </c>
      <c r="F4" s="2047">
        <v>6.3299999999999995E-2</v>
      </c>
      <c r="G4" s="2048">
        <f>C4*F4/2</f>
        <v>0.31618350000000001</v>
      </c>
      <c r="H4" s="2048">
        <f>D4*F4/2+C4*F4</f>
        <v>0.79061700000000001</v>
      </c>
    </row>
    <row r="5" spans="1:8" ht="14">
      <c r="A5" s="3307"/>
      <c r="B5" s="2044" t="s">
        <v>7082</v>
      </c>
      <c r="C5" s="2045">
        <v>1.4</v>
      </c>
      <c r="D5" s="2046"/>
      <c r="F5" s="2047">
        <v>3.3399999999999999E-2</v>
      </c>
      <c r="G5" s="2048">
        <f t="shared" ref="G5:G8" si="0">C5*F5/2</f>
        <v>2.3379999999999998E-2</v>
      </c>
      <c r="H5" s="2048">
        <f>D5*F5/2+C5*F5</f>
        <v>4.6759999999999996E-2</v>
      </c>
    </row>
    <row r="6" spans="1:8" ht="14">
      <c r="A6" s="3307"/>
      <c r="B6" s="2044" t="s">
        <v>7083</v>
      </c>
      <c r="C6" s="2045">
        <v>7</v>
      </c>
      <c r="D6" s="2046"/>
      <c r="F6" s="2047">
        <v>3.3399999999999999E-2</v>
      </c>
      <c r="G6" s="2048">
        <f t="shared" si="0"/>
        <v>0.1169</v>
      </c>
      <c r="H6" s="2048">
        <f>D6*F6/2+C6*F6</f>
        <v>0.23380000000000001</v>
      </c>
    </row>
    <row r="7" spans="1:8" ht="14">
      <c r="A7" s="3307"/>
      <c r="B7" s="2044" t="s">
        <v>7084</v>
      </c>
      <c r="C7" s="2045">
        <v>5</v>
      </c>
      <c r="D7" s="2046"/>
      <c r="F7" s="2047">
        <v>3.3399999999999999E-2</v>
      </c>
      <c r="G7" s="2048">
        <f t="shared" si="0"/>
        <v>8.3499999999999991E-2</v>
      </c>
      <c r="H7" s="2048">
        <f>D7*F7/2+C7*F7</f>
        <v>0.16699999999999998</v>
      </c>
    </row>
    <row r="8" spans="1:8" ht="14">
      <c r="A8" s="3307"/>
      <c r="B8" s="2044" t="s">
        <v>7085</v>
      </c>
      <c r="C8" s="2045">
        <v>2.4700000000000002</v>
      </c>
      <c r="D8" s="2046">
        <v>2</v>
      </c>
      <c r="F8" s="2047">
        <v>3.3399999999999999E-2</v>
      </c>
      <c r="G8" s="2048">
        <f t="shared" si="0"/>
        <v>4.1249000000000001E-2</v>
      </c>
      <c r="H8" s="2048">
        <f>D8*F8/2+C8*F8</f>
        <v>0.115898</v>
      </c>
    </row>
    <row r="9" spans="1:8" ht="14">
      <c r="A9" s="3307"/>
      <c r="B9" s="2049" t="s">
        <v>7086</v>
      </c>
      <c r="C9" s="2050">
        <f>SUM(C4:C8)</f>
        <v>25.86</v>
      </c>
      <c r="D9" s="2050">
        <f>SUM(D4:D8)</f>
        <v>7</v>
      </c>
      <c r="F9" s="12"/>
      <c r="G9" s="2050">
        <f t="shared" ref="G9:H9" si="1">SUM(G4:G8)</f>
        <v>0.58121250000000002</v>
      </c>
      <c r="H9" s="2050">
        <f t="shared" si="1"/>
        <v>1.3540750000000001</v>
      </c>
    </row>
    <row r="10" spans="1:8" ht="28">
      <c r="A10" s="3307" t="s">
        <v>7055</v>
      </c>
      <c r="B10" s="2044" t="s">
        <v>7087</v>
      </c>
      <c r="C10" s="2051"/>
      <c r="D10" s="2046"/>
      <c r="F10" s="12"/>
      <c r="G10" s="12"/>
      <c r="H10" s="12"/>
    </row>
    <row r="11" spans="1:8" ht="28">
      <c r="A11" s="3307"/>
      <c r="B11" s="2044" t="s">
        <v>7088</v>
      </c>
      <c r="C11" s="2045">
        <v>8.68</v>
      </c>
      <c r="D11" s="2052">
        <v>28</v>
      </c>
      <c r="F11" s="2047">
        <v>5.28E-2</v>
      </c>
      <c r="G11" s="2048">
        <f t="shared" ref="G11:G12" si="2">C11*F11/2</f>
        <v>0.22915199999999999</v>
      </c>
      <c r="H11" s="2048">
        <f>D11*F11/2+C11*F11</f>
        <v>1.1975039999999999</v>
      </c>
    </row>
    <row r="12" spans="1:8" ht="14">
      <c r="A12" s="3307"/>
      <c r="B12" s="2044" t="s">
        <v>7089</v>
      </c>
      <c r="C12" s="2045">
        <v>6</v>
      </c>
      <c r="D12" s="2046"/>
      <c r="F12" s="2047">
        <v>5.28E-2</v>
      </c>
      <c r="G12" s="2048">
        <f t="shared" si="2"/>
        <v>0.15839999999999999</v>
      </c>
      <c r="H12" s="2048">
        <f>D12*F12/2+C12*F12</f>
        <v>0.31679999999999997</v>
      </c>
    </row>
    <row r="13" spans="1:8" ht="14">
      <c r="A13" s="3307"/>
      <c r="B13" s="2044" t="s">
        <v>7090</v>
      </c>
      <c r="C13" s="2045"/>
      <c r="D13" s="2046"/>
      <c r="F13" s="12"/>
      <c r="G13" s="12"/>
      <c r="H13" s="12"/>
    </row>
    <row r="14" spans="1:8" ht="14">
      <c r="A14" s="3307"/>
      <c r="B14" s="2053" t="s">
        <v>7091</v>
      </c>
      <c r="C14" s="2054"/>
      <c r="D14" s="2055"/>
      <c r="F14" s="12"/>
      <c r="G14" s="12"/>
      <c r="H14" s="12"/>
    </row>
    <row r="15" spans="1:8" ht="14">
      <c r="A15" s="3307"/>
      <c r="B15" s="2044"/>
      <c r="C15" s="2045"/>
      <c r="D15" s="2046"/>
      <c r="F15" s="12"/>
      <c r="G15" s="12"/>
      <c r="H15" s="12"/>
    </row>
    <row r="16" spans="1:8" ht="14">
      <c r="A16" s="3307"/>
      <c r="B16" s="2049" t="s">
        <v>7092</v>
      </c>
      <c r="C16" s="2050">
        <f>SUM(C10:C15)</f>
        <v>14.68</v>
      </c>
      <c r="D16" s="2050">
        <f t="shared" ref="D16" si="3">SUM(D10:D15)</f>
        <v>28</v>
      </c>
      <c r="F16" s="12"/>
      <c r="G16" s="2050">
        <f t="shared" ref="G16:H16" si="4">SUM(G10:G15)</f>
        <v>0.38755200000000001</v>
      </c>
      <c r="H16" s="2050">
        <f t="shared" si="4"/>
        <v>1.5143039999999999</v>
      </c>
    </row>
    <row r="17" spans="1:8" ht="14">
      <c r="A17" s="3307" t="s">
        <v>7056</v>
      </c>
      <c r="B17" s="2044" t="s">
        <v>7093</v>
      </c>
      <c r="C17" s="2045">
        <v>2.4</v>
      </c>
      <c r="D17" s="2046">
        <v>5.6818181818181825</v>
      </c>
      <c r="F17" s="2047">
        <v>5.28E-2</v>
      </c>
      <c r="G17" s="2048">
        <f t="shared" ref="G17:G26" si="5">C17*F17/2</f>
        <v>6.336E-2</v>
      </c>
      <c r="H17" s="2048">
        <f t="shared" ref="H17:H26" si="6">D17*F17/2+C17*F17</f>
        <v>0.27672000000000002</v>
      </c>
    </row>
    <row r="18" spans="1:8" ht="14">
      <c r="A18" s="3307"/>
      <c r="B18" s="2044" t="s">
        <v>7094</v>
      </c>
      <c r="C18" s="2045">
        <v>1.2</v>
      </c>
      <c r="D18" s="2046">
        <v>2.8409090909090913</v>
      </c>
      <c r="F18" s="2047">
        <v>5.28E-2</v>
      </c>
      <c r="G18" s="2048">
        <f t="shared" si="5"/>
        <v>3.168E-2</v>
      </c>
      <c r="H18" s="2048">
        <f t="shared" si="6"/>
        <v>0.13836000000000001</v>
      </c>
    </row>
    <row r="19" spans="1:8" ht="14">
      <c r="A19" s="3307"/>
      <c r="B19" s="2044" t="s">
        <v>7095</v>
      </c>
      <c r="C19" s="2045">
        <v>3.75</v>
      </c>
      <c r="D19" s="2046">
        <v>8.8778409090909101</v>
      </c>
      <c r="F19" s="2047">
        <v>5.28E-2</v>
      </c>
      <c r="G19" s="2048">
        <f t="shared" si="5"/>
        <v>9.9000000000000005E-2</v>
      </c>
      <c r="H19" s="2048">
        <f t="shared" si="6"/>
        <v>0.43237500000000006</v>
      </c>
    </row>
    <row r="20" spans="1:8" ht="14">
      <c r="A20" s="3307"/>
      <c r="B20" s="2044" t="s">
        <v>7096</v>
      </c>
      <c r="C20" s="2045">
        <v>3</v>
      </c>
      <c r="D20" s="2046">
        <v>7.1022727272727284</v>
      </c>
      <c r="F20" s="2047">
        <v>5.28E-2</v>
      </c>
      <c r="G20" s="2048">
        <f t="shared" si="5"/>
        <v>7.9199999999999993E-2</v>
      </c>
      <c r="H20" s="2048">
        <f t="shared" si="6"/>
        <v>0.34589999999999999</v>
      </c>
    </row>
    <row r="21" spans="1:8" ht="14">
      <c r="A21" s="3307"/>
      <c r="B21" s="2044" t="s">
        <v>7097</v>
      </c>
      <c r="C21" s="2045">
        <v>2.1</v>
      </c>
      <c r="D21" s="2046">
        <v>4.9715909090909101</v>
      </c>
      <c r="F21" s="2047">
        <v>5.28E-2</v>
      </c>
      <c r="G21" s="2048">
        <f t="shared" si="5"/>
        <v>5.5440000000000003E-2</v>
      </c>
      <c r="H21" s="2048">
        <f t="shared" si="6"/>
        <v>0.24213000000000004</v>
      </c>
    </row>
    <row r="22" spans="1:8" ht="14">
      <c r="A22" s="3307"/>
      <c r="B22" s="2044" t="s">
        <v>7098</v>
      </c>
      <c r="C22" s="2045">
        <v>2.7</v>
      </c>
      <c r="D22" s="2046">
        <v>6.3920454545454559</v>
      </c>
      <c r="F22" s="2047">
        <v>5.28E-2</v>
      </c>
      <c r="G22" s="2048">
        <f t="shared" si="5"/>
        <v>7.128000000000001E-2</v>
      </c>
      <c r="H22" s="2048">
        <f t="shared" si="6"/>
        <v>0.31131000000000009</v>
      </c>
    </row>
    <row r="23" spans="1:8" ht="14">
      <c r="A23" s="3307"/>
      <c r="B23" s="2044" t="s">
        <v>7099</v>
      </c>
      <c r="C23" s="2045">
        <v>3.1</v>
      </c>
      <c r="D23" s="2046">
        <v>7.3390151515151523</v>
      </c>
      <c r="F23" s="2047">
        <v>5.28E-2</v>
      </c>
      <c r="G23" s="2048">
        <f t="shared" si="5"/>
        <v>8.1839999999999996E-2</v>
      </c>
      <c r="H23" s="2048">
        <f t="shared" si="6"/>
        <v>0.35743000000000003</v>
      </c>
    </row>
    <row r="24" spans="1:8" ht="28">
      <c r="A24" s="3307"/>
      <c r="B24" s="2044" t="s">
        <v>7100</v>
      </c>
      <c r="C24" s="2045">
        <v>2</v>
      </c>
      <c r="D24" s="2046">
        <v>4.7348484848484853</v>
      </c>
      <c r="F24" s="2047">
        <v>5.28E-2</v>
      </c>
      <c r="G24" s="2048">
        <f t="shared" si="5"/>
        <v>5.28E-2</v>
      </c>
      <c r="H24" s="2048">
        <f t="shared" si="6"/>
        <v>0.2306</v>
      </c>
    </row>
    <row r="25" spans="1:8" ht="14">
      <c r="A25" s="3307"/>
      <c r="B25" s="2056" t="s">
        <v>7101</v>
      </c>
      <c r="C25" s="2045">
        <v>0.22</v>
      </c>
      <c r="D25" s="2046">
        <v>0.52083333333333337</v>
      </c>
      <c r="F25" s="2047">
        <v>5.28E-2</v>
      </c>
      <c r="G25" s="2048">
        <f t="shared" si="5"/>
        <v>5.8079999999999998E-3</v>
      </c>
      <c r="H25" s="2048">
        <f t="shared" si="6"/>
        <v>2.5366E-2</v>
      </c>
    </row>
    <row r="26" spans="1:8" ht="14">
      <c r="A26" s="3307"/>
      <c r="B26" s="2056" t="s">
        <v>7102</v>
      </c>
      <c r="C26" s="2045">
        <v>0.65</v>
      </c>
      <c r="D26" s="2046">
        <v>1.5388257575757578</v>
      </c>
      <c r="F26" s="2047">
        <v>5.28E-2</v>
      </c>
      <c r="G26" s="2048">
        <f t="shared" si="5"/>
        <v>1.7160000000000002E-2</v>
      </c>
      <c r="H26" s="2048">
        <f t="shared" si="6"/>
        <v>7.4945000000000012E-2</v>
      </c>
    </row>
    <row r="27" spans="1:8" ht="14">
      <c r="A27" s="3307"/>
      <c r="B27" s="2057" t="s">
        <v>7103</v>
      </c>
      <c r="C27" s="2054"/>
      <c r="D27" s="2055"/>
      <c r="F27" s="12"/>
      <c r="G27" s="12"/>
      <c r="H27" s="2048">
        <f>D27*G27/2+C27*F27</f>
        <v>0</v>
      </c>
    </row>
    <row r="28" spans="1:8" ht="14">
      <c r="A28" s="3307"/>
      <c r="B28" s="2057" t="s">
        <v>7104</v>
      </c>
      <c r="C28" s="2054"/>
      <c r="D28" s="2055"/>
      <c r="F28" s="12"/>
      <c r="G28" s="12"/>
      <c r="H28" s="12"/>
    </row>
    <row r="29" spans="1:8" ht="14">
      <c r="A29" s="3307"/>
      <c r="B29" s="2049" t="s">
        <v>7105</v>
      </c>
      <c r="C29" s="2050">
        <f>SUM(C17:C28)</f>
        <v>21.119999999999997</v>
      </c>
      <c r="D29" s="2050">
        <f t="shared" ref="D29" si="7">SUM(D17:D28)</f>
        <v>50.000000000000014</v>
      </c>
      <c r="F29" s="12"/>
      <c r="G29" s="2050">
        <f t="shared" ref="G29:H29" si="8">SUM(G17:G28)</f>
        <v>0.55756799999999995</v>
      </c>
      <c r="H29" s="2050">
        <f t="shared" si="8"/>
        <v>2.435136</v>
      </c>
    </row>
    <row r="30" spans="1:8" ht="28">
      <c r="A30" s="3307" t="s">
        <v>7057</v>
      </c>
      <c r="B30" s="2044" t="s">
        <v>7106</v>
      </c>
      <c r="C30" s="2045">
        <v>4.0999999999999996</v>
      </c>
      <c r="D30" s="2046">
        <v>60</v>
      </c>
      <c r="F30" s="2047">
        <v>5.28E-2</v>
      </c>
      <c r="G30" s="2048">
        <f t="shared" ref="G30" si="9">C30*F30/2</f>
        <v>0.10823999999999999</v>
      </c>
      <c r="H30" s="2048">
        <f>D30*F30/2+C30*F30</f>
        <v>1.8004800000000001</v>
      </c>
    </row>
    <row r="31" spans="1:8" ht="14">
      <c r="A31" s="3307"/>
      <c r="B31" s="2044" t="s">
        <v>7107</v>
      </c>
      <c r="C31" s="2045"/>
      <c r="D31" s="2046"/>
      <c r="F31" s="12"/>
      <c r="G31" s="12"/>
      <c r="H31" s="12"/>
    </row>
    <row r="32" spans="1:8" ht="14">
      <c r="A32" s="3307"/>
      <c r="B32" s="2049" t="s">
        <v>7108</v>
      </c>
      <c r="C32" s="2050">
        <f>SUM(C30:C31)</f>
        <v>4.0999999999999996</v>
      </c>
      <c r="D32" s="2050">
        <f t="shared" ref="D32" si="10">SUM(D30:D31)</f>
        <v>60</v>
      </c>
      <c r="F32" s="2050"/>
      <c r="G32" s="2050">
        <f>SUM(G30:G31)</f>
        <v>0.10823999999999999</v>
      </c>
      <c r="H32" s="2050">
        <f t="shared" ref="H32" si="11">SUM(H30:H31)</f>
        <v>1.8004800000000001</v>
      </c>
    </row>
    <row r="33" spans="1:8" ht="28">
      <c r="A33" s="3308" t="s">
        <v>7058</v>
      </c>
      <c r="B33" s="2044" t="s">
        <v>7109</v>
      </c>
      <c r="C33" s="2045">
        <v>10.56</v>
      </c>
      <c r="D33" s="2052">
        <v>13.094000944733114</v>
      </c>
      <c r="F33" s="2058">
        <v>0.15</v>
      </c>
      <c r="G33" s="2048">
        <f t="shared" ref="G33:G44" si="12">C33*F33/2</f>
        <v>0.79200000000000004</v>
      </c>
      <c r="H33" s="2048">
        <f t="shared" ref="H33:H44" si="13">D33*F33/2+C33*F33</f>
        <v>2.5660500708549838</v>
      </c>
    </row>
    <row r="34" spans="1:8" ht="28">
      <c r="A34" s="3309"/>
      <c r="B34" s="2044" t="s">
        <v>7110</v>
      </c>
      <c r="C34" s="2045">
        <v>12.87</v>
      </c>
      <c r="D34" s="2052">
        <v>15.95831365139348</v>
      </c>
      <c r="F34" s="2058">
        <v>0.15</v>
      </c>
      <c r="G34" s="2048">
        <f t="shared" si="12"/>
        <v>0.96524999999999994</v>
      </c>
      <c r="H34" s="2048">
        <f t="shared" si="13"/>
        <v>3.1273735238545108</v>
      </c>
    </row>
    <row r="35" spans="1:8" ht="28">
      <c r="A35" s="3309"/>
      <c r="B35" s="2044" t="s">
        <v>7111</v>
      </c>
      <c r="C35" s="2045">
        <v>19.43</v>
      </c>
      <c r="D35" s="2052">
        <v>24.092465753424658</v>
      </c>
      <c r="F35" s="2058">
        <v>0.15</v>
      </c>
      <c r="G35" s="2048">
        <f t="shared" si="12"/>
        <v>1.4572499999999999</v>
      </c>
      <c r="H35" s="2048">
        <f t="shared" si="13"/>
        <v>4.7214349315068489</v>
      </c>
    </row>
    <row r="36" spans="1:8" ht="14">
      <c r="A36" s="3309"/>
      <c r="B36" s="2044" t="s">
        <v>7112</v>
      </c>
      <c r="C36" s="2045">
        <v>5.45</v>
      </c>
      <c r="D36" s="2052">
        <v>6.7577940481813892</v>
      </c>
      <c r="F36" s="2058">
        <v>0.15</v>
      </c>
      <c r="G36" s="2048">
        <f t="shared" si="12"/>
        <v>0.40875</v>
      </c>
      <c r="H36" s="2048">
        <f t="shared" si="13"/>
        <v>1.3243345536136042</v>
      </c>
    </row>
    <row r="37" spans="1:8" ht="14">
      <c r="A37" s="3309"/>
      <c r="B37" s="2044" t="s">
        <v>7113</v>
      </c>
      <c r="C37" s="2045">
        <v>14.71</v>
      </c>
      <c r="D37" s="2052">
        <v>18.239844119036373</v>
      </c>
      <c r="F37" s="2058">
        <v>0.15</v>
      </c>
      <c r="G37" s="2048">
        <f t="shared" si="12"/>
        <v>1.1032500000000001</v>
      </c>
      <c r="H37" s="2048">
        <f t="shared" si="13"/>
        <v>3.5744883089277284</v>
      </c>
    </row>
    <row r="38" spans="1:8" ht="14">
      <c r="A38" s="3309"/>
      <c r="B38" s="2044" t="s">
        <v>7114</v>
      </c>
      <c r="C38" s="2045">
        <v>5.46</v>
      </c>
      <c r="D38" s="2052">
        <v>6.770193670288144</v>
      </c>
      <c r="F38" s="2058">
        <v>0.15</v>
      </c>
      <c r="G38" s="2048">
        <f t="shared" si="12"/>
        <v>0.40949999999999998</v>
      </c>
      <c r="H38" s="2048">
        <f t="shared" si="13"/>
        <v>1.3267645252716107</v>
      </c>
    </row>
    <row r="39" spans="1:8" ht="14">
      <c r="A39" s="3309"/>
      <c r="B39" s="2044" t="s">
        <v>7115</v>
      </c>
      <c r="C39" s="2045">
        <v>8.5</v>
      </c>
      <c r="D39" s="2052">
        <v>10.539678790741615</v>
      </c>
      <c r="F39" s="2047">
        <v>3.3399999999999999E-2</v>
      </c>
      <c r="G39" s="2048">
        <f t="shared" si="12"/>
        <v>0.14194999999999999</v>
      </c>
      <c r="H39" s="2048">
        <f t="shared" si="13"/>
        <v>0.45991263580538494</v>
      </c>
    </row>
    <row r="40" spans="1:8" ht="14">
      <c r="A40" s="3309"/>
      <c r="B40" s="2044" t="s">
        <v>7116</v>
      </c>
      <c r="C40" s="2045"/>
      <c r="D40" s="2052">
        <v>0</v>
      </c>
      <c r="F40" s="12"/>
      <c r="G40" s="2048">
        <f t="shared" si="12"/>
        <v>0</v>
      </c>
      <c r="H40" s="2048">
        <f t="shared" si="13"/>
        <v>0</v>
      </c>
    </row>
    <row r="41" spans="1:8" ht="14">
      <c r="A41" s="3309"/>
      <c r="B41" s="2044" t="s">
        <v>7117</v>
      </c>
      <c r="C41" s="2045">
        <v>2</v>
      </c>
      <c r="D41" s="2052">
        <v>2.4799244213509684</v>
      </c>
      <c r="F41" s="2047">
        <v>3.3399999999999999E-2</v>
      </c>
      <c r="G41" s="2048">
        <f t="shared" si="12"/>
        <v>3.3399999999999999E-2</v>
      </c>
      <c r="H41" s="2048">
        <f t="shared" si="13"/>
        <v>0.10821473783656116</v>
      </c>
    </row>
    <row r="42" spans="1:8" ht="14">
      <c r="A42" s="3309"/>
      <c r="B42" s="2044" t="s">
        <v>7118</v>
      </c>
      <c r="C42" s="2045">
        <v>0.5</v>
      </c>
      <c r="D42" s="2052">
        <v>0.61998110533774209</v>
      </c>
      <c r="F42" s="2047">
        <v>3.3399999999999999E-2</v>
      </c>
      <c r="G42" s="2048">
        <f t="shared" si="12"/>
        <v>8.3499999999999998E-3</v>
      </c>
      <c r="H42" s="2048">
        <f t="shared" si="13"/>
        <v>2.705368445914029E-2</v>
      </c>
    </row>
    <row r="43" spans="1:8" ht="14">
      <c r="A43" s="3309"/>
      <c r="B43" s="2044" t="s">
        <v>7119</v>
      </c>
      <c r="C43" s="2045">
        <v>2.25</v>
      </c>
      <c r="D43" s="2052">
        <v>2.7899149740198395</v>
      </c>
      <c r="F43" s="2047">
        <v>6.3299999999999995E-2</v>
      </c>
      <c r="G43" s="2048">
        <f t="shared" si="12"/>
        <v>7.1212499999999998E-2</v>
      </c>
      <c r="H43" s="2048">
        <f t="shared" si="13"/>
        <v>0.23072580892772793</v>
      </c>
    </row>
    <row r="44" spans="1:8" ht="14">
      <c r="A44" s="3309"/>
      <c r="B44" s="2044" t="s">
        <v>7120</v>
      </c>
      <c r="C44" s="2045">
        <v>2.95</v>
      </c>
      <c r="D44" s="2052">
        <v>3.6578885214926786</v>
      </c>
      <c r="F44" s="2047">
        <v>6.3299999999999995E-2</v>
      </c>
      <c r="G44" s="2048">
        <f t="shared" si="12"/>
        <v>9.3367499999999992E-2</v>
      </c>
      <c r="H44" s="2048">
        <f t="shared" si="13"/>
        <v>0.30250717170524327</v>
      </c>
    </row>
    <row r="45" spans="1:8" ht="14">
      <c r="A45" s="3309"/>
      <c r="B45" s="2053" t="s">
        <v>7121</v>
      </c>
      <c r="C45" s="2054"/>
      <c r="D45" s="2055"/>
      <c r="F45" s="12"/>
      <c r="G45" s="12"/>
      <c r="H45" s="12"/>
    </row>
    <row r="46" spans="1:8" ht="14">
      <c r="A46" s="3310"/>
      <c r="B46" s="2049" t="s">
        <v>7122</v>
      </c>
      <c r="C46" s="2050">
        <f>SUM(C33:C45)</f>
        <v>84.68</v>
      </c>
      <c r="D46" s="2050">
        <f>SUM(D33:D45)</f>
        <v>105.00000000000001</v>
      </c>
      <c r="F46" s="2050"/>
      <c r="G46" s="2050">
        <f>SUM(G33:G45)</f>
        <v>5.4842799999999992</v>
      </c>
      <c r="H46" s="2050">
        <f t="shared" ref="H46" si="14">SUM(H33:H45)</f>
        <v>17.768859952763346</v>
      </c>
    </row>
    <row r="47" spans="1:8" ht="14">
      <c r="A47" s="232"/>
      <c r="B47" s="2049" t="s">
        <v>7123</v>
      </c>
      <c r="C47" s="2050">
        <f>C46+C32+C29+C16+C9</f>
        <v>150.44</v>
      </c>
      <c r="D47" s="2050">
        <f>D46+D32+D29+D16+D9</f>
        <v>250</v>
      </c>
      <c r="F47" s="2050"/>
      <c r="G47" s="2050">
        <f>G46+G32+G29+G16+G9</f>
        <v>7.1188525</v>
      </c>
      <c r="H47" s="2050">
        <f>H46+H32+H29+H16+H9</f>
        <v>24.872854952763348</v>
      </c>
    </row>
    <row r="48" spans="1:8" ht="14">
      <c r="A48" s="2044" t="s">
        <v>7124</v>
      </c>
      <c r="B48" s="2053" t="s">
        <v>7125</v>
      </c>
      <c r="C48" s="2054">
        <f>'Additional Working'!C123</f>
        <v>31.821277842907392</v>
      </c>
      <c r="D48" s="2054">
        <f>'Additional Working'!D123</f>
        <v>61.755509964830026</v>
      </c>
      <c r="F48" s="2047">
        <v>5.28E-2</v>
      </c>
      <c r="G48" s="2048">
        <f t="shared" ref="G48" si="15">C48*F48/2</f>
        <v>0.84008173505275519</v>
      </c>
      <c r="H48" s="2048">
        <f>D48*F48/2+C48*F48</f>
        <v>3.3105089331770232</v>
      </c>
    </row>
    <row r="49" spans="2:8" ht="14">
      <c r="B49" s="2049" t="s">
        <v>7126</v>
      </c>
      <c r="C49" s="2050">
        <f>C47+C48</f>
        <v>182.26127784290739</v>
      </c>
      <c r="D49" s="2050">
        <f>D47+D48</f>
        <v>311.75550996483003</v>
      </c>
      <c r="F49" s="2050"/>
      <c r="G49" s="2050">
        <f t="shared" ref="G49:H49" si="16">G47+G48</f>
        <v>7.9589342350527552</v>
      </c>
      <c r="H49" s="2050">
        <f t="shared" si="16"/>
        <v>28.18336388594037</v>
      </c>
    </row>
    <row r="51" spans="2:8">
      <c r="C51" s="2036">
        <f>C49-'F-2'!I87</f>
        <v>-62.480000000000018</v>
      </c>
    </row>
  </sheetData>
  <mergeCells count="10">
    <mergeCell ref="A30:A32"/>
    <mergeCell ref="A33:A46"/>
    <mergeCell ref="A1:H1"/>
    <mergeCell ref="A2:A3"/>
    <mergeCell ref="B2:B3"/>
    <mergeCell ref="F2:F3"/>
    <mergeCell ref="G2:H2"/>
    <mergeCell ref="A4:A9"/>
    <mergeCell ref="A10:A16"/>
    <mergeCell ref="A17:A29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C00000"/>
    <pageSetUpPr fitToPage="1"/>
  </sheetPr>
  <dimension ref="A1:K29"/>
  <sheetViews>
    <sheetView workbookViewId="0">
      <selection activeCell="L14" sqref="L14"/>
    </sheetView>
  </sheetViews>
  <sheetFormatPr defaultColWidth="9.1796875" defaultRowHeight="15.5"/>
  <cols>
    <col min="1" max="1" width="9.1796875" style="1533"/>
    <col min="2" max="2" width="33" style="1439" customWidth="1"/>
    <col min="3" max="3" width="12.7265625" style="1439" customWidth="1"/>
    <col min="4" max="4" width="16.26953125" style="1583" customWidth="1"/>
    <col min="5" max="5" width="17" style="1533" customWidth="1"/>
    <col min="6" max="6" width="11.54296875" style="1439" customWidth="1"/>
    <col min="7" max="7" width="12.453125" style="1439" customWidth="1"/>
    <col min="8" max="8" width="9.1796875" style="1439"/>
    <col min="9" max="9" width="9.54296875" style="1439" bestFit="1" customWidth="1"/>
    <col min="10" max="10" width="11.26953125" style="1439" customWidth="1"/>
    <col min="11" max="16384" width="9.1796875" style="1439"/>
  </cols>
  <sheetData>
    <row r="1" spans="1:9">
      <c r="A1" s="3549" t="s">
        <v>4652</v>
      </c>
      <c r="B1" s="3549"/>
      <c r="C1" s="3549"/>
      <c r="D1" s="3549"/>
      <c r="E1" s="3549"/>
      <c r="F1" s="3549"/>
      <c r="G1" s="3549"/>
    </row>
    <row r="2" spans="1:9">
      <c r="A2" s="1582"/>
      <c r="F2" s="3550" t="s">
        <v>3643</v>
      </c>
      <c r="G2" s="3550"/>
    </row>
    <row r="3" spans="1:9" ht="77.5">
      <c r="A3" s="1535" t="s">
        <v>1626</v>
      </c>
      <c r="B3" s="1442" t="s">
        <v>4653</v>
      </c>
      <c r="C3" s="1584" t="s">
        <v>5382</v>
      </c>
      <c r="D3" s="1584" t="s">
        <v>4654</v>
      </c>
      <c r="E3" s="1585" t="s">
        <v>4655</v>
      </c>
      <c r="F3" s="1585" t="s">
        <v>5383</v>
      </c>
      <c r="G3" s="1585" t="s">
        <v>5384</v>
      </c>
    </row>
    <row r="4" spans="1:9" s="43" customFormat="1" ht="30" customHeight="1">
      <c r="A4" s="30">
        <v>1</v>
      </c>
      <c r="B4" s="1445" t="s">
        <v>413</v>
      </c>
      <c r="C4" s="1445"/>
      <c r="D4" s="1586"/>
      <c r="E4" s="30"/>
      <c r="F4" s="1445"/>
      <c r="G4" s="1445"/>
    </row>
    <row r="5" spans="1:9" ht="30" customHeight="1">
      <c r="A5" s="1535"/>
      <c r="B5" s="1442" t="s">
        <v>4636</v>
      </c>
      <c r="C5" s="1443">
        <f>+'F-6'!N8</f>
        <v>1085.3478633908401</v>
      </c>
      <c r="D5" s="1587">
        <v>0</v>
      </c>
      <c r="E5" s="1588">
        <v>1</v>
      </c>
      <c r="F5" s="1442">
        <f>+I5</f>
        <v>66.22</v>
      </c>
      <c r="G5" s="1442">
        <f>+ROUND(C5*E5,2)-F5</f>
        <v>1019.1299999999999</v>
      </c>
      <c r="I5" s="1439">
        <f>ROUND((+'F-5'!L9-'F-5'!L17)*0.08*2/10,2)</f>
        <v>66.22</v>
      </c>
    </row>
    <row r="6" spans="1:9" ht="30" customHeight="1">
      <c r="A6" s="1535"/>
      <c r="B6" s="1442" t="s">
        <v>4637</v>
      </c>
      <c r="C6" s="1443">
        <f>+'F-6'!N9</f>
        <v>133.87550737860585</v>
      </c>
      <c r="D6" s="1587">
        <v>0</v>
      </c>
      <c r="E6" s="1588">
        <v>1</v>
      </c>
      <c r="F6" s="1442">
        <f t="shared" ref="F6" si="0">+I6</f>
        <v>8.2799999999999994</v>
      </c>
      <c r="G6" s="1442">
        <f t="shared" ref="G6:G7" si="1">+ROUND(C6*E6,2)-F6</f>
        <v>125.6</v>
      </c>
      <c r="I6" s="1439">
        <f>ROUND((+'F-5'!L9-'F-5'!L17)*0.08*0.25/10,2)</f>
        <v>8.2799999999999994</v>
      </c>
    </row>
    <row r="7" spans="1:9" ht="30" customHeight="1">
      <c r="A7" s="1535"/>
      <c r="B7" s="1442" t="s">
        <v>4638</v>
      </c>
      <c r="C7" s="1443">
        <f>+'F-6'!N10</f>
        <v>0.70800000000000007</v>
      </c>
      <c r="D7" s="1587">
        <v>0</v>
      </c>
      <c r="E7" s="1588">
        <v>1</v>
      </c>
      <c r="F7" s="1442">
        <v>0</v>
      </c>
      <c r="G7" s="1443">
        <f t="shared" si="1"/>
        <v>0.71</v>
      </c>
      <c r="I7" s="1439">
        <f>ROUND((+'F-5'!L9-'F-5'!L17)*0.08*0.0016/10,2)</f>
        <v>0.05</v>
      </c>
    </row>
    <row r="8" spans="1:9" s="43" customFormat="1" ht="30" customHeight="1">
      <c r="A8" s="30"/>
      <c r="B8" s="1445" t="s">
        <v>4656</v>
      </c>
      <c r="C8" s="1522">
        <f>SUM(C5:C7)</f>
        <v>1219.9313707694459</v>
      </c>
      <c r="D8" s="1586"/>
      <c r="E8" s="30"/>
      <c r="F8" s="1522">
        <f t="shared" ref="F8:G8" si="2">SUM(F5:F7)</f>
        <v>74.5</v>
      </c>
      <c r="G8" s="1522">
        <f t="shared" si="2"/>
        <v>1145.4399999999998</v>
      </c>
    </row>
    <row r="9" spans="1:9" s="43" customFormat="1" ht="30" customHeight="1">
      <c r="A9" s="30">
        <v>2</v>
      </c>
      <c r="B9" s="1445" t="s">
        <v>4635</v>
      </c>
      <c r="C9" s="1445"/>
      <c r="D9" s="1586"/>
      <c r="E9" s="30"/>
      <c r="F9" s="1445"/>
      <c r="G9" s="1445"/>
    </row>
    <row r="10" spans="1:9" ht="30" customHeight="1">
      <c r="A10" s="1535"/>
      <c r="B10" s="1589" t="s">
        <v>4642</v>
      </c>
      <c r="C10" s="1590">
        <f>+'F-6'!N13+'F-6'!N19</f>
        <v>608.89815483471386</v>
      </c>
      <c r="D10" s="1587">
        <v>0.6</v>
      </c>
      <c r="E10" s="1588">
        <v>0.4</v>
      </c>
      <c r="F10" s="1442">
        <f>+ROUND(C10*D10,2)</f>
        <v>365.34</v>
      </c>
      <c r="G10" s="1442">
        <f t="shared" ref="G10:G14" si="3">+ROUND(C10*E10,2)</f>
        <v>243.56</v>
      </c>
    </row>
    <row r="11" spans="1:9" ht="30" customHeight="1">
      <c r="A11" s="1535"/>
      <c r="B11" s="1589" t="s">
        <v>4643</v>
      </c>
      <c r="C11" s="1590">
        <f>+'F-6'!N15</f>
        <v>137.46862190116008</v>
      </c>
      <c r="D11" s="1587">
        <v>0.4</v>
      </c>
      <c r="E11" s="1588">
        <v>0.6</v>
      </c>
      <c r="F11" s="1442">
        <f t="shared" ref="F11:F14" si="4">+ROUND(C11*D11,2)</f>
        <v>54.99</v>
      </c>
      <c r="G11" s="1442">
        <f t="shared" si="3"/>
        <v>82.48</v>
      </c>
    </row>
    <row r="12" spans="1:9" ht="30" customHeight="1">
      <c r="A12" s="1535"/>
      <c r="B12" s="1589" t="s">
        <v>4639</v>
      </c>
      <c r="C12" s="1590">
        <f>+'F-6'!N14</f>
        <v>155.40434263023732</v>
      </c>
      <c r="D12" s="1587">
        <v>0.9</v>
      </c>
      <c r="E12" s="1588">
        <v>0.1</v>
      </c>
      <c r="F12" s="1442">
        <f t="shared" si="4"/>
        <v>139.86000000000001</v>
      </c>
      <c r="G12" s="1442">
        <f t="shared" si="3"/>
        <v>15.54</v>
      </c>
    </row>
    <row r="13" spans="1:9" ht="30" customHeight="1">
      <c r="A13" s="1535"/>
      <c r="B13" s="1589" t="s">
        <v>4659</v>
      </c>
      <c r="C13" s="1590">
        <f>+'F-6'!N16</f>
        <v>19.857064074586116</v>
      </c>
      <c r="D13" s="1587">
        <v>0</v>
      </c>
      <c r="E13" s="1588">
        <v>1</v>
      </c>
      <c r="F13" s="1442">
        <f t="shared" si="4"/>
        <v>0</v>
      </c>
      <c r="G13" s="1442">
        <f t="shared" si="3"/>
        <v>19.86</v>
      </c>
    </row>
    <row r="14" spans="1:9" ht="30" customHeight="1">
      <c r="A14" s="1535"/>
      <c r="B14" s="1442" t="s">
        <v>4640</v>
      </c>
      <c r="C14" s="1443">
        <f>+'F-6'!N17</f>
        <v>62.093519768688068</v>
      </c>
      <c r="D14" s="1587">
        <v>0.9</v>
      </c>
      <c r="E14" s="1588">
        <v>0.1</v>
      </c>
      <c r="F14" s="1442">
        <f t="shared" si="4"/>
        <v>55.88</v>
      </c>
      <c r="G14" s="1442">
        <f t="shared" si="3"/>
        <v>6.21</v>
      </c>
    </row>
    <row r="15" spans="1:9" s="43" customFormat="1" ht="30" customHeight="1">
      <c r="A15" s="30">
        <v>3</v>
      </c>
      <c r="B15" s="1445" t="s">
        <v>3670</v>
      </c>
      <c r="C15" s="1445"/>
      <c r="D15" s="1586"/>
      <c r="E15" s="30"/>
      <c r="F15" s="1445"/>
      <c r="G15" s="1445"/>
    </row>
    <row r="16" spans="1:9" ht="30" customHeight="1">
      <c r="A16" s="1535"/>
      <c r="B16" s="1442" t="s">
        <v>4641</v>
      </c>
      <c r="C16" s="1443">
        <f>+'F-17'!U90+1.83</f>
        <v>1.83</v>
      </c>
      <c r="D16" s="1587">
        <v>0.1</v>
      </c>
      <c r="E16" s="1588">
        <v>0.9</v>
      </c>
      <c r="F16" s="1442">
        <f t="shared" ref="F16:F23" si="5">+ROUND(C16*D16,2)</f>
        <v>0.18</v>
      </c>
      <c r="G16" s="1442">
        <f t="shared" ref="G16:G19" si="6">+ROUND(C16*E16,2)</f>
        <v>1.65</v>
      </c>
    </row>
    <row r="17" spans="1:11" ht="30" customHeight="1">
      <c r="A17" s="1535"/>
      <c r="B17" s="1442" t="s">
        <v>4650</v>
      </c>
      <c r="C17" s="1443">
        <f>+'F-17'!U91</f>
        <v>0</v>
      </c>
      <c r="D17" s="1587">
        <v>0.9</v>
      </c>
      <c r="E17" s="1588">
        <v>0.1</v>
      </c>
      <c r="F17" s="1442">
        <f t="shared" si="5"/>
        <v>0</v>
      </c>
      <c r="G17" s="1442">
        <f t="shared" si="6"/>
        <v>0</v>
      </c>
      <c r="I17" s="1441">
        <f>+'F-22'!D19-C16-C17-C18</f>
        <v>72.960200609410521</v>
      </c>
    </row>
    <row r="18" spans="1:11" ht="30" customHeight="1">
      <c r="A18" s="1535"/>
      <c r="B18" s="1442" t="s">
        <v>4644</v>
      </c>
      <c r="C18" s="1443">
        <f>'WF-12(RevRQEns)'!G36</f>
        <v>14.506862163805003</v>
      </c>
      <c r="D18" s="1587">
        <v>0</v>
      </c>
      <c r="E18" s="1588">
        <v>1</v>
      </c>
      <c r="F18" s="1442">
        <f t="shared" si="5"/>
        <v>0</v>
      </c>
      <c r="G18" s="1442">
        <f t="shared" si="6"/>
        <v>14.51</v>
      </c>
    </row>
    <row r="19" spans="1:11" ht="30" customHeight="1">
      <c r="A19" s="1535"/>
      <c r="B19" s="1442" t="s">
        <v>4645</v>
      </c>
      <c r="C19" s="1443">
        <f>+'F-6'!N23</f>
        <v>54.137172229099377</v>
      </c>
      <c r="D19" s="1587">
        <v>0.9</v>
      </c>
      <c r="E19" s="1588">
        <v>0.1</v>
      </c>
      <c r="F19" s="1442">
        <f t="shared" si="5"/>
        <v>48.72</v>
      </c>
      <c r="G19" s="1443">
        <f t="shared" si="6"/>
        <v>5.41</v>
      </c>
    </row>
    <row r="20" spans="1:11" s="43" customFormat="1" ht="30" customHeight="1">
      <c r="A20" s="30">
        <v>4</v>
      </c>
      <c r="B20" s="1445" t="s">
        <v>1</v>
      </c>
      <c r="C20" s="1445"/>
      <c r="D20" s="1586"/>
      <c r="E20" s="30"/>
      <c r="F20" s="1442"/>
      <c r="G20" s="1445"/>
    </row>
    <row r="21" spans="1:11" ht="30" customHeight="1">
      <c r="A21" s="1535"/>
      <c r="B21" s="1442" t="s">
        <v>4646</v>
      </c>
      <c r="C21" s="1442">
        <v>0</v>
      </c>
      <c r="D21" s="1587">
        <v>0.25</v>
      </c>
      <c r="E21" s="1588">
        <v>0.75</v>
      </c>
      <c r="F21" s="1442">
        <f t="shared" si="5"/>
        <v>0</v>
      </c>
      <c r="G21" s="1442">
        <f t="shared" ref="G21:G22" si="7">+ROUND(C21*E21,2)</f>
        <v>0</v>
      </c>
    </row>
    <row r="22" spans="1:11" ht="30" customHeight="1">
      <c r="A22" s="1535"/>
      <c r="B22" s="1442" t="s">
        <v>4657</v>
      </c>
      <c r="C22" s="1443">
        <f>+'F-6'!N27</f>
        <v>0</v>
      </c>
      <c r="D22" s="1587">
        <v>0.25</v>
      </c>
      <c r="E22" s="1588">
        <v>0.75</v>
      </c>
      <c r="F22" s="1442">
        <f t="shared" si="5"/>
        <v>0</v>
      </c>
      <c r="G22" s="1442">
        <f t="shared" si="7"/>
        <v>0</v>
      </c>
    </row>
    <row r="23" spans="1:11" ht="30" customHeight="1">
      <c r="A23" s="1535"/>
      <c r="B23" s="1442" t="s">
        <v>4647</v>
      </c>
      <c r="C23" s="1443">
        <f>+'F-6'!N28</f>
        <v>0</v>
      </c>
      <c r="D23" s="1587">
        <v>0.9</v>
      </c>
      <c r="E23" s="1588">
        <v>0.1</v>
      </c>
      <c r="F23" s="1442">
        <f t="shared" si="5"/>
        <v>0</v>
      </c>
      <c r="G23" s="1442">
        <f>+ROUND(C23*E23,2)+0.02</f>
        <v>0.02</v>
      </c>
    </row>
    <row r="24" spans="1:11" s="43" customFormat="1" ht="30" customHeight="1">
      <c r="A24" s="30"/>
      <c r="B24" s="1591" t="s">
        <v>1584</v>
      </c>
      <c r="C24" s="1522">
        <f>SUM(C8:C23)</f>
        <v>2274.1271083717356</v>
      </c>
      <c r="D24" s="1586"/>
      <c r="E24" s="1592"/>
      <c r="F24" s="1522">
        <f t="shared" ref="F24:G24" si="8">SUM(F8:F23)</f>
        <v>739.47</v>
      </c>
      <c r="G24" s="1522">
        <f t="shared" si="8"/>
        <v>1534.6799999999998</v>
      </c>
      <c r="I24" s="128">
        <f>+'F-6'!N32</f>
        <v>2345.3314848351806</v>
      </c>
      <c r="J24" s="128">
        <f>+F24+G24</f>
        <v>2274.1499999999996</v>
      </c>
      <c r="K24" s="128">
        <f>+J24-I24</f>
        <v>-71.181484835180981</v>
      </c>
    </row>
    <row r="25" spans="1:11" s="43" customFormat="1" ht="23.25" customHeight="1">
      <c r="A25" s="30">
        <v>5</v>
      </c>
      <c r="B25" s="1445" t="s">
        <v>3899</v>
      </c>
      <c r="C25" s="1445"/>
      <c r="D25" s="1586"/>
      <c r="E25" s="30"/>
      <c r="F25" s="1445"/>
      <c r="G25" s="1445"/>
    </row>
    <row r="26" spans="1:11" ht="31">
      <c r="A26" s="1535"/>
      <c r="B26" s="1442" t="s">
        <v>4648</v>
      </c>
      <c r="C26" s="1442"/>
      <c r="D26" s="1584" t="s">
        <v>4658</v>
      </c>
      <c r="E26" s="1584" t="s">
        <v>4658</v>
      </c>
      <c r="F26" s="1442"/>
      <c r="G26" s="1442"/>
    </row>
    <row r="27" spans="1:11" ht="31">
      <c r="A27" s="1535"/>
      <c r="B27" s="1442" t="s">
        <v>4649</v>
      </c>
      <c r="C27" s="1443">
        <f>+'F-6'!N34</f>
        <v>55.566274225108359</v>
      </c>
      <c r="D27" s="1584" t="s">
        <v>4658</v>
      </c>
      <c r="E27" s="1584" t="s">
        <v>4658</v>
      </c>
      <c r="F27" s="1442"/>
      <c r="G27" s="1442"/>
    </row>
    <row r="29" spans="1:11">
      <c r="B29" s="1439" t="s">
        <v>4660</v>
      </c>
    </row>
  </sheetData>
  <mergeCells count="2">
    <mergeCell ref="A1:G1"/>
    <mergeCell ref="F2:G2"/>
  </mergeCells>
  <pageMargins left="0.73" right="0.33" top="0.75" bottom="0.75" header="0.3" footer="0.3"/>
  <pageSetup scale="72" orientation="portrait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">
    <tabColor rgb="FF00B0F0"/>
    <pageSetUpPr fitToPage="1"/>
  </sheetPr>
  <dimension ref="A1:AG106"/>
  <sheetViews>
    <sheetView zoomScale="90" zoomScaleNormal="90" workbookViewId="0">
      <pane xSplit="1" ySplit="6" topLeftCell="B7" activePane="bottomRight" state="frozen"/>
      <selection activeCell="L14" sqref="L14"/>
      <selection pane="topRight" activeCell="L14" sqref="L14"/>
      <selection pane="bottomLeft" activeCell="L14" sqref="L14"/>
      <selection pane="bottomRight" activeCell="L14" sqref="L14"/>
    </sheetView>
  </sheetViews>
  <sheetFormatPr defaultColWidth="14.7265625" defaultRowHeight="12.5"/>
  <cols>
    <col min="1" max="1" width="16.81640625" style="531" customWidth="1"/>
    <col min="2" max="2" width="18" style="3" customWidth="1"/>
    <col min="3" max="3" width="14.1796875" style="3" customWidth="1"/>
    <col min="4" max="4" width="15.7265625" style="3" customWidth="1"/>
    <col min="5" max="5" width="17" style="3" customWidth="1"/>
    <col min="6" max="6" width="14.81640625" style="3" customWidth="1"/>
    <col min="7" max="7" width="14.453125" style="3" customWidth="1"/>
    <col min="8" max="11" width="14.54296875" style="3" customWidth="1"/>
    <col min="12" max="12" width="13.1796875" style="3" customWidth="1"/>
    <col min="13" max="13" width="2.81640625" style="3" customWidth="1"/>
    <col min="14" max="14" width="12.81640625" style="3" bestFit="1" customWidth="1"/>
    <col min="15" max="15" width="12" style="3" bestFit="1" customWidth="1"/>
    <col min="16" max="16" width="10.7265625" style="3" bestFit="1" customWidth="1"/>
    <col min="17" max="17" width="2.1796875" style="3" customWidth="1"/>
    <col min="18" max="18" width="12.81640625" style="3" bestFit="1" customWidth="1"/>
    <col min="19" max="19" width="14.26953125" style="3" bestFit="1" customWidth="1"/>
    <col min="20" max="20" width="10.7265625" style="3" bestFit="1" customWidth="1"/>
    <col min="21" max="21" width="3" style="3" customWidth="1"/>
    <col min="22" max="24" width="10.7265625" style="3" customWidth="1"/>
    <col min="25" max="25" width="14.7265625" style="3" customWidth="1"/>
    <col min="26" max="26" width="24.453125" style="3" customWidth="1"/>
    <col min="27" max="27" width="13.7265625" style="3" bestFit="1" customWidth="1"/>
    <col min="28" max="28" width="12.54296875" style="3" bestFit="1" customWidth="1"/>
    <col min="29" max="29" width="13.7265625" style="3" bestFit="1" customWidth="1"/>
    <col min="30" max="30" width="14.453125" style="3" customWidth="1"/>
    <col min="31" max="31" width="16.453125" style="3" customWidth="1"/>
    <col min="32" max="16384" width="14.7265625" style="3"/>
  </cols>
  <sheetData>
    <row r="1" spans="1:32" ht="13">
      <c r="A1" s="109" t="s">
        <v>1314</v>
      </c>
      <c r="H1" s="41"/>
      <c r="I1" s="41"/>
      <c r="J1" s="41"/>
      <c r="K1" s="41"/>
      <c r="L1" s="94"/>
    </row>
    <row r="2" spans="1:32" ht="13">
      <c r="A2" s="109"/>
      <c r="H2" s="41"/>
      <c r="I2" s="41"/>
      <c r="J2" s="41"/>
      <c r="K2" s="41"/>
      <c r="L2" s="94"/>
    </row>
    <row r="3" spans="1:32" ht="15.5">
      <c r="A3" s="529" t="s">
        <v>4688</v>
      </c>
      <c r="B3" s="128"/>
      <c r="C3" s="128"/>
      <c r="D3" s="128"/>
      <c r="E3" s="42"/>
      <c r="F3" s="42"/>
      <c r="G3" s="42"/>
      <c r="H3" s="42"/>
      <c r="I3" s="42"/>
      <c r="J3" s="42"/>
      <c r="K3" s="42"/>
      <c r="L3" s="42"/>
    </row>
    <row r="4" spans="1:32" ht="13.5" thickBot="1">
      <c r="A4" s="530"/>
      <c r="X4" s="5" t="s">
        <v>4038</v>
      </c>
    </row>
    <row r="5" spans="1:32" ht="13.5" customHeight="1">
      <c r="A5" s="3553"/>
      <c r="B5" s="3554"/>
      <c r="C5" s="3554"/>
      <c r="D5" s="3554"/>
      <c r="E5" s="3554"/>
      <c r="F5" s="3554"/>
      <c r="G5" s="3554"/>
      <c r="H5" s="3554"/>
      <c r="I5" s="3555"/>
      <c r="J5" s="3555"/>
      <c r="K5" s="3555"/>
      <c r="L5" s="3556"/>
      <c r="N5" s="3558" t="s">
        <v>5131</v>
      </c>
      <c r="O5" s="3559"/>
      <c r="P5" s="3560"/>
      <c r="Q5" s="176"/>
      <c r="R5" s="3558" t="s">
        <v>5407</v>
      </c>
      <c r="S5" s="3559"/>
      <c r="T5" s="3560"/>
      <c r="U5" s="18"/>
      <c r="V5" s="3558" t="s">
        <v>7007</v>
      </c>
      <c r="W5" s="3559"/>
      <c r="X5" s="3560"/>
      <c r="Y5" s="176"/>
    </row>
    <row r="6" spans="1:32" ht="87" customHeight="1">
      <c r="A6" s="533" t="s">
        <v>458</v>
      </c>
      <c r="B6" s="40" t="s">
        <v>7000</v>
      </c>
      <c r="C6" s="40" t="s">
        <v>7001</v>
      </c>
      <c r="D6" s="40" t="s">
        <v>7002</v>
      </c>
      <c r="E6" s="40" t="s">
        <v>7003</v>
      </c>
      <c r="F6" s="40" t="s">
        <v>5404</v>
      </c>
      <c r="G6" s="40" t="s">
        <v>5405</v>
      </c>
      <c r="H6" s="40" t="s">
        <v>5406</v>
      </c>
      <c r="I6" s="1350" t="s">
        <v>7004</v>
      </c>
      <c r="J6" s="1350" t="s">
        <v>7005</v>
      </c>
      <c r="K6" s="1350" t="s">
        <v>7006</v>
      </c>
      <c r="L6" s="175" t="s">
        <v>858</v>
      </c>
      <c r="N6" s="174" t="s">
        <v>253</v>
      </c>
      <c r="O6" s="40" t="s">
        <v>746</v>
      </c>
      <c r="P6" s="175" t="s">
        <v>252</v>
      </c>
      <c r="Q6" s="176"/>
      <c r="R6" s="174" t="s">
        <v>253</v>
      </c>
      <c r="S6" s="40" t="s">
        <v>746</v>
      </c>
      <c r="T6" s="175" t="s">
        <v>252</v>
      </c>
      <c r="U6" s="176"/>
      <c r="V6" s="174" t="s">
        <v>253</v>
      </c>
      <c r="W6" s="40" t="s">
        <v>746</v>
      </c>
      <c r="X6" s="175" t="s">
        <v>252</v>
      </c>
      <c r="Y6" s="176"/>
      <c r="Z6" s="3557" t="s">
        <v>566</v>
      </c>
      <c r="AA6" s="3557"/>
      <c r="AB6" s="3557"/>
      <c r="AC6" s="3557"/>
      <c r="AD6" s="3557"/>
      <c r="AE6" s="3557" t="s">
        <v>671</v>
      </c>
      <c r="AF6" s="3557"/>
    </row>
    <row r="7" spans="1:32" s="5" customFormat="1" ht="25" customHeight="1">
      <c r="A7" s="534"/>
      <c r="B7" s="31"/>
      <c r="C7" s="31"/>
      <c r="D7" s="31"/>
      <c r="E7" s="31"/>
      <c r="F7" s="31"/>
      <c r="G7" s="31"/>
      <c r="H7" s="31"/>
      <c r="I7" s="998"/>
      <c r="J7" s="998"/>
      <c r="K7" s="998"/>
      <c r="L7" s="364"/>
      <c r="N7" s="486">
        <v>1</v>
      </c>
      <c r="O7" s="487">
        <v>2</v>
      </c>
      <c r="P7" s="364" t="s">
        <v>559</v>
      </c>
      <c r="R7" s="486">
        <v>4</v>
      </c>
      <c r="S7" s="487">
        <v>5</v>
      </c>
      <c r="T7" s="364" t="s">
        <v>4039</v>
      </c>
      <c r="U7" s="59"/>
      <c r="V7" s="486">
        <v>6</v>
      </c>
      <c r="W7" s="487">
        <v>7</v>
      </c>
      <c r="X7" s="364" t="s">
        <v>4040</v>
      </c>
      <c r="Y7" s="59"/>
      <c r="Z7" s="83"/>
      <c r="AA7" s="20"/>
      <c r="AB7" s="20"/>
      <c r="AC7" s="20"/>
      <c r="AD7" s="488"/>
      <c r="AE7" s="83" t="s">
        <v>895</v>
      </c>
      <c r="AF7" s="84" t="s">
        <v>672</v>
      </c>
    </row>
    <row r="8" spans="1:32" ht="25" customHeight="1">
      <c r="A8" s="532"/>
      <c r="B8" s="27"/>
      <c r="C8" s="27"/>
      <c r="D8" s="27"/>
      <c r="E8" s="27"/>
      <c r="F8" s="27"/>
      <c r="G8" s="27"/>
      <c r="H8" s="27"/>
      <c r="I8" s="999"/>
      <c r="J8" s="999"/>
      <c r="K8" s="999"/>
      <c r="L8" s="150"/>
      <c r="N8" s="177"/>
      <c r="O8" s="95"/>
      <c r="P8" s="150"/>
      <c r="R8" s="177"/>
      <c r="S8" s="95"/>
      <c r="T8" s="150"/>
      <c r="U8" s="57"/>
      <c r="V8" s="177"/>
      <c r="W8" s="95"/>
      <c r="X8" s="150"/>
      <c r="Y8" s="57"/>
      <c r="Z8" s="81"/>
      <c r="AA8" s="19"/>
      <c r="AB8" s="19"/>
      <c r="AC8" s="19"/>
      <c r="AD8" s="142"/>
      <c r="AE8" s="81"/>
      <c r="AF8" s="82"/>
    </row>
    <row r="9" spans="1:32" s="2014" customFormat="1" ht="25" customHeight="1">
      <c r="A9" s="2011" t="s">
        <v>542</v>
      </c>
      <c r="B9" s="2012">
        <f>'F-17'!Q7</f>
        <v>0</v>
      </c>
      <c r="C9" s="2012">
        <f>'F-17'!F7</f>
        <v>0</v>
      </c>
      <c r="D9" s="2012">
        <f>'F-17'!O7</f>
        <v>0</v>
      </c>
      <c r="E9" s="2012">
        <f>B9+C9-D9</f>
        <v>0</v>
      </c>
      <c r="F9" s="2012">
        <f>'F-17'!F8</f>
        <v>0</v>
      </c>
      <c r="G9" s="2012">
        <f>'F-17'!O8</f>
        <v>0</v>
      </c>
      <c r="H9" s="2012">
        <f>E9+F9-G9</f>
        <v>0</v>
      </c>
      <c r="I9" s="2012">
        <f>'F-17'!F9</f>
        <v>0</v>
      </c>
      <c r="J9" s="2012">
        <f>'F-17'!O9</f>
        <v>0</v>
      </c>
      <c r="K9" s="2012">
        <f>H9+I9-J9</f>
        <v>0</v>
      </c>
      <c r="L9" s="2013">
        <v>0</v>
      </c>
      <c r="N9" s="2015">
        <f>'F-17'!T7</f>
        <v>0</v>
      </c>
      <c r="O9" s="2016">
        <v>0</v>
      </c>
      <c r="P9" s="2017">
        <f>+N9-O9</f>
        <v>0</v>
      </c>
      <c r="R9" s="2015">
        <f>'F-17'!T8</f>
        <v>0</v>
      </c>
      <c r="S9" s="2016">
        <v>0</v>
      </c>
      <c r="T9" s="2017">
        <f>+R9-S9</f>
        <v>0</v>
      </c>
      <c r="U9" s="2018"/>
      <c r="V9" s="2015">
        <f>'F-17'!T9</f>
        <v>0</v>
      </c>
      <c r="W9" s="2016">
        <v>0</v>
      </c>
      <c r="X9" s="2017">
        <f>+V9-W9</f>
        <v>0</v>
      </c>
      <c r="Y9" s="2018"/>
      <c r="Z9" s="2019"/>
      <c r="AA9" s="2012"/>
      <c r="AB9" s="2012"/>
      <c r="AC9" s="2012"/>
      <c r="AD9" s="2020"/>
      <c r="AE9" s="2019"/>
      <c r="AF9" s="2021"/>
    </row>
    <row r="10" spans="1:32" ht="25" customHeight="1">
      <c r="A10" s="614"/>
      <c r="B10" s="19"/>
      <c r="C10" s="19"/>
      <c r="D10" s="19"/>
      <c r="E10" s="19"/>
      <c r="F10" s="19"/>
      <c r="G10" s="19"/>
      <c r="H10" s="19"/>
      <c r="I10" s="142"/>
      <c r="J10" s="142"/>
      <c r="K10" s="142"/>
      <c r="L10" s="151"/>
      <c r="N10" s="149"/>
      <c r="O10" s="27"/>
      <c r="P10" s="150"/>
      <c r="R10" s="149"/>
      <c r="S10" s="27"/>
      <c r="T10" s="150"/>
      <c r="U10" s="57"/>
      <c r="V10" s="149"/>
      <c r="W10" s="27"/>
      <c r="X10" s="150"/>
      <c r="Y10" s="57"/>
      <c r="Z10" s="81" t="s">
        <v>564</v>
      </c>
      <c r="AA10" s="233">
        <v>38807</v>
      </c>
      <c r="AB10" s="233">
        <v>39172</v>
      </c>
      <c r="AC10" s="233">
        <v>39538</v>
      </c>
      <c r="AD10" s="142" t="s">
        <v>1100</v>
      </c>
      <c r="AE10" s="81"/>
      <c r="AF10" s="82"/>
    </row>
    <row r="11" spans="1:32" s="2014" customFormat="1" ht="25" customHeight="1">
      <c r="A11" s="2011" t="s">
        <v>859</v>
      </c>
      <c r="B11" s="2012">
        <f>'F-17'!Q11</f>
        <v>0</v>
      </c>
      <c r="C11" s="2012">
        <f>'F-17'!F11</f>
        <v>0</v>
      </c>
      <c r="D11" s="2012">
        <f>'F-17'!O11</f>
        <v>0</v>
      </c>
      <c r="E11" s="2012">
        <f>B11+C11-D11</f>
        <v>0</v>
      </c>
      <c r="F11" s="2012">
        <f>'F-17'!F12</f>
        <v>0</v>
      </c>
      <c r="G11" s="2012">
        <f>'F-17'!O12</f>
        <v>0</v>
      </c>
      <c r="H11" s="2012">
        <f>E11+F11-G11</f>
        <v>0</v>
      </c>
      <c r="I11" s="2012">
        <f>'F-17'!F13</f>
        <v>0</v>
      </c>
      <c r="J11" s="2012">
        <f>'F-17'!O13</f>
        <v>0</v>
      </c>
      <c r="K11" s="2012">
        <f>H11+I11-J11</f>
        <v>0</v>
      </c>
      <c r="L11" s="2022">
        <v>0.13</v>
      </c>
      <c r="N11" s="2015">
        <f>'F-17'!T11</f>
        <v>0</v>
      </c>
      <c r="O11" s="2016">
        <v>0</v>
      </c>
      <c r="P11" s="2017">
        <f>+N11-O11</f>
        <v>0</v>
      </c>
      <c r="R11" s="2015">
        <f>'F-17'!T12</f>
        <v>0</v>
      </c>
      <c r="S11" s="2016">
        <v>0</v>
      </c>
      <c r="T11" s="2017">
        <f>+R11-S11</f>
        <v>0</v>
      </c>
      <c r="U11" s="2018"/>
      <c r="V11" s="2015">
        <f>'F-17'!T13</f>
        <v>0</v>
      </c>
      <c r="W11" s="2016">
        <v>0</v>
      </c>
      <c r="X11" s="2017">
        <f>+V11-W11</f>
        <v>0</v>
      </c>
      <c r="Y11" s="2018"/>
      <c r="Z11" s="2019" t="s">
        <v>565</v>
      </c>
      <c r="AA11" s="2012" t="e">
        <f>+#REF!*12.5/100*(AA10-#REF!)/365</f>
        <v>#REF!</v>
      </c>
      <c r="AB11" s="2012" t="e">
        <f>+#REF!*12.5/100*(#REF!-AA10)/365</f>
        <v>#REF!</v>
      </c>
      <c r="AC11" s="2012" t="e">
        <f>+#REF!*12.5/100*(#REF!-AB10)/365</f>
        <v>#REF!</v>
      </c>
      <c r="AD11" s="2020" t="e">
        <f>+AA11+AB11+AC11</f>
        <v>#REF!</v>
      </c>
      <c r="AE11" s="2019"/>
      <c r="AF11" s="2021"/>
    </row>
    <row r="12" spans="1:32" ht="25" customHeight="1">
      <c r="A12" s="614"/>
      <c r="B12" s="19"/>
      <c r="C12" s="19"/>
      <c r="D12" s="19"/>
      <c r="E12" s="19"/>
      <c r="F12" s="19"/>
      <c r="G12" s="19"/>
      <c r="H12" s="19"/>
      <c r="I12" s="142"/>
      <c r="J12" s="142"/>
      <c r="K12" s="142"/>
      <c r="L12" s="151"/>
      <c r="N12" s="149"/>
      <c r="O12" s="27"/>
      <c r="P12" s="150"/>
      <c r="R12" s="149"/>
      <c r="S12" s="27"/>
      <c r="T12" s="150"/>
      <c r="U12" s="57"/>
      <c r="V12" s="149"/>
      <c r="W12" s="27"/>
      <c r="X12" s="150"/>
      <c r="Y12" s="57"/>
      <c r="Z12" s="81"/>
      <c r="AA12" s="19"/>
      <c r="AB12" s="19" t="e">
        <f>+#REF!*12.5/100*(AB10-#REF!)/365</f>
        <v>#REF!</v>
      </c>
      <c r="AC12" s="19"/>
      <c r="AD12" s="142" t="e">
        <f>+AA12+AB12+AC12</f>
        <v>#REF!</v>
      </c>
      <c r="AE12" s="81"/>
      <c r="AF12" s="82"/>
    </row>
    <row r="13" spans="1:32" s="2014" customFormat="1" ht="25" customHeight="1">
      <c r="A13" s="2011" t="s">
        <v>3372</v>
      </c>
      <c r="B13" s="2012">
        <f>'F-17'!Q15</f>
        <v>0</v>
      </c>
      <c r="C13" s="2012">
        <f>'F-17'!F15</f>
        <v>0</v>
      </c>
      <c r="D13" s="2012">
        <f>'F-17'!O15</f>
        <v>0</v>
      </c>
      <c r="E13" s="2012">
        <f>B13+C13-D13</f>
        <v>0</v>
      </c>
      <c r="F13" s="2012">
        <f>'F-17'!F16</f>
        <v>0</v>
      </c>
      <c r="G13" s="2012">
        <f>'F-17'!O16</f>
        <v>0</v>
      </c>
      <c r="H13" s="2012">
        <f>E13+F13-G13</f>
        <v>0</v>
      </c>
      <c r="I13" s="2012">
        <f>'F-17'!F17</f>
        <v>0</v>
      </c>
      <c r="J13" s="2012">
        <f>'F-17'!O17</f>
        <v>0</v>
      </c>
      <c r="K13" s="2012">
        <f>H13+I13-J13</f>
        <v>0</v>
      </c>
      <c r="L13" s="2022">
        <v>8.5000000000000006E-2</v>
      </c>
      <c r="N13" s="2015">
        <f>'F-17'!T15</f>
        <v>0</v>
      </c>
      <c r="O13" s="2016">
        <v>0</v>
      </c>
      <c r="P13" s="2017">
        <f>+N13-O13</f>
        <v>0</v>
      </c>
      <c r="R13" s="2015">
        <f>'F-17'!T16</f>
        <v>0</v>
      </c>
      <c r="S13" s="2016">
        <v>0</v>
      </c>
      <c r="T13" s="2017">
        <f>+R13-S13</f>
        <v>0</v>
      </c>
      <c r="U13" s="2018"/>
      <c r="V13" s="2015">
        <f>'F-17'!T17</f>
        <v>0</v>
      </c>
      <c r="W13" s="2016">
        <v>0</v>
      </c>
      <c r="X13" s="2017">
        <f>+V13-W13</f>
        <v>0</v>
      </c>
      <c r="Y13" s="2018"/>
      <c r="Z13" s="2023"/>
      <c r="AA13" s="2024"/>
      <c r="AB13" s="2024"/>
      <c r="AC13" s="2024"/>
      <c r="AD13" s="2025"/>
      <c r="AE13" s="2023"/>
      <c r="AF13" s="2026"/>
    </row>
    <row r="14" spans="1:32" ht="25" customHeight="1">
      <c r="A14" s="614"/>
      <c r="B14" s="19"/>
      <c r="C14" s="19"/>
      <c r="D14" s="19"/>
      <c r="E14" s="19"/>
      <c r="F14" s="19"/>
      <c r="G14" s="19"/>
      <c r="H14" s="19"/>
      <c r="I14" s="142"/>
      <c r="J14" s="142"/>
      <c r="K14" s="142"/>
      <c r="L14" s="151"/>
      <c r="N14" s="149"/>
      <c r="O14" s="27"/>
      <c r="P14" s="150"/>
      <c r="R14" s="149"/>
      <c r="S14" s="27"/>
      <c r="T14" s="150"/>
      <c r="U14" s="57"/>
      <c r="V14" s="149"/>
      <c r="W14" s="27"/>
      <c r="X14" s="150"/>
      <c r="Y14" s="57"/>
      <c r="Z14" s="611"/>
      <c r="AA14" s="63"/>
      <c r="AB14" s="63"/>
      <c r="AC14" s="63"/>
      <c r="AD14" s="612"/>
      <c r="AE14" s="611"/>
      <c r="AF14" s="613"/>
    </row>
    <row r="15" spans="1:32" s="2014" customFormat="1" ht="25" customHeight="1" thickBot="1">
      <c r="A15" s="2011" t="s">
        <v>226</v>
      </c>
      <c r="B15" s="2012">
        <f>'F-17'!Q19</f>
        <v>0</v>
      </c>
      <c r="C15" s="2012">
        <f>'F-17'!F19</f>
        <v>0</v>
      </c>
      <c r="D15" s="2012">
        <f>'F-17'!O19</f>
        <v>0</v>
      </c>
      <c r="E15" s="2012">
        <f>B15+C15-D15</f>
        <v>0</v>
      </c>
      <c r="F15" s="2012">
        <f>'F-17'!F20</f>
        <v>0</v>
      </c>
      <c r="G15" s="2012">
        <f>'F-17'!O20</f>
        <v>0</v>
      </c>
      <c r="H15" s="2012">
        <f>E15+F15-G15</f>
        <v>0</v>
      </c>
      <c r="I15" s="2012">
        <f>'F-17'!F21</f>
        <v>0</v>
      </c>
      <c r="J15" s="2012">
        <f>'F-17'!O21</f>
        <v>0</v>
      </c>
      <c r="K15" s="2012">
        <f>H15+I15-J15</f>
        <v>0</v>
      </c>
      <c r="L15" s="2022">
        <v>0.12</v>
      </c>
      <c r="N15" s="2027">
        <f>'F-17'!T19</f>
        <v>0</v>
      </c>
      <c r="O15" s="2016">
        <v>0</v>
      </c>
      <c r="P15" s="2017">
        <f>+N15-O15</f>
        <v>0</v>
      </c>
      <c r="R15" s="2027">
        <f>'F-17'!T20</f>
        <v>0</v>
      </c>
      <c r="S15" s="2016">
        <v>0</v>
      </c>
      <c r="T15" s="2017">
        <f>+R15-S15</f>
        <v>0</v>
      </c>
      <c r="U15" s="2018"/>
      <c r="V15" s="2027">
        <f>'F-17'!T21</f>
        <v>0</v>
      </c>
      <c r="W15" s="2016">
        <v>0</v>
      </c>
      <c r="X15" s="2017">
        <f>+V15-W15</f>
        <v>0</v>
      </c>
      <c r="Y15" s="2018"/>
      <c r="Z15" s="2028" t="s">
        <v>1100</v>
      </c>
      <c r="AA15" s="2029" t="e">
        <f>SUM(AA11:AA12)</f>
        <v>#REF!</v>
      </c>
      <c r="AB15" s="2029" t="e">
        <f>SUM(AB11:AB12)</f>
        <v>#REF!</v>
      </c>
      <c r="AC15" s="2029" t="e">
        <f>SUM(AC11:AC12)</f>
        <v>#REF!</v>
      </c>
      <c r="AD15" s="2030" t="e">
        <f>SUM(AD11:AD12)</f>
        <v>#REF!</v>
      </c>
      <c r="AE15" s="2031" t="s">
        <v>1100</v>
      </c>
      <c r="AF15" s="2032">
        <f>SUM(AF10:AF12)</f>
        <v>0</v>
      </c>
    </row>
    <row r="16" spans="1:32" ht="25" customHeight="1">
      <c r="A16" s="614"/>
      <c r="B16" s="19"/>
      <c r="C16" s="19"/>
      <c r="D16" s="19"/>
      <c r="E16" s="19"/>
      <c r="F16" s="19"/>
      <c r="G16" s="19"/>
      <c r="H16" s="19"/>
      <c r="I16" s="142"/>
      <c r="J16" s="142"/>
      <c r="K16" s="142"/>
      <c r="L16" s="151"/>
      <c r="N16" s="149"/>
      <c r="O16" s="27"/>
      <c r="P16" s="150"/>
      <c r="R16" s="218"/>
      <c r="S16" s="27"/>
      <c r="T16" s="150"/>
      <c r="U16" s="57"/>
      <c r="V16" s="218"/>
      <c r="W16" s="27"/>
      <c r="X16" s="150"/>
      <c r="Y16" s="57"/>
      <c r="Z16" s="3" t="s">
        <v>833</v>
      </c>
      <c r="AD16" s="3">
        <f>+AF70/100000</f>
        <v>3068</v>
      </c>
    </row>
    <row r="17" spans="1:32" s="2014" customFormat="1" ht="25" customHeight="1">
      <c r="A17" s="2011" t="s">
        <v>932</v>
      </c>
      <c r="B17" s="2012">
        <f>'F-17'!Q23</f>
        <v>0</v>
      </c>
      <c r="C17" s="2012">
        <f>'F-17'!F23</f>
        <v>0</v>
      </c>
      <c r="D17" s="2012">
        <f>'F-17'!O23</f>
        <v>0</v>
      </c>
      <c r="E17" s="2012">
        <f>B17+C17-D17</f>
        <v>0</v>
      </c>
      <c r="F17" s="2012">
        <f>'F-17'!F24</f>
        <v>0</v>
      </c>
      <c r="G17" s="2012">
        <f>'F-17'!O24</f>
        <v>0</v>
      </c>
      <c r="H17" s="2012">
        <f>E17+F17-G17</f>
        <v>0</v>
      </c>
      <c r="I17" s="2012">
        <f>'F-17'!F25</f>
        <v>0</v>
      </c>
      <c r="J17" s="2012">
        <f>'F-17'!O25</f>
        <v>0</v>
      </c>
      <c r="K17" s="2012">
        <f>H17+I17-J17</f>
        <v>0</v>
      </c>
      <c r="L17" s="2022">
        <v>0.11</v>
      </c>
      <c r="N17" s="2027">
        <f>'F-17'!T23</f>
        <v>0</v>
      </c>
      <c r="O17" s="2016">
        <v>0</v>
      </c>
      <c r="P17" s="2017">
        <f>+N17-O17</f>
        <v>0</v>
      </c>
      <c r="R17" s="2027">
        <f>'F-17'!T24</f>
        <v>0</v>
      </c>
      <c r="S17" s="2016">
        <v>0</v>
      </c>
      <c r="T17" s="2017">
        <f>+R17-S17</f>
        <v>0</v>
      </c>
      <c r="U17" s="2018"/>
      <c r="V17" s="2027">
        <f>'F-17'!T25</f>
        <v>0</v>
      </c>
      <c r="W17" s="2016">
        <v>0</v>
      </c>
      <c r="X17" s="2017">
        <f>+V17-W17</f>
        <v>0</v>
      </c>
      <c r="Y17" s="2018"/>
      <c r="Z17" s="2014" t="s">
        <v>516</v>
      </c>
      <c r="AD17" s="2014">
        <f>+AD78/100000</f>
        <v>4201.375</v>
      </c>
    </row>
    <row r="18" spans="1:32" ht="25" customHeight="1">
      <c r="A18" s="614"/>
      <c r="B18" s="19"/>
      <c r="C18" s="19"/>
      <c r="D18" s="19"/>
      <c r="E18" s="19"/>
      <c r="F18" s="19"/>
      <c r="G18" s="19"/>
      <c r="H18" s="19"/>
      <c r="I18" s="142"/>
      <c r="J18" s="142"/>
      <c r="K18" s="142"/>
      <c r="L18" s="151"/>
      <c r="N18" s="230"/>
      <c r="O18" s="27"/>
      <c r="P18" s="150"/>
      <c r="R18" s="230"/>
      <c r="S18" s="27"/>
      <c r="T18" s="150"/>
      <c r="U18" s="57"/>
      <c r="V18" s="230"/>
      <c r="W18" s="27"/>
      <c r="X18" s="150"/>
      <c r="Y18" s="57"/>
    </row>
    <row r="19" spans="1:32" s="2014" customFormat="1" ht="25" customHeight="1">
      <c r="A19" s="2011" t="s">
        <v>1228</v>
      </c>
      <c r="B19" s="2012">
        <f>'F-17'!Q27</f>
        <v>8.3733000000000002E-3</v>
      </c>
      <c r="C19" s="2012">
        <f>'F-17'!F27</f>
        <v>8.9146699999999995E-2</v>
      </c>
      <c r="D19" s="2012">
        <f>'F-17'!O27</f>
        <v>0</v>
      </c>
      <c r="E19" s="2012">
        <f>B19+C19-D19</f>
        <v>9.7519999999999996E-2</v>
      </c>
      <c r="F19" s="2012">
        <f>'F-17'!F28</f>
        <v>0</v>
      </c>
      <c r="G19" s="2012">
        <f>'F-17'!O28</f>
        <v>0</v>
      </c>
      <c r="H19" s="2012">
        <f>E19+F19-G19</f>
        <v>9.7519999999999996E-2</v>
      </c>
      <c r="I19" s="2012">
        <f>'F-17'!F29</f>
        <v>0</v>
      </c>
      <c r="J19" s="2012">
        <f>'F-17'!O29</f>
        <v>0</v>
      </c>
      <c r="K19" s="2012">
        <f>H19+I19-J19</f>
        <v>9.7519999999999996E-2</v>
      </c>
      <c r="L19" s="2022">
        <v>0.13500000000000001</v>
      </c>
      <c r="N19" s="2027">
        <f>'F-17'!T27</f>
        <v>0</v>
      </c>
      <c r="O19" s="2016">
        <v>0</v>
      </c>
      <c r="P19" s="2017">
        <f>+N19-O19</f>
        <v>0</v>
      </c>
      <c r="R19" s="2027">
        <f>'F-17'!T28</f>
        <v>1.0727199999999999E-2</v>
      </c>
      <c r="S19" s="2016">
        <v>0</v>
      </c>
      <c r="T19" s="2017">
        <f>+R19-S19</f>
        <v>1.0727199999999999E-2</v>
      </c>
      <c r="U19" s="2018"/>
      <c r="V19" s="2027">
        <f>'F-17'!T29</f>
        <v>1.0727199999999999E-2</v>
      </c>
      <c r="W19" s="2016">
        <v>0</v>
      </c>
      <c r="X19" s="2017">
        <f>+V19-W19</f>
        <v>1.0727199999999999E-2</v>
      </c>
      <c r="Y19" s="2018"/>
    </row>
    <row r="20" spans="1:32" ht="25" customHeight="1">
      <c r="A20" s="614"/>
      <c r="B20" s="19"/>
      <c r="C20" s="19"/>
      <c r="D20" s="19"/>
      <c r="E20" s="19"/>
      <c r="F20" s="19"/>
      <c r="G20" s="19"/>
      <c r="H20" s="19"/>
      <c r="I20" s="142"/>
      <c r="J20" s="142"/>
      <c r="K20" s="142"/>
      <c r="L20" s="151"/>
      <c r="N20" s="230"/>
      <c r="O20" s="27"/>
      <c r="P20" s="150"/>
      <c r="R20" s="230"/>
      <c r="S20" s="27"/>
      <c r="T20" s="150"/>
      <c r="U20" s="57"/>
      <c r="V20" s="230"/>
      <c r="W20" s="27"/>
      <c r="X20" s="150"/>
      <c r="Y20" s="57"/>
    </row>
    <row r="21" spans="1:32" ht="25" customHeight="1">
      <c r="A21" s="614" t="s">
        <v>3345</v>
      </c>
      <c r="B21" s="19">
        <f>'F-17'!Q31</f>
        <v>23.978283999999977</v>
      </c>
      <c r="C21" s="19">
        <f>'F-17'!F31</f>
        <v>6.3162399999999996</v>
      </c>
      <c r="D21" s="19">
        <f>'F-17'!O31</f>
        <v>0</v>
      </c>
      <c r="E21" s="19">
        <f>B21+C21-D21</f>
        <v>30.294523999999978</v>
      </c>
      <c r="F21" s="19">
        <f>'F-17'!F33</f>
        <v>0</v>
      </c>
      <c r="G21" s="19">
        <f>'F-17'!O33</f>
        <v>0</v>
      </c>
      <c r="H21" s="19">
        <f>E21+F21-G21</f>
        <v>30.294523999999978</v>
      </c>
      <c r="I21" s="19">
        <f>'F-17'!F34</f>
        <v>0</v>
      </c>
      <c r="J21" s="19">
        <f>'F-17'!O34</f>
        <v>0</v>
      </c>
      <c r="K21" s="19">
        <f>H21+I21-J21</f>
        <v>30.294523999999978</v>
      </c>
      <c r="L21" s="151">
        <v>0.03</v>
      </c>
      <c r="N21" s="149">
        <f>'F-17'!T31</f>
        <v>2.2177934000000001</v>
      </c>
      <c r="O21" s="27">
        <v>0</v>
      </c>
      <c r="P21" s="150">
        <f>+N21-O21</f>
        <v>2.2177934000000001</v>
      </c>
      <c r="R21" s="149">
        <f>'F-17'!T33</f>
        <v>0.80425381599999923</v>
      </c>
      <c r="S21" s="27">
        <v>0</v>
      </c>
      <c r="T21" s="150">
        <f>+R21-S21</f>
        <v>0.80425381599999923</v>
      </c>
      <c r="U21" s="57"/>
      <c r="V21" s="149">
        <f>'F-17'!T34</f>
        <v>1.6085076319999985</v>
      </c>
      <c r="W21" s="27">
        <v>0</v>
      </c>
      <c r="X21" s="150">
        <f>+V21-W21</f>
        <v>1.6085076319999985</v>
      </c>
      <c r="Y21" s="57"/>
      <c r="Z21" s="3" t="s">
        <v>834</v>
      </c>
      <c r="AD21" s="5" t="e">
        <f>+AD15+AD16+AD17</f>
        <v>#REF!</v>
      </c>
      <c r="AE21" s="3" t="e">
        <f>AD21-AD16</f>
        <v>#REF!</v>
      </c>
      <c r="AF21" s="5" t="e">
        <f>+AD21+AF15</f>
        <v>#REF!</v>
      </c>
    </row>
    <row r="22" spans="1:32" ht="25" customHeight="1">
      <c r="A22" s="614"/>
      <c r="B22" s="63"/>
      <c r="C22" s="63"/>
      <c r="D22" s="63"/>
      <c r="E22" s="63"/>
      <c r="F22" s="63"/>
      <c r="G22" s="63"/>
      <c r="H22" s="63"/>
      <c r="I22" s="612"/>
      <c r="J22" s="612"/>
      <c r="K22" s="612"/>
      <c r="L22" s="397"/>
      <c r="N22" s="398"/>
      <c r="O22" s="399"/>
      <c r="P22" s="400"/>
      <c r="R22" s="398"/>
      <c r="S22" s="399"/>
      <c r="T22" s="400"/>
      <c r="U22" s="57"/>
      <c r="V22" s="398"/>
      <c r="W22" s="399"/>
      <c r="X22" s="400"/>
      <c r="Y22" s="57"/>
      <c r="AD22" s="5"/>
      <c r="AF22" s="5"/>
    </row>
    <row r="23" spans="1:32" ht="25" customHeight="1">
      <c r="A23" s="614" t="s">
        <v>4762</v>
      </c>
      <c r="B23" s="63">
        <f>'F-17'!Q38</f>
        <v>0</v>
      </c>
      <c r="C23" s="63">
        <f>'F-17'!F38</f>
        <v>85</v>
      </c>
      <c r="D23" s="63">
        <f>'F-17'!O38</f>
        <v>0</v>
      </c>
      <c r="E23" s="19">
        <f>B23+C23-D23</f>
        <v>85</v>
      </c>
      <c r="F23" s="63">
        <f>'F-17'!F40</f>
        <v>0</v>
      </c>
      <c r="G23" s="19">
        <f>'F-17'!O40</f>
        <v>0</v>
      </c>
      <c r="H23" s="19">
        <f>E23+F23-G23</f>
        <v>85</v>
      </c>
      <c r="I23" s="19">
        <f>'F-17'!F41</f>
        <v>0</v>
      </c>
      <c r="J23" s="19">
        <f>'F-17'!O41</f>
        <v>0</v>
      </c>
      <c r="K23" s="19">
        <f>H23+I23-J23</f>
        <v>85</v>
      </c>
      <c r="L23" s="397">
        <v>0.08</v>
      </c>
      <c r="N23" s="149">
        <f>'F-17'!T38</f>
        <v>0.35575342400000004</v>
      </c>
      <c r="O23" s="27">
        <v>0</v>
      </c>
      <c r="P23" s="150">
        <f>+N23-O23</f>
        <v>0.35575342400000004</v>
      </c>
      <c r="R23" s="149">
        <f>'F-17'!T40</f>
        <v>2.89</v>
      </c>
      <c r="S23" s="27">
        <v>0</v>
      </c>
      <c r="T23" s="150">
        <f>+R23-S23</f>
        <v>2.89</v>
      </c>
      <c r="U23" s="57"/>
      <c r="V23" s="149">
        <f>'F-17'!T41</f>
        <v>5.78</v>
      </c>
      <c r="W23" s="27">
        <v>0</v>
      </c>
      <c r="X23" s="150">
        <f>+V23-W23</f>
        <v>5.78</v>
      </c>
      <c r="Y23" s="57"/>
      <c r="AD23" s="5"/>
      <c r="AF23" s="5"/>
    </row>
    <row r="24" spans="1:32" ht="25" customHeight="1">
      <c r="A24" s="614"/>
      <c r="B24" s="63"/>
      <c r="C24" s="63"/>
      <c r="D24" s="63"/>
      <c r="E24" s="63"/>
      <c r="F24" s="63"/>
      <c r="G24" s="63"/>
      <c r="H24" s="63"/>
      <c r="I24" s="612"/>
      <c r="J24" s="612"/>
      <c r="K24" s="612"/>
      <c r="L24" s="397"/>
      <c r="N24" s="149"/>
      <c r="O24" s="399"/>
      <c r="P24" s="400"/>
      <c r="R24" s="398"/>
      <c r="S24" s="399"/>
      <c r="T24" s="400"/>
      <c r="U24" s="57"/>
      <c r="V24" s="398"/>
      <c r="W24" s="399"/>
      <c r="X24" s="400"/>
      <c r="Y24" s="57"/>
      <c r="AD24" s="5"/>
      <c r="AF24" s="5"/>
    </row>
    <row r="25" spans="1:32" ht="25" customHeight="1">
      <c r="A25" s="614" t="s">
        <v>1129</v>
      </c>
      <c r="B25" s="63">
        <f>'F-17'!Q43</f>
        <v>61.888361400000001</v>
      </c>
      <c r="C25" s="63">
        <f>'F-17'!F43</f>
        <v>0</v>
      </c>
      <c r="D25" s="63">
        <f>'F-17'!O43</f>
        <v>1.31</v>
      </c>
      <c r="E25" s="19">
        <f>B25+C25-D25</f>
        <v>60.578361399999999</v>
      </c>
      <c r="F25" s="63">
        <f>'F-17'!F45</f>
        <v>0</v>
      </c>
      <c r="G25" s="63">
        <f>'F-17'!O45</f>
        <v>0</v>
      </c>
      <c r="H25" s="19">
        <f>E25+F25-G25</f>
        <v>60.578361399999999</v>
      </c>
      <c r="I25" s="63">
        <f>'F-17'!F46</f>
        <v>0</v>
      </c>
      <c r="J25" s="63">
        <f>'F-17'!O46</f>
        <v>0</v>
      </c>
      <c r="K25" s="19">
        <f>H25+I25-J25</f>
        <v>60.578361399999999</v>
      </c>
      <c r="L25" s="397">
        <v>7.4999999999999997E-2</v>
      </c>
      <c r="N25" s="398">
        <f>'F-17'!T43</f>
        <v>3.4990194560000001</v>
      </c>
      <c r="O25" s="399">
        <v>0</v>
      </c>
      <c r="P25" s="150">
        <f>+N25-O25</f>
        <v>3.4990194560000001</v>
      </c>
      <c r="R25" s="398">
        <f>'F-17'!T45</f>
        <v>2.0596642876</v>
      </c>
      <c r="S25" s="399">
        <v>0</v>
      </c>
      <c r="T25" s="150">
        <f>+R25-S25</f>
        <v>2.0596642876</v>
      </c>
      <c r="U25" s="57"/>
      <c r="V25" s="398">
        <f>'F-17'!T46</f>
        <v>4.1193285752</v>
      </c>
      <c r="W25" s="399">
        <v>0</v>
      </c>
      <c r="X25" s="150">
        <f>+V25-W25</f>
        <v>4.1193285752</v>
      </c>
      <c r="Y25" s="57"/>
      <c r="AD25" s="5"/>
      <c r="AF25" s="5"/>
    </row>
    <row r="26" spans="1:32" ht="25" customHeight="1">
      <c r="A26" s="614"/>
      <c r="B26" s="63"/>
      <c r="C26" s="63"/>
      <c r="D26" s="63"/>
      <c r="E26" s="19"/>
      <c r="F26" s="63"/>
      <c r="G26" s="63"/>
      <c r="H26" s="63"/>
      <c r="I26" s="612"/>
      <c r="J26" s="612"/>
      <c r="K26" s="612"/>
      <c r="L26" s="397"/>
      <c r="N26" s="398"/>
      <c r="O26" s="399"/>
      <c r="P26" s="400"/>
      <c r="R26" s="398"/>
      <c r="S26" s="399"/>
      <c r="T26" s="400"/>
      <c r="U26" s="57"/>
      <c r="V26" s="398"/>
      <c r="W26" s="399"/>
      <c r="X26" s="400"/>
      <c r="Y26" s="57"/>
      <c r="AD26" s="5"/>
      <c r="AF26" s="5"/>
    </row>
    <row r="27" spans="1:32" ht="25" customHeight="1">
      <c r="A27" s="614" t="s">
        <v>3644</v>
      </c>
      <c r="B27" s="63">
        <f>'F-17'!Q48</f>
        <v>0</v>
      </c>
      <c r="C27" s="63">
        <f>'F-17'!F48</f>
        <v>0</v>
      </c>
      <c r="D27" s="63">
        <f>'F-17'!O48</f>
        <v>0</v>
      </c>
      <c r="E27" s="585">
        <f>B27+C27-D27</f>
        <v>0</v>
      </c>
      <c r="F27" s="63">
        <f>'F-17'!F49</f>
        <v>0</v>
      </c>
      <c r="G27" s="63">
        <f>'F-17'!O49</f>
        <v>0</v>
      </c>
      <c r="H27" s="19">
        <f>E27+F27-G27</f>
        <v>0</v>
      </c>
      <c r="I27" s="63">
        <f>'F-17'!F50</f>
        <v>0</v>
      </c>
      <c r="J27" s="63">
        <f>'F-17'!O50</f>
        <v>0</v>
      </c>
      <c r="K27" s="19">
        <f>H27+I27-J27</f>
        <v>0</v>
      </c>
      <c r="L27" s="397">
        <v>0.04</v>
      </c>
      <c r="N27" s="398">
        <f>'F-17'!T48</f>
        <v>0</v>
      </c>
      <c r="O27" s="399">
        <v>0</v>
      </c>
      <c r="P27" s="150">
        <f>+N27-O27</f>
        <v>0</v>
      </c>
      <c r="R27" s="398">
        <f>'F-17'!T49</f>
        <v>0</v>
      </c>
      <c r="S27" s="399">
        <v>0</v>
      </c>
      <c r="T27" s="150">
        <f>+R27-S27</f>
        <v>0</v>
      </c>
      <c r="U27" s="57"/>
      <c r="V27" s="398">
        <f>'F-17'!T50</f>
        <v>0</v>
      </c>
      <c r="W27" s="399">
        <v>0</v>
      </c>
      <c r="X27" s="150">
        <f>+V27-W27</f>
        <v>0</v>
      </c>
      <c r="Y27" s="57"/>
      <c r="AD27" s="5"/>
      <c r="AF27" s="5"/>
    </row>
    <row r="28" spans="1:32" ht="25" customHeight="1">
      <c r="A28" s="614"/>
      <c r="B28" s="63"/>
      <c r="C28" s="63"/>
      <c r="D28" s="63"/>
      <c r="E28" s="63"/>
      <c r="F28" s="63"/>
      <c r="G28" s="63"/>
      <c r="H28" s="63"/>
      <c r="I28" s="612"/>
      <c r="J28" s="612"/>
      <c r="K28" s="612"/>
      <c r="L28" s="397"/>
      <c r="N28" s="398"/>
      <c r="O28" s="399"/>
      <c r="P28" s="400"/>
      <c r="R28" s="398"/>
      <c r="S28" s="399"/>
      <c r="T28" s="400"/>
      <c r="U28" s="57"/>
      <c r="V28" s="398"/>
      <c r="W28" s="399"/>
      <c r="X28" s="400"/>
      <c r="Y28" s="57"/>
      <c r="AD28" s="5"/>
      <c r="AF28" s="5"/>
    </row>
    <row r="29" spans="1:32" ht="25" customHeight="1">
      <c r="A29" s="1559" t="s">
        <v>3344</v>
      </c>
      <c r="B29" s="1560">
        <f>'F-17'!Q52</f>
        <v>0</v>
      </c>
      <c r="C29" s="1560">
        <f>'F-17'!F52</f>
        <v>0</v>
      </c>
      <c r="D29" s="1560">
        <f>'F-17'!O52</f>
        <v>0</v>
      </c>
      <c r="E29" s="989">
        <f>B29+C29-D29</f>
        <v>0</v>
      </c>
      <c r="F29" s="1560">
        <f>'F-17'!F53</f>
        <v>0</v>
      </c>
      <c r="G29" s="1560">
        <f>'F-17'!O53</f>
        <v>0</v>
      </c>
      <c r="H29" s="989">
        <f>E29+F29-G29</f>
        <v>0</v>
      </c>
      <c r="I29" s="1560">
        <f>'F-17'!F54</f>
        <v>0</v>
      </c>
      <c r="J29" s="1560">
        <f>'F-17'!O54</f>
        <v>0</v>
      </c>
      <c r="K29" s="989">
        <f>H29+I29-J29</f>
        <v>0</v>
      </c>
      <c r="L29" s="1561">
        <v>0.13500000000000001</v>
      </c>
      <c r="M29" s="1562"/>
      <c r="N29" s="1563">
        <f>'F-17'!T52</f>
        <v>0</v>
      </c>
      <c r="O29" s="1564">
        <f>+N29*0.5</f>
        <v>0</v>
      </c>
      <c r="P29" s="1565">
        <f>+N29-O29</f>
        <v>0</v>
      </c>
      <c r="Q29" s="1562"/>
      <c r="R29" s="1563">
        <f>'F-17'!T53</f>
        <v>0</v>
      </c>
      <c r="S29" s="1564">
        <f>+R29*0.2</f>
        <v>0</v>
      </c>
      <c r="T29" s="1565">
        <f>+R29-S29</f>
        <v>0</v>
      </c>
      <c r="U29" s="1566"/>
      <c r="V29" s="1563">
        <f>'F-17'!T54</f>
        <v>0</v>
      </c>
      <c r="W29" s="1564">
        <f>+V29*0.2</f>
        <v>0</v>
      </c>
      <c r="X29" s="1565">
        <f>+V29-W29</f>
        <v>0</v>
      </c>
      <c r="Y29" s="57"/>
      <c r="AD29" s="5"/>
      <c r="AF29" s="5"/>
    </row>
    <row r="30" spans="1:32" ht="25" customHeight="1">
      <c r="A30" s="606"/>
      <c r="B30" s="63"/>
      <c r="C30" s="63"/>
      <c r="D30" s="63"/>
      <c r="E30" s="63"/>
      <c r="F30" s="63"/>
      <c r="G30" s="63"/>
      <c r="H30" s="63"/>
      <c r="I30" s="612"/>
      <c r="J30" s="612"/>
      <c r="K30" s="612"/>
      <c r="L30" s="397"/>
      <c r="N30" s="398"/>
      <c r="O30" s="399"/>
      <c r="P30" s="400"/>
      <c r="R30" s="398"/>
      <c r="S30" s="399"/>
      <c r="T30" s="400"/>
      <c r="U30" s="57"/>
      <c r="V30" s="398"/>
      <c r="W30" s="399"/>
      <c r="X30" s="400"/>
      <c r="Y30" s="57"/>
      <c r="AD30" s="5"/>
      <c r="AF30" s="5"/>
    </row>
    <row r="31" spans="1:32" ht="25" customHeight="1">
      <c r="A31" s="606" t="s">
        <v>3645</v>
      </c>
      <c r="B31" s="63">
        <f>'F-17'!Q56</f>
        <v>0</v>
      </c>
      <c r="C31" s="63">
        <f>'F-17'!F56</f>
        <v>0</v>
      </c>
      <c r="D31" s="63">
        <f>'F-17'!O56</f>
        <v>0</v>
      </c>
      <c r="E31" s="19">
        <f>B31+C31-D31</f>
        <v>0</v>
      </c>
      <c r="F31" s="63">
        <f>'F-17'!F57</f>
        <v>0</v>
      </c>
      <c r="G31" s="63">
        <f>'F-17'!O57</f>
        <v>0</v>
      </c>
      <c r="H31" s="19">
        <f>E31+F31-G31</f>
        <v>0</v>
      </c>
      <c r="I31" s="63">
        <f>'F-17'!F58</f>
        <v>0</v>
      </c>
      <c r="J31" s="63">
        <f>'F-17'!O58</f>
        <v>0</v>
      </c>
      <c r="K31" s="19">
        <f>H31+I31-J31</f>
        <v>0</v>
      </c>
      <c r="L31" s="397">
        <v>0</v>
      </c>
      <c r="N31" s="398">
        <f>'F-17'!T56</f>
        <v>0</v>
      </c>
      <c r="O31" s="27">
        <f>+N31*0.5</f>
        <v>0</v>
      </c>
      <c r="P31" s="150">
        <f>+N31-O31</f>
        <v>0</v>
      </c>
      <c r="R31" s="398">
        <f>'F-17'!T57</f>
        <v>0</v>
      </c>
      <c r="S31" s="27">
        <f>R31*0.2</f>
        <v>0</v>
      </c>
      <c r="T31" s="150">
        <f>+R31-S31</f>
        <v>0</v>
      </c>
      <c r="U31" s="57"/>
      <c r="V31" s="398">
        <f>'F-17'!T58</f>
        <v>0</v>
      </c>
      <c r="W31" s="27">
        <f>V31*0.2</f>
        <v>0</v>
      </c>
      <c r="X31" s="150">
        <f>+V31-W31</f>
        <v>0</v>
      </c>
      <c r="Y31" s="57"/>
      <c r="AD31" s="5"/>
      <c r="AF31" s="5"/>
    </row>
    <row r="32" spans="1:32" ht="25" customHeight="1">
      <c r="A32" s="606"/>
      <c r="B32" s="63"/>
      <c r="C32" s="63"/>
      <c r="D32" s="63"/>
      <c r="E32" s="63"/>
      <c r="F32" s="63"/>
      <c r="G32" s="63"/>
      <c r="H32" s="63"/>
      <c r="I32" s="612"/>
      <c r="J32" s="612"/>
      <c r="K32" s="612"/>
      <c r="L32" s="397"/>
      <c r="N32" s="398"/>
      <c r="O32" s="399"/>
      <c r="P32" s="400"/>
      <c r="R32" s="398"/>
      <c r="S32" s="399"/>
      <c r="T32" s="400"/>
      <c r="U32" s="57"/>
      <c r="V32" s="398"/>
      <c r="W32" s="399"/>
      <c r="X32" s="400"/>
      <c r="Y32" s="57"/>
      <c r="AD32" s="5"/>
      <c r="AF32" s="5"/>
    </row>
    <row r="33" spans="1:32" ht="25" customHeight="1">
      <c r="A33" s="606" t="str">
        <f>'F-17'!A60</f>
        <v>Indusind Bank(Short-Term)</v>
      </c>
      <c r="B33" s="63">
        <f>'F-17'!Q60</f>
        <v>0</v>
      </c>
      <c r="C33" s="63">
        <f>'F-17'!F60</f>
        <v>551.71</v>
      </c>
      <c r="D33" s="63">
        <f>'F-17'!O60</f>
        <v>427.48</v>
      </c>
      <c r="E33" s="19">
        <f>B33+C33-D33</f>
        <v>124.23000000000002</v>
      </c>
      <c r="F33" s="63">
        <f>'F-17'!F61</f>
        <v>246.78081210000002</v>
      </c>
      <c r="G33" s="63">
        <f>'F-17'!O61</f>
        <v>288.60795659999997</v>
      </c>
      <c r="H33" s="19">
        <f>E33+F33-G33</f>
        <v>82.402855500000101</v>
      </c>
      <c r="I33" s="63">
        <f>'F-17'!F63</f>
        <v>0</v>
      </c>
      <c r="J33" s="63">
        <f>'F-17'!O63</f>
        <v>0</v>
      </c>
      <c r="K33" s="19">
        <f>H33+I33-J33</f>
        <v>82.402855500000101</v>
      </c>
      <c r="L33" s="397">
        <v>5.6000000000000001E-2</v>
      </c>
      <c r="N33" s="398">
        <f>'F-17'!T60</f>
        <v>4.4539272729999997</v>
      </c>
      <c r="O33" s="27">
        <f>+N33*0.5</f>
        <v>2.2269636364999998</v>
      </c>
      <c r="P33" s="150">
        <f>+N33-O33</f>
        <v>2.2269636364999998</v>
      </c>
      <c r="R33" s="398">
        <f>'F-17'!T61</f>
        <v>2.3288912859999997</v>
      </c>
      <c r="S33" s="27">
        <v>0</v>
      </c>
      <c r="T33" s="150">
        <f>+R33-S33</f>
        <v>2.3288912859999997</v>
      </c>
      <c r="U33" s="57"/>
      <c r="V33" s="398">
        <f>'F-17'!T63</f>
        <v>5.6033941740000071</v>
      </c>
      <c r="W33" s="27">
        <v>0</v>
      </c>
      <c r="X33" s="150">
        <f>+V33-W33</f>
        <v>5.6033941740000071</v>
      </c>
      <c r="Y33" s="57"/>
      <c r="AD33" s="5"/>
      <c r="AF33" s="5"/>
    </row>
    <row r="34" spans="1:32" ht="25" customHeight="1">
      <c r="A34" s="606"/>
      <c r="B34" s="63"/>
      <c r="C34" s="63"/>
      <c r="D34" s="63"/>
      <c r="E34" s="63"/>
      <c r="F34" s="63"/>
      <c r="G34" s="63"/>
      <c r="H34" s="63"/>
      <c r="I34" s="612"/>
      <c r="J34" s="612"/>
      <c r="K34" s="612"/>
      <c r="L34" s="397"/>
      <c r="N34" s="398"/>
      <c r="O34" s="399"/>
      <c r="P34" s="400"/>
      <c r="R34" s="398"/>
      <c r="S34" s="399"/>
      <c r="T34" s="400"/>
      <c r="U34" s="57"/>
      <c r="V34" s="398"/>
      <c r="W34" s="399"/>
      <c r="X34" s="400"/>
      <c r="Y34" s="57"/>
      <c r="AD34" s="5"/>
      <c r="AF34" s="5"/>
    </row>
    <row r="35" spans="1:32" ht="25" customHeight="1">
      <c r="A35" s="606" t="str">
        <f>'F-17'!A65</f>
        <v>Kotak Mahindra(Short-Term)</v>
      </c>
      <c r="B35" s="63">
        <f>'F-17'!Q65</f>
        <v>0</v>
      </c>
      <c r="C35" s="63">
        <f>'F-17'!F65</f>
        <v>249.92654883800003</v>
      </c>
      <c r="D35" s="63">
        <f>'F-17'!O65</f>
        <v>249.92654883800003</v>
      </c>
      <c r="E35" s="19">
        <f>B35+C35-D35</f>
        <v>0</v>
      </c>
      <c r="F35" s="63">
        <f>'F-17'!F67</f>
        <v>0</v>
      </c>
      <c r="G35" s="63">
        <f>'F-17'!O67</f>
        <v>0</v>
      </c>
      <c r="H35" s="19">
        <f>E35+F35-G35</f>
        <v>0</v>
      </c>
      <c r="I35" s="63">
        <f>'F-17'!F68</f>
        <v>0</v>
      </c>
      <c r="J35" s="63">
        <f>'F-17'!O68</f>
        <v>0</v>
      </c>
      <c r="K35" s="19">
        <f>H35+I35-J35</f>
        <v>0</v>
      </c>
      <c r="L35" s="397">
        <v>5.6000000000000001E-2</v>
      </c>
      <c r="N35" s="398">
        <f>'F-17'!T65</f>
        <v>2.848528672</v>
      </c>
      <c r="O35" s="27">
        <f>+N35*0.5</f>
        <v>1.424264336</v>
      </c>
      <c r="P35" s="150">
        <f>+N35-O35</f>
        <v>1.424264336</v>
      </c>
      <c r="R35" s="398">
        <f>'F-17'!T67</f>
        <v>4.5824999999999996</v>
      </c>
      <c r="S35" s="27">
        <v>0</v>
      </c>
      <c r="T35" s="150">
        <f>+R35-S35</f>
        <v>4.5824999999999996</v>
      </c>
      <c r="U35" s="57"/>
      <c r="V35" s="398">
        <f>'F-17'!T68</f>
        <v>9.1649999999999991</v>
      </c>
      <c r="W35" s="27">
        <v>0</v>
      </c>
      <c r="X35" s="150">
        <f>+V35-W35</f>
        <v>9.1649999999999991</v>
      </c>
      <c r="Y35" s="57"/>
      <c r="AD35" s="5"/>
      <c r="AF35" s="5"/>
    </row>
    <row r="36" spans="1:32" ht="25" customHeight="1">
      <c r="A36" s="606"/>
      <c r="B36" s="63"/>
      <c r="C36" s="63"/>
      <c r="D36" s="63"/>
      <c r="E36" s="63"/>
      <c r="F36" s="63"/>
      <c r="G36" s="63"/>
      <c r="H36" s="63"/>
      <c r="I36" s="612"/>
      <c r="J36" s="612"/>
      <c r="K36" s="612"/>
      <c r="L36" s="397"/>
      <c r="N36" s="398"/>
      <c r="O36" s="399"/>
      <c r="P36" s="400"/>
      <c r="R36" s="398"/>
      <c r="S36" s="399"/>
      <c r="T36" s="400"/>
      <c r="U36" s="57"/>
      <c r="V36" s="398"/>
      <c r="W36" s="399"/>
      <c r="X36" s="400"/>
      <c r="Y36" s="57"/>
      <c r="AD36" s="5"/>
      <c r="AF36" s="5"/>
    </row>
    <row r="37" spans="1:32" ht="25" customHeight="1">
      <c r="A37" s="606" t="str">
        <f>'F-17'!A70</f>
        <v>CAPEX LOAN-UBI</v>
      </c>
      <c r="B37" s="63">
        <f>'F-17'!Q70</f>
        <v>0</v>
      </c>
      <c r="C37" s="63">
        <f>'F-17'!F70</f>
        <v>40</v>
      </c>
      <c r="D37" s="63">
        <f>'F-17'!O70</f>
        <v>0</v>
      </c>
      <c r="E37" s="19">
        <f>B37+C37-D37</f>
        <v>40</v>
      </c>
      <c r="F37" s="63">
        <f>'F-17'!F72</f>
        <v>188.28589152621097</v>
      </c>
      <c r="G37" s="63">
        <f>'F-17'!O72</f>
        <v>26.911262889459188</v>
      </c>
      <c r="H37" s="19">
        <f>E37+F37-G37</f>
        <v>201.37462863675179</v>
      </c>
      <c r="I37" s="63">
        <f>'F-17'!F73</f>
        <v>411.4633173467065</v>
      </c>
      <c r="J37" s="63">
        <f>'F-17'!O73</f>
        <v>36.776043583694864</v>
      </c>
      <c r="K37" s="19">
        <f>H37+I37-J37</f>
        <v>576.06190239976343</v>
      </c>
      <c r="L37" s="397">
        <v>0</v>
      </c>
      <c r="N37" s="398">
        <f>'F-17'!T70</f>
        <v>7.5615999999999999E-3</v>
      </c>
      <c r="O37" s="27">
        <f>+N37*0.5</f>
        <v>3.7808E-3</v>
      </c>
      <c r="P37" s="150">
        <f>+N37-O37</f>
        <v>3.7808E-3</v>
      </c>
      <c r="R37" s="398">
        <f>'F-17'!T72</f>
        <v>18.03345772903759</v>
      </c>
      <c r="S37" s="27">
        <f>'Additional Working'!C39</f>
        <v>2.14148618112544</v>
      </c>
      <c r="T37" s="150">
        <f>+R37-S37</f>
        <v>15.891971547912149</v>
      </c>
      <c r="U37" s="57"/>
      <c r="V37" s="398">
        <f>'F-17'!T73</f>
        <v>46.675355028210504</v>
      </c>
      <c r="W37" s="27">
        <f>'Additional Working'!D39</f>
        <v>7.8810464243845262</v>
      </c>
      <c r="X37" s="150">
        <f>+V37-W37</f>
        <v>38.794308603825975</v>
      </c>
      <c r="Y37" s="57"/>
      <c r="AD37" s="5"/>
      <c r="AF37" s="5"/>
    </row>
    <row r="38" spans="1:32" ht="25" customHeight="1">
      <c r="A38" s="606"/>
      <c r="B38" s="63"/>
      <c r="C38" s="63"/>
      <c r="D38" s="63"/>
      <c r="E38" s="63"/>
      <c r="F38" s="63"/>
      <c r="G38" s="63"/>
      <c r="H38" s="63"/>
      <c r="I38" s="612"/>
      <c r="J38" s="612"/>
      <c r="K38" s="612"/>
      <c r="L38" s="397"/>
      <c r="N38" s="398"/>
      <c r="O38" s="399"/>
      <c r="P38" s="400"/>
      <c r="R38" s="398"/>
      <c r="S38" s="399"/>
      <c r="T38" s="400"/>
      <c r="U38" s="57"/>
      <c r="V38" s="398"/>
      <c r="W38" s="399"/>
      <c r="X38" s="400"/>
      <c r="Y38" s="57"/>
      <c r="AD38" s="5"/>
      <c r="AF38" s="5"/>
    </row>
    <row r="39" spans="1:32" ht="25" customHeight="1">
      <c r="A39" s="606"/>
      <c r="B39" s="63"/>
      <c r="C39" s="63"/>
      <c r="D39" s="63"/>
      <c r="E39" s="63"/>
      <c r="F39" s="63"/>
      <c r="G39" s="63"/>
      <c r="H39" s="63"/>
      <c r="I39" s="612"/>
      <c r="J39" s="612"/>
      <c r="K39" s="612"/>
      <c r="L39" s="397"/>
      <c r="N39" s="398"/>
      <c r="O39" s="399"/>
      <c r="P39" s="400"/>
      <c r="R39" s="398"/>
      <c r="S39" s="399"/>
      <c r="T39" s="400"/>
      <c r="U39" s="57"/>
      <c r="V39" s="398"/>
      <c r="W39" s="399"/>
      <c r="X39" s="400"/>
      <c r="Y39" s="57"/>
      <c r="AD39" s="5"/>
      <c r="AF39" s="5"/>
    </row>
    <row r="40" spans="1:32" ht="25" customHeight="1">
      <c r="A40" s="606"/>
      <c r="B40" s="63"/>
      <c r="C40" s="63"/>
      <c r="D40" s="63"/>
      <c r="E40" s="63"/>
      <c r="F40" s="63"/>
      <c r="G40" s="63"/>
      <c r="H40" s="63"/>
      <c r="I40" s="612"/>
      <c r="J40" s="612"/>
      <c r="K40" s="612"/>
      <c r="L40" s="397"/>
      <c r="N40" s="398"/>
      <c r="O40" s="399"/>
      <c r="P40" s="400"/>
      <c r="R40" s="398"/>
      <c r="S40" s="399"/>
      <c r="T40" s="400"/>
      <c r="U40" s="57"/>
      <c r="V40" s="398"/>
      <c r="W40" s="399"/>
      <c r="X40" s="400"/>
      <c r="Y40" s="57"/>
      <c r="AD40" s="5"/>
      <c r="AF40" s="5"/>
    </row>
    <row r="41" spans="1:32" ht="25" customHeight="1">
      <c r="A41" s="606"/>
      <c r="B41" s="63"/>
      <c r="C41" s="63"/>
      <c r="D41" s="63"/>
      <c r="E41" s="63"/>
      <c r="F41" s="63"/>
      <c r="G41" s="63"/>
      <c r="H41" s="63"/>
      <c r="I41" s="612"/>
      <c r="J41" s="612"/>
      <c r="K41" s="612"/>
      <c r="L41" s="397"/>
      <c r="N41" s="398"/>
      <c r="O41" s="399"/>
      <c r="P41" s="400"/>
      <c r="R41" s="398"/>
      <c r="S41" s="399"/>
      <c r="T41" s="400"/>
      <c r="U41" s="57"/>
      <c r="V41" s="398"/>
      <c r="W41" s="399"/>
      <c r="X41" s="400"/>
      <c r="Y41" s="57"/>
      <c r="AD41" s="5"/>
      <c r="AF41" s="5"/>
    </row>
    <row r="42" spans="1:32" ht="25" customHeight="1">
      <c r="A42" s="606"/>
      <c r="B42" s="63"/>
      <c r="C42" s="63"/>
      <c r="D42" s="63"/>
      <c r="E42" s="63"/>
      <c r="F42" s="63"/>
      <c r="G42" s="63"/>
      <c r="H42" s="63"/>
      <c r="I42" s="612"/>
      <c r="J42" s="612"/>
      <c r="K42" s="612"/>
      <c r="L42" s="397"/>
      <c r="N42" s="398"/>
      <c r="O42" s="399"/>
      <c r="P42" s="400"/>
      <c r="R42" s="398"/>
      <c r="S42" s="399"/>
      <c r="T42" s="400"/>
      <c r="U42" s="57"/>
      <c r="V42" s="398"/>
      <c r="W42" s="399"/>
      <c r="X42" s="400"/>
      <c r="Y42" s="57"/>
      <c r="AD42" s="5"/>
      <c r="AF42" s="5"/>
    </row>
    <row r="43" spans="1:32" ht="25" customHeight="1">
      <c r="A43" s="606"/>
      <c r="B43" s="63"/>
      <c r="C43" s="63"/>
      <c r="D43" s="63"/>
      <c r="E43" s="63"/>
      <c r="F43" s="63"/>
      <c r="G43" s="63"/>
      <c r="H43" s="63"/>
      <c r="I43" s="612"/>
      <c r="J43" s="612"/>
      <c r="K43" s="612"/>
      <c r="L43" s="397"/>
      <c r="N43" s="398"/>
      <c r="O43" s="399"/>
      <c r="P43" s="400"/>
      <c r="R43" s="398"/>
      <c r="S43" s="399"/>
      <c r="T43" s="400"/>
      <c r="U43" s="57"/>
      <c r="V43" s="398"/>
      <c r="W43" s="399"/>
      <c r="X43" s="400"/>
      <c r="Y43" s="57"/>
      <c r="AD43" s="5"/>
      <c r="AF43" s="5"/>
    </row>
    <row r="44" spans="1:32" s="621" customFormat="1" ht="25" customHeight="1">
      <c r="A44" s="614"/>
      <c r="B44" s="1282"/>
      <c r="C44" s="1282"/>
      <c r="D44" s="1282"/>
      <c r="E44" s="1282"/>
      <c r="F44" s="1282"/>
      <c r="G44" s="1282"/>
      <c r="H44" s="585"/>
      <c r="I44" s="1282"/>
      <c r="J44" s="1282"/>
      <c r="K44" s="585"/>
      <c r="L44" s="1283"/>
      <c r="N44" s="1284"/>
      <c r="O44" s="1285"/>
      <c r="P44" s="1286"/>
      <c r="R44" s="1284"/>
      <c r="S44" s="1285"/>
      <c r="T44" s="1286"/>
      <c r="U44" s="1287"/>
      <c r="V44" s="1284"/>
      <c r="W44" s="1285"/>
      <c r="X44" s="1286"/>
      <c r="Y44" s="1287"/>
      <c r="AD44" s="1288"/>
      <c r="AF44" s="1288"/>
    </row>
    <row r="45" spans="1:32" ht="25" customHeight="1" thickBot="1">
      <c r="A45" s="586" t="s">
        <v>1100</v>
      </c>
      <c r="B45" s="152">
        <f t="shared" ref="B45:J45" si="0">SUM(B9:B44)</f>
        <v>85.87501869999997</v>
      </c>
      <c r="C45" s="152">
        <f t="shared" si="0"/>
        <v>933.04193553800008</v>
      </c>
      <c r="D45" s="152">
        <f t="shared" si="0"/>
        <v>678.71654883800011</v>
      </c>
      <c r="E45" s="152">
        <f t="shared" si="0"/>
        <v>340.20040540000002</v>
      </c>
      <c r="F45" s="152">
        <f t="shared" si="0"/>
        <v>435.06670362621099</v>
      </c>
      <c r="G45" s="152">
        <f t="shared" si="0"/>
        <v>315.51921948945915</v>
      </c>
      <c r="H45" s="152">
        <f t="shared" si="0"/>
        <v>459.74788953675193</v>
      </c>
      <c r="I45" s="152">
        <f t="shared" si="0"/>
        <v>411.4633173467065</v>
      </c>
      <c r="J45" s="152">
        <f t="shared" si="0"/>
        <v>36.776043583694864</v>
      </c>
      <c r="K45" s="152">
        <f>SUM(K9:K44)</f>
        <v>834.43516329976353</v>
      </c>
      <c r="L45" s="153"/>
      <c r="N45" s="505">
        <f>SUM(N9:N44)</f>
        <v>13.382583825000001</v>
      </c>
      <c r="O45" s="505">
        <f>SUM(O9:O44)</f>
        <v>3.6550087725</v>
      </c>
      <c r="P45" s="587">
        <f>SUM(P9:P44)</f>
        <v>9.7275750524999989</v>
      </c>
      <c r="Q45" s="57"/>
      <c r="R45" s="505">
        <f>SUM(R9:R44)</f>
        <v>30.709494318637589</v>
      </c>
      <c r="S45" s="505">
        <f>SUM(S9:S44)</f>
        <v>2.14148618112544</v>
      </c>
      <c r="T45" s="587">
        <f>SUM(T9:T44)</f>
        <v>28.568008137512148</v>
      </c>
      <c r="U45" s="59"/>
      <c r="V45" s="505">
        <f>SUM(V9:V44)</f>
        <v>72.962312609410503</v>
      </c>
      <c r="W45" s="505">
        <f>SUM(W9:W44)</f>
        <v>7.8810464243845262</v>
      </c>
      <c r="X45" s="587">
        <f>SUM(X9:X44)</f>
        <v>65.081266185025981</v>
      </c>
      <c r="Y45" s="59"/>
      <c r="AE45" s="3" t="e">
        <f>+AE21+#REF!</f>
        <v>#REF!</v>
      </c>
    </row>
    <row r="46" spans="1:32">
      <c r="Z46" s="3557" t="s">
        <v>79</v>
      </c>
      <c r="AA46" s="3557"/>
      <c r="AB46" s="3557"/>
      <c r="AC46" s="3557"/>
      <c r="AD46" s="3557"/>
      <c r="AE46" s="3557"/>
      <c r="AF46" s="3557"/>
    </row>
    <row r="47" spans="1:32">
      <c r="A47" s="531" t="s">
        <v>1031</v>
      </c>
      <c r="E47" s="3">
        <f>'F-3'!E22</f>
        <v>340.20040540000002</v>
      </c>
      <c r="F47" s="3">
        <f>'F-3'!G22</f>
        <v>889.71396659821107</v>
      </c>
      <c r="G47" s="3">
        <f>'F-3'!H22</f>
        <v>587.15921948945913</v>
      </c>
      <c r="H47" s="3">
        <f>'F-3'!I22</f>
        <v>642.75515250875196</v>
      </c>
      <c r="I47" s="3">
        <f>'F-3'!J22</f>
        <v>411.4633173467065</v>
      </c>
      <c r="J47" s="3">
        <f>'F-3'!K22</f>
        <v>36.776043583694864</v>
      </c>
      <c r="K47" s="3">
        <f>'F-3'!L22</f>
        <v>1017.4424262717636</v>
      </c>
      <c r="Z47" s="19"/>
      <c r="AA47" s="19" t="s">
        <v>513</v>
      </c>
      <c r="AB47" s="19"/>
      <c r="AC47" s="19"/>
      <c r="AD47" s="34">
        <v>8.5000000000000006E-2</v>
      </c>
      <c r="AE47" s="34">
        <v>0.125</v>
      </c>
      <c r="AF47" s="19"/>
    </row>
    <row r="48" spans="1:32">
      <c r="E48" s="3">
        <f>E45-E47</f>
        <v>0</v>
      </c>
      <c r="F48" s="3">
        <f t="shared" ref="F48:K48" si="1">F45-F47</f>
        <v>-454.64726297200008</v>
      </c>
      <c r="G48" s="3">
        <f t="shared" si="1"/>
        <v>-271.64</v>
      </c>
      <c r="H48" s="3">
        <f t="shared" si="1"/>
        <v>-183.00726297200004</v>
      </c>
      <c r="I48" s="3">
        <f t="shared" si="1"/>
        <v>0</v>
      </c>
      <c r="J48" s="3">
        <f t="shared" si="1"/>
        <v>0</v>
      </c>
      <c r="K48" s="3">
        <f t="shared" si="1"/>
        <v>-183.00726297200004</v>
      </c>
      <c r="Z48" s="19" t="s">
        <v>512</v>
      </c>
      <c r="AA48" s="19" t="s">
        <v>568</v>
      </c>
      <c r="AB48" s="19" t="s">
        <v>514</v>
      </c>
      <c r="AC48" s="19" t="s">
        <v>571</v>
      </c>
      <c r="AD48" s="19" t="s">
        <v>1235</v>
      </c>
      <c r="AE48" s="19" t="s">
        <v>1235</v>
      </c>
      <c r="AF48" s="19" t="s">
        <v>13</v>
      </c>
    </row>
    <row r="49" spans="1:32">
      <c r="C49" s="3552" t="s">
        <v>1053</v>
      </c>
      <c r="D49" s="3552"/>
      <c r="F49" s="3552" t="s">
        <v>1053</v>
      </c>
      <c r="G49" s="3552"/>
      <c r="Z49" s="12" t="s">
        <v>80</v>
      </c>
      <c r="AA49" s="19">
        <v>1300000000</v>
      </c>
      <c r="AB49" s="19"/>
      <c r="AC49" s="19">
        <f>+AA49-AB49</f>
        <v>1300000000</v>
      </c>
      <c r="AD49" s="19">
        <f>+AA49*AE47/2</f>
        <v>81250000</v>
      </c>
      <c r="AE49" s="19">
        <f>+AC49*$AE$47/2</f>
        <v>81250000</v>
      </c>
      <c r="AF49" s="19">
        <f>+AE49-AD49</f>
        <v>0</v>
      </c>
    </row>
    <row r="50" spans="1:32">
      <c r="A50" s="531" t="s">
        <v>1031</v>
      </c>
      <c r="E50" s="3">
        <f>'F-3'!E22-'WF-INTEREST'!E45</f>
        <v>0</v>
      </c>
      <c r="F50" s="3">
        <f>'F-23 '!D28+'F-23 '!D29+'F-23 '!D30+'F-23 '!D31+'F-23 '!D44</f>
        <v>0</v>
      </c>
      <c r="G50" s="3">
        <f>'F-23 '!D58+'F-23 '!D59+'F-23 '!D60+'F-23 '!D61+'F-23 '!D62+'F-23 '!D65+'F-23 '!D66+'F-23 '!D74</f>
        <v>0</v>
      </c>
      <c r="H50" s="3">
        <f>'F-3'!I22-'WF-INTEREST'!H45</f>
        <v>183.00726297200004</v>
      </c>
      <c r="L50" s="3" t="s">
        <v>1030</v>
      </c>
      <c r="N50" s="3">
        <f>N45-'F-17'!T86</f>
        <v>13.382583825000001</v>
      </c>
      <c r="R50" s="3">
        <f>'F-17'!T87-'WF-INTEREST'!R45</f>
        <v>-30.709494318637589</v>
      </c>
      <c r="T50" s="3">
        <f>'WF-10(Rev RQ-Cur)'!I27</f>
        <v>28.568008137512148</v>
      </c>
      <c r="X50" s="3">
        <f>'WF-12(RevRQEns)'!H33</f>
        <v>65.081266185025981</v>
      </c>
      <c r="Z50" s="12" t="s">
        <v>1032</v>
      </c>
      <c r="AA50" s="19">
        <f>+AC49</f>
        <v>1300000000</v>
      </c>
      <c r="AB50" s="19"/>
      <c r="AC50" s="19">
        <f t="shared" ref="AC50:AC63" si="2">+AA50-AB50</f>
        <v>1300000000</v>
      </c>
      <c r="AD50" s="19">
        <f>+$AA$49*$AD$47/2</f>
        <v>55250000.000000007</v>
      </c>
      <c r="AE50" s="19">
        <f t="shared" ref="AE50:AE59" si="3">+AC50*$AE$47/2</f>
        <v>81250000</v>
      </c>
      <c r="AF50" s="19">
        <f t="shared" ref="AF50:AF61" si="4">+AE50-AD50</f>
        <v>25999999.999999993</v>
      </c>
    </row>
    <row r="51" spans="1:32">
      <c r="F51" s="3">
        <f>F45-F50</f>
        <v>435.06670362621099</v>
      </c>
      <c r="G51" s="3">
        <f>G45-G50</f>
        <v>315.51921948945915</v>
      </c>
      <c r="P51" s="522"/>
      <c r="Q51" s="522"/>
      <c r="R51" s="522"/>
      <c r="S51" s="522"/>
      <c r="T51" s="522">
        <f>T45-T50</f>
        <v>0</v>
      </c>
      <c r="U51" s="522"/>
      <c r="V51" s="522"/>
      <c r="W51" s="522"/>
      <c r="X51" s="522">
        <f>X45-X50</f>
        <v>0</v>
      </c>
      <c r="Z51" s="12" t="s">
        <v>104</v>
      </c>
      <c r="AA51" s="19">
        <f t="shared" ref="AA51:AA63" si="5">+AC50</f>
        <v>1300000000</v>
      </c>
      <c r="AB51" s="19"/>
      <c r="AC51" s="19">
        <f t="shared" si="2"/>
        <v>1300000000</v>
      </c>
      <c r="AD51" s="19">
        <f t="shared" ref="AD51:AD59" si="6">+$AA$49*$AD$47/2</f>
        <v>55250000.000000007</v>
      </c>
      <c r="AE51" s="19">
        <f t="shared" si="3"/>
        <v>81250000</v>
      </c>
      <c r="AF51" s="19">
        <f t="shared" si="4"/>
        <v>25999999.999999993</v>
      </c>
    </row>
    <row r="52" spans="1:32">
      <c r="F52" s="3">
        <f>+F27+F31+52.14</f>
        <v>52.14</v>
      </c>
      <c r="H52" s="3">
        <f>H45-'F-17'!R87</f>
        <v>459.74788953675193</v>
      </c>
      <c r="Z52" s="12" t="s">
        <v>105</v>
      </c>
      <c r="AA52" s="19">
        <f t="shared" si="5"/>
        <v>1300000000</v>
      </c>
      <c r="AB52" s="19"/>
      <c r="AC52" s="19">
        <f t="shared" si="2"/>
        <v>1300000000</v>
      </c>
      <c r="AD52" s="19">
        <f t="shared" si="6"/>
        <v>55250000.000000007</v>
      </c>
      <c r="AE52" s="19">
        <f t="shared" si="3"/>
        <v>81250000</v>
      </c>
      <c r="AF52" s="19">
        <f t="shared" si="4"/>
        <v>25999999.999999993</v>
      </c>
    </row>
    <row r="53" spans="1:32">
      <c r="Z53" s="12" t="s">
        <v>503</v>
      </c>
      <c r="AA53" s="19">
        <f t="shared" si="5"/>
        <v>1300000000</v>
      </c>
      <c r="AB53" s="19"/>
      <c r="AC53" s="19">
        <f t="shared" si="2"/>
        <v>1300000000</v>
      </c>
      <c r="AD53" s="19">
        <f t="shared" si="6"/>
        <v>55250000.000000007</v>
      </c>
      <c r="AE53" s="19">
        <f t="shared" si="3"/>
        <v>81250000</v>
      </c>
      <c r="AF53" s="19">
        <f t="shared" si="4"/>
        <v>25999999.999999993</v>
      </c>
    </row>
    <row r="54" spans="1:32">
      <c r="B54" s="402"/>
      <c r="C54" s="402"/>
      <c r="D54" s="402"/>
      <c r="E54" s="402"/>
      <c r="F54" s="402"/>
      <c r="G54" s="1006" t="s">
        <v>7129</v>
      </c>
      <c r="H54" s="1006" t="s">
        <v>7130</v>
      </c>
      <c r="I54" s="527"/>
      <c r="J54" s="527"/>
      <c r="K54" s="527"/>
      <c r="L54" s="401"/>
      <c r="Z54" s="12" t="s">
        <v>504</v>
      </c>
      <c r="AA54" s="19">
        <f t="shared" si="5"/>
        <v>1300000000</v>
      </c>
      <c r="AB54" s="19"/>
      <c r="AC54" s="19">
        <f t="shared" si="2"/>
        <v>1300000000</v>
      </c>
      <c r="AD54" s="19">
        <f t="shared" si="6"/>
        <v>55250000.000000007</v>
      </c>
      <c r="AE54" s="19">
        <f t="shared" si="3"/>
        <v>81250000</v>
      </c>
      <c r="AF54" s="19">
        <f t="shared" si="4"/>
        <v>25999999.999999993</v>
      </c>
    </row>
    <row r="55" spans="1:32">
      <c r="B55" s="401"/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O55" s="57"/>
      <c r="P55" s="485"/>
      <c r="Z55" s="12" t="s">
        <v>505</v>
      </c>
      <c r="AA55" s="19">
        <f t="shared" si="5"/>
        <v>1300000000</v>
      </c>
      <c r="AB55" s="19"/>
      <c r="AC55" s="19">
        <f t="shared" si="2"/>
        <v>1300000000</v>
      </c>
      <c r="AD55" s="19">
        <f t="shared" si="6"/>
        <v>55250000.000000007</v>
      </c>
      <c r="AE55" s="19">
        <f t="shared" si="3"/>
        <v>81250000</v>
      </c>
      <c r="AF55" s="19">
        <f t="shared" si="4"/>
        <v>25999999.999999993</v>
      </c>
    </row>
    <row r="56" spans="1:32">
      <c r="A56" s="531" t="s">
        <v>466</v>
      </c>
      <c r="B56" s="401"/>
      <c r="C56" s="401"/>
      <c r="D56" s="401"/>
      <c r="F56" s="401">
        <v>1500000</v>
      </c>
      <c r="G56" s="1579">
        <f>F56*0.7</f>
        <v>1050000</v>
      </c>
      <c r="H56" s="1579">
        <f>G56*0.7</f>
        <v>735000</v>
      </c>
      <c r="I56" s="401"/>
      <c r="J56" s="401"/>
      <c r="K56" s="401"/>
      <c r="L56" s="401"/>
      <c r="O56" s="129"/>
      <c r="Z56" s="12" t="s">
        <v>506</v>
      </c>
      <c r="AA56" s="19">
        <f t="shared" si="5"/>
        <v>1300000000</v>
      </c>
      <c r="AB56" s="19"/>
      <c r="AC56" s="19">
        <f t="shared" si="2"/>
        <v>1300000000</v>
      </c>
      <c r="AD56" s="19">
        <f t="shared" si="6"/>
        <v>55250000.000000007</v>
      </c>
      <c r="AE56" s="19">
        <f t="shared" si="3"/>
        <v>81250000</v>
      </c>
      <c r="AF56" s="19">
        <f t="shared" si="4"/>
        <v>25999999.999999993</v>
      </c>
    </row>
    <row r="57" spans="1:32">
      <c r="A57" s="616" t="s">
        <v>3676</v>
      </c>
      <c r="B57" s="401"/>
      <c r="C57" s="401"/>
      <c r="D57" s="401"/>
      <c r="E57" s="401"/>
      <c r="F57" s="401"/>
      <c r="G57" s="401"/>
      <c r="H57" s="401"/>
      <c r="I57" s="401"/>
      <c r="J57" s="401"/>
      <c r="K57" s="401"/>
      <c r="L57" s="401" t="s">
        <v>3678</v>
      </c>
      <c r="O57" s="129"/>
      <c r="Z57" s="12"/>
      <c r="AA57" s="19"/>
      <c r="AB57" s="19"/>
      <c r="AC57" s="19"/>
      <c r="AD57" s="19"/>
      <c r="AE57" s="19"/>
      <c r="AF57" s="19"/>
    </row>
    <row r="58" spans="1:32">
      <c r="A58" s="531" t="s">
        <v>1204</v>
      </c>
      <c r="B58" s="401"/>
      <c r="C58" s="401"/>
      <c r="D58" s="401"/>
      <c r="E58" s="401"/>
      <c r="F58" s="401"/>
      <c r="G58" s="401"/>
      <c r="H58" s="401">
        <f>650000000*0.2206%*12+28090*12</f>
        <v>17543880</v>
      </c>
      <c r="I58" s="401"/>
      <c r="J58" s="401"/>
      <c r="K58" s="401"/>
      <c r="L58" s="401"/>
      <c r="Z58" s="12" t="s">
        <v>507</v>
      </c>
      <c r="AA58" s="19">
        <f>+AC56</f>
        <v>1300000000</v>
      </c>
      <c r="AB58" s="19"/>
      <c r="AC58" s="19">
        <f t="shared" si="2"/>
        <v>1300000000</v>
      </c>
      <c r="AD58" s="19">
        <f t="shared" si="6"/>
        <v>55250000.000000007</v>
      </c>
      <c r="AE58" s="19">
        <f t="shared" si="3"/>
        <v>81250000</v>
      </c>
      <c r="AF58" s="19">
        <f t="shared" si="4"/>
        <v>25999999.999999993</v>
      </c>
    </row>
    <row r="59" spans="1:32" ht="13">
      <c r="A59" s="531" t="s">
        <v>1100</v>
      </c>
      <c r="B59" s="403">
        <f>SUM(B56:B58)</f>
        <v>0</v>
      </c>
      <c r="C59" s="403">
        <f>SUM(C56:C58)</f>
        <v>0</v>
      </c>
      <c r="D59" s="401"/>
      <c r="E59" s="403">
        <f>SUM(E56:E58)</f>
        <v>0</v>
      </c>
      <c r="F59" s="403">
        <f>SUM(F56:F58)</f>
        <v>1500000</v>
      </c>
      <c r="G59" s="403">
        <f>SUM(G56:G58)</f>
        <v>1050000</v>
      </c>
      <c r="H59" s="403">
        <f>SUM(H56:H58)</f>
        <v>18278880</v>
      </c>
      <c r="I59" s="403"/>
      <c r="J59" s="403"/>
      <c r="K59" s="403"/>
      <c r="L59" s="401"/>
      <c r="Z59" s="12" t="s">
        <v>508</v>
      </c>
      <c r="AA59" s="19">
        <f t="shared" si="5"/>
        <v>1300000000</v>
      </c>
      <c r="AB59" s="19"/>
      <c r="AC59" s="19">
        <f t="shared" si="2"/>
        <v>1300000000</v>
      </c>
      <c r="AD59" s="19">
        <f t="shared" si="6"/>
        <v>55250000.000000007</v>
      </c>
      <c r="AE59" s="19">
        <f t="shared" si="3"/>
        <v>81250000</v>
      </c>
      <c r="AF59" s="19">
        <f t="shared" si="4"/>
        <v>25999999.999999993</v>
      </c>
    </row>
    <row r="60" spans="1:32">
      <c r="B60" s="401"/>
      <c r="C60" s="401"/>
      <c r="D60" s="401"/>
      <c r="E60" s="401"/>
      <c r="F60" s="401"/>
      <c r="G60" s="401"/>
      <c r="H60" s="401"/>
      <c r="I60" s="401"/>
      <c r="J60" s="401"/>
      <c r="K60" s="401"/>
      <c r="L60" s="401"/>
      <c r="Z60" s="12" t="s">
        <v>509</v>
      </c>
      <c r="AA60" s="19">
        <f t="shared" si="5"/>
        <v>1300000000</v>
      </c>
      <c r="AB60" s="19">
        <v>390000000</v>
      </c>
      <c r="AC60" s="19">
        <f t="shared" si="2"/>
        <v>910000000</v>
      </c>
      <c r="AD60" s="127">
        <f>+($AA$60*$AD$47)*3/12</f>
        <v>27625000.000000004</v>
      </c>
      <c r="AE60" s="127">
        <f>+($AA$60*$AE$47)*3/12</f>
        <v>40625000</v>
      </c>
      <c r="AF60" s="19">
        <f t="shared" si="4"/>
        <v>12999999.999999996</v>
      </c>
    </row>
    <row r="61" spans="1:32">
      <c r="B61" s="401"/>
      <c r="C61" s="401"/>
      <c r="D61" s="401"/>
      <c r="E61" s="401"/>
      <c r="F61" s="401"/>
      <c r="G61" s="401"/>
      <c r="H61" s="401"/>
      <c r="I61" s="401"/>
      <c r="J61" s="401"/>
      <c r="K61" s="401"/>
      <c r="L61" s="401"/>
      <c r="Z61" s="12" t="s">
        <v>510</v>
      </c>
      <c r="AA61" s="19">
        <f t="shared" si="5"/>
        <v>910000000</v>
      </c>
      <c r="AB61" s="19"/>
      <c r="AC61" s="19">
        <f t="shared" si="2"/>
        <v>910000000</v>
      </c>
      <c r="AD61" s="127">
        <f>+($AA$61*$AD$47)*3/12</f>
        <v>19337500</v>
      </c>
      <c r="AE61" s="127">
        <f>+($AA$61*$AE$47)*3/12</f>
        <v>28437500</v>
      </c>
      <c r="AF61" s="19">
        <f t="shared" si="4"/>
        <v>9100000</v>
      </c>
    </row>
    <row r="62" spans="1:32">
      <c r="A62" s="531" t="s">
        <v>1297</v>
      </c>
      <c r="B62" s="615">
        <v>461959</v>
      </c>
      <c r="C62" s="615">
        <f>'T-1'!D61</f>
        <v>2341116</v>
      </c>
      <c r="D62" s="401"/>
      <c r="E62" s="401"/>
      <c r="G62" s="615">
        <f>'T-1'!G61</f>
        <v>2386112</v>
      </c>
      <c r="H62" s="615">
        <f>'T-1'!M61</f>
        <v>2425073</v>
      </c>
      <c r="I62" s="401"/>
      <c r="J62" s="401"/>
      <c r="K62" s="401"/>
      <c r="L62" s="401"/>
      <c r="M62" s="401"/>
      <c r="Z62" s="79" t="s">
        <v>903</v>
      </c>
      <c r="AA62" s="19">
        <f t="shared" si="5"/>
        <v>910000000</v>
      </c>
      <c r="AB62" s="19">
        <v>390000000</v>
      </c>
      <c r="AC62" s="19">
        <f t="shared" si="2"/>
        <v>520000000</v>
      </c>
      <c r="AD62" s="127">
        <f>+($AA$61*$AD$47)*3/12</f>
        <v>19337500</v>
      </c>
      <c r="AE62" s="127">
        <f>+($AA$61*$AE$47)*6/12</f>
        <v>56875000</v>
      </c>
      <c r="AF62" s="19">
        <f>+AE62-AD62</f>
        <v>37537500</v>
      </c>
    </row>
    <row r="63" spans="1:32">
      <c r="A63" s="531" t="s">
        <v>956</v>
      </c>
      <c r="B63" s="401"/>
      <c r="C63" s="401"/>
      <c r="D63" s="401"/>
      <c r="E63" s="401"/>
      <c r="G63" s="401">
        <f>+G62-C62</f>
        <v>44996</v>
      </c>
      <c r="H63" s="401">
        <f>+H62-G62</f>
        <v>38961</v>
      </c>
      <c r="I63" s="401"/>
      <c r="J63" s="401"/>
      <c r="K63" s="401"/>
      <c r="L63" s="401"/>
      <c r="M63" s="401"/>
      <c r="O63" s="3">
        <f>22602230+21284342</f>
        <v>43886572</v>
      </c>
      <c r="Z63" s="79" t="s">
        <v>904</v>
      </c>
      <c r="AA63" s="19">
        <f t="shared" si="5"/>
        <v>520000000</v>
      </c>
      <c r="AB63" s="19"/>
      <c r="AC63" s="19">
        <f t="shared" si="2"/>
        <v>520000000</v>
      </c>
      <c r="AD63" s="127">
        <f>+($AA$61*$AD$47)*3/12</f>
        <v>19337500</v>
      </c>
      <c r="AE63" s="127">
        <f>+($AA$63*$AE$47)/2</f>
        <v>32500000</v>
      </c>
      <c r="AF63" s="19">
        <f>+AE63-AD63</f>
        <v>13162500</v>
      </c>
    </row>
    <row r="64" spans="1:32">
      <c r="A64" s="616" t="s">
        <v>3673</v>
      </c>
      <c r="B64" s="401"/>
      <c r="C64" s="401"/>
      <c r="D64" s="401"/>
      <c r="E64" s="401"/>
      <c r="G64" s="401"/>
      <c r="H64" s="615"/>
      <c r="I64" s="401"/>
      <c r="J64" s="401"/>
      <c r="K64" s="401"/>
      <c r="L64" s="401"/>
      <c r="M64" s="401"/>
      <c r="O64" s="3">
        <f>G72-O63</f>
        <v>163350532.95455</v>
      </c>
      <c r="Z64" s="12"/>
      <c r="AA64" s="19"/>
      <c r="AB64" s="19"/>
      <c r="AC64" s="19"/>
      <c r="AD64" s="127"/>
      <c r="AE64" s="127"/>
      <c r="AF64" s="19"/>
    </row>
    <row r="65" spans="1:33">
      <c r="B65" s="401"/>
      <c r="C65" s="401"/>
      <c r="D65" s="401"/>
      <c r="E65" s="401"/>
      <c r="G65" s="401">
        <f>+G63-G64</f>
        <v>44996</v>
      </c>
      <c r="H65" s="401">
        <f>+H63-H64</f>
        <v>38961</v>
      </c>
      <c r="I65" s="401"/>
      <c r="J65" s="401"/>
      <c r="K65" s="401"/>
      <c r="L65" s="401"/>
      <c r="M65" s="401"/>
      <c r="Z65" s="12"/>
      <c r="AA65" s="19"/>
      <c r="AB65" s="19"/>
      <c r="AC65" s="19"/>
      <c r="AD65" s="127"/>
      <c r="AE65" s="127"/>
      <c r="AF65" s="19"/>
    </row>
    <row r="66" spans="1:33">
      <c r="B66" s="401"/>
      <c r="C66" s="401"/>
      <c r="D66" s="401"/>
      <c r="E66" s="401"/>
      <c r="G66" s="1228"/>
      <c r="H66" s="1228">
        <v>653.17952804069296</v>
      </c>
      <c r="I66" s="401"/>
      <c r="J66" s="401"/>
      <c r="K66" s="401"/>
      <c r="L66" s="401"/>
      <c r="M66" s="401"/>
      <c r="Z66" s="12"/>
      <c r="AA66" s="19"/>
      <c r="AB66" s="19"/>
      <c r="AC66" s="19"/>
      <c r="AD66" s="127"/>
      <c r="AE66" s="127"/>
      <c r="AF66" s="19"/>
    </row>
    <row r="67" spans="1:33">
      <c r="A67" s="531" t="s">
        <v>136</v>
      </c>
      <c r="B67" s="401"/>
      <c r="C67" s="401"/>
      <c r="D67" s="401"/>
      <c r="E67" s="401"/>
      <c r="G67" s="2004">
        <f>156000000/10^7</f>
        <v>15.6</v>
      </c>
      <c r="H67" s="1776">
        <f>+G67*1.2</f>
        <v>18.72</v>
      </c>
      <c r="I67" s="401" t="s">
        <v>5151</v>
      </c>
      <c r="J67" s="401"/>
      <c r="K67" s="401"/>
      <c r="L67" s="401"/>
      <c r="M67" s="401"/>
      <c r="Z67" s="12"/>
      <c r="AA67" s="19"/>
      <c r="AB67" s="19"/>
      <c r="AC67" s="19"/>
      <c r="AD67" s="127"/>
      <c r="AE67" s="127"/>
      <c r="AF67" s="19"/>
    </row>
    <row r="68" spans="1:33">
      <c r="A68" s="531" t="s">
        <v>137</v>
      </c>
      <c r="B68" s="401"/>
      <c r="C68" s="401">
        <f>+C70-B70</f>
        <v>36263598</v>
      </c>
      <c r="D68" s="401"/>
      <c r="E68" s="401" t="s">
        <v>743</v>
      </c>
      <c r="G68" s="615"/>
      <c r="H68" s="401"/>
      <c r="I68" s="401"/>
      <c r="J68" s="401"/>
      <c r="K68" s="401"/>
      <c r="L68" s="401" t="s">
        <v>744</v>
      </c>
      <c r="M68" s="401"/>
      <c r="Z68" s="12"/>
      <c r="AA68" s="19"/>
      <c r="AB68" s="19"/>
      <c r="AC68" s="19"/>
      <c r="AD68" s="127"/>
      <c r="AE68" s="127"/>
      <c r="AF68" s="19"/>
    </row>
    <row r="69" spans="1:33">
      <c r="A69" s="531" t="s">
        <v>1350</v>
      </c>
      <c r="B69" s="401"/>
      <c r="C69" s="401"/>
      <c r="D69" s="401"/>
      <c r="E69" s="401"/>
      <c r="G69" s="407">
        <f>+G67+G68</f>
        <v>15.6</v>
      </c>
      <c r="H69" s="407">
        <f>+H67+H68</f>
        <v>18.72</v>
      </c>
      <c r="I69" s="407"/>
      <c r="J69" s="407"/>
      <c r="K69" s="407"/>
      <c r="L69" s="617" t="s">
        <v>3674</v>
      </c>
      <c r="Z69" s="12"/>
      <c r="AA69" s="19"/>
      <c r="AB69" s="19"/>
      <c r="AC69" s="19"/>
      <c r="AD69" s="127"/>
      <c r="AE69" s="127"/>
      <c r="AF69" s="19"/>
    </row>
    <row r="70" spans="1:33" ht="13">
      <c r="A70" s="531" t="s">
        <v>1296</v>
      </c>
      <c r="B70">
        <v>655857255</v>
      </c>
      <c r="C70" s="401">
        <f>630262173+61858680</f>
        <v>692120853</v>
      </c>
      <c r="D70" s="401">
        <f>773589900.15+61858580</f>
        <v>835448480.14999998</v>
      </c>
      <c r="E70" s="401"/>
      <c r="F70" s="3">
        <f>'F-21'!C14*10000000</f>
        <v>3070179332.6599998</v>
      </c>
      <c r="G70" s="401">
        <f>F70+G69</f>
        <v>3070179348.2599998</v>
      </c>
      <c r="H70" s="401">
        <f>+G70+H69</f>
        <v>3070179366.9799995</v>
      </c>
      <c r="I70" s="401"/>
      <c r="J70" s="401">
        <f>+(G70+H70)/2</f>
        <v>3070179357.6199999</v>
      </c>
      <c r="K70" s="401"/>
      <c r="L70" s="617" t="s">
        <v>3675</v>
      </c>
      <c r="M70" s="401"/>
      <c r="Z70" s="14" t="s">
        <v>1100</v>
      </c>
      <c r="AA70" s="19"/>
      <c r="AB70" s="19"/>
      <c r="AC70" s="19"/>
      <c r="AD70" s="20">
        <f>SUM(AD49:AD63)</f>
        <v>664137500</v>
      </c>
      <c r="AE70" s="20">
        <f>SUM(AE49:AE63)</f>
        <v>970937500</v>
      </c>
      <c r="AF70" s="20">
        <f>SUM(AF49:AF63)</f>
        <v>306800000</v>
      </c>
      <c r="AG70" s="3">
        <f>+AF70/100000</f>
        <v>3068</v>
      </c>
    </row>
    <row r="71" spans="1:33" ht="13">
      <c r="B71" s="401"/>
      <c r="C71" s="401"/>
      <c r="D71" s="401"/>
      <c r="E71" s="401"/>
      <c r="G71" s="401"/>
      <c r="H71" s="401"/>
      <c r="I71" s="401"/>
      <c r="J71" s="401"/>
      <c r="K71" s="401"/>
      <c r="L71" s="401"/>
      <c r="M71" s="401"/>
      <c r="Z71" s="14" t="s">
        <v>511</v>
      </c>
      <c r="AA71" s="19"/>
      <c r="AB71" s="19"/>
      <c r="AC71" s="19"/>
      <c r="AD71" s="19"/>
      <c r="AE71" s="19"/>
      <c r="AF71" s="19"/>
    </row>
    <row r="72" spans="1:33">
      <c r="A72" s="531" t="s">
        <v>1295</v>
      </c>
      <c r="B72" s="401"/>
      <c r="C72" s="401"/>
      <c r="D72" s="401"/>
      <c r="E72" s="401">
        <v>37815730.371000007</v>
      </c>
      <c r="G72" s="615">
        <f>F70*0.0675</f>
        <v>207237104.95455</v>
      </c>
      <c r="H72" s="615">
        <f>+(F70+G69)*6.75%</f>
        <v>207237106.00755</v>
      </c>
      <c r="I72" s="615"/>
      <c r="J72" s="615"/>
      <c r="K72" s="615"/>
      <c r="L72" s="401" t="s">
        <v>3680</v>
      </c>
      <c r="M72" s="401"/>
      <c r="Z72" s="12" t="s">
        <v>505</v>
      </c>
      <c r="AA72" s="19"/>
      <c r="AB72" s="19"/>
      <c r="AC72" s="19"/>
      <c r="AD72" s="319">
        <v>15000000</v>
      </c>
      <c r="AE72" s="319">
        <v>15000000</v>
      </c>
      <c r="AF72" s="19"/>
    </row>
    <row r="73" spans="1:33">
      <c r="B73" s="401"/>
      <c r="C73" s="401"/>
      <c r="D73" s="401"/>
      <c r="E73" s="401"/>
      <c r="G73" s="401"/>
      <c r="H73" s="401"/>
      <c r="I73" s="401"/>
      <c r="J73" s="401"/>
      <c r="K73" s="401"/>
      <c r="L73" s="401"/>
      <c r="M73" s="401"/>
      <c r="Z73" s="12"/>
      <c r="AA73" s="19"/>
      <c r="AB73" s="19"/>
      <c r="AC73" s="19"/>
      <c r="AD73" s="319"/>
      <c r="AE73" s="319"/>
      <c r="AF73" s="19"/>
    </row>
    <row r="74" spans="1:33">
      <c r="A74" s="531" t="s">
        <v>1157</v>
      </c>
      <c r="B74" s="401"/>
      <c r="C74" s="401"/>
      <c r="D74" s="401"/>
      <c r="E74" s="401"/>
      <c r="G74" s="401"/>
      <c r="H74" s="401"/>
      <c r="I74" s="401"/>
      <c r="J74" s="401"/>
      <c r="K74" s="401"/>
      <c r="L74" s="401"/>
      <c r="M74" s="401"/>
      <c r="Z74" s="12" t="s">
        <v>506</v>
      </c>
      <c r="AA74" s="19"/>
      <c r="AB74" s="19"/>
      <c r="AC74" s="19"/>
      <c r="AD74" s="319">
        <v>67000000</v>
      </c>
      <c r="AE74" s="319">
        <v>67000000</v>
      </c>
      <c r="AF74" s="19"/>
    </row>
    <row r="75" spans="1:33">
      <c r="A75" s="531" t="s">
        <v>1298</v>
      </c>
      <c r="B75" s="401"/>
      <c r="C75" s="401"/>
      <c r="D75" s="401"/>
      <c r="E75" s="401"/>
      <c r="G75" s="401">
        <f>+G65*500/10000000</f>
        <v>2.2498</v>
      </c>
      <c r="H75" s="401">
        <f>+H65*500/10000000</f>
        <v>1.9480500000000001</v>
      </c>
      <c r="I75" s="401"/>
      <c r="J75" s="401"/>
      <c r="K75" s="401"/>
      <c r="L75" s="401"/>
      <c r="M75" s="401"/>
      <c r="Z75" s="12" t="s">
        <v>507</v>
      </c>
      <c r="AA75" s="19"/>
      <c r="AB75" s="19"/>
      <c r="AC75" s="19"/>
      <c r="AD75" s="127">
        <f>63238800+17761200</f>
        <v>81000000</v>
      </c>
      <c r="AE75" s="127">
        <f>63238800+17761200</f>
        <v>81000000</v>
      </c>
      <c r="AF75" s="19"/>
    </row>
    <row r="76" spans="1:33">
      <c r="A76" s="531" t="s">
        <v>901</v>
      </c>
      <c r="B76" s="401"/>
      <c r="C76" s="401"/>
      <c r="D76" s="401"/>
      <c r="E76" s="401"/>
      <c r="G76" s="401">
        <f>+'F-2'!I72-G75</f>
        <v>-2.2498</v>
      </c>
      <c r="H76" s="401">
        <f>+'F-2'!N72-H75</f>
        <v>-1.9480500000000001</v>
      </c>
      <c r="I76" s="401"/>
      <c r="J76" s="401"/>
      <c r="K76" s="401"/>
      <c r="L76" s="401"/>
      <c r="M76" s="401"/>
      <c r="Z76" s="12" t="s">
        <v>508</v>
      </c>
      <c r="AA76" s="19"/>
      <c r="AB76" s="19"/>
      <c r="AC76" s="19"/>
      <c r="AD76" s="127">
        <f>63238800+17761200</f>
        <v>81000000</v>
      </c>
      <c r="AE76" s="127">
        <f>63238800+17761200</f>
        <v>81000000</v>
      </c>
      <c r="AF76" s="19"/>
    </row>
    <row r="77" spans="1:33" ht="13">
      <c r="A77" s="530" t="s">
        <v>1100</v>
      </c>
      <c r="B77" s="401"/>
      <c r="C77" s="401"/>
      <c r="D77" s="401"/>
      <c r="E77" s="401"/>
      <c r="G77" s="403">
        <f>SUM(G75:G76)</f>
        <v>0</v>
      </c>
      <c r="H77" s="403">
        <f>SUM(H75:H76)</f>
        <v>0</v>
      </c>
      <c r="I77" s="403"/>
      <c r="J77" s="403"/>
      <c r="K77" s="403"/>
      <c r="L77" s="401"/>
      <c r="M77" s="401"/>
      <c r="Z77" s="14" t="s">
        <v>1100</v>
      </c>
      <c r="AA77" s="19"/>
      <c r="AB77" s="19"/>
      <c r="AC77" s="19"/>
      <c r="AD77" s="20">
        <f>SUM(AD72:AD76)</f>
        <v>244000000</v>
      </c>
      <c r="AE77" s="20">
        <f>SUM(AE72:AE76)</f>
        <v>244000000</v>
      </c>
      <c r="AF77" s="19"/>
    </row>
    <row r="78" spans="1:33" ht="13">
      <c r="Z78" s="19" t="s">
        <v>515</v>
      </c>
      <c r="AA78" s="19"/>
      <c r="AB78" s="19"/>
      <c r="AC78" s="19"/>
      <c r="AD78" s="20">
        <f>+AD70-AD77</f>
        <v>420137500</v>
      </c>
      <c r="AE78" s="20">
        <f>+AE70-AE77</f>
        <v>726937500</v>
      </c>
      <c r="AF78" s="19"/>
    </row>
    <row r="79" spans="1:33">
      <c r="F79" s="3551" t="s">
        <v>3680</v>
      </c>
      <c r="G79" s="3551"/>
      <c r="H79" s="3551"/>
      <c r="I79" s="3551"/>
      <c r="J79" s="3551"/>
    </row>
    <row r="80" spans="1:33">
      <c r="F80" s="3563" t="s">
        <v>344</v>
      </c>
      <c r="G80" s="3561" t="s">
        <v>5368</v>
      </c>
      <c r="H80" s="3562"/>
      <c r="I80" s="3561" t="s">
        <v>6929</v>
      </c>
      <c r="J80" s="3562"/>
    </row>
    <row r="81" spans="6:32" ht="25">
      <c r="F81" s="3564"/>
      <c r="G81" s="27" t="s">
        <v>4770</v>
      </c>
      <c r="H81" s="1656" t="s">
        <v>6930</v>
      </c>
      <c r="I81" s="27" t="s">
        <v>4770</v>
      </c>
      <c r="J81" s="1657" t="s">
        <v>5133</v>
      </c>
      <c r="Z81" s="3" t="s">
        <v>905</v>
      </c>
      <c r="AE81" s="231">
        <v>1300000000</v>
      </c>
    </row>
    <row r="82" spans="6:32">
      <c r="F82" s="19" t="s">
        <v>1496</v>
      </c>
      <c r="G82" s="19">
        <f>899329370/100000</f>
        <v>8993.2937000000002</v>
      </c>
      <c r="H82" s="19"/>
      <c r="I82" s="19">
        <f>G82*1.15</f>
        <v>10342.287754999999</v>
      </c>
      <c r="J82" s="19">
        <f>I82*6.75%</f>
        <v>698.10442346249999</v>
      </c>
      <c r="AE82" s="231"/>
    </row>
    <row r="83" spans="6:32">
      <c r="F83" s="19" t="s">
        <v>169</v>
      </c>
      <c r="G83" s="19">
        <f>368356446/100000</f>
        <v>3683.5644600000001</v>
      </c>
      <c r="H83" s="19"/>
      <c r="I83" s="19">
        <f>G83*1.06</f>
        <v>3904.5783276000002</v>
      </c>
      <c r="J83" s="19">
        <f t="shared" ref="J83:J84" si="7">I83*6.75%</f>
        <v>263.55903711300004</v>
      </c>
      <c r="Z83" s="3" t="s">
        <v>84</v>
      </c>
      <c r="AA83" s="3" t="s">
        <v>1422</v>
      </c>
      <c r="AE83" s="231">
        <v>390000000</v>
      </c>
    </row>
    <row r="84" spans="6:32">
      <c r="F84" s="19" t="s">
        <v>1494</v>
      </c>
      <c r="G84" s="19">
        <f>466444926/100000</f>
        <v>4664.4492600000003</v>
      </c>
      <c r="H84" s="19"/>
      <c r="I84" s="19">
        <f>G84*1.05</f>
        <v>4897.6717230000004</v>
      </c>
      <c r="J84" s="19">
        <f t="shared" si="7"/>
        <v>330.59284130250006</v>
      </c>
      <c r="AE84" s="231"/>
    </row>
    <row r="85" spans="6:32">
      <c r="F85" s="19" t="s">
        <v>1100</v>
      </c>
      <c r="G85" s="19">
        <f>'F- 24'!G6*100</f>
        <v>32261.793326600004</v>
      </c>
      <c r="H85" s="19">
        <f>G85*4.25%</f>
        <v>1371.1262163805002</v>
      </c>
      <c r="I85" s="19">
        <f>'F- 24'!I6*100</f>
        <v>34133.793326600004</v>
      </c>
      <c r="J85" s="1001">
        <f>I85*6.5%</f>
        <v>2218.6965662290004</v>
      </c>
      <c r="Z85" s="3" t="s">
        <v>906</v>
      </c>
      <c r="AE85" s="231"/>
    </row>
    <row r="86" spans="6:32">
      <c r="Z86" s="3" t="s">
        <v>907</v>
      </c>
      <c r="AE86" s="231">
        <v>180592380</v>
      </c>
    </row>
    <row r="87" spans="6:32">
      <c r="G87" s="3561" t="s">
        <v>5132</v>
      </c>
      <c r="H87" s="3562"/>
      <c r="I87" s="3561" t="s">
        <v>5368</v>
      </c>
      <c r="J87" s="3562"/>
      <c r="Z87" s="3" t="s">
        <v>908</v>
      </c>
      <c r="AE87" s="231">
        <f>163023928+109615463</f>
        <v>272639391</v>
      </c>
    </row>
    <row r="88" spans="6:32" ht="13">
      <c r="G88" s="27" t="s">
        <v>4770</v>
      </c>
      <c r="H88" s="27" t="s">
        <v>5412</v>
      </c>
      <c r="I88" s="27" t="s">
        <v>4770</v>
      </c>
      <c r="J88" s="1806" t="s">
        <v>5413</v>
      </c>
      <c r="Z88" s="5" t="s">
        <v>1100</v>
      </c>
      <c r="AE88" s="322">
        <f>SUM(AE86:AE87)</f>
        <v>453231771</v>
      </c>
    </row>
    <row r="89" spans="6:32">
      <c r="G89" s="19">
        <f>'F-21'!D14</f>
        <v>322.61793326600002</v>
      </c>
      <c r="H89" s="19">
        <f>G89*4.25%</f>
        <v>13.711262163805001</v>
      </c>
      <c r="I89" s="19">
        <f>'F-21'!E14</f>
        <v>341.33793326600005</v>
      </c>
      <c r="J89" s="19">
        <f>I89*4.25%</f>
        <v>14.506862163805003</v>
      </c>
      <c r="Z89" s="3" t="s">
        <v>255</v>
      </c>
      <c r="AA89" s="3" t="s">
        <v>1423</v>
      </c>
      <c r="AE89" s="231">
        <v>390000000</v>
      </c>
    </row>
    <row r="90" spans="6:32">
      <c r="Z90" s="3" t="s">
        <v>1421</v>
      </c>
      <c r="AE90" s="231">
        <f>+AE88-AE89</f>
        <v>63231771</v>
      </c>
    </row>
    <row r="91" spans="6:32">
      <c r="AE91" s="231"/>
    </row>
    <row r="92" spans="6:32">
      <c r="Z92" s="3" t="s">
        <v>256</v>
      </c>
      <c r="AA92" s="3" t="s">
        <v>254</v>
      </c>
      <c r="AE92" s="231">
        <f>+AE89</f>
        <v>390000000</v>
      </c>
    </row>
    <row r="93" spans="6:32">
      <c r="Z93" s="3" t="s">
        <v>906</v>
      </c>
      <c r="AE93" s="231"/>
    </row>
    <row r="94" spans="6:32">
      <c r="Z94" s="3" t="s">
        <v>1424</v>
      </c>
      <c r="AE94" s="231">
        <f>+AE90</f>
        <v>63231771</v>
      </c>
    </row>
    <row r="95" spans="6:32">
      <c r="Z95" s="3" t="s">
        <v>907</v>
      </c>
      <c r="AE95" s="231">
        <v>75178648</v>
      </c>
      <c r="AF95" s="3">
        <f>AE95+AE86</f>
        <v>255771028</v>
      </c>
    </row>
    <row r="96" spans="6:32">
      <c r="Z96" s="3" t="s">
        <v>908</v>
      </c>
      <c r="AE96" s="231">
        <v>1202022</v>
      </c>
      <c r="AF96" s="3">
        <f>AE96+AE87</f>
        <v>273841413</v>
      </c>
    </row>
    <row r="97" spans="26:31" ht="13">
      <c r="Z97" s="5" t="s">
        <v>1100</v>
      </c>
      <c r="AE97" s="322">
        <f>SUM(AE94:AE96)</f>
        <v>139612441</v>
      </c>
    </row>
    <row r="98" spans="26:31">
      <c r="Z98" s="3" t="s">
        <v>1425</v>
      </c>
      <c r="AE98" s="231">
        <f>+AE92-AE97</f>
        <v>250387559</v>
      </c>
    </row>
    <row r="102" spans="26:31">
      <c r="AE102" s="3">
        <f>+AE87+AE96</f>
        <v>273841413</v>
      </c>
    </row>
    <row r="103" spans="26:31">
      <c r="AE103" s="3">
        <f>+AE86+AE95</f>
        <v>255771028</v>
      </c>
    </row>
    <row r="104" spans="26:31">
      <c r="AE104" s="3">
        <v>119.05</v>
      </c>
    </row>
    <row r="105" spans="26:31">
      <c r="AE105" s="3">
        <f>25.04+55</f>
        <v>80.039999999999992</v>
      </c>
    </row>
    <row r="106" spans="26:31">
      <c r="AE106" s="3">
        <f>+AE104-AE105</f>
        <v>39.010000000000005</v>
      </c>
    </row>
  </sheetData>
  <mergeCells count="15">
    <mergeCell ref="G87:H87"/>
    <mergeCell ref="I87:J87"/>
    <mergeCell ref="G80:H80"/>
    <mergeCell ref="I80:J80"/>
    <mergeCell ref="F80:F81"/>
    <mergeCell ref="F79:J79"/>
    <mergeCell ref="C49:D49"/>
    <mergeCell ref="F49:G49"/>
    <mergeCell ref="A5:L5"/>
    <mergeCell ref="Z6:AD6"/>
    <mergeCell ref="Z46:AF46"/>
    <mergeCell ref="AE6:AF6"/>
    <mergeCell ref="N5:P5"/>
    <mergeCell ref="R5:T5"/>
    <mergeCell ref="V5:X5"/>
  </mergeCells>
  <phoneticPr fontId="0" type="noConversion"/>
  <hyperlinks>
    <hyperlink ref="J88" r:id="rId1" xr:uid="{00000000-0004-0000-4B00-000000000000}"/>
  </hyperlinks>
  <printOptions horizontalCentered="1"/>
  <pageMargins left="0.22" right="0.16" top="0.75" bottom="0.75" header="0.5" footer="0.5"/>
  <pageSetup scale="46" orientation="landscape" r:id="rId2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">
    <tabColor rgb="FF00B0F0"/>
  </sheetPr>
  <dimension ref="A1:K98"/>
  <sheetViews>
    <sheetView showGridLines="0" zoomScale="120" zoomScaleNormal="120" zoomScaleSheetLayoutView="100" workbookViewId="0">
      <selection activeCell="L14" sqref="L14"/>
    </sheetView>
  </sheetViews>
  <sheetFormatPr defaultColWidth="9.1796875" defaultRowHeight="12.5"/>
  <cols>
    <col min="1" max="1" width="3.1796875" customWidth="1"/>
    <col min="2" max="2" width="4.54296875" customWidth="1"/>
    <col min="3" max="3" width="42" customWidth="1"/>
    <col min="4" max="6" width="13.26953125" customWidth="1"/>
    <col min="7" max="7" width="13.81640625" customWidth="1"/>
    <col min="8" max="8" width="10.26953125" style="3" bestFit="1" customWidth="1"/>
  </cols>
  <sheetData>
    <row r="1" spans="1:10" ht="13">
      <c r="A1" s="6" t="str">
        <f>'F-6'!B1</f>
        <v>Licencee : TPSODL</v>
      </c>
      <c r="F1" s="7" t="s">
        <v>124</v>
      </c>
      <c r="G1" s="8" t="s">
        <v>1603</v>
      </c>
    </row>
    <row r="2" spans="1:10" ht="39" customHeight="1" thickBot="1">
      <c r="A2" s="3565" t="s">
        <v>7011</v>
      </c>
      <c r="B2" s="3566"/>
      <c r="C2" s="3566"/>
      <c r="D2" s="3566"/>
      <c r="E2" s="3566"/>
      <c r="F2" s="3566"/>
      <c r="G2" s="3566"/>
    </row>
    <row r="3" spans="1:10" ht="15.5">
      <c r="A3" s="155" t="s">
        <v>1414</v>
      </c>
      <c r="B3" s="102"/>
      <c r="C3" s="102"/>
      <c r="D3" s="102"/>
      <c r="E3" s="102"/>
      <c r="F3" s="102"/>
      <c r="G3" s="156"/>
    </row>
    <row r="4" spans="1:10" ht="15.5">
      <c r="A4" s="157" t="s">
        <v>1415</v>
      </c>
      <c r="B4" s="51"/>
      <c r="C4" s="12"/>
      <c r="D4" s="12"/>
      <c r="E4" s="12"/>
      <c r="F4" s="3567" t="s">
        <v>1604</v>
      </c>
      <c r="G4" s="3568"/>
    </row>
    <row r="5" spans="1:10" ht="15.5">
      <c r="A5" s="158"/>
      <c r="B5" s="35"/>
      <c r="C5" s="35"/>
      <c r="D5" s="593" t="s">
        <v>1494</v>
      </c>
      <c r="E5" s="593" t="s">
        <v>169</v>
      </c>
      <c r="F5" s="593" t="s">
        <v>1496</v>
      </c>
      <c r="G5" s="594" t="s">
        <v>1101</v>
      </c>
    </row>
    <row r="6" spans="1:10">
      <c r="A6" s="79" t="s">
        <v>1416</v>
      </c>
      <c r="B6" s="12"/>
      <c r="C6" s="12" t="s">
        <v>1417</v>
      </c>
      <c r="D6" s="19">
        <f>D84</f>
        <v>158.02801386578145</v>
      </c>
      <c r="E6" s="19">
        <f>E84</f>
        <v>114.26764571734861</v>
      </c>
      <c r="F6" s="19">
        <f>F84</f>
        <v>874.72930732569182</v>
      </c>
      <c r="G6" s="82">
        <f>'F-4'!E39+'F-4'!G39</f>
        <v>1147.0249669088221</v>
      </c>
      <c r="H6" s="3">
        <f>+'F-4'!J33+'F-4'!G39</f>
        <v>573.30772132882203</v>
      </c>
      <c r="I6" s="3">
        <f>+G6-H6</f>
        <v>573.71724558000005</v>
      </c>
      <c r="J6" s="3"/>
    </row>
    <row r="7" spans="1:10" ht="15.5">
      <c r="A7" s="79"/>
      <c r="B7" s="12"/>
      <c r="C7" s="12"/>
      <c r="D7" s="11"/>
      <c r="E7" s="11"/>
      <c r="F7" s="26"/>
      <c r="G7" s="159"/>
      <c r="J7" s="3"/>
    </row>
    <row r="8" spans="1:10">
      <c r="A8" s="79" t="s">
        <v>1418</v>
      </c>
      <c r="B8" s="12"/>
      <c r="C8" s="12" t="s">
        <v>1419</v>
      </c>
      <c r="D8" s="12"/>
      <c r="E8" s="12"/>
      <c r="F8" s="12"/>
      <c r="G8" s="82"/>
      <c r="H8" s="85"/>
    </row>
    <row r="9" spans="1:10">
      <c r="A9" s="79"/>
      <c r="B9" s="15" t="s">
        <v>1420</v>
      </c>
      <c r="C9" s="12" t="s">
        <v>517</v>
      </c>
      <c r="D9" s="19">
        <f>+'F-12-A '!H82*$H$9</f>
        <v>26.347968361861209</v>
      </c>
      <c r="E9" s="19">
        <f>+'F-12-A '!I82*$H$9</f>
        <v>57.631141391050981</v>
      </c>
      <c r="F9" s="19">
        <f>+'F-12-A '!J82*$H$9</f>
        <v>374.31249131039408</v>
      </c>
      <c r="G9" s="82">
        <f>SUM(D9:F9)</f>
        <v>458.2916010633063</v>
      </c>
      <c r="H9" s="88">
        <f>+'F-12-A '!L39</f>
        <v>458.29160106330619</v>
      </c>
      <c r="I9" s="3"/>
    </row>
    <row r="10" spans="1:10">
      <c r="A10" s="79"/>
      <c r="B10" s="15" t="s">
        <v>518</v>
      </c>
      <c r="C10" s="12" t="s">
        <v>1555</v>
      </c>
      <c r="D10" s="12"/>
      <c r="E10" s="19">
        <f>G10*0.6</f>
        <v>87.238987806985037</v>
      </c>
      <c r="F10" s="19">
        <f>G10-E10</f>
        <v>58.159325204656696</v>
      </c>
      <c r="G10" s="82">
        <f>+'F-13-B'!E16</f>
        <v>145.39831301164173</v>
      </c>
      <c r="H10" s="3">
        <f>+'F-13-B'!E16</f>
        <v>145.39831301164173</v>
      </c>
      <c r="I10" s="3"/>
    </row>
    <row r="11" spans="1:10">
      <c r="A11" s="79"/>
      <c r="B11" s="15" t="s">
        <v>519</v>
      </c>
      <c r="C11" s="12" t="s">
        <v>520</v>
      </c>
      <c r="D11" s="19">
        <f>$G$11*'F-14  '!B87</f>
        <v>2.2350595339207495</v>
      </c>
      <c r="E11" s="19">
        <f>$G$11*'F-14  '!C87</f>
        <v>14.612190320642831</v>
      </c>
      <c r="F11" s="19">
        <f>$G$11*'F-14  '!E87</f>
        <v>94.905726841473893</v>
      </c>
      <c r="G11" s="82">
        <f>'F-14  '!E77-G15-G40-G36-G47</f>
        <v>111.75297669603748</v>
      </c>
      <c r="H11" s="3">
        <f>'F-14  '!E77</f>
        <v>123.40058121603747</v>
      </c>
      <c r="I11" s="3">
        <f>H11-G11</f>
        <v>11.647604519999987</v>
      </c>
      <c r="J11" s="3">
        <f>G11+G15+G40+G36+G47</f>
        <v>123.40058121603747</v>
      </c>
    </row>
    <row r="12" spans="1:10">
      <c r="A12" s="79"/>
      <c r="B12" s="12"/>
      <c r="C12" s="12"/>
      <c r="D12" s="12"/>
      <c r="E12" s="12"/>
      <c r="F12" s="12"/>
      <c r="G12" s="82"/>
    </row>
    <row r="13" spans="1:10">
      <c r="A13" s="79"/>
      <c r="B13" s="12"/>
      <c r="C13" s="12"/>
      <c r="D13" s="12"/>
      <c r="E13" s="12"/>
      <c r="F13" s="12"/>
      <c r="G13" s="82"/>
    </row>
    <row r="14" spans="1:10">
      <c r="A14" s="79" t="s">
        <v>521</v>
      </c>
      <c r="B14" s="12"/>
      <c r="C14" s="12" t="s">
        <v>522</v>
      </c>
      <c r="D14" s="19"/>
      <c r="E14" s="19"/>
      <c r="F14" s="19"/>
      <c r="G14" s="82"/>
    </row>
    <row r="15" spans="1:10">
      <c r="A15" s="79"/>
      <c r="B15" s="12"/>
      <c r="C15" s="12" t="s">
        <v>523</v>
      </c>
      <c r="D15" s="19">
        <f>$G$15*'F-14  '!B87</f>
        <v>7.3961144000000006E-2</v>
      </c>
      <c r="E15" s="19">
        <f>$G$15*'F-14  '!C87</f>
        <v>0.48353714791866975</v>
      </c>
      <c r="F15" s="19">
        <f>$G$15*'F-14  '!E87</f>
        <v>3.1405589080813301</v>
      </c>
      <c r="G15" s="2003">
        <f>'F-14  '!E8</f>
        <v>3.6980572</v>
      </c>
    </row>
    <row r="16" spans="1:10">
      <c r="A16" s="79"/>
      <c r="B16" s="12"/>
      <c r="C16" s="12"/>
      <c r="D16" s="12"/>
      <c r="E16" s="12"/>
      <c r="F16" s="12"/>
      <c r="G16" s="82"/>
    </row>
    <row r="17" spans="1:10">
      <c r="A17" s="79" t="s">
        <v>524</v>
      </c>
      <c r="B17" s="12"/>
      <c r="C17" s="12" t="s">
        <v>525</v>
      </c>
      <c r="D17" s="12"/>
      <c r="E17" s="19">
        <f>G17*0.6</f>
        <v>0</v>
      </c>
      <c r="F17" s="19">
        <f>G17-E17</f>
        <v>0</v>
      </c>
      <c r="G17" s="160">
        <f>+'WF-INTEREST'!P9</f>
        <v>0</v>
      </c>
    </row>
    <row r="18" spans="1:10">
      <c r="A18" s="79"/>
      <c r="B18" s="15" t="s">
        <v>1420</v>
      </c>
      <c r="C18" s="12" t="s">
        <v>526</v>
      </c>
      <c r="D18" s="12"/>
      <c r="E18" s="12"/>
      <c r="F18" s="12"/>
      <c r="G18" s="80"/>
    </row>
    <row r="19" spans="1:10">
      <c r="A19" s="79"/>
      <c r="B19" s="15"/>
      <c r="C19" s="12" t="s">
        <v>1197</v>
      </c>
      <c r="D19" s="12"/>
      <c r="E19" s="19">
        <f t="shared" ref="E19:E32" si="0">G19*0.6</f>
        <v>0</v>
      </c>
      <c r="F19" s="19">
        <f t="shared" ref="F19:F32" si="1">G19-E19</f>
        <v>0</v>
      </c>
      <c r="G19" s="995">
        <f>+'WF-INTEREST'!T11</f>
        <v>0</v>
      </c>
      <c r="H19" s="3">
        <f>'WF-INTEREST'!T11</f>
        <v>0</v>
      </c>
    </row>
    <row r="20" spans="1:10">
      <c r="A20" s="79"/>
      <c r="B20" s="15"/>
      <c r="C20" s="12" t="s">
        <v>1198</v>
      </c>
      <c r="D20" s="12"/>
      <c r="E20" s="19">
        <f t="shared" si="0"/>
        <v>0</v>
      </c>
      <c r="F20" s="19">
        <f t="shared" si="1"/>
        <v>0</v>
      </c>
      <c r="G20" s="995">
        <f>+'WF-INTEREST'!T15</f>
        <v>0</v>
      </c>
      <c r="H20" s="3">
        <f>'WF-INTEREST'!T15</f>
        <v>0</v>
      </c>
    </row>
    <row r="21" spans="1:10">
      <c r="A21" s="79"/>
      <c r="B21" s="15"/>
      <c r="C21" s="12" t="s">
        <v>1199</v>
      </c>
      <c r="D21" s="12"/>
      <c r="E21" s="19">
        <f t="shared" si="0"/>
        <v>0</v>
      </c>
      <c r="F21" s="19">
        <f t="shared" si="1"/>
        <v>0</v>
      </c>
      <c r="G21" s="995">
        <f>+'WF-INTEREST'!T17</f>
        <v>0</v>
      </c>
    </row>
    <row r="22" spans="1:10">
      <c r="A22" s="79"/>
      <c r="B22" s="15"/>
      <c r="C22" s="12" t="s">
        <v>274</v>
      </c>
      <c r="D22" s="12"/>
      <c r="E22" s="19">
        <f t="shared" si="0"/>
        <v>6.4363199999999997E-3</v>
      </c>
      <c r="F22" s="19">
        <f t="shared" si="1"/>
        <v>4.2908799999999995E-3</v>
      </c>
      <c r="G22" s="995">
        <f>+'WF-INTEREST'!T19</f>
        <v>1.0727199999999999E-2</v>
      </c>
      <c r="H22" s="3">
        <f>'WF-INTEREST'!T19</f>
        <v>1.0727199999999999E-2</v>
      </c>
    </row>
    <row r="23" spans="1:10">
      <c r="A23" s="79"/>
      <c r="B23" s="15"/>
      <c r="C23" s="12" t="s">
        <v>275</v>
      </c>
      <c r="D23" s="12"/>
      <c r="E23" s="19">
        <f t="shared" si="0"/>
        <v>1.23579857256</v>
      </c>
      <c r="F23" s="19">
        <f t="shared" si="1"/>
        <v>0.82386571503999995</v>
      </c>
      <c r="G23" s="995">
        <f>+'WF-INTEREST'!T25+'WF-INTEREST'!T44</f>
        <v>2.0596642876</v>
      </c>
      <c r="H23" s="3">
        <f>'WF-INTEREST'!T25</f>
        <v>2.0596642876</v>
      </c>
    </row>
    <row r="24" spans="1:10">
      <c r="A24" s="79"/>
      <c r="B24" s="15"/>
      <c r="C24" s="12" t="s">
        <v>276</v>
      </c>
      <c r="D24" s="12"/>
      <c r="E24" s="19">
        <f t="shared" si="0"/>
        <v>0</v>
      </c>
      <c r="F24" s="19">
        <f t="shared" si="1"/>
        <v>0</v>
      </c>
      <c r="G24" s="995">
        <f>+'WF-INTEREST'!T27</f>
        <v>0</v>
      </c>
      <c r="H24" s="3">
        <f>'WF-INTEREST'!T27</f>
        <v>0</v>
      </c>
    </row>
    <row r="25" spans="1:10">
      <c r="A25" s="79"/>
      <c r="B25" s="15"/>
      <c r="C25" s="12" t="s">
        <v>277</v>
      </c>
      <c r="D25" s="12"/>
      <c r="E25" s="19">
        <f t="shared" si="0"/>
        <v>2.2165522895999996</v>
      </c>
      <c r="F25" s="19">
        <f t="shared" si="1"/>
        <v>1.4777015263999997</v>
      </c>
      <c r="G25" s="995">
        <f>'WF-INTEREST'!T21+'WF-INTEREST'!T23</f>
        <v>3.6942538159999994</v>
      </c>
      <c r="H25" s="3">
        <f>'WF-INTEREST'!T21+'WF-INTEREST'!T23</f>
        <v>3.6942538159999994</v>
      </c>
    </row>
    <row r="26" spans="1:10">
      <c r="A26" s="79"/>
      <c r="B26" s="15"/>
      <c r="C26" s="12" t="s">
        <v>278</v>
      </c>
      <c r="D26" s="12"/>
      <c r="E26" s="19">
        <f t="shared" si="0"/>
        <v>0</v>
      </c>
      <c r="F26" s="19">
        <f t="shared" si="1"/>
        <v>0</v>
      </c>
      <c r="G26" s="995">
        <f>'WF-INTEREST'!T29</f>
        <v>0</v>
      </c>
      <c r="I26" s="3"/>
    </row>
    <row r="27" spans="1:10">
      <c r="A27" s="79"/>
      <c r="B27" s="15"/>
      <c r="C27" s="12" t="s">
        <v>279</v>
      </c>
      <c r="D27" s="12"/>
      <c r="E27" s="19">
        <f t="shared" si="0"/>
        <v>0</v>
      </c>
      <c r="F27" s="19">
        <f t="shared" si="1"/>
        <v>0</v>
      </c>
      <c r="G27" s="995">
        <f>'WF-INTEREST'!T31</f>
        <v>0</v>
      </c>
      <c r="I27" s="3">
        <f>SUM(G19:G31)</f>
        <v>28.568008137512148</v>
      </c>
    </row>
    <row r="28" spans="1:10">
      <c r="A28" s="79"/>
      <c r="B28" s="15"/>
      <c r="C28" s="624" t="s">
        <v>7008</v>
      </c>
      <c r="D28" s="12"/>
      <c r="E28" s="19">
        <f t="shared" ref="E28" si="2">G28*0.6</f>
        <v>1.3973347715999997</v>
      </c>
      <c r="F28" s="19">
        <f t="shared" ref="F28" si="3">G28-E28</f>
        <v>0.93155651439999998</v>
      </c>
      <c r="G28" s="995">
        <f>'WF-INTEREST'!T33</f>
        <v>2.3288912859999997</v>
      </c>
      <c r="I28" s="3"/>
    </row>
    <row r="29" spans="1:10">
      <c r="A29" s="79"/>
      <c r="B29" s="15"/>
      <c r="C29" s="624" t="s">
        <v>7009</v>
      </c>
      <c r="D29" s="12"/>
      <c r="E29" s="19">
        <f t="shared" ref="E29" si="4">G29*0.6</f>
        <v>2.7494999999999998</v>
      </c>
      <c r="F29" s="19">
        <f t="shared" ref="F29" si="5">G29-E29</f>
        <v>1.8329999999999997</v>
      </c>
      <c r="G29" s="995">
        <f>'WF-INTEREST'!T35</f>
        <v>4.5824999999999996</v>
      </c>
      <c r="I29" s="3"/>
    </row>
    <row r="30" spans="1:10">
      <c r="A30" s="79"/>
      <c r="B30" s="15"/>
      <c r="C30" s="624" t="s">
        <v>7010</v>
      </c>
      <c r="D30" s="12"/>
      <c r="E30" s="19">
        <f t="shared" ref="E30" si="6">G30*0.6</f>
        <v>9.5351829287472896</v>
      </c>
      <c r="F30" s="19">
        <f t="shared" ref="F30" si="7">G30-E30</f>
        <v>6.3567886191648597</v>
      </c>
      <c r="G30" s="995">
        <f>'WF-INTEREST'!T37</f>
        <v>15.891971547912149</v>
      </c>
      <c r="I30" s="3"/>
    </row>
    <row r="31" spans="1:10">
      <c r="A31" s="79"/>
      <c r="B31" s="15" t="s">
        <v>518</v>
      </c>
      <c r="C31" s="46" t="s">
        <v>3335</v>
      </c>
      <c r="D31" s="12"/>
      <c r="E31" s="19">
        <f t="shared" si="0"/>
        <v>0</v>
      </c>
      <c r="F31" s="19">
        <f t="shared" si="1"/>
        <v>0</v>
      </c>
      <c r="G31" s="995">
        <f>'WF-INTEREST'!T13</f>
        <v>0</v>
      </c>
      <c r="H31" s="85">
        <f>'WF-INTEREST'!X13</f>
        <v>0</v>
      </c>
      <c r="I31" s="3"/>
      <c r="J31" s="3"/>
    </row>
    <row r="32" spans="1:10">
      <c r="A32" s="79"/>
      <c r="B32" s="15" t="s">
        <v>1193</v>
      </c>
      <c r="C32" s="47" t="s">
        <v>830</v>
      </c>
      <c r="D32" s="12"/>
      <c r="E32" s="19">
        <f t="shared" si="0"/>
        <v>6.3E-2</v>
      </c>
      <c r="F32" s="19">
        <f t="shared" si="1"/>
        <v>4.1999999999999996E-2</v>
      </c>
      <c r="G32" s="82">
        <f>'WF-INTEREST'!G59/10000000</f>
        <v>0.105</v>
      </c>
      <c r="I32" s="88"/>
      <c r="J32" s="91"/>
    </row>
    <row r="33" spans="1:10" s="21" customFormat="1" ht="25.5" customHeight="1">
      <c r="A33" s="161"/>
      <c r="B33" s="39" t="s">
        <v>1261</v>
      </c>
      <c r="C33" s="97" t="s">
        <v>234</v>
      </c>
      <c r="D33" s="46"/>
      <c r="E33" s="92"/>
      <c r="F33" s="92"/>
      <c r="G33" s="160"/>
      <c r="H33" s="45"/>
      <c r="I33" s="96"/>
    </row>
    <row r="34" spans="1:10">
      <c r="A34" s="79" t="s">
        <v>737</v>
      </c>
      <c r="B34" s="12"/>
      <c r="C34" s="12" t="s">
        <v>738</v>
      </c>
      <c r="D34" s="19">
        <f>(43.29/5*6)/100</f>
        <v>0.51947999999999994</v>
      </c>
      <c r="E34" s="19">
        <f>(37.11/5*6)/100</f>
        <v>0.44531999999999994</v>
      </c>
      <c r="F34" s="19">
        <f>G34-E34-D34</f>
        <v>12.746462163805001</v>
      </c>
      <c r="G34" s="82">
        <f>'WF-INTEREST'!H89</f>
        <v>13.711262163805001</v>
      </c>
      <c r="I34" s="3">
        <f>+D34/100</f>
        <v>5.1947999999999994E-3</v>
      </c>
      <c r="J34" s="3"/>
    </row>
    <row r="35" spans="1:10">
      <c r="A35" s="79"/>
      <c r="B35" s="12"/>
      <c r="C35" s="12"/>
      <c r="D35" s="178"/>
      <c r="E35" s="178"/>
      <c r="F35" s="178"/>
      <c r="G35" s="82"/>
    </row>
    <row r="36" spans="1:10">
      <c r="A36" s="79" t="s">
        <v>739</v>
      </c>
      <c r="B36" s="12"/>
      <c r="C36" s="12" t="s">
        <v>740</v>
      </c>
      <c r="D36" s="19">
        <f>$G$36*'F-14  '!B87</f>
        <v>2.9942743999999983E-3</v>
      </c>
      <c r="E36" s="19">
        <f>$G$36*'F-14  '!C87</f>
        <v>1.9575723483426451E-2</v>
      </c>
      <c r="F36" s="19">
        <f>$G$36*'F-14  '!E87</f>
        <v>0.12714372211657346</v>
      </c>
      <c r="G36" s="2003">
        <f>'F-14  '!E21</f>
        <v>0.14971371999999991</v>
      </c>
    </row>
    <row r="37" spans="1:10">
      <c r="A37" s="79"/>
      <c r="B37" s="12"/>
      <c r="C37" s="12"/>
      <c r="D37" s="12"/>
      <c r="E37" s="12"/>
      <c r="F37" s="12"/>
      <c r="G37" s="82"/>
      <c r="H37" s="2"/>
    </row>
    <row r="38" spans="1:10">
      <c r="A38" s="79" t="s">
        <v>741</v>
      </c>
      <c r="B38" s="12"/>
      <c r="C38" s="12" t="s">
        <v>122</v>
      </c>
      <c r="D38" s="12">
        <v>0</v>
      </c>
      <c r="E38" s="19">
        <v>0</v>
      </c>
      <c r="F38" s="92">
        <f>+G38</f>
        <v>18.506735468597075</v>
      </c>
      <c r="G38" s="2006">
        <f>+'T-7(CUR)'!AA65*0.01</f>
        <v>18.506735468597075</v>
      </c>
      <c r="I38" s="1227" t="s">
        <v>4258</v>
      </c>
    </row>
    <row r="39" spans="1:10">
      <c r="A39" s="79"/>
      <c r="B39" s="12"/>
      <c r="C39" s="12"/>
      <c r="D39" s="12"/>
      <c r="E39" s="12"/>
      <c r="F39" s="19"/>
      <c r="G39" s="82"/>
    </row>
    <row r="40" spans="1:10">
      <c r="A40" s="79" t="s">
        <v>792</v>
      </c>
      <c r="B40" s="12"/>
      <c r="C40" s="12" t="s">
        <v>793</v>
      </c>
      <c r="D40" s="19">
        <f>$G$40*'F-14  '!B87</f>
        <v>2.2745484E-2</v>
      </c>
      <c r="E40" s="19">
        <f>$G$40*'F-14  '!C87</f>
        <v>0.14870357415496083</v>
      </c>
      <c r="F40" s="19">
        <f>$G$40*'F-14  '!E87</f>
        <v>0.96582514184503909</v>
      </c>
      <c r="G40" s="2003">
        <f>'F-14  '!E24</f>
        <v>1.1372742</v>
      </c>
      <c r="H40" s="88"/>
    </row>
    <row r="41" spans="1:10">
      <c r="A41" s="79"/>
      <c r="B41" s="12"/>
      <c r="C41" s="12"/>
      <c r="D41" s="12"/>
      <c r="E41" s="12"/>
      <c r="F41" s="12"/>
      <c r="G41" s="82"/>
    </row>
    <row r="42" spans="1:10">
      <c r="A42" s="79" t="s">
        <v>794</v>
      </c>
      <c r="B42" s="12"/>
      <c r="C42" s="12" t="s">
        <v>795</v>
      </c>
      <c r="D42" s="12"/>
      <c r="E42" s="12"/>
      <c r="F42" s="12"/>
      <c r="G42" s="82"/>
      <c r="J42" s="29"/>
    </row>
    <row r="43" spans="1:10">
      <c r="A43" s="79"/>
      <c r="B43" s="12"/>
      <c r="C43" s="12" t="s">
        <v>796</v>
      </c>
      <c r="D43" s="12"/>
      <c r="E43" s="12"/>
      <c r="F43" s="12"/>
      <c r="G43" s="82"/>
    </row>
    <row r="44" spans="1:10">
      <c r="A44" s="79"/>
      <c r="B44" s="12"/>
      <c r="C44" s="12"/>
      <c r="D44" s="12"/>
      <c r="E44" s="12"/>
      <c r="F44" s="12"/>
      <c r="G44" s="82"/>
      <c r="H44" s="88"/>
    </row>
    <row r="45" spans="1:10">
      <c r="A45" s="79" t="s">
        <v>797</v>
      </c>
      <c r="B45" s="12"/>
      <c r="C45" s="12" t="s">
        <v>118</v>
      </c>
      <c r="D45" s="12"/>
      <c r="E45" s="19">
        <f>G45*0.6</f>
        <v>31.337243444671433</v>
      </c>
      <c r="F45" s="19">
        <f>G45-E45</f>
        <v>20.891495629780959</v>
      </c>
      <c r="G45" s="82">
        <f>'F-19-A'!K22-'F-19-A'!L46</f>
        <v>52.228739074452392</v>
      </c>
      <c r="I45" s="3"/>
    </row>
    <row r="46" spans="1:10">
      <c r="A46" s="79"/>
      <c r="B46" s="12"/>
      <c r="C46" s="12"/>
      <c r="D46" s="12"/>
      <c r="E46" s="12"/>
      <c r="F46" s="12"/>
      <c r="G46" s="82"/>
    </row>
    <row r="47" spans="1:10">
      <c r="A47" s="79" t="s">
        <v>798</v>
      </c>
      <c r="B47" s="12"/>
      <c r="C47" s="12" t="s">
        <v>799</v>
      </c>
      <c r="D47" s="19">
        <f>$G$47*'F-14  '!B87</f>
        <v>0.13325118799999999</v>
      </c>
      <c r="E47" s="19">
        <f>$G$47*'F-14  '!C87</f>
        <v>0.87115877226418337</v>
      </c>
      <c r="F47" s="19">
        <f>$G$47*'F-14  '!E87</f>
        <v>5.6581494397358165</v>
      </c>
      <c r="G47" s="2003">
        <f>'F-14  '!E25+'F-14  '!E32+'F-14  '!E55</f>
        <v>6.6625594000000001</v>
      </c>
    </row>
    <row r="48" spans="1:10">
      <c r="A48" s="79"/>
      <c r="B48" s="12"/>
      <c r="C48" s="12"/>
      <c r="D48" s="12"/>
      <c r="E48" s="12"/>
      <c r="F48" s="12"/>
      <c r="G48" s="82"/>
    </row>
    <row r="49" spans="1:11">
      <c r="A49" s="79" t="s">
        <v>800</v>
      </c>
      <c r="B49" s="12"/>
      <c r="C49" s="12" t="s">
        <v>837</v>
      </c>
      <c r="D49" s="19">
        <f>+'F-12-A '!H82*$H$49</f>
        <v>0</v>
      </c>
      <c r="E49" s="19">
        <f>+'F-12-A '!I82*$H$49</f>
        <v>0</v>
      </c>
      <c r="F49" s="19">
        <f>+'F-12-A '!J82*$H$49</f>
        <v>0</v>
      </c>
      <c r="G49" s="82">
        <f>SUM(D49:F49)</f>
        <v>0</v>
      </c>
      <c r="H49" s="88"/>
      <c r="J49" s="3"/>
    </row>
    <row r="50" spans="1:11">
      <c r="A50" s="79"/>
      <c r="B50" s="12"/>
      <c r="C50" s="12" t="s">
        <v>801</v>
      </c>
      <c r="D50" s="19">
        <f>+'F-12-A '!H82*$H$50</f>
        <v>0</v>
      </c>
      <c r="E50" s="19">
        <f>+'F-12-A '!I82*$H$50</f>
        <v>0</v>
      </c>
      <c r="F50" s="19">
        <f>+'F-12-A '!J82*$H$50</f>
        <v>0</v>
      </c>
      <c r="G50" s="82">
        <f>SUM(D50:F50)</f>
        <v>0</v>
      </c>
      <c r="H50" s="88"/>
      <c r="I50" s="3"/>
      <c r="J50" s="3"/>
      <c r="K50" s="3"/>
    </row>
    <row r="51" spans="1:11">
      <c r="A51" s="79"/>
      <c r="B51" s="15" t="s">
        <v>1420</v>
      </c>
      <c r="C51" s="12" t="s">
        <v>802</v>
      </c>
      <c r="D51" s="19"/>
      <c r="E51" s="19"/>
      <c r="F51" s="19"/>
      <c r="G51" s="82"/>
      <c r="I51" s="3"/>
    </row>
    <row r="52" spans="1:11">
      <c r="A52" s="79"/>
      <c r="B52" s="12"/>
      <c r="C52" s="12" t="s">
        <v>803</v>
      </c>
      <c r="D52" s="19">
        <f>$G$52*'F-14  '!B87</f>
        <v>0</v>
      </c>
      <c r="E52" s="19">
        <f>$G$52*'F-14  '!C87</f>
        <v>0</v>
      </c>
      <c r="F52" s="19">
        <f>$G$52*'F-14  '!E87</f>
        <v>0</v>
      </c>
      <c r="G52" s="82">
        <v>0</v>
      </c>
    </row>
    <row r="53" spans="1:11">
      <c r="A53" s="79"/>
      <c r="B53" s="15" t="s">
        <v>518</v>
      </c>
      <c r="C53" s="12" t="s">
        <v>804</v>
      </c>
      <c r="D53" s="19">
        <f>+'F-12-A '!H82*$H$53</f>
        <v>0</v>
      </c>
      <c r="E53" s="19">
        <f>+'F-12-A '!I82*$H$53</f>
        <v>0</v>
      </c>
      <c r="F53" s="19">
        <f>+'F-12-A '!J82*$H$53</f>
        <v>0</v>
      </c>
      <c r="G53" s="82">
        <f>SUM(D53:F53)</f>
        <v>0</v>
      </c>
      <c r="I53" s="3"/>
    </row>
    <row r="54" spans="1:11" ht="14">
      <c r="A54" s="79"/>
      <c r="B54" s="15" t="s">
        <v>831</v>
      </c>
      <c r="C54" s="66" t="s">
        <v>1384</v>
      </c>
      <c r="D54" s="12"/>
      <c r="E54" s="178">
        <f>G54*0.6</f>
        <v>-16.962</v>
      </c>
      <c r="F54" s="178">
        <f>G54-E54</f>
        <v>-11.308</v>
      </c>
      <c r="G54" s="179">
        <f>-'F-12-A '!L40</f>
        <v>-28.27</v>
      </c>
      <c r="J54" s="3"/>
      <c r="K54" s="3"/>
    </row>
    <row r="55" spans="1:11" ht="16" thickBot="1">
      <c r="A55" s="162" t="s">
        <v>1102</v>
      </c>
      <c r="B55" s="163"/>
      <c r="C55" s="164" t="s">
        <v>805</v>
      </c>
      <c r="D55" s="152">
        <f>SUM(D6:D54)</f>
        <v>187.36347385196342</v>
      </c>
      <c r="E55" s="152">
        <f>SUM(E6:E54)</f>
        <v>307.29730878102743</v>
      </c>
      <c r="F55" s="152">
        <f>SUM(F6:F54)</f>
        <v>1464.3044244111834</v>
      </c>
      <c r="G55" s="153">
        <f>SUM(G6:G54)</f>
        <v>1958.9652070441741</v>
      </c>
      <c r="H55" s="154">
        <f>+'F-6'!J24+'F-6'!J11</f>
        <v>2093.1593529916345</v>
      </c>
      <c r="I55" s="3">
        <f>+G55-H55</f>
        <v>-134.19414594746036</v>
      </c>
      <c r="J55" s="3"/>
    </row>
    <row r="56" spans="1:11" ht="15.5">
      <c r="A56" s="18"/>
      <c r="C56" s="64"/>
      <c r="D56" s="3"/>
      <c r="E56" s="3"/>
      <c r="F56" s="3"/>
      <c r="G56" s="3"/>
      <c r="I56" s="3"/>
    </row>
    <row r="57" spans="1:11" ht="13">
      <c r="E57" s="3"/>
      <c r="F57" s="3"/>
      <c r="G57" s="5"/>
      <c r="I57" s="3"/>
    </row>
    <row r="58" spans="1:11" ht="15.5">
      <c r="A58" s="13" t="s">
        <v>806</v>
      </c>
      <c r="I58" s="3"/>
    </row>
    <row r="59" spans="1:11" ht="16" thickBot="1">
      <c r="A59" s="13" t="s">
        <v>807</v>
      </c>
      <c r="F59" s="13" t="s">
        <v>838</v>
      </c>
      <c r="I59" s="3"/>
    </row>
    <row r="60" spans="1:11" ht="15.5">
      <c r="A60" s="145"/>
      <c r="B60" s="146"/>
      <c r="C60" s="146"/>
      <c r="D60" s="146" t="s">
        <v>1494</v>
      </c>
      <c r="E60" s="146" t="s">
        <v>169</v>
      </c>
      <c r="F60" s="146" t="s">
        <v>1496</v>
      </c>
      <c r="G60" s="147" t="s">
        <v>1101</v>
      </c>
    </row>
    <row r="61" spans="1:11">
      <c r="A61" s="79" t="s">
        <v>1416</v>
      </c>
      <c r="B61" s="12"/>
      <c r="C61" s="12" t="s">
        <v>1493</v>
      </c>
      <c r="D61" s="12"/>
      <c r="E61" s="12"/>
      <c r="F61" s="12"/>
      <c r="G61" s="80"/>
    </row>
    <row r="62" spans="1:11">
      <c r="A62" s="79"/>
      <c r="B62" s="12"/>
      <c r="C62" s="12"/>
      <c r="D62" s="12"/>
      <c r="E62" s="12"/>
      <c r="F62" s="12"/>
      <c r="G62" s="80"/>
    </row>
    <row r="63" spans="1:11">
      <c r="A63" s="79" t="s">
        <v>1418</v>
      </c>
      <c r="B63" s="12"/>
      <c r="C63" s="12" t="s">
        <v>808</v>
      </c>
      <c r="D63" s="12"/>
      <c r="E63" s="12"/>
      <c r="F63" s="12"/>
      <c r="G63" s="80"/>
    </row>
    <row r="64" spans="1:11">
      <c r="A64" s="79"/>
      <c r="B64" s="12"/>
      <c r="C64" s="12"/>
      <c r="D64" s="12"/>
      <c r="E64" s="12"/>
      <c r="F64" s="12"/>
      <c r="G64" s="80"/>
    </row>
    <row r="65" spans="1:10">
      <c r="A65" s="79" t="s">
        <v>521</v>
      </c>
      <c r="B65" s="12"/>
      <c r="C65" s="12" t="s">
        <v>810</v>
      </c>
      <c r="D65" s="12"/>
      <c r="E65" s="12"/>
      <c r="F65" s="12"/>
      <c r="G65" s="80"/>
    </row>
    <row r="66" spans="1:10">
      <c r="A66" s="79"/>
      <c r="B66" s="12"/>
      <c r="C66" s="12" t="s">
        <v>811</v>
      </c>
      <c r="D66" s="12"/>
      <c r="E66" s="12"/>
      <c r="F66" s="12"/>
      <c r="G66" s="80"/>
    </row>
    <row r="67" spans="1:10">
      <c r="A67" s="79"/>
      <c r="B67" s="12"/>
      <c r="C67" s="12" t="s">
        <v>812</v>
      </c>
      <c r="D67" s="12"/>
      <c r="E67" s="12"/>
      <c r="F67" s="12"/>
      <c r="G67" s="80"/>
    </row>
    <row r="68" spans="1:10">
      <c r="A68" s="79"/>
      <c r="B68" s="12"/>
      <c r="C68" s="12"/>
      <c r="D68" s="12"/>
      <c r="E68" s="12"/>
      <c r="F68" s="12"/>
      <c r="G68" s="80"/>
    </row>
    <row r="69" spans="1:10">
      <c r="A69" s="79" t="s">
        <v>524</v>
      </c>
      <c r="B69" s="12"/>
      <c r="C69" s="12" t="s">
        <v>813</v>
      </c>
      <c r="D69" s="12"/>
      <c r="E69" s="19">
        <f>G69*0.6</f>
        <v>0</v>
      </c>
      <c r="F69" s="19">
        <f>G69-E69</f>
        <v>0</v>
      </c>
      <c r="G69" s="82">
        <f>+'F-19-A'!D22*0.375/100*0</f>
        <v>0</v>
      </c>
      <c r="I69" s="3"/>
    </row>
    <row r="70" spans="1:10">
      <c r="A70" s="79"/>
      <c r="B70" s="12"/>
      <c r="C70" s="12"/>
      <c r="D70" s="12"/>
      <c r="E70" s="12"/>
      <c r="F70" s="12"/>
      <c r="G70" s="82"/>
      <c r="I70" s="3"/>
    </row>
    <row r="71" spans="1:10">
      <c r="A71" s="79" t="s">
        <v>737</v>
      </c>
      <c r="B71" s="12"/>
      <c r="C71" s="12" t="s">
        <v>814</v>
      </c>
      <c r="D71" s="12"/>
      <c r="E71" s="12"/>
      <c r="F71" s="12"/>
      <c r="G71" s="82"/>
    </row>
    <row r="72" spans="1:10">
      <c r="A72" s="79"/>
      <c r="B72" s="15" t="s">
        <v>1420</v>
      </c>
      <c r="C72" s="12" t="s">
        <v>815</v>
      </c>
      <c r="D72" s="12"/>
      <c r="E72" s="12"/>
      <c r="F72" s="12"/>
      <c r="G72" s="82"/>
    </row>
    <row r="73" spans="1:10">
      <c r="A73" s="79"/>
      <c r="B73" s="15" t="s">
        <v>518</v>
      </c>
      <c r="C73" s="12" t="s">
        <v>816</v>
      </c>
      <c r="D73" s="12"/>
      <c r="E73" s="12"/>
      <c r="F73" s="12"/>
      <c r="G73" s="82"/>
    </row>
    <row r="74" spans="1:10">
      <c r="A74" s="79"/>
      <c r="B74" s="12"/>
      <c r="C74" s="12"/>
      <c r="D74" s="12"/>
      <c r="E74" s="12"/>
      <c r="F74" s="12"/>
      <c r="G74" s="82"/>
    </row>
    <row r="75" spans="1:10">
      <c r="A75" s="79" t="s">
        <v>739</v>
      </c>
      <c r="B75" s="12"/>
      <c r="C75" s="12" t="s">
        <v>553</v>
      </c>
      <c r="D75" s="12"/>
      <c r="E75" s="12"/>
      <c r="F75" s="12"/>
      <c r="G75" s="82"/>
    </row>
    <row r="76" spans="1:10">
      <c r="A76" s="79"/>
      <c r="B76" s="12"/>
      <c r="C76" s="12" t="s">
        <v>390</v>
      </c>
      <c r="D76" s="12"/>
      <c r="E76" s="12"/>
      <c r="F76" s="12"/>
      <c r="G76" s="82"/>
    </row>
    <row r="77" spans="1:10" ht="15.5">
      <c r="A77" s="165" t="s">
        <v>543</v>
      </c>
      <c r="B77" s="12"/>
      <c r="C77" s="10" t="s">
        <v>391</v>
      </c>
      <c r="D77" s="20">
        <f>SUM(D63:D76)</f>
        <v>0</v>
      </c>
      <c r="E77" s="20">
        <f>SUM(E63:E76)</f>
        <v>0</v>
      </c>
      <c r="F77" s="20">
        <f>SUM(F63:F76)</f>
        <v>0</v>
      </c>
      <c r="G77" s="84">
        <f>SUM(G63:G76)</f>
        <v>0</v>
      </c>
    </row>
    <row r="78" spans="1:10" ht="16" thickBot="1">
      <c r="A78" s="166"/>
      <c r="B78" s="61"/>
      <c r="C78" s="62" t="s">
        <v>392</v>
      </c>
      <c r="D78" s="306">
        <f>D55+D77</f>
        <v>187.36347385196342</v>
      </c>
      <c r="E78" s="306">
        <f>E55+E77</f>
        <v>307.29730878102743</v>
      </c>
      <c r="F78" s="306">
        <f>F55+F77</f>
        <v>1464.3044244111834</v>
      </c>
      <c r="G78" s="307">
        <f>G55+G77</f>
        <v>1958.9652070441741</v>
      </c>
      <c r="H78" s="229"/>
      <c r="I78" s="3"/>
      <c r="J78" s="3"/>
    </row>
    <row r="79" spans="1:10">
      <c r="A79" s="101"/>
      <c r="B79" s="102"/>
      <c r="C79" s="101"/>
      <c r="D79" s="102"/>
      <c r="E79" s="102"/>
      <c r="F79" s="53"/>
      <c r="G79" s="54"/>
    </row>
    <row r="80" spans="1:10">
      <c r="A80" s="103"/>
      <c r="B80" t="s">
        <v>1102</v>
      </c>
      <c r="C80" s="103" t="s">
        <v>170</v>
      </c>
      <c r="D80" s="3">
        <f>D78-D84</f>
        <v>29.335459986181974</v>
      </c>
      <c r="E80" s="3">
        <f>E78-E84</f>
        <v>193.02966306367881</v>
      </c>
      <c r="F80" s="3">
        <f>F78-F84</f>
        <v>589.57511708549157</v>
      </c>
      <c r="G80" s="56">
        <f>G78-G84</f>
        <v>811.94024013535227</v>
      </c>
    </row>
    <row r="81" spans="1:9">
      <c r="A81" s="103"/>
      <c r="C81" s="103" t="s">
        <v>171</v>
      </c>
      <c r="G81" s="104"/>
    </row>
    <row r="82" spans="1:9">
      <c r="A82" s="103"/>
      <c r="C82" s="103" t="s">
        <v>172</v>
      </c>
      <c r="D82" s="2">
        <f>'T-1'!K59</f>
        <v>619.3351813104</v>
      </c>
      <c r="E82" s="2">
        <f>'T-1'!K49/0.82</f>
        <v>447.831820112439</v>
      </c>
      <c r="F82" s="2">
        <f>G82-E82-D82</f>
        <v>3428.1936531215611</v>
      </c>
      <c r="G82" s="56">
        <f>'T-1'!K62</f>
        <v>4495.3606545443999</v>
      </c>
    </row>
    <row r="83" spans="1:9">
      <c r="A83" s="103"/>
      <c r="C83" s="1268">
        <f>G83</f>
        <v>2.5515749570599731</v>
      </c>
      <c r="D83" s="2"/>
      <c r="E83" s="2"/>
      <c r="F83" s="2"/>
      <c r="G83" s="310">
        <f>+G6/G82*10</f>
        <v>2.5515749570599731</v>
      </c>
    </row>
    <row r="84" spans="1:9">
      <c r="A84" s="103"/>
      <c r="C84" s="1267" t="s">
        <v>4422</v>
      </c>
      <c r="D84" s="3">
        <f>+D82*$G$83/10</f>
        <v>158.02801386578145</v>
      </c>
      <c r="E84" s="3">
        <f>+E82*$G$83/10</f>
        <v>114.26764571734861</v>
      </c>
      <c r="F84" s="3">
        <f>+F82*$G$83/10</f>
        <v>874.72930732569182</v>
      </c>
      <c r="G84" s="56">
        <f>SUM(D84:F84)</f>
        <v>1147.0249669088219</v>
      </c>
      <c r="I84" s="3"/>
    </row>
    <row r="85" spans="1:9">
      <c r="A85" s="103"/>
      <c r="C85" s="103"/>
      <c r="F85" s="3"/>
      <c r="G85" s="105"/>
    </row>
    <row r="86" spans="1:9">
      <c r="A86" s="103"/>
      <c r="B86" t="s">
        <v>543</v>
      </c>
      <c r="C86" s="103" t="s">
        <v>173</v>
      </c>
      <c r="G86" s="105"/>
    </row>
    <row r="87" spans="1:9">
      <c r="A87" s="103"/>
      <c r="C87" s="103"/>
      <c r="G87" s="105"/>
    </row>
    <row r="88" spans="1:9">
      <c r="A88" s="103"/>
      <c r="B88" t="s">
        <v>544</v>
      </c>
      <c r="C88" s="103" t="s">
        <v>174</v>
      </c>
      <c r="G88" s="105"/>
    </row>
    <row r="89" spans="1:9">
      <c r="A89" s="103"/>
      <c r="C89" s="103"/>
      <c r="G89" s="105"/>
    </row>
    <row r="90" spans="1:9">
      <c r="A90" s="103"/>
      <c r="B90" t="s">
        <v>545</v>
      </c>
      <c r="C90" s="103" t="s">
        <v>175</v>
      </c>
      <c r="D90" t="s">
        <v>979</v>
      </c>
      <c r="G90" s="105"/>
    </row>
    <row r="91" spans="1:9">
      <c r="A91" s="103"/>
      <c r="C91" s="103"/>
      <c r="G91" s="105"/>
    </row>
    <row r="92" spans="1:9">
      <c r="A92" s="103"/>
      <c r="B92" t="s">
        <v>1404</v>
      </c>
      <c r="C92" s="103" t="s">
        <v>1079</v>
      </c>
      <c r="D92" t="s">
        <v>979</v>
      </c>
      <c r="G92" s="105"/>
    </row>
    <row r="93" spans="1:9">
      <c r="A93" s="103"/>
      <c r="C93" s="103"/>
      <c r="G93" s="105"/>
    </row>
    <row r="94" spans="1:9">
      <c r="A94" s="103"/>
      <c r="B94" t="s">
        <v>1405</v>
      </c>
      <c r="C94" s="130" t="s">
        <v>1388</v>
      </c>
      <c r="D94" t="s">
        <v>1389</v>
      </c>
      <c r="G94" s="105"/>
    </row>
    <row r="95" spans="1:9">
      <c r="A95" s="103"/>
      <c r="C95" s="103"/>
      <c r="G95" s="105"/>
    </row>
    <row r="96" spans="1:9">
      <c r="A96" s="103"/>
      <c r="B96" t="s">
        <v>1406</v>
      </c>
      <c r="C96" s="103" t="s">
        <v>118</v>
      </c>
      <c r="D96" t="s">
        <v>979</v>
      </c>
      <c r="G96" s="105"/>
    </row>
    <row r="97" spans="1:7">
      <c r="A97" s="103"/>
      <c r="C97" s="103"/>
      <c r="G97" s="105"/>
    </row>
    <row r="98" spans="1:7" ht="13" thickBot="1">
      <c r="A98" s="106"/>
      <c r="B98" s="107" t="s">
        <v>1407</v>
      </c>
      <c r="C98" s="106" t="s">
        <v>1601</v>
      </c>
      <c r="D98" s="107" t="s">
        <v>979</v>
      </c>
      <c r="E98" s="107"/>
      <c r="F98" s="107"/>
      <c r="G98" s="108"/>
    </row>
  </sheetData>
  <mergeCells count="2">
    <mergeCell ref="A2:G2"/>
    <mergeCell ref="F4:G4"/>
  </mergeCells>
  <phoneticPr fontId="0" type="noConversion"/>
  <printOptions horizontalCentered="1"/>
  <pageMargins left="0.5" right="0.5" top="1" bottom="1" header="0.5" footer="0.5"/>
  <pageSetup scale="89" orientation="portrait" r:id="rId1"/>
  <headerFooter alignWithMargins="0">
    <oddFooter>&amp;ROERC FORM No. -F10</oddFooter>
  </headerFooter>
  <rowBreaks count="1" manualBreakCount="1">
    <brk id="56" max="6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0">
    <tabColor rgb="FF00B0F0"/>
  </sheetPr>
  <dimension ref="A1:O110"/>
  <sheetViews>
    <sheetView showGridLines="0" workbookViewId="0">
      <pane xSplit="2" ySplit="7" topLeftCell="C27" activePane="bottomRight" state="frozen"/>
      <selection activeCell="L14" sqref="L14"/>
      <selection pane="topRight" activeCell="L14" sqref="L14"/>
      <selection pane="bottomLeft" activeCell="L14" sqref="L14"/>
      <selection pane="bottomRight" activeCell="L14" sqref="L14"/>
    </sheetView>
  </sheetViews>
  <sheetFormatPr defaultColWidth="14.7265625" defaultRowHeight="12.5"/>
  <cols>
    <col min="1" max="1" width="8.54296875" customWidth="1"/>
    <col min="2" max="2" width="6" customWidth="1"/>
    <col min="3" max="3" width="44.7265625" customWidth="1"/>
    <col min="4" max="4" width="15.453125" customWidth="1"/>
    <col min="5" max="5" width="17.26953125" customWidth="1"/>
    <col min="6" max="6" width="14.453125" customWidth="1"/>
    <col min="7" max="9" width="16.54296875" customWidth="1"/>
    <col min="10" max="10" width="13.7265625" style="3" bestFit="1" customWidth="1"/>
    <col min="11" max="11" width="14.7265625" bestFit="1" customWidth="1"/>
    <col min="12" max="14" width="16.1796875" bestFit="1" customWidth="1"/>
  </cols>
  <sheetData>
    <row r="1" spans="1:15" ht="13">
      <c r="A1" s="3557" t="s">
        <v>1344</v>
      </c>
      <c r="B1" s="3557"/>
      <c r="C1" s="3557"/>
      <c r="D1" s="3557"/>
      <c r="E1" s="3557"/>
      <c r="F1" s="3557"/>
      <c r="G1" s="3557"/>
      <c r="H1" s="131"/>
      <c r="I1" s="131"/>
    </row>
    <row r="2" spans="1:15" ht="13">
      <c r="A2" s="6"/>
    </row>
    <row r="3" spans="1:15" ht="26.25" customHeight="1">
      <c r="A3" s="3547" t="s">
        <v>7012</v>
      </c>
      <c r="B3" s="3557"/>
      <c r="C3" s="3557"/>
      <c r="D3" s="3557"/>
      <c r="E3" s="3557"/>
      <c r="F3" s="3557"/>
      <c r="G3" s="3557"/>
      <c r="H3" s="219"/>
      <c r="I3" s="219"/>
    </row>
    <row r="4" spans="1:15" ht="15.5">
      <c r="A4" s="13" t="s">
        <v>1414</v>
      </c>
      <c r="G4" s="5"/>
      <c r="H4" s="5"/>
      <c r="I4" s="5"/>
    </row>
    <row r="5" spans="1:15" ht="15.5">
      <c r="A5" s="13" t="s">
        <v>1415</v>
      </c>
      <c r="H5" s="3">
        <f>'F-6'!N15-'WF-12(RevRQEns)'!G13</f>
        <v>12.462936836400004</v>
      </c>
      <c r="K5" s="3"/>
      <c r="L5" s="4"/>
      <c r="M5" s="4"/>
      <c r="N5" s="4"/>
      <c r="O5" s="4"/>
    </row>
    <row r="6" spans="1:15" ht="15.5">
      <c r="A6" s="13"/>
      <c r="G6" s="13" t="s">
        <v>3354</v>
      </c>
      <c r="H6" s="13"/>
      <c r="I6" s="13"/>
      <c r="K6" s="3"/>
      <c r="L6" s="4"/>
      <c r="M6" s="4"/>
      <c r="N6" s="4"/>
      <c r="O6" s="4"/>
    </row>
    <row r="7" spans="1:15" ht="19" customHeight="1" thickBot="1">
      <c r="A7" s="11"/>
      <c r="B7" s="11"/>
      <c r="C7" s="11"/>
      <c r="D7" s="11" t="s">
        <v>1494</v>
      </c>
      <c r="E7" s="11" t="s">
        <v>169</v>
      </c>
      <c r="F7" s="11" t="s">
        <v>1496</v>
      </c>
      <c r="G7" s="30" t="s">
        <v>1101</v>
      </c>
      <c r="H7" s="221"/>
      <c r="I7" s="221"/>
      <c r="K7" s="3"/>
      <c r="L7" s="32"/>
      <c r="M7" s="32"/>
      <c r="N7" s="32"/>
      <c r="O7" s="3"/>
    </row>
    <row r="8" spans="1:15" ht="19" customHeight="1">
      <c r="A8" s="66" t="s">
        <v>1416</v>
      </c>
      <c r="B8" s="66"/>
      <c r="C8" s="66" t="s">
        <v>1417</v>
      </c>
      <c r="D8" s="67">
        <f>D84</f>
        <v>163.92549588540118</v>
      </c>
      <c r="E8" s="67">
        <f>E84</f>
        <v>121.75362058679346</v>
      </c>
      <c r="F8" s="67">
        <f>F84</f>
        <v>934.25225429725128</v>
      </c>
      <c r="G8" s="2108">
        <f>'F-4'!I39</f>
        <v>1219.9313707694459</v>
      </c>
      <c r="H8" s="224">
        <f>+'F-4'!I39</f>
        <v>1219.9313707694459</v>
      </c>
      <c r="I8" s="222">
        <f>+G8-H8</f>
        <v>0</v>
      </c>
      <c r="J8" s="286"/>
      <c r="K8" s="287">
        <v>19506.717499999999</v>
      </c>
      <c r="L8" s="288">
        <f>+G8-K8</f>
        <v>-18286.786129230553</v>
      </c>
      <c r="M8" s="32"/>
      <c r="N8" s="32"/>
      <c r="O8" s="3"/>
    </row>
    <row r="9" spans="1:15" ht="19" customHeight="1">
      <c r="A9" s="66"/>
      <c r="B9" s="66"/>
      <c r="C9" s="66"/>
      <c r="D9" s="66"/>
      <c r="E9" s="66"/>
      <c r="F9" s="66"/>
      <c r="G9" s="132"/>
      <c r="H9" s="321"/>
      <c r="I9" s="223"/>
      <c r="J9" s="289"/>
      <c r="K9" s="229"/>
      <c r="L9" s="290"/>
      <c r="M9" s="32"/>
      <c r="N9" s="32"/>
      <c r="O9" s="3"/>
    </row>
    <row r="10" spans="1:15" ht="19" customHeight="1">
      <c r="A10" s="66" t="s">
        <v>1418</v>
      </c>
      <c r="B10" s="66"/>
      <c r="C10" s="66" t="s">
        <v>1419</v>
      </c>
      <c r="D10" s="66"/>
      <c r="E10" s="66"/>
      <c r="F10" s="66"/>
      <c r="G10" s="67"/>
      <c r="H10" s="224"/>
      <c r="I10" s="222"/>
      <c r="J10" s="289"/>
      <c r="K10" s="291"/>
      <c r="L10" s="290"/>
      <c r="M10" s="32"/>
      <c r="N10" s="32"/>
      <c r="O10" s="3"/>
    </row>
    <row r="11" spans="1:15" ht="19" customHeight="1">
      <c r="A11" s="66"/>
      <c r="B11" s="68" t="s">
        <v>1420</v>
      </c>
      <c r="C11" s="66" t="s">
        <v>517</v>
      </c>
      <c r="D11" s="19">
        <f>+'F-12-A '!M82*$H$11</f>
        <v>29.229389101119452</v>
      </c>
      <c r="E11" s="19">
        <f>+'F-12-A '!N82*$H$11</f>
        <v>66.23603220210056</v>
      </c>
      <c r="F11" s="19">
        <f>+'F-12-A '!O82*$H$11</f>
        <v>432.11902549949377</v>
      </c>
      <c r="G11" s="2108">
        <f>SUM(D11:F11)</f>
        <v>527.58444680271373</v>
      </c>
      <c r="H11" s="607">
        <f>'F-12-A '!Q39</f>
        <v>527.58444680271384</v>
      </c>
      <c r="I11" s="222"/>
      <c r="J11" s="292">
        <f>'F-12-A '!Q41</f>
        <v>497.34444680271383</v>
      </c>
      <c r="K11" s="285">
        <v>4649.3571810381545</v>
      </c>
      <c r="L11" s="290">
        <f>+G11-K11</f>
        <v>-4121.772734235441</v>
      </c>
      <c r="M11" s="32"/>
      <c r="N11" s="32"/>
      <c r="O11" s="3"/>
    </row>
    <row r="12" spans="1:15" ht="19" customHeight="1">
      <c r="A12" s="66"/>
      <c r="B12" s="68" t="s">
        <v>518</v>
      </c>
      <c r="C12" s="66" t="s">
        <v>1120</v>
      </c>
      <c r="D12" s="66"/>
      <c r="E12" s="67">
        <f>G12*0.6</f>
        <v>93.242605578142388</v>
      </c>
      <c r="F12" s="67">
        <f>G12-E12</f>
        <v>62.161737052094935</v>
      </c>
      <c r="G12" s="2108">
        <f>'F-13-B'!F16</f>
        <v>155.40434263023732</v>
      </c>
      <c r="H12" s="222"/>
      <c r="I12" s="222"/>
      <c r="J12" s="289"/>
      <c r="K12" s="291">
        <v>971.07977694999977</v>
      </c>
      <c r="L12" s="290">
        <f>+G12-K12</f>
        <v>-815.67543431976242</v>
      </c>
      <c r="M12" s="32"/>
      <c r="N12" s="32"/>
      <c r="O12" s="3"/>
    </row>
    <row r="13" spans="1:15" ht="19" customHeight="1">
      <c r="A13" s="66"/>
      <c r="B13" s="68" t="s">
        <v>519</v>
      </c>
      <c r="C13" s="66" t="s">
        <v>520</v>
      </c>
      <c r="D13" s="67">
        <f>$G$13*'F-14  '!B95</f>
        <v>2.5001137012952017</v>
      </c>
      <c r="E13" s="67">
        <f>$G$13*'F-14  '!C95</f>
        <v>16.282132275711479</v>
      </c>
      <c r="F13" s="67">
        <f>$G$13*'F-14  '!E95</f>
        <v>106.22343908775338</v>
      </c>
      <c r="G13" s="2108">
        <f>'F-14  '!F77-G15-G38-G42-G49</f>
        <v>125.00568506476007</v>
      </c>
      <c r="H13" s="222"/>
      <c r="I13" s="222"/>
      <c r="J13" s="289"/>
      <c r="K13" s="291">
        <v>1370.2791964868413</v>
      </c>
      <c r="L13" s="290">
        <f>+G13-K13</f>
        <v>-1245.2735114220814</v>
      </c>
      <c r="M13" s="32"/>
      <c r="N13" s="32"/>
      <c r="O13" s="36"/>
    </row>
    <row r="14" spans="1:15" ht="19" customHeight="1">
      <c r="A14" s="66"/>
      <c r="B14" s="66"/>
      <c r="C14" s="66"/>
      <c r="D14" s="66"/>
      <c r="E14" s="66"/>
      <c r="F14" s="66"/>
      <c r="G14" s="67"/>
      <c r="H14" s="222"/>
      <c r="I14" s="222"/>
      <c r="J14" s="289"/>
      <c r="K14" s="291"/>
      <c r="L14" s="293"/>
    </row>
    <row r="15" spans="1:15" ht="19" customHeight="1">
      <c r="A15" s="66" t="s">
        <v>521</v>
      </c>
      <c r="B15" s="66"/>
      <c r="C15" s="66" t="s">
        <v>522</v>
      </c>
      <c r="D15" s="67">
        <f>$G$15*'F-14  '!B95</f>
        <v>7.9138424080000006E-2</v>
      </c>
      <c r="E15" s="67">
        <f>$G$15*'F-14  '!C95</f>
        <v>0.51539347522249579</v>
      </c>
      <c r="F15" s="67">
        <f>$G$15*'F-14  '!E95</f>
        <v>3.362389304697504</v>
      </c>
      <c r="G15" s="2108">
        <f>'F-14  '!F8</f>
        <v>3.9569212040000004</v>
      </c>
      <c r="H15" s="222">
        <f>G15</f>
        <v>3.9569212040000004</v>
      </c>
      <c r="I15" s="222"/>
      <c r="J15" s="289"/>
      <c r="K15" s="291"/>
      <c r="L15" s="290"/>
      <c r="M15" s="32"/>
      <c r="N15" s="32"/>
      <c r="O15" s="3"/>
    </row>
    <row r="16" spans="1:15" ht="19" customHeight="1">
      <c r="A16" s="66"/>
      <c r="B16" s="66"/>
      <c r="C16" s="66" t="s">
        <v>523</v>
      </c>
      <c r="D16" s="66"/>
      <c r="E16" s="66"/>
      <c r="F16" s="67"/>
      <c r="G16" s="67"/>
      <c r="H16" s="222"/>
      <c r="I16" s="222"/>
      <c r="J16" s="289"/>
      <c r="K16" s="291"/>
      <c r="L16" s="290"/>
      <c r="M16" s="32"/>
      <c r="N16" s="32"/>
      <c r="O16" s="3"/>
    </row>
    <row r="17" spans="1:15" ht="19" customHeight="1">
      <c r="A17" s="66"/>
      <c r="B17" s="66"/>
      <c r="C17" s="66"/>
      <c r="D17" s="66"/>
      <c r="E17" s="66"/>
      <c r="F17" s="67"/>
      <c r="G17" s="67"/>
      <c r="H17" s="222"/>
      <c r="I17" s="222"/>
      <c r="J17" s="289"/>
      <c r="K17" s="291">
        <v>106.12980884304532</v>
      </c>
      <c r="L17" s="290"/>
      <c r="M17" s="32"/>
      <c r="N17" s="32"/>
      <c r="O17" s="3"/>
    </row>
    <row r="18" spans="1:15" ht="19" customHeight="1">
      <c r="A18" s="66" t="s">
        <v>524</v>
      </c>
      <c r="B18" s="66"/>
      <c r="C18" s="66" t="s">
        <v>525</v>
      </c>
      <c r="D18" s="66"/>
      <c r="E18" s="66">
        <f>G18*0.6</f>
        <v>0</v>
      </c>
      <c r="F18" s="67">
        <f>G18-E18</f>
        <v>0</v>
      </c>
      <c r="G18" s="67">
        <f>+'WF-INTEREST'!T9</f>
        <v>0</v>
      </c>
      <c r="H18" s="222"/>
      <c r="I18" s="222"/>
      <c r="J18" s="289"/>
      <c r="K18" s="291"/>
      <c r="L18" s="290"/>
      <c r="M18" s="32"/>
      <c r="N18" s="32"/>
      <c r="O18" s="3"/>
    </row>
    <row r="19" spans="1:15" ht="19" customHeight="1">
      <c r="A19" s="66"/>
      <c r="B19" s="68" t="s">
        <v>1420</v>
      </c>
      <c r="C19" s="66" t="s">
        <v>526</v>
      </c>
      <c r="D19" s="66"/>
      <c r="E19" s="66"/>
      <c r="F19" s="67"/>
      <c r="G19" s="67"/>
      <c r="H19" s="222"/>
      <c r="I19" s="222"/>
      <c r="J19" s="289"/>
      <c r="K19" s="291">
        <v>0</v>
      </c>
      <c r="L19" s="290"/>
      <c r="M19" s="32"/>
      <c r="N19" s="32"/>
      <c r="O19" s="3"/>
    </row>
    <row r="20" spans="1:15" ht="19" customHeight="1">
      <c r="A20" s="66"/>
      <c r="B20" s="68"/>
      <c r="C20" s="66" t="s">
        <v>1558</v>
      </c>
      <c r="D20" s="66"/>
      <c r="E20" s="228">
        <f t="shared" ref="E20:E33" si="0">G20*0.6</f>
        <v>0</v>
      </c>
      <c r="F20" s="67">
        <f t="shared" ref="F20:F35" si="1">G20-E20</f>
        <v>0</v>
      </c>
      <c r="G20" s="1767">
        <f>+'WF-INTEREST'!X11</f>
        <v>0</v>
      </c>
      <c r="H20" s="222"/>
      <c r="I20" s="222"/>
      <c r="J20" s="289"/>
      <c r="K20" s="291"/>
      <c r="L20" s="290"/>
      <c r="M20" s="32"/>
      <c r="N20" s="32"/>
      <c r="O20" s="3"/>
    </row>
    <row r="21" spans="1:15" ht="19" customHeight="1">
      <c r="A21" s="66"/>
      <c r="B21" s="68"/>
      <c r="C21" s="66" t="s">
        <v>1198</v>
      </c>
      <c r="D21" s="66"/>
      <c r="E21" s="67">
        <f t="shared" si="0"/>
        <v>0</v>
      </c>
      <c r="F21" s="67">
        <f t="shared" si="1"/>
        <v>0</v>
      </c>
      <c r="G21" s="1767">
        <f>+'WF-INTEREST'!X15</f>
        <v>0</v>
      </c>
      <c r="H21" s="222"/>
      <c r="I21" s="222"/>
      <c r="J21" s="289"/>
      <c r="K21" s="291">
        <v>943.72753799999998</v>
      </c>
      <c r="L21" s="290"/>
      <c r="M21" s="32"/>
      <c r="N21" s="32"/>
      <c r="O21" s="37"/>
    </row>
    <row r="22" spans="1:15" ht="14">
      <c r="A22" s="12"/>
      <c r="B22" s="15"/>
      <c r="C22" s="66" t="s">
        <v>280</v>
      </c>
      <c r="D22" s="12"/>
      <c r="E22" s="19">
        <f t="shared" si="0"/>
        <v>0</v>
      </c>
      <c r="F22" s="19">
        <f t="shared" si="1"/>
        <v>0</v>
      </c>
      <c r="G22" s="1767">
        <f>+'WF-INTEREST'!X17</f>
        <v>0</v>
      </c>
      <c r="H22" s="222"/>
      <c r="I22" s="222"/>
      <c r="J22" s="289"/>
      <c r="K22" s="291">
        <v>0</v>
      </c>
      <c r="L22" s="293"/>
    </row>
    <row r="23" spans="1:15" ht="14">
      <c r="A23" s="12"/>
      <c r="B23" s="15"/>
      <c r="C23" s="66" t="s">
        <v>281</v>
      </c>
      <c r="D23" s="12"/>
      <c r="E23" s="19">
        <f t="shared" si="0"/>
        <v>6.4363199999999997E-3</v>
      </c>
      <c r="F23" s="19">
        <f t="shared" si="1"/>
        <v>4.2908799999999995E-3</v>
      </c>
      <c r="G23" s="1767">
        <f>+'WF-INTEREST'!X19</f>
        <v>1.0727199999999999E-2</v>
      </c>
      <c r="H23" s="222"/>
      <c r="I23" s="222">
        <f>H23+G22</f>
        <v>0</v>
      </c>
      <c r="J23" s="289"/>
      <c r="K23" s="291"/>
      <c r="L23" s="293"/>
    </row>
    <row r="24" spans="1:15" ht="14">
      <c r="A24" s="12"/>
      <c r="B24" s="15"/>
      <c r="C24" s="12" t="s">
        <v>282</v>
      </c>
      <c r="D24" s="12"/>
      <c r="E24" s="19">
        <f t="shared" si="0"/>
        <v>2.4715971451200001</v>
      </c>
      <c r="F24" s="19">
        <f t="shared" si="1"/>
        <v>1.6477314300799999</v>
      </c>
      <c r="G24" s="1767">
        <f>'WF-INTEREST'!X25</f>
        <v>4.1193285752</v>
      </c>
      <c r="H24" s="222"/>
      <c r="I24" s="222"/>
      <c r="J24" s="289"/>
      <c r="K24" s="291"/>
      <c r="L24" s="293"/>
    </row>
    <row r="25" spans="1:15" ht="14">
      <c r="A25" s="12"/>
      <c r="B25" s="15"/>
      <c r="C25" s="12" t="s">
        <v>283</v>
      </c>
      <c r="D25" s="12"/>
      <c r="E25" s="19">
        <f t="shared" si="0"/>
        <v>0</v>
      </c>
      <c r="F25" s="19">
        <f t="shared" si="1"/>
        <v>0</v>
      </c>
      <c r="G25" s="1767">
        <f>'WF-INTEREST'!X27</f>
        <v>0</v>
      </c>
      <c r="H25" s="222"/>
      <c r="I25" s="222"/>
      <c r="J25" s="289"/>
      <c r="K25" s="291"/>
      <c r="L25" s="293"/>
    </row>
    <row r="26" spans="1:15" ht="14">
      <c r="A26" s="12"/>
      <c r="B26" s="15"/>
      <c r="C26" s="12" t="s">
        <v>284</v>
      </c>
      <c r="D26" s="12"/>
      <c r="E26" s="19">
        <f t="shared" si="0"/>
        <v>4.4331045791999992</v>
      </c>
      <c r="F26" s="19">
        <f t="shared" si="1"/>
        <v>2.9554030527999995</v>
      </c>
      <c r="G26" s="1767">
        <f>'WF-INTEREST'!X21+'WF-INTEREST'!X23</f>
        <v>7.3885076319999987</v>
      </c>
      <c r="H26" s="222"/>
      <c r="I26" s="222"/>
      <c r="J26" s="289"/>
      <c r="K26" s="291"/>
      <c r="L26" s="293"/>
    </row>
    <row r="27" spans="1:15" ht="14">
      <c r="A27" s="12"/>
      <c r="B27" s="15"/>
      <c r="C27" s="12" t="s">
        <v>285</v>
      </c>
      <c r="D27" s="12"/>
      <c r="E27" s="19">
        <f t="shared" si="0"/>
        <v>0</v>
      </c>
      <c r="F27" s="19">
        <f t="shared" si="1"/>
        <v>0</v>
      </c>
      <c r="G27" s="1767">
        <f>'WF-INTEREST'!X29</f>
        <v>0</v>
      </c>
      <c r="H27" s="222"/>
      <c r="I27" s="222"/>
      <c r="J27" s="289"/>
      <c r="K27" s="291"/>
      <c r="L27" s="293"/>
    </row>
    <row r="28" spans="1:15" ht="14">
      <c r="A28" s="12"/>
      <c r="B28" s="15"/>
      <c r="C28" s="12" t="s">
        <v>286</v>
      </c>
      <c r="D28" s="12"/>
      <c r="E28" s="19">
        <f t="shared" si="0"/>
        <v>0</v>
      </c>
      <c r="F28" s="19">
        <f t="shared" si="1"/>
        <v>0</v>
      </c>
      <c r="G28" s="1767">
        <f>'WF-INTEREST'!X31</f>
        <v>0</v>
      </c>
      <c r="H28" s="222"/>
      <c r="I28" s="222"/>
      <c r="J28" s="289"/>
      <c r="K28" s="291"/>
      <c r="L28" s="293"/>
    </row>
    <row r="29" spans="1:15" ht="14">
      <c r="A29" s="12"/>
      <c r="B29" s="15"/>
      <c r="C29" s="46" t="s">
        <v>3337</v>
      </c>
      <c r="D29" s="12"/>
      <c r="E29" s="19">
        <f t="shared" si="0"/>
        <v>0</v>
      </c>
      <c r="F29" s="19">
        <f t="shared" si="1"/>
        <v>0</v>
      </c>
      <c r="G29" s="1767">
        <f>'WF-INTEREST'!X44</f>
        <v>0</v>
      </c>
      <c r="H29" s="222"/>
      <c r="I29" s="222"/>
      <c r="J29" s="289"/>
      <c r="K29" s="291"/>
      <c r="L29" s="293"/>
    </row>
    <row r="30" spans="1:15" ht="13" customHeight="1">
      <c r="A30" s="12"/>
      <c r="B30" s="15"/>
      <c r="C30" s="624" t="s">
        <v>7013</v>
      </c>
      <c r="D30" s="12"/>
      <c r="E30" s="19"/>
      <c r="F30" s="19"/>
      <c r="G30" s="1767">
        <f>'WF-INTEREST'!X33</f>
        <v>5.6033941740000071</v>
      </c>
      <c r="H30" s="222"/>
      <c r="I30" s="222"/>
      <c r="J30" s="289"/>
      <c r="K30" s="291"/>
      <c r="L30" s="293"/>
    </row>
    <row r="31" spans="1:15" ht="14">
      <c r="A31" s="12"/>
      <c r="B31" s="15"/>
      <c r="C31" s="624" t="s">
        <v>7014</v>
      </c>
      <c r="D31" s="12"/>
      <c r="E31" s="19"/>
      <c r="F31" s="19"/>
      <c r="G31" s="1767">
        <f>'WF-INTEREST'!X35</f>
        <v>9.1649999999999991</v>
      </c>
      <c r="H31" s="222"/>
      <c r="I31" s="222"/>
      <c r="J31" s="289"/>
      <c r="K31" s="291"/>
      <c r="L31" s="293"/>
    </row>
    <row r="32" spans="1:15" ht="14">
      <c r="A32" s="12"/>
      <c r="B32" s="15"/>
      <c r="C32" s="624" t="s">
        <v>7015</v>
      </c>
      <c r="D32" s="12"/>
      <c r="E32" s="19"/>
      <c r="F32" s="19"/>
      <c r="G32" s="1767">
        <f>'WF-INTEREST'!X37</f>
        <v>38.794308603825975</v>
      </c>
      <c r="H32" s="222"/>
      <c r="I32" s="222"/>
      <c r="J32" s="289"/>
      <c r="K32" s="291"/>
      <c r="L32" s="293"/>
    </row>
    <row r="33" spans="1:15" ht="19" customHeight="1">
      <c r="A33" s="66"/>
      <c r="B33" s="68" t="s">
        <v>518</v>
      </c>
      <c r="C33" s="66" t="s">
        <v>3336</v>
      </c>
      <c r="D33" s="66"/>
      <c r="E33" s="67">
        <f t="shared" si="0"/>
        <v>0</v>
      </c>
      <c r="F33" s="67">
        <f t="shared" si="1"/>
        <v>0</v>
      </c>
      <c r="G33" s="1767">
        <f>'WF-INTEREST'!X13</f>
        <v>0</v>
      </c>
      <c r="H33" s="222">
        <f>SUM(G20:G33)</f>
        <v>65.081266185025981</v>
      </c>
      <c r="I33" s="222"/>
      <c r="J33" s="289"/>
      <c r="K33" s="291">
        <v>0</v>
      </c>
      <c r="L33" s="293"/>
    </row>
    <row r="34" spans="1:15" ht="19" customHeight="1">
      <c r="A34" s="66"/>
      <c r="B34" s="68" t="s">
        <v>943</v>
      </c>
      <c r="C34" s="12" t="s">
        <v>830</v>
      </c>
      <c r="D34" s="66"/>
      <c r="E34" s="67">
        <f>+G34*0.6</f>
        <v>1.0967327999999998</v>
      </c>
      <c r="F34" s="67">
        <f t="shared" si="1"/>
        <v>0.73115520000000012</v>
      </c>
      <c r="G34" s="1767">
        <f>'WF-INTEREST'!H59/10000000</f>
        <v>1.827888</v>
      </c>
      <c r="H34" s="224"/>
      <c r="I34" s="224"/>
      <c r="J34" s="289"/>
      <c r="K34" s="291">
        <v>1625</v>
      </c>
      <c r="L34" s="293"/>
      <c r="N34" s="32"/>
      <c r="O34" s="3"/>
    </row>
    <row r="35" spans="1:15" ht="14">
      <c r="A35" s="66"/>
      <c r="B35" s="68" t="s">
        <v>1261</v>
      </c>
      <c r="C35" s="47" t="s">
        <v>1184</v>
      </c>
      <c r="D35" s="67">
        <v>0</v>
      </c>
      <c r="E35" s="67">
        <f>+G35*0.6</f>
        <v>0</v>
      </c>
      <c r="F35" s="67">
        <f t="shared" si="1"/>
        <v>0</v>
      </c>
      <c r="G35" s="67"/>
      <c r="H35" s="222"/>
      <c r="I35" s="222"/>
      <c r="J35" s="289"/>
      <c r="K35" s="291">
        <v>239.19740573999997</v>
      </c>
      <c r="L35" s="293"/>
      <c r="M35" s="3"/>
    </row>
    <row r="36" spans="1:15" ht="19" customHeight="1">
      <c r="A36" s="66" t="s">
        <v>737</v>
      </c>
      <c r="B36" s="66"/>
      <c r="C36" s="66" t="s">
        <v>738</v>
      </c>
      <c r="D36" s="67">
        <f>+G36*0.3</f>
        <v>4.352058649141501</v>
      </c>
      <c r="E36" s="67">
        <f>+G36*0.26</f>
        <v>3.7717841625893009</v>
      </c>
      <c r="F36" s="67">
        <f>+G36*0.44</f>
        <v>6.3830193520742018</v>
      </c>
      <c r="G36" s="2108">
        <f>'WF-INTEREST'!J89</f>
        <v>14.506862163805003</v>
      </c>
      <c r="H36" s="222">
        <f>SUM(G20:G36)</f>
        <v>81.416016348830993</v>
      </c>
      <c r="I36" s="222"/>
      <c r="J36" s="289"/>
      <c r="K36" s="291">
        <v>4097.1660000000002</v>
      </c>
      <c r="L36" s="293"/>
      <c r="M36" s="3"/>
    </row>
    <row r="37" spans="1:15" ht="19" customHeight="1">
      <c r="A37" s="66"/>
      <c r="B37" s="66"/>
      <c r="C37" s="66"/>
      <c r="D37" s="148"/>
      <c r="E37" s="148"/>
      <c r="F37" s="148"/>
      <c r="G37" s="67"/>
      <c r="H37" s="222"/>
      <c r="I37" s="222"/>
      <c r="J37" s="289"/>
      <c r="K37" s="229">
        <v>171.672</v>
      </c>
      <c r="L37" s="294"/>
    </row>
    <row r="38" spans="1:15" ht="19" customHeight="1">
      <c r="A38" s="66" t="s">
        <v>739</v>
      </c>
      <c r="B38" s="66"/>
      <c r="C38" s="66" t="s">
        <v>740</v>
      </c>
      <c r="D38" s="67">
        <f>$G$38*'F-14  '!B95</f>
        <v>3.2038736079999987E-3</v>
      </c>
      <c r="E38" s="67">
        <f>$G$38*'F-14  '!C95</f>
        <v>2.0865408582454493E-2</v>
      </c>
      <c r="F38" s="67">
        <f>$G$38*'F-14  '!E95</f>
        <v>0.13612439820954542</v>
      </c>
      <c r="G38" s="2108">
        <f>'F-14  '!F21</f>
        <v>0.16019368039999993</v>
      </c>
      <c r="H38" s="222">
        <f>G38</f>
        <v>0.16019368039999993</v>
      </c>
      <c r="I38" s="222"/>
      <c r="J38" s="289"/>
      <c r="K38" s="291"/>
      <c r="L38" s="293"/>
    </row>
    <row r="39" spans="1:15" ht="19" customHeight="1">
      <c r="A39" s="66"/>
      <c r="B39" s="66"/>
      <c r="C39" s="66"/>
      <c r="D39" s="66"/>
      <c r="E39" s="66"/>
      <c r="F39" s="66"/>
      <c r="G39" s="67"/>
      <c r="H39" s="222"/>
      <c r="I39" s="222"/>
      <c r="J39" s="295"/>
      <c r="K39" s="291">
        <v>15.505132079205309</v>
      </c>
      <c r="L39" s="293"/>
    </row>
    <row r="40" spans="1:15" ht="19" customHeight="1">
      <c r="A40" s="66" t="s">
        <v>741</v>
      </c>
      <c r="B40" s="66"/>
      <c r="C40" s="66" t="s">
        <v>122</v>
      </c>
      <c r="D40" s="66"/>
      <c r="E40" s="67"/>
      <c r="F40" s="67">
        <f>+G40</f>
        <v>19.659247009373615</v>
      </c>
      <c r="G40" s="2109">
        <f>'T-7(ENS)'!AA65*0.01</f>
        <v>19.659247009373615</v>
      </c>
      <c r="H40" s="1227" t="s">
        <v>4258</v>
      </c>
      <c r="I40" s="222"/>
      <c r="J40" s="289"/>
      <c r="K40" s="291"/>
      <c r="L40" s="293"/>
    </row>
    <row r="41" spans="1:15" ht="19" customHeight="1">
      <c r="A41" s="66"/>
      <c r="B41" s="66"/>
      <c r="C41" s="66"/>
      <c r="D41" s="66"/>
      <c r="E41" s="66"/>
      <c r="F41" s="66"/>
      <c r="G41" s="67"/>
      <c r="H41" s="222"/>
      <c r="I41" s="222"/>
      <c r="J41" s="292"/>
      <c r="K41" s="291">
        <v>2564.294400180001</v>
      </c>
      <c r="L41" s="293"/>
    </row>
    <row r="42" spans="1:15" ht="19" customHeight="1">
      <c r="A42" s="66" t="s">
        <v>792</v>
      </c>
      <c r="B42" s="66"/>
      <c r="C42" s="66" t="s">
        <v>793</v>
      </c>
      <c r="D42" s="67">
        <f>$G$42*'F-14  '!B95</f>
        <v>2.4337667880000004E-2</v>
      </c>
      <c r="E42" s="67">
        <f>$G$42*'F-14  '!C95</f>
        <v>0.15850044239956151</v>
      </c>
      <c r="F42" s="67">
        <f>$G$42*'F-14  '!E95</f>
        <v>1.0340452837204386</v>
      </c>
      <c r="G42" s="2108">
        <f>'F-14  '!F24</f>
        <v>1.2168833940000001</v>
      </c>
      <c r="H42" s="222">
        <f>G42</f>
        <v>1.2168833940000001</v>
      </c>
      <c r="I42" s="222"/>
      <c r="J42" s="289"/>
      <c r="K42" s="291"/>
      <c r="L42" s="293"/>
    </row>
    <row r="43" spans="1:15" ht="19" customHeight="1">
      <c r="A43" s="66"/>
      <c r="B43" s="66"/>
      <c r="C43" s="66"/>
      <c r="D43" s="66"/>
      <c r="E43" s="66"/>
      <c r="F43" s="66"/>
      <c r="G43" s="67"/>
      <c r="H43" s="222"/>
      <c r="I43" s="222"/>
      <c r="J43" s="289"/>
      <c r="K43" s="291">
        <v>3.19505785186325</v>
      </c>
      <c r="L43" s="293"/>
    </row>
    <row r="44" spans="1:15" ht="19" customHeight="1">
      <c r="A44" s="66" t="s">
        <v>794</v>
      </c>
      <c r="B44" s="66"/>
      <c r="C44" s="66" t="s">
        <v>795</v>
      </c>
      <c r="D44" s="66"/>
      <c r="E44" s="66"/>
      <c r="F44" s="66"/>
      <c r="G44" s="67"/>
      <c r="H44" s="222"/>
      <c r="I44" s="222"/>
      <c r="J44" s="289"/>
      <c r="K44" s="291"/>
      <c r="L44" s="293"/>
    </row>
    <row r="45" spans="1:15" ht="19" customHeight="1">
      <c r="A45" s="66"/>
      <c r="B45" s="66"/>
      <c r="C45" s="66" t="s">
        <v>796</v>
      </c>
      <c r="D45" s="66"/>
      <c r="E45" s="66"/>
      <c r="F45" s="66"/>
      <c r="G45" s="67"/>
      <c r="H45" s="222"/>
      <c r="I45" s="222"/>
      <c r="J45" s="289"/>
      <c r="K45" s="291"/>
      <c r="L45" s="293"/>
    </row>
    <row r="46" spans="1:15" ht="19" customHeight="1">
      <c r="A46" s="66"/>
      <c r="B46" s="66"/>
      <c r="C46" s="66"/>
      <c r="D46" s="66"/>
      <c r="E46" s="66"/>
      <c r="F46" s="66"/>
      <c r="G46" s="67"/>
      <c r="H46" s="222"/>
      <c r="I46" s="222"/>
      <c r="J46" s="289"/>
      <c r="K46" s="291"/>
      <c r="L46" s="293"/>
    </row>
    <row r="47" spans="1:15" ht="19" customHeight="1">
      <c r="A47" s="66" t="s">
        <v>797</v>
      </c>
      <c r="B47" s="66"/>
      <c r="C47" s="66" t="s">
        <v>1518</v>
      </c>
      <c r="D47" s="66"/>
      <c r="E47" s="67">
        <f>G47*0.6</f>
        <v>37.256111861212837</v>
      </c>
      <c r="F47" s="67">
        <f>G47-E47</f>
        <v>24.837407907475232</v>
      </c>
      <c r="G47" s="2108">
        <f>+'F-19-A'!K46-'F-19-A'!L46</f>
        <v>62.093519768688068</v>
      </c>
      <c r="H47" s="222"/>
      <c r="I47" s="222"/>
      <c r="J47" s="289"/>
      <c r="K47" s="291"/>
      <c r="L47" s="293"/>
    </row>
    <row r="48" spans="1:15" ht="19" customHeight="1">
      <c r="A48" s="66"/>
      <c r="B48" s="66"/>
      <c r="C48" s="66"/>
      <c r="D48" s="66"/>
      <c r="E48" s="66"/>
      <c r="F48" s="66"/>
      <c r="G48" s="67"/>
      <c r="H48" s="222"/>
      <c r="I48" s="222"/>
      <c r="J48" s="289"/>
      <c r="K48" s="291">
        <v>1332.7480516003804</v>
      </c>
      <c r="L48" s="293"/>
    </row>
    <row r="49" spans="1:15" ht="19" customHeight="1">
      <c r="A49" s="66" t="s">
        <v>798</v>
      </c>
      <c r="B49" s="66"/>
      <c r="C49" s="66" t="s">
        <v>799</v>
      </c>
      <c r="D49" s="67">
        <f>$G$49*'F-14  '!B95</f>
        <v>0.14257877116000001</v>
      </c>
      <c r="E49" s="67">
        <f>$G$49*'F-14  '!C95</f>
        <v>0.92855233365300738</v>
      </c>
      <c r="F49" s="67">
        <f>$G$49*'F-14  '!E95</f>
        <v>6.0578074531869923</v>
      </c>
      <c r="G49" s="2108">
        <f>'F-14  '!F25+'F-14  '!F32+'F-14  '!F55</f>
        <v>7.1289385580000006</v>
      </c>
      <c r="H49" s="222">
        <f>G49</f>
        <v>7.1289385580000006</v>
      </c>
      <c r="I49" s="222"/>
      <c r="J49" s="289"/>
      <c r="K49" s="291"/>
      <c r="L49" s="293"/>
    </row>
    <row r="50" spans="1:15" ht="19" customHeight="1">
      <c r="A50" s="66"/>
      <c r="B50" s="66"/>
      <c r="C50" s="66"/>
      <c r="D50" s="66"/>
      <c r="E50" s="66"/>
      <c r="F50" s="66"/>
      <c r="G50" s="67"/>
      <c r="H50" s="222"/>
      <c r="I50" s="222"/>
      <c r="J50" s="289"/>
      <c r="K50" s="291">
        <v>22.784264389044409</v>
      </c>
      <c r="L50" s="293"/>
    </row>
    <row r="51" spans="1:15" ht="19" customHeight="1">
      <c r="A51" s="66" t="s">
        <v>800</v>
      </c>
      <c r="B51" s="66"/>
      <c r="C51" s="66" t="s">
        <v>1492</v>
      </c>
      <c r="D51" s="19">
        <f>+'F-12-A '!M82*$H$51</f>
        <v>0</v>
      </c>
      <c r="E51" s="19">
        <f>+'F-12-A '!N82*$H$51</f>
        <v>0</v>
      </c>
      <c r="F51" s="19">
        <f>+'F-12-A '!O82*$H$51</f>
        <v>0</v>
      </c>
      <c r="G51" s="133">
        <f>SUM(D51:F51)</f>
        <v>0</v>
      </c>
      <c r="H51" s="320"/>
      <c r="I51" s="225"/>
      <c r="J51" s="292">
        <f>+'F-12-A '!Q37</f>
        <v>139.02806712630479</v>
      </c>
      <c r="K51" s="229"/>
      <c r="L51" s="293"/>
    </row>
    <row r="52" spans="1:15" ht="19" customHeight="1">
      <c r="A52" s="66"/>
      <c r="B52" s="66"/>
      <c r="C52" s="66" t="s">
        <v>801</v>
      </c>
      <c r="D52" s="19">
        <f>+'F-12-A '!M82*$H$52</f>
        <v>0</v>
      </c>
      <c r="E52" s="19">
        <f>+'F-12-A '!N82*$H$52</f>
        <v>0</v>
      </c>
      <c r="F52" s="19">
        <f>+'F-12-A '!O82*$H$52</f>
        <v>0</v>
      </c>
      <c r="G52" s="133">
        <f>SUM(D52:F52)</f>
        <v>0</v>
      </c>
      <c r="H52" s="320"/>
      <c r="I52" s="225"/>
      <c r="J52" s="292">
        <f>+'F-12-A '!Q38</f>
        <v>0</v>
      </c>
      <c r="K52" s="285">
        <v>728.402643648447</v>
      </c>
      <c r="L52" s="293"/>
    </row>
    <row r="53" spans="1:15" ht="19" customHeight="1">
      <c r="A53" s="66"/>
      <c r="B53" s="68" t="s">
        <v>1420</v>
      </c>
      <c r="C53" s="66" t="s">
        <v>802</v>
      </c>
      <c r="D53" s="67">
        <f>$G$53*'F-14  '!B95</f>
        <v>0</v>
      </c>
      <c r="E53" s="67">
        <f>$G$53*'F-14  '!C95</f>
        <v>0</v>
      </c>
      <c r="F53" s="67">
        <f>$G$53*'F-14  '!E95</f>
        <v>0</v>
      </c>
      <c r="G53" s="67">
        <v>0</v>
      </c>
      <c r="H53" s="222"/>
      <c r="I53" s="222"/>
      <c r="J53" s="289"/>
      <c r="K53" s="291">
        <v>167.90201674131737</v>
      </c>
      <c r="L53" s="293"/>
    </row>
    <row r="54" spans="1:15" ht="19" customHeight="1">
      <c r="A54" s="66"/>
      <c r="B54" s="66"/>
      <c r="C54" s="66" t="s">
        <v>803</v>
      </c>
      <c r="D54" s="66"/>
      <c r="E54" s="66"/>
      <c r="F54" s="66"/>
      <c r="G54" s="67"/>
      <c r="H54" s="222"/>
      <c r="I54" s="222"/>
      <c r="J54" s="289"/>
      <c r="K54" s="291"/>
      <c r="L54" s="293"/>
    </row>
    <row r="55" spans="1:15" ht="19" customHeight="1">
      <c r="A55" s="66"/>
      <c r="B55" s="68" t="s">
        <v>518</v>
      </c>
      <c r="C55" s="66" t="s">
        <v>804</v>
      </c>
      <c r="D55" s="19">
        <v>0</v>
      </c>
      <c r="E55" s="19">
        <v>0</v>
      </c>
      <c r="F55" s="19">
        <v>0</v>
      </c>
      <c r="G55" s="67">
        <f>SUM(D55:F55)</f>
        <v>0</v>
      </c>
      <c r="H55" s="222"/>
      <c r="I55" s="222">
        <f>I56-H56</f>
        <v>-97.080483555399297</v>
      </c>
      <c r="J55" s="289"/>
      <c r="K55" s="291">
        <v>0</v>
      </c>
      <c r="L55" s="293"/>
    </row>
    <row r="56" spans="1:15" ht="19" customHeight="1">
      <c r="A56" s="66"/>
      <c r="B56" s="66" t="s">
        <v>1383</v>
      </c>
      <c r="C56" s="66" t="s">
        <v>1384</v>
      </c>
      <c r="D56" s="66"/>
      <c r="E56" s="228">
        <f>+G56*0.6</f>
        <v>-18.144000000000002</v>
      </c>
      <c r="F56" s="228">
        <f>+G56-E56</f>
        <v>-12.096</v>
      </c>
      <c r="G56" s="2110">
        <f>-'F-12-A '!Q40</f>
        <v>-30.240000000000002</v>
      </c>
      <c r="H56" s="222">
        <f>H57-G57</f>
        <v>151.21765578449867</v>
      </c>
      <c r="I56" s="222">
        <f>'F-6'!N23</f>
        <v>54.137172229099377</v>
      </c>
      <c r="J56" s="289"/>
      <c r="K56" s="229">
        <v>0</v>
      </c>
      <c r="L56" s="293"/>
    </row>
    <row r="57" spans="1:15" ht="19" customHeight="1">
      <c r="A57" s="69" t="s">
        <v>1102</v>
      </c>
      <c r="B57" s="66"/>
      <c r="C57" s="70" t="s">
        <v>805</v>
      </c>
      <c r="D57" s="71">
        <f>SUM(D8:D56)</f>
        <v>200.25631607368533</v>
      </c>
      <c r="E57" s="71">
        <f>SUM(E8:E56)</f>
        <v>330.02946917072745</v>
      </c>
      <c r="F57" s="71">
        <f>SUM(F8:F56)</f>
        <v>1589.4690772082108</v>
      </c>
      <c r="G57" s="71">
        <f>SUM(G8:G56)</f>
        <v>2173.3175652304499</v>
      </c>
      <c r="H57" s="226">
        <f>+'F-6'!N24+'F-6'!N11</f>
        <v>2324.5352210149485</v>
      </c>
      <c r="I57" s="226">
        <f>+G57-H57</f>
        <v>-151.21765578449867</v>
      </c>
      <c r="J57" s="289"/>
      <c r="K57" s="229"/>
      <c r="L57" s="293"/>
    </row>
    <row r="58" spans="1:15" ht="15.5">
      <c r="A58" s="13" t="s">
        <v>806</v>
      </c>
      <c r="E58" s="234"/>
      <c r="F58" s="234"/>
      <c r="G58" s="3"/>
      <c r="H58" s="3"/>
      <c r="I58" s="3">
        <f>+I57/2</f>
        <v>-75.608827892249337</v>
      </c>
      <c r="J58" s="289"/>
      <c r="K58" s="285">
        <v>38515.157973548296</v>
      </c>
      <c r="L58" s="293"/>
    </row>
    <row r="59" spans="1:15" ht="15.5">
      <c r="A59" s="13" t="s">
        <v>807</v>
      </c>
      <c r="G59" s="3"/>
      <c r="J59" s="289"/>
      <c r="K59" s="285"/>
      <c r="L59" s="293"/>
    </row>
    <row r="60" spans="1:15" ht="19" customHeight="1">
      <c r="A60" s="11"/>
      <c r="B60" s="11"/>
      <c r="C60" s="11"/>
      <c r="D60" s="11" t="s">
        <v>1494</v>
      </c>
      <c r="E60" s="11" t="s">
        <v>169</v>
      </c>
      <c r="F60" s="11" t="s">
        <v>1496</v>
      </c>
      <c r="G60" s="30" t="s">
        <v>1101</v>
      </c>
      <c r="H60" s="221"/>
      <c r="I60" s="221"/>
      <c r="J60" s="289"/>
      <c r="K60" s="229"/>
      <c r="L60" s="290"/>
      <c r="M60" s="32"/>
      <c r="N60" s="32"/>
      <c r="O60" s="3"/>
    </row>
    <row r="61" spans="1:15" ht="19" customHeight="1">
      <c r="A61" s="12" t="s">
        <v>1416</v>
      </c>
      <c r="B61" s="12"/>
      <c r="C61" s="46" t="s">
        <v>1217</v>
      </c>
      <c r="D61" s="12"/>
      <c r="E61" s="989">
        <f>G61*0.6</f>
        <v>110.1199608894439</v>
      </c>
      <c r="F61" s="989">
        <f>G61-E61</f>
        <v>73.413307259629264</v>
      </c>
      <c r="G61" s="990">
        <f>+Sheet2!C118</f>
        <v>183.53326814907317</v>
      </c>
      <c r="H61" s="140"/>
      <c r="I61" s="140"/>
      <c r="J61" s="289"/>
      <c r="K61" s="285"/>
      <c r="L61" s="293"/>
    </row>
    <row r="62" spans="1:15" ht="19" customHeight="1">
      <c r="A62" s="12"/>
      <c r="B62" s="12"/>
      <c r="C62" s="46"/>
      <c r="D62" s="12"/>
      <c r="E62" s="12"/>
      <c r="F62" s="305"/>
      <c r="G62" s="317"/>
      <c r="H62" s="91"/>
      <c r="I62" s="91"/>
      <c r="J62" s="289"/>
      <c r="K62" s="285"/>
      <c r="L62" s="293"/>
    </row>
    <row r="63" spans="1:15" ht="19" customHeight="1">
      <c r="A63" s="12" t="s">
        <v>1418</v>
      </c>
      <c r="B63" s="12"/>
      <c r="C63" s="12" t="s">
        <v>808</v>
      </c>
      <c r="D63" s="12"/>
      <c r="E63" s="12"/>
      <c r="F63" s="12"/>
      <c r="G63" s="12"/>
      <c r="J63" s="289"/>
      <c r="K63" s="285" t="s">
        <v>1101</v>
      </c>
      <c r="L63" s="293"/>
    </row>
    <row r="64" spans="1:15" ht="19" customHeight="1">
      <c r="A64" s="12"/>
      <c r="B64" s="12"/>
      <c r="C64" s="12"/>
      <c r="D64" s="12"/>
      <c r="E64" s="12"/>
      <c r="F64" s="12"/>
      <c r="G64" s="12"/>
      <c r="J64" s="289"/>
      <c r="K64" s="285"/>
      <c r="L64" s="293"/>
    </row>
    <row r="65" spans="1:12" ht="19" customHeight="1">
      <c r="A65" s="12" t="s">
        <v>521</v>
      </c>
      <c r="B65" s="12"/>
      <c r="C65" s="12" t="s">
        <v>810</v>
      </c>
      <c r="D65" s="12"/>
      <c r="E65" s="12"/>
      <c r="F65" s="12"/>
      <c r="G65" s="12"/>
      <c r="J65" s="289"/>
      <c r="K65" s="285"/>
      <c r="L65" s="293"/>
    </row>
    <row r="66" spans="1:12" ht="19" customHeight="1">
      <c r="A66" s="12"/>
      <c r="B66" s="12"/>
      <c r="C66" s="12" t="s">
        <v>811</v>
      </c>
      <c r="D66" s="12"/>
      <c r="E66" s="12"/>
      <c r="F66" s="12"/>
      <c r="G66" s="12"/>
      <c r="J66" s="289"/>
      <c r="K66" s="285"/>
      <c r="L66" s="293"/>
    </row>
    <row r="67" spans="1:12" ht="19" customHeight="1">
      <c r="A67" s="12"/>
      <c r="B67" s="12"/>
      <c r="C67" s="12" t="s">
        <v>812</v>
      </c>
      <c r="D67" s="12"/>
      <c r="E67" s="12"/>
      <c r="F67" s="12"/>
      <c r="G67" s="12"/>
      <c r="J67" s="289"/>
      <c r="K67" s="285"/>
      <c r="L67" s="293"/>
    </row>
    <row r="68" spans="1:12" ht="19" customHeight="1">
      <c r="A68" s="12"/>
      <c r="B68" s="12"/>
      <c r="C68" s="12"/>
      <c r="D68" s="12"/>
      <c r="E68" s="12"/>
      <c r="F68" s="12"/>
      <c r="G68" s="12"/>
      <c r="J68" s="289"/>
      <c r="K68" s="285"/>
      <c r="L68" s="293"/>
    </row>
    <row r="69" spans="1:12" ht="19" customHeight="1" thickBot="1">
      <c r="A69" s="12" t="s">
        <v>524</v>
      </c>
      <c r="B69" s="12"/>
      <c r="C69" s="12" t="s">
        <v>813</v>
      </c>
      <c r="D69" s="12"/>
      <c r="E69" s="19">
        <f>G69*0.6</f>
        <v>0</v>
      </c>
      <c r="F69" s="19">
        <f>G69-E69</f>
        <v>0</v>
      </c>
      <c r="G69" s="19">
        <f>+'F-19-A'!D46*0.375/100*0</f>
        <v>0</v>
      </c>
      <c r="H69" s="3"/>
      <c r="I69" s="3"/>
      <c r="J69" s="296"/>
      <c r="K69" s="297"/>
      <c r="L69" s="298"/>
    </row>
    <row r="70" spans="1:12" ht="19" customHeight="1">
      <c r="A70" s="12"/>
      <c r="B70" s="12"/>
      <c r="C70" s="12"/>
      <c r="D70" s="12"/>
      <c r="E70" s="12"/>
      <c r="F70" s="12"/>
      <c r="G70" s="12"/>
    </row>
    <row r="71" spans="1:12" ht="19" customHeight="1">
      <c r="A71" s="12" t="s">
        <v>737</v>
      </c>
      <c r="B71" s="12"/>
      <c r="C71" s="12" t="s">
        <v>814</v>
      </c>
      <c r="D71" s="12"/>
      <c r="E71" s="12"/>
      <c r="F71" s="12"/>
      <c r="G71" s="12"/>
    </row>
    <row r="72" spans="1:12" ht="19" customHeight="1">
      <c r="A72" s="12"/>
      <c r="B72" s="15" t="s">
        <v>1420</v>
      </c>
      <c r="C72" s="12" t="s">
        <v>815</v>
      </c>
      <c r="D72" s="12"/>
      <c r="E72" s="12"/>
      <c r="F72" s="12"/>
      <c r="G72" s="12"/>
    </row>
    <row r="73" spans="1:12" ht="19" customHeight="1">
      <c r="A73" s="12"/>
      <c r="B73" s="15" t="s">
        <v>518</v>
      </c>
      <c r="C73" s="12" t="s">
        <v>816</v>
      </c>
      <c r="D73" s="12"/>
      <c r="E73" s="19">
        <f>G73*0.6</f>
        <v>0</v>
      </c>
      <c r="F73" s="19">
        <f>G73-E73</f>
        <v>0</v>
      </c>
      <c r="G73" s="996">
        <v>0</v>
      </c>
    </row>
    <row r="74" spans="1:12" ht="19" customHeight="1">
      <c r="A74" s="12"/>
      <c r="B74" s="12"/>
      <c r="C74" s="12"/>
      <c r="D74" s="12"/>
      <c r="E74" s="12"/>
      <c r="F74" s="12"/>
      <c r="G74" s="12"/>
    </row>
    <row r="75" spans="1:12" ht="19" customHeight="1">
      <c r="A75" s="12" t="s">
        <v>739</v>
      </c>
      <c r="B75" s="12"/>
      <c r="C75" s="12" t="s">
        <v>553</v>
      </c>
      <c r="D75" s="12"/>
      <c r="E75" s="12"/>
      <c r="F75" s="12"/>
      <c r="G75" s="12"/>
    </row>
    <row r="76" spans="1:12" ht="19" customHeight="1">
      <c r="A76" s="12"/>
      <c r="B76" s="12"/>
      <c r="C76" s="12" t="s">
        <v>390</v>
      </c>
      <c r="D76" s="12"/>
      <c r="E76" s="19">
        <f>G76*0.6</f>
        <v>0</v>
      </c>
      <c r="F76" s="19">
        <f>G76-E76</f>
        <v>0</v>
      </c>
      <c r="G76" s="603">
        <v>0</v>
      </c>
      <c r="K76" s="91"/>
    </row>
    <row r="77" spans="1:12" ht="19" customHeight="1">
      <c r="A77" s="16" t="s">
        <v>543</v>
      </c>
      <c r="B77" s="12"/>
      <c r="C77" s="10" t="s">
        <v>391</v>
      </c>
      <c r="D77" s="308">
        <f>SUM(D61:D76)</f>
        <v>0</v>
      </c>
      <c r="E77" s="308">
        <f>SUM(E61:E76)</f>
        <v>110.1199608894439</v>
      </c>
      <c r="F77" s="308">
        <f>SUM(F61:F76)</f>
        <v>73.413307259629264</v>
      </c>
      <c r="G77" s="308">
        <f>SUM(G61:G76)</f>
        <v>183.53326814907317</v>
      </c>
      <c r="H77" s="227"/>
      <c r="I77" s="227"/>
      <c r="K77" s="140"/>
    </row>
    <row r="78" spans="1:12" ht="19" customHeight="1">
      <c r="A78" s="61"/>
      <c r="B78" s="61"/>
      <c r="C78" s="62" t="s">
        <v>392</v>
      </c>
      <c r="D78" s="306">
        <f>D77+D57</f>
        <v>200.25631607368533</v>
      </c>
      <c r="E78" s="306">
        <f>E77+E57</f>
        <v>440.14943006017137</v>
      </c>
      <c r="F78" s="306">
        <f>F77+F57</f>
        <v>1662.88238446784</v>
      </c>
      <c r="G78" s="20">
        <f>G77+G57</f>
        <v>2356.850833379523</v>
      </c>
      <c r="H78" s="229">
        <f>+'F-6'!N8+'F-6'!N24+'F-6'!N28+'F-6'!N26</f>
        <v>2189.9517136363429</v>
      </c>
      <c r="I78" s="3">
        <f>+G78-H78</f>
        <v>166.89911974318011</v>
      </c>
      <c r="K78" s="140"/>
    </row>
    <row r="79" spans="1:12" ht="19" customHeight="1">
      <c r="A79" s="52"/>
      <c r="B79" s="50"/>
      <c r="C79" s="50"/>
      <c r="D79" s="50"/>
      <c r="E79" s="50"/>
      <c r="F79" s="50"/>
      <c r="G79" s="134"/>
      <c r="H79" s="3"/>
      <c r="I79" s="3"/>
    </row>
    <row r="80" spans="1:12" ht="19" customHeight="1">
      <c r="A80" s="47"/>
      <c r="G80" s="135"/>
      <c r="H80" s="3"/>
      <c r="I80" s="3"/>
      <c r="K80" s="3"/>
    </row>
    <row r="81" spans="1:11" ht="19" customHeight="1">
      <c r="A81" s="47"/>
      <c r="B81" t="s">
        <v>1102</v>
      </c>
      <c r="C81" t="s">
        <v>170</v>
      </c>
      <c r="D81" s="3">
        <f>D78-D84</f>
        <v>36.33082018828415</v>
      </c>
      <c r="E81" s="3">
        <f>E78-E84</f>
        <v>318.39580947337788</v>
      </c>
      <c r="F81" s="3">
        <f>F78-F84</f>
        <v>728.6301301705887</v>
      </c>
      <c r="G81" s="135">
        <f>G78-G84</f>
        <v>1136.9194626100771</v>
      </c>
      <c r="H81" s="3"/>
      <c r="I81" s="3"/>
    </row>
    <row r="82" spans="1:11" ht="19" customHeight="1">
      <c r="A82" s="47"/>
      <c r="C82" t="s">
        <v>171</v>
      </c>
      <c r="G82" s="136"/>
      <c r="H82" s="2"/>
      <c r="I82" s="2"/>
      <c r="K82" s="3"/>
    </row>
    <row r="83" spans="1:11" ht="19" customHeight="1">
      <c r="A83" s="47"/>
      <c r="C83" t="s">
        <v>1602</v>
      </c>
      <c r="D83" s="2">
        <f>'T-1'!O59</f>
        <v>642.47199999999998</v>
      </c>
      <c r="E83" s="2">
        <f>'T-1'!O49/0.82</f>
        <v>477.18807683414633</v>
      </c>
      <c r="F83" s="2">
        <f>G83-D83-E83</f>
        <v>3661.6080438303479</v>
      </c>
      <c r="G83" s="135">
        <f>'T-1'!O62</f>
        <v>4781.2681206644938</v>
      </c>
      <c r="H83" s="3"/>
      <c r="I83" s="3"/>
    </row>
    <row r="84" spans="1:11" ht="19" customHeight="1">
      <c r="A84" s="47"/>
      <c r="C84" s="608" t="s">
        <v>4422</v>
      </c>
      <c r="D84" s="3">
        <f>D83*'F-4'!I37/10</f>
        <v>163.92549588540118</v>
      </c>
      <c r="E84" s="3">
        <f>E83*'F-4'!I37/10</f>
        <v>121.75362058679346</v>
      </c>
      <c r="F84" s="3">
        <f>F83*'F-4'!I37/10</f>
        <v>934.25225429725128</v>
      </c>
      <c r="G84" s="135">
        <f>+'F-4'!I39</f>
        <v>1219.9313707694459</v>
      </c>
      <c r="H84" s="3"/>
      <c r="I84" s="3"/>
    </row>
    <row r="85" spans="1:11" ht="19" customHeight="1">
      <c r="A85" s="47"/>
      <c r="F85" s="3"/>
      <c r="G85" s="137"/>
      <c r="J85" s="36"/>
    </row>
    <row r="86" spans="1:11" ht="19" customHeight="1">
      <c r="A86" s="47"/>
      <c r="B86" t="s">
        <v>543</v>
      </c>
      <c r="C86" t="s">
        <v>173</v>
      </c>
      <c r="G86" s="137"/>
    </row>
    <row r="87" spans="1:11" ht="19" customHeight="1">
      <c r="A87" s="47"/>
      <c r="G87" s="137"/>
    </row>
    <row r="88" spans="1:11" ht="19" customHeight="1">
      <c r="A88" s="47"/>
      <c r="B88" t="s">
        <v>544</v>
      </c>
      <c r="C88" t="s">
        <v>174</v>
      </c>
      <c r="G88" s="137"/>
    </row>
    <row r="89" spans="1:11" ht="19" customHeight="1">
      <c r="A89" s="47"/>
      <c r="G89" s="137"/>
    </row>
    <row r="90" spans="1:11" ht="19" customHeight="1">
      <c r="A90" s="47"/>
      <c r="B90" t="s">
        <v>545</v>
      </c>
      <c r="C90" t="s">
        <v>175</v>
      </c>
      <c r="D90" t="s">
        <v>979</v>
      </c>
      <c r="G90" s="137"/>
    </row>
    <row r="91" spans="1:11" ht="19" customHeight="1">
      <c r="A91" s="47"/>
      <c r="G91" s="137"/>
    </row>
    <row r="92" spans="1:11" ht="19" customHeight="1">
      <c r="A92" s="47"/>
      <c r="B92" t="s">
        <v>1404</v>
      </c>
      <c r="C92" t="s">
        <v>1079</v>
      </c>
      <c r="D92" t="s">
        <v>979</v>
      </c>
      <c r="G92" s="137"/>
    </row>
    <row r="93" spans="1:11" ht="19" customHeight="1">
      <c r="A93" s="47"/>
      <c r="G93" s="137"/>
    </row>
    <row r="94" spans="1:11" ht="19" customHeight="1">
      <c r="A94" s="47"/>
      <c r="B94" t="s">
        <v>1405</v>
      </c>
      <c r="C94" s="98" t="s">
        <v>1388</v>
      </c>
      <c r="D94" t="s">
        <v>1390</v>
      </c>
      <c r="G94" s="137"/>
    </row>
    <row r="95" spans="1:11" ht="19" customHeight="1">
      <c r="A95" s="47"/>
      <c r="G95" s="137"/>
    </row>
    <row r="96" spans="1:11" ht="19" customHeight="1">
      <c r="A96" s="47"/>
      <c r="B96" t="s">
        <v>1406</v>
      </c>
      <c r="C96" t="s">
        <v>118</v>
      </c>
      <c r="D96" t="s">
        <v>979</v>
      </c>
      <c r="G96" s="137"/>
    </row>
    <row r="97" spans="1:9" ht="19" customHeight="1">
      <c r="A97" s="47"/>
      <c r="G97" s="137"/>
    </row>
    <row r="98" spans="1:9" ht="19" customHeight="1">
      <c r="A98" s="47"/>
      <c r="B98" t="s">
        <v>1407</v>
      </c>
      <c r="C98" t="s">
        <v>1601</v>
      </c>
      <c r="D98" t="s">
        <v>979</v>
      </c>
      <c r="G98" s="137"/>
    </row>
    <row r="99" spans="1:9" ht="19" customHeight="1">
      <c r="A99" s="48"/>
      <c r="B99" s="49"/>
      <c r="C99" s="49"/>
      <c r="D99" s="49"/>
      <c r="E99" s="49"/>
      <c r="F99" s="49"/>
      <c r="G99" s="138"/>
    </row>
    <row r="100" spans="1:9" ht="0.75" customHeight="1">
      <c r="A100" s="65"/>
      <c r="B100" s="3557"/>
      <c r="C100" s="3557"/>
      <c r="D100" s="3557"/>
      <c r="E100" s="3557"/>
      <c r="F100" s="3557"/>
      <c r="G100" s="3557"/>
      <c r="H100" s="220"/>
      <c r="I100" s="220"/>
    </row>
    <row r="101" spans="1:9" ht="10.5" customHeight="1">
      <c r="A101" s="47"/>
      <c r="B101" s="3557"/>
      <c r="C101" s="3557"/>
      <c r="D101" s="3557"/>
      <c r="E101" s="3557"/>
      <c r="F101" s="3557"/>
      <c r="G101" s="3557"/>
      <c r="H101" s="220"/>
      <c r="I101" s="220"/>
    </row>
    <row r="102" spans="1:9" ht="18.75" hidden="1" customHeight="1">
      <c r="A102" s="48"/>
      <c r="B102" s="49"/>
      <c r="C102" s="49"/>
      <c r="D102" s="49"/>
      <c r="E102" s="49"/>
      <c r="F102" s="49"/>
      <c r="G102" s="139"/>
      <c r="H102" s="3"/>
      <c r="I102" s="3"/>
    </row>
    <row r="103" spans="1:9">
      <c r="G103" s="3"/>
      <c r="H103" s="3"/>
      <c r="I103" s="3"/>
    </row>
    <row r="104" spans="1:9">
      <c r="G104" s="3"/>
      <c r="H104" s="3"/>
      <c r="I104" s="3"/>
    </row>
    <row r="105" spans="1:9">
      <c r="G105" s="3"/>
      <c r="H105" s="3"/>
      <c r="I105" s="3"/>
    </row>
    <row r="106" spans="1:9">
      <c r="G106" s="3"/>
      <c r="H106" s="3"/>
      <c r="I106" s="3"/>
    </row>
    <row r="109" spans="1:9">
      <c r="F109" s="231"/>
    </row>
    <row r="110" spans="1:9">
      <c r="G110" s="3"/>
      <c r="H110" s="3"/>
      <c r="I110" s="3"/>
    </row>
  </sheetData>
  <mergeCells count="4">
    <mergeCell ref="A3:G3"/>
    <mergeCell ref="A1:G1"/>
    <mergeCell ref="B100:G100"/>
    <mergeCell ref="B101:G101"/>
  </mergeCells>
  <phoneticPr fontId="0" type="noConversion"/>
  <printOptions horizontalCentered="1"/>
  <pageMargins left="0.5" right="0.25" top="0" bottom="0" header="0.25" footer="0.25"/>
  <pageSetup paperSize="9" scale="79" orientation="portrait" r:id="rId1"/>
  <headerFooter alignWithMargins="0">
    <oddFooter>&amp;C&amp;ROERC FORM -F-12</oddFooter>
  </headerFooter>
  <rowBreaks count="1" manualBreakCount="1">
    <brk id="57" max="6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C00000"/>
    <pageSetUpPr fitToPage="1"/>
  </sheetPr>
  <dimension ref="A1:L2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3" sqref="B23"/>
    </sheetView>
  </sheetViews>
  <sheetFormatPr defaultColWidth="9.1796875" defaultRowHeight="12.5"/>
  <cols>
    <col min="1" max="1" width="19.7265625" customWidth="1"/>
    <col min="2" max="6" width="16.54296875" style="384" bestFit="1" customWidth="1"/>
    <col min="7" max="8" width="17.26953125" style="384" bestFit="1" customWidth="1"/>
    <col min="9" max="10" width="15" style="384" bestFit="1" customWidth="1"/>
    <col min="12" max="12" width="16.54296875" bestFit="1" customWidth="1"/>
  </cols>
  <sheetData>
    <row r="1" spans="1:12" ht="25.5" customHeight="1">
      <c r="A1" s="3477" t="s">
        <v>4396</v>
      </c>
      <c r="B1" s="3477"/>
      <c r="C1" s="3477"/>
      <c r="D1" s="3477"/>
      <c r="E1" s="3477"/>
      <c r="F1" s="3477"/>
      <c r="G1" s="3477"/>
      <c r="H1" s="3477"/>
      <c r="I1" s="3477"/>
      <c r="J1" s="3477"/>
    </row>
    <row r="2" spans="1:12" s="7" customFormat="1" ht="30" customHeight="1">
      <c r="A2" s="24" t="s">
        <v>4397</v>
      </c>
      <c r="B2" s="24" t="s">
        <v>4398</v>
      </c>
      <c r="C2" s="24" t="s">
        <v>4394</v>
      </c>
      <c r="D2" s="24" t="s">
        <v>4393</v>
      </c>
      <c r="E2" s="24" t="s">
        <v>4399</v>
      </c>
      <c r="F2" s="24" t="s">
        <v>4394</v>
      </c>
      <c r="G2" s="24" t="s">
        <v>4393</v>
      </c>
      <c r="H2" s="24" t="s">
        <v>4400</v>
      </c>
      <c r="I2" s="24" t="s">
        <v>4401</v>
      </c>
      <c r="J2" s="24" t="s">
        <v>4402</v>
      </c>
    </row>
    <row r="3" spans="1:12" ht="30" customHeight="1">
      <c r="A3" s="1278" t="s">
        <v>4403</v>
      </c>
      <c r="B3" s="404">
        <v>725944260</v>
      </c>
      <c r="C3" s="404">
        <v>0</v>
      </c>
      <c r="D3" s="404">
        <v>36297213</v>
      </c>
      <c r="E3" s="405">
        <f>B3+C3-D3</f>
        <v>689647047</v>
      </c>
      <c r="F3" s="404">
        <v>0</v>
      </c>
      <c r="G3" s="404">
        <v>72594426</v>
      </c>
      <c r="H3" s="405">
        <f>E3+F3-G3</f>
        <v>617052621</v>
      </c>
      <c r="I3" s="404">
        <v>93610015.104904115</v>
      </c>
      <c r="J3" s="404">
        <v>85749928.213068485</v>
      </c>
    </row>
    <row r="4" spans="1:12" ht="30" customHeight="1">
      <c r="A4" s="1278" t="s">
        <v>226</v>
      </c>
      <c r="B4" s="404">
        <f>66250000</f>
        <v>66250000</v>
      </c>
      <c r="C4" s="404">
        <v>0</v>
      </c>
      <c r="D4" s="404">
        <v>3312500</v>
      </c>
      <c r="E4" s="405">
        <f t="shared" ref="E4:E12" si="0">B4+C4-D4</f>
        <v>62937500</v>
      </c>
      <c r="F4" s="404"/>
      <c r="G4" s="404">
        <v>3312500</v>
      </c>
      <c r="H4" s="405">
        <f t="shared" ref="H4:H14" si="1">E4+F4-G4</f>
        <v>59625000</v>
      </c>
      <c r="I4" s="404">
        <v>7851986.3013698626</v>
      </c>
      <c r="J4" s="404">
        <v>7221431.506849315</v>
      </c>
    </row>
    <row r="5" spans="1:12" ht="30" customHeight="1">
      <c r="A5" s="624" t="s">
        <v>4404</v>
      </c>
      <c r="B5" s="404">
        <v>504126749</v>
      </c>
      <c r="C5" s="404">
        <v>862573251</v>
      </c>
      <c r="D5" s="404"/>
      <c r="E5" s="405">
        <f t="shared" si="0"/>
        <v>1366700000</v>
      </c>
      <c r="F5" s="404">
        <v>0</v>
      </c>
      <c r="G5" s="404"/>
      <c r="H5" s="405">
        <f t="shared" si="1"/>
        <v>1366700000</v>
      </c>
      <c r="I5" s="404"/>
      <c r="J5" s="404"/>
      <c r="L5" s="1279">
        <f>960100000-B5</f>
        <v>455973251</v>
      </c>
    </row>
    <row r="6" spans="1:12" ht="30" customHeight="1">
      <c r="A6" s="624" t="s">
        <v>4405</v>
      </c>
      <c r="B6" s="404">
        <v>0</v>
      </c>
      <c r="C6" s="404">
        <v>1093300000</v>
      </c>
      <c r="D6" s="404">
        <v>0</v>
      </c>
      <c r="E6" s="405">
        <f t="shared" si="0"/>
        <v>1093300000</v>
      </c>
      <c r="F6" s="404">
        <v>0</v>
      </c>
      <c r="G6" s="404">
        <v>0</v>
      </c>
      <c r="H6" s="405">
        <f>E6+F6-G6</f>
        <v>1093300000</v>
      </c>
      <c r="I6" s="404">
        <v>21866000</v>
      </c>
      <c r="J6" s="404">
        <v>43732000</v>
      </c>
      <c r="L6">
        <v>756264760</v>
      </c>
    </row>
    <row r="7" spans="1:12" ht="30" customHeight="1">
      <c r="A7" s="624" t="s">
        <v>4406</v>
      </c>
      <c r="B7" s="404">
        <v>0</v>
      </c>
      <c r="C7" s="404">
        <v>615000000</v>
      </c>
      <c r="D7" s="404">
        <v>0</v>
      </c>
      <c r="E7" s="405">
        <f t="shared" si="0"/>
        <v>615000000</v>
      </c>
      <c r="F7" s="404">
        <v>1845000000</v>
      </c>
      <c r="G7" s="404">
        <v>0</v>
      </c>
      <c r="H7" s="405">
        <f>E7+F7-G7</f>
        <v>2460000000</v>
      </c>
      <c r="I7" s="404">
        <v>41512500</v>
      </c>
      <c r="J7" s="404">
        <v>207562500</v>
      </c>
    </row>
    <row r="8" spans="1:12" ht="30" customHeight="1">
      <c r="A8" s="1278" t="s">
        <v>4395</v>
      </c>
      <c r="B8" s="404">
        <f>3443807726-B9</f>
        <v>2304103823</v>
      </c>
      <c r="C8" s="404">
        <v>0</v>
      </c>
      <c r="D8" s="404">
        <v>300000000</v>
      </c>
      <c r="E8" s="405">
        <f t="shared" si="0"/>
        <v>2004103823</v>
      </c>
      <c r="F8" s="404">
        <v>0</v>
      </c>
      <c r="G8" s="404">
        <v>1200000000</v>
      </c>
      <c r="H8" s="405">
        <f t="shared" si="1"/>
        <v>804103823</v>
      </c>
      <c r="I8" s="404">
        <v>193752937</v>
      </c>
      <c r="J8" s="404">
        <v>123726908</v>
      </c>
      <c r="L8" s="234">
        <f>+C5+C7-17300000</f>
        <v>1460273251</v>
      </c>
    </row>
    <row r="9" spans="1:12" ht="30" customHeight="1">
      <c r="A9" s="1278" t="s">
        <v>4407</v>
      </c>
      <c r="B9" s="404">
        <v>1139703903</v>
      </c>
      <c r="C9" s="404">
        <v>0</v>
      </c>
      <c r="D9" s="404">
        <v>300000000</v>
      </c>
      <c r="E9" s="405">
        <f t="shared" si="0"/>
        <v>839703903</v>
      </c>
      <c r="F9" s="404">
        <v>0</v>
      </c>
      <c r="G9" s="404">
        <v>839703903</v>
      </c>
      <c r="H9" s="405">
        <f t="shared" si="1"/>
        <v>0</v>
      </c>
      <c r="I9" s="404">
        <v>94778939</v>
      </c>
      <c r="J9" s="404">
        <v>28112546</v>
      </c>
    </row>
    <row r="10" spans="1:12" ht="30" customHeight="1">
      <c r="A10" s="624" t="s">
        <v>4408</v>
      </c>
      <c r="B10" s="404">
        <v>21805607</v>
      </c>
      <c r="C10" s="404"/>
      <c r="D10" s="404">
        <v>5132940</v>
      </c>
      <c r="E10" s="405">
        <f t="shared" si="0"/>
        <v>16672667</v>
      </c>
      <c r="F10" s="404"/>
      <c r="G10" s="404">
        <v>5132940</v>
      </c>
      <c r="H10" s="405">
        <f t="shared" si="1"/>
        <v>11539727</v>
      </c>
      <c r="I10" s="404">
        <v>2029575</v>
      </c>
      <c r="J10" s="404">
        <v>1494480</v>
      </c>
      <c r="L10">
        <f>52.14-50.41</f>
        <v>1.730000000000004</v>
      </c>
    </row>
    <row r="11" spans="1:12" ht="30" customHeight="1">
      <c r="A11" s="624" t="s">
        <v>4409</v>
      </c>
      <c r="B11" s="404">
        <v>59456037</v>
      </c>
      <c r="C11" s="404"/>
      <c r="D11" s="404">
        <v>21398754</v>
      </c>
      <c r="E11" s="405">
        <f t="shared" si="0"/>
        <v>38057283</v>
      </c>
      <c r="F11" s="404"/>
      <c r="G11" s="404">
        <v>21398754</v>
      </c>
      <c r="H11" s="405">
        <f t="shared" si="1"/>
        <v>16658529</v>
      </c>
      <c r="I11" s="404">
        <v>6391736</v>
      </c>
      <c r="J11" s="404">
        <v>3773905</v>
      </c>
    </row>
    <row r="12" spans="1:12" ht="30" customHeight="1">
      <c r="A12" s="624" t="s">
        <v>4410</v>
      </c>
      <c r="B12" s="404">
        <v>282507493</v>
      </c>
      <c r="C12" s="404">
        <v>142000000</v>
      </c>
      <c r="D12" s="404">
        <v>20000000</v>
      </c>
      <c r="E12" s="405">
        <f t="shared" si="0"/>
        <v>404507493</v>
      </c>
      <c r="F12" s="404">
        <v>0</v>
      </c>
      <c r="G12" s="404">
        <v>60000000</v>
      </c>
      <c r="H12" s="405">
        <f t="shared" si="1"/>
        <v>344507493</v>
      </c>
      <c r="I12" s="404">
        <v>31560341</v>
      </c>
      <c r="J12" s="404">
        <v>34032265</v>
      </c>
    </row>
    <row r="13" spans="1:12" ht="30" customHeight="1">
      <c r="A13" s="624" t="s">
        <v>4411</v>
      </c>
      <c r="B13" s="404">
        <v>279827980</v>
      </c>
      <c r="C13" s="404">
        <v>63998531</v>
      </c>
      <c r="D13" s="404"/>
      <c r="E13" s="405">
        <f>B13+C13-D13</f>
        <v>343826511</v>
      </c>
      <c r="F13" s="404">
        <v>60000000</v>
      </c>
      <c r="G13" s="404"/>
      <c r="H13" s="405">
        <f t="shared" si="1"/>
        <v>403826511</v>
      </c>
      <c r="I13" s="404">
        <v>46797214.153854169</v>
      </c>
      <c r="J13" s="404">
        <v>65937880.152500004</v>
      </c>
    </row>
    <row r="14" spans="1:12" ht="30" customHeight="1">
      <c r="A14" s="624" t="s">
        <v>4412</v>
      </c>
      <c r="B14" s="404">
        <v>119035114</v>
      </c>
      <c r="C14" s="404">
        <v>33000000</v>
      </c>
      <c r="D14" s="404">
        <v>35000000</v>
      </c>
      <c r="E14" s="405">
        <f>B14+C14-D14</f>
        <v>117035114</v>
      </c>
      <c r="F14" s="404">
        <v>0</v>
      </c>
      <c r="G14" s="404">
        <v>60000000</v>
      </c>
      <c r="H14" s="405">
        <f t="shared" si="1"/>
        <v>57035114</v>
      </c>
      <c r="I14" s="404">
        <v>15626888</v>
      </c>
      <c r="J14" s="404">
        <v>10785157</v>
      </c>
    </row>
    <row r="15" spans="1:12" ht="30" customHeight="1">
      <c r="A15" s="624" t="s">
        <v>4413</v>
      </c>
      <c r="B15" s="404"/>
      <c r="C15" s="404"/>
      <c r="D15" s="404"/>
      <c r="E15" s="405"/>
      <c r="F15" s="404"/>
      <c r="G15" s="404"/>
      <c r="H15" s="405"/>
      <c r="I15" s="404"/>
      <c r="J15" s="404"/>
    </row>
    <row r="16" spans="1:12" ht="30" customHeight="1">
      <c r="A16" s="624"/>
      <c r="B16" s="404"/>
      <c r="C16" s="404"/>
      <c r="D16" s="404"/>
      <c r="E16" s="405"/>
      <c r="F16" s="404"/>
      <c r="G16" s="404"/>
      <c r="H16" s="405"/>
      <c r="I16" s="404"/>
      <c r="J16" s="404"/>
    </row>
    <row r="17" spans="1:10" s="1" customFormat="1" ht="30" customHeight="1">
      <c r="A17" s="14" t="s">
        <v>1101</v>
      </c>
      <c r="B17" s="405">
        <f>SUM(B3:B16)</f>
        <v>5502760966</v>
      </c>
      <c r="C17" s="405">
        <f t="shared" ref="C17:J17" si="2">SUM(C3:C16)</f>
        <v>2809871782</v>
      </c>
      <c r="D17" s="405">
        <f t="shared" si="2"/>
        <v>721141407</v>
      </c>
      <c r="E17" s="405">
        <f t="shared" si="2"/>
        <v>7591491341</v>
      </c>
      <c r="F17" s="405">
        <f t="shared" si="2"/>
        <v>1905000000</v>
      </c>
      <c r="G17" s="405">
        <f t="shared" si="2"/>
        <v>2262142523</v>
      </c>
      <c r="H17" s="405">
        <f t="shared" si="2"/>
        <v>7234348818</v>
      </c>
      <c r="I17" s="405">
        <f t="shared" si="2"/>
        <v>555778131.56012809</v>
      </c>
      <c r="J17" s="405">
        <f t="shared" si="2"/>
        <v>612129000.87241781</v>
      </c>
    </row>
    <row r="22" spans="1:10">
      <c r="C22" s="500">
        <f>+C13</f>
        <v>63998531</v>
      </c>
      <c r="D22" s="500">
        <f>+D13</f>
        <v>0</v>
      </c>
      <c r="F22" s="500">
        <f>+F13</f>
        <v>60000000</v>
      </c>
      <c r="G22" s="500">
        <f>+G13</f>
        <v>0</v>
      </c>
    </row>
    <row r="24" spans="1:10">
      <c r="C24" s="384">
        <v>63998531</v>
      </c>
      <c r="F24" s="384">
        <v>60000000</v>
      </c>
    </row>
  </sheetData>
  <mergeCells count="1">
    <mergeCell ref="A1:J1"/>
  </mergeCells>
  <printOptions gridLines="1"/>
  <pageMargins left="0.7" right="0.7" top="0.75" bottom="0.75" header="0.3" footer="0.3"/>
  <pageSetup scale="75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35"/>
  <dimension ref="A1:K88"/>
  <sheetViews>
    <sheetView showGridLines="0" topLeftCell="A4" workbookViewId="0">
      <pane xSplit="2" ySplit="5" topLeftCell="C9" activePane="bottomRight" state="frozen"/>
      <selection activeCell="I39" sqref="I39"/>
      <selection pane="topRight" activeCell="I39" sqref="I39"/>
      <selection pane="bottomLeft" activeCell="I39" sqref="I39"/>
      <selection pane="bottomRight" sqref="A1:G1"/>
    </sheetView>
  </sheetViews>
  <sheetFormatPr defaultColWidth="14.7265625" defaultRowHeight="12.5"/>
  <cols>
    <col min="1" max="1" width="6.26953125" customWidth="1"/>
    <col min="2" max="2" width="7" customWidth="1"/>
    <col min="3" max="3" width="50.7265625" customWidth="1"/>
    <col min="4" max="4" width="14.7265625" customWidth="1"/>
    <col min="5" max="5" width="13.1796875" customWidth="1"/>
    <col min="6" max="6" width="14.54296875" customWidth="1"/>
    <col min="7" max="7" width="17" customWidth="1"/>
    <col min="10" max="10" width="16.453125" bestFit="1" customWidth="1"/>
  </cols>
  <sheetData>
    <row r="1" spans="1:11">
      <c r="A1" s="3557" t="s">
        <v>1366</v>
      </c>
      <c r="B1" s="3557"/>
      <c r="C1" s="3557"/>
      <c r="D1" s="3557"/>
      <c r="E1" s="3557"/>
      <c r="F1" s="3557"/>
      <c r="G1" s="3557"/>
    </row>
    <row r="2" spans="1:11" ht="15.5">
      <c r="A2" s="33"/>
      <c r="G2" s="8"/>
    </row>
    <row r="3" spans="1:11" ht="27" customHeight="1">
      <c r="A3" s="3557" t="s">
        <v>632</v>
      </c>
      <c r="B3" s="3557"/>
      <c r="C3" s="3557"/>
      <c r="D3" s="3557"/>
      <c r="E3" s="3557"/>
      <c r="F3" s="3557"/>
      <c r="G3" s="3557"/>
    </row>
    <row r="4" spans="1:11" ht="27" customHeight="1">
      <c r="A4" s="3557" t="s">
        <v>633</v>
      </c>
      <c r="B4" s="3557"/>
      <c r="C4" s="3557"/>
      <c r="D4" s="3557"/>
      <c r="E4" s="3557"/>
      <c r="F4" s="3557"/>
      <c r="G4" s="3557"/>
    </row>
    <row r="5" spans="1:11" ht="27" customHeight="1">
      <c r="A5" s="3557" t="s">
        <v>634</v>
      </c>
      <c r="B5" s="3557"/>
      <c r="C5" s="3557"/>
      <c r="D5" s="3557"/>
      <c r="E5" s="3557"/>
      <c r="F5" s="3557"/>
      <c r="G5" s="3557"/>
    </row>
    <row r="6" spans="1:11" ht="15.75" customHeight="1">
      <c r="A6" s="9"/>
      <c r="B6" s="9"/>
      <c r="C6" s="9"/>
      <c r="D6" s="9"/>
      <c r="E6" s="9"/>
      <c r="F6" s="9"/>
      <c r="G6" s="9"/>
    </row>
    <row r="7" spans="1:11" ht="18" customHeight="1">
      <c r="A7" s="3557" t="s">
        <v>635</v>
      </c>
      <c r="B7" s="3557"/>
      <c r="C7" s="3557" t="s">
        <v>636</v>
      </c>
      <c r="D7" s="3557" t="s">
        <v>1494</v>
      </c>
      <c r="E7" s="3557" t="s">
        <v>169</v>
      </c>
      <c r="F7" s="3557" t="s">
        <v>1496</v>
      </c>
      <c r="G7" s="3557" t="s">
        <v>665</v>
      </c>
    </row>
    <row r="8" spans="1:11" ht="8.25" customHeight="1">
      <c r="A8" s="3557"/>
      <c r="B8" s="3557"/>
      <c r="C8" s="3557"/>
      <c r="D8" s="3557"/>
      <c r="E8" s="3557"/>
      <c r="F8" s="3557"/>
      <c r="G8" s="3557"/>
    </row>
    <row r="9" spans="1:11" ht="34.5" customHeight="1">
      <c r="A9" s="78"/>
      <c r="B9" s="168" t="s">
        <v>637</v>
      </c>
      <c r="C9" s="303" t="s">
        <v>440</v>
      </c>
      <c r="D9" s="92" t="e">
        <f>+#REF!</f>
        <v>#REF!</v>
      </c>
      <c r="E9" s="92" t="e">
        <f>+#REF!</f>
        <v>#REF!</v>
      </c>
      <c r="F9" s="92" t="e">
        <f>+#REF!</f>
        <v>#REF!</v>
      </c>
      <c r="G9" s="92" t="e">
        <f>+D9+E9+F9</f>
        <v>#REF!</v>
      </c>
      <c r="H9" s="3">
        <f>+'F-6'!N40</f>
        <v>1985.8102454011964</v>
      </c>
      <c r="I9" s="3" t="e">
        <f>+G9-H9</f>
        <v>#REF!</v>
      </c>
      <c r="J9" s="3"/>
      <c r="K9" s="3"/>
    </row>
    <row r="10" spans="1:11" ht="18" customHeight="1">
      <c r="A10" s="78"/>
      <c r="B10" s="78"/>
      <c r="C10" s="46"/>
      <c r="D10" s="46"/>
      <c r="E10" s="46"/>
      <c r="F10" s="46"/>
      <c r="G10" s="92"/>
      <c r="I10" s="299"/>
    </row>
    <row r="11" spans="1:11" ht="18" customHeight="1">
      <c r="A11" s="78"/>
      <c r="B11" s="168" t="s">
        <v>441</v>
      </c>
      <c r="C11" s="300" t="s">
        <v>442</v>
      </c>
      <c r="D11" s="92">
        <f>G11*0.01</f>
        <v>0.37551313707694461</v>
      </c>
      <c r="E11" s="92">
        <f>G11*0.17</f>
        <v>6.3837233303080589</v>
      </c>
      <c r="F11" s="92">
        <f>G11-D11-E11</f>
        <v>30.79207724030946</v>
      </c>
      <c r="G11" s="92">
        <f>+'F-23 '!D11</f>
        <v>37.551313707694462</v>
      </c>
      <c r="H11" s="3">
        <f>+'F-6'!N34</f>
        <v>55.566274225108359</v>
      </c>
      <c r="I11" s="3">
        <f>+G11-H11</f>
        <v>-18.014960517413897</v>
      </c>
    </row>
    <row r="12" spans="1:11" ht="18" customHeight="1">
      <c r="A12" s="78"/>
      <c r="B12" s="78"/>
      <c r="C12" s="46"/>
      <c r="D12" s="46"/>
      <c r="E12" s="46"/>
      <c r="F12" s="46"/>
      <c r="G12" s="46"/>
    </row>
    <row r="13" spans="1:11" ht="18" customHeight="1">
      <c r="A13" s="78"/>
      <c r="B13" s="78" t="s">
        <v>443</v>
      </c>
      <c r="C13" s="46" t="s">
        <v>1320</v>
      </c>
      <c r="D13" s="92">
        <f>G13*0.02</f>
        <v>0</v>
      </c>
      <c r="E13" s="92">
        <f>G13*0.17</f>
        <v>0</v>
      </c>
      <c r="F13" s="92">
        <f>G13-D13-E13</f>
        <v>0</v>
      </c>
      <c r="G13" s="92"/>
      <c r="H13" s="3"/>
    </row>
    <row r="14" spans="1:11" ht="18" customHeight="1">
      <c r="A14" s="78"/>
      <c r="B14" s="78"/>
      <c r="C14" s="46"/>
      <c r="D14" s="46"/>
      <c r="E14" s="46"/>
      <c r="F14" s="46"/>
      <c r="G14" s="46"/>
      <c r="H14" s="3"/>
    </row>
    <row r="15" spans="1:11" ht="18" customHeight="1">
      <c r="A15" s="78"/>
      <c r="B15" s="78" t="s">
        <v>444</v>
      </c>
      <c r="C15" s="46" t="s">
        <v>445</v>
      </c>
      <c r="D15" s="46"/>
      <c r="E15" s="46"/>
      <c r="F15" s="46"/>
      <c r="G15" s="46"/>
      <c r="H15" s="3"/>
    </row>
    <row r="16" spans="1:11" ht="18" customHeight="1">
      <c r="A16" s="78"/>
      <c r="B16" s="78"/>
      <c r="C16" s="46"/>
      <c r="D16" s="46"/>
      <c r="E16" s="46"/>
      <c r="F16" s="46"/>
      <c r="G16" s="46"/>
    </row>
    <row r="17" spans="1:9" ht="18" customHeight="1">
      <c r="A17" s="78"/>
      <c r="B17" s="78" t="s">
        <v>446</v>
      </c>
      <c r="C17" s="46" t="s">
        <v>447</v>
      </c>
      <c r="D17" s="46"/>
      <c r="E17" s="46"/>
      <c r="F17" s="46"/>
      <c r="G17" s="46"/>
    </row>
    <row r="18" spans="1:9" ht="18" customHeight="1">
      <c r="A18" s="78"/>
      <c r="B18" s="78"/>
      <c r="C18" s="46"/>
      <c r="D18" s="46"/>
      <c r="E18" s="46"/>
      <c r="F18" s="46"/>
      <c r="G18" s="46"/>
    </row>
    <row r="19" spans="1:9" ht="18" customHeight="1">
      <c r="A19" s="78"/>
      <c r="B19" s="78" t="s">
        <v>448</v>
      </c>
      <c r="C19" s="46" t="s">
        <v>449</v>
      </c>
      <c r="D19" s="46"/>
      <c r="E19" s="46"/>
      <c r="F19" s="46"/>
      <c r="G19" s="46"/>
    </row>
    <row r="20" spans="1:9" ht="18" customHeight="1">
      <c r="A20" s="78"/>
      <c r="B20" s="78"/>
      <c r="C20" s="46"/>
      <c r="D20" s="46"/>
      <c r="E20" s="46"/>
      <c r="F20" s="46"/>
      <c r="G20" s="46"/>
    </row>
    <row r="21" spans="1:9" ht="24" customHeight="1">
      <c r="A21" s="78"/>
      <c r="B21" s="168" t="s">
        <v>450</v>
      </c>
      <c r="C21" s="300" t="s">
        <v>722</v>
      </c>
      <c r="D21" s="300"/>
      <c r="E21" s="300"/>
      <c r="F21" s="300"/>
      <c r="G21" s="46"/>
    </row>
    <row r="22" spans="1:9" ht="18" customHeight="1">
      <c r="A22" s="78"/>
      <c r="B22" s="78"/>
      <c r="C22" s="46"/>
      <c r="D22" s="46"/>
      <c r="E22" s="46"/>
      <c r="F22" s="46"/>
      <c r="G22" s="46"/>
    </row>
    <row r="23" spans="1:9" ht="18" customHeight="1">
      <c r="A23" s="78"/>
      <c r="B23" s="78"/>
      <c r="C23" s="284" t="s">
        <v>723</v>
      </c>
      <c r="D23" s="20" t="e">
        <f>SUM(D9:D22)</f>
        <v>#REF!</v>
      </c>
      <c r="E23" s="20" t="e">
        <f>SUM(E9:E22)</f>
        <v>#REF!</v>
      </c>
      <c r="F23" s="20" t="e">
        <f>SUM(F9:F22)</f>
        <v>#REF!</v>
      </c>
      <c r="G23" s="20" t="e">
        <f>SUM(G9:G22)</f>
        <v>#REF!</v>
      </c>
      <c r="H23" s="3"/>
      <c r="I23" s="3"/>
    </row>
    <row r="24" spans="1:9" ht="18" customHeight="1">
      <c r="A24" s="78"/>
      <c r="B24" s="78"/>
      <c r="C24" s="46"/>
      <c r="D24" s="46"/>
      <c r="E24" s="46"/>
      <c r="F24" s="46"/>
      <c r="G24" s="46"/>
    </row>
    <row r="25" spans="1:9" ht="18" customHeight="1">
      <c r="A25" s="170" t="s">
        <v>724</v>
      </c>
      <c r="B25" s="169"/>
      <c r="C25" s="284" t="s">
        <v>601</v>
      </c>
      <c r="D25" s="284"/>
      <c r="E25" s="284"/>
      <c r="F25" s="284"/>
      <c r="G25" s="46"/>
    </row>
    <row r="26" spans="1:9" ht="18" customHeight="1">
      <c r="A26" s="78"/>
      <c r="B26" s="78"/>
      <c r="C26" s="46"/>
      <c r="D26" s="46"/>
      <c r="E26" s="46"/>
      <c r="F26" s="46"/>
      <c r="G26" s="46"/>
    </row>
    <row r="27" spans="1:9" ht="18" customHeight="1">
      <c r="A27" s="78"/>
      <c r="B27" s="78" t="s">
        <v>637</v>
      </c>
      <c r="C27" s="46" t="s">
        <v>602</v>
      </c>
      <c r="D27" s="92">
        <f>'WF-12(RevRQEns)'!D8</f>
        <v>163.92549588540118</v>
      </c>
      <c r="E27" s="92">
        <f>'WF-12(RevRQEns)'!E8</f>
        <v>121.75362058679346</v>
      </c>
      <c r="F27" s="92">
        <f>'WF-12(RevRQEns)'!F8</f>
        <v>934.25225429725128</v>
      </c>
      <c r="G27" s="92">
        <f>SUM(D27:F27)</f>
        <v>1219.9313707694459</v>
      </c>
      <c r="H27" s="3"/>
      <c r="I27" s="3"/>
    </row>
    <row r="28" spans="1:9" ht="18" customHeight="1">
      <c r="A28" s="78"/>
      <c r="B28" s="78"/>
      <c r="C28" s="46"/>
      <c r="D28" s="92"/>
      <c r="E28" s="92"/>
      <c r="F28" s="92"/>
      <c r="G28" s="46"/>
    </row>
    <row r="29" spans="1:9" ht="18" customHeight="1">
      <c r="A29" s="78"/>
      <c r="B29" s="78" t="s">
        <v>441</v>
      </c>
      <c r="C29" s="46" t="s">
        <v>603</v>
      </c>
      <c r="D29" s="92"/>
      <c r="E29" s="92"/>
      <c r="F29" s="92"/>
      <c r="G29" s="46"/>
    </row>
    <row r="30" spans="1:9" ht="18" customHeight="1">
      <c r="A30" s="78"/>
      <c r="B30" s="78"/>
      <c r="C30" s="46" t="s">
        <v>604</v>
      </c>
      <c r="D30" s="92">
        <f>'WF-12(RevRQEns)'!D11</f>
        <v>29.229389101119452</v>
      </c>
      <c r="E30" s="92">
        <f>'WF-12(RevRQEns)'!E11</f>
        <v>66.23603220210056</v>
      </c>
      <c r="F30" s="92">
        <f>'WF-12(RevRQEns)'!F11</f>
        <v>432.11902549949377</v>
      </c>
      <c r="G30" s="92">
        <f>SUM(D30:F30)</f>
        <v>527.58444680271373</v>
      </c>
    </row>
    <row r="31" spans="1:9" ht="18" customHeight="1">
      <c r="A31" s="78"/>
      <c r="B31" s="78"/>
      <c r="C31" s="46" t="s">
        <v>1294</v>
      </c>
      <c r="D31" s="92">
        <f>'WF-12(RevRQEns)'!D12</f>
        <v>0</v>
      </c>
      <c r="E31" s="92">
        <f>'WF-12(RevRQEns)'!E12</f>
        <v>93.242605578142388</v>
      </c>
      <c r="F31" s="92">
        <f>'WF-12(RevRQEns)'!F12</f>
        <v>62.161737052094935</v>
      </c>
      <c r="G31" s="92">
        <f>SUM(D31:F31)</f>
        <v>155.40434263023732</v>
      </c>
    </row>
    <row r="32" spans="1:9" ht="18" customHeight="1">
      <c r="A32" s="78"/>
      <c r="B32" s="78"/>
      <c r="C32" s="46" t="s">
        <v>605</v>
      </c>
      <c r="D32" s="92">
        <f>'WF-12(RevRQEns)'!D13</f>
        <v>2.5001137012952017</v>
      </c>
      <c r="E32" s="92">
        <f>'WF-12(RevRQEns)'!E13</f>
        <v>16.282132275711479</v>
      </c>
      <c r="F32" s="92">
        <f>'WF-12(RevRQEns)'!F13</f>
        <v>106.22343908775338</v>
      </c>
      <c r="G32" s="92">
        <f>SUM(D32:F32)</f>
        <v>125.00568506476006</v>
      </c>
    </row>
    <row r="33" spans="1:10" ht="18" customHeight="1">
      <c r="A33" s="78"/>
      <c r="B33" s="78"/>
      <c r="C33" s="46"/>
      <c r="D33" s="92"/>
      <c r="E33" s="92"/>
      <c r="F33" s="92"/>
      <c r="G33" s="46"/>
    </row>
    <row r="34" spans="1:10" ht="18" customHeight="1">
      <c r="A34" s="78"/>
      <c r="B34" s="168" t="s">
        <v>443</v>
      </c>
      <c r="C34" s="46" t="s">
        <v>640</v>
      </c>
      <c r="D34" s="92">
        <f>'WF-12(RevRQEns)'!D15</f>
        <v>7.9138424080000006E-2</v>
      </c>
      <c r="E34" s="92">
        <f>'WF-12(RevRQEns)'!E15</f>
        <v>0.51539347522249579</v>
      </c>
      <c r="F34" s="92">
        <f>'WF-12(RevRQEns)'!F15</f>
        <v>3.362389304697504</v>
      </c>
      <c r="G34" s="92">
        <f>SUM(D34:F34)</f>
        <v>3.9569212039999999</v>
      </c>
    </row>
    <row r="35" spans="1:10" ht="18" customHeight="1">
      <c r="A35" s="78"/>
      <c r="B35" s="78"/>
      <c r="C35" s="46"/>
      <c r="D35" s="92"/>
      <c r="E35" s="92"/>
      <c r="F35" s="92"/>
      <c r="G35" s="46"/>
    </row>
    <row r="36" spans="1:10" ht="18" customHeight="1">
      <c r="A36" s="78"/>
      <c r="B36" s="78" t="s">
        <v>444</v>
      </c>
      <c r="C36" s="46" t="s">
        <v>1520</v>
      </c>
      <c r="D36" s="92">
        <f>'WF-12(RevRQEns)'!D18</f>
        <v>0</v>
      </c>
      <c r="E36" s="92">
        <f>+'WF-12(RevRQEns)'!E18+'WF-12(RevRQEns)'!E20+'WF-12(RevRQEns)'!E21+'WF-12(RevRQEns)'!E22+'WF-12(RevRQEns)'!E33+'WF-12(RevRQEns)'!E34</f>
        <v>1.0967327999999998</v>
      </c>
      <c r="F36" s="92">
        <f>+'WF-12(RevRQEns)'!F18+'WF-12(RevRQEns)'!F20+'WF-12(RevRQEns)'!F21+'WF-12(RevRQEns)'!F22+'WF-12(RevRQEns)'!F33+'WF-12(RevRQEns)'!F34</f>
        <v>0.73115520000000012</v>
      </c>
      <c r="G36" s="92">
        <f>SUM(D36:F36)</f>
        <v>1.827888</v>
      </c>
      <c r="H36" s="3">
        <f>+G36+G42</f>
        <v>16.334750163805005</v>
      </c>
      <c r="I36" s="3">
        <f>+'F-6'!N20</f>
        <v>48.615344386377203</v>
      </c>
      <c r="J36" s="3">
        <f>+H36-I36</f>
        <v>-32.280594222572198</v>
      </c>
    </row>
    <row r="37" spans="1:10" ht="18" customHeight="1">
      <c r="A37" s="78"/>
      <c r="B37" s="78"/>
      <c r="C37" s="46"/>
      <c r="D37" s="92"/>
      <c r="E37" s="92"/>
      <c r="F37" s="92"/>
      <c r="G37" s="46"/>
    </row>
    <row r="38" spans="1:10" ht="18" customHeight="1">
      <c r="A38" s="78"/>
      <c r="B38" s="168" t="s">
        <v>641</v>
      </c>
      <c r="C38" s="300" t="s">
        <v>1127</v>
      </c>
      <c r="D38" s="21"/>
      <c r="E38" s="92">
        <f>+'WF-12(RevRQEns)'!E35</f>
        <v>0</v>
      </c>
      <c r="F38" s="92">
        <f>'WF-12(RevRQEns)'!F35</f>
        <v>0</v>
      </c>
      <c r="G38" s="92">
        <f>SUM(D38:F38)</f>
        <v>0</v>
      </c>
    </row>
    <row r="39" spans="1:10" ht="18" customHeight="1">
      <c r="A39" s="78"/>
      <c r="B39" s="78"/>
      <c r="C39" s="46"/>
      <c r="D39" s="92"/>
      <c r="E39" s="92"/>
      <c r="F39" s="92"/>
      <c r="G39" s="92"/>
    </row>
    <row r="40" spans="1:10" ht="18" customHeight="1">
      <c r="A40" s="78"/>
      <c r="B40" s="78" t="s">
        <v>642</v>
      </c>
      <c r="C40" s="46" t="s">
        <v>736</v>
      </c>
      <c r="D40" s="92"/>
      <c r="E40" s="92"/>
      <c r="F40" s="92"/>
      <c r="G40" s="92"/>
    </row>
    <row r="41" spans="1:10" ht="18" customHeight="1">
      <c r="A41" s="78"/>
      <c r="B41" s="78"/>
      <c r="C41" s="46"/>
      <c r="D41" s="92"/>
      <c r="E41" s="92"/>
      <c r="F41" s="92"/>
      <c r="G41" s="92"/>
    </row>
    <row r="42" spans="1:10" ht="18" customHeight="1">
      <c r="A42" s="78"/>
      <c r="B42" s="78" t="s">
        <v>446</v>
      </c>
      <c r="C42" s="46" t="s">
        <v>738</v>
      </c>
      <c r="D42" s="92">
        <f>+'WF-12(RevRQEns)'!D36</f>
        <v>4.352058649141501</v>
      </c>
      <c r="E42" s="92">
        <f>+'WF-12(RevRQEns)'!E36</f>
        <v>3.7717841625893009</v>
      </c>
      <c r="F42" s="92">
        <f>+'WF-12(RevRQEns)'!F36</f>
        <v>6.3830193520742018</v>
      </c>
      <c r="G42" s="92">
        <f>SUM(D42:F42)</f>
        <v>14.506862163805003</v>
      </c>
    </row>
    <row r="43" spans="1:10" ht="18" customHeight="1">
      <c r="A43" s="78"/>
      <c r="B43" s="78"/>
      <c r="C43" s="46"/>
      <c r="D43" s="92"/>
      <c r="E43" s="92"/>
      <c r="F43" s="92"/>
      <c r="G43" s="92"/>
    </row>
    <row r="44" spans="1:10" ht="18" customHeight="1">
      <c r="A44" s="78"/>
      <c r="B44" s="78" t="s">
        <v>448</v>
      </c>
      <c r="C44" s="46" t="s">
        <v>740</v>
      </c>
      <c r="D44" s="92">
        <f>'WF-12(RevRQEns)'!D38</f>
        <v>3.2038736079999987E-3</v>
      </c>
      <c r="E44" s="92">
        <f>'WF-12(RevRQEns)'!E38</f>
        <v>2.0865408582454493E-2</v>
      </c>
      <c r="F44" s="92">
        <f>'WF-12(RevRQEns)'!F38</f>
        <v>0.13612439820954542</v>
      </c>
      <c r="G44" s="92">
        <f>SUM(D44:F44)</f>
        <v>0.1601936803999999</v>
      </c>
    </row>
    <row r="45" spans="1:10" ht="18" customHeight="1">
      <c r="A45" s="78"/>
      <c r="B45" s="78"/>
      <c r="C45" s="46"/>
      <c r="D45" s="46"/>
      <c r="E45" s="46"/>
      <c r="F45" s="46"/>
      <c r="G45" s="46"/>
    </row>
    <row r="46" spans="1:10" ht="18" customHeight="1">
      <c r="A46" s="78"/>
      <c r="B46" s="78" t="s">
        <v>450</v>
      </c>
      <c r="C46" s="46" t="s">
        <v>643</v>
      </c>
      <c r="D46" s="92"/>
      <c r="E46" s="92"/>
      <c r="F46" s="92">
        <f>'WF-12(RevRQEns)'!F40</f>
        <v>19.659247009373615</v>
      </c>
      <c r="G46" s="92">
        <f>SUM(D46:F46)</f>
        <v>19.659247009373615</v>
      </c>
    </row>
    <row r="47" spans="1:10" ht="18" customHeight="1">
      <c r="A47" s="78"/>
      <c r="B47" s="78"/>
      <c r="C47" s="46"/>
      <c r="D47" s="92"/>
      <c r="E47" s="92"/>
      <c r="F47" s="92"/>
      <c r="G47" s="92"/>
    </row>
    <row r="48" spans="1:10" ht="18" customHeight="1">
      <c r="A48" s="78"/>
      <c r="B48" s="78" t="s">
        <v>592</v>
      </c>
      <c r="C48" s="46" t="s">
        <v>593</v>
      </c>
      <c r="D48" s="92">
        <f>'WF-12(RevRQEns)'!D42</f>
        <v>2.4337667880000004E-2</v>
      </c>
      <c r="E48" s="92">
        <f>'WF-12(RevRQEns)'!E42</f>
        <v>0.15850044239956151</v>
      </c>
      <c r="F48" s="92">
        <f>'WF-12(RevRQEns)'!F42</f>
        <v>1.0340452837204386</v>
      </c>
      <c r="G48" s="92">
        <f>SUM(D48:F48)</f>
        <v>1.2168833940000001</v>
      </c>
    </row>
    <row r="49" spans="1:9" ht="18" customHeight="1">
      <c r="A49" s="78"/>
      <c r="B49" s="78"/>
      <c r="C49" s="46"/>
      <c r="D49" s="92"/>
      <c r="E49" s="92"/>
      <c r="F49" s="92"/>
      <c r="G49" s="92"/>
    </row>
    <row r="50" spans="1:9" ht="18" customHeight="1">
      <c r="A50" s="78"/>
      <c r="B50" s="168" t="s">
        <v>594</v>
      </c>
      <c r="C50" s="300" t="s">
        <v>595</v>
      </c>
      <c r="D50" s="92"/>
      <c r="E50" s="92"/>
      <c r="F50" s="92"/>
      <c r="G50" s="92"/>
    </row>
    <row r="51" spans="1:9" ht="18" customHeight="1">
      <c r="A51" s="78"/>
      <c r="B51" s="78"/>
      <c r="C51" s="46"/>
      <c r="D51" s="92"/>
      <c r="E51" s="92"/>
      <c r="F51" s="92"/>
      <c r="G51" s="92"/>
    </row>
    <row r="52" spans="1:9" ht="18" customHeight="1">
      <c r="A52" s="78"/>
      <c r="B52" s="78" t="s">
        <v>596</v>
      </c>
      <c r="C52" s="46" t="s">
        <v>118</v>
      </c>
      <c r="D52" s="92"/>
      <c r="E52" s="92">
        <f>'WF-12(RevRQEns)'!E47</f>
        <v>37.256111861212837</v>
      </c>
      <c r="F52" s="92">
        <f>'WF-12(RevRQEns)'!F47</f>
        <v>24.837407907475232</v>
      </c>
      <c r="G52" s="92">
        <f>SUM(D52:F52)</f>
        <v>62.093519768688068</v>
      </c>
    </row>
    <row r="53" spans="1:9" ht="18" customHeight="1">
      <c r="A53" s="78"/>
      <c r="B53" s="78"/>
      <c r="C53" s="46"/>
      <c r="D53" s="46"/>
      <c r="E53" s="46"/>
      <c r="F53" s="46"/>
      <c r="G53" s="46"/>
    </row>
    <row r="54" spans="1:9" ht="18" customHeight="1">
      <c r="A54" s="78"/>
      <c r="B54" s="78" t="s">
        <v>827</v>
      </c>
      <c r="C54" s="46" t="s">
        <v>799</v>
      </c>
      <c r="D54" s="92">
        <f>'WF-12(RevRQEns)'!D49</f>
        <v>0.14257877116000001</v>
      </c>
      <c r="E54" s="92">
        <f>'WF-12(RevRQEns)'!E49</f>
        <v>0.92855233365300738</v>
      </c>
      <c r="F54" s="92">
        <f>'WF-12(RevRQEns)'!F49</f>
        <v>6.0578074531869923</v>
      </c>
      <c r="G54" s="92">
        <f>SUM(D54:F54)</f>
        <v>7.1289385579999998</v>
      </c>
    </row>
    <row r="55" spans="1:9" ht="18" customHeight="1">
      <c r="A55" s="78"/>
      <c r="B55" s="78"/>
      <c r="C55" s="46"/>
      <c r="D55" s="92"/>
      <c r="E55" s="92"/>
      <c r="F55" s="92"/>
      <c r="G55" s="46"/>
    </row>
    <row r="56" spans="1:9" ht="18" customHeight="1">
      <c r="A56" s="78"/>
      <c r="B56" s="168" t="s">
        <v>828</v>
      </c>
      <c r="C56" s="300" t="s">
        <v>829</v>
      </c>
      <c r="D56" s="92">
        <f>'WF-12(RevRQEns)'!D51+'WF-12(RevRQEns)'!D52</f>
        <v>0</v>
      </c>
      <c r="E56" s="92">
        <f>'WF-12(RevRQEns)'!E51+'WF-12(RevRQEns)'!E52</f>
        <v>0</v>
      </c>
      <c r="F56" s="92">
        <f>'WF-12(RevRQEns)'!F51+'WF-12(RevRQEns)'!F52</f>
        <v>0</v>
      </c>
      <c r="G56" s="92">
        <f>SUM(D56:F56)</f>
        <v>0</v>
      </c>
    </row>
    <row r="57" spans="1:9" ht="18" customHeight="1">
      <c r="A57" s="78"/>
      <c r="B57" s="78"/>
      <c r="C57" s="46"/>
      <c r="D57" s="92"/>
      <c r="E57" s="46"/>
      <c r="F57" s="46"/>
      <c r="G57" s="92"/>
    </row>
    <row r="58" spans="1:9" ht="18" customHeight="1">
      <c r="A58" s="78"/>
      <c r="B58" s="168" t="s">
        <v>888</v>
      </c>
      <c r="C58" s="300" t="s">
        <v>1190</v>
      </c>
      <c r="D58" s="92">
        <f>'WF-12(RevRQEns)'!D53</f>
        <v>0</v>
      </c>
      <c r="E58" s="92">
        <f>'WF-12(RevRQEns)'!E53</f>
        <v>0</v>
      </c>
      <c r="F58" s="92">
        <f>'WF-12(RevRQEns)'!F53</f>
        <v>0</v>
      </c>
      <c r="G58" s="92">
        <f>SUM(D58:F58)</f>
        <v>0</v>
      </c>
    </row>
    <row r="59" spans="1:9" ht="18" customHeight="1">
      <c r="A59" s="78"/>
      <c r="B59" s="78"/>
      <c r="C59" s="46"/>
      <c r="D59" s="92"/>
      <c r="E59" s="92"/>
      <c r="F59" s="92"/>
      <c r="G59" s="46"/>
    </row>
    <row r="60" spans="1:9" ht="18" customHeight="1">
      <c r="A60" s="78"/>
      <c r="B60" s="78" t="s">
        <v>1191</v>
      </c>
      <c r="C60" s="46" t="s">
        <v>804</v>
      </c>
      <c r="D60" s="92">
        <f>'WF-12(RevRQEns)'!D55</f>
        <v>0</v>
      </c>
      <c r="E60" s="92">
        <f>'WF-12(RevRQEns)'!E55</f>
        <v>0</v>
      </c>
      <c r="F60" s="92">
        <f>'WF-12(RevRQEns)'!F55</f>
        <v>0</v>
      </c>
      <c r="G60" s="92">
        <f>SUM(D60:F60)</f>
        <v>0</v>
      </c>
    </row>
    <row r="61" spans="1:9" ht="18" customHeight="1">
      <c r="A61" s="78"/>
      <c r="B61" s="78" t="s">
        <v>832</v>
      </c>
      <c r="C61" s="46" t="s">
        <v>1384</v>
      </c>
      <c r="D61" s="309">
        <f>+'WF-12(RevRQEns)'!D56</f>
        <v>0</v>
      </c>
      <c r="E61" s="309">
        <f>'WF-12(RevRQEns)'!E56</f>
        <v>-18.144000000000002</v>
      </c>
      <c r="F61" s="309">
        <f>'WF-12(RevRQEns)'!F56</f>
        <v>-12.096</v>
      </c>
      <c r="G61" s="309">
        <f>SUM(D61:F61)</f>
        <v>-30.240000000000002</v>
      </c>
    </row>
    <row r="62" spans="1:9" ht="18" customHeight="1">
      <c r="A62" s="78"/>
      <c r="B62" s="169" t="s">
        <v>1192</v>
      </c>
      <c r="C62" s="46"/>
      <c r="D62" s="46"/>
      <c r="E62" s="46"/>
      <c r="F62" s="46"/>
      <c r="G62" s="20">
        <f>SUM(G26:G61)</f>
        <v>2108.2362990454239</v>
      </c>
      <c r="H62" s="3">
        <f>+'F-6'!N24+'F-6'!N8</f>
        <v>2189.9517136363429</v>
      </c>
      <c r="I62" s="3">
        <f>+G62-H62</f>
        <v>-81.715414590918954</v>
      </c>
    </row>
    <row r="63" spans="1:9" s="44" customFormat="1" ht="18" customHeight="1">
      <c r="A63" s="171" t="s">
        <v>1193</v>
      </c>
      <c r="B63" s="172"/>
      <c r="C63" s="301" t="s">
        <v>1194</v>
      </c>
      <c r="D63" s="301"/>
      <c r="E63" s="301"/>
      <c r="F63" s="301"/>
      <c r="G63" s="302"/>
    </row>
    <row r="64" spans="1:9" ht="18" customHeight="1">
      <c r="A64" s="78"/>
      <c r="B64" s="78"/>
      <c r="C64" s="46"/>
      <c r="D64" s="46"/>
      <c r="E64" s="46"/>
      <c r="F64" s="46"/>
      <c r="G64" s="46"/>
    </row>
    <row r="65" spans="1:9" ht="18" customHeight="1">
      <c r="A65" s="78"/>
      <c r="B65" s="78" t="s">
        <v>637</v>
      </c>
      <c r="C65" s="300" t="s">
        <v>1217</v>
      </c>
      <c r="D65" s="46">
        <f>+'WF-12(RevRQEns)'!D61</f>
        <v>0</v>
      </c>
      <c r="E65" s="46">
        <f>+'WF-12(RevRQEns)'!E61</f>
        <v>110.1199608894439</v>
      </c>
      <c r="F65" s="46">
        <f>+'WF-12(RevRQEns)'!F61</f>
        <v>73.413307259629264</v>
      </c>
      <c r="G65" s="92">
        <f>+'WF-12(RevRQEns)'!G61</f>
        <v>183.53326814907317</v>
      </c>
      <c r="H65" s="234">
        <f>+'F-6'!N26</f>
        <v>0</v>
      </c>
      <c r="I65" s="3">
        <f>+G65-H65</f>
        <v>183.53326814907317</v>
      </c>
    </row>
    <row r="66" spans="1:9" ht="18" customHeight="1">
      <c r="A66" s="78"/>
      <c r="B66" s="78"/>
      <c r="C66" s="300" t="s">
        <v>3365</v>
      </c>
      <c r="D66" s="46">
        <f>+'WF-12(RevRQEns)'!D62</f>
        <v>0</v>
      </c>
      <c r="E66" s="46">
        <f>+'WF-12(RevRQEns)'!E62</f>
        <v>0</v>
      </c>
      <c r="F66" s="309">
        <f>+'WF-12(RevRQEns)'!F62</f>
        <v>0</v>
      </c>
      <c r="G66" s="92">
        <f>'F-6'!N43</f>
        <v>0</v>
      </c>
    </row>
    <row r="67" spans="1:9" ht="18" customHeight="1">
      <c r="A67" s="78"/>
      <c r="B67" s="78" t="s">
        <v>441</v>
      </c>
      <c r="C67" s="300" t="s">
        <v>1195</v>
      </c>
      <c r="D67" s="46">
        <f>+'WF-12(RevRQEns)'!D63</f>
        <v>0</v>
      </c>
      <c r="E67" s="46">
        <f>+'WF-12(RevRQEns)'!E63</f>
        <v>0</v>
      </c>
      <c r="F67" s="46">
        <f>+'WF-12(RevRQEns)'!F63</f>
        <v>0</v>
      </c>
      <c r="G67" s="92">
        <f>SUM(E67:F67)</f>
        <v>0</v>
      </c>
    </row>
    <row r="68" spans="1:9" ht="18" customHeight="1">
      <c r="A68" s="78"/>
      <c r="B68" s="78"/>
      <c r="C68" s="300" t="s">
        <v>1196</v>
      </c>
      <c r="D68" s="46">
        <f>+'WF-12(RevRQEns)'!D64</f>
        <v>0</v>
      </c>
      <c r="E68" s="46">
        <f>+'WF-12(RevRQEns)'!E64</f>
        <v>0</v>
      </c>
      <c r="F68" s="46">
        <f>+'WF-12(RevRQEns)'!F64</f>
        <v>0</v>
      </c>
      <c r="G68" s="92">
        <f>SUM(E68:F68)</f>
        <v>0</v>
      </c>
    </row>
    <row r="69" spans="1:9" ht="18" customHeight="1">
      <c r="A69" s="78"/>
      <c r="B69" s="168" t="s">
        <v>443</v>
      </c>
      <c r="C69" s="300" t="s">
        <v>964</v>
      </c>
      <c r="D69" s="300"/>
      <c r="E69" s="300"/>
      <c r="F69" s="300"/>
      <c r="G69" s="46"/>
    </row>
    <row r="70" spans="1:9" ht="18" customHeight="1">
      <c r="A70" s="78"/>
      <c r="B70" s="78"/>
      <c r="C70" s="300" t="s">
        <v>814</v>
      </c>
      <c r="D70" s="46"/>
      <c r="E70" s="46"/>
      <c r="F70" s="46"/>
      <c r="G70" s="46"/>
    </row>
    <row r="71" spans="1:9" ht="18" customHeight="1">
      <c r="A71" s="78"/>
      <c r="B71" s="78" t="s">
        <v>444</v>
      </c>
      <c r="C71" s="300" t="s">
        <v>965</v>
      </c>
      <c r="D71" s="46"/>
      <c r="E71" s="92">
        <f>'WF-12(RevRQEns)'!E69</f>
        <v>0</v>
      </c>
      <c r="F71" s="92">
        <f>'WF-12(RevRQEns)'!F69</f>
        <v>0</v>
      </c>
      <c r="G71" s="92">
        <f>SUM(E71:F71)</f>
        <v>0</v>
      </c>
      <c r="H71" s="3">
        <f>+'F-6'!N28</f>
        <v>0</v>
      </c>
      <c r="I71" s="3">
        <f>+G71-H71</f>
        <v>0</v>
      </c>
    </row>
    <row r="72" spans="1:9" ht="18" customHeight="1">
      <c r="A72" s="78"/>
      <c r="B72" s="78" t="s">
        <v>446</v>
      </c>
      <c r="C72" s="300" t="s">
        <v>966</v>
      </c>
      <c r="D72" s="46"/>
      <c r="E72" s="46"/>
      <c r="F72" s="46"/>
      <c r="G72" s="92">
        <f>+'WF-12(RevRQEns)'!G73</f>
        <v>0</v>
      </c>
    </row>
    <row r="73" spans="1:9" ht="18" customHeight="1">
      <c r="A73" s="78"/>
      <c r="B73" s="78" t="s">
        <v>448</v>
      </c>
      <c r="C73" s="300" t="s">
        <v>644</v>
      </c>
      <c r="D73" s="46"/>
      <c r="E73" s="46"/>
      <c r="F73" s="46"/>
      <c r="G73" s="92">
        <f>+'WF-12(RevRQEns)'!G76</f>
        <v>0</v>
      </c>
    </row>
    <row r="74" spans="1:9" ht="18" customHeight="1">
      <c r="A74" s="78"/>
      <c r="B74" s="78"/>
      <c r="C74" s="300"/>
      <c r="D74" s="46"/>
      <c r="E74" s="46"/>
      <c r="F74" s="46"/>
      <c r="G74" s="46"/>
    </row>
    <row r="75" spans="1:9" ht="18" customHeight="1">
      <c r="A75" s="78"/>
      <c r="B75" s="78"/>
      <c r="C75" s="304" t="s">
        <v>1321</v>
      </c>
      <c r="D75" s="284"/>
      <c r="E75" s="284"/>
      <c r="F75" s="284"/>
      <c r="G75" s="20">
        <f>SUM(G65:G74)</f>
        <v>183.53326814907317</v>
      </c>
      <c r="H75" s="3"/>
      <c r="I75" s="3"/>
    </row>
    <row r="76" spans="1:9" ht="18" customHeight="1">
      <c r="A76" s="78"/>
      <c r="B76" s="78"/>
      <c r="C76" s="300"/>
      <c r="D76" s="46"/>
      <c r="E76" s="46"/>
      <c r="F76" s="46"/>
      <c r="G76" s="46"/>
    </row>
    <row r="77" spans="1:9" ht="18" customHeight="1">
      <c r="A77" s="78"/>
      <c r="B77" s="78"/>
      <c r="C77" s="304" t="s">
        <v>648</v>
      </c>
      <c r="D77" s="284"/>
      <c r="E77" s="284"/>
      <c r="F77" s="284"/>
      <c r="G77" s="60" t="e">
        <f>G23-G62-G75</f>
        <v>#REF!</v>
      </c>
      <c r="H77" s="3">
        <f>+'F-6'!N42</f>
        <v>-303.95496520887582</v>
      </c>
      <c r="I77" s="231" t="e">
        <f>+G77+H77</f>
        <v>#REF!</v>
      </c>
    </row>
    <row r="78" spans="1:9" ht="18" customHeight="1">
      <c r="A78" s="78"/>
      <c r="B78" s="78"/>
      <c r="C78" s="300"/>
      <c r="D78" s="46"/>
      <c r="E78" s="46"/>
      <c r="F78" s="46"/>
      <c r="G78" s="180"/>
    </row>
    <row r="79" spans="1:9" ht="18" customHeight="1">
      <c r="A79" s="78"/>
      <c r="B79" s="78"/>
      <c r="C79" s="304" t="s">
        <v>650</v>
      </c>
      <c r="D79" s="14"/>
      <c r="E79" s="14"/>
      <c r="F79" s="14"/>
      <c r="G79" s="60">
        <f>+'WF-14(Capitalbase)'!D43</f>
        <v>74.704094047327928</v>
      </c>
    </row>
    <row r="80" spans="1:9" ht="18" customHeight="1">
      <c r="A80" s="78"/>
      <c r="B80" s="78"/>
      <c r="C80" s="300"/>
      <c r="D80" s="46"/>
      <c r="E80" s="46"/>
      <c r="F80" s="46"/>
      <c r="G80" s="46"/>
    </row>
    <row r="81" spans="1:10" s="100" customFormat="1" ht="18">
      <c r="A81" s="99"/>
      <c r="B81" s="99"/>
      <c r="C81" s="304" t="s">
        <v>64</v>
      </c>
      <c r="D81" s="14"/>
      <c r="E81" s="14"/>
      <c r="F81" s="14"/>
      <c r="G81" s="60" t="e">
        <f>+G77-G79</f>
        <v>#REF!</v>
      </c>
      <c r="H81" s="60">
        <f>+'F-6'!N42</f>
        <v>-303.95496520887582</v>
      </c>
      <c r="I81" s="60" t="e">
        <f>+G81+H81</f>
        <v>#REF!</v>
      </c>
      <c r="J81" s="318" t="e">
        <f>+G66+I81</f>
        <v>#REF!</v>
      </c>
    </row>
    <row r="82" spans="1:10" ht="22" customHeight="1"/>
    <row r="84" spans="1:10">
      <c r="G84" s="126"/>
    </row>
    <row r="88" spans="1:10">
      <c r="G88" s="3"/>
    </row>
  </sheetData>
  <mergeCells count="11">
    <mergeCell ref="D7:D8"/>
    <mergeCell ref="E7:E8"/>
    <mergeCell ref="F7:F8"/>
    <mergeCell ref="C7:C8"/>
    <mergeCell ref="A1:G1"/>
    <mergeCell ref="A3:G3"/>
    <mergeCell ref="A4:G4"/>
    <mergeCell ref="A5:G5"/>
    <mergeCell ref="G7:G8"/>
    <mergeCell ref="B7:B8"/>
    <mergeCell ref="A7:A8"/>
  </mergeCells>
  <phoneticPr fontId="0" type="noConversion"/>
  <printOptions horizontalCentered="1"/>
  <pageMargins left="0.25" right="0.25" top="0.5" bottom="0.5" header="0.5" footer="0"/>
  <pageSetup scale="60" orientation="portrait" r:id="rId1"/>
  <headerFooter alignWithMargins="0">
    <oddFooter>&amp;C&amp;16 &amp;10&amp;R&amp;16OERC FORM -F-13</oddFooter>
  </headerFooter>
  <rowBreaks count="1" manualBreakCount="1">
    <brk id="62" max="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K60"/>
  <sheetViews>
    <sheetView topLeftCell="A3" zoomScale="65" zoomScaleNormal="65" workbookViewId="0">
      <selection activeCell="F35" sqref="F35"/>
    </sheetView>
  </sheetViews>
  <sheetFormatPr defaultColWidth="9.1796875" defaultRowHeight="12.5"/>
  <cols>
    <col min="1" max="1" width="39.54296875" style="885" customWidth="1"/>
    <col min="2" max="2" width="19.81640625" style="885" customWidth="1"/>
    <col min="3" max="3" width="22.54296875" style="885" customWidth="1"/>
    <col min="4" max="4" width="13.7265625" style="885" customWidth="1"/>
    <col min="5" max="5" width="18.453125" style="580" customWidth="1"/>
    <col min="6" max="6" width="20.54296875" style="581" customWidth="1"/>
    <col min="7" max="7" width="22.7265625" style="581" customWidth="1"/>
    <col min="8" max="8" width="13.7265625" style="885" customWidth="1"/>
    <col min="9" max="9" width="17.81640625" style="885" bestFit="1" customWidth="1"/>
    <col min="10" max="10" width="15.54296875" style="885" bestFit="1" customWidth="1"/>
    <col min="11" max="11" width="9.1796875" style="885" customWidth="1"/>
    <col min="12" max="16384" width="9.1796875" style="885"/>
  </cols>
  <sheetData>
    <row r="1" spans="1:10" ht="22.5">
      <c r="A1" s="3204" t="s">
        <v>7155</v>
      </c>
      <c r="B1" s="3205"/>
      <c r="C1" s="3205"/>
      <c r="D1" s="3205"/>
      <c r="E1" s="3205"/>
      <c r="F1" s="3205"/>
      <c r="G1" s="3206"/>
    </row>
    <row r="2" spans="1:10" ht="7.5" customHeight="1">
      <c r="A2" s="3196"/>
      <c r="B2" s="3197"/>
      <c r="C2" s="3197"/>
      <c r="D2" s="3197"/>
      <c r="E2" s="3197"/>
      <c r="F2" s="3197"/>
      <c r="G2" s="3198"/>
    </row>
    <row r="3" spans="1:10" ht="18">
      <c r="A3" s="3199" t="s">
        <v>7990</v>
      </c>
      <c r="B3" s="3200"/>
      <c r="C3" s="3200"/>
      <c r="D3" s="3200"/>
      <c r="E3" s="3200"/>
      <c r="F3" s="3200"/>
      <c r="G3" s="3201"/>
    </row>
    <row r="4" spans="1:10" ht="17.25" customHeight="1" thickBot="1">
      <c r="A4" s="917"/>
      <c r="B4" s="2818"/>
      <c r="C4" s="2818"/>
      <c r="D4" s="2818"/>
      <c r="E4" s="2819"/>
      <c r="F4" s="2820"/>
      <c r="G4" s="2821"/>
    </row>
    <row r="5" spans="1:10" ht="15.5">
      <c r="A5" s="3207" t="s">
        <v>1074</v>
      </c>
      <c r="B5" s="3208"/>
      <c r="C5" s="3209"/>
      <c r="D5" s="918" t="s">
        <v>1643</v>
      </c>
      <c r="E5" s="574"/>
      <c r="F5" s="2813" t="s">
        <v>1644</v>
      </c>
      <c r="G5" s="2822" t="s">
        <v>1644</v>
      </c>
    </row>
    <row r="6" spans="1:10" ht="15" customHeight="1">
      <c r="A6" s="3210"/>
      <c r="B6" s="3211"/>
      <c r="C6" s="3212"/>
      <c r="D6" s="919" t="s">
        <v>718</v>
      </c>
      <c r="E6" s="575"/>
      <c r="F6" s="2823" t="s">
        <v>7991</v>
      </c>
      <c r="G6" s="2824" t="s">
        <v>5524</v>
      </c>
    </row>
    <row r="7" spans="1:10" ht="13.5" thickBot="1">
      <c r="A7" s="3213"/>
      <c r="B7" s="3214"/>
      <c r="C7" s="3215"/>
      <c r="D7" s="920"/>
      <c r="E7" s="536" t="s">
        <v>1645</v>
      </c>
      <c r="F7" s="537" t="s">
        <v>1645</v>
      </c>
      <c r="G7" s="537" t="s">
        <v>1645</v>
      </c>
    </row>
    <row r="8" spans="1:10" ht="13" thickTop="1">
      <c r="A8" s="890"/>
      <c r="B8" s="911"/>
      <c r="C8" s="921"/>
      <c r="D8" s="891"/>
      <c r="E8" s="575"/>
      <c r="F8" s="567"/>
      <c r="G8" s="567"/>
    </row>
    <row r="9" spans="1:10" ht="18">
      <c r="A9" s="894" t="s">
        <v>850</v>
      </c>
      <c r="B9" s="955"/>
      <c r="C9" s="913"/>
      <c r="D9" s="895"/>
      <c r="E9" s="538"/>
      <c r="F9" s="539"/>
      <c r="G9" s="539"/>
      <c r="I9" s="899"/>
    </row>
    <row r="10" spans="1:10" ht="20.25" customHeight="1">
      <c r="A10" s="896" t="s">
        <v>3989</v>
      </c>
      <c r="B10" s="912"/>
      <c r="C10" s="913"/>
      <c r="D10" s="897">
        <v>13</v>
      </c>
      <c r="E10" s="541"/>
      <c r="F10" s="2587">
        <f>'OERC 12 &amp; 13'!C80</f>
        <v>16546298827.779999</v>
      </c>
      <c r="G10" s="2592">
        <f>'OERC 12 &amp; 13'!E80</f>
        <v>3553763617.8600001</v>
      </c>
      <c r="I10" s="904"/>
    </row>
    <row r="11" spans="1:10" ht="23.25" hidden="1" customHeight="1">
      <c r="A11" s="896" t="s">
        <v>3990</v>
      </c>
      <c r="B11" s="912"/>
      <c r="C11" s="913"/>
      <c r="D11" s="922"/>
      <c r="E11" s="923"/>
      <c r="F11" s="924"/>
      <c r="G11" s="924"/>
      <c r="I11" s="1556"/>
    </row>
    <row r="12" spans="1:10" ht="16.5" hidden="1" customHeight="1">
      <c r="A12" s="896" t="s">
        <v>3991</v>
      </c>
      <c r="B12" s="912"/>
      <c r="C12" s="913"/>
      <c r="D12" s="922"/>
      <c r="E12" s="923"/>
      <c r="F12" s="582">
        <v>0</v>
      </c>
      <c r="G12" s="925"/>
      <c r="I12" s="1556"/>
      <c r="J12" s="899"/>
    </row>
    <row r="13" spans="1:10" ht="15" hidden="1" customHeight="1">
      <c r="A13" s="926" t="s">
        <v>3571</v>
      </c>
      <c r="B13" s="2815"/>
      <c r="C13" s="927"/>
      <c r="D13" s="922"/>
      <c r="E13" s="923"/>
      <c r="F13" s="928"/>
      <c r="G13" s="570"/>
      <c r="I13" s="899"/>
      <c r="J13" s="899"/>
    </row>
    <row r="14" spans="1:10" ht="18" customHeight="1">
      <c r="A14" s="896" t="s">
        <v>3992</v>
      </c>
      <c r="B14" s="912"/>
      <c r="C14" s="913"/>
      <c r="D14" s="897">
        <v>14</v>
      </c>
      <c r="E14" s="929"/>
      <c r="F14" s="2587">
        <f>'OERC 14,15 &amp; 16'!D22</f>
        <v>929301449.75</v>
      </c>
      <c r="G14" s="2592">
        <f>'OERC 14,15 &amp; 16'!F22</f>
        <v>292522155.22000003</v>
      </c>
    </row>
    <row r="15" spans="1:10" ht="18.5" thickBot="1">
      <c r="A15" s="896"/>
      <c r="B15" s="912"/>
      <c r="C15" s="913"/>
      <c r="D15" s="930"/>
      <c r="E15" s="929"/>
      <c r="F15" s="931">
        <f>+F10+F12+F14</f>
        <v>17475600277.529999</v>
      </c>
      <c r="G15" s="932">
        <f>+G10+G12+G14</f>
        <v>3846285773.0799999</v>
      </c>
      <c r="I15" s="904"/>
      <c r="J15" s="899"/>
    </row>
    <row r="16" spans="1:10" ht="18.5" thickTop="1">
      <c r="A16" s="894" t="s">
        <v>854</v>
      </c>
      <c r="B16" s="955"/>
      <c r="C16" s="913"/>
      <c r="D16" s="930"/>
      <c r="E16" s="929"/>
      <c r="F16" s="582"/>
      <c r="G16" s="570"/>
      <c r="J16" s="899"/>
    </row>
    <row r="17" spans="1:11" ht="21" customHeight="1">
      <c r="A17" s="896" t="s">
        <v>3993</v>
      </c>
      <c r="B17" s="912"/>
      <c r="C17" s="913"/>
      <c r="D17" s="897">
        <v>15</v>
      </c>
      <c r="E17" s="933"/>
      <c r="F17" s="1558">
        <f>'OERC 14,15 &amp; 16'!D36</f>
        <v>9263268213.7900009</v>
      </c>
      <c r="G17" s="570">
        <f>'OERC 14,15 &amp; 16'!F36</f>
        <v>2002860048.05</v>
      </c>
      <c r="I17" s="904"/>
      <c r="J17" s="899"/>
      <c r="K17" s="899"/>
    </row>
    <row r="18" spans="1:11" ht="21" customHeight="1">
      <c r="A18" s="934" t="s">
        <v>3994</v>
      </c>
      <c r="B18" s="1884"/>
      <c r="C18" s="913"/>
      <c r="D18" s="897">
        <v>16</v>
      </c>
      <c r="E18" s="933"/>
      <c r="F18" s="1558">
        <f>'OERC 14,15 &amp; 16'!D86</f>
        <v>6796356571.3299999</v>
      </c>
      <c r="G18" s="570">
        <f>'OERC 14,15 &amp; 16'!F86</f>
        <v>1410233110.2700002</v>
      </c>
      <c r="I18" s="904"/>
      <c r="J18" s="899"/>
    </row>
    <row r="19" spans="1:11" ht="21" customHeight="1">
      <c r="A19" s="896" t="s">
        <v>3995</v>
      </c>
      <c r="B19" s="912"/>
      <c r="C19" s="913"/>
      <c r="D19" s="935"/>
      <c r="E19" s="936"/>
      <c r="F19" s="937"/>
      <c r="G19" s="937"/>
    </row>
    <row r="20" spans="1:11" ht="21" customHeight="1">
      <c r="A20" s="896" t="s">
        <v>3996</v>
      </c>
      <c r="B20" s="912"/>
      <c r="C20" s="913"/>
      <c r="D20" s="930"/>
      <c r="E20" s="583">
        <f>SUMIF('TB FY-2021-22'!$F$3:$F$1332,PL!K20,'TB FY-2021-22'!$G$3:$G$1332)</f>
        <v>406288659.95000005</v>
      </c>
      <c r="F20" s="582"/>
      <c r="G20" s="570">
        <f>SUMIF('TB FY-2021-22'!$F$3:$F$1332,PL!K20,'TB FY-2021-22'!$H$3:$H$1332)</f>
        <v>69024809</v>
      </c>
      <c r="K20" s="885">
        <v>61</v>
      </c>
    </row>
    <row r="21" spans="1:11" ht="21" customHeight="1">
      <c r="A21" s="896" t="s">
        <v>3997</v>
      </c>
      <c r="B21" s="912"/>
      <c r="C21" s="913"/>
      <c r="D21" s="930"/>
      <c r="E21" s="583">
        <f>SUMIF('TB FY-2021-22'!$F$3:$F$1332,PL!K21,'TB FY-2021-22'!$G$3:$G$1332)</f>
        <v>-123427084.68000001</v>
      </c>
      <c r="F21" s="1558">
        <f>E20+E21</f>
        <v>282861575.27000004</v>
      </c>
      <c r="G21" s="570">
        <v>0</v>
      </c>
      <c r="I21" s="899"/>
      <c r="J21" s="899"/>
      <c r="K21" s="2573" t="s">
        <v>7807</v>
      </c>
    </row>
    <row r="22" spans="1:11" ht="18">
      <c r="A22" s="896"/>
      <c r="B22" s="912"/>
      <c r="C22" s="913"/>
      <c r="D22" s="930"/>
      <c r="E22" s="929"/>
      <c r="F22" s="582"/>
      <c r="G22" s="570"/>
    </row>
    <row r="23" spans="1:11" ht="18.5" thickBot="1">
      <c r="A23" s="896" t="s">
        <v>3998</v>
      </c>
      <c r="B23" s="912"/>
      <c r="C23" s="913"/>
      <c r="D23" s="930"/>
      <c r="E23" s="929"/>
      <c r="F23" s="931">
        <f>F15-F17-F18-F21</f>
        <v>1133113917.139998</v>
      </c>
      <c r="G23" s="571">
        <f>G15-G17-G18-G20-G21</f>
        <v>364167805.75999975</v>
      </c>
    </row>
    <row r="24" spans="1:11" ht="18.5" thickTop="1">
      <c r="A24" s="896"/>
      <c r="B24" s="912"/>
      <c r="C24" s="913"/>
      <c r="D24" s="930"/>
      <c r="E24" s="929"/>
      <c r="F24" s="582"/>
      <c r="G24" s="570"/>
    </row>
    <row r="25" spans="1:11" ht="18">
      <c r="A25" s="896" t="s">
        <v>3999</v>
      </c>
      <c r="B25" s="912"/>
      <c r="C25" s="913"/>
      <c r="D25" s="897">
        <v>17</v>
      </c>
      <c r="E25" s="583">
        <f>'OERC 17 &amp; 18'!D22</f>
        <v>270316632.19</v>
      </c>
      <c r="F25" s="582"/>
      <c r="G25" s="570">
        <f>'OERC 17 &amp; 18'!E22</f>
        <v>47283204.180000007</v>
      </c>
    </row>
    <row r="26" spans="1:11" ht="18">
      <c r="A26" s="896" t="s">
        <v>4000</v>
      </c>
      <c r="B26" s="912"/>
      <c r="C26" s="913"/>
      <c r="D26" s="930"/>
      <c r="E26" s="584">
        <v>0</v>
      </c>
      <c r="F26" s="582"/>
      <c r="G26" s="570">
        <v>0</v>
      </c>
    </row>
    <row r="27" spans="1:11" ht="18">
      <c r="A27" s="896"/>
      <c r="B27" s="912"/>
      <c r="C27" s="913"/>
      <c r="D27" s="930"/>
      <c r="E27" s="929"/>
      <c r="F27" s="1888">
        <f>E25-E26</f>
        <v>270316632.19</v>
      </c>
      <c r="G27" s="573"/>
      <c r="I27" s="904"/>
      <c r="J27" s="899"/>
    </row>
    <row r="28" spans="1:11" ht="19.5" customHeight="1">
      <c r="A28" s="896" t="s">
        <v>4001</v>
      </c>
      <c r="B28" s="912"/>
      <c r="C28" s="913"/>
      <c r="D28" s="939"/>
      <c r="E28" s="929"/>
      <c r="F28" s="582">
        <f>F23-F27</f>
        <v>862797284.9499979</v>
      </c>
      <c r="G28" s="570">
        <f>G23-G25</f>
        <v>316884601.57999974</v>
      </c>
      <c r="I28" s="546"/>
      <c r="J28" s="546"/>
    </row>
    <row r="29" spans="1:11" ht="19.5" customHeight="1">
      <c r="A29" s="896"/>
      <c r="B29" s="912"/>
      <c r="C29" s="913"/>
      <c r="D29" s="939"/>
      <c r="E29" s="929"/>
      <c r="F29" s="582"/>
      <c r="G29" s="570"/>
      <c r="I29" s="546"/>
      <c r="J29" s="546"/>
    </row>
    <row r="30" spans="1:11" ht="19.5" customHeight="1">
      <c r="A30" s="1526" t="s">
        <v>5519</v>
      </c>
      <c r="B30" s="2816"/>
      <c r="C30" s="913"/>
      <c r="D30" s="939"/>
      <c r="E30" s="929"/>
      <c r="F30" s="582">
        <f>SUMIF('TB FY-2021-22'!$F$3:$F$1332,PL!K30,'TB FY-2021-22'!$G$3:$G$1332)</f>
        <v>-33497167.43</v>
      </c>
      <c r="G30" s="570">
        <f>SUMIF('TB FY-2021-22'!$F$3:$F$1332,PL!K30,'TB FY-2021-22'!$H$3:$H$1332)</f>
        <v>184563755</v>
      </c>
      <c r="I30" s="546"/>
      <c r="J30" s="546"/>
      <c r="K30" s="885">
        <v>62</v>
      </c>
    </row>
    <row r="31" spans="1:11" ht="19.5" customHeight="1">
      <c r="A31" s="1526"/>
      <c r="B31" s="2816"/>
      <c r="C31" s="913"/>
      <c r="D31" s="939"/>
      <c r="E31" s="929"/>
      <c r="F31" s="582"/>
      <c r="G31" s="570"/>
      <c r="I31" s="546"/>
      <c r="J31" s="546"/>
    </row>
    <row r="32" spans="1:11" ht="21" customHeight="1">
      <c r="A32" s="896" t="s">
        <v>4517</v>
      </c>
      <c r="B32" s="912"/>
      <c r="C32" s="913"/>
      <c r="D32" s="930"/>
      <c r="E32" s="929"/>
      <c r="F32" s="582">
        <f>SUMIF('TB FY-2021-22'!$F$3:$F$1332,PL!K32,'TB FY-2021-22'!$G$3:$G$1332)</f>
        <v>180371063</v>
      </c>
      <c r="G32" s="570">
        <f>SUMIF('TB FY-2021-22'!$F$3:$F$1332,PL!K32,'TB FY-2021-22'!$H$3:$H$1332)</f>
        <v>0</v>
      </c>
      <c r="I32" s="899"/>
      <c r="J32" s="899"/>
      <c r="K32" s="885">
        <v>63</v>
      </c>
    </row>
    <row r="33" spans="1:11" ht="20.149999999999999" customHeight="1">
      <c r="A33" s="896" t="s">
        <v>5521</v>
      </c>
      <c r="B33" s="912"/>
      <c r="C33" s="913"/>
      <c r="D33" s="930"/>
      <c r="E33" s="929"/>
      <c r="F33" s="938">
        <f>SUMIF('TB FY-2021-22'!$F$3:$F$1332,PL!K33,'TB FY-2021-22'!$G$3:$G$1332)</f>
        <v>25583778.600000001</v>
      </c>
      <c r="G33" s="545">
        <f>SUMIF('TB FY-2021-22'!$F$3:$F$1332,PL!K33,'TB FY-2021-22'!$H$3:$H$1332)</f>
        <v>-91733992</v>
      </c>
      <c r="J33" s="899"/>
      <c r="K33" s="885">
        <v>64</v>
      </c>
    </row>
    <row r="34" spans="1:11" ht="20.149999999999999" customHeight="1">
      <c r="A34" s="896" t="s">
        <v>4002</v>
      </c>
      <c r="B34" s="912"/>
      <c r="C34" s="913"/>
      <c r="D34" s="930"/>
      <c r="E34" s="929"/>
      <c r="F34" s="582">
        <f>F28-F32-F30-F33</f>
        <v>690339610.77999783</v>
      </c>
      <c r="G34" s="582">
        <f>G28-G32-G30-G33</f>
        <v>224054838.57999974</v>
      </c>
      <c r="I34" s="899"/>
      <c r="J34" s="899"/>
      <c r="K34" s="899"/>
    </row>
    <row r="35" spans="1:11" ht="35.25" customHeight="1">
      <c r="A35" s="896" t="s">
        <v>4003</v>
      </c>
      <c r="B35" s="912"/>
      <c r="C35" s="913"/>
      <c r="D35" s="897">
        <v>18</v>
      </c>
      <c r="E35" s="929"/>
      <c r="F35" s="1558">
        <f>-'OERC 17 &amp; 18'!D32</f>
        <v>0</v>
      </c>
      <c r="G35" s="570">
        <v>0</v>
      </c>
      <c r="I35" s="899"/>
      <c r="K35" s="899"/>
    </row>
    <row r="36" spans="1:11" ht="12.75" customHeight="1">
      <c r="A36" s="896"/>
      <c r="B36" s="912"/>
      <c r="C36" s="913"/>
      <c r="D36" s="930"/>
      <c r="E36" s="929"/>
      <c r="F36" s="938"/>
      <c r="G36" s="573"/>
    </row>
    <row r="37" spans="1:11" ht="18">
      <c r="A37" s="896" t="s">
        <v>4004</v>
      </c>
      <c r="B37" s="912"/>
      <c r="C37" s="913"/>
      <c r="D37" s="930"/>
      <c r="E37" s="929"/>
      <c r="F37" s="582">
        <v>0</v>
      </c>
      <c r="G37" s="570">
        <v>0</v>
      </c>
      <c r="I37" s="899"/>
    </row>
    <row r="38" spans="1:11" ht="20.25" customHeight="1">
      <c r="A38" s="940"/>
      <c r="B38" s="970"/>
      <c r="C38" s="913"/>
      <c r="D38" s="930"/>
      <c r="E38" s="929"/>
      <c r="F38" s="582"/>
      <c r="G38" s="570"/>
    </row>
    <row r="39" spans="1:11" ht="18.5" thickBot="1">
      <c r="A39" s="896" t="s">
        <v>4005</v>
      </c>
      <c r="B39" s="912"/>
      <c r="C39" s="913"/>
      <c r="D39" s="930"/>
      <c r="E39" s="929"/>
      <c r="F39" s="941">
        <f>F34+F35+F37</f>
        <v>690339610.77999783</v>
      </c>
      <c r="G39" s="942">
        <f>G34+G35+G37</f>
        <v>224054838.57999974</v>
      </c>
      <c r="H39" s="899">
        <f>G39-G37</f>
        <v>224054838.57999974</v>
      </c>
      <c r="I39" s="899">
        <v>224062640.0735043</v>
      </c>
      <c r="J39" s="899">
        <f>F39-I39</f>
        <v>466276970.7064935</v>
      </c>
    </row>
    <row r="40" spans="1:11" ht="36.75" customHeight="1" thickTop="1">
      <c r="A40" s="895"/>
      <c r="B40" s="971"/>
      <c r="C40" s="943"/>
      <c r="D40" s="930"/>
      <c r="E40" s="929"/>
      <c r="F40" s="582"/>
      <c r="G40" s="570"/>
    </row>
    <row r="41" spans="1:11" ht="18">
      <c r="A41" s="896" t="s">
        <v>4006</v>
      </c>
      <c r="B41" s="912"/>
      <c r="C41" s="944"/>
      <c r="D41" s="897">
        <v>19</v>
      </c>
      <c r="E41" s="538"/>
      <c r="F41" s="539"/>
      <c r="G41" s="539"/>
    </row>
    <row r="42" spans="1:11" ht="20.25" customHeight="1">
      <c r="A42" s="945" t="s">
        <v>4007</v>
      </c>
      <c r="B42" s="973"/>
      <c r="C42" s="946"/>
      <c r="D42" s="897"/>
      <c r="E42" s="538"/>
      <c r="F42" s="539"/>
      <c r="G42" s="539"/>
    </row>
    <row r="43" spans="1:11" ht="14" thickBot="1">
      <c r="A43" s="947"/>
      <c r="B43" s="972"/>
      <c r="C43" s="948"/>
      <c r="D43" s="947"/>
      <c r="E43" s="548"/>
      <c r="F43" s="549"/>
      <c r="G43" s="549"/>
    </row>
    <row r="44" spans="1:11">
      <c r="A44" s="949"/>
      <c r="B44" s="950"/>
      <c r="C44" s="950"/>
      <c r="D44" s="950"/>
      <c r="E44" s="577"/>
      <c r="F44" s="578"/>
      <c r="G44" s="579"/>
    </row>
    <row r="45" spans="1:11" ht="17.5">
      <c r="A45" s="894"/>
      <c r="B45" s="955"/>
      <c r="C45" s="951"/>
      <c r="D45" s="952"/>
      <c r="E45" s="550"/>
      <c r="F45" s="953"/>
      <c r="G45" s="551"/>
    </row>
    <row r="46" spans="1:11" ht="13">
      <c r="A46" s="954"/>
      <c r="B46" s="952"/>
      <c r="C46" s="952"/>
      <c r="D46" s="952"/>
      <c r="E46" s="550"/>
      <c r="F46" s="550"/>
      <c r="G46" s="551"/>
    </row>
    <row r="47" spans="1:11" ht="18">
      <c r="A47" s="894"/>
      <c r="B47" s="955"/>
      <c r="C47" s="912"/>
      <c r="D47" s="955"/>
      <c r="E47" s="552"/>
      <c r="F47" s="956"/>
      <c r="G47" s="913"/>
    </row>
    <row r="48" spans="1:11" ht="18">
      <c r="A48" s="896"/>
      <c r="B48" s="912"/>
      <c r="C48" s="912"/>
      <c r="D48" s="912"/>
      <c r="E48" s="552"/>
      <c r="F48" s="553"/>
      <c r="G48" s="554"/>
    </row>
    <row r="49" spans="1:7" ht="18">
      <c r="A49" s="896"/>
      <c r="B49" s="912"/>
      <c r="C49" s="912"/>
      <c r="D49" s="912"/>
      <c r="E49" s="552"/>
      <c r="F49" s="912"/>
      <c r="G49" s="913"/>
    </row>
    <row r="50" spans="1:7" ht="18">
      <c r="A50" s="957"/>
      <c r="B50" s="958"/>
      <c r="C50" s="958"/>
      <c r="D50" s="912"/>
      <c r="E50" s="552"/>
      <c r="F50" s="553"/>
      <c r="G50" s="554"/>
    </row>
    <row r="51" spans="1:7" ht="18">
      <c r="A51" s="959"/>
      <c r="B51" s="960"/>
      <c r="C51" s="960"/>
      <c r="D51" s="912"/>
      <c r="E51" s="552"/>
      <c r="F51" s="553"/>
      <c r="G51" s="555"/>
    </row>
    <row r="52" spans="1:7" ht="18">
      <c r="A52" s="959"/>
      <c r="B52" s="960"/>
      <c r="C52" s="960"/>
      <c r="D52" s="912"/>
      <c r="E52" s="552"/>
      <c r="F52" s="912"/>
      <c r="G52" s="913"/>
    </row>
    <row r="53" spans="1:7" ht="18">
      <c r="A53" s="896"/>
      <c r="B53" s="912"/>
      <c r="C53" s="912"/>
      <c r="D53" s="912"/>
      <c r="E53" s="961"/>
      <c r="F53" s="553"/>
      <c r="G53" s="554"/>
    </row>
    <row r="54" spans="1:7" ht="18">
      <c r="A54" s="957"/>
      <c r="B54" s="958"/>
      <c r="C54" s="958"/>
      <c r="D54" s="912"/>
      <c r="E54" s="912"/>
      <c r="F54" s="553"/>
      <c r="G54" s="555"/>
    </row>
    <row r="55" spans="1:7" ht="18">
      <c r="A55" s="957"/>
      <c r="B55" s="958"/>
      <c r="C55" s="958"/>
      <c r="D55" s="912"/>
      <c r="E55" s="912"/>
      <c r="F55" s="912"/>
      <c r="G55" s="913"/>
    </row>
    <row r="56" spans="1:7" ht="18">
      <c r="A56" s="957"/>
      <c r="B56" s="958"/>
      <c r="C56" s="912"/>
      <c r="D56" s="912"/>
      <c r="E56" s="912"/>
      <c r="F56" s="912"/>
      <c r="G56" s="913"/>
    </row>
    <row r="57" spans="1:7" ht="18">
      <c r="A57" s="896"/>
      <c r="B57" s="912"/>
      <c r="C57" s="912"/>
      <c r="D57" s="912"/>
      <c r="E57" s="552"/>
      <c r="F57" s="552"/>
      <c r="G57" s="556"/>
    </row>
    <row r="58" spans="1:7" ht="10.5" customHeight="1">
      <c r="A58" s="896"/>
      <c r="B58" s="912"/>
      <c r="C58" s="912"/>
      <c r="D58" s="912"/>
      <c r="E58" s="552"/>
      <c r="F58" s="912"/>
      <c r="G58" s="557"/>
    </row>
    <row r="59" spans="1:7" ht="18">
      <c r="A59" s="957"/>
      <c r="B59" s="958"/>
      <c r="C59" s="912"/>
      <c r="D59" s="912"/>
      <c r="E59" s="552"/>
      <c r="F59" s="912"/>
      <c r="G59" s="557"/>
    </row>
    <row r="60" spans="1:7" ht="18.5" thickBot="1">
      <c r="A60" s="962"/>
      <c r="B60" s="2817"/>
      <c r="C60" s="915"/>
      <c r="D60" s="915"/>
      <c r="E60" s="558"/>
      <c r="F60" s="915"/>
      <c r="G60" s="559"/>
    </row>
  </sheetData>
  <mergeCells count="4">
    <mergeCell ref="A1:G1"/>
    <mergeCell ref="A2:G2"/>
    <mergeCell ref="A3:G3"/>
    <mergeCell ref="A5:C7"/>
  </mergeCells>
  <printOptions horizontalCentered="1"/>
  <pageMargins left="0.55000000000000004" right="0.48" top="0.51" bottom="0.74803149606299213" header="0.31496062992125984" footer="0.31496062992125984"/>
  <pageSetup paperSize="9" scale="62" orientation="portrait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36"/>
  <dimension ref="A2:F52"/>
  <sheetViews>
    <sheetView showGridLines="0" view="pageBreakPreview" topLeftCell="A27" zoomScaleSheetLayoutView="100" workbookViewId="0">
      <selection activeCell="C43" sqref="C43"/>
    </sheetView>
  </sheetViews>
  <sheetFormatPr defaultColWidth="14.7265625" defaultRowHeight="12.5"/>
  <cols>
    <col min="1" max="1" width="6" style="4" customWidth="1"/>
    <col min="2" max="2" width="58" customWidth="1"/>
    <col min="3" max="3" width="19.81640625" customWidth="1"/>
    <col min="4" max="4" width="16.81640625" customWidth="1"/>
  </cols>
  <sheetData>
    <row r="2" spans="1:4" ht="13">
      <c r="A2" s="357" t="s">
        <v>1314</v>
      </c>
      <c r="C2" s="7" t="s">
        <v>124</v>
      </c>
      <c r="D2" s="8" t="s">
        <v>651</v>
      </c>
    </row>
    <row r="4" spans="1:4" ht="31" customHeight="1">
      <c r="A4" s="3547" t="s">
        <v>5408</v>
      </c>
      <c r="B4" s="3557"/>
      <c r="C4" s="3557"/>
      <c r="D4" s="3557"/>
    </row>
    <row r="5" spans="1:4">
      <c r="A5" s="3557" t="s">
        <v>1258</v>
      </c>
      <c r="B5" s="3557"/>
      <c r="C5" s="3557"/>
      <c r="D5" s="3557"/>
    </row>
    <row r="7" spans="1:4" ht="13" thickBot="1">
      <c r="C7" s="3557" t="s">
        <v>1559</v>
      </c>
      <c r="D7" s="3557"/>
    </row>
    <row r="8" spans="1:4" ht="15.5">
      <c r="A8" s="145" t="s">
        <v>126</v>
      </c>
      <c r="B8" s="355"/>
      <c r="C8" s="356" t="s">
        <v>5104</v>
      </c>
      <c r="D8" s="356" t="s">
        <v>5329</v>
      </c>
    </row>
    <row r="9" spans="1:4">
      <c r="A9" s="167"/>
      <c r="B9" s="12"/>
      <c r="C9" s="12"/>
      <c r="D9" s="80"/>
    </row>
    <row r="10" spans="1:4">
      <c r="A10" s="167" t="s">
        <v>1420</v>
      </c>
      <c r="B10" s="12" t="s">
        <v>1098</v>
      </c>
      <c r="C10" s="19">
        <f>+'F-21'!D20</f>
        <v>1369.1751518499073</v>
      </c>
      <c r="D10" s="82">
        <f>+'F-21'!E20</f>
        <v>1680.9306618147373</v>
      </c>
    </row>
    <row r="11" spans="1:4">
      <c r="A11" s="167"/>
      <c r="B11" s="12" t="s">
        <v>1097</v>
      </c>
      <c r="C11" s="25">
        <f>-'F-21'!D16</f>
        <v>-182.52266247600002</v>
      </c>
      <c r="D11" s="354">
        <f>-'F-21'!E16</f>
        <v>-182.52266247600002</v>
      </c>
    </row>
    <row r="12" spans="1:4">
      <c r="A12" s="167" t="s">
        <v>518</v>
      </c>
      <c r="B12" s="12" t="s">
        <v>1259</v>
      </c>
      <c r="C12" s="19">
        <v>0</v>
      </c>
      <c r="D12" s="82">
        <v>0</v>
      </c>
    </row>
    <row r="13" spans="1:4">
      <c r="A13" s="167"/>
      <c r="B13" s="12"/>
      <c r="C13" s="19"/>
      <c r="D13" s="82"/>
    </row>
    <row r="14" spans="1:4">
      <c r="A14" s="167" t="s">
        <v>519</v>
      </c>
      <c r="B14" s="12" t="s">
        <v>1260</v>
      </c>
      <c r="C14" s="19">
        <f>+'F-21'!D25</f>
        <v>142.35000000000002</v>
      </c>
      <c r="D14" s="82">
        <f>+'F-21'!E25</f>
        <v>264.12804642438459</v>
      </c>
    </row>
    <row r="15" spans="1:4">
      <c r="A15" s="167"/>
      <c r="B15" s="12"/>
      <c r="C15" s="19"/>
      <c r="D15" s="82"/>
    </row>
    <row r="16" spans="1:4">
      <c r="A16" s="167" t="s">
        <v>1261</v>
      </c>
      <c r="B16" s="12" t="s">
        <v>1263</v>
      </c>
      <c r="C16" s="19"/>
      <c r="D16" s="82"/>
    </row>
    <row r="17" spans="1:4">
      <c r="A17" s="167"/>
      <c r="B17" s="12"/>
      <c r="C17" s="19"/>
      <c r="D17" s="82"/>
    </row>
    <row r="18" spans="1:4">
      <c r="A18" s="167" t="s">
        <v>1264</v>
      </c>
      <c r="B18" s="12" t="s">
        <v>1401</v>
      </c>
      <c r="C18" s="19"/>
      <c r="D18" s="82"/>
    </row>
    <row r="19" spans="1:4">
      <c r="A19" s="167"/>
      <c r="B19" s="12" t="s">
        <v>54</v>
      </c>
      <c r="C19" s="19">
        <f>+'F-10 '!P44</f>
        <v>28.302300534999997</v>
      </c>
      <c r="D19" s="82">
        <f>+'F-10 '!P65</f>
        <v>28.302300534999997</v>
      </c>
    </row>
    <row r="20" spans="1:4">
      <c r="A20" s="167"/>
      <c r="B20" s="12" t="s">
        <v>1318</v>
      </c>
      <c r="C20" s="19"/>
      <c r="D20" s="82"/>
    </row>
    <row r="21" spans="1:4">
      <c r="A21" s="167"/>
      <c r="B21" s="12" t="s">
        <v>1319</v>
      </c>
      <c r="C21" s="19"/>
      <c r="D21" s="82"/>
    </row>
    <row r="22" spans="1:4">
      <c r="A22" s="167"/>
      <c r="B22" s="12" t="s">
        <v>53</v>
      </c>
      <c r="C22" s="19">
        <f>+('F-21'!D30+'F-21'!C30)/2</f>
        <v>575.73113992985259</v>
      </c>
      <c r="D22" s="354">
        <f>+('F-21'!E30+'F-21'!D30)/2</f>
        <v>435.45891872486072</v>
      </c>
    </row>
    <row r="23" spans="1:4">
      <c r="A23" s="167"/>
      <c r="B23" s="12" t="s">
        <v>1474</v>
      </c>
      <c r="C23" s="19"/>
      <c r="D23" s="82"/>
    </row>
    <row r="24" spans="1:4">
      <c r="A24" s="167"/>
      <c r="B24" s="12" t="s">
        <v>1475</v>
      </c>
      <c r="C24" s="19"/>
      <c r="D24" s="82"/>
    </row>
    <row r="25" spans="1:4">
      <c r="A25" s="167"/>
      <c r="B25" s="12" t="s">
        <v>1477</v>
      </c>
      <c r="C25" s="19"/>
      <c r="D25" s="82"/>
    </row>
    <row r="26" spans="1:4">
      <c r="A26" s="167"/>
      <c r="B26" s="12"/>
      <c r="C26" s="19"/>
      <c r="D26" s="82"/>
    </row>
    <row r="27" spans="1:4" ht="15.5">
      <c r="A27" s="360" t="s">
        <v>1478</v>
      </c>
      <c r="B27" s="12"/>
      <c r="C27" s="20">
        <f>SUM(C10:C26)</f>
        <v>1933.03592983876</v>
      </c>
      <c r="D27" s="84">
        <f>SUM(D10:D26)</f>
        <v>2226.2972650229826</v>
      </c>
    </row>
    <row r="28" spans="1:4">
      <c r="A28" s="167"/>
      <c r="B28" s="12"/>
      <c r="C28" s="19"/>
      <c r="D28" s="82"/>
    </row>
    <row r="29" spans="1:4" ht="15.5">
      <c r="A29" s="361" t="s">
        <v>1481</v>
      </c>
      <c r="B29" s="12"/>
      <c r="C29" s="19"/>
      <c r="D29" s="82"/>
    </row>
    <row r="30" spans="1:4" ht="15.5">
      <c r="A30" s="358" t="s">
        <v>1169</v>
      </c>
      <c r="B30" s="12"/>
      <c r="C30" s="19"/>
      <c r="D30" s="82"/>
    </row>
    <row r="31" spans="1:4">
      <c r="A31" s="167" t="s">
        <v>637</v>
      </c>
      <c r="B31" s="12" t="s">
        <v>1580</v>
      </c>
      <c r="C31" s="19">
        <f>+'F-21'!D21</f>
        <v>454.8572984384524</v>
      </c>
      <c r="D31" s="82">
        <f>+'F-21'!E21</f>
        <v>516.95081820714051</v>
      </c>
    </row>
    <row r="32" spans="1:4">
      <c r="A32" s="167"/>
      <c r="B32" s="12" t="s">
        <v>1482</v>
      </c>
      <c r="C32" s="19"/>
      <c r="D32" s="82"/>
    </row>
    <row r="33" spans="1:6">
      <c r="A33" s="167" t="s">
        <v>441</v>
      </c>
      <c r="B33" s="12" t="s">
        <v>856</v>
      </c>
      <c r="C33" s="19">
        <f>+'F-3'!E6+'F-3'!E10+'F-3'!E15+'F-3'!E17+'F-3'!E12+'F-3'!E13+'F-3'!E14</f>
        <v>175.87288539999997</v>
      </c>
      <c r="D33" s="82">
        <f>+'F-3'!I6+'F-3'!I10+'F-3'!I15+'F-3'!I17+'F-3'!I12+'F-3'!I13+'F-3'!I14+'F-3'!I21</f>
        <v>169.23288539999999</v>
      </c>
      <c r="E33" s="3"/>
    </row>
    <row r="34" spans="1:6" ht="31" customHeight="1">
      <c r="A34" s="359" t="s">
        <v>1483</v>
      </c>
      <c r="B34" s="17" t="s">
        <v>1484</v>
      </c>
      <c r="C34" s="19">
        <f>+'F-3'!E9</f>
        <v>0</v>
      </c>
      <c r="D34" s="82">
        <f>+'F-3'!I9</f>
        <v>0</v>
      </c>
      <c r="E34" s="3"/>
      <c r="F34" s="3"/>
    </row>
    <row r="35" spans="1:6">
      <c r="A35" s="167" t="s">
        <v>1485</v>
      </c>
      <c r="B35" s="12" t="s">
        <v>1486</v>
      </c>
      <c r="C35" s="19">
        <v>0</v>
      </c>
      <c r="D35" s="82">
        <v>0</v>
      </c>
    </row>
    <row r="36" spans="1:6" ht="16.5" customHeight="1">
      <c r="A36" s="359" t="s">
        <v>443</v>
      </c>
      <c r="B36" s="17" t="s">
        <v>99</v>
      </c>
      <c r="C36" s="19">
        <f>+'F-3'!E7+'F-3'!E11</f>
        <v>9.7519999999999996E-2</v>
      </c>
      <c r="D36" s="82">
        <f>+'F-3'!I7+'F-3'!I11</f>
        <v>9.7519999999999996E-2</v>
      </c>
      <c r="E36" s="3">
        <f>SUM(C33:C37)</f>
        <v>175.97040539999998</v>
      </c>
      <c r="F36" s="3">
        <f>SUM(D33:D37)</f>
        <v>169.33040539999999</v>
      </c>
    </row>
    <row r="37" spans="1:6" ht="16.5" customHeight="1">
      <c r="A37" s="359" t="s">
        <v>444</v>
      </c>
      <c r="B37" s="17" t="s">
        <v>100</v>
      </c>
      <c r="C37" s="19">
        <f>+'F-3'!E8</f>
        <v>0</v>
      </c>
      <c r="D37" s="82">
        <f>+'F-3'!I8</f>
        <v>0</v>
      </c>
      <c r="E37" s="3">
        <f>+'F-21'!D11</f>
        <v>584.66809972721103</v>
      </c>
      <c r="F37" s="3">
        <f>+'F-21'!E11</f>
        <v>996.13141707391753</v>
      </c>
    </row>
    <row r="38" spans="1:6" ht="29.15" customHeight="1">
      <c r="A38" s="359" t="s">
        <v>446</v>
      </c>
      <c r="B38" s="17" t="s">
        <v>1487</v>
      </c>
      <c r="C38" s="19"/>
      <c r="D38" s="82"/>
      <c r="E38" s="3">
        <f>+E36-E37</f>
        <v>-408.69769432721102</v>
      </c>
      <c r="F38" s="3">
        <f>+F36-F37</f>
        <v>-826.80101167391751</v>
      </c>
    </row>
    <row r="39" spans="1:6" ht="42" customHeight="1">
      <c r="A39" s="359" t="s">
        <v>448</v>
      </c>
      <c r="B39" s="17" t="s">
        <v>662</v>
      </c>
      <c r="C39" s="19"/>
      <c r="D39" s="82"/>
      <c r="E39" s="3">
        <f>+'F-3'!E22</f>
        <v>340.20040540000002</v>
      </c>
      <c r="F39" s="3">
        <f>+'F-3'!I22</f>
        <v>642.75515250875196</v>
      </c>
    </row>
    <row r="40" spans="1:6" ht="13">
      <c r="A40" s="167"/>
      <c r="B40" s="12"/>
      <c r="C40" s="20">
        <f>SUM(C31:C39)</f>
        <v>630.82770383845241</v>
      </c>
      <c r="D40" s="84">
        <f>SUM(D31:D39)</f>
        <v>686.28122360714053</v>
      </c>
    </row>
    <row r="41" spans="1:6" ht="15.5">
      <c r="A41" s="360" t="s">
        <v>663</v>
      </c>
      <c r="B41" s="12"/>
      <c r="C41" s="19"/>
      <c r="D41" s="82"/>
    </row>
    <row r="42" spans="1:6" ht="13">
      <c r="A42" s="362" t="s">
        <v>664</v>
      </c>
      <c r="B42" s="12"/>
      <c r="C42" s="60">
        <f>C27-C40</f>
        <v>1302.2082260003076</v>
      </c>
      <c r="D42" s="235">
        <f>D27-D40</f>
        <v>1540.0160414158422</v>
      </c>
      <c r="E42" s="3"/>
    </row>
    <row r="43" spans="1:6" ht="13.5" thickBot="1">
      <c r="A43" s="363" t="s">
        <v>1491</v>
      </c>
      <c r="B43" s="163"/>
      <c r="C43" s="406">
        <f>((200*0.16+('Additional Working'!C55/2)*0.16))/(1-25.17%)</f>
        <v>48.609208430081225</v>
      </c>
      <c r="D43" s="406">
        <f>('F-21'!D8*0.16+('Additional Working'!D55/2)*0.16)/(1-25.17%)</f>
        <v>74.704094047327928</v>
      </c>
    </row>
    <row r="44" spans="1:6" ht="13">
      <c r="C44" s="5"/>
      <c r="D44" s="5"/>
    </row>
    <row r="45" spans="1:6" ht="13">
      <c r="A45" s="18"/>
      <c r="B45" s="89"/>
      <c r="C45" s="5"/>
      <c r="D45" s="5"/>
    </row>
    <row r="46" spans="1:6" ht="13">
      <c r="A46" s="18"/>
      <c r="B46" s="90"/>
      <c r="C46" s="5"/>
      <c r="D46" s="5"/>
    </row>
    <row r="47" spans="1:6" ht="13">
      <c r="A47" s="18"/>
      <c r="B47" s="7"/>
      <c r="C47" s="5"/>
      <c r="D47" s="5"/>
    </row>
    <row r="52" spans="4:4">
      <c r="D52" s="3"/>
    </row>
  </sheetData>
  <mergeCells count="3">
    <mergeCell ref="C7:D7"/>
    <mergeCell ref="A4:D4"/>
    <mergeCell ref="A5:D5"/>
  </mergeCells>
  <phoneticPr fontId="0" type="noConversion"/>
  <printOptions horizontalCentered="1" verticalCentered="1"/>
  <pageMargins left="0.5" right="0" top="0.25" bottom="0.75" header="0.25" footer="0.75"/>
  <pageSetup paperSize="9" scale="90" orientation="portrait" r:id="rId1"/>
  <headerFooter alignWithMargins="0">
    <oddFooter>&amp;ROERC FORM -F-14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7">
    <pageSetUpPr fitToPage="1"/>
  </sheetPr>
  <dimension ref="A1:P32"/>
  <sheetViews>
    <sheetView showGridLines="0" view="pageBreakPreview" zoomScaleSheetLayoutView="100" workbookViewId="0">
      <selection activeCell="Q8" sqref="Q8"/>
    </sheetView>
  </sheetViews>
  <sheetFormatPr defaultColWidth="9.1796875" defaultRowHeight="12.5"/>
  <cols>
    <col min="1" max="1" width="16" customWidth="1"/>
    <col min="2" max="2" width="10.1796875" customWidth="1"/>
    <col min="3" max="3" width="9.54296875" customWidth="1"/>
    <col min="4" max="4" width="8.26953125" customWidth="1"/>
    <col min="5" max="5" width="11.54296875" customWidth="1"/>
    <col min="6" max="6" width="9.26953125" customWidth="1"/>
    <col min="7" max="7" width="9.7265625" customWidth="1"/>
    <col min="8" max="8" width="10.453125" bestFit="1" customWidth="1"/>
    <col min="9" max="9" width="14.1796875" customWidth="1"/>
    <col min="10" max="10" width="8.7265625" customWidth="1"/>
    <col min="11" max="11" width="10.26953125" bestFit="1" customWidth="1"/>
    <col min="12" max="12" width="7.54296875" customWidth="1"/>
    <col min="15" max="15" width="9.26953125" bestFit="1" customWidth="1"/>
    <col min="16" max="16" width="11" customWidth="1"/>
  </cols>
  <sheetData>
    <row r="1" spans="1:16" ht="13">
      <c r="A1" s="6" t="s">
        <v>1314</v>
      </c>
      <c r="K1" s="7" t="s">
        <v>124</v>
      </c>
      <c r="L1" s="1" t="s">
        <v>238</v>
      </c>
    </row>
    <row r="3" spans="1:16" ht="15.5">
      <c r="A3" s="43" t="s">
        <v>29</v>
      </c>
    </row>
    <row r="4" spans="1:16" ht="15.5">
      <c r="A4" s="43"/>
    </row>
    <row r="5" spans="1:16" ht="13">
      <c r="A5" s="1" t="s">
        <v>4767</v>
      </c>
      <c r="L5" s="1" t="s">
        <v>1090</v>
      </c>
    </row>
    <row r="6" spans="1:16" s="4" customFormat="1" ht="39">
      <c r="A6" s="74" t="s">
        <v>30</v>
      </c>
      <c r="B6" s="74" t="s">
        <v>31</v>
      </c>
      <c r="C6" s="16" t="s">
        <v>32</v>
      </c>
      <c r="D6" s="16"/>
      <c r="E6" s="16"/>
      <c r="F6" s="16"/>
      <c r="G6" s="16"/>
      <c r="H6" s="16"/>
      <c r="I6" s="74" t="s">
        <v>33</v>
      </c>
      <c r="J6" s="74" t="s">
        <v>34</v>
      </c>
      <c r="K6" s="74" t="s">
        <v>35</v>
      </c>
      <c r="L6" s="74" t="s">
        <v>36</v>
      </c>
      <c r="M6" s="74" t="s">
        <v>371</v>
      </c>
    </row>
    <row r="7" spans="1:16" s="4" customFormat="1" ht="13">
      <c r="A7" s="16"/>
      <c r="B7" s="16"/>
      <c r="C7" s="16" t="s">
        <v>1240</v>
      </c>
      <c r="D7" s="16" t="s">
        <v>1241</v>
      </c>
      <c r="E7" s="16" t="s">
        <v>1242</v>
      </c>
      <c r="F7" s="16" t="s">
        <v>116</v>
      </c>
      <c r="G7" s="16" t="s">
        <v>37</v>
      </c>
      <c r="H7" s="16" t="s">
        <v>1100</v>
      </c>
      <c r="I7" s="16"/>
      <c r="J7" s="16"/>
      <c r="K7" s="16"/>
      <c r="L7" s="16"/>
      <c r="M7" s="16"/>
    </row>
    <row r="8" spans="1:16">
      <c r="A8" s="12" t="s">
        <v>1243</v>
      </c>
      <c r="B8" s="19">
        <v>0</v>
      </c>
      <c r="C8" s="19"/>
      <c r="D8" s="19"/>
      <c r="E8" s="19"/>
      <c r="F8" s="19"/>
      <c r="G8" s="19"/>
      <c r="H8" s="19">
        <f>SUM(C8:G8)</f>
        <v>0</v>
      </c>
      <c r="I8" s="19"/>
      <c r="J8" s="12"/>
      <c r="K8" s="19">
        <f>H8+B8-I8</f>
        <v>0</v>
      </c>
      <c r="L8" s="12"/>
      <c r="M8" s="12"/>
    </row>
    <row r="9" spans="1:16">
      <c r="A9" s="12" t="s">
        <v>1244</v>
      </c>
      <c r="B9" s="19">
        <v>0</v>
      </c>
      <c r="C9" s="19"/>
      <c r="D9" s="19"/>
      <c r="E9" s="19"/>
      <c r="F9" s="19"/>
      <c r="G9" s="19"/>
      <c r="H9" s="19">
        <f t="shared" ref="H9:H14" si="0">SUM(C9:G9)</f>
        <v>0</v>
      </c>
      <c r="I9" s="19"/>
      <c r="J9" s="12"/>
      <c r="K9" s="19">
        <f t="shared" ref="K9:K14" si="1">H9+B9-I9</f>
        <v>0</v>
      </c>
      <c r="L9" s="12"/>
      <c r="M9" s="12"/>
    </row>
    <row r="10" spans="1:16">
      <c r="A10" s="12" t="s">
        <v>38</v>
      </c>
      <c r="B10" s="19">
        <f>+'F-2'!H89</f>
        <v>79.86999999999999</v>
      </c>
      <c r="C10" s="19">
        <f>+'F-2'!I89-E10-F10</f>
        <v>174.99001365767879</v>
      </c>
      <c r="D10" s="19"/>
      <c r="E10" s="19">
        <f>+'F-2'!$I$89*0.225</f>
        <v>55.066787514654166</v>
      </c>
      <c r="F10" s="19">
        <f>+'F-2'!$I$89*0.06</f>
        <v>14.684476670574444</v>
      </c>
      <c r="G10" s="19">
        <f>+'F-2'!J89</f>
        <v>0</v>
      </c>
      <c r="H10" s="19">
        <f>SUM(C10:G10)</f>
        <v>244.74127784290738</v>
      </c>
      <c r="I10" s="19">
        <f>+'F-2'!L89</f>
        <v>182.26127784290739</v>
      </c>
      <c r="J10" s="12"/>
      <c r="K10" s="19">
        <f>H10+B10-I10-J10</f>
        <v>142.35</v>
      </c>
      <c r="L10" s="12"/>
      <c r="M10" s="19"/>
    </row>
    <row r="11" spans="1:16">
      <c r="A11" s="12" t="s">
        <v>1246</v>
      </c>
      <c r="B11" s="19">
        <v>0</v>
      </c>
      <c r="C11" s="19"/>
      <c r="D11" s="19"/>
      <c r="E11" s="19"/>
      <c r="F11" s="19"/>
      <c r="G11" s="19"/>
      <c r="H11" s="19">
        <f t="shared" si="0"/>
        <v>0</v>
      </c>
      <c r="I11" s="19"/>
      <c r="J11" s="12"/>
      <c r="K11" s="19">
        <f t="shared" si="1"/>
        <v>0</v>
      </c>
      <c r="L11" s="12"/>
      <c r="M11" s="12"/>
    </row>
    <row r="12" spans="1:16">
      <c r="A12" s="12" t="s">
        <v>751</v>
      </c>
      <c r="B12" s="19">
        <v>0</v>
      </c>
      <c r="C12" s="19"/>
      <c r="D12" s="19"/>
      <c r="E12" s="19"/>
      <c r="F12" s="19"/>
      <c r="G12" s="19"/>
      <c r="H12" s="19">
        <f t="shared" si="0"/>
        <v>0</v>
      </c>
      <c r="I12" s="19"/>
      <c r="J12" s="12"/>
      <c r="K12" s="19">
        <f t="shared" si="1"/>
        <v>0</v>
      </c>
      <c r="L12" s="12"/>
      <c r="M12" s="12"/>
    </row>
    <row r="13" spans="1:16">
      <c r="A13" s="12" t="s">
        <v>121</v>
      </c>
      <c r="B13" s="19">
        <v>0</v>
      </c>
      <c r="C13" s="19"/>
      <c r="D13" s="19"/>
      <c r="E13" s="19"/>
      <c r="F13" s="19"/>
      <c r="G13" s="19"/>
      <c r="H13" s="19">
        <f t="shared" si="0"/>
        <v>0</v>
      </c>
      <c r="I13" s="19"/>
      <c r="J13" s="12"/>
      <c r="K13" s="19">
        <f t="shared" si="1"/>
        <v>0</v>
      </c>
      <c r="L13" s="12"/>
      <c r="M13" s="12"/>
    </row>
    <row r="14" spans="1:16">
      <c r="A14" s="12" t="s">
        <v>685</v>
      </c>
      <c r="B14" s="19">
        <v>0</v>
      </c>
      <c r="C14" s="19"/>
      <c r="D14" s="19"/>
      <c r="E14" s="19"/>
      <c r="F14" s="19"/>
      <c r="G14" s="142"/>
      <c r="H14" s="19">
        <f t="shared" si="0"/>
        <v>0</v>
      </c>
      <c r="I14" s="19"/>
      <c r="J14" s="12"/>
      <c r="K14" s="19">
        <f t="shared" si="1"/>
        <v>0</v>
      </c>
      <c r="L14" s="12"/>
      <c r="M14" s="12"/>
    </row>
    <row r="15" spans="1:16" ht="13">
      <c r="A15" s="24" t="s">
        <v>1100</v>
      </c>
      <c r="B15" s="19">
        <f>SUM(B8:B14)</f>
        <v>79.86999999999999</v>
      </c>
      <c r="C15" s="19">
        <f t="shared" ref="C15:K15" si="2">SUM(C8:C14)</f>
        <v>174.99001365767879</v>
      </c>
      <c r="D15" s="19">
        <f t="shared" si="2"/>
        <v>0</v>
      </c>
      <c r="E15" s="19">
        <f t="shared" si="2"/>
        <v>55.066787514654166</v>
      </c>
      <c r="F15" s="19">
        <f t="shared" si="2"/>
        <v>14.684476670574444</v>
      </c>
      <c r="G15" s="142">
        <f t="shared" si="2"/>
        <v>0</v>
      </c>
      <c r="H15" s="19">
        <f t="shared" si="2"/>
        <v>244.74127784290738</v>
      </c>
      <c r="I15" s="19">
        <f t="shared" si="2"/>
        <v>182.26127784290739</v>
      </c>
      <c r="J15" s="19">
        <f t="shared" si="2"/>
        <v>0</v>
      </c>
      <c r="K15" s="19">
        <f t="shared" si="2"/>
        <v>142.35</v>
      </c>
      <c r="L15" s="12"/>
      <c r="M15" s="12"/>
      <c r="N15" s="3"/>
    </row>
    <row r="16" spans="1:16">
      <c r="B16" s="3"/>
      <c r="E16" s="3"/>
      <c r="F16" s="3"/>
      <c r="G16" s="3"/>
      <c r="H16" s="3"/>
      <c r="I16" s="3"/>
      <c r="K16" s="3"/>
      <c r="L16" s="3"/>
      <c r="M16" s="3"/>
      <c r="N16" s="3"/>
      <c r="O16" s="3">
        <f>+I15-'F-2'!L89</f>
        <v>0</v>
      </c>
      <c r="P16" s="3">
        <f>+K15-'F-2'!M89</f>
        <v>0</v>
      </c>
    </row>
    <row r="17" spans="1:16" ht="13">
      <c r="A17" s="1" t="s">
        <v>4768</v>
      </c>
      <c r="H17" s="3"/>
      <c r="I17" s="3"/>
      <c r="K17" s="229"/>
    </row>
    <row r="18" spans="1:16" s="4" customFormat="1" ht="39">
      <c r="A18" s="74" t="s">
        <v>30</v>
      </c>
      <c r="B18" s="74" t="s">
        <v>31</v>
      </c>
      <c r="C18" s="16" t="s">
        <v>32</v>
      </c>
      <c r="D18" s="16"/>
      <c r="E18" s="16"/>
      <c r="F18" s="16"/>
      <c r="G18" s="16"/>
      <c r="H18" s="16"/>
      <c r="I18" s="74" t="s">
        <v>33</v>
      </c>
      <c r="J18" s="74" t="s">
        <v>34</v>
      </c>
      <c r="K18" s="74" t="s">
        <v>35</v>
      </c>
      <c r="L18" s="74" t="s">
        <v>36</v>
      </c>
      <c r="M18" s="74" t="s">
        <v>371</v>
      </c>
    </row>
    <row r="19" spans="1:16" s="4" customFormat="1" ht="13">
      <c r="A19" s="16"/>
      <c r="B19" s="16"/>
      <c r="C19" s="16" t="s">
        <v>1240</v>
      </c>
      <c r="D19" s="16" t="s">
        <v>1241</v>
      </c>
      <c r="E19" s="16" t="s">
        <v>1242</v>
      </c>
      <c r="F19" s="16" t="s">
        <v>116</v>
      </c>
      <c r="G19" s="16" t="s">
        <v>37</v>
      </c>
      <c r="H19" s="16" t="s">
        <v>1100</v>
      </c>
      <c r="I19" s="16"/>
      <c r="J19" s="16"/>
      <c r="K19" s="16"/>
      <c r="L19" s="16"/>
      <c r="M19" s="16"/>
    </row>
    <row r="20" spans="1:16">
      <c r="A20" s="12" t="s">
        <v>1243</v>
      </c>
      <c r="B20" s="19">
        <f>K8</f>
        <v>0</v>
      </c>
      <c r="C20" s="19"/>
      <c r="D20" s="19"/>
      <c r="E20" s="19"/>
      <c r="F20" s="19"/>
      <c r="G20" s="19"/>
      <c r="H20" s="19">
        <f>SUM(C20:G20)</f>
        <v>0</v>
      </c>
      <c r="I20" s="19"/>
      <c r="J20" s="12"/>
      <c r="K20" s="19">
        <f>H20+B20-I20</f>
        <v>0</v>
      </c>
      <c r="L20" s="12"/>
      <c r="M20" s="12"/>
    </row>
    <row r="21" spans="1:16">
      <c r="A21" s="12" t="s">
        <v>1244</v>
      </c>
      <c r="B21" s="19">
        <f t="shared" ref="B21:B26" si="3">K9</f>
        <v>0</v>
      </c>
      <c r="C21" s="19"/>
      <c r="D21" s="19"/>
      <c r="E21" s="19"/>
      <c r="F21" s="19"/>
      <c r="G21" s="19"/>
      <c r="H21" s="19">
        <f t="shared" ref="H21:H26" si="4">SUM(C21:G21)</f>
        <v>0</v>
      </c>
      <c r="I21" s="19"/>
      <c r="J21" s="12"/>
      <c r="K21" s="19">
        <f t="shared" ref="K21:K26" si="5">H21+B21-I21</f>
        <v>0</v>
      </c>
      <c r="L21" s="12"/>
      <c r="M21" s="12"/>
    </row>
    <row r="22" spans="1:16">
      <c r="A22" s="12" t="s">
        <v>38</v>
      </c>
      <c r="B22" s="19">
        <f t="shared" si="3"/>
        <v>142.35</v>
      </c>
      <c r="C22" s="19">
        <f>+'F-2'!$N$89-E22-F22</f>
        <v>321.99703962485353</v>
      </c>
      <c r="D22" s="19"/>
      <c r="E22" s="19">
        <f>+'F-2'!$N$89*0.225</f>
        <v>101.32773974208676</v>
      </c>
      <c r="F22" s="19">
        <f>+'F-2'!$N$89*0.06</f>
        <v>27.020730597889802</v>
      </c>
      <c r="G22" s="19">
        <f>+'F-2'!O89</f>
        <v>7.8810464243845262</v>
      </c>
      <c r="H22" s="19">
        <f t="shared" si="4"/>
        <v>458.22655638921458</v>
      </c>
      <c r="I22" s="19">
        <f>+'F-2'!Q89</f>
        <v>311.75550996483003</v>
      </c>
      <c r="J22" s="12"/>
      <c r="K22" s="19">
        <f>H22+B22-I22-J22</f>
        <v>288.82104642438458</v>
      </c>
      <c r="L22" s="12"/>
      <c r="M22" s="12"/>
    </row>
    <row r="23" spans="1:16">
      <c r="A23" s="12" t="s">
        <v>1246</v>
      </c>
      <c r="B23" s="19">
        <f t="shared" si="3"/>
        <v>0</v>
      </c>
      <c r="C23" s="19"/>
      <c r="D23" s="19"/>
      <c r="E23" s="19"/>
      <c r="F23" s="19"/>
      <c r="G23" s="19"/>
      <c r="H23" s="19">
        <f t="shared" si="4"/>
        <v>0</v>
      </c>
      <c r="I23" s="19"/>
      <c r="J23" s="12"/>
      <c r="K23" s="19">
        <f t="shared" si="5"/>
        <v>0</v>
      </c>
      <c r="L23" s="12"/>
      <c r="M23" s="12"/>
    </row>
    <row r="24" spans="1:16">
      <c r="A24" s="12" t="s">
        <v>751</v>
      </c>
      <c r="B24" s="19">
        <f t="shared" si="3"/>
        <v>0</v>
      </c>
      <c r="C24" s="19"/>
      <c r="D24" s="19"/>
      <c r="E24" s="19"/>
      <c r="F24" s="19"/>
      <c r="G24" s="19"/>
      <c r="H24" s="19">
        <f t="shared" si="4"/>
        <v>0</v>
      </c>
      <c r="I24" s="19"/>
      <c r="J24" s="12"/>
      <c r="K24" s="19">
        <f t="shared" si="5"/>
        <v>0</v>
      </c>
      <c r="L24" s="12"/>
      <c r="M24" s="12"/>
    </row>
    <row r="25" spans="1:16">
      <c r="A25" s="12" t="s">
        <v>121</v>
      </c>
      <c r="B25" s="19">
        <f t="shared" si="3"/>
        <v>0</v>
      </c>
      <c r="C25" s="19"/>
      <c r="D25" s="19"/>
      <c r="E25" s="19"/>
      <c r="F25" s="19"/>
      <c r="G25" s="19"/>
      <c r="H25" s="19">
        <f t="shared" si="4"/>
        <v>0</v>
      </c>
      <c r="I25" s="19"/>
      <c r="J25" s="12"/>
      <c r="K25" s="19">
        <f t="shared" si="5"/>
        <v>0</v>
      </c>
      <c r="L25" s="12"/>
      <c r="M25" s="12"/>
    </row>
    <row r="26" spans="1:16">
      <c r="A26" s="12" t="s">
        <v>685</v>
      </c>
      <c r="B26" s="19">
        <f t="shared" si="3"/>
        <v>0</v>
      </c>
      <c r="C26" s="19"/>
      <c r="D26" s="19"/>
      <c r="E26" s="19"/>
      <c r="F26" s="19"/>
      <c r="G26" s="19"/>
      <c r="H26" s="19">
        <f t="shared" si="4"/>
        <v>0</v>
      </c>
      <c r="I26" s="19"/>
      <c r="J26" s="12"/>
      <c r="K26" s="19">
        <f t="shared" si="5"/>
        <v>0</v>
      </c>
      <c r="L26" s="12"/>
      <c r="M26" s="12"/>
    </row>
    <row r="27" spans="1:16" ht="13">
      <c r="A27" s="24" t="s">
        <v>1100</v>
      </c>
      <c r="B27" s="19">
        <f>SUM(B20:B26)</f>
        <v>142.35</v>
      </c>
      <c r="C27" s="19">
        <f t="shared" ref="C27:K27" si="6">SUM(C20:C26)</f>
        <v>321.99703962485353</v>
      </c>
      <c r="D27" s="19">
        <f t="shared" si="6"/>
        <v>0</v>
      </c>
      <c r="E27" s="19">
        <f t="shared" si="6"/>
        <v>101.32773974208676</v>
      </c>
      <c r="F27" s="19">
        <f t="shared" si="6"/>
        <v>27.020730597889802</v>
      </c>
      <c r="G27" s="19">
        <f t="shared" si="6"/>
        <v>7.8810464243845262</v>
      </c>
      <c r="H27" s="19">
        <f t="shared" si="6"/>
        <v>458.22655638921458</v>
      </c>
      <c r="I27" s="19">
        <f t="shared" si="6"/>
        <v>311.75550996483003</v>
      </c>
      <c r="J27" s="19">
        <f t="shared" si="6"/>
        <v>0</v>
      </c>
      <c r="K27" s="19">
        <f t="shared" si="6"/>
        <v>288.82104642438458</v>
      </c>
      <c r="L27" s="12"/>
      <c r="M27" s="12"/>
      <c r="N27" s="3"/>
      <c r="O27" s="3">
        <f>+I27-'F-2'!Q89</f>
        <v>0</v>
      </c>
      <c r="P27" s="3">
        <f>+K27-'F-2'!R89</f>
        <v>24.692999999999984</v>
      </c>
    </row>
    <row r="28" spans="1:16">
      <c r="B28" s="3"/>
      <c r="D28" s="3"/>
      <c r="G28" s="3"/>
      <c r="H28" s="3"/>
      <c r="I28" s="3"/>
      <c r="K28" s="3"/>
    </row>
    <row r="29" spans="1:16">
      <c r="B29" s="3"/>
      <c r="D29" s="3"/>
      <c r="H29" s="3"/>
      <c r="I29" s="3"/>
      <c r="K29" s="229"/>
    </row>
    <row r="30" spans="1:16">
      <c r="A30" t="s">
        <v>39</v>
      </c>
      <c r="J30" s="3"/>
      <c r="K30" s="3"/>
    </row>
    <row r="32" spans="1:16">
      <c r="K32" s="3"/>
    </row>
  </sheetData>
  <phoneticPr fontId="0" type="noConversion"/>
  <printOptions horizontalCentered="1" verticalCentered="1"/>
  <pageMargins left="0.75" right="0.75" top="1" bottom="1" header="0.5" footer="0.5"/>
  <pageSetup paperSize="9" scale="98" orientation="landscape" r:id="rId1"/>
  <headerFooter alignWithMargins="0">
    <oddFooter>&amp;ROERC FORM No. -F28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9">
    <pageSetUpPr fitToPage="1"/>
  </sheetPr>
  <dimension ref="A1:G29"/>
  <sheetViews>
    <sheetView showGridLines="0" view="pageBreakPreview" zoomScaleSheetLayoutView="100" workbookViewId="0">
      <selection activeCell="A8" sqref="A8"/>
    </sheetView>
  </sheetViews>
  <sheetFormatPr defaultRowHeight="12.5"/>
  <cols>
    <col min="1" max="1" width="11.453125" customWidth="1"/>
    <col min="2" max="2" width="13.54296875" customWidth="1"/>
    <col min="3" max="3" width="13.81640625" customWidth="1"/>
    <col min="4" max="4" width="25.26953125" customWidth="1"/>
    <col min="5" max="5" width="15.1796875" customWidth="1"/>
    <col min="6" max="6" width="15.26953125" customWidth="1"/>
  </cols>
  <sheetData>
    <row r="1" spans="1:7" ht="13">
      <c r="A1" s="6" t="s">
        <v>1314</v>
      </c>
      <c r="D1" s="7"/>
      <c r="E1" s="3557" t="s">
        <v>750</v>
      </c>
      <c r="F1" s="3557"/>
    </row>
    <row r="2" spans="1:7" ht="13">
      <c r="A2" s="6"/>
      <c r="D2" s="7"/>
      <c r="E2" s="1"/>
    </row>
    <row r="3" spans="1:7" ht="13">
      <c r="A3" s="22" t="s">
        <v>1087</v>
      </c>
      <c r="B3" s="22"/>
      <c r="C3" s="22"/>
      <c r="D3" s="22"/>
      <c r="E3" s="22"/>
      <c r="F3" s="22"/>
    </row>
    <row r="4" spans="1:7" ht="13">
      <c r="A4" s="22" t="s">
        <v>3332</v>
      </c>
      <c r="B4" s="22"/>
      <c r="C4" s="22"/>
      <c r="D4" s="22"/>
      <c r="E4" s="22"/>
      <c r="F4" s="22"/>
    </row>
    <row r="5" spans="1:7" ht="13">
      <c r="E5" s="1" t="s">
        <v>1090</v>
      </c>
    </row>
    <row r="6" spans="1:7" s="4" customFormat="1" ht="52.5" customHeight="1">
      <c r="A6" s="87" t="s">
        <v>895</v>
      </c>
      <c r="B6" s="87" t="s">
        <v>3334</v>
      </c>
      <c r="C6" s="87" t="s">
        <v>1088</v>
      </c>
      <c r="D6" s="87" t="s">
        <v>1227</v>
      </c>
      <c r="E6" s="87" t="s">
        <v>3333</v>
      </c>
      <c r="F6" s="87" t="s">
        <v>371</v>
      </c>
    </row>
    <row r="7" spans="1:7" ht="13">
      <c r="A7" s="58"/>
      <c r="B7" s="58"/>
      <c r="C7" s="58"/>
      <c r="D7" s="58"/>
      <c r="E7" s="58"/>
      <c r="F7" s="58"/>
    </row>
    <row r="8" spans="1:7">
      <c r="A8" s="12"/>
      <c r="B8" s="12"/>
      <c r="C8" s="12"/>
      <c r="D8" s="12"/>
      <c r="E8" s="12"/>
      <c r="F8" s="12"/>
    </row>
    <row r="9" spans="1:7">
      <c r="A9" s="12"/>
      <c r="B9" s="12"/>
      <c r="C9" s="12"/>
      <c r="D9" s="12"/>
      <c r="E9" s="12"/>
      <c r="F9" s="12"/>
    </row>
    <row r="10" spans="1:7">
      <c r="A10" s="12"/>
      <c r="B10" s="19">
        <f>'F-21'!C9</f>
        <v>110.62897040999999</v>
      </c>
      <c r="C10" s="25">
        <f>-'F-22'!C29</f>
        <v>0</v>
      </c>
      <c r="D10" s="12"/>
      <c r="E10" s="19">
        <f>+B10+C10-D10</f>
        <v>110.62897040999999</v>
      </c>
      <c r="F10" s="12"/>
      <c r="G10" s="3"/>
    </row>
    <row r="11" spans="1:7">
      <c r="A11" s="12"/>
      <c r="B11" s="12"/>
      <c r="C11" s="12"/>
      <c r="D11" s="12"/>
      <c r="E11" s="12"/>
      <c r="F11" s="12"/>
    </row>
    <row r="12" spans="1:7">
      <c r="A12" s="12"/>
      <c r="B12" s="12"/>
      <c r="C12" s="12"/>
      <c r="D12" s="12"/>
      <c r="E12" s="12"/>
      <c r="F12" s="12"/>
    </row>
    <row r="13" spans="1:7">
      <c r="A13" s="12"/>
      <c r="B13" s="12"/>
      <c r="C13" s="12"/>
      <c r="D13" s="12"/>
      <c r="E13" s="12"/>
      <c r="F13" s="12"/>
    </row>
    <row r="14" spans="1:7">
      <c r="A14" s="12"/>
      <c r="B14" s="12"/>
      <c r="C14" s="12"/>
      <c r="D14" s="12"/>
      <c r="E14" s="12"/>
      <c r="F14" s="12"/>
    </row>
    <row r="17" spans="1:7" ht="13">
      <c r="A17" s="22" t="s">
        <v>3605</v>
      </c>
      <c r="B17" s="22"/>
      <c r="C17" s="22"/>
      <c r="D17" s="22"/>
      <c r="E17" s="22"/>
      <c r="F17" s="22"/>
    </row>
    <row r="18" spans="1:7" ht="13">
      <c r="E18" s="1" t="s">
        <v>1574</v>
      </c>
    </row>
    <row r="19" spans="1:7" s="4" customFormat="1" ht="52">
      <c r="A19" s="87" t="s">
        <v>895</v>
      </c>
      <c r="B19" s="87" t="s">
        <v>3688</v>
      </c>
      <c r="C19" s="87" t="s">
        <v>1088</v>
      </c>
      <c r="D19" s="87" t="s">
        <v>1227</v>
      </c>
      <c r="E19" s="87" t="s">
        <v>3689</v>
      </c>
      <c r="F19" s="87" t="s">
        <v>371</v>
      </c>
    </row>
    <row r="20" spans="1:7" ht="13">
      <c r="A20" s="58"/>
      <c r="B20" s="58"/>
      <c r="C20" s="58"/>
      <c r="D20" s="58"/>
      <c r="E20" s="58"/>
      <c r="F20" s="58"/>
    </row>
    <row r="21" spans="1:7">
      <c r="A21" s="12"/>
      <c r="B21" s="12"/>
      <c r="C21" s="12"/>
      <c r="D21" s="12"/>
      <c r="E21" s="12"/>
      <c r="F21" s="12"/>
    </row>
    <row r="22" spans="1:7">
      <c r="A22" s="12"/>
      <c r="B22" s="12"/>
      <c r="C22" s="12"/>
      <c r="D22" s="12"/>
      <c r="E22" s="12"/>
      <c r="F22" s="12"/>
    </row>
    <row r="23" spans="1:7">
      <c r="A23" s="12"/>
      <c r="B23" s="19">
        <f>E10</f>
        <v>110.62897040999999</v>
      </c>
      <c r="C23" s="19">
        <f>-'F-22'!D29</f>
        <v>0</v>
      </c>
      <c r="D23" s="12"/>
      <c r="E23" s="19">
        <f>+B23+C23-D23</f>
        <v>110.62897040999999</v>
      </c>
      <c r="F23" s="12"/>
      <c r="G23" s="3"/>
    </row>
    <row r="24" spans="1:7">
      <c r="A24" s="12"/>
      <c r="B24" s="12"/>
      <c r="C24" s="12"/>
      <c r="D24" s="12"/>
      <c r="E24" s="12"/>
      <c r="F24" s="12"/>
    </row>
    <row r="25" spans="1:7">
      <c r="A25" s="12"/>
      <c r="B25" s="12"/>
      <c r="C25" s="12"/>
      <c r="D25" s="12"/>
      <c r="E25" s="12"/>
      <c r="F25" s="12"/>
    </row>
    <row r="26" spans="1:7">
      <c r="A26" s="12"/>
      <c r="B26" s="12"/>
      <c r="C26" s="12"/>
      <c r="D26" s="12"/>
      <c r="E26" s="12"/>
      <c r="F26" s="12"/>
    </row>
    <row r="27" spans="1:7">
      <c r="A27" s="12"/>
      <c r="B27" s="12"/>
      <c r="C27" s="12"/>
      <c r="D27" s="12"/>
      <c r="E27" s="12"/>
      <c r="F27" s="12"/>
    </row>
    <row r="28" spans="1:7">
      <c r="E28" s="232"/>
    </row>
    <row r="29" spans="1:7">
      <c r="E29" s="3"/>
    </row>
  </sheetData>
  <mergeCells count="1">
    <mergeCell ref="E1:F1"/>
  </mergeCells>
  <phoneticPr fontId="0" type="noConversion"/>
  <printOptions horizontalCentered="1"/>
  <pageMargins left="0.75" right="0.75" top="1" bottom="1" header="0.5" footer="0.5"/>
  <pageSetup paperSize="9" orientation="landscape" r:id="rId1"/>
  <headerFooter alignWithMargins="0">
    <oddFooter>&amp;ROERC FROM No.- F33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3"/>
  <dimension ref="A1:G29"/>
  <sheetViews>
    <sheetView topLeftCell="A8" workbookViewId="0">
      <selection activeCell="J22" sqref="J22"/>
    </sheetView>
  </sheetViews>
  <sheetFormatPr defaultColWidth="9.1796875" defaultRowHeight="12.5"/>
  <cols>
    <col min="1" max="1" width="5.54296875" style="110" customWidth="1"/>
    <col min="2" max="2" width="5" style="110" customWidth="1"/>
    <col min="3" max="3" width="5.54296875" style="110" customWidth="1"/>
    <col min="4" max="4" width="33.54296875" style="110" bestFit="1" customWidth="1"/>
    <col min="5" max="5" width="15" style="110" customWidth="1"/>
    <col min="6" max="6" width="14.7265625" style="110" bestFit="1" customWidth="1"/>
    <col min="7" max="7" width="17.1796875" style="110" customWidth="1"/>
    <col min="8" max="16384" width="9.1796875" style="110"/>
  </cols>
  <sheetData>
    <row r="1" spans="1:7" ht="13">
      <c r="A1" s="109" t="s">
        <v>1314</v>
      </c>
      <c r="F1" s="111" t="s">
        <v>124</v>
      </c>
      <c r="G1" s="112" t="s">
        <v>88</v>
      </c>
    </row>
    <row r="2" spans="1:7" ht="13">
      <c r="A2" s="109"/>
      <c r="F2" s="111"/>
      <c r="G2" s="112"/>
    </row>
    <row r="3" spans="1:7" ht="17.5">
      <c r="B3" s="113" t="s">
        <v>89</v>
      </c>
    </row>
    <row r="4" spans="1:7" ht="13.5" thickBot="1">
      <c r="G4" s="114" t="s">
        <v>1220</v>
      </c>
    </row>
    <row r="5" spans="1:7" ht="15" customHeight="1">
      <c r="A5" s="366" t="s">
        <v>1102</v>
      </c>
      <c r="B5" s="367" t="s">
        <v>90</v>
      </c>
      <c r="C5" s="368"/>
      <c r="D5" s="368"/>
      <c r="E5" s="369" t="s">
        <v>1575</v>
      </c>
      <c r="F5" s="369" t="s">
        <v>1576</v>
      </c>
      <c r="G5" s="370" t="s">
        <v>1577</v>
      </c>
    </row>
    <row r="6" spans="1:7" ht="15" customHeight="1">
      <c r="A6" s="371"/>
      <c r="B6" s="117"/>
      <c r="C6" s="116"/>
      <c r="D6" s="116"/>
      <c r="E6" s="372" t="s">
        <v>3599</v>
      </c>
      <c r="F6" s="118" t="s">
        <v>4026</v>
      </c>
      <c r="G6" s="372" t="s">
        <v>4515</v>
      </c>
    </row>
    <row r="7" spans="1:7" ht="15" customHeight="1">
      <c r="A7" s="371"/>
      <c r="B7" s="115">
        <v>1</v>
      </c>
      <c r="C7" s="116"/>
      <c r="D7" s="119" t="s">
        <v>91</v>
      </c>
      <c r="E7" s="116"/>
      <c r="F7" s="116"/>
      <c r="G7" s="373"/>
    </row>
    <row r="8" spans="1:7" ht="15" customHeight="1">
      <c r="A8" s="371"/>
      <c r="B8" s="120"/>
      <c r="C8" s="120" t="s">
        <v>92</v>
      </c>
      <c r="D8" s="116" t="s">
        <v>93</v>
      </c>
      <c r="E8" s="121">
        <f>'F-21'!C28</f>
        <v>536.1655781689999</v>
      </c>
      <c r="F8" s="121">
        <f>'F-21'!D28</f>
        <v>536.16557816899967</v>
      </c>
      <c r="G8" s="374">
        <f>'F-21'!E28</f>
        <v>536.16557816899945</v>
      </c>
    </row>
    <row r="9" spans="1:7" ht="15" customHeight="1">
      <c r="A9" s="371"/>
      <c r="B9" s="120"/>
      <c r="C9" s="120" t="s">
        <v>94</v>
      </c>
      <c r="D9" s="116" t="s">
        <v>95</v>
      </c>
      <c r="E9" s="121">
        <f>'F-21'!C29</f>
        <v>28.302300534999997</v>
      </c>
      <c r="F9" s="121">
        <f>'F-21'!D29</f>
        <v>28.302300534999997</v>
      </c>
      <c r="G9" s="374">
        <f>'F-21'!E29</f>
        <v>28.302300534999997</v>
      </c>
    </row>
    <row r="10" spans="1:7" ht="15" customHeight="1">
      <c r="A10" s="371"/>
      <c r="B10" s="120"/>
      <c r="C10" s="120" t="s">
        <v>96</v>
      </c>
      <c r="D10" s="116" t="s">
        <v>1447</v>
      </c>
      <c r="E10" s="121">
        <f>'F-21'!C30</f>
        <v>630.9827056069995</v>
      </c>
      <c r="F10" s="519">
        <f>'F-21'!D30</f>
        <v>520.47957425270579</v>
      </c>
      <c r="G10" s="520">
        <f>'F-21'!E30</f>
        <v>350.43826319701566</v>
      </c>
    </row>
    <row r="11" spans="1:7" ht="15" customHeight="1">
      <c r="A11" s="371"/>
      <c r="B11" s="120"/>
      <c r="C11" s="120" t="s">
        <v>97</v>
      </c>
      <c r="D11" s="116" t="s">
        <v>98</v>
      </c>
      <c r="E11" s="121">
        <f>'F-21'!C31</f>
        <v>229.99947841999997</v>
      </c>
      <c r="F11" s="121">
        <f>'F-21'!D31</f>
        <v>229.99947841999997</v>
      </c>
      <c r="G11" s="374">
        <f>'F-21'!E31</f>
        <v>229.99947841999997</v>
      </c>
    </row>
    <row r="12" spans="1:7" ht="15" customHeight="1">
      <c r="A12" s="371"/>
      <c r="B12" s="120"/>
      <c r="C12" s="120"/>
      <c r="D12" s="116" t="s">
        <v>1100</v>
      </c>
      <c r="E12" s="122">
        <f>SUM(E8:E11)</f>
        <v>1425.4500627309994</v>
      </c>
      <c r="F12" s="122">
        <f>SUM(F8:F11)</f>
        <v>1314.9469313767056</v>
      </c>
      <c r="G12" s="376">
        <f>SUM(G8:G11)</f>
        <v>1144.905620321015</v>
      </c>
    </row>
    <row r="13" spans="1:7" ht="15" customHeight="1">
      <c r="A13" s="371"/>
      <c r="B13" s="115">
        <v>2</v>
      </c>
      <c r="C13" s="120"/>
      <c r="D13" s="119" t="s">
        <v>1148</v>
      </c>
      <c r="E13" s="121"/>
      <c r="F13" s="121"/>
      <c r="G13" s="374"/>
    </row>
    <row r="14" spans="1:7" ht="15" customHeight="1">
      <c r="A14" s="371"/>
      <c r="B14" s="120"/>
      <c r="C14" s="120" t="s">
        <v>92</v>
      </c>
      <c r="D14" s="116" t="s">
        <v>1149</v>
      </c>
      <c r="E14" s="121">
        <f>'F-21'!C33</f>
        <v>0</v>
      </c>
      <c r="F14" s="121">
        <f>'F-21'!D33</f>
        <v>0</v>
      </c>
      <c r="G14" s="374">
        <f>'F-21'!E33</f>
        <v>0</v>
      </c>
    </row>
    <row r="15" spans="1:7" ht="15" customHeight="1">
      <c r="A15" s="371"/>
      <c r="B15" s="120"/>
      <c r="C15" s="120" t="s">
        <v>94</v>
      </c>
      <c r="D15" s="116" t="s">
        <v>231</v>
      </c>
      <c r="E15" s="121">
        <f>'F-21'!C34</f>
        <v>975.99007760099983</v>
      </c>
      <c r="F15" s="121">
        <f>'F-21'!D34</f>
        <v>951.2700776009998</v>
      </c>
      <c r="G15" s="374">
        <f>'F-21'!E34</f>
        <v>951.2700776009998</v>
      </c>
    </row>
    <row r="16" spans="1:7" ht="15" customHeight="1">
      <c r="A16" s="371"/>
      <c r="B16" s="120"/>
      <c r="C16" s="120"/>
      <c r="D16" s="116"/>
      <c r="E16" s="121"/>
      <c r="F16" s="121"/>
      <c r="G16" s="374"/>
    </row>
    <row r="17" spans="1:7" ht="15" customHeight="1">
      <c r="A17" s="371"/>
      <c r="B17" s="120"/>
      <c r="C17" s="120"/>
      <c r="D17" s="116"/>
      <c r="E17" s="121"/>
      <c r="F17" s="121"/>
      <c r="G17" s="374"/>
    </row>
    <row r="18" spans="1:7" ht="15" customHeight="1">
      <c r="A18" s="371"/>
      <c r="B18" s="120"/>
      <c r="C18" s="116"/>
      <c r="D18" s="116" t="s">
        <v>1100</v>
      </c>
      <c r="E18" s="122">
        <f>SUM(E14:E17)</f>
        <v>975.99007760099983</v>
      </c>
      <c r="F18" s="122">
        <f>SUM(F14:F17)</f>
        <v>951.2700776009998</v>
      </c>
      <c r="G18" s="375">
        <f>SUM(G14:G17)</f>
        <v>951.2700776009998</v>
      </c>
    </row>
    <row r="19" spans="1:7" ht="15" customHeight="1">
      <c r="A19" s="371"/>
      <c r="B19" s="115">
        <v>3</v>
      </c>
      <c r="C19" s="116"/>
      <c r="D19" s="119" t="s">
        <v>1522</v>
      </c>
      <c r="E19" s="123">
        <f>E12-E18</f>
        <v>449.45998512999961</v>
      </c>
      <c r="F19" s="123">
        <f>F12-F18</f>
        <v>363.67685377570581</v>
      </c>
      <c r="G19" s="376">
        <f>G12-G18</f>
        <v>193.63554272001522</v>
      </c>
    </row>
    <row r="20" spans="1:7" ht="15" customHeight="1">
      <c r="A20" s="371"/>
      <c r="B20" s="115">
        <v>4</v>
      </c>
      <c r="C20" s="116"/>
      <c r="D20" s="119" t="s">
        <v>1523</v>
      </c>
      <c r="E20" s="116"/>
      <c r="F20" s="116"/>
      <c r="G20" s="373"/>
    </row>
    <row r="21" spans="1:7" ht="15" customHeight="1">
      <c r="A21" s="371"/>
      <c r="B21" s="115">
        <v>5</v>
      </c>
      <c r="C21" s="119"/>
      <c r="D21" s="119" t="s">
        <v>836</v>
      </c>
      <c r="E21" s="116"/>
      <c r="F21" s="116"/>
      <c r="G21" s="373"/>
    </row>
    <row r="22" spans="1:7" ht="15" customHeight="1">
      <c r="A22" s="371"/>
      <c r="B22" s="115"/>
      <c r="C22" s="119"/>
      <c r="D22" s="119"/>
      <c r="E22" s="116"/>
      <c r="F22" s="116"/>
      <c r="G22" s="373"/>
    </row>
    <row r="23" spans="1:7" ht="15" customHeight="1">
      <c r="A23" s="377" t="s">
        <v>543</v>
      </c>
      <c r="B23" s="119" t="s">
        <v>229</v>
      </c>
      <c r="C23" s="116"/>
      <c r="D23" s="116"/>
      <c r="E23" s="116"/>
      <c r="F23" s="116"/>
      <c r="G23" s="373"/>
    </row>
    <row r="24" spans="1:7" ht="15" customHeight="1">
      <c r="A24" s="371"/>
      <c r="B24" s="116">
        <v>1</v>
      </c>
      <c r="C24" s="116"/>
      <c r="D24" s="124" t="s">
        <v>229</v>
      </c>
      <c r="E24" s="116"/>
      <c r="F24" s="116"/>
      <c r="G24" s="373"/>
    </row>
    <row r="25" spans="1:7" ht="15" customHeight="1" thickBot="1">
      <c r="A25" s="378"/>
      <c r="B25" s="379">
        <v>2</v>
      </c>
      <c r="C25" s="379"/>
      <c r="D25" s="380" t="s">
        <v>230</v>
      </c>
      <c r="E25" s="379"/>
      <c r="F25" s="379"/>
      <c r="G25" s="381"/>
    </row>
    <row r="27" spans="1:7">
      <c r="E27" s="173"/>
      <c r="F27" s="173"/>
      <c r="G27" s="173"/>
    </row>
    <row r="28" spans="1:7">
      <c r="E28" s="125"/>
      <c r="F28" s="125"/>
      <c r="G28" s="125"/>
    </row>
    <row r="29" spans="1:7">
      <c r="E29" s="125"/>
      <c r="F29" s="125"/>
      <c r="G29" s="125"/>
    </row>
  </sheetData>
  <phoneticPr fontId="0" type="noConversion"/>
  <printOptions horizontalCentered="1"/>
  <pageMargins left="0.75" right="0.75" top="1" bottom="1" header="0.5" footer="0.5"/>
  <pageSetup scale="94" orientation="portrait" verticalDpi="300" r:id="rId1"/>
  <headerFooter alignWithMargins="0">
    <oddFooter>&amp;ROERC FORM No. F-39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48"/>
  <dimension ref="A1:R37"/>
  <sheetViews>
    <sheetView workbookViewId="0">
      <pane ySplit="5" topLeftCell="A6" activePane="bottomLeft" state="frozen"/>
      <selection activeCell="L14" sqref="L14"/>
      <selection pane="bottomLeft" activeCell="L14" sqref="L14"/>
    </sheetView>
  </sheetViews>
  <sheetFormatPr defaultColWidth="10.26953125" defaultRowHeight="15.5"/>
  <cols>
    <col min="1" max="1" width="3.1796875" style="181" customWidth="1"/>
    <col min="2" max="2" width="3.26953125" style="181" customWidth="1"/>
    <col min="3" max="3" width="34.81640625" style="181" customWidth="1"/>
    <col min="4" max="6" width="15.81640625" style="181" customWidth="1"/>
    <col min="7" max="7" width="10.26953125" style="181" customWidth="1"/>
    <col min="8" max="16384" width="10.26953125" style="181"/>
  </cols>
  <sheetData>
    <row r="1" spans="1:18">
      <c r="A1" s="187"/>
      <c r="B1" s="187"/>
      <c r="C1" s="187"/>
      <c r="D1" s="187"/>
      <c r="E1" s="187"/>
      <c r="F1" s="187"/>
      <c r="G1" s="187"/>
    </row>
    <row r="2" spans="1:18" s="194" customFormat="1" ht="13">
      <c r="A2" s="191"/>
      <c r="B2" s="192"/>
      <c r="C2" s="193"/>
      <c r="D2" s="193"/>
      <c r="E2" s="193"/>
      <c r="F2" s="193"/>
      <c r="G2" s="191"/>
    </row>
    <row r="3" spans="1:18" s="194" customFormat="1" ht="13">
      <c r="A3" s="191"/>
      <c r="B3" s="3557" t="s">
        <v>383</v>
      </c>
      <c r="C3" s="3557"/>
      <c r="D3" s="3557"/>
      <c r="E3" s="3557"/>
      <c r="F3" s="3557"/>
      <c r="G3" s="191"/>
    </row>
    <row r="4" spans="1:18" s="194" customFormat="1" ht="13">
      <c r="A4" s="191"/>
      <c r="B4" s="192"/>
      <c r="C4" s="193"/>
      <c r="D4" s="193"/>
      <c r="E4" s="193"/>
      <c r="F4" s="193"/>
      <c r="G4" s="191"/>
    </row>
    <row r="5" spans="1:18" s="194" customFormat="1" ht="13">
      <c r="A5" s="191"/>
      <c r="B5" s="192"/>
      <c r="C5" s="193"/>
      <c r="D5" s="193"/>
      <c r="E5" s="193"/>
      <c r="F5" s="193"/>
      <c r="G5" s="191"/>
    </row>
    <row r="6" spans="1:18" s="188" customFormat="1" ht="13">
      <c r="D6" s="188">
        <v>2013</v>
      </c>
      <c r="E6" s="188">
        <v>2014</v>
      </c>
      <c r="F6" s="188">
        <v>2015</v>
      </c>
    </row>
    <row r="7" spans="1:18" s="184" customFormat="1" ht="26.25" customHeight="1">
      <c r="B7" s="197"/>
      <c r="C7" s="198" t="s">
        <v>895</v>
      </c>
      <c r="D7" s="199" t="s">
        <v>897</v>
      </c>
      <c r="E7" s="199" t="s">
        <v>898</v>
      </c>
      <c r="F7" s="199" t="s">
        <v>899</v>
      </c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</row>
    <row r="8" spans="1:18" s="182" customFormat="1" ht="12.5">
      <c r="B8" s="200">
        <v>1</v>
      </c>
      <c r="C8" s="200" t="s">
        <v>384</v>
      </c>
      <c r="D8" s="201">
        <f>+'F-21'!C8</f>
        <v>247.94</v>
      </c>
      <c r="E8" s="201">
        <f>+'F-21'!D8</f>
        <v>302.61838335287223</v>
      </c>
      <c r="F8" s="201">
        <f>+'F-21'!E8</f>
        <v>396.14503634232125</v>
      </c>
      <c r="G8" s="202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8" s="182" customFormat="1" ht="12.5">
      <c r="B9" s="200"/>
      <c r="C9" s="200"/>
      <c r="D9" s="201">
        <f>BS!E11/10^7</f>
        <v>200</v>
      </c>
      <c r="E9" s="201"/>
      <c r="F9" s="201"/>
      <c r="G9" s="202"/>
      <c r="H9" s="183"/>
      <c r="I9" s="183"/>
      <c r="J9" s="183"/>
      <c r="K9" s="183"/>
      <c r="L9" s="183"/>
      <c r="M9" s="183"/>
      <c r="N9" s="183"/>
      <c r="O9" s="183"/>
      <c r="P9" s="183"/>
      <c r="Q9" s="183"/>
    </row>
    <row r="10" spans="1:18" s="182" customFormat="1" ht="12.5">
      <c r="B10" s="200">
        <v>2</v>
      </c>
      <c r="C10" s="203" t="s">
        <v>385</v>
      </c>
      <c r="D10" s="204">
        <v>0.16</v>
      </c>
      <c r="E10" s="204">
        <v>0.16</v>
      </c>
      <c r="F10" s="204">
        <v>0.16</v>
      </c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</row>
    <row r="11" spans="1:18" s="205" customFormat="1">
      <c r="B11" s="206">
        <v>3</v>
      </c>
      <c r="C11" s="206" t="s">
        <v>386</v>
      </c>
      <c r="D11" s="382">
        <f>D8*D10/12*3+D9*D10/12*9</f>
        <v>33.9176</v>
      </c>
      <c r="E11" s="382">
        <f>E8*E10</f>
        <v>48.418941336459561</v>
      </c>
      <c r="F11" s="382">
        <f>F8*F10</f>
        <v>63.383205814771401</v>
      </c>
    </row>
    <row r="37" spans="5:5">
      <c r="E37" s="535"/>
    </row>
  </sheetData>
  <mergeCells count="1">
    <mergeCell ref="B3:F3"/>
  </mergeCells>
  <phoneticPr fontId="50" type="noConversion"/>
  <pageMargins left="0.75" right="0.75" top="1" bottom="1" header="0.5" footer="0.5"/>
  <pageSetup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0"/>
  <dimension ref="A2:R36"/>
  <sheetViews>
    <sheetView view="pageBreakPreview" zoomScaleSheetLayoutView="100" workbookViewId="0">
      <pane ySplit="4" topLeftCell="A5" activePane="bottomLeft" state="frozen"/>
      <selection activeCell="D6" sqref="D6:H6"/>
      <selection pane="bottomLeft" activeCell="D6" sqref="D6:H6"/>
    </sheetView>
  </sheetViews>
  <sheetFormatPr defaultColWidth="10.26953125" defaultRowHeight="15.5"/>
  <cols>
    <col min="1" max="1" width="4.1796875" style="181" customWidth="1"/>
    <col min="2" max="2" width="5" style="181" customWidth="1"/>
    <col min="3" max="3" width="26.453125" style="181" customWidth="1"/>
    <col min="4" max="6" width="13.26953125" style="181" customWidth="1"/>
    <col min="7" max="7" width="39" style="181" customWidth="1"/>
    <col min="8" max="9" width="10.26953125" style="181" customWidth="1"/>
    <col min="10" max="16384" width="10.26953125" style="181"/>
  </cols>
  <sheetData>
    <row r="2" spans="1:18" s="194" customFormat="1" ht="13">
      <c r="A2" s="191"/>
      <c r="B2" s="192"/>
      <c r="C2" s="193"/>
      <c r="D2" s="193"/>
      <c r="E2" s="193"/>
      <c r="F2" s="193"/>
      <c r="G2" s="193"/>
    </row>
    <row r="3" spans="1:18" s="194" customFormat="1" ht="13">
      <c r="A3" s="191"/>
      <c r="B3" s="192" t="s">
        <v>389</v>
      </c>
      <c r="C3" s="193"/>
      <c r="D3" s="193"/>
      <c r="E3" s="193"/>
      <c r="F3" s="193"/>
      <c r="G3" s="193"/>
    </row>
    <row r="4" spans="1:18" s="194" customFormat="1" ht="13">
      <c r="A4" s="191"/>
      <c r="B4" s="192"/>
      <c r="C4" s="193"/>
      <c r="D4" s="193"/>
      <c r="E4" s="193"/>
      <c r="F4" s="193"/>
      <c r="G4" s="193"/>
    </row>
    <row r="5" spans="1:18" s="196" customFormat="1" ht="13"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</row>
    <row r="6" spans="1:18" s="182" customFormat="1" ht="13">
      <c r="B6" s="208"/>
      <c r="C6" s="209" t="s">
        <v>1304</v>
      </c>
      <c r="D6" s="210" t="s">
        <v>1494</v>
      </c>
      <c r="E6" s="210" t="s">
        <v>169</v>
      </c>
      <c r="F6" s="210" t="s">
        <v>1496</v>
      </c>
      <c r="G6" s="210" t="s">
        <v>371</v>
      </c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</row>
    <row r="7" spans="1:18" s="182" customFormat="1" ht="12.5">
      <c r="B7" s="211">
        <v>1</v>
      </c>
      <c r="C7" s="189" t="s">
        <v>1119</v>
      </c>
      <c r="D7" s="3557" t="s">
        <v>1305</v>
      </c>
      <c r="E7" s="3557"/>
      <c r="F7" s="3557"/>
      <c r="G7" s="3557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</row>
    <row r="8" spans="1:18" s="182" customFormat="1" ht="12.5">
      <c r="B8" s="212">
        <v>2</v>
      </c>
      <c r="C8" s="190" t="s">
        <v>517</v>
      </c>
      <c r="D8" s="3557" t="s">
        <v>1306</v>
      </c>
      <c r="E8" s="3557"/>
      <c r="F8" s="3557"/>
      <c r="G8" s="355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</row>
    <row r="9" spans="1:18" s="182" customFormat="1" ht="12.5">
      <c r="B9" s="212"/>
      <c r="C9" s="190"/>
      <c r="D9" s="3557" t="s">
        <v>1307</v>
      </c>
      <c r="E9" s="3557"/>
      <c r="F9" s="3557"/>
      <c r="G9" s="3557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</row>
    <row r="10" spans="1:18" s="182" customFormat="1" ht="12.5">
      <c r="B10" s="212">
        <v>3</v>
      </c>
      <c r="C10" s="190" t="s">
        <v>1120</v>
      </c>
      <c r="D10" s="213"/>
      <c r="E10" s="213"/>
      <c r="F10" s="213"/>
      <c r="G10" s="214" t="s">
        <v>1308</v>
      </c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</row>
    <row r="11" spans="1:18" s="182" customFormat="1" ht="12.75" customHeight="1">
      <c r="B11" s="212">
        <v>4</v>
      </c>
      <c r="C11" s="190" t="s">
        <v>520</v>
      </c>
      <c r="D11" s="215"/>
      <c r="E11" s="3557" t="s">
        <v>1309</v>
      </c>
      <c r="F11" s="3557"/>
      <c r="G11" s="3557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</row>
    <row r="12" spans="1:18" s="182" customFormat="1" ht="12.5">
      <c r="B12" s="212">
        <v>5</v>
      </c>
      <c r="C12" s="190" t="s">
        <v>1310</v>
      </c>
      <c r="D12" s="216"/>
      <c r="E12" s="216"/>
      <c r="F12" s="216"/>
      <c r="G12" s="214" t="s">
        <v>1308</v>
      </c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</row>
    <row r="13" spans="1:18" s="182" customFormat="1" ht="27" customHeight="1">
      <c r="B13" s="212">
        <v>6</v>
      </c>
      <c r="C13" s="190" t="s">
        <v>475</v>
      </c>
      <c r="D13" s="3557" t="s">
        <v>1313</v>
      </c>
      <c r="E13" s="3557"/>
      <c r="F13" s="3557"/>
      <c r="G13" s="3557"/>
      <c r="H13" s="217"/>
      <c r="I13" s="217"/>
      <c r="J13" s="183"/>
      <c r="K13" s="183"/>
      <c r="L13" s="183"/>
      <c r="M13" s="183"/>
      <c r="N13" s="183"/>
      <c r="O13" s="183"/>
      <c r="P13" s="183"/>
      <c r="Q13" s="183"/>
      <c r="R13" s="183"/>
    </row>
    <row r="14" spans="1:18" s="182" customFormat="1" ht="12.5">
      <c r="B14" s="212">
        <v>7</v>
      </c>
      <c r="C14" s="190" t="s">
        <v>118</v>
      </c>
      <c r="D14" s="213"/>
      <c r="E14" s="213"/>
      <c r="F14" s="213"/>
      <c r="G14" s="214" t="s">
        <v>1308</v>
      </c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</row>
    <row r="15" spans="1:18" s="182" customFormat="1" ht="12.5">
      <c r="B15" s="212">
        <v>8</v>
      </c>
      <c r="C15" s="190" t="s">
        <v>1526</v>
      </c>
      <c r="D15" s="3557" t="s">
        <v>986</v>
      </c>
      <c r="E15" s="3557"/>
      <c r="F15" s="3557"/>
      <c r="G15" s="3557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</row>
    <row r="36" spans="5:5">
      <c r="E36" s="535"/>
    </row>
  </sheetData>
  <mergeCells count="6">
    <mergeCell ref="D7:G7"/>
    <mergeCell ref="D13:G13"/>
    <mergeCell ref="D15:G15"/>
    <mergeCell ref="D8:G8"/>
    <mergeCell ref="D9:G9"/>
    <mergeCell ref="E11:G11"/>
  </mergeCells>
  <phoneticPr fontId="50" type="noConversion"/>
  <pageMargins left="0.75" right="0.75" top="1" bottom="1" header="0.5" footer="0.5"/>
  <pageSetup scale="7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H76"/>
  <sheetViews>
    <sheetView view="pageBreakPreview" zoomScale="60" workbookViewId="0">
      <selection activeCell="O66" sqref="O66"/>
    </sheetView>
  </sheetViews>
  <sheetFormatPr defaultColWidth="9.1796875" defaultRowHeight="14.5"/>
  <cols>
    <col min="1" max="1" width="8.7265625" style="1251" customWidth="1"/>
    <col min="2" max="2" width="66" style="1229" customWidth="1"/>
    <col min="3" max="3" width="21.1796875" style="1251" customWidth="1"/>
    <col min="4" max="4" width="26" style="1251" bestFit="1" customWidth="1"/>
    <col min="5" max="5" width="21.81640625" style="1229" bestFit="1" customWidth="1"/>
    <col min="6" max="6" width="21.7265625" style="1229" customWidth="1"/>
    <col min="7" max="7" width="34.453125" style="1229" customWidth="1"/>
    <col min="8" max="8" width="21.81640625" style="1229" bestFit="1" customWidth="1"/>
    <col min="9" max="16384" width="9.1796875" style="1229"/>
  </cols>
  <sheetData>
    <row r="1" spans="1:8" ht="21">
      <c r="A1" s="3569" t="s">
        <v>27</v>
      </c>
      <c r="B1" s="3569"/>
      <c r="C1" s="3569"/>
      <c r="D1" s="3569"/>
      <c r="E1" s="3569"/>
      <c r="F1" s="3569"/>
      <c r="G1" s="3569"/>
    </row>
    <row r="2" spans="1:8" ht="24" thickBot="1">
      <c r="A2" s="3570" t="s">
        <v>4260</v>
      </c>
      <c r="B2" s="3570"/>
      <c r="C2" s="3570"/>
      <c r="D2" s="3570"/>
      <c r="E2" s="3570"/>
      <c r="F2" s="3570"/>
      <c r="G2" s="3570"/>
    </row>
    <row r="3" spans="1:8" s="1234" customFormat="1" ht="25.5" customHeight="1">
      <c r="A3" s="1230" t="s">
        <v>551</v>
      </c>
      <c r="B3" s="1231" t="s">
        <v>4261</v>
      </c>
      <c r="C3" s="1232" t="s">
        <v>4262</v>
      </c>
      <c r="D3" s="1232" t="s">
        <v>4263</v>
      </c>
      <c r="E3" s="1233" t="s">
        <v>4264</v>
      </c>
      <c r="F3" s="1231" t="s">
        <v>371</v>
      </c>
      <c r="G3" s="1231" t="s">
        <v>4265</v>
      </c>
    </row>
    <row r="4" spans="1:8" ht="26.25" customHeight="1">
      <c r="A4" s="1235">
        <v>1</v>
      </c>
      <c r="B4" s="1236" t="s">
        <v>4266</v>
      </c>
      <c r="C4" s="3571">
        <v>1</v>
      </c>
      <c r="D4" s="3571" t="s">
        <v>4267</v>
      </c>
      <c r="E4" s="1237">
        <v>76193114</v>
      </c>
      <c r="F4" s="1236"/>
      <c r="G4" s="1237" t="s">
        <v>4268</v>
      </c>
    </row>
    <row r="5" spans="1:8" ht="26.25" customHeight="1">
      <c r="A5" s="1235">
        <v>2</v>
      </c>
      <c r="B5" s="1236" t="s">
        <v>4269</v>
      </c>
      <c r="C5" s="3572"/>
      <c r="D5" s="3572"/>
      <c r="E5" s="1237">
        <v>18714</v>
      </c>
      <c r="F5" s="1236" t="s">
        <v>4270</v>
      </c>
      <c r="G5" s="1237" t="s">
        <v>4271</v>
      </c>
      <c r="H5" s="1238">
        <f>+E5+E4</f>
        <v>76211828</v>
      </c>
    </row>
    <row r="6" spans="1:8" ht="26.25" customHeight="1">
      <c r="A6" s="1235">
        <v>3</v>
      </c>
      <c r="B6" s="1236" t="s">
        <v>4272</v>
      </c>
      <c r="C6" s="3571">
        <v>2</v>
      </c>
      <c r="D6" s="3571" t="s">
        <v>4273</v>
      </c>
      <c r="E6" s="1237">
        <v>61809751</v>
      </c>
      <c r="F6" s="1236"/>
      <c r="G6" s="1237" t="s">
        <v>4274</v>
      </c>
    </row>
    <row r="7" spans="1:8" ht="26.25" customHeight="1">
      <c r="A7" s="1235">
        <v>4</v>
      </c>
      <c r="B7" s="1236" t="s">
        <v>4266</v>
      </c>
      <c r="C7" s="3572"/>
      <c r="D7" s="3572"/>
      <c r="E7" s="1237">
        <v>562715</v>
      </c>
      <c r="F7" s="1236"/>
      <c r="G7" s="1237" t="s">
        <v>4275</v>
      </c>
    </row>
    <row r="8" spans="1:8" ht="26.25" customHeight="1">
      <c r="A8" s="1235">
        <v>5</v>
      </c>
      <c r="B8" s="1236" t="s">
        <v>4269</v>
      </c>
      <c r="C8" s="3572"/>
      <c r="D8" s="3572"/>
      <c r="E8" s="1237">
        <v>1306398</v>
      </c>
      <c r="F8" s="1236" t="s">
        <v>4270</v>
      </c>
      <c r="G8" s="1237" t="s">
        <v>4276</v>
      </c>
      <c r="H8" s="1238">
        <f>+E8+E7+E6</f>
        <v>63678864</v>
      </c>
    </row>
    <row r="9" spans="1:8" ht="26.25" customHeight="1">
      <c r="A9" s="1235">
        <v>6</v>
      </c>
      <c r="B9" s="1236" t="s">
        <v>4272</v>
      </c>
      <c r="C9" s="3571">
        <v>3</v>
      </c>
      <c r="D9" s="3571" t="s">
        <v>4277</v>
      </c>
      <c r="E9" s="1237">
        <v>48704642</v>
      </c>
      <c r="F9" s="1236"/>
      <c r="G9" s="1237" t="s">
        <v>4278</v>
      </c>
    </row>
    <row r="10" spans="1:8" ht="26.25" customHeight="1">
      <c r="A10" s="1235">
        <v>7</v>
      </c>
      <c r="B10" s="1236" t="s">
        <v>4279</v>
      </c>
      <c r="C10" s="3572"/>
      <c r="D10" s="3572"/>
      <c r="E10" s="1237">
        <v>10986363</v>
      </c>
      <c r="F10" s="1236"/>
      <c r="G10" s="1237" t="s">
        <v>4280</v>
      </c>
    </row>
    <row r="11" spans="1:8" ht="35.25" customHeight="1">
      <c r="A11" s="1235">
        <v>8</v>
      </c>
      <c r="B11" s="1236" t="s">
        <v>4281</v>
      </c>
      <c r="C11" s="3572"/>
      <c r="D11" s="3572"/>
      <c r="E11" s="1237">
        <v>3007705</v>
      </c>
      <c r="F11" s="1236"/>
      <c r="G11" s="1237" t="s">
        <v>4282</v>
      </c>
      <c r="H11" s="1238">
        <f>+E11+E10+E9+E12</f>
        <v>63944548</v>
      </c>
    </row>
    <row r="12" spans="1:8" ht="26.25" customHeight="1">
      <c r="A12" s="1235">
        <v>9</v>
      </c>
      <c r="B12" s="1236" t="s">
        <v>4269</v>
      </c>
      <c r="C12" s="3572"/>
      <c r="D12" s="3572"/>
      <c r="E12" s="1237">
        <v>1245838</v>
      </c>
      <c r="F12" s="1236" t="s">
        <v>4270</v>
      </c>
      <c r="G12" s="1237"/>
    </row>
    <row r="13" spans="1:8" ht="26.25" customHeight="1">
      <c r="A13" s="1235">
        <v>10</v>
      </c>
      <c r="B13" s="1236" t="s">
        <v>4283</v>
      </c>
      <c r="C13" s="3571">
        <v>4</v>
      </c>
      <c r="D13" s="3571" t="s">
        <v>4284</v>
      </c>
      <c r="E13" s="1237">
        <v>21264454</v>
      </c>
      <c r="F13" s="1236"/>
      <c r="G13" s="1237" t="s">
        <v>4285</v>
      </c>
    </row>
    <row r="14" spans="1:8" ht="26.25" customHeight="1">
      <c r="A14" s="1235">
        <v>11</v>
      </c>
      <c r="B14" s="1236" t="s">
        <v>4286</v>
      </c>
      <c r="C14" s="3572"/>
      <c r="D14" s="3572"/>
      <c r="E14" s="1237">
        <v>22228957</v>
      </c>
      <c r="F14" s="1236"/>
      <c r="G14" s="1237" t="s">
        <v>4287</v>
      </c>
    </row>
    <row r="15" spans="1:8" ht="36" customHeight="1">
      <c r="A15" s="1235">
        <v>12</v>
      </c>
      <c r="B15" s="1236" t="s">
        <v>4281</v>
      </c>
      <c r="C15" s="3572"/>
      <c r="D15" s="3572"/>
      <c r="E15" s="1237">
        <v>2053204</v>
      </c>
      <c r="F15" s="1236"/>
      <c r="G15" s="1237" t="s">
        <v>4288</v>
      </c>
    </row>
    <row r="16" spans="1:8" ht="26.25" customHeight="1">
      <c r="A16" s="1235">
        <v>13</v>
      </c>
      <c r="B16" s="1236" t="s">
        <v>4279</v>
      </c>
      <c r="C16" s="3572"/>
      <c r="D16" s="3572"/>
      <c r="E16" s="1237">
        <v>15305384</v>
      </c>
      <c r="F16" s="1236"/>
      <c r="G16" s="1237" t="s">
        <v>4289</v>
      </c>
    </row>
    <row r="17" spans="1:8" ht="26.25" customHeight="1">
      <c r="A17" s="1235">
        <v>14</v>
      </c>
      <c r="B17" s="1236" t="s">
        <v>4269</v>
      </c>
      <c r="C17" s="3572"/>
      <c r="D17" s="3572"/>
      <c r="E17" s="1237">
        <v>766906</v>
      </c>
      <c r="F17" s="1236" t="s">
        <v>4270</v>
      </c>
      <c r="G17" s="1237" t="s">
        <v>4290</v>
      </c>
      <c r="H17" s="1239">
        <f>+SUM(E13:E17)</f>
        <v>61618905</v>
      </c>
    </row>
    <row r="18" spans="1:8" ht="26.25" customHeight="1">
      <c r="A18" s="1235">
        <v>15</v>
      </c>
      <c r="B18" s="1236" t="s">
        <v>4283</v>
      </c>
      <c r="C18" s="3571">
        <v>5</v>
      </c>
      <c r="D18" s="3571" t="s">
        <v>4291</v>
      </c>
      <c r="E18" s="1237">
        <v>42663754</v>
      </c>
      <c r="F18" s="1236"/>
      <c r="G18" s="1237" t="s">
        <v>4292</v>
      </c>
    </row>
    <row r="19" spans="1:8" ht="26.25" customHeight="1">
      <c r="A19" s="1235">
        <v>16</v>
      </c>
      <c r="B19" s="1236" t="s">
        <v>4293</v>
      </c>
      <c r="C19" s="3572"/>
      <c r="D19" s="3572"/>
      <c r="E19" s="1237">
        <v>196522</v>
      </c>
      <c r="F19" s="1236"/>
      <c r="G19" s="1237" t="s">
        <v>4294</v>
      </c>
    </row>
    <row r="20" spans="1:8" ht="26.25" customHeight="1">
      <c r="A20" s="1235">
        <v>17</v>
      </c>
      <c r="B20" s="1236" t="s">
        <v>4295</v>
      </c>
      <c r="C20" s="3572"/>
      <c r="D20" s="3572"/>
      <c r="E20" s="1237">
        <v>40095683</v>
      </c>
      <c r="F20" s="1236"/>
      <c r="G20" s="1237" t="s">
        <v>4296</v>
      </c>
    </row>
    <row r="21" spans="1:8" ht="26.25" customHeight="1">
      <c r="A21" s="1235">
        <v>18</v>
      </c>
      <c r="B21" s="1236" t="s">
        <v>4279</v>
      </c>
      <c r="C21" s="3572"/>
      <c r="D21" s="3572"/>
      <c r="E21" s="1237">
        <v>17567808</v>
      </c>
      <c r="F21" s="1236"/>
      <c r="G21" s="1237" t="s">
        <v>4297</v>
      </c>
    </row>
    <row r="22" spans="1:8" ht="26.25" customHeight="1">
      <c r="A22" s="1235">
        <v>19</v>
      </c>
      <c r="B22" s="1236" t="s">
        <v>4298</v>
      </c>
      <c r="C22" s="3572"/>
      <c r="D22" s="3572"/>
      <c r="E22" s="1237">
        <v>1169135</v>
      </c>
      <c r="F22" s="1236" t="s">
        <v>4270</v>
      </c>
      <c r="G22" s="1237" t="s">
        <v>4299</v>
      </c>
      <c r="H22" s="1239">
        <f>+SUM(E18:E22)</f>
        <v>101692902</v>
      </c>
    </row>
    <row r="23" spans="1:8" ht="26.25" customHeight="1">
      <c r="A23" s="1235">
        <v>20</v>
      </c>
      <c r="B23" s="1236" t="s">
        <v>4293</v>
      </c>
      <c r="C23" s="1240">
        <v>6</v>
      </c>
      <c r="D23" s="1240" t="s">
        <v>4300</v>
      </c>
      <c r="E23" s="1237">
        <v>5908934</v>
      </c>
      <c r="F23" s="1236"/>
      <c r="G23" s="1237" t="s">
        <v>4301</v>
      </c>
      <c r="H23" s="1239">
        <f>+E23</f>
        <v>5908934</v>
      </c>
    </row>
    <row r="24" spans="1:8" ht="26.25" customHeight="1">
      <c r="A24" s="1235">
        <v>21</v>
      </c>
      <c r="B24" s="1236" t="s">
        <v>4302</v>
      </c>
      <c r="C24" s="3571">
        <v>7</v>
      </c>
      <c r="D24" s="3571" t="s">
        <v>4303</v>
      </c>
      <c r="E24" s="1237">
        <v>7584460</v>
      </c>
      <c r="F24" s="1236"/>
      <c r="G24" s="1237" t="s">
        <v>4304</v>
      </c>
    </row>
    <row r="25" spans="1:8" ht="26.25" customHeight="1">
      <c r="A25" s="1235">
        <v>22</v>
      </c>
      <c r="B25" s="1236" t="s">
        <v>4305</v>
      </c>
      <c r="C25" s="3572"/>
      <c r="D25" s="3572"/>
      <c r="E25" s="1237">
        <v>159840</v>
      </c>
      <c r="F25" s="1236" t="s">
        <v>4270</v>
      </c>
      <c r="G25" s="1237" t="s">
        <v>4304</v>
      </c>
      <c r="H25" s="1238">
        <f>+E25+E24</f>
        <v>7744300</v>
      </c>
    </row>
    <row r="26" spans="1:8" ht="26.25" customHeight="1">
      <c r="A26" s="1235">
        <v>23</v>
      </c>
      <c r="B26" s="1236" t="s">
        <v>4283</v>
      </c>
      <c r="C26" s="3573">
        <v>8</v>
      </c>
      <c r="D26" s="3573" t="s">
        <v>4306</v>
      </c>
      <c r="E26" s="1237">
        <v>203645</v>
      </c>
      <c r="F26" s="1236"/>
      <c r="G26" s="1237" t="s">
        <v>4307</v>
      </c>
    </row>
    <row r="27" spans="1:8" ht="26.25" customHeight="1">
      <c r="A27" s="1235">
        <v>24</v>
      </c>
      <c r="B27" s="1236" t="s">
        <v>4308</v>
      </c>
      <c r="C27" s="3572"/>
      <c r="D27" s="3572"/>
      <c r="E27" s="1237">
        <v>3168728</v>
      </c>
      <c r="F27" s="1236"/>
      <c r="G27" s="1237" t="s">
        <v>4309</v>
      </c>
    </row>
    <row r="28" spans="1:8" ht="26.25" customHeight="1">
      <c r="A28" s="1235">
        <v>25</v>
      </c>
      <c r="B28" s="1241" t="s">
        <v>4310</v>
      </c>
      <c r="C28" s="3572"/>
      <c r="D28" s="3572"/>
      <c r="E28" s="1237">
        <v>20117357</v>
      </c>
      <c r="F28" s="1236"/>
      <c r="G28" s="1237" t="s">
        <v>4311</v>
      </c>
    </row>
    <row r="29" spans="1:8" ht="26.25" customHeight="1">
      <c r="A29" s="1235">
        <v>26</v>
      </c>
      <c r="B29" s="1236" t="s">
        <v>4305</v>
      </c>
      <c r="C29" s="3572"/>
      <c r="D29" s="3572"/>
      <c r="E29" s="1237">
        <v>565973</v>
      </c>
      <c r="F29" s="1236" t="s">
        <v>4270</v>
      </c>
      <c r="G29" s="1237" t="s">
        <v>4312</v>
      </c>
      <c r="H29" s="1238">
        <f>+E29+E28+E27+E26</f>
        <v>24055703</v>
      </c>
    </row>
    <row r="30" spans="1:8" ht="26.25" customHeight="1">
      <c r="A30" s="1235">
        <v>27</v>
      </c>
      <c r="B30" s="1236" t="s">
        <v>4313</v>
      </c>
      <c r="C30" s="3571">
        <v>9</v>
      </c>
      <c r="D30" s="3571" t="s">
        <v>4314</v>
      </c>
      <c r="E30" s="1237">
        <v>480496</v>
      </c>
      <c r="F30" s="1236"/>
      <c r="G30" s="1237" t="s">
        <v>4315</v>
      </c>
    </row>
    <row r="31" spans="1:8" ht="26.25" customHeight="1">
      <c r="A31" s="1235">
        <v>28</v>
      </c>
      <c r="B31" s="1241" t="s">
        <v>4310</v>
      </c>
      <c r="C31" s="3572"/>
      <c r="D31" s="3572"/>
      <c r="E31" s="1237">
        <v>10178560</v>
      </c>
      <c r="F31" s="1236"/>
      <c r="G31" s="1237" t="s">
        <v>4316</v>
      </c>
    </row>
    <row r="32" spans="1:8" ht="26.25" customHeight="1">
      <c r="A32" s="1235">
        <v>29</v>
      </c>
      <c r="B32" s="1236" t="s">
        <v>4305</v>
      </c>
      <c r="C32" s="3572"/>
      <c r="D32" s="3572"/>
      <c r="E32" s="1237">
        <v>224887</v>
      </c>
      <c r="F32" s="1236" t="s">
        <v>4270</v>
      </c>
      <c r="G32" s="1237" t="s">
        <v>4317</v>
      </c>
      <c r="H32" s="1239">
        <f>+SUM(E30:E32)</f>
        <v>10883943</v>
      </c>
    </row>
    <row r="33" spans="1:8" ht="26.25" customHeight="1">
      <c r="A33" s="1235">
        <v>30</v>
      </c>
      <c r="B33" s="1236" t="s">
        <v>4318</v>
      </c>
      <c r="C33" s="3571">
        <v>10</v>
      </c>
      <c r="D33" s="3571" t="s">
        <v>4319</v>
      </c>
      <c r="E33" s="1237">
        <v>11516525</v>
      </c>
      <c r="F33" s="1236"/>
      <c r="G33" s="1237" t="s">
        <v>4320</v>
      </c>
    </row>
    <row r="34" spans="1:8" ht="26.25" customHeight="1">
      <c r="A34" s="1235">
        <v>31</v>
      </c>
      <c r="B34" s="1236" t="s">
        <v>4321</v>
      </c>
      <c r="C34" s="3571"/>
      <c r="D34" s="3571"/>
      <c r="E34" s="1237">
        <v>1846654</v>
      </c>
      <c r="F34" s="1236"/>
      <c r="G34" s="1237" t="s">
        <v>4322</v>
      </c>
    </row>
    <row r="35" spans="1:8" ht="26.25" customHeight="1">
      <c r="A35" s="1235">
        <v>32</v>
      </c>
      <c r="B35" s="1236" t="s">
        <v>4323</v>
      </c>
      <c r="C35" s="3571"/>
      <c r="D35" s="3571"/>
      <c r="E35" s="1237">
        <v>1493380</v>
      </c>
      <c r="F35" s="1236"/>
      <c r="G35" s="1237" t="s">
        <v>4324</v>
      </c>
    </row>
    <row r="36" spans="1:8" ht="26.25" customHeight="1">
      <c r="A36" s="1235">
        <v>33</v>
      </c>
      <c r="B36" s="1236" t="s">
        <v>4325</v>
      </c>
      <c r="C36" s="3571"/>
      <c r="D36" s="3571"/>
      <c r="E36" s="1237">
        <v>8516105</v>
      </c>
      <c r="F36" s="1236"/>
      <c r="G36" s="1237" t="s">
        <v>4326</v>
      </c>
    </row>
    <row r="37" spans="1:8" ht="26.25" customHeight="1">
      <c r="A37" s="1235">
        <v>34</v>
      </c>
      <c r="B37" s="1236" t="s">
        <v>4327</v>
      </c>
      <c r="C37" s="3571"/>
      <c r="D37" s="3571"/>
      <c r="E37" s="1242">
        <v>815129</v>
      </c>
      <c r="F37" s="1243"/>
      <c r="G37" s="1237" t="s">
        <v>4328</v>
      </c>
    </row>
    <row r="38" spans="1:8" ht="26.25" customHeight="1">
      <c r="A38" s="1235">
        <v>35</v>
      </c>
      <c r="B38" s="1236" t="s">
        <v>4305</v>
      </c>
      <c r="C38" s="3571"/>
      <c r="D38" s="3571"/>
      <c r="E38" s="1237">
        <v>439295</v>
      </c>
      <c r="F38" s="1236" t="s">
        <v>4270</v>
      </c>
      <c r="G38" s="1237" t="s">
        <v>4329</v>
      </c>
      <c r="H38" s="1239">
        <f>+SUM(E33:E38)</f>
        <v>24627088</v>
      </c>
    </row>
    <row r="39" spans="1:8" ht="26.25" customHeight="1">
      <c r="A39" s="1235">
        <v>36</v>
      </c>
      <c r="B39" s="1236" t="s">
        <v>4318</v>
      </c>
      <c r="C39" s="3571">
        <v>11</v>
      </c>
      <c r="D39" s="3571" t="s">
        <v>4330</v>
      </c>
      <c r="E39" s="1237">
        <v>21274560</v>
      </c>
      <c r="F39" s="1236"/>
      <c r="G39" s="1237" t="s">
        <v>4331</v>
      </c>
    </row>
    <row r="40" spans="1:8" ht="26.25" customHeight="1">
      <c r="A40" s="1235">
        <v>37</v>
      </c>
      <c r="B40" s="1236" t="s">
        <v>4305</v>
      </c>
      <c r="C40" s="3571"/>
      <c r="D40" s="3571"/>
      <c r="E40" s="1237">
        <v>448357</v>
      </c>
      <c r="F40" s="1236" t="s">
        <v>4270</v>
      </c>
      <c r="G40" s="1237" t="s">
        <v>4332</v>
      </c>
      <c r="H40" s="1238">
        <f>+E40+E39</f>
        <v>21722917</v>
      </c>
    </row>
    <row r="41" spans="1:8" ht="26.25" customHeight="1">
      <c r="A41" s="1235">
        <v>38</v>
      </c>
      <c r="B41" s="1236" t="s">
        <v>4333</v>
      </c>
      <c r="C41" s="3571">
        <v>12</v>
      </c>
      <c r="D41" s="3571" t="s">
        <v>4334</v>
      </c>
      <c r="E41" s="1237">
        <v>190736</v>
      </c>
      <c r="F41" s="1236"/>
      <c r="G41" s="1237" t="s">
        <v>4335</v>
      </c>
    </row>
    <row r="42" spans="1:8" ht="26.25" customHeight="1">
      <c r="A42" s="1235">
        <v>39</v>
      </c>
      <c r="B42" s="1236" t="s">
        <v>4313</v>
      </c>
      <c r="C42" s="3571"/>
      <c r="D42" s="3571"/>
      <c r="E42" s="1237">
        <v>672070</v>
      </c>
      <c r="F42" s="1236"/>
      <c r="G42" s="1237" t="s">
        <v>4336</v>
      </c>
    </row>
    <row r="43" spans="1:8" ht="26.25" customHeight="1">
      <c r="A43" s="1235">
        <v>40</v>
      </c>
      <c r="B43" s="1236" t="s">
        <v>4337</v>
      </c>
      <c r="C43" s="3571"/>
      <c r="D43" s="3571"/>
      <c r="E43" s="1237">
        <v>6133099</v>
      </c>
      <c r="F43" s="1236"/>
      <c r="G43" s="1237" t="s">
        <v>4338</v>
      </c>
    </row>
    <row r="44" spans="1:8" ht="26.25" customHeight="1">
      <c r="A44" s="1235">
        <v>41</v>
      </c>
      <c r="B44" s="1236" t="s">
        <v>4305</v>
      </c>
      <c r="C44" s="3571"/>
      <c r="D44" s="3571"/>
      <c r="E44" s="1237">
        <v>149408</v>
      </c>
      <c r="F44" s="1236" t="s">
        <v>4270</v>
      </c>
      <c r="G44" s="1237" t="s">
        <v>4339</v>
      </c>
      <c r="H44" s="1239">
        <f>+SUM(E41:E44)</f>
        <v>7145313</v>
      </c>
    </row>
    <row r="45" spans="1:8" ht="26.25" customHeight="1">
      <c r="A45" s="1235">
        <v>42</v>
      </c>
      <c r="B45" s="1236" t="s">
        <v>4337</v>
      </c>
      <c r="C45" s="1240">
        <v>13</v>
      </c>
      <c r="D45" s="1240" t="s">
        <v>4340</v>
      </c>
      <c r="E45" s="1237">
        <v>4808452</v>
      </c>
      <c r="F45" s="1236" t="s">
        <v>4341</v>
      </c>
      <c r="G45" s="1237" t="s">
        <v>4342</v>
      </c>
      <c r="H45" s="1239">
        <f>+E45</f>
        <v>4808452</v>
      </c>
    </row>
    <row r="46" spans="1:8" ht="26.25" customHeight="1">
      <c r="A46" s="1235">
        <v>43</v>
      </c>
      <c r="B46" s="1236" t="s">
        <v>4327</v>
      </c>
      <c r="C46" s="3571">
        <v>14</v>
      </c>
      <c r="D46" s="3571" t="s">
        <v>4343</v>
      </c>
      <c r="E46" s="1237">
        <v>2742396</v>
      </c>
      <c r="F46" s="1236"/>
      <c r="G46" s="1237" t="s">
        <v>4344</v>
      </c>
    </row>
    <row r="47" spans="1:8" ht="26.25" customHeight="1">
      <c r="A47" s="1235">
        <v>44</v>
      </c>
      <c r="B47" s="1236" t="s">
        <v>4313</v>
      </c>
      <c r="C47" s="3571"/>
      <c r="D47" s="3571"/>
      <c r="E47" s="1237">
        <v>769273</v>
      </c>
      <c r="F47" s="1236"/>
      <c r="G47" s="1237" t="s">
        <v>4345</v>
      </c>
    </row>
    <row r="48" spans="1:8" ht="26.25" customHeight="1">
      <c r="A48" s="1235">
        <v>45</v>
      </c>
      <c r="B48" s="1236" t="s">
        <v>4305</v>
      </c>
      <c r="C48" s="3571"/>
      <c r="D48" s="3571"/>
      <c r="E48" s="1237">
        <v>16212</v>
      </c>
      <c r="F48" s="1236" t="s">
        <v>4270</v>
      </c>
      <c r="G48" s="1237" t="s">
        <v>4346</v>
      </c>
      <c r="H48" s="1239">
        <f>+SUM(E46:E48)</f>
        <v>3527881</v>
      </c>
    </row>
    <row r="49" spans="1:8" ht="26.25" customHeight="1">
      <c r="A49" s="1235">
        <v>46</v>
      </c>
      <c r="B49" s="1236" t="s">
        <v>4325</v>
      </c>
      <c r="C49" s="3574">
        <v>15</v>
      </c>
      <c r="D49" s="3574" t="s">
        <v>4347</v>
      </c>
      <c r="E49" s="1237">
        <v>5659501</v>
      </c>
      <c r="F49" s="1236"/>
      <c r="G49" s="1237" t="s">
        <v>4348</v>
      </c>
    </row>
    <row r="50" spans="1:8" ht="26.25" customHeight="1">
      <c r="A50" s="1235">
        <v>47</v>
      </c>
      <c r="B50" s="1236" t="s">
        <v>4349</v>
      </c>
      <c r="C50" s="3575"/>
      <c r="D50" s="3575"/>
      <c r="E50" s="1237">
        <v>3650927</v>
      </c>
      <c r="F50" s="1236"/>
      <c r="G50" s="1237" t="s">
        <v>4350</v>
      </c>
      <c r="H50" s="1238">
        <f>+E50+E49</f>
        <v>9310428</v>
      </c>
    </row>
    <row r="51" spans="1:8" ht="26.25" customHeight="1">
      <c r="A51" s="1235">
        <v>48</v>
      </c>
      <c r="B51" s="1236" t="s">
        <v>4333</v>
      </c>
      <c r="C51" s="3574">
        <v>16</v>
      </c>
      <c r="D51" s="3574" t="s">
        <v>4351</v>
      </c>
      <c r="E51" s="1237">
        <v>584535</v>
      </c>
      <c r="F51" s="1236"/>
      <c r="G51" s="1237" t="s">
        <v>4352</v>
      </c>
    </row>
    <row r="52" spans="1:8" ht="26.25" customHeight="1">
      <c r="A52" s="1235">
        <v>49</v>
      </c>
      <c r="B52" s="1236" t="s">
        <v>4353</v>
      </c>
      <c r="C52" s="3575"/>
      <c r="D52" s="3575"/>
      <c r="E52" s="1237">
        <v>12319</v>
      </c>
      <c r="F52" s="1236" t="s">
        <v>4270</v>
      </c>
      <c r="G52" s="1237" t="s">
        <v>4354</v>
      </c>
      <c r="H52" s="1238">
        <f>+E52+E51</f>
        <v>596854</v>
      </c>
    </row>
    <row r="53" spans="1:8" ht="26.25" customHeight="1">
      <c r="A53" s="1235">
        <v>1</v>
      </c>
      <c r="B53" s="1236" t="s">
        <v>4355</v>
      </c>
      <c r="C53" s="3571" t="s">
        <v>4356</v>
      </c>
      <c r="D53" s="3571" t="s">
        <v>4357</v>
      </c>
      <c r="E53" s="1237">
        <v>3270003</v>
      </c>
      <c r="F53" s="1236" t="s">
        <v>4358</v>
      </c>
      <c r="G53" s="1237" t="s">
        <v>4359</v>
      </c>
    </row>
    <row r="54" spans="1:8" ht="26.25" customHeight="1">
      <c r="A54" s="1235">
        <v>2</v>
      </c>
      <c r="B54" s="1236" t="s">
        <v>4298</v>
      </c>
      <c r="C54" s="3572"/>
      <c r="D54" s="3572"/>
      <c r="E54" s="1237">
        <v>246130</v>
      </c>
      <c r="F54" s="1236" t="s">
        <v>4360</v>
      </c>
      <c r="G54" s="1237" t="s">
        <v>4361</v>
      </c>
      <c r="H54" s="1238">
        <f>+E54+E53</f>
        <v>3516133</v>
      </c>
    </row>
    <row r="55" spans="1:8" ht="26.25" customHeight="1">
      <c r="A55" s="1235">
        <v>3</v>
      </c>
      <c r="B55" s="1236" t="s">
        <v>4362</v>
      </c>
      <c r="C55" s="3571" t="s">
        <v>4363</v>
      </c>
      <c r="D55" s="3571" t="s">
        <v>4364</v>
      </c>
      <c r="E55" s="1237">
        <v>9409551</v>
      </c>
      <c r="F55" s="1236" t="s">
        <v>4358</v>
      </c>
      <c r="G55" s="1237" t="s">
        <v>4365</v>
      </c>
    </row>
    <row r="56" spans="1:8" ht="26.25" customHeight="1">
      <c r="A56" s="1235">
        <v>4</v>
      </c>
      <c r="B56" s="1236" t="s">
        <v>4298</v>
      </c>
      <c r="C56" s="3572"/>
      <c r="D56" s="3572"/>
      <c r="E56" s="1237">
        <v>708246</v>
      </c>
      <c r="F56" s="1236" t="s">
        <v>4360</v>
      </c>
      <c r="G56" s="1237" t="s">
        <v>4304</v>
      </c>
      <c r="H56" s="1238">
        <f>+E56+E55</f>
        <v>10117797</v>
      </c>
    </row>
    <row r="57" spans="1:8" ht="26.25" customHeight="1">
      <c r="A57" s="1235">
        <v>5</v>
      </c>
      <c r="B57" s="1236" t="s">
        <v>4362</v>
      </c>
      <c r="C57" s="3571" t="s">
        <v>4366</v>
      </c>
      <c r="D57" s="3571" t="s">
        <v>4367</v>
      </c>
      <c r="E57" s="1237">
        <v>3777654</v>
      </c>
      <c r="F57" s="1236" t="s">
        <v>4358</v>
      </c>
      <c r="G57" s="1237" t="s">
        <v>4368</v>
      </c>
      <c r="H57" s="1239">
        <f>+E57</f>
        <v>3777654</v>
      </c>
    </row>
    <row r="58" spans="1:8" ht="26.25" customHeight="1">
      <c r="A58" s="1235">
        <v>6</v>
      </c>
      <c r="B58" s="1236" t="s">
        <v>4298</v>
      </c>
      <c r="C58" s="3572"/>
      <c r="D58" s="3572"/>
      <c r="E58" s="1237">
        <v>38158</v>
      </c>
      <c r="F58" s="1236" t="s">
        <v>4369</v>
      </c>
      <c r="G58" s="1237" t="s">
        <v>4312</v>
      </c>
      <c r="H58" s="1239">
        <f>+E58</f>
        <v>38158</v>
      </c>
    </row>
    <row r="59" spans="1:8" ht="26.25" customHeight="1">
      <c r="A59" s="1235">
        <v>7</v>
      </c>
      <c r="B59" s="1236" t="s">
        <v>4362</v>
      </c>
      <c r="C59" s="3571" t="s">
        <v>4370</v>
      </c>
      <c r="D59" s="3571" t="s">
        <v>4371</v>
      </c>
      <c r="E59" s="1237">
        <v>8641495</v>
      </c>
      <c r="F59" s="1236" t="s">
        <v>4372</v>
      </c>
      <c r="G59" s="1237" t="s">
        <v>4373</v>
      </c>
    </row>
    <row r="60" spans="1:8" ht="33.75" customHeight="1">
      <c r="A60" s="1235">
        <v>8</v>
      </c>
      <c r="B60" s="1236" t="s">
        <v>4298</v>
      </c>
      <c r="C60" s="3571"/>
      <c r="D60" s="3571"/>
      <c r="E60" s="1237">
        <v>777879</v>
      </c>
      <c r="F60" s="1244" t="s">
        <v>4374</v>
      </c>
      <c r="G60" s="1237" t="s">
        <v>4346</v>
      </c>
      <c r="H60" s="1238">
        <f>+E60+E59</f>
        <v>9419374</v>
      </c>
    </row>
    <row r="61" spans="1:8" ht="33.75" customHeight="1">
      <c r="A61" s="1235">
        <v>9</v>
      </c>
      <c r="B61" s="1236" t="s">
        <v>4362</v>
      </c>
      <c r="C61" s="3571" t="s">
        <v>4375</v>
      </c>
      <c r="D61" s="3571" t="s">
        <v>4376</v>
      </c>
      <c r="E61" s="1237">
        <v>5933814</v>
      </c>
      <c r="F61" s="1236" t="s">
        <v>4372</v>
      </c>
      <c r="G61" s="1237" t="s">
        <v>4377</v>
      </c>
    </row>
    <row r="62" spans="1:8" ht="33.75" customHeight="1">
      <c r="A62" s="1235">
        <v>10</v>
      </c>
      <c r="B62" s="1236" t="s">
        <v>4269</v>
      </c>
      <c r="C62" s="3571"/>
      <c r="D62" s="3571"/>
      <c r="E62" s="1237">
        <v>1016457</v>
      </c>
      <c r="F62" s="1244" t="s">
        <v>4374</v>
      </c>
      <c r="G62" s="1237" t="s">
        <v>4378</v>
      </c>
      <c r="H62" s="1238">
        <f>+E62+E61</f>
        <v>6950271</v>
      </c>
    </row>
    <row r="63" spans="1:8" ht="33.75" customHeight="1">
      <c r="A63" s="1235">
        <v>11</v>
      </c>
      <c r="B63" s="1236" t="s">
        <v>4362</v>
      </c>
      <c r="C63" s="3571" t="s">
        <v>4379</v>
      </c>
      <c r="D63" s="3571" t="s">
        <v>4380</v>
      </c>
      <c r="E63" s="1237">
        <v>44917</v>
      </c>
      <c r="F63" s="1236" t="s">
        <v>4372</v>
      </c>
      <c r="G63" s="1237" t="s">
        <v>4377</v>
      </c>
    </row>
    <row r="64" spans="1:8" ht="33.75" customHeight="1">
      <c r="A64" s="1235">
        <v>12</v>
      </c>
      <c r="B64" s="1236" t="s">
        <v>4298</v>
      </c>
      <c r="C64" s="3571"/>
      <c r="D64" s="3571"/>
      <c r="E64" s="1237">
        <v>51135</v>
      </c>
      <c r="F64" s="1244" t="s">
        <v>4374</v>
      </c>
      <c r="G64" s="1237" t="s">
        <v>4378</v>
      </c>
      <c r="H64" s="1238">
        <f>+E64+E63</f>
        <v>96052</v>
      </c>
    </row>
    <row r="65" spans="1:8" ht="33.75" customHeight="1">
      <c r="A65" s="1235">
        <v>13</v>
      </c>
      <c r="B65" s="1236" t="s">
        <v>4362</v>
      </c>
      <c r="C65" s="3571" t="s">
        <v>4381</v>
      </c>
      <c r="D65" s="3571" t="s">
        <v>4382</v>
      </c>
      <c r="E65" s="1237">
        <v>4375519</v>
      </c>
      <c r="F65" s="1244" t="s">
        <v>4383</v>
      </c>
      <c r="G65" s="1237" t="s">
        <v>4384</v>
      </c>
    </row>
    <row r="66" spans="1:8" ht="33.75" customHeight="1">
      <c r="A66" s="1235">
        <v>14</v>
      </c>
      <c r="B66" s="1236" t="s">
        <v>4298</v>
      </c>
      <c r="C66" s="3571"/>
      <c r="D66" s="3571"/>
      <c r="E66" s="1237">
        <v>44197</v>
      </c>
      <c r="F66" s="1244" t="s">
        <v>4385</v>
      </c>
      <c r="G66" s="1237" t="s">
        <v>4386</v>
      </c>
      <c r="H66" s="1238">
        <f>+E66+E65</f>
        <v>4419716</v>
      </c>
    </row>
    <row r="67" spans="1:8" ht="33.75" customHeight="1">
      <c r="A67" s="1235">
        <v>15</v>
      </c>
      <c r="B67" s="1236" t="s">
        <v>4362</v>
      </c>
      <c r="C67" s="3571" t="s">
        <v>4387</v>
      </c>
      <c r="D67" s="3571" t="s">
        <v>4388</v>
      </c>
      <c r="E67" s="1237">
        <v>6017276</v>
      </c>
      <c r="F67" s="1236" t="s">
        <v>4372</v>
      </c>
      <c r="G67" s="1237" t="s">
        <v>4389</v>
      </c>
      <c r="H67" s="1238">
        <f>+E68+E67</f>
        <v>6501879</v>
      </c>
    </row>
    <row r="68" spans="1:8" ht="33.75" customHeight="1">
      <c r="A68" s="1235">
        <v>16</v>
      </c>
      <c r="B68" s="1236" t="s">
        <v>4298</v>
      </c>
      <c r="C68" s="3571"/>
      <c r="D68" s="3571"/>
      <c r="E68" s="1237">
        <v>484603</v>
      </c>
      <c r="F68" s="1244" t="s">
        <v>4374</v>
      </c>
      <c r="G68" s="1237" t="s">
        <v>4390</v>
      </c>
    </row>
    <row r="69" spans="1:8" ht="18.5">
      <c r="A69" s="1235"/>
      <c r="B69" s="1236"/>
      <c r="C69" s="1240"/>
      <c r="D69" s="1240"/>
      <c r="E69" s="1236"/>
      <c r="F69" s="1236"/>
      <c r="G69" s="1237"/>
    </row>
    <row r="70" spans="1:8" s="1250" customFormat="1" ht="30.75" customHeight="1" thickBot="1">
      <c r="A70" s="1245" t="s">
        <v>4391</v>
      </c>
      <c r="B70" s="1246" t="s">
        <v>4392</v>
      </c>
      <c r="C70" s="1247"/>
      <c r="D70" s="1247"/>
      <c r="E70" s="1248">
        <f>SUM(E4:E69)</f>
        <v>532315894</v>
      </c>
      <c r="F70" s="1246"/>
      <c r="G70" s="1249"/>
      <c r="H70" s="1248">
        <f>SUM(H4:H69)</f>
        <v>532315894</v>
      </c>
    </row>
    <row r="71" spans="1:8" ht="18.75" customHeight="1">
      <c r="E71" s="1239"/>
    </row>
    <row r="72" spans="1:8">
      <c r="E72" s="1239"/>
    </row>
    <row r="74" spans="1:8">
      <c r="B74" s="1252"/>
      <c r="F74" s="1239"/>
      <c r="G74" s="1239"/>
    </row>
    <row r="76" spans="1:8">
      <c r="F76" s="1239"/>
      <c r="G76" s="1239"/>
    </row>
  </sheetData>
  <autoFilter ref="A3:G52" xr:uid="{00000000-0009-0000-0000-000056000000}"/>
  <mergeCells count="46">
    <mergeCell ref="C65:C66"/>
    <mergeCell ref="D65:D66"/>
    <mergeCell ref="C67:C68"/>
    <mergeCell ref="D67:D68"/>
    <mergeCell ref="C59:C60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C46:C48"/>
    <mergeCell ref="D46:D48"/>
    <mergeCell ref="C49:C50"/>
    <mergeCell ref="D49:D50"/>
    <mergeCell ref="C51:C52"/>
    <mergeCell ref="D51:D52"/>
    <mergeCell ref="C33:C38"/>
    <mergeCell ref="D33:D38"/>
    <mergeCell ref="C39:C40"/>
    <mergeCell ref="D39:D40"/>
    <mergeCell ref="C41:C44"/>
    <mergeCell ref="D41:D44"/>
    <mergeCell ref="C24:C25"/>
    <mergeCell ref="D24:D25"/>
    <mergeCell ref="C26:C29"/>
    <mergeCell ref="D26:D29"/>
    <mergeCell ref="C30:C32"/>
    <mergeCell ref="D30:D32"/>
    <mergeCell ref="C9:C12"/>
    <mergeCell ref="D9:D12"/>
    <mergeCell ref="C13:C17"/>
    <mergeCell ref="D13:D17"/>
    <mergeCell ref="C18:C22"/>
    <mergeCell ref="D18:D22"/>
    <mergeCell ref="A1:G1"/>
    <mergeCell ref="A2:G2"/>
    <mergeCell ref="C4:C5"/>
    <mergeCell ref="D4:D5"/>
    <mergeCell ref="C6:C8"/>
    <mergeCell ref="D6:D8"/>
  </mergeCells>
  <pageMargins left="0.73" right="0.21" top="0.37" bottom="0.37" header="0.31496062992125984" footer="0.31496062992125984"/>
  <pageSetup scale="3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H17"/>
  <sheetViews>
    <sheetView workbookViewId="0">
      <selection activeCell="J11" sqref="J11"/>
    </sheetView>
  </sheetViews>
  <sheetFormatPr defaultColWidth="9.1796875" defaultRowHeight="15.5"/>
  <cols>
    <col min="1" max="1" width="28.81640625" style="1439" bestFit="1" customWidth="1"/>
    <col min="2" max="4" width="13.26953125" style="1439" customWidth="1"/>
    <col min="5" max="5" width="13.26953125" style="1533" customWidth="1"/>
    <col min="6" max="6" width="13.26953125" style="1439" customWidth="1"/>
    <col min="7" max="7" width="13.26953125" style="1533" customWidth="1"/>
    <col min="8" max="8" width="13.26953125" style="1439" customWidth="1"/>
    <col min="9" max="16384" width="9.1796875" style="1439"/>
  </cols>
  <sheetData>
    <row r="1" spans="1:8">
      <c r="A1" s="1439" t="s">
        <v>4599</v>
      </c>
    </row>
    <row r="2" spans="1:8">
      <c r="H2" s="1439" t="s">
        <v>4053</v>
      </c>
    </row>
    <row r="3" spans="1:8">
      <c r="A3" s="1535"/>
      <c r="B3" s="30" t="s">
        <v>3599</v>
      </c>
      <c r="C3" s="30" t="s">
        <v>4026</v>
      </c>
      <c r="D3" s="30" t="s">
        <v>4515</v>
      </c>
      <c r="E3" s="3478" t="s">
        <v>4607</v>
      </c>
      <c r="F3" s="3478"/>
      <c r="G3" s="3478"/>
      <c r="H3" s="3478"/>
    </row>
    <row r="4" spans="1:8">
      <c r="A4" s="1535"/>
      <c r="B4" s="1535"/>
      <c r="C4" s="1535"/>
      <c r="D4" s="1535"/>
      <c r="E4" s="1535" t="s">
        <v>460</v>
      </c>
      <c r="F4" s="30" t="s">
        <v>4604</v>
      </c>
      <c r="G4" s="1535" t="s">
        <v>460</v>
      </c>
      <c r="H4" s="30" t="s">
        <v>4605</v>
      </c>
    </row>
    <row r="5" spans="1:8" ht="26.25" customHeight="1">
      <c r="A5" s="1442" t="s">
        <v>1517</v>
      </c>
      <c r="B5" s="1443">
        <f>812.82-12.45</f>
        <v>800.37</v>
      </c>
      <c r="C5" s="1442">
        <v>933.65</v>
      </c>
      <c r="D5" s="1442">
        <v>996.91</v>
      </c>
      <c r="E5" s="1535"/>
      <c r="F5" s="1442"/>
      <c r="G5" s="1535"/>
      <c r="H5" s="1442">
        <f>+D5</f>
        <v>996.91</v>
      </c>
    </row>
    <row r="6" spans="1:8" ht="26.25" customHeight="1">
      <c r="A6" s="1442"/>
      <c r="B6" s="1443"/>
      <c r="C6" s="1442"/>
      <c r="D6" s="1442"/>
      <c r="E6" s="1535"/>
      <c r="F6" s="1442"/>
      <c r="G6" s="1535"/>
      <c r="H6" s="1442"/>
    </row>
    <row r="7" spans="1:8" ht="26.25" customHeight="1">
      <c r="A7" s="1442" t="s">
        <v>4600</v>
      </c>
      <c r="B7" s="1443">
        <v>670.87</v>
      </c>
      <c r="C7" s="1442">
        <f>3325*2.25/10</f>
        <v>748.125</v>
      </c>
      <c r="D7" s="1443">
        <v>798.75</v>
      </c>
      <c r="E7" s="1535">
        <v>8</v>
      </c>
      <c r="F7" s="1443">
        <f>3194*0.08*2.25/10</f>
        <v>57.492000000000004</v>
      </c>
      <c r="G7" s="1535">
        <v>92</v>
      </c>
      <c r="H7" s="1443">
        <f>+D7-F7</f>
        <v>741.25800000000004</v>
      </c>
    </row>
    <row r="8" spans="1:8" ht="26.25" customHeight="1">
      <c r="A8" s="1442" t="s">
        <v>1247</v>
      </c>
      <c r="B8" s="1443">
        <v>300.67</v>
      </c>
      <c r="C8" s="1443">
        <f>+'F-22'!C13</f>
        <v>517.57891526230617</v>
      </c>
      <c r="D8" s="1443">
        <f>+'F-22'!D13</f>
        <v>497.34444680271383</v>
      </c>
      <c r="E8" s="1535">
        <v>60</v>
      </c>
      <c r="F8" s="1442">
        <f t="shared" ref="F8:F13" si="0">+ROUND(D8*E8%,2)</f>
        <v>298.41000000000003</v>
      </c>
      <c r="G8" s="1535">
        <v>40</v>
      </c>
      <c r="H8" s="1442">
        <f t="shared" ref="H8:H13" si="1">+ROUND(D8*G8%,2)</f>
        <v>198.94</v>
      </c>
    </row>
    <row r="9" spans="1:8" ht="26.25" customHeight="1">
      <c r="A9" s="1442" t="s">
        <v>4601</v>
      </c>
      <c r="B9" s="1443">
        <v>34.33</v>
      </c>
      <c r="C9" s="1443">
        <f>+'F-22'!C14</f>
        <v>145.39831301164173</v>
      </c>
      <c r="D9" s="1443">
        <v>75</v>
      </c>
      <c r="E9" s="1535">
        <v>90</v>
      </c>
      <c r="F9" s="1443">
        <f t="shared" si="0"/>
        <v>67.5</v>
      </c>
      <c r="G9" s="1535">
        <v>10</v>
      </c>
      <c r="H9" s="1443">
        <f t="shared" si="1"/>
        <v>7.5</v>
      </c>
    </row>
    <row r="10" spans="1:8" ht="26.25" customHeight="1">
      <c r="A10" s="1442" t="s">
        <v>4602</v>
      </c>
      <c r="B10" s="1443">
        <v>44.38</v>
      </c>
      <c r="C10" s="1442">
        <v>32.479999999999997</v>
      </c>
      <c r="D10" s="1443">
        <v>60.1</v>
      </c>
      <c r="E10" s="1535">
        <v>40</v>
      </c>
      <c r="F10" s="1442">
        <f t="shared" si="0"/>
        <v>24.04</v>
      </c>
      <c r="G10" s="1535">
        <v>60</v>
      </c>
      <c r="H10" s="1442">
        <f t="shared" si="1"/>
        <v>36.06</v>
      </c>
    </row>
    <row r="11" spans="1:8" ht="26.25" customHeight="1">
      <c r="A11" s="1442" t="s">
        <v>4603</v>
      </c>
      <c r="B11" s="1443">
        <v>186.8</v>
      </c>
      <c r="C11" s="1443">
        <f>+C5*6.5%</f>
        <v>60.687249999999999</v>
      </c>
      <c r="D11" s="1443">
        <f>+D5*4.5%</f>
        <v>44.860949999999995</v>
      </c>
      <c r="E11" s="1535">
        <v>0</v>
      </c>
      <c r="F11" s="1442">
        <f t="shared" si="0"/>
        <v>0</v>
      </c>
      <c r="G11" s="1535">
        <v>100</v>
      </c>
      <c r="H11" s="1442">
        <f t="shared" si="1"/>
        <v>44.86</v>
      </c>
    </row>
    <row r="12" spans="1:8" ht="26.25" customHeight="1">
      <c r="A12" s="1442" t="s">
        <v>118</v>
      </c>
      <c r="B12" s="1443">
        <v>17.510000000000002</v>
      </c>
      <c r="C12" s="1443">
        <f>+'F-22'!C16</f>
        <v>52.228739074452392</v>
      </c>
      <c r="D12" s="1443">
        <v>84.3</v>
      </c>
      <c r="E12" s="1535">
        <v>90</v>
      </c>
      <c r="F12" s="1442">
        <f t="shared" si="0"/>
        <v>75.87</v>
      </c>
      <c r="G12" s="1535">
        <v>10</v>
      </c>
      <c r="H12" s="1442">
        <f t="shared" si="1"/>
        <v>8.43</v>
      </c>
    </row>
    <row r="13" spans="1:8" ht="26.25" customHeight="1">
      <c r="A13" s="1442" t="s">
        <v>1605</v>
      </c>
      <c r="B13" s="1443">
        <v>33.97</v>
      </c>
      <c r="C13" s="1443">
        <f>+'F-22'!C21</f>
        <v>56.30678705062892</v>
      </c>
      <c r="D13" s="1443">
        <v>54.91</v>
      </c>
      <c r="E13" s="1535">
        <v>10</v>
      </c>
      <c r="F13" s="1442">
        <f t="shared" si="0"/>
        <v>5.49</v>
      </c>
      <c r="G13" s="1535">
        <v>90</v>
      </c>
      <c r="H13" s="1442">
        <f t="shared" si="1"/>
        <v>49.42</v>
      </c>
    </row>
    <row r="14" spans="1:8" ht="26.25" customHeight="1">
      <c r="A14" s="1442"/>
      <c r="B14" s="1443"/>
      <c r="C14" s="1442"/>
      <c r="D14" s="1442"/>
      <c r="E14" s="1535"/>
      <c r="F14" s="1442"/>
      <c r="G14" s="1535"/>
      <c r="H14" s="1442"/>
    </row>
    <row r="15" spans="1:8" ht="26.25" customHeight="1">
      <c r="A15" s="1442" t="s">
        <v>863</v>
      </c>
      <c r="B15" s="1534">
        <f>+B5-SUM(B7:B13)</f>
        <v>-488.15999999999997</v>
      </c>
      <c r="C15" s="1534">
        <f>+C5-SUM(C7:C13)</f>
        <v>-679.15500439902883</v>
      </c>
      <c r="D15" s="1534">
        <f>+D5-SUM(D7:D13)</f>
        <v>-618.3553968027137</v>
      </c>
      <c r="E15" s="1535"/>
      <c r="F15" s="1534"/>
      <c r="G15" s="1535"/>
      <c r="H15" s="1534">
        <f>+H5-SUM(H7:H13)</f>
        <v>-89.558000000000106</v>
      </c>
    </row>
    <row r="16" spans="1:8">
      <c r="B16" s="1441"/>
    </row>
    <row r="17" spans="1:1">
      <c r="A17" s="1439" t="s">
        <v>4606</v>
      </c>
    </row>
  </sheetData>
  <mergeCells count="1">
    <mergeCell ref="E3:H3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92</vt:i4>
      </vt:variant>
    </vt:vector>
  </HeadingPairs>
  <TitlesOfParts>
    <vt:vector size="189" baseType="lpstr">
      <vt:lpstr>REV.RELIEF 08-09-10</vt:lpstr>
      <vt:lpstr>REV.REL&amp;PEN -10-11 Six</vt:lpstr>
      <vt:lpstr>REV.REL&amp; PEN -09-10 </vt:lpstr>
      <vt:lpstr>EHT SALES</vt:lpstr>
      <vt:lpstr>HT SALES </vt:lpstr>
      <vt:lpstr>Sheet6</vt:lpstr>
      <vt:lpstr>Final</vt:lpstr>
      <vt:lpstr>BS</vt:lpstr>
      <vt:lpstr>PL</vt:lpstr>
      <vt:lpstr>OERC 1 &amp; 2</vt:lpstr>
      <vt:lpstr>OERC 3</vt:lpstr>
      <vt:lpstr>OERC 4,5,7,8</vt:lpstr>
      <vt:lpstr>OERC 6</vt:lpstr>
      <vt:lpstr>OERC 09 ,10 &amp; 11</vt:lpstr>
      <vt:lpstr>OERC 12 &amp; 13</vt:lpstr>
      <vt:lpstr>OERC 14,15 &amp; 16</vt:lpstr>
      <vt:lpstr>OERC 17 &amp; 18</vt:lpstr>
      <vt:lpstr>TB FY-2021-22</vt:lpstr>
      <vt:lpstr>TB FY23 (H1)</vt:lpstr>
      <vt:lpstr>Index-F Formats</vt:lpstr>
      <vt:lpstr>WFD F-17</vt:lpstr>
      <vt:lpstr>WDF-12</vt:lpstr>
      <vt:lpstr>Additional Working</vt:lpstr>
      <vt:lpstr> F-1-A</vt:lpstr>
      <vt:lpstr>F-1-B</vt:lpstr>
      <vt:lpstr>F-2</vt:lpstr>
      <vt:lpstr>F-3</vt:lpstr>
      <vt:lpstr>F-4</vt:lpstr>
      <vt:lpstr>F-5</vt:lpstr>
      <vt:lpstr>F-6</vt:lpstr>
      <vt:lpstr>F-7</vt:lpstr>
      <vt:lpstr>F-8</vt:lpstr>
      <vt:lpstr>F-9B</vt:lpstr>
      <vt:lpstr>F-9</vt:lpstr>
      <vt:lpstr>F-10 </vt:lpstr>
      <vt:lpstr>F-11</vt:lpstr>
      <vt:lpstr>F-12-A </vt:lpstr>
      <vt:lpstr>F-12-B</vt:lpstr>
      <vt:lpstr>F-12-C</vt:lpstr>
      <vt:lpstr>F-13-C</vt:lpstr>
      <vt:lpstr>F-23 </vt:lpstr>
      <vt:lpstr>F-12-D</vt:lpstr>
      <vt:lpstr>F-12-E</vt:lpstr>
      <vt:lpstr>F-13-A</vt:lpstr>
      <vt:lpstr>F-13-B</vt:lpstr>
      <vt:lpstr>F-14  </vt:lpstr>
      <vt:lpstr>F-15</vt:lpstr>
      <vt:lpstr>F-16</vt:lpstr>
      <vt:lpstr>F-17</vt:lpstr>
      <vt:lpstr>F-18</vt:lpstr>
      <vt:lpstr>F-19-A</vt:lpstr>
      <vt:lpstr>F-19-B</vt:lpstr>
      <vt:lpstr>F-20 </vt:lpstr>
      <vt:lpstr>F-21</vt:lpstr>
      <vt:lpstr>F-22</vt:lpstr>
      <vt:lpstr>F- 24</vt:lpstr>
      <vt:lpstr>F 25</vt:lpstr>
      <vt:lpstr>F 26 </vt:lpstr>
      <vt:lpstr>F 27</vt:lpstr>
      <vt:lpstr>T-1</vt:lpstr>
      <vt:lpstr>T-2</vt:lpstr>
      <vt:lpstr>T-2 (A-S)</vt:lpstr>
      <vt:lpstr>T-3</vt:lpstr>
      <vt:lpstr>T-3 (A-S)</vt:lpstr>
      <vt:lpstr>T-4</vt:lpstr>
      <vt:lpstr>T-5</vt:lpstr>
      <vt:lpstr>T-6 (21-22)</vt:lpstr>
      <vt:lpstr>T-6 (22-23)</vt:lpstr>
      <vt:lpstr>T-7(CUR)</vt:lpstr>
      <vt:lpstr>T-7(ENS)</vt:lpstr>
      <vt:lpstr>T-8</vt:lpstr>
      <vt:lpstr>T-9</vt:lpstr>
      <vt:lpstr>Sheet8</vt:lpstr>
      <vt:lpstr>Sheet7</vt:lpstr>
      <vt:lpstr>Sheet1</vt:lpstr>
      <vt:lpstr>Sheet2</vt:lpstr>
      <vt:lpstr>Sheet5</vt:lpstr>
      <vt:lpstr>Sheet3</vt:lpstr>
      <vt:lpstr>Terminal</vt:lpstr>
      <vt:lpstr>LOSS</vt:lpstr>
      <vt:lpstr>PP</vt:lpstr>
      <vt:lpstr>WF29</vt:lpstr>
      <vt:lpstr>Depreciation working TPSODL</vt:lpstr>
      <vt:lpstr>Allocation of Cost</vt:lpstr>
      <vt:lpstr>WF-INTEREST</vt:lpstr>
      <vt:lpstr>WF-10(Rev RQ-Cur)</vt:lpstr>
      <vt:lpstr>WF-12(RevRQEns)</vt:lpstr>
      <vt:lpstr>Summary</vt:lpstr>
      <vt:lpstr>WF-13clear profit</vt:lpstr>
      <vt:lpstr>WF-14(Capitalbase)</vt:lpstr>
      <vt:lpstr>WF28</vt:lpstr>
      <vt:lpstr>WF33</vt:lpstr>
      <vt:lpstr>WF-39(WC)</vt:lpstr>
      <vt:lpstr>RoE(AF-40)</vt:lpstr>
      <vt:lpstr>Basis of Allocation(AF-42)</vt:lpstr>
      <vt:lpstr>Supplier-Contractor-wise Claim</vt:lpstr>
      <vt:lpstr>Sheet4</vt:lpstr>
      <vt:lpstr>' F-1-A'!Print_Area</vt:lpstr>
      <vt:lpstr>'Allocation of Cost'!Print_Area</vt:lpstr>
      <vt:lpstr>BS!Print_Area</vt:lpstr>
      <vt:lpstr>'EHT SALES'!Print_Area</vt:lpstr>
      <vt:lpstr>'F- 24'!Print_Area</vt:lpstr>
      <vt:lpstr>'F 25'!Print_Area</vt:lpstr>
      <vt:lpstr>'F 26 '!Print_Area</vt:lpstr>
      <vt:lpstr>'F 27'!Print_Area</vt:lpstr>
      <vt:lpstr>'F-10 '!Print_Area</vt:lpstr>
      <vt:lpstr>'F-11'!Print_Area</vt:lpstr>
      <vt:lpstr>'F-12-A '!Print_Area</vt:lpstr>
      <vt:lpstr>'F-12-B'!Print_Area</vt:lpstr>
      <vt:lpstr>'F-12-C'!Print_Area</vt:lpstr>
      <vt:lpstr>'F-12-D'!Print_Area</vt:lpstr>
      <vt:lpstr>'F-12-E'!Print_Area</vt:lpstr>
      <vt:lpstr>'F-13-A'!Print_Area</vt:lpstr>
      <vt:lpstr>'F-13-B'!Print_Area</vt:lpstr>
      <vt:lpstr>'F-14  '!Print_Area</vt:lpstr>
      <vt:lpstr>'F-15'!Print_Area</vt:lpstr>
      <vt:lpstr>'F-16'!Print_Area</vt:lpstr>
      <vt:lpstr>'F-17'!Print_Area</vt:lpstr>
      <vt:lpstr>'F-18'!Print_Area</vt:lpstr>
      <vt:lpstr>'F-19-A'!Print_Area</vt:lpstr>
      <vt:lpstr>'F-19-B'!Print_Area</vt:lpstr>
      <vt:lpstr>'F-1-B'!Print_Area</vt:lpstr>
      <vt:lpstr>'F-2'!Print_Area</vt:lpstr>
      <vt:lpstr>'F-20 '!Print_Area</vt:lpstr>
      <vt:lpstr>'F-21'!Print_Area</vt:lpstr>
      <vt:lpstr>'F-22'!Print_Area</vt:lpstr>
      <vt:lpstr>'F-23 '!Print_Area</vt:lpstr>
      <vt:lpstr>'F-3'!Print_Area</vt:lpstr>
      <vt:lpstr>'F-4'!Print_Area</vt:lpstr>
      <vt:lpstr>'F-5'!Print_Area</vt:lpstr>
      <vt:lpstr>'F-6'!Print_Area</vt:lpstr>
      <vt:lpstr>'F-7'!Print_Area</vt:lpstr>
      <vt:lpstr>'F-8'!Print_Area</vt:lpstr>
      <vt:lpstr>'F-9'!Print_Area</vt:lpstr>
      <vt:lpstr>'F-9B'!Print_Area</vt:lpstr>
      <vt:lpstr>Final!Print_Area</vt:lpstr>
      <vt:lpstr>'HT SALES '!Print_Area</vt:lpstr>
      <vt:lpstr>'OERC 09 ,10 &amp; 11'!Print_Area</vt:lpstr>
      <vt:lpstr>'OERC 1 &amp; 2'!Print_Area</vt:lpstr>
      <vt:lpstr>'OERC 12 &amp; 13'!Print_Area</vt:lpstr>
      <vt:lpstr>'OERC 14,15 &amp; 16'!Print_Area</vt:lpstr>
      <vt:lpstr>'OERC 17 &amp; 18'!Print_Area</vt:lpstr>
      <vt:lpstr>'OERC 3'!Print_Area</vt:lpstr>
      <vt:lpstr>'OERC 4,5,7,8'!Print_Area</vt:lpstr>
      <vt:lpstr>'OERC 6'!Print_Area</vt:lpstr>
      <vt:lpstr>PL!Print_Area</vt:lpstr>
      <vt:lpstr>PP!Print_Area</vt:lpstr>
      <vt:lpstr>'REV.REL&amp; PEN -09-10 '!Print_Area</vt:lpstr>
      <vt:lpstr>'REV.REL&amp;PEN -10-11 Six'!Print_Area</vt:lpstr>
      <vt:lpstr>'REV.RELIEF 08-09-10'!Print_Area</vt:lpstr>
      <vt:lpstr>'RoE(AF-40)'!Print_Area</vt:lpstr>
      <vt:lpstr>Sheet3!Print_Area</vt:lpstr>
      <vt:lpstr>Summary!Print_Area</vt:lpstr>
      <vt:lpstr>'Supplier-Contractor-wise Claim'!Print_Area</vt:lpstr>
      <vt:lpstr>'T-1'!Print_Area</vt:lpstr>
      <vt:lpstr>'T-2'!Print_Area</vt:lpstr>
      <vt:lpstr>'T-2 (A-S)'!Print_Area</vt:lpstr>
      <vt:lpstr>'T-3'!Print_Area</vt:lpstr>
      <vt:lpstr>'T-3 (A-S)'!Print_Area</vt:lpstr>
      <vt:lpstr>'T-4'!Print_Area</vt:lpstr>
      <vt:lpstr>'T-5'!Print_Area</vt:lpstr>
      <vt:lpstr>'T-6 (21-22)'!Print_Area</vt:lpstr>
      <vt:lpstr>'T-6 (22-23)'!Print_Area</vt:lpstr>
      <vt:lpstr>'T-7(CUR)'!Print_Area</vt:lpstr>
      <vt:lpstr>'T-7(ENS)'!Print_Area</vt:lpstr>
      <vt:lpstr>'T-8'!Print_Area</vt:lpstr>
      <vt:lpstr>'T-9'!Print_Area</vt:lpstr>
      <vt:lpstr>Terminal!Print_Area</vt:lpstr>
      <vt:lpstr>'WF-10(Rev RQ-Cur)'!Print_Area</vt:lpstr>
      <vt:lpstr>'WF-12(RevRQEns)'!Print_Area</vt:lpstr>
      <vt:lpstr>'WF-13clear profit'!Print_Area</vt:lpstr>
      <vt:lpstr>'WF-14(Capitalbase)'!Print_Area</vt:lpstr>
      <vt:lpstr>'WF28'!Print_Area</vt:lpstr>
      <vt:lpstr>'WF29'!Print_Area</vt:lpstr>
      <vt:lpstr>'WF33'!Print_Area</vt:lpstr>
      <vt:lpstr>'WF-39(WC)'!Print_Area</vt:lpstr>
      <vt:lpstr>'WF-INTEREST'!Print_Area</vt:lpstr>
      <vt:lpstr>'F-14  '!Print_Titles</vt:lpstr>
      <vt:lpstr>'F-17'!Print_Titles</vt:lpstr>
      <vt:lpstr>Final!Print_Titles</vt:lpstr>
      <vt:lpstr>'T-1'!Print_Titles</vt:lpstr>
      <vt:lpstr>'T-4'!Print_Titles</vt:lpstr>
      <vt:lpstr>'T-6 (21-22)'!Print_Titles</vt:lpstr>
      <vt:lpstr>'T-6 (22-23)'!Print_Titles</vt:lpstr>
      <vt:lpstr>'T-7(ENS)'!Print_Titles</vt:lpstr>
      <vt:lpstr>'T-8'!Print_Titles</vt:lpstr>
      <vt:lpstr>'WF-10(Rev RQ-Cur)'!Print_Titles</vt:lpstr>
      <vt:lpstr>'WF-13clear profit'!Print_Titles</vt:lpstr>
      <vt:lpstr>'WF-14(Capitalbase)'!Print_Titles</vt:lpstr>
    </vt:vector>
  </TitlesOfParts>
  <Company>WESCO ;  Burla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Managing  Director</dc:creator>
  <cp:lastModifiedBy>Administrator</cp:lastModifiedBy>
  <cp:lastPrinted>2023-01-09T09:39:02Z</cp:lastPrinted>
  <dcterms:created xsi:type="dcterms:W3CDTF">2000-07-08T10:40:12Z</dcterms:created>
  <dcterms:modified xsi:type="dcterms:W3CDTF">2023-01-09T09:45:01Z</dcterms:modified>
</cp:coreProperties>
</file>